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Model" sheetId="1" state="visible" r:id="rId1"/>
    <sheet xmlns:r="http://schemas.openxmlformats.org/officeDocument/2006/relationships" name="Annual Summary" sheetId="2" state="visible" r:id="rId2"/>
    <sheet xmlns:r="http://schemas.openxmlformats.org/officeDocument/2006/relationships" name="QTR Summary" sheetId="3" state="visible" r:id="rId3"/>
    <sheet xmlns:r="http://schemas.openxmlformats.org/officeDocument/2006/relationships" name="Actuals" sheetId="4" state="visible" r:id="rId4"/>
    <sheet xmlns:r="http://schemas.openxmlformats.org/officeDocument/2006/relationships" name="Budget vs Actual" sheetId="5" state="visible" r:id="rId5"/>
    <sheet xmlns:r="http://schemas.openxmlformats.org/officeDocument/2006/relationships" name="Q1 Reforecast vs Actual" sheetId="6" state="visible" r:id="rId6"/>
    <sheet xmlns:r="http://schemas.openxmlformats.org/officeDocument/2006/relationships" name="Variance - Budget" sheetId="7" state="hidden" r:id="rId7"/>
    <sheet xmlns:r="http://schemas.openxmlformats.org/officeDocument/2006/relationships" name="Variance - Reforecast" sheetId="8" state="visible" r:id="rId8"/>
    <sheet xmlns:r="http://schemas.openxmlformats.org/officeDocument/2006/relationships" name="Budget" sheetId="9" state="visible" r:id="rId9"/>
    <sheet xmlns:r="http://schemas.openxmlformats.org/officeDocument/2006/relationships" name="Reforecast Q1 2026" sheetId="10" state="hidden" r:id="rId10"/>
    <sheet xmlns:r="http://schemas.openxmlformats.org/officeDocument/2006/relationships" name="BD Commission" sheetId="11" state="visible" r:id="rId11"/>
    <sheet xmlns:r="http://schemas.openxmlformats.org/officeDocument/2006/relationships" name="Projects" sheetId="12" state="visible" r:id="rId12"/>
    <sheet xmlns:r="http://schemas.openxmlformats.org/officeDocument/2006/relationships" name="Contracts In Process" sheetId="13" state="visible" r:id="rId13"/>
    <sheet xmlns:r="http://schemas.openxmlformats.org/officeDocument/2006/relationships" name="Personnel" sheetId="14" state="visible" r:id="rId14"/>
    <sheet xmlns:r="http://schemas.openxmlformats.org/officeDocument/2006/relationships" name="Uplifters" sheetId="15" state="visible" r:id="rId15"/>
    <sheet xmlns:r="http://schemas.openxmlformats.org/officeDocument/2006/relationships" name="Appendix" sheetId="16" state="hidden" r:id="rId16"/>
    <sheet xmlns:r="http://schemas.openxmlformats.org/officeDocument/2006/relationships" name="Sensitivity" sheetId="17" state="hidden" r:id="rId17"/>
    <sheet xmlns:r="http://schemas.openxmlformats.org/officeDocument/2006/relationships" name="Curves" sheetId="18" state="hidden" r:id="rId18"/>
    <sheet xmlns:r="http://schemas.openxmlformats.org/officeDocument/2006/relationships" name="Assumptions" sheetId="19" state="visible" r:id="rId19"/>
    <sheet xmlns:r="http://schemas.openxmlformats.org/officeDocument/2006/relationships" name="Escalation" sheetId="20" state="hidden" r:id="rId20"/>
    <sheet xmlns:r="http://schemas.openxmlformats.org/officeDocument/2006/relationships" name="Helpers" sheetId="21" state="hidden" r:id="rId21"/>
    <sheet xmlns:r="http://schemas.openxmlformats.org/officeDocument/2006/relationships" name="LIHTC Project P&amp;L" sheetId="22" state="hidden" r:id="rId22"/>
    <sheet xmlns:r="http://schemas.openxmlformats.org/officeDocument/2006/relationships" name="BD Commission Detail" sheetId="23" state="visible" r:id="rId23"/>
    <sheet xmlns:r="http://schemas.openxmlformats.org/officeDocument/2006/relationships" name="Retention" sheetId="24" state="visible" r:id="rId24"/>
    <sheet xmlns:r="http://schemas.openxmlformats.org/officeDocument/2006/relationships" name="APA Assumptions" sheetId="25" state="visible" r:id="rId25"/>
    <sheet xmlns:r="http://schemas.openxmlformats.org/officeDocument/2006/relationships" name="APA Projection" sheetId="26" state="visible" r:id="rId26"/>
    <sheet xmlns:r="http://schemas.openxmlformats.org/officeDocument/2006/relationships" name="Deal Terms" sheetId="27" state="visible" r:id="rId27"/>
    <sheet xmlns:r="http://schemas.openxmlformats.org/officeDocument/2006/relationships" name="Staffing" sheetId="28" state="visible" r:id="rId28"/>
  </sheets>
  <definedNames/>
  <calcPr calcId="124519" fullCalcOnLoad="1" refMode="A1" iterate="1" iterateCount="100" iterateDelta="0.0001"/>
</workbook>
</file>

<file path=xl/styles.xml><?xml version="1.0" encoding="utf-8"?>
<styleSheet xmlns="http://schemas.openxmlformats.org/spreadsheetml/2006/main">
  <numFmts count="23">
    <numFmt numFmtId="164" formatCode="mmm\-yy"/>
    <numFmt numFmtId="165" formatCode="_(\$* #,##0_);[RED]_(\$* \(#,##0\);_(\$* \-_?_?_);_(@_)"/>
    <numFmt numFmtId="166" formatCode="0.0%;[RED]\(0.0%\);\-"/>
    <numFmt numFmtId="167" formatCode="#,##0;[RED]\(#,##0\);\-"/>
    <numFmt numFmtId="168" formatCode="_(\$* #,##0_);[RED]_(\$* \(#,##0\);_(\$* \-_);_(@_)"/>
    <numFmt numFmtId="169" formatCode="mmm\ yyyy"/>
    <numFmt numFmtId="170" formatCode="_(\$* #,##0_);_(\$* \(#,##0\);_(\$* \-??_);_(@_)"/>
    <numFmt numFmtId="171" formatCode="\$#,##0;&quot;($&quot;#,##0\);\-"/>
    <numFmt numFmtId="172" formatCode="_(\$* #,##0.00_);_(\$* \(#,##0.00\);_(\$* \-??_);_(@_)"/>
    <numFmt numFmtId="173" formatCode="0.0%"/>
    <numFmt numFmtId="174" formatCode="_(\$* #,##0_);_(\$* \(#,##0\);_(\$* \-_);_(@_)"/>
    <numFmt numFmtId="175" formatCode="0.0%;\(0.0%\);\-"/>
    <numFmt numFmtId="176" formatCode="0.0000%"/>
    <numFmt numFmtId="177" formatCode="\$#,##0"/>
    <numFmt numFmtId="178" formatCode="mmm\-yyyy"/>
    <numFmt numFmtId="179" formatCode=";;;"/>
    <numFmt numFmtId="180" formatCode="#,##0.0,,;\(#,##0.0,,\);&quot;&quot;"/>
    <numFmt numFmtId="181" formatCode="0;;&quot;&quot;"/>
    <numFmt numFmtId="182" formatCode="#,##0.0,,;[RED]\(#,##0.0,,\);\-"/>
    <numFmt numFmtId="183" formatCode="0.0000"/>
    <numFmt numFmtId="184" formatCode="[$$-409]#,##0.00;[RED]\-[$$-409]#,##0.00"/>
    <numFmt numFmtId="185" formatCode="#,##0;\(#,##0\);\-"/>
    <numFmt numFmtId="186" formatCode="0;;&quot;-&quot;"/>
  </numFmts>
  <fonts count="57">
    <font>
      <name val="Aptos"/>
      <charset val="1"/>
      <family val="2"/>
      <color theme="1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ptos"/>
      <charset val="1"/>
      <family val="2"/>
      <b val="1"/>
      <color rgb="FF0B1833"/>
      <sz val="10"/>
    </font>
    <font>
      <name val="Aptos"/>
      <charset val="1"/>
      <family val="2"/>
      <b val="1"/>
      <color rgb="FFF8FAFC"/>
      <sz val="10"/>
    </font>
    <font>
      <name val="Aptos"/>
      <charset val="1"/>
      <family val="2"/>
      <color rgb="FF2C3A51"/>
      <sz val="10"/>
    </font>
    <font>
      <name val="Aptos"/>
      <charset val="1"/>
      <family val="2"/>
      <color rgb="FF000000"/>
      <sz val="10"/>
    </font>
    <font>
      <name val="Aptos"/>
      <charset val="1"/>
      <family val="1"/>
      <b val="1"/>
      <i val="1"/>
      <color rgb="FF2C3A51"/>
      <sz val="10"/>
    </font>
    <font>
      <name val="Aptos"/>
      <charset val="1"/>
      <family val="2"/>
      <b val="1"/>
      <color rgb="FFC4581A"/>
      <sz val="10"/>
    </font>
    <font>
      <name val="Aptos"/>
      <charset val="1"/>
      <family val="2"/>
      <b val="1"/>
      <color rgb="FF000000"/>
      <sz val="10"/>
    </font>
    <font>
      <name val="Aptos"/>
      <charset val="1"/>
      <family val="2"/>
      <i val="1"/>
      <color rgb="FF000000"/>
      <sz val="10"/>
    </font>
    <font>
      <name val="Aptos"/>
      <charset val="1"/>
      <family val="2"/>
      <i val="1"/>
      <color rgb="FFBFC7DA"/>
      <sz val="10"/>
    </font>
    <font>
      <name val="Aptos"/>
      <charset val="1"/>
      <family val="2"/>
      <color rgb="FFF8FAFC"/>
      <sz val="10"/>
    </font>
    <font>
      <name val="Aptos"/>
      <charset val="1"/>
      <family val="2"/>
      <b val="1"/>
      <i val="1"/>
      <color rgb="FFF8FAFC"/>
      <sz val="10"/>
    </font>
    <font>
      <name val="Aptos"/>
      <charset val="1"/>
      <family val="2"/>
      <b val="1"/>
      <i val="1"/>
      <color rgb="FFC4581A"/>
      <sz val="10"/>
    </font>
    <font>
      <name val="Aptos"/>
      <charset val="1"/>
      <family val="2"/>
      <b val="1"/>
      <i val="1"/>
      <color rgb="FF000000"/>
      <sz val="10"/>
    </font>
    <font>
      <name val="Aptos"/>
      <charset val="1"/>
      <family val="2"/>
      <sz val="10"/>
    </font>
    <font>
      <name val="Aptos"/>
      <charset val="1"/>
      <family val="2"/>
      <b val="1"/>
      <sz val="10"/>
    </font>
    <font>
      <name val="Aptos"/>
      <charset val="1"/>
      <family val="2"/>
      <i val="1"/>
      <color rgb="FF475569"/>
      <sz val="10"/>
    </font>
    <font>
      <name val="Aptos"/>
      <charset val="1"/>
      <family val="2"/>
      <i val="1"/>
      <color rgb="FF666666"/>
      <sz val="10"/>
    </font>
    <font>
      <name val="Aptos"/>
      <charset val="1"/>
      <family val="2"/>
      <color rgb="FF666666"/>
      <sz val="10"/>
    </font>
    <font>
      <name val="Aptos"/>
      <charset val="1"/>
      <family val="0"/>
      <color rgb="FF0000FF"/>
      <sz val="10"/>
    </font>
    <font>
      <name val="Aptos"/>
      <charset val="1"/>
      <family val="0"/>
      <b val="1"/>
      <color rgb="FF0B1833"/>
      <sz val="10"/>
    </font>
    <font>
      <name val="Aptos"/>
      <charset val="1"/>
      <family val="2"/>
      <b val="1"/>
      <color rgb="FFFFFFFF"/>
      <sz val="10"/>
    </font>
    <font>
      <name val="Aptos"/>
      <charset val="1"/>
      <family val="2"/>
      <b val="1"/>
      <color rgb="FFFF0000"/>
      <sz val="10"/>
    </font>
    <font>
      <name val="Aptos"/>
      <charset val="1"/>
      <family val="2"/>
      <color rgb="FFFF0000"/>
      <sz val="10"/>
    </font>
    <font>
      <name val="Aptos"/>
      <charset val="1"/>
      <family val="2"/>
      <color rgb="FF475569"/>
      <sz val="10"/>
    </font>
    <font>
      <name val="Aptos"/>
      <charset val="1"/>
      <family val="2"/>
      <color rgb="FF0000FF"/>
      <sz val="10"/>
    </font>
    <font>
      <name val="Aptos"/>
      <charset val="1"/>
      <family val="2"/>
      <i val="1"/>
      <color rgb="FFC4581A"/>
      <sz val="10"/>
    </font>
    <font>
      <name val="Aptos"/>
      <charset val="1"/>
      <family val="0"/>
      <color rgb="FF2D2D2D"/>
      <sz val="10"/>
    </font>
    <font>
      <name val="Aptos"/>
      <charset val="1"/>
      <family val="0"/>
      <b val="1"/>
      <color rgb="FF2D2D2D"/>
      <sz val="10"/>
    </font>
    <font>
      <name val="Arial"/>
      <family val="2"/>
      <sz val="10"/>
    </font>
    <font>
      <name val="Aptos"/>
      <charset val="1"/>
      <family val="2"/>
      <color rgb="FF008000"/>
      <sz val="10"/>
    </font>
    <font>
      <name val="Aptos"/>
      <charset val="1"/>
      <family val="2"/>
      <color rgb="FF0B1833"/>
      <sz val="10"/>
    </font>
    <font>
      <name val="Aptos"/>
      <charset val="1"/>
      <family val="0"/>
      <b val="1"/>
      <color rgb="FF475569"/>
      <sz val="10"/>
    </font>
    <font>
      <name val="Aptos"/>
      <charset val="1"/>
      <family val="0"/>
      <b val="1"/>
      <color rgb="FF0000FF"/>
      <sz val="10"/>
    </font>
    <font>
      <name val="Aptos"/>
      <charset val="1"/>
      <family val="2"/>
      <b val="1"/>
      <color rgb="FF1F3864"/>
      <sz val="10"/>
    </font>
    <font>
      <name val="Aptos"/>
      <charset val="1"/>
      <family val="2"/>
      <i val="1"/>
      <sz val="10"/>
    </font>
    <font>
      <name val="Aptos"/>
      <charset val="1"/>
      <family val="2"/>
      <color rgb="FF717F4B"/>
      <sz val="10"/>
    </font>
    <font>
      <name val="Aptos"/>
      <charset val="1"/>
      <family val="2"/>
      <color rgb="FFEF4444"/>
      <sz val="10"/>
    </font>
    <font>
      <name val="Aptos"/>
      <charset val="1"/>
      <family val="2"/>
      <i val="1"/>
      <color rgb="FF999999"/>
      <sz val="10"/>
    </font>
    <font>
      <name val="Aptos"/>
      <charset val="1"/>
      <family val="2"/>
      <color rgb="FF333333"/>
      <sz val="10"/>
    </font>
    <font>
      <name val="Aptos"/>
      <charset val="1"/>
      <family val="2"/>
      <b val="1"/>
      <color rgb="FF666666"/>
      <sz val="10"/>
    </font>
    <font>
      <name val="Aptos"/>
      <charset val="1"/>
      <family val="2"/>
      <color rgb="FF888888"/>
      <sz val="10"/>
    </font>
    <font>
      <name val="Aptos"/>
      <charset val="1"/>
      <family val="0"/>
      <b val="1"/>
      <color rgb="FF0B1833"/>
      <sz val="12"/>
    </font>
    <font>
      <name val="Aptos"/>
      <charset val="1"/>
      <family val="0"/>
      <color rgb="FF475569"/>
      <sz val="9"/>
    </font>
    <font>
      <name val="Aptos"/>
      <charset val="1"/>
      <family val="0"/>
      <b val="1"/>
      <color rgb="FFFFFFFF"/>
      <sz val="10"/>
    </font>
    <font>
      <name val="Aptos"/>
      <charset val="1"/>
      <family val="0"/>
      <b val="1"/>
      <color rgb="FFC4581A"/>
      <sz val="10"/>
    </font>
    <font>
      <name val="Aptos"/>
      <b val="1"/>
      <color rgb="FF0B1833"/>
      <sz val="12"/>
    </font>
    <font>
      <name val="Aptos"/>
      <color rgb="FF666666"/>
      <sz val="9"/>
    </font>
    <font>
      <name val="Aptos"/>
      <color rgb="FF2D2D2D"/>
      <sz val="10"/>
    </font>
    <font>
      <name val="Aptos"/>
      <b val="1"/>
      <color rgb="FF2D2D2D"/>
      <sz val="10"/>
    </font>
    <font>
      <name val="Aptos"/>
      <b val="1"/>
      <color rgb="FF666666"/>
      <sz val="9"/>
    </font>
    <font>
      <name val="Aptos"/>
      <b val="1"/>
      <color rgb="FFFFFFFF"/>
      <sz val="10"/>
    </font>
    <font>
      <name val="Aptos"/>
      <b val="1"/>
      <color rgb="FF0B1833"/>
      <sz val="10"/>
    </font>
    <font>
      <name val="Aptos"/>
      <color rgb="FFC4581A"/>
      <sz val="9"/>
    </font>
  </fonts>
  <fills count="36">
    <fill>
      <patternFill/>
    </fill>
    <fill>
      <patternFill patternType="gray125"/>
    </fill>
    <fill>
      <patternFill patternType="solid">
        <fgColor rgb="FFF8FAFC"/>
        <bgColor rgb="FFF5F5F5"/>
      </patternFill>
    </fill>
    <fill>
      <patternFill patternType="solid">
        <fgColor rgb="FF0B1833"/>
        <bgColor rgb="FF1E2C44"/>
      </patternFill>
    </fill>
    <fill>
      <patternFill patternType="solid">
        <fgColor rgb="FF2C3A51"/>
        <bgColor rgb="FF1F3864"/>
      </patternFill>
    </fill>
    <fill>
      <patternFill patternType="solid">
        <fgColor rgb="FFE8ECF1"/>
        <bgColor rgb="FFEAEDF2"/>
      </patternFill>
    </fill>
    <fill>
      <patternFill patternType="solid">
        <fgColor rgb="FFFBE9E0"/>
        <bgColor rgb="FFFCE4D6"/>
      </patternFill>
    </fill>
    <fill>
      <patternFill patternType="solid">
        <fgColor rgb="FFFFFFFF"/>
        <bgColor rgb="FFF8FAFC"/>
      </patternFill>
    </fill>
    <fill>
      <patternFill patternType="solid">
        <fgColor rgb="FFDDE3ED"/>
        <bgColor rgb="FFDCE6F1"/>
      </patternFill>
    </fill>
    <fill>
      <patternFill patternType="solid">
        <fgColor rgb="FFE3E8F0"/>
        <bgColor rgb="FFE2E7F0"/>
      </patternFill>
    </fill>
    <fill>
      <patternFill patternType="solid">
        <fgColor rgb="FFC4581A"/>
        <bgColor rgb="FFEF4444"/>
      </patternFill>
    </fill>
    <fill>
      <patternFill patternType="solid">
        <fgColor rgb="FFE2E7F0"/>
        <bgColor rgb="FFE3E8F0"/>
      </patternFill>
    </fill>
    <fill>
      <patternFill patternType="solid">
        <fgColor rgb="FFEAEDF2"/>
        <bgColor rgb="FFE8ECF1"/>
      </patternFill>
    </fill>
    <fill>
      <patternFill patternType="solid">
        <fgColor rgb="FFF5F5F5"/>
        <bgColor rgb="FFF2F2F2"/>
      </patternFill>
    </fill>
    <fill>
      <patternFill patternType="solid">
        <fgColor rgb="FFF1E4DB"/>
        <bgColor rgb="FFFCE4D6"/>
      </patternFill>
    </fill>
    <fill>
      <patternFill patternType="solid">
        <fgColor rgb="FFFFFF00"/>
        <bgColor rgb="FFFFF2CC"/>
      </patternFill>
    </fill>
    <fill>
      <patternFill patternType="solid">
        <fgColor rgb="FF1E2C44"/>
        <bgColor rgb="FF2D2D2D"/>
      </patternFill>
    </fill>
    <fill>
      <patternFill patternType="solid">
        <fgColor rgb="FFD6DCE4"/>
        <bgColor rgb="FFE0E0E0"/>
      </patternFill>
    </fill>
    <fill>
      <patternFill patternType="solid">
        <fgColor rgb="FFDCE6F1"/>
        <bgColor rgb="FFDDE3ED"/>
      </patternFill>
    </fill>
    <fill>
      <patternFill patternType="solid">
        <fgColor rgb="FFFCE4D6"/>
        <bgColor rgb="FFFBE9E0"/>
      </patternFill>
    </fill>
    <fill>
      <patternFill patternType="solid">
        <fgColor rgb="FF4A8B8C"/>
        <bgColor rgb="FF5E7B9B"/>
      </patternFill>
    </fill>
    <fill>
      <patternFill patternType="solid">
        <fgColor rgb="FF7B9464"/>
        <bgColor rgb="FF888888"/>
      </patternFill>
    </fill>
    <fill>
      <patternFill patternType="solid">
        <fgColor rgb="FFE2EFDA"/>
        <bgColor rgb="FFD4EDDA"/>
      </patternFill>
    </fill>
    <fill>
      <patternFill patternType="solid">
        <fgColor rgb="FF5E7B9B"/>
        <bgColor rgb="FF4A8B8C"/>
      </patternFill>
    </fill>
    <fill>
      <patternFill patternType="solid">
        <fgColor rgb="FFF2F2F2"/>
        <bgColor rgb="FFF5F5F5"/>
      </patternFill>
    </fill>
    <fill>
      <patternFill patternType="solid">
        <fgColor rgb="FF8EA3BE"/>
        <bgColor rgb="FF999999"/>
      </patternFill>
    </fill>
    <fill>
      <patternFill patternType="solid">
        <fgColor rgb="FFFDEBD0"/>
        <bgColor rgb="FFFBE9E0"/>
      </patternFill>
    </fill>
    <fill>
      <patternFill patternType="solid">
        <fgColor rgb="FF2E75B6"/>
        <bgColor rgb="FF4A8B8C"/>
      </patternFill>
    </fill>
    <fill>
      <patternFill patternType="solid">
        <fgColor rgb="FFD6E4F0"/>
        <bgColor rgb="FFDCE6F1"/>
      </patternFill>
    </fill>
    <fill>
      <patternFill patternType="solid">
        <fgColor rgb="FFFFF2CC"/>
        <bgColor rgb="FFFDEBD0"/>
      </patternFill>
    </fill>
    <fill>
      <patternFill patternType="solid">
        <fgColor rgb="FF1F3864"/>
        <bgColor rgb="FF17375E"/>
      </patternFill>
    </fill>
    <fill>
      <patternFill patternType="solid">
        <fgColor rgb="FF548235"/>
        <bgColor rgb="FF717F4B"/>
      </patternFill>
    </fill>
    <fill>
      <patternFill patternType="solid">
        <fgColor rgb="FF404040"/>
        <bgColor rgb="FF333333"/>
      </patternFill>
    </fill>
    <fill>
      <patternFill patternType="solid">
        <fgColor rgb="FF0B1833"/>
      </patternFill>
    </fill>
    <fill>
      <patternFill patternType="solid">
        <fgColor rgb="FFE2E7F0"/>
      </patternFill>
    </fill>
    <fill>
      <patternFill patternType="solid">
        <fgColor rgb="FFF5F5F5"/>
      </patternFill>
    </fill>
  </fills>
  <borders count="19">
    <border>
      <left/>
      <right/>
      <top/>
      <bottom/>
      <diagonal/>
    </border>
    <border>
      <left/>
      <right/>
      <top style="medium">
        <color rgb="FF2C3A51"/>
      </top>
      <bottom style="medium">
        <color rgb="FF2C3A51"/>
      </bottom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ck"/>
      <bottom/>
      <diagonal/>
    </border>
    <border>
      <left/>
      <right/>
      <top/>
      <bottom style="medium">
        <color rgb="FF2C3A5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medium"/>
      <diagonal/>
    </border>
    <border>
      <left/>
      <right/>
      <top/>
      <bottom style="thin">
        <color rgb="FFB4C6E7"/>
      </bottom>
      <diagonal/>
    </border>
    <border>
      <left/>
      <right/>
      <top style="thin"/>
      <bottom style="double"/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rgb="FF0B1833"/>
      </top>
      <bottom/>
      <diagonal/>
    </border>
    <border>
      <left/>
      <right/>
      <top style="thin">
        <color rgb="FFE0E0E0"/>
      </top>
      <bottom/>
      <diagonal/>
    </border>
    <border>
      <left/>
      <right style="thin">
        <color rgb="FFE0E0E0"/>
      </right>
      <top style="thin">
        <color rgb="FFE0E0E0"/>
      </top>
      <bottom/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62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7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1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24" fillId="3" borderId="6" applyAlignment="1" pivotButton="0" quotePrefix="0" xfId="0">
      <alignment horizontal="left" vertical="center"/>
    </xf>
    <xf numFmtId="0" fontId="24" fillId="3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left" vertical="center"/>
    </xf>
    <xf numFmtId="177" fontId="30" fillId="0" borderId="6" applyAlignment="1" pivotButton="0" quotePrefix="0" xfId="0">
      <alignment horizontal="right" vertical="center"/>
    </xf>
    <xf numFmtId="1" fontId="30" fillId="0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center" vertical="center"/>
    </xf>
    <xf numFmtId="10" fontId="30" fillId="0" borderId="6" applyAlignment="1" pivotButton="0" quotePrefix="0" xfId="0">
      <alignment horizontal="right" vertical="center"/>
    </xf>
    <xf numFmtId="0" fontId="30" fillId="13" borderId="6" applyAlignment="1" pivotButton="0" quotePrefix="0" xfId="0">
      <alignment horizontal="left" vertical="center"/>
    </xf>
    <xf numFmtId="177" fontId="30" fillId="13" borderId="6" applyAlignment="1" pivotButton="0" quotePrefix="0" xfId="0">
      <alignment horizontal="right" vertical="center"/>
    </xf>
    <xf numFmtId="1" fontId="30" fillId="13" borderId="6" applyAlignment="1" pivotButton="0" quotePrefix="0" xfId="0">
      <alignment horizontal="center" vertical="center"/>
    </xf>
    <xf numFmtId="0" fontId="30" fillId="13" borderId="6" applyAlignment="1" pivotButton="0" quotePrefix="0" xfId="0">
      <alignment horizontal="center" vertical="center"/>
    </xf>
    <xf numFmtId="10" fontId="30" fillId="13" borderId="6" applyAlignment="1" pivotButton="0" quotePrefix="0" xfId="0">
      <alignment horizontal="right" vertical="center"/>
    </xf>
    <xf numFmtId="0" fontId="30" fillId="0" borderId="0" applyAlignment="1" pivotButton="0" quotePrefix="0" xfId="0">
      <alignment horizontal="left" vertical="center"/>
    </xf>
    <xf numFmtId="177" fontId="30" fillId="0" borderId="0" applyAlignment="1" pivotButton="0" quotePrefix="0" xfId="0">
      <alignment horizontal="right" vertical="center"/>
    </xf>
    <xf numFmtId="1" fontId="30" fillId="0" borderId="0" applyAlignment="1" pivotButton="0" quotePrefix="0" xfId="0">
      <alignment horizontal="center" vertical="center"/>
    </xf>
    <xf numFmtId="0" fontId="30" fillId="0" borderId="0" applyAlignment="1" pivotButton="0" quotePrefix="0" xfId="0">
      <alignment horizontal="center" vertical="center"/>
    </xf>
    <xf numFmtId="10" fontId="30" fillId="0" borderId="0" applyAlignment="1" pivotButton="0" quotePrefix="0" xfId="0">
      <alignment horizontal="right" vertical="center"/>
    </xf>
    <xf numFmtId="0" fontId="4" fillId="11" borderId="6" applyAlignment="1" pivotButton="0" quotePrefix="0" xfId="0">
      <alignment horizontal="left" vertical="center"/>
    </xf>
    <xf numFmtId="0" fontId="4" fillId="11" borderId="6" applyAlignment="1" pivotButton="0" quotePrefix="0" xfId="0">
      <alignment horizontal="center" vertical="center"/>
    </xf>
    <xf numFmtId="177" fontId="4" fillId="11" borderId="6" applyAlignment="1" pivotButton="0" quotePrefix="0" xfId="0">
      <alignment horizontal="center" vertical="center"/>
    </xf>
    <xf numFmtId="1" fontId="4" fillId="11" borderId="6" applyAlignment="1" pivotButton="0" quotePrefix="0" xfId="0">
      <alignment horizontal="center" vertical="center"/>
    </xf>
    <xf numFmtId="10" fontId="4" fillId="11" borderId="6" applyAlignment="1" pivotButton="0" quotePrefix="0" xfId="0">
      <alignment horizontal="center" vertical="center"/>
    </xf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13" fillId="0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0" fillId="0" borderId="0" pivotButton="0" quotePrefix="0" xfId="0"/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49" fillId="0" borderId="0" pivotButton="0" quotePrefix="0" xfId="0"/>
    <xf numFmtId="0" fontId="50" fillId="0" borderId="0" pivotButton="0" quotePrefix="0" xfId="0"/>
    <xf numFmtId="0" fontId="53" fillId="0" borderId="0" pivotButton="0" quotePrefix="0" xfId="0"/>
    <xf numFmtId="0" fontId="51" fillId="0" borderId="0" pivotButton="0" quotePrefix="0" xfId="0"/>
    <xf numFmtId="0" fontId="52" fillId="0" borderId="0" pivotButton="0" quotePrefix="0" xfId="0"/>
    <xf numFmtId="177" fontId="52" fillId="0" borderId="0" pivotButton="0" quotePrefix="0" xfId="0"/>
    <xf numFmtId="0" fontId="54" fillId="33" borderId="18" applyAlignment="1" pivotButton="0" quotePrefix="0" xfId="0">
      <alignment horizontal="center" vertical="center" wrapText="1"/>
    </xf>
    <xf numFmtId="0" fontId="55" fillId="34" borderId="18" pivotButton="0" quotePrefix="0" xfId="0"/>
    <xf numFmtId="0" fontId="0" fillId="34" borderId="18" pivotButton="0" quotePrefix="0" xfId="0"/>
    <xf numFmtId="0" fontId="51" fillId="0" borderId="18" pivotButton="0" quotePrefix="0" xfId="0"/>
    <xf numFmtId="177" fontId="51" fillId="0" borderId="18" pivotButton="0" quotePrefix="0" xfId="0"/>
    <xf numFmtId="0" fontId="51" fillId="0" borderId="18" applyAlignment="1" pivotButton="0" quotePrefix="0" xfId="0">
      <alignment horizontal="center"/>
    </xf>
    <xf numFmtId="9" fontId="51" fillId="0" borderId="18" pivotButton="0" quotePrefix="0" xfId="0"/>
    <xf numFmtId="0" fontId="51" fillId="35" borderId="18" pivotButton="0" quotePrefix="0" xfId="0"/>
    <xf numFmtId="177" fontId="51" fillId="35" borderId="18" pivotButton="0" quotePrefix="0" xfId="0"/>
    <xf numFmtId="0" fontId="51" fillId="35" borderId="18" applyAlignment="1" pivotButton="0" quotePrefix="0" xfId="0">
      <alignment horizontal="center"/>
    </xf>
    <xf numFmtId="9" fontId="51" fillId="35" borderId="18" pivotButton="0" quotePrefix="0" xfId="0"/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0" fontId="5" fillId="3" borderId="0" applyAlignment="1" pivotButton="0" quotePrefix="0" xfId="0">
      <alignment horizontal="center" vertical="center" wrapText="1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56" fillId="0" borderId="0" pivotButton="0" quotePrefix="0" xfId="0"/>
    <xf numFmtId="2" fontId="52" fillId="0" borderId="18" pivotButton="0" quotePrefix="0" xfId="0"/>
    <xf numFmtId="177" fontId="52" fillId="0" borderId="18" pivotButton="0" quotePrefix="0" xfId="0"/>
    <xf numFmtId="9" fontId="52" fillId="0" borderId="18" pivotButton="0" quotePrefix="0" xfId="0"/>
    <xf numFmtId="17" fontId="51" fillId="0" borderId="0" pivotButton="0" quotePrefix="0" xfId="0"/>
    <xf numFmtId="2" fontId="51" fillId="0" borderId="0" pivotButton="0" quotePrefix="0" xfId="0"/>
    <xf numFmtId="186" fontId="51" fillId="0" borderId="0" pivotButton="0" quotePrefix="0" xfId="0"/>
    <xf numFmtId="177" fontId="51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5">
    <dxf>
      <font>
        <color rgb="FFFF0000"/>
      </font>
    </dxf>
    <dxf>
      <fill>
        <patternFill>
          <bgColor rgb="FFD4EDDA"/>
        </patternFill>
      </fill>
    </dxf>
    <dxf>
      <fill>
        <patternFill>
          <bgColor rgb="FFF8D7DA"/>
        </patternFill>
      </fill>
    </dxf>
    <dxf>
      <fill>
        <patternFill>
          <bgColor rgb="FFC4581A"/>
        </patternFill>
      </fill>
    </dxf>
    <dxf>
      <fill>
        <patternFill>
          <bgColor rgb="FF5E7B9B"/>
        </patternFill>
      </fill>
    </dxf>
  </dxfs>
  <colors>
    <indexedColors>
      <rgbColor rgb="FF000000"/>
      <rgbColor rgb="FFFFFFFF"/>
      <rgbColor rgb="FFFF0000"/>
      <rgbColor rgb="FFF2F2F2"/>
      <rgbColor rgb="FF0000FF"/>
      <rgbColor rgb="FFFFFF00"/>
      <rgbColor rgb="FFF8FAFC"/>
      <rgbColor rgb="FFE3E8F0"/>
      <rgbColor rgb="FF800000"/>
      <rgbColor rgb="FF008000"/>
      <rgbColor rgb="FF1E2C44"/>
      <rgbColor rgb="FF717F4B"/>
      <rgbColor rgb="FF800080"/>
      <rgbColor rgb="FF475569"/>
      <rgbColor rgb="FFBFC7DA"/>
      <rgbColor rgb="FF888888"/>
      <rgbColor rgb="FF8EA3BE"/>
      <rgbColor rgb="FF666666"/>
      <rgbColor rgb="FFFFF2CC"/>
      <rgbColor rgb="FFE2EFDA"/>
      <rgbColor rgb="FF660066"/>
      <rgbColor rgb="FFDDE3ED"/>
      <rgbColor rgb="FFF5F5F5"/>
      <rgbColor rgb="FFB4C6E7"/>
      <rgbColor rgb="FF2C3A51"/>
      <rgbColor rgb="FFFF00FF"/>
      <rgbColor rgb="FFFBE9E0"/>
      <rgbColor rgb="FFE8ECF1"/>
      <rgbColor rgb="FF800080"/>
      <rgbColor rgb="FF800000"/>
      <rgbColor rgb="FF548235"/>
      <rgbColor rgb="FF0000FF"/>
      <rgbColor rgb="FFEAEDF2"/>
      <rgbColor rgb="FFDCE6F1"/>
      <rgbColor rgb="FFD4EDDA"/>
      <rgbColor rgb="FFFDEBD0"/>
      <rgbColor rgb="FFD6DCE4"/>
      <rgbColor rgb="FFFCE4D6"/>
      <rgbColor rgb="FFE0E0E0"/>
      <rgbColor rgb="FFF8D7DA"/>
      <rgbColor rgb="FF2E75B6"/>
      <rgbColor rgb="FFD6E4F0"/>
      <rgbColor rgb="FF7B9464"/>
      <rgbColor rgb="FFF1E4DB"/>
      <rgbColor rgb="FFE2E7F0"/>
      <rgbColor rgb="FFC4581A"/>
      <rgbColor rgb="FF5E7B9B"/>
      <rgbColor rgb="FF999999"/>
      <rgbColor rgb="FF17375E"/>
      <rgbColor rgb="FF4A8B8C"/>
      <rgbColor rgb="FF0B1833"/>
      <rgbColor rgb="FF2D2D2D"/>
      <rgbColor rgb="FF404040"/>
      <rgbColor rgb="FFEF4444"/>
      <rgbColor rgb="FF1F3864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comments/comment1.xml><?xml version="1.0" encoding="utf-8"?>
<comments xmlns="http://schemas.openxmlformats.org/spreadsheetml/2006/main">
  <authors>
    <author>Unknown Author</author>
  </authors>
  <commentList>
    <comment ref="A118" authorId="0" shapeId="0">
      <text>
        <t>Bridge from entity ledger net income (Actuals tab, ties to standalone P&amp;Ls) to the Model consolidated net income. Model books interest, tax, D&amp;A and bonding on its own schedules. = Model consolidated NI minus (ledger GC NI + ledger Six Peak NI).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VX380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1" ySplit="6" topLeftCell="B251" activePane="bottomRight" state="frozen"/>
      <selection pane="topLeft" activeCell="A1" activeCellId="0" sqref="A1"/>
      <selection pane="topRight" activeCell="B1" activeCellId="0" sqref="B1"/>
      <selection pane="bottomLeft" activeCell="A251" activeCellId="0" sqref="A251"/>
      <selection pane="bottomRight" activeCell="F283" activeCellId="0" sqref="F283"/>
    </sheetView>
  </sheetViews>
  <sheetFormatPr baseColWidth="8" defaultColWidth="8.71875" defaultRowHeight="15" zeroHeight="0" outlineLevelRow="1"/>
  <cols>
    <col width="83.56999999999999" customWidth="1" style="380" min="1" max="1"/>
    <col width="14" customWidth="1" style="380" min="2" max="98"/>
    <col width="13" customWidth="1" style="380" min="99" max="109"/>
    <col width="11.57" customWidth="1" style="380" min="16384" max="16384"/>
  </cols>
  <sheetData>
    <row r="1" ht="17.25" customFormat="1" customHeight="1" s="380">
      <c r="A1" s="381" t="inlineStr">
        <is>
          <t>Six Peak Capital - Financial Projections</t>
        </is>
      </c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  <c r="CI1" s="382" t="n"/>
      <c r="CJ1" s="382" t="n"/>
      <c r="CK1" s="382" t="n"/>
      <c r="CL1" s="382" t="n"/>
      <c r="CM1" s="382" t="n"/>
      <c r="CN1" s="382" t="n"/>
      <c r="CO1" s="382" t="n"/>
      <c r="CP1" s="382" t="n"/>
      <c r="CQ1" s="382" t="n"/>
      <c r="CR1" s="382" t="n"/>
      <c r="CS1" s="382" t="n"/>
      <c r="CT1" s="382" t="n"/>
      <c r="CU1" s="382" t="n"/>
      <c r="CV1" s="382" t="n"/>
      <c r="CW1" s="382" t="n"/>
      <c r="CX1" s="382" t="n"/>
      <c r="CY1" s="382" t="n"/>
      <c r="CZ1" s="382" t="n"/>
      <c r="DA1" s="382" t="n"/>
      <c r="DB1" s="382" t="n"/>
      <c r="DC1" s="382" t="n"/>
      <c r="DD1" s="382" t="n"/>
      <c r="DE1" s="382" t="n"/>
    </row>
    <row r="2" ht="15" customFormat="1" customHeight="1" s="380">
      <c r="A2" s="383" t="n"/>
      <c r="B2" s="384" t="n">
        <v>46023</v>
      </c>
      <c r="C2" s="384" t="n">
        <v>46054</v>
      </c>
      <c r="D2" s="384" t="n">
        <v>46082</v>
      </c>
      <c r="E2" s="384" t="n">
        <v>46113</v>
      </c>
      <c r="F2" s="384" t="n">
        <v>46143</v>
      </c>
      <c r="G2" s="384" t="n">
        <v>46174</v>
      </c>
      <c r="H2" s="384" t="n">
        <v>46204</v>
      </c>
      <c r="I2" s="384" t="n">
        <v>46235</v>
      </c>
      <c r="J2" s="384" t="n">
        <v>46266</v>
      </c>
      <c r="K2" s="384" t="n">
        <v>46296</v>
      </c>
      <c r="L2" s="384" t="n">
        <v>46327</v>
      </c>
      <c r="M2" s="384" t="n">
        <v>46357</v>
      </c>
      <c r="N2" s="384" t="n">
        <v>46388</v>
      </c>
      <c r="O2" s="384" t="n">
        <v>46419</v>
      </c>
      <c r="P2" s="384" t="n">
        <v>46447</v>
      </c>
      <c r="Q2" s="384" t="n">
        <v>46478</v>
      </c>
      <c r="R2" s="384" t="n">
        <v>46508</v>
      </c>
      <c r="S2" s="384" t="n">
        <v>46539</v>
      </c>
      <c r="T2" s="384" t="n">
        <v>46569</v>
      </c>
      <c r="U2" s="384" t="n">
        <v>46600</v>
      </c>
      <c r="V2" s="384" t="n">
        <v>46631</v>
      </c>
      <c r="W2" s="384" t="n">
        <v>46661</v>
      </c>
      <c r="X2" s="384" t="n">
        <v>46692</v>
      </c>
      <c r="Y2" s="384" t="n">
        <v>46722</v>
      </c>
      <c r="Z2" s="384" t="n">
        <v>46753</v>
      </c>
      <c r="AA2" s="384" t="n">
        <v>46784</v>
      </c>
      <c r="AB2" s="384" t="n">
        <v>46813</v>
      </c>
      <c r="AC2" s="384" t="n">
        <v>46844</v>
      </c>
      <c r="AD2" s="384" t="n">
        <v>46874</v>
      </c>
      <c r="AE2" s="384" t="n">
        <v>46905</v>
      </c>
      <c r="AF2" s="384" t="n">
        <v>46935</v>
      </c>
      <c r="AG2" s="384" t="n">
        <v>46966</v>
      </c>
      <c r="AH2" s="384" t="n">
        <v>46997</v>
      </c>
      <c r="AI2" s="384" t="n">
        <v>47027</v>
      </c>
      <c r="AJ2" s="384" t="n">
        <v>47058</v>
      </c>
      <c r="AK2" s="384" t="n">
        <v>47088</v>
      </c>
      <c r="AL2" s="384" t="n">
        <v>47119</v>
      </c>
      <c r="AM2" s="384" t="n">
        <v>47150</v>
      </c>
      <c r="AN2" s="384" t="n">
        <v>47178</v>
      </c>
      <c r="AO2" s="384" t="n">
        <v>47209</v>
      </c>
      <c r="AP2" s="384" t="n">
        <v>47239</v>
      </c>
      <c r="AQ2" s="384" t="n">
        <v>47270</v>
      </c>
      <c r="AR2" s="384" t="n">
        <v>47300</v>
      </c>
      <c r="AS2" s="384" t="n">
        <v>47331</v>
      </c>
      <c r="AT2" s="384" t="n">
        <v>47362</v>
      </c>
      <c r="AU2" s="384" t="n">
        <v>47392</v>
      </c>
      <c r="AV2" s="384" t="n">
        <v>47423</v>
      </c>
      <c r="AW2" s="384" t="n">
        <v>47453</v>
      </c>
      <c r="AX2" s="384" t="n">
        <v>47484</v>
      </c>
      <c r="AY2" s="384" t="n">
        <v>47515</v>
      </c>
      <c r="AZ2" s="384" t="n">
        <v>47543</v>
      </c>
      <c r="BA2" s="384" t="n">
        <v>47574</v>
      </c>
      <c r="BB2" s="384" t="n">
        <v>47604</v>
      </c>
      <c r="BC2" s="384" t="n">
        <v>47635</v>
      </c>
      <c r="BD2" s="384" t="n">
        <v>47665</v>
      </c>
      <c r="BE2" s="384" t="n">
        <v>47696</v>
      </c>
      <c r="BF2" s="384" t="n">
        <v>47727</v>
      </c>
      <c r="BG2" s="384" t="n">
        <v>47757</v>
      </c>
      <c r="BH2" s="384" t="n">
        <v>47788</v>
      </c>
      <c r="BI2" s="384" t="n">
        <v>47818</v>
      </c>
      <c r="BJ2" s="384" t="n">
        <v>47849</v>
      </c>
      <c r="BK2" s="384" t="n">
        <v>47880</v>
      </c>
      <c r="BL2" s="384" t="n">
        <v>47908</v>
      </c>
      <c r="BM2" s="384" t="n">
        <v>47939</v>
      </c>
      <c r="BN2" s="384" t="n">
        <v>47969</v>
      </c>
      <c r="BO2" s="384" t="n">
        <v>48000</v>
      </c>
      <c r="BP2" s="384" t="n">
        <v>48030</v>
      </c>
      <c r="BQ2" s="384" t="n">
        <v>48061</v>
      </c>
      <c r="BR2" s="384" t="n">
        <v>48092</v>
      </c>
      <c r="BS2" s="384" t="n">
        <v>48122</v>
      </c>
      <c r="BT2" s="384" t="n">
        <v>48153</v>
      </c>
      <c r="BU2" s="384" t="n">
        <v>48183</v>
      </c>
      <c r="BV2" s="384" t="n">
        <v>48214</v>
      </c>
      <c r="BW2" s="384" t="n">
        <v>48245</v>
      </c>
      <c r="BX2" s="384" t="n">
        <v>48274</v>
      </c>
      <c r="BY2" s="384" t="n">
        <v>48305</v>
      </c>
      <c r="BZ2" s="384" t="n">
        <v>48335</v>
      </c>
      <c r="CA2" s="384" t="n">
        <v>48366</v>
      </c>
      <c r="CB2" s="384" t="n">
        <v>48396</v>
      </c>
      <c r="CC2" s="384" t="n">
        <v>48427</v>
      </c>
      <c r="CD2" s="384" t="n">
        <v>48458</v>
      </c>
      <c r="CE2" s="384" t="n">
        <v>48488</v>
      </c>
      <c r="CF2" s="384" t="n">
        <v>48519</v>
      </c>
      <c r="CG2" s="384" t="n">
        <v>48549</v>
      </c>
      <c r="CH2" s="384" t="n">
        <v>48580</v>
      </c>
      <c r="CI2" s="384" t="n">
        <v>48611</v>
      </c>
      <c r="CJ2" s="384" t="n">
        <v>48639</v>
      </c>
      <c r="CK2" s="384" t="n">
        <v>48670</v>
      </c>
      <c r="CL2" s="384" t="n">
        <v>48700</v>
      </c>
      <c r="CM2" s="384" t="n">
        <v>48731</v>
      </c>
      <c r="CN2" s="384" t="n">
        <v>48761</v>
      </c>
      <c r="CO2" s="384" t="n">
        <v>48792</v>
      </c>
      <c r="CP2" s="384" t="n">
        <v>48823</v>
      </c>
      <c r="CQ2" s="384" t="n">
        <v>48853</v>
      </c>
      <c r="CR2" s="384" t="n">
        <v>48884</v>
      </c>
      <c r="CS2" s="384" t="n">
        <v>48914</v>
      </c>
      <c r="CT2" s="384" t="n">
        <v>48945</v>
      </c>
      <c r="CU2" s="384" t="n">
        <v>48976</v>
      </c>
      <c r="CV2" s="384" t="n">
        <v>49004</v>
      </c>
      <c r="CW2" s="384" t="n">
        <v>49035</v>
      </c>
      <c r="CX2" s="384" t="n">
        <v>49065</v>
      </c>
      <c r="CY2" s="384" t="n">
        <v>49096</v>
      </c>
      <c r="CZ2" s="384" t="n">
        <v>49126</v>
      </c>
      <c r="DA2" s="384" t="n">
        <v>49157</v>
      </c>
      <c r="DB2" s="384" t="n">
        <v>49188</v>
      </c>
      <c r="DC2" s="384" t="n">
        <v>49218</v>
      </c>
      <c r="DD2" s="384" t="n">
        <v>49249</v>
      </c>
      <c r="DE2" s="384" t="n">
        <v>49279</v>
      </c>
    </row>
    <row r="3" ht="15" customFormat="1" customHeight="1" s="385">
      <c r="A3" s="386" t="inlineStr">
        <is>
          <t>Month #</t>
        </is>
      </c>
      <c r="B3" s="387" t="n">
        <v>-2</v>
      </c>
      <c r="C3" s="387" t="n">
        <v>-1</v>
      </c>
      <c r="D3" s="387" t="n">
        <v>0</v>
      </c>
      <c r="E3" s="387" t="n">
        <v>1</v>
      </c>
      <c r="F3" s="387" t="n">
        <v>2</v>
      </c>
      <c r="G3" s="387" t="n">
        <v>3</v>
      </c>
      <c r="H3" s="387" t="n">
        <v>4</v>
      </c>
      <c r="I3" s="387" t="n">
        <v>5</v>
      </c>
      <c r="J3" s="387" t="n">
        <v>6</v>
      </c>
      <c r="K3" s="387" t="n">
        <v>7</v>
      </c>
      <c r="L3" s="387" t="n">
        <v>8</v>
      </c>
      <c r="M3" s="387" t="n">
        <v>9</v>
      </c>
      <c r="N3" s="387" t="n">
        <v>10</v>
      </c>
      <c r="O3" s="387" t="n">
        <v>11</v>
      </c>
      <c r="P3" s="387" t="n">
        <v>12</v>
      </c>
      <c r="Q3" s="387" t="n">
        <v>13</v>
      </c>
      <c r="R3" s="387" t="n">
        <v>14</v>
      </c>
      <c r="S3" s="387" t="n">
        <v>15</v>
      </c>
      <c r="T3" s="387" t="n">
        <v>16</v>
      </c>
      <c r="U3" s="387" t="n">
        <v>17</v>
      </c>
      <c r="V3" s="387" t="n">
        <v>18</v>
      </c>
      <c r="W3" s="387" t="n">
        <v>19</v>
      </c>
      <c r="X3" s="387" t="n">
        <v>20</v>
      </c>
      <c r="Y3" s="387" t="n">
        <v>21</v>
      </c>
      <c r="Z3" s="387" t="n">
        <v>22</v>
      </c>
      <c r="AA3" s="387" t="n">
        <v>23</v>
      </c>
      <c r="AB3" s="387" t="n">
        <v>24</v>
      </c>
      <c r="AC3" s="387" t="n">
        <v>25</v>
      </c>
      <c r="AD3" s="387" t="n">
        <v>26</v>
      </c>
      <c r="AE3" s="387" t="n">
        <v>27</v>
      </c>
      <c r="AF3" s="387" t="n">
        <v>28</v>
      </c>
      <c r="AG3" s="387" t="n">
        <v>29</v>
      </c>
      <c r="AH3" s="387" t="n">
        <v>30</v>
      </c>
      <c r="AI3" s="387" t="n">
        <v>31</v>
      </c>
      <c r="AJ3" s="387" t="n">
        <v>32</v>
      </c>
      <c r="AK3" s="387" t="n">
        <v>33</v>
      </c>
      <c r="AL3" s="387" t="n">
        <v>34</v>
      </c>
      <c r="AM3" s="387" t="n">
        <v>35</v>
      </c>
      <c r="AN3" s="387" t="n">
        <v>36</v>
      </c>
      <c r="AO3" s="387" t="n">
        <v>37</v>
      </c>
      <c r="AP3" s="387" t="n">
        <v>38</v>
      </c>
      <c r="AQ3" s="387" t="n">
        <v>39</v>
      </c>
      <c r="AR3" s="387" t="n">
        <v>40</v>
      </c>
      <c r="AS3" s="387" t="n">
        <v>41</v>
      </c>
      <c r="AT3" s="387" t="n">
        <v>42</v>
      </c>
      <c r="AU3" s="387" t="n">
        <v>43</v>
      </c>
      <c r="AV3" s="387" t="n">
        <v>44</v>
      </c>
      <c r="AW3" s="387" t="n">
        <v>45</v>
      </c>
      <c r="AX3" s="387" t="n">
        <v>46</v>
      </c>
      <c r="AY3" s="387" t="n">
        <v>47</v>
      </c>
      <c r="AZ3" s="387" t="n">
        <v>48</v>
      </c>
      <c r="BA3" s="387" t="n">
        <v>49</v>
      </c>
      <c r="BB3" s="387" t="n">
        <v>50</v>
      </c>
      <c r="BC3" s="387" t="n">
        <v>51</v>
      </c>
      <c r="BD3" s="387" t="n">
        <v>52</v>
      </c>
      <c r="BE3" s="387" t="n">
        <v>53</v>
      </c>
      <c r="BF3" s="387" t="n">
        <v>54</v>
      </c>
      <c r="BG3" s="387" t="n">
        <v>55</v>
      </c>
      <c r="BH3" s="387" t="n">
        <v>56</v>
      </c>
      <c r="BI3" s="387" t="n">
        <v>57</v>
      </c>
      <c r="BJ3" s="387" t="n">
        <v>58</v>
      </c>
      <c r="BK3" s="387" t="n">
        <v>59</v>
      </c>
      <c r="BL3" s="387" t="n">
        <v>60</v>
      </c>
      <c r="BM3" s="387" t="n">
        <v>61</v>
      </c>
      <c r="BN3" s="387" t="n">
        <v>62</v>
      </c>
      <c r="BO3" s="387" t="n">
        <v>63</v>
      </c>
      <c r="BP3" s="387" t="n">
        <v>64</v>
      </c>
      <c r="BQ3" s="387" t="n">
        <v>65</v>
      </c>
      <c r="BR3" s="387" t="n">
        <v>66</v>
      </c>
      <c r="BS3" s="387" t="n">
        <v>67</v>
      </c>
      <c r="BT3" s="387" t="n">
        <v>68</v>
      </c>
      <c r="BU3" s="387" t="n">
        <v>69</v>
      </c>
      <c r="BV3" s="387" t="n">
        <v>70</v>
      </c>
      <c r="BW3" s="387" t="n">
        <v>71</v>
      </c>
      <c r="BX3" s="387" t="n">
        <v>72</v>
      </c>
      <c r="BY3" s="387" t="n">
        <v>73</v>
      </c>
      <c r="BZ3" s="387" t="n">
        <v>74</v>
      </c>
      <c r="CA3" s="387" t="n">
        <v>75</v>
      </c>
      <c r="CB3" s="387" t="n">
        <v>76</v>
      </c>
      <c r="CC3" s="387" t="n">
        <v>77</v>
      </c>
      <c r="CD3" s="387" t="n">
        <v>78</v>
      </c>
      <c r="CE3" s="387" t="n">
        <v>79</v>
      </c>
      <c r="CF3" s="387" t="n">
        <v>80</v>
      </c>
      <c r="CG3" s="387" t="n">
        <v>81</v>
      </c>
      <c r="CH3" s="387" t="n">
        <v>82</v>
      </c>
      <c r="CI3" s="387" t="n">
        <v>83</v>
      </c>
      <c r="CJ3" s="387" t="n">
        <v>84</v>
      </c>
      <c r="CK3" s="387" t="n">
        <v>85</v>
      </c>
      <c r="CL3" s="387" t="n">
        <v>86</v>
      </c>
      <c r="CM3" s="387" t="n">
        <v>87</v>
      </c>
      <c r="CN3" s="387" t="n">
        <v>88</v>
      </c>
      <c r="CO3" s="387" t="n">
        <v>89</v>
      </c>
      <c r="CP3" s="387" t="n">
        <v>90</v>
      </c>
      <c r="CQ3" s="387" t="n">
        <v>91</v>
      </c>
      <c r="CR3" s="387" t="n">
        <v>92</v>
      </c>
      <c r="CS3" s="387" t="n">
        <v>93</v>
      </c>
      <c r="CT3" s="387" t="n">
        <v>94</v>
      </c>
      <c r="CU3" s="387" t="n">
        <v>95</v>
      </c>
      <c r="CV3" s="387" t="n">
        <v>96</v>
      </c>
      <c r="CW3" s="387" t="n">
        <v>97</v>
      </c>
      <c r="CX3" s="387" t="n">
        <v>98</v>
      </c>
      <c r="CY3" s="387" t="n">
        <v>99</v>
      </c>
      <c r="CZ3" s="387" t="n">
        <v>100</v>
      </c>
      <c r="DA3" s="387" t="n">
        <v>101</v>
      </c>
      <c r="DB3" s="387" t="n">
        <v>102</v>
      </c>
      <c r="DC3" s="387" t="n">
        <v>103</v>
      </c>
      <c r="DD3" s="387" t="n">
        <v>104</v>
      </c>
      <c r="DE3" s="387" t="n">
        <v>105</v>
      </c>
      <c r="DF3" s="388" t="n"/>
      <c r="DG3" s="388" t="n"/>
      <c r="DH3" s="388" t="n"/>
      <c r="DI3" s="388" t="n"/>
      <c r="DJ3" s="388" t="n"/>
      <c r="DK3" s="388" t="n"/>
      <c r="DL3" s="388" t="n"/>
      <c r="DM3" s="388" t="n"/>
      <c r="DN3" s="388" t="n"/>
      <c r="DO3" s="388" t="n"/>
      <c r="DP3" s="388" t="n"/>
      <c r="DQ3" s="388" t="n"/>
      <c r="DR3" s="388" t="n"/>
      <c r="DS3" s="388" t="n"/>
      <c r="DT3" s="388" t="n"/>
      <c r="DU3" s="388" t="n"/>
      <c r="DV3" s="388" t="n"/>
      <c r="DW3" s="388" t="n"/>
      <c r="DX3" s="388" t="n"/>
      <c r="DY3" s="388" t="n"/>
      <c r="DZ3" s="388" t="n"/>
      <c r="EA3" s="388" t="n"/>
      <c r="EB3" s="388" t="n"/>
      <c r="EC3" s="388" t="n"/>
      <c r="ED3" s="388" t="n"/>
      <c r="EE3" s="388" t="n"/>
      <c r="EF3" s="388" t="n"/>
      <c r="EG3" s="388" t="n"/>
      <c r="EH3" s="388" t="n"/>
      <c r="EI3" s="388" t="n"/>
      <c r="EJ3" s="388" t="n"/>
      <c r="EK3" s="388" t="n"/>
      <c r="EL3" s="388" t="n"/>
      <c r="EM3" s="388" t="n"/>
      <c r="EN3" s="388" t="n"/>
      <c r="EO3" s="388" t="n"/>
      <c r="EP3" s="388" t="n"/>
      <c r="EQ3" s="388" t="n"/>
      <c r="ER3" s="388" t="n"/>
      <c r="ES3" s="388" t="n"/>
      <c r="ET3" s="388" t="n"/>
      <c r="EU3" s="388" t="n"/>
      <c r="EV3" s="388" t="n"/>
      <c r="EW3" s="388" t="n"/>
      <c r="EX3" s="388" t="n"/>
      <c r="EY3" s="388" t="n"/>
      <c r="EZ3" s="388" t="n"/>
      <c r="FA3" s="388" t="n"/>
      <c r="FB3" s="388" t="n"/>
      <c r="FC3" s="388" t="n"/>
      <c r="FD3" s="388" t="n"/>
      <c r="FE3" s="388" t="n"/>
      <c r="FF3" s="388" t="n"/>
      <c r="FG3" s="388" t="n"/>
      <c r="FH3" s="388" t="n"/>
      <c r="FI3" s="388" t="n"/>
      <c r="FJ3" s="388" t="n"/>
      <c r="FK3" s="388" t="n"/>
      <c r="FL3" s="388" t="n"/>
      <c r="FM3" s="388" t="n"/>
      <c r="FN3" s="388" t="n"/>
      <c r="FO3" s="388" t="n"/>
      <c r="FP3" s="388" t="n"/>
      <c r="FQ3" s="388" t="n"/>
      <c r="FR3" s="388" t="n"/>
      <c r="FS3" s="388" t="n"/>
      <c r="FT3" s="388" t="n"/>
      <c r="FU3" s="388" t="n"/>
      <c r="FV3" s="388" t="n"/>
      <c r="FW3" s="388" t="n"/>
      <c r="FX3" s="388" t="n"/>
      <c r="FY3" s="388" t="n"/>
      <c r="FZ3" s="388" t="n"/>
      <c r="GA3" s="388" t="n"/>
      <c r="GB3" s="388" t="n"/>
      <c r="GC3" s="388" t="n"/>
      <c r="GD3" s="388" t="n"/>
      <c r="GE3" s="388" t="n"/>
      <c r="GF3" s="388" t="n"/>
      <c r="GG3" s="388" t="n"/>
      <c r="GH3" s="388" t="n"/>
      <c r="GI3" s="388" t="n"/>
      <c r="GJ3" s="388" t="n"/>
      <c r="GK3" s="388" t="n"/>
      <c r="GL3" s="388" t="n"/>
      <c r="GM3" s="388" t="n"/>
      <c r="GN3" s="388" t="n"/>
      <c r="GO3" s="388" t="n"/>
      <c r="GP3" s="388" t="n"/>
      <c r="GQ3" s="388" t="n"/>
      <c r="GR3" s="388" t="n"/>
      <c r="GS3" s="388" t="n"/>
      <c r="GT3" s="388" t="n"/>
      <c r="GU3" s="388" t="n"/>
      <c r="GV3" s="388" t="n"/>
      <c r="GW3" s="388" t="n"/>
      <c r="GX3" s="388" t="n"/>
      <c r="GY3" s="388" t="n"/>
      <c r="GZ3" s="388" t="n"/>
      <c r="HA3" s="388" t="n"/>
      <c r="HB3" s="388" t="n"/>
      <c r="HC3" s="388" t="n"/>
      <c r="HD3" s="388" t="n"/>
      <c r="HE3" s="388" t="n"/>
      <c r="HF3" s="388" t="n"/>
      <c r="HG3" s="388" t="n"/>
      <c r="HH3" s="388" t="n"/>
      <c r="HI3" s="388" t="n"/>
      <c r="HJ3" s="388" t="n"/>
      <c r="HK3" s="388" t="n"/>
      <c r="HL3" s="388" t="n"/>
      <c r="HM3" s="388" t="n"/>
      <c r="HN3" s="388" t="n"/>
      <c r="HO3" s="388" t="n"/>
      <c r="HP3" s="388" t="n"/>
      <c r="HQ3" s="388" t="n"/>
      <c r="HR3" s="388" t="n"/>
      <c r="HS3" s="388" t="n"/>
      <c r="HT3" s="388" t="n"/>
      <c r="HU3" s="388" t="n"/>
      <c r="HV3" s="388" t="n"/>
      <c r="HW3" s="388" t="n"/>
      <c r="HX3" s="388" t="n"/>
      <c r="HY3" s="388" t="n"/>
      <c r="HZ3" s="388" t="n"/>
      <c r="IA3" s="388" t="n"/>
      <c r="IB3" s="388" t="n"/>
      <c r="IC3" s="388" t="n"/>
      <c r="ID3" s="388" t="n"/>
      <c r="IE3" s="388" t="n"/>
      <c r="IF3" s="388" t="n"/>
      <c r="IG3" s="388" t="n"/>
      <c r="IH3" s="388" t="n"/>
      <c r="II3" s="388" t="n"/>
      <c r="IJ3" s="388" t="n"/>
      <c r="IK3" s="388" t="n"/>
      <c r="IL3" s="388" t="n"/>
      <c r="IM3" s="388" t="n"/>
      <c r="IN3" s="388" t="n"/>
      <c r="IO3" s="388" t="n"/>
      <c r="IP3" s="388" t="n"/>
      <c r="IQ3" s="388" t="n"/>
      <c r="IR3" s="388" t="n"/>
      <c r="IS3" s="388" t="n"/>
      <c r="IT3" s="388" t="n"/>
      <c r="IU3" s="388" t="n"/>
      <c r="IV3" s="388" t="n"/>
      <c r="IW3" s="388" t="n"/>
      <c r="IX3" s="388" t="n"/>
      <c r="IY3" s="388" t="n"/>
      <c r="IZ3" s="388" t="n"/>
      <c r="JA3" s="388" t="n"/>
      <c r="JB3" s="388" t="n"/>
      <c r="JC3" s="388" t="n"/>
      <c r="JD3" s="388" t="n"/>
      <c r="JE3" s="388" t="n"/>
      <c r="JF3" s="388" t="n"/>
      <c r="JG3" s="388" t="n"/>
      <c r="JH3" s="388" t="n"/>
      <c r="JI3" s="388" t="n"/>
      <c r="JJ3" s="388" t="n"/>
      <c r="JK3" s="388" t="n"/>
      <c r="JL3" s="388" t="n"/>
      <c r="JM3" s="388" t="n"/>
      <c r="JN3" s="388" t="n"/>
      <c r="JO3" s="388" t="n"/>
      <c r="JP3" s="388" t="n"/>
      <c r="JQ3" s="388" t="n"/>
      <c r="JR3" s="388" t="n"/>
      <c r="JS3" s="388" t="n"/>
      <c r="JT3" s="388" t="n"/>
      <c r="JU3" s="388" t="n"/>
      <c r="JV3" s="388" t="n"/>
      <c r="JW3" s="388" t="n"/>
      <c r="JX3" s="388" t="n"/>
      <c r="JY3" s="388" t="n"/>
      <c r="JZ3" s="388" t="n"/>
      <c r="KA3" s="388" t="n"/>
      <c r="KB3" s="388" t="n"/>
      <c r="KC3" s="388" t="n"/>
      <c r="KD3" s="388" t="n"/>
      <c r="KE3" s="388" t="n"/>
      <c r="KF3" s="388" t="n"/>
      <c r="KG3" s="388" t="n"/>
      <c r="KH3" s="388" t="n"/>
      <c r="KI3" s="388" t="n"/>
      <c r="KJ3" s="388" t="n"/>
      <c r="KK3" s="388" t="n"/>
      <c r="KL3" s="388" t="n"/>
      <c r="KM3" s="388" t="n"/>
      <c r="KN3" s="388" t="n"/>
      <c r="KO3" s="388" t="n"/>
      <c r="KP3" s="388" t="n"/>
      <c r="KQ3" s="388" t="n"/>
      <c r="KR3" s="388" t="n"/>
      <c r="KS3" s="388" t="n"/>
      <c r="KT3" s="388" t="n"/>
      <c r="KU3" s="388" t="n"/>
      <c r="KV3" s="388" t="n"/>
      <c r="KW3" s="388" t="n"/>
      <c r="KX3" s="388" t="n"/>
      <c r="KY3" s="388" t="n"/>
      <c r="KZ3" s="388" t="n"/>
      <c r="LA3" s="388" t="n"/>
      <c r="LB3" s="388" t="n"/>
      <c r="LC3" s="388" t="n"/>
      <c r="LD3" s="388" t="n"/>
      <c r="LE3" s="388" t="n"/>
      <c r="LF3" s="388" t="n"/>
      <c r="LG3" s="388" t="n"/>
      <c r="LH3" s="388" t="n"/>
      <c r="LI3" s="388" t="n"/>
      <c r="LJ3" s="388" t="n"/>
      <c r="LK3" s="388" t="n"/>
      <c r="LL3" s="388" t="n"/>
      <c r="LM3" s="388" t="n"/>
      <c r="LN3" s="388" t="n"/>
      <c r="LO3" s="388" t="n"/>
      <c r="LP3" s="388" t="n"/>
      <c r="LQ3" s="388" t="n"/>
      <c r="LR3" s="388" t="n"/>
      <c r="LS3" s="388" t="n"/>
      <c r="LT3" s="388" t="n"/>
      <c r="LU3" s="388" t="n"/>
      <c r="LV3" s="388" t="n"/>
      <c r="LW3" s="388" t="n"/>
      <c r="LX3" s="388" t="n"/>
      <c r="LY3" s="388" t="n"/>
      <c r="LZ3" s="388" t="n"/>
      <c r="MA3" s="388" t="n"/>
      <c r="MB3" s="388" t="n"/>
      <c r="MC3" s="388" t="n"/>
      <c r="MD3" s="388" t="n"/>
      <c r="ME3" s="388" t="n"/>
      <c r="MF3" s="388" t="n"/>
      <c r="MG3" s="388" t="n"/>
      <c r="MH3" s="388" t="n"/>
      <c r="MI3" s="388" t="n"/>
      <c r="MJ3" s="388" t="n"/>
      <c r="MK3" s="388" t="n"/>
      <c r="ML3" s="388" t="n"/>
      <c r="MM3" s="388" t="n"/>
      <c r="MN3" s="388" t="n"/>
      <c r="MO3" s="388" t="n"/>
      <c r="MP3" s="388" t="n"/>
      <c r="MQ3" s="388" t="n"/>
      <c r="MR3" s="388" t="n"/>
      <c r="MS3" s="388" t="n"/>
      <c r="MT3" s="388" t="n"/>
      <c r="MU3" s="388" t="n"/>
      <c r="MV3" s="388" t="n"/>
      <c r="MW3" s="388" t="n"/>
      <c r="MX3" s="388" t="n"/>
      <c r="MY3" s="388" t="n"/>
      <c r="MZ3" s="388" t="n"/>
      <c r="NA3" s="388" t="n"/>
      <c r="NB3" s="388" t="n"/>
      <c r="NC3" s="388" t="n"/>
      <c r="ND3" s="388" t="n"/>
      <c r="NE3" s="388" t="n"/>
      <c r="NF3" s="388" t="n"/>
      <c r="NG3" s="388" t="n"/>
      <c r="NH3" s="388" t="n"/>
      <c r="NI3" s="388" t="n"/>
      <c r="NJ3" s="388" t="n"/>
      <c r="NK3" s="388" t="n"/>
      <c r="NL3" s="388" t="n"/>
      <c r="NM3" s="388" t="n"/>
      <c r="NN3" s="388" t="n"/>
      <c r="NO3" s="388" t="n"/>
      <c r="NP3" s="388" t="n"/>
      <c r="NQ3" s="388" t="n"/>
      <c r="NR3" s="388" t="n"/>
      <c r="NS3" s="388" t="n"/>
      <c r="NT3" s="388" t="n"/>
      <c r="NU3" s="388" t="n"/>
      <c r="NV3" s="388" t="n"/>
      <c r="NW3" s="388" t="n"/>
      <c r="NX3" s="388" t="n"/>
      <c r="NY3" s="388" t="n"/>
      <c r="NZ3" s="388" t="n"/>
      <c r="OA3" s="388" t="n"/>
      <c r="OB3" s="388" t="n"/>
      <c r="OC3" s="388" t="n"/>
      <c r="OD3" s="388" t="n"/>
      <c r="OE3" s="388" t="n"/>
      <c r="OF3" s="388" t="n"/>
      <c r="OG3" s="388" t="n"/>
      <c r="OH3" s="388" t="n"/>
      <c r="OI3" s="388" t="n"/>
      <c r="OJ3" s="388" t="n"/>
      <c r="OK3" s="388" t="n"/>
      <c r="OL3" s="388" t="n"/>
      <c r="OM3" s="388" t="n"/>
      <c r="ON3" s="388" t="n"/>
      <c r="OO3" s="388" t="n"/>
      <c r="OP3" s="388" t="n"/>
      <c r="OQ3" s="388" t="n"/>
      <c r="OR3" s="388" t="n"/>
      <c r="OS3" s="388" t="n"/>
      <c r="OT3" s="388" t="n"/>
      <c r="OU3" s="388" t="n"/>
      <c r="OV3" s="388" t="n"/>
      <c r="OW3" s="388" t="n"/>
      <c r="OX3" s="388" t="n"/>
      <c r="OY3" s="388" t="n"/>
      <c r="OZ3" s="388" t="n"/>
      <c r="PA3" s="388" t="n"/>
      <c r="PB3" s="388" t="n"/>
      <c r="PC3" s="388" t="n"/>
      <c r="PD3" s="388" t="n"/>
      <c r="PE3" s="388" t="n"/>
      <c r="PF3" s="388" t="n"/>
      <c r="PG3" s="388" t="n"/>
      <c r="PH3" s="388" t="n"/>
      <c r="PI3" s="388" t="n"/>
      <c r="PJ3" s="388" t="n"/>
      <c r="PK3" s="388" t="n"/>
      <c r="PL3" s="388" t="n"/>
      <c r="PM3" s="388" t="n"/>
      <c r="PN3" s="388" t="n"/>
      <c r="PO3" s="388" t="n"/>
      <c r="PP3" s="388" t="n"/>
      <c r="PQ3" s="388" t="n"/>
      <c r="PR3" s="388" t="n"/>
      <c r="PS3" s="388" t="n"/>
      <c r="PT3" s="388" t="n"/>
      <c r="PU3" s="388" t="n"/>
      <c r="PV3" s="388" t="n"/>
      <c r="PW3" s="388" t="n"/>
      <c r="PX3" s="388" t="n"/>
      <c r="PY3" s="388" t="n"/>
      <c r="PZ3" s="388" t="n"/>
      <c r="QA3" s="388" t="n"/>
      <c r="QB3" s="388" t="n"/>
      <c r="QC3" s="388" t="n"/>
      <c r="QD3" s="388" t="n"/>
      <c r="QE3" s="388" t="n"/>
      <c r="QF3" s="388" t="n"/>
      <c r="QG3" s="388" t="n"/>
      <c r="QH3" s="388" t="n"/>
      <c r="QI3" s="388" t="n"/>
      <c r="QJ3" s="388" t="n"/>
      <c r="QK3" s="388" t="n"/>
      <c r="QL3" s="388" t="n"/>
      <c r="QM3" s="388" t="n"/>
      <c r="QN3" s="388" t="n"/>
      <c r="QO3" s="388" t="n"/>
      <c r="QP3" s="388" t="n"/>
      <c r="QQ3" s="388" t="n"/>
      <c r="QR3" s="388" t="n"/>
      <c r="QS3" s="388" t="n"/>
      <c r="QT3" s="388" t="n"/>
      <c r="QU3" s="388" t="n"/>
      <c r="QV3" s="388" t="n"/>
      <c r="QW3" s="388" t="n"/>
      <c r="QX3" s="388" t="n"/>
      <c r="QY3" s="388" t="n"/>
      <c r="QZ3" s="388" t="n"/>
      <c r="RA3" s="388" t="n"/>
      <c r="RB3" s="388" t="n"/>
      <c r="RC3" s="388" t="n"/>
      <c r="RD3" s="388" t="n"/>
      <c r="RE3" s="388" t="n"/>
      <c r="RF3" s="388" t="n"/>
      <c r="RG3" s="388" t="n"/>
      <c r="RH3" s="388" t="n"/>
      <c r="RI3" s="388" t="n"/>
      <c r="RJ3" s="388" t="n"/>
      <c r="RK3" s="388" t="n"/>
      <c r="RL3" s="388" t="n"/>
      <c r="RM3" s="388" t="n"/>
      <c r="RN3" s="388" t="n"/>
      <c r="RO3" s="388" t="n"/>
      <c r="RP3" s="388" t="n"/>
      <c r="RQ3" s="388" t="n"/>
      <c r="RR3" s="388" t="n"/>
      <c r="RS3" s="388" t="n"/>
      <c r="RT3" s="388" t="n"/>
      <c r="RU3" s="388" t="n"/>
      <c r="RV3" s="388" t="n"/>
      <c r="RW3" s="388" t="n"/>
      <c r="RX3" s="388" t="n"/>
      <c r="RY3" s="388" t="n"/>
      <c r="RZ3" s="388" t="n"/>
      <c r="SA3" s="388" t="n"/>
      <c r="SB3" s="388" t="n"/>
      <c r="SC3" s="388" t="n"/>
      <c r="SD3" s="388" t="n"/>
      <c r="SE3" s="388" t="n"/>
      <c r="SF3" s="388" t="n"/>
      <c r="SG3" s="388" t="n"/>
      <c r="SH3" s="388" t="n"/>
      <c r="SI3" s="388" t="n"/>
      <c r="SJ3" s="388" t="n"/>
      <c r="SK3" s="388" t="n"/>
      <c r="SL3" s="388" t="n"/>
      <c r="SM3" s="388" t="n"/>
      <c r="SN3" s="388" t="n"/>
      <c r="SO3" s="388" t="n"/>
      <c r="SP3" s="388" t="n"/>
      <c r="SQ3" s="388" t="n"/>
      <c r="SR3" s="388" t="n"/>
      <c r="SS3" s="388" t="n"/>
      <c r="ST3" s="388" t="n"/>
      <c r="SU3" s="388" t="n"/>
      <c r="SV3" s="388" t="n"/>
      <c r="SW3" s="388" t="n"/>
      <c r="SX3" s="388" t="n"/>
      <c r="SY3" s="388" t="n"/>
      <c r="SZ3" s="388" t="n"/>
      <c r="TA3" s="388" t="n"/>
      <c r="TB3" s="388" t="n"/>
      <c r="TC3" s="388" t="n"/>
      <c r="TD3" s="388" t="n"/>
      <c r="TE3" s="388" t="n"/>
      <c r="TF3" s="388" t="n"/>
      <c r="TG3" s="388" t="n"/>
      <c r="TH3" s="388" t="n"/>
      <c r="TI3" s="388" t="n"/>
      <c r="TJ3" s="388" t="n"/>
      <c r="TK3" s="388" t="n"/>
      <c r="TL3" s="388" t="n"/>
      <c r="TM3" s="388" t="n"/>
      <c r="TN3" s="388" t="n"/>
      <c r="TO3" s="388" t="n"/>
      <c r="TP3" s="388" t="n"/>
      <c r="TQ3" s="388" t="n"/>
      <c r="TR3" s="388" t="n"/>
      <c r="TS3" s="388" t="n"/>
      <c r="TT3" s="388" t="n"/>
      <c r="TU3" s="388" t="n"/>
      <c r="TV3" s="388" t="n"/>
      <c r="TW3" s="388" t="n"/>
      <c r="TX3" s="388" t="n"/>
      <c r="TY3" s="388" t="n"/>
      <c r="TZ3" s="388" t="n"/>
      <c r="UA3" s="388" t="n"/>
      <c r="UB3" s="388" t="n"/>
      <c r="UC3" s="388" t="n"/>
      <c r="UD3" s="388" t="n"/>
      <c r="UE3" s="388" t="n"/>
      <c r="UF3" s="388" t="n"/>
      <c r="UG3" s="388" t="n"/>
      <c r="UH3" s="388" t="n"/>
      <c r="UI3" s="388" t="n"/>
      <c r="UJ3" s="388" t="n"/>
      <c r="UK3" s="388" t="n"/>
      <c r="UL3" s="388" t="n"/>
      <c r="UM3" s="388" t="n"/>
      <c r="UN3" s="388" t="n"/>
      <c r="UO3" s="388" t="n"/>
      <c r="UP3" s="388" t="n"/>
      <c r="UQ3" s="388" t="n"/>
      <c r="UR3" s="388" t="n"/>
      <c r="US3" s="388" t="n"/>
      <c r="UT3" s="388" t="n"/>
      <c r="UU3" s="388" t="n"/>
      <c r="UV3" s="388" t="n"/>
      <c r="UW3" s="388" t="n"/>
      <c r="UX3" s="388" t="n"/>
      <c r="UY3" s="388" t="n"/>
      <c r="UZ3" s="388" t="n"/>
      <c r="VA3" s="388" t="n"/>
      <c r="VB3" s="388" t="n"/>
      <c r="VC3" s="388" t="n"/>
      <c r="VD3" s="388" t="n"/>
      <c r="VE3" s="388" t="n"/>
      <c r="VF3" s="388" t="n"/>
      <c r="VG3" s="388" t="n"/>
      <c r="VH3" s="388" t="n"/>
      <c r="VI3" s="388" t="n"/>
      <c r="VJ3" s="388" t="n"/>
      <c r="VK3" s="388" t="n"/>
      <c r="VL3" s="388" t="n"/>
      <c r="VM3" s="388" t="n"/>
      <c r="VN3" s="388" t="n"/>
      <c r="VO3" s="388" t="n"/>
      <c r="VP3" s="388" t="n"/>
      <c r="VQ3" s="388" t="n"/>
      <c r="VR3" s="388" t="n"/>
      <c r="VS3" s="388" t="n"/>
      <c r="VT3" s="388" t="n"/>
      <c r="VU3" s="388" t="n"/>
      <c r="VV3" s="388" t="n"/>
      <c r="VW3" s="388" t="n"/>
      <c r="VX3" s="388" t="n"/>
    </row>
    <row r="4" ht="15" customFormat="1" customHeight="1" s="385">
      <c r="A4" s="386" t="n"/>
      <c r="B4" s="389">
        <f>IF(ISBLANK(Actuals!C14),"","Actuals")</f>
        <v/>
      </c>
      <c r="C4" s="389">
        <f>IF(ISBLANK(Actuals!D14),"","Actuals")</f>
        <v/>
      </c>
      <c r="D4" s="389">
        <f>IF(ISBLANK(Actuals!E14),"","Actuals")</f>
        <v/>
      </c>
      <c r="E4" s="389">
        <f>IF(ISBLANK(Actuals!F14),"","Actuals")</f>
        <v/>
      </c>
      <c r="F4" s="389">
        <f>IF(ISBLANK(Actuals!G14),"","Actuals")</f>
        <v/>
      </c>
      <c r="G4" s="389">
        <f>IF(ISBLANK(Actuals!H14),"","Actuals")</f>
        <v/>
      </c>
      <c r="H4" s="389">
        <f>IF(ISBLANK(Actuals!I14),"","Actuals")</f>
        <v/>
      </c>
      <c r="I4" s="389">
        <f>IF(ISBLANK(Actuals!J14),"","Actuals")</f>
        <v/>
      </c>
      <c r="J4" s="389">
        <f>IF(ISBLANK(Actuals!K14),"","Actuals")</f>
        <v/>
      </c>
      <c r="K4" s="389">
        <f>IF(ISBLANK(Actuals!L14),"","Actuals")</f>
        <v/>
      </c>
      <c r="L4" s="389">
        <f>IF(ISBLANK(Actuals!M14),"","Actuals")</f>
        <v/>
      </c>
      <c r="M4" s="389">
        <f>IF(ISBLANK(Actuals!N14),"","Actuals")</f>
        <v/>
      </c>
      <c r="N4" s="389">
        <f>IF(ISBLANK(Actuals!O14),"","Actuals")</f>
        <v/>
      </c>
      <c r="O4" s="389">
        <f>IF(ISBLANK(Actuals!P14),"","Actuals")</f>
        <v/>
      </c>
      <c r="P4" s="389">
        <f>IF(ISBLANK(Actuals!Q14),"","Actuals")</f>
        <v/>
      </c>
      <c r="Q4" s="389">
        <f>IF(ISBLANK(Actuals!R14),"","Actuals")</f>
        <v/>
      </c>
      <c r="R4" s="389">
        <f>IF(ISBLANK(Actuals!S14),"","Actuals")</f>
        <v/>
      </c>
      <c r="S4" s="389">
        <f>IF(ISBLANK(Actuals!T14),"","Actuals")</f>
        <v/>
      </c>
      <c r="T4" s="389">
        <f>IF(ISBLANK(Actuals!U14),"","Actuals")</f>
        <v/>
      </c>
      <c r="U4" s="389">
        <f>IF(ISBLANK(Actuals!V14),"","Actuals")</f>
        <v/>
      </c>
      <c r="V4" s="389">
        <f>IF(ISBLANK(Actuals!W14),"","Actuals")</f>
        <v/>
      </c>
      <c r="W4" s="389">
        <f>IF(ISBLANK(Actuals!X14),"","Actuals")</f>
        <v/>
      </c>
      <c r="X4" s="389">
        <f>IF(ISBLANK(Actuals!Y14),"","Actuals")</f>
        <v/>
      </c>
      <c r="Y4" s="389">
        <f>IF(ISBLANK(Actuals!Z14),"","Actuals")</f>
        <v/>
      </c>
      <c r="Z4" s="389">
        <f>IF(ISBLANK(Actuals!AA14),"","Actuals")</f>
        <v/>
      </c>
      <c r="AA4" s="389">
        <f>IF(ISBLANK(Actuals!AB14),"","Actuals")</f>
        <v/>
      </c>
      <c r="AB4" s="389">
        <f>IF(ISBLANK(Actuals!AC14),"","Actuals")</f>
        <v/>
      </c>
      <c r="AC4" s="389">
        <f>IF(ISBLANK(Actuals!AD14),"","Actuals")</f>
        <v/>
      </c>
      <c r="AD4" s="389">
        <f>IF(ISBLANK(Actuals!AE14),"","Actuals")</f>
        <v/>
      </c>
      <c r="AE4" s="389">
        <f>IF(ISBLANK(Actuals!AF14),"","Actuals")</f>
        <v/>
      </c>
      <c r="AF4" s="389">
        <f>IF(ISBLANK(Actuals!AG14),"","Actuals")</f>
        <v/>
      </c>
      <c r="AG4" s="389">
        <f>IF(ISBLANK(Actuals!AH14),"","Actuals")</f>
        <v/>
      </c>
      <c r="AH4" s="389">
        <f>IF(ISBLANK(Actuals!AI14),"","Actuals")</f>
        <v/>
      </c>
      <c r="AI4" s="389">
        <f>IF(ISBLANK(Actuals!AJ14),"","Actuals")</f>
        <v/>
      </c>
      <c r="AJ4" s="389">
        <f>IF(ISBLANK(Actuals!AK14),"","Actuals")</f>
        <v/>
      </c>
      <c r="AK4" s="389">
        <f>IF(ISBLANK(Actuals!AL14),"","Actuals")</f>
        <v/>
      </c>
      <c r="AL4" s="389">
        <f>IF(ISBLANK(Actuals!AM14),"","Actuals")</f>
        <v/>
      </c>
      <c r="AM4" s="389">
        <f>IF(ISBLANK(Actuals!AN14),"","Actuals")</f>
        <v/>
      </c>
      <c r="AN4" s="389">
        <f>IF(ISBLANK(Actuals!AO14),"","Actuals")</f>
        <v/>
      </c>
      <c r="AO4" s="389">
        <f>IF(ISBLANK(Actuals!AP14),"","Actuals")</f>
        <v/>
      </c>
      <c r="AP4" s="389">
        <f>IF(ISBLANK(Actuals!AQ14),"","Actuals")</f>
        <v/>
      </c>
      <c r="AQ4" s="389">
        <f>IF(ISBLANK(Actuals!AR14),"","Actuals")</f>
        <v/>
      </c>
      <c r="AR4" s="389">
        <f>IF(ISBLANK(Actuals!AS14),"","Actuals")</f>
        <v/>
      </c>
      <c r="AS4" s="389">
        <f>IF(ISBLANK(Actuals!AT14),"","Actuals")</f>
        <v/>
      </c>
      <c r="AT4" s="389">
        <f>IF(ISBLANK(Actuals!AU14),"","Actuals")</f>
        <v/>
      </c>
      <c r="AU4" s="389">
        <f>IF(ISBLANK(Actuals!AV14),"","Actuals")</f>
        <v/>
      </c>
      <c r="AV4" s="389">
        <f>IF(ISBLANK(Actuals!AW14),"","Actuals")</f>
        <v/>
      </c>
      <c r="AW4" s="389">
        <f>IF(ISBLANK(Actuals!AX14),"","Actuals")</f>
        <v/>
      </c>
      <c r="AX4" s="389">
        <f>IF(ISBLANK(Actuals!AY14),"","Actuals")</f>
        <v/>
      </c>
      <c r="AY4" s="389">
        <f>IF(ISBLANK(Actuals!AZ14),"","Actuals")</f>
        <v/>
      </c>
      <c r="AZ4" s="389">
        <f>IF(ISBLANK(Actuals!BA14),"","Actuals")</f>
        <v/>
      </c>
      <c r="BA4" s="389">
        <f>IF(ISBLANK(Actuals!BB14),"","Actuals")</f>
        <v/>
      </c>
      <c r="BB4" s="389">
        <f>IF(ISBLANK(Actuals!BC14),"","Actuals")</f>
        <v/>
      </c>
      <c r="BC4" s="389">
        <f>IF(ISBLANK(Actuals!BD14),"","Actuals")</f>
        <v/>
      </c>
      <c r="BD4" s="389">
        <f>IF(ISBLANK(Actuals!BE14),"","Actuals")</f>
        <v/>
      </c>
      <c r="BE4" s="389">
        <f>IF(ISBLANK(Actuals!BF14),"","Actuals")</f>
        <v/>
      </c>
      <c r="BF4" s="389">
        <f>IF(ISBLANK(Actuals!BG14),"","Actuals")</f>
        <v/>
      </c>
      <c r="BG4" s="389">
        <f>IF(ISBLANK(Actuals!BH14),"","Actuals")</f>
        <v/>
      </c>
      <c r="BH4" s="389">
        <f>IF(ISBLANK(Actuals!BI14),"","Actuals")</f>
        <v/>
      </c>
      <c r="BI4" s="389">
        <f>IF(ISBLANK(Actuals!BJ14),"","Actuals")</f>
        <v/>
      </c>
      <c r="BJ4" s="389">
        <f>IF(ISBLANK(Actuals!BK14),"","Actuals")</f>
        <v/>
      </c>
      <c r="BK4" s="389">
        <f>IF(ISBLANK(Actuals!BL14),"","Actuals")</f>
        <v/>
      </c>
      <c r="BL4" s="389">
        <f>IF(ISBLANK(Actuals!BM14),"","Actuals")</f>
        <v/>
      </c>
      <c r="BM4" s="389">
        <f>IF(ISBLANK(Actuals!BN14),"","Actuals")</f>
        <v/>
      </c>
      <c r="BN4" s="389">
        <f>IF(ISBLANK(Actuals!BO14),"","Actuals")</f>
        <v/>
      </c>
      <c r="BO4" s="389">
        <f>IF(ISBLANK(Actuals!BP14),"","Actuals")</f>
        <v/>
      </c>
      <c r="BP4" s="389">
        <f>IF(ISBLANK(Actuals!BQ14),"","Actuals")</f>
        <v/>
      </c>
      <c r="BQ4" s="389">
        <f>IF(ISBLANK(Actuals!BR14),"","Actuals")</f>
        <v/>
      </c>
      <c r="BR4" s="389">
        <f>IF(ISBLANK(Actuals!BS14),"","Actuals")</f>
        <v/>
      </c>
      <c r="BS4" s="389">
        <f>IF(ISBLANK(Actuals!BT14),"","Actuals")</f>
        <v/>
      </c>
      <c r="BT4" s="389">
        <f>IF(ISBLANK(Actuals!BU14),"","Actuals")</f>
        <v/>
      </c>
      <c r="BU4" s="389">
        <f>IF(ISBLANK(Actuals!BV14),"","Actuals")</f>
        <v/>
      </c>
      <c r="BV4" s="389">
        <f>IF(ISBLANK(Actuals!BW14),"","Actuals")</f>
        <v/>
      </c>
      <c r="BW4" s="389">
        <f>IF(ISBLANK(Actuals!BX14),"","Actuals")</f>
        <v/>
      </c>
      <c r="BX4" s="389">
        <f>IF(ISBLANK(Actuals!BY14),"","Actuals")</f>
        <v/>
      </c>
      <c r="BY4" s="389">
        <f>IF(ISBLANK(Actuals!BZ14),"","Actuals")</f>
        <v/>
      </c>
      <c r="BZ4" s="389">
        <f>IF(ISBLANK(Actuals!CA14),"","Actuals")</f>
        <v/>
      </c>
      <c r="CA4" s="389">
        <f>IF(ISBLANK(Actuals!CB14),"","Actuals")</f>
        <v/>
      </c>
      <c r="CB4" s="389">
        <f>IF(ISBLANK(Actuals!CC14),"","Actuals")</f>
        <v/>
      </c>
      <c r="CC4" s="389">
        <f>IF(ISBLANK(Actuals!CD14),"","Actuals")</f>
        <v/>
      </c>
      <c r="CD4" s="389">
        <f>IF(ISBLANK(Actuals!CE14),"","Actuals")</f>
        <v/>
      </c>
      <c r="CE4" s="389">
        <f>IF(ISBLANK(Actuals!CF14),"","Actuals")</f>
        <v/>
      </c>
      <c r="CF4" s="389">
        <f>IF(ISBLANK(Actuals!CG14),"","Actuals")</f>
        <v/>
      </c>
      <c r="CG4" s="389">
        <f>IF(ISBLANK(Actuals!CH14),"","Actuals")</f>
        <v/>
      </c>
      <c r="CH4" s="389">
        <f>IF(ISBLANK(Actuals!CI14),"","Actuals")</f>
        <v/>
      </c>
      <c r="CI4" s="389">
        <f>IF(ISBLANK(Actuals!CJ14),"","Actuals")</f>
        <v/>
      </c>
      <c r="CJ4" s="389">
        <f>IF(ISBLANK(Actuals!CK14),"","Actuals")</f>
        <v/>
      </c>
      <c r="CK4" s="389">
        <f>IF(ISBLANK(Actuals!CL14),"","Actuals")</f>
        <v/>
      </c>
      <c r="CL4" s="389">
        <f>IF(ISBLANK(Actuals!CM14),"","Actuals")</f>
        <v/>
      </c>
      <c r="CM4" s="389">
        <f>IF(ISBLANK(Actuals!CN14),"","Actuals")</f>
        <v/>
      </c>
      <c r="CN4" s="389">
        <f>IF(ISBLANK(Actuals!CO14),"","Actuals")</f>
        <v/>
      </c>
      <c r="CO4" s="389">
        <f>IF(ISBLANK(Actuals!CP14),"","Actuals")</f>
        <v/>
      </c>
      <c r="CP4" s="389">
        <f>IF(ISBLANK(Actuals!CQ14),"","Actuals")</f>
        <v/>
      </c>
      <c r="CQ4" s="389">
        <f>IF(ISBLANK(Actuals!CR14),"","Actuals")</f>
        <v/>
      </c>
      <c r="CR4" s="389">
        <f>IF(ISBLANK(Actuals!CS14),"","Actuals")</f>
        <v/>
      </c>
      <c r="CS4" s="389">
        <f>IF(ISBLANK(Actuals!CT14),"","Actuals")</f>
        <v/>
      </c>
      <c r="CT4" s="389">
        <f>IF(ISBLANK(Actuals!CU14),"","Actuals")</f>
        <v/>
      </c>
      <c r="CU4" s="389">
        <f>IF(ISBLANK(Actuals!CV14),"","Actuals")</f>
        <v/>
      </c>
      <c r="CV4" s="389">
        <f>IF(ISBLANK(Actuals!CW14),"","Actuals")</f>
        <v/>
      </c>
      <c r="CW4" s="389">
        <f>IF(ISBLANK(Actuals!CX14),"","Actuals")</f>
        <v/>
      </c>
      <c r="CX4" s="389">
        <f>IF(ISBLANK(Actuals!CY14),"","Actuals")</f>
        <v/>
      </c>
      <c r="CY4" s="389">
        <f>IF(ISBLANK(Actuals!CZ14),"","Actuals")</f>
        <v/>
      </c>
      <c r="CZ4" s="389">
        <f>IF(ISBLANK(Actuals!DA14),"","Actuals")</f>
        <v/>
      </c>
      <c r="DA4" s="389">
        <f>IF(ISBLANK(Actuals!DB14),"","Actuals")</f>
        <v/>
      </c>
      <c r="DB4" s="389">
        <f>IF(ISBLANK(Actuals!DC14),"","Actuals")</f>
        <v/>
      </c>
      <c r="DC4" s="389">
        <f>IF(ISBLANK(Actuals!DD14),"","Actuals")</f>
        <v/>
      </c>
      <c r="DD4" s="389">
        <f>IF(ISBLANK(Actuals!DE14),"","Actuals")</f>
        <v/>
      </c>
      <c r="DE4" s="389">
        <f>IF(ISBLANK(Actuals!DF14),"","Actuals")</f>
        <v/>
      </c>
      <c r="DF4" s="388" t="n"/>
      <c r="DG4" s="388" t="n"/>
      <c r="DH4" s="388" t="n"/>
      <c r="DI4" s="388" t="n"/>
      <c r="DJ4" s="388" t="n"/>
      <c r="DK4" s="388" t="n"/>
      <c r="DL4" s="388" t="n"/>
      <c r="DM4" s="388" t="n"/>
      <c r="DN4" s="388" t="n"/>
      <c r="DO4" s="388" t="n"/>
      <c r="DP4" s="388" t="n"/>
      <c r="DQ4" s="388" t="n"/>
      <c r="DR4" s="388" t="n"/>
      <c r="DS4" s="388" t="n"/>
      <c r="DT4" s="388" t="n"/>
      <c r="DU4" s="388" t="n"/>
      <c r="DV4" s="388" t="n"/>
      <c r="DW4" s="388" t="n"/>
      <c r="DX4" s="388" t="n"/>
      <c r="DY4" s="388" t="n"/>
      <c r="DZ4" s="388" t="n"/>
      <c r="EA4" s="388" t="n"/>
      <c r="EB4" s="388" t="n"/>
      <c r="EC4" s="388" t="n"/>
      <c r="ED4" s="388" t="n"/>
      <c r="EE4" s="388" t="n"/>
      <c r="EF4" s="388" t="n"/>
      <c r="EG4" s="388" t="n"/>
      <c r="EH4" s="388" t="n"/>
      <c r="EI4" s="388" t="n"/>
      <c r="EJ4" s="388" t="n"/>
      <c r="EK4" s="388" t="n"/>
      <c r="EL4" s="388" t="n"/>
      <c r="EM4" s="388" t="n"/>
      <c r="EN4" s="388" t="n"/>
      <c r="EO4" s="388" t="n"/>
      <c r="EP4" s="388" t="n"/>
      <c r="EQ4" s="388" t="n"/>
      <c r="ER4" s="388" t="n"/>
      <c r="ES4" s="388" t="n"/>
      <c r="ET4" s="388" t="n"/>
      <c r="EU4" s="388" t="n"/>
      <c r="EV4" s="388" t="n"/>
      <c r="EW4" s="388" t="n"/>
      <c r="EX4" s="388" t="n"/>
      <c r="EY4" s="388" t="n"/>
      <c r="EZ4" s="388" t="n"/>
      <c r="FA4" s="388" t="n"/>
      <c r="FB4" s="388" t="n"/>
      <c r="FC4" s="388" t="n"/>
      <c r="FD4" s="388" t="n"/>
      <c r="FE4" s="388" t="n"/>
      <c r="FF4" s="388" t="n"/>
      <c r="FG4" s="388" t="n"/>
      <c r="FH4" s="388" t="n"/>
      <c r="FI4" s="388" t="n"/>
      <c r="FJ4" s="388" t="n"/>
      <c r="FK4" s="388" t="n"/>
      <c r="FL4" s="388" t="n"/>
      <c r="FM4" s="388" t="n"/>
      <c r="FN4" s="388" t="n"/>
      <c r="FO4" s="388" t="n"/>
      <c r="FP4" s="388" t="n"/>
      <c r="FQ4" s="388" t="n"/>
      <c r="FR4" s="388" t="n"/>
      <c r="FS4" s="388" t="n"/>
      <c r="FT4" s="388" t="n"/>
      <c r="FU4" s="388" t="n"/>
      <c r="FV4" s="388" t="n"/>
      <c r="FW4" s="388" t="n"/>
      <c r="FX4" s="388" t="n"/>
      <c r="FY4" s="388" t="n"/>
      <c r="FZ4" s="388" t="n"/>
      <c r="GA4" s="388" t="n"/>
      <c r="GB4" s="388" t="n"/>
      <c r="GC4" s="388" t="n"/>
      <c r="GD4" s="388" t="n"/>
      <c r="GE4" s="388" t="n"/>
      <c r="GF4" s="388" t="n"/>
      <c r="GG4" s="388" t="n"/>
      <c r="GH4" s="388" t="n"/>
      <c r="GI4" s="388" t="n"/>
      <c r="GJ4" s="388" t="n"/>
      <c r="GK4" s="388" t="n"/>
      <c r="GL4" s="388" t="n"/>
      <c r="GM4" s="388" t="n"/>
      <c r="GN4" s="388" t="n"/>
      <c r="GO4" s="388" t="n"/>
      <c r="GP4" s="388" t="n"/>
      <c r="GQ4" s="388" t="n"/>
      <c r="GR4" s="388" t="n"/>
      <c r="GS4" s="388" t="n"/>
      <c r="GT4" s="388" t="n"/>
      <c r="GU4" s="388" t="n"/>
      <c r="GV4" s="388" t="n"/>
      <c r="GW4" s="388" t="n"/>
      <c r="GX4" s="388" t="n"/>
      <c r="GY4" s="388" t="n"/>
      <c r="GZ4" s="388" t="n"/>
      <c r="HA4" s="388" t="n"/>
      <c r="HB4" s="388" t="n"/>
      <c r="HC4" s="388" t="n"/>
      <c r="HD4" s="388" t="n"/>
      <c r="HE4" s="388" t="n"/>
      <c r="HF4" s="388" t="n"/>
      <c r="HG4" s="388" t="n"/>
      <c r="HH4" s="388" t="n"/>
      <c r="HI4" s="388" t="n"/>
      <c r="HJ4" s="388" t="n"/>
      <c r="HK4" s="388" t="n"/>
      <c r="HL4" s="388" t="n"/>
      <c r="HM4" s="388" t="n"/>
      <c r="HN4" s="388" t="n"/>
      <c r="HO4" s="388" t="n"/>
      <c r="HP4" s="388" t="n"/>
      <c r="HQ4" s="388" t="n"/>
      <c r="HR4" s="388" t="n"/>
      <c r="HS4" s="388" t="n"/>
      <c r="HT4" s="388" t="n"/>
      <c r="HU4" s="388" t="n"/>
      <c r="HV4" s="388" t="n"/>
      <c r="HW4" s="388" t="n"/>
      <c r="HX4" s="388" t="n"/>
      <c r="HY4" s="388" t="n"/>
      <c r="HZ4" s="388" t="n"/>
      <c r="IA4" s="388" t="n"/>
      <c r="IB4" s="388" t="n"/>
      <c r="IC4" s="388" t="n"/>
      <c r="ID4" s="388" t="n"/>
      <c r="IE4" s="388" t="n"/>
      <c r="IF4" s="388" t="n"/>
      <c r="IG4" s="388" t="n"/>
      <c r="IH4" s="388" t="n"/>
      <c r="II4" s="388" t="n"/>
      <c r="IJ4" s="388" t="n"/>
      <c r="IK4" s="388" t="n"/>
      <c r="IL4" s="388" t="n"/>
      <c r="IM4" s="388" t="n"/>
      <c r="IN4" s="388" t="n"/>
      <c r="IO4" s="388" t="n"/>
      <c r="IP4" s="388" t="n"/>
      <c r="IQ4" s="388" t="n"/>
      <c r="IR4" s="388" t="n"/>
      <c r="IS4" s="388" t="n"/>
      <c r="IT4" s="388" t="n"/>
      <c r="IU4" s="388" t="n"/>
      <c r="IV4" s="388" t="n"/>
      <c r="IW4" s="388" t="n"/>
      <c r="IX4" s="388" t="n"/>
      <c r="IY4" s="388" t="n"/>
      <c r="IZ4" s="388" t="n"/>
      <c r="JA4" s="388" t="n"/>
      <c r="JB4" s="388" t="n"/>
      <c r="JC4" s="388" t="n"/>
      <c r="JD4" s="388" t="n"/>
      <c r="JE4" s="388" t="n"/>
      <c r="JF4" s="388" t="n"/>
      <c r="JG4" s="388" t="n"/>
      <c r="JH4" s="388" t="n"/>
      <c r="JI4" s="388" t="n"/>
      <c r="JJ4" s="388" t="n"/>
      <c r="JK4" s="388" t="n"/>
      <c r="JL4" s="388" t="n"/>
      <c r="JM4" s="388" t="n"/>
      <c r="JN4" s="388" t="n"/>
      <c r="JO4" s="388" t="n"/>
      <c r="JP4" s="388" t="n"/>
      <c r="JQ4" s="388" t="n"/>
      <c r="JR4" s="388" t="n"/>
      <c r="JS4" s="388" t="n"/>
      <c r="JT4" s="388" t="n"/>
      <c r="JU4" s="388" t="n"/>
      <c r="JV4" s="388" t="n"/>
      <c r="JW4" s="388" t="n"/>
      <c r="JX4" s="388" t="n"/>
      <c r="JY4" s="388" t="n"/>
      <c r="JZ4" s="388" t="n"/>
      <c r="KA4" s="388" t="n"/>
      <c r="KB4" s="388" t="n"/>
      <c r="KC4" s="388" t="n"/>
      <c r="KD4" s="388" t="n"/>
      <c r="KE4" s="388" t="n"/>
      <c r="KF4" s="388" t="n"/>
      <c r="KG4" s="388" t="n"/>
      <c r="KH4" s="388" t="n"/>
      <c r="KI4" s="388" t="n"/>
      <c r="KJ4" s="388" t="n"/>
      <c r="KK4" s="388" t="n"/>
      <c r="KL4" s="388" t="n"/>
      <c r="KM4" s="388" t="n"/>
      <c r="KN4" s="388" t="n"/>
      <c r="KO4" s="388" t="n"/>
      <c r="KP4" s="388" t="n"/>
      <c r="KQ4" s="388" t="n"/>
      <c r="KR4" s="388" t="n"/>
      <c r="KS4" s="388" t="n"/>
      <c r="KT4" s="388" t="n"/>
      <c r="KU4" s="388" t="n"/>
      <c r="KV4" s="388" t="n"/>
      <c r="KW4" s="388" t="n"/>
      <c r="KX4" s="388" t="n"/>
      <c r="KY4" s="388" t="n"/>
      <c r="KZ4" s="388" t="n"/>
      <c r="LA4" s="388" t="n"/>
      <c r="LB4" s="388" t="n"/>
      <c r="LC4" s="388" t="n"/>
      <c r="LD4" s="388" t="n"/>
      <c r="LE4" s="388" t="n"/>
      <c r="LF4" s="388" t="n"/>
      <c r="LG4" s="388" t="n"/>
      <c r="LH4" s="388" t="n"/>
      <c r="LI4" s="388" t="n"/>
      <c r="LJ4" s="388" t="n"/>
      <c r="LK4" s="388" t="n"/>
      <c r="LL4" s="388" t="n"/>
      <c r="LM4" s="388" t="n"/>
      <c r="LN4" s="388" t="n"/>
      <c r="LO4" s="388" t="n"/>
      <c r="LP4" s="388" t="n"/>
      <c r="LQ4" s="388" t="n"/>
      <c r="LR4" s="388" t="n"/>
      <c r="LS4" s="388" t="n"/>
      <c r="LT4" s="388" t="n"/>
      <c r="LU4" s="388" t="n"/>
      <c r="LV4" s="388" t="n"/>
      <c r="LW4" s="388" t="n"/>
      <c r="LX4" s="388" t="n"/>
      <c r="LY4" s="388" t="n"/>
      <c r="LZ4" s="388" t="n"/>
      <c r="MA4" s="388" t="n"/>
      <c r="MB4" s="388" t="n"/>
      <c r="MC4" s="388" t="n"/>
      <c r="MD4" s="388" t="n"/>
      <c r="ME4" s="388" t="n"/>
      <c r="MF4" s="388" t="n"/>
      <c r="MG4" s="388" t="n"/>
      <c r="MH4" s="388" t="n"/>
      <c r="MI4" s="388" t="n"/>
      <c r="MJ4" s="388" t="n"/>
      <c r="MK4" s="388" t="n"/>
      <c r="ML4" s="388" t="n"/>
      <c r="MM4" s="388" t="n"/>
      <c r="MN4" s="388" t="n"/>
      <c r="MO4" s="388" t="n"/>
      <c r="MP4" s="388" t="n"/>
      <c r="MQ4" s="388" t="n"/>
      <c r="MR4" s="388" t="n"/>
      <c r="MS4" s="388" t="n"/>
      <c r="MT4" s="388" t="n"/>
      <c r="MU4" s="388" t="n"/>
      <c r="MV4" s="388" t="n"/>
      <c r="MW4" s="388" t="n"/>
      <c r="MX4" s="388" t="n"/>
      <c r="MY4" s="388" t="n"/>
      <c r="MZ4" s="388" t="n"/>
      <c r="NA4" s="388" t="n"/>
      <c r="NB4" s="388" t="n"/>
      <c r="NC4" s="388" t="n"/>
      <c r="ND4" s="388" t="n"/>
      <c r="NE4" s="388" t="n"/>
      <c r="NF4" s="388" t="n"/>
      <c r="NG4" s="388" t="n"/>
      <c r="NH4" s="388" t="n"/>
      <c r="NI4" s="388" t="n"/>
      <c r="NJ4" s="388" t="n"/>
      <c r="NK4" s="388" t="n"/>
      <c r="NL4" s="388" t="n"/>
      <c r="NM4" s="388" t="n"/>
      <c r="NN4" s="388" t="n"/>
      <c r="NO4" s="388" t="n"/>
      <c r="NP4" s="388" t="n"/>
      <c r="NQ4" s="388" t="n"/>
      <c r="NR4" s="388" t="n"/>
      <c r="NS4" s="388" t="n"/>
      <c r="NT4" s="388" t="n"/>
      <c r="NU4" s="388" t="n"/>
      <c r="NV4" s="388" t="n"/>
      <c r="NW4" s="388" t="n"/>
      <c r="NX4" s="388" t="n"/>
      <c r="NY4" s="388" t="n"/>
      <c r="NZ4" s="388" t="n"/>
      <c r="OA4" s="388" t="n"/>
      <c r="OB4" s="388" t="n"/>
      <c r="OC4" s="388" t="n"/>
      <c r="OD4" s="388" t="n"/>
      <c r="OE4" s="388" t="n"/>
      <c r="OF4" s="388" t="n"/>
      <c r="OG4" s="388" t="n"/>
      <c r="OH4" s="388" t="n"/>
      <c r="OI4" s="388" t="n"/>
      <c r="OJ4" s="388" t="n"/>
      <c r="OK4" s="388" t="n"/>
      <c r="OL4" s="388" t="n"/>
      <c r="OM4" s="388" t="n"/>
      <c r="ON4" s="388" t="n"/>
      <c r="OO4" s="388" t="n"/>
      <c r="OP4" s="388" t="n"/>
      <c r="OQ4" s="388" t="n"/>
      <c r="OR4" s="388" t="n"/>
      <c r="OS4" s="388" t="n"/>
      <c r="OT4" s="388" t="n"/>
      <c r="OU4" s="388" t="n"/>
      <c r="OV4" s="388" t="n"/>
      <c r="OW4" s="388" t="n"/>
      <c r="OX4" s="388" t="n"/>
      <c r="OY4" s="388" t="n"/>
      <c r="OZ4" s="388" t="n"/>
      <c r="PA4" s="388" t="n"/>
      <c r="PB4" s="388" t="n"/>
      <c r="PC4" s="388" t="n"/>
      <c r="PD4" s="388" t="n"/>
      <c r="PE4" s="388" t="n"/>
      <c r="PF4" s="388" t="n"/>
      <c r="PG4" s="388" t="n"/>
      <c r="PH4" s="388" t="n"/>
      <c r="PI4" s="388" t="n"/>
      <c r="PJ4" s="388" t="n"/>
      <c r="PK4" s="388" t="n"/>
      <c r="PL4" s="388" t="n"/>
      <c r="PM4" s="388" t="n"/>
      <c r="PN4" s="388" t="n"/>
      <c r="PO4" s="388" t="n"/>
      <c r="PP4" s="388" t="n"/>
      <c r="PQ4" s="388" t="n"/>
      <c r="PR4" s="388" t="n"/>
      <c r="PS4" s="388" t="n"/>
      <c r="PT4" s="388" t="n"/>
      <c r="PU4" s="388" t="n"/>
      <c r="PV4" s="388" t="n"/>
      <c r="PW4" s="388" t="n"/>
      <c r="PX4" s="388" t="n"/>
      <c r="PY4" s="388" t="n"/>
      <c r="PZ4" s="388" t="n"/>
      <c r="QA4" s="388" t="n"/>
      <c r="QB4" s="388" t="n"/>
      <c r="QC4" s="388" t="n"/>
      <c r="QD4" s="388" t="n"/>
      <c r="QE4" s="388" t="n"/>
      <c r="QF4" s="388" t="n"/>
      <c r="QG4" s="388" t="n"/>
      <c r="QH4" s="388" t="n"/>
      <c r="QI4" s="388" t="n"/>
      <c r="QJ4" s="388" t="n"/>
      <c r="QK4" s="388" t="n"/>
      <c r="QL4" s="388" t="n"/>
      <c r="QM4" s="388" t="n"/>
      <c r="QN4" s="388" t="n"/>
      <c r="QO4" s="388" t="n"/>
      <c r="QP4" s="388" t="n"/>
      <c r="QQ4" s="388" t="n"/>
      <c r="QR4" s="388" t="n"/>
      <c r="QS4" s="388" t="n"/>
      <c r="QT4" s="388" t="n"/>
      <c r="QU4" s="388" t="n"/>
      <c r="QV4" s="388" t="n"/>
      <c r="QW4" s="388" t="n"/>
      <c r="QX4" s="388" t="n"/>
      <c r="QY4" s="388" t="n"/>
      <c r="QZ4" s="388" t="n"/>
      <c r="RA4" s="388" t="n"/>
      <c r="RB4" s="388" t="n"/>
      <c r="RC4" s="388" t="n"/>
      <c r="RD4" s="388" t="n"/>
      <c r="RE4" s="388" t="n"/>
      <c r="RF4" s="388" t="n"/>
      <c r="RG4" s="388" t="n"/>
      <c r="RH4" s="388" t="n"/>
      <c r="RI4" s="388" t="n"/>
      <c r="RJ4" s="388" t="n"/>
      <c r="RK4" s="388" t="n"/>
      <c r="RL4" s="388" t="n"/>
      <c r="RM4" s="388" t="n"/>
      <c r="RN4" s="388" t="n"/>
      <c r="RO4" s="388" t="n"/>
      <c r="RP4" s="388" t="n"/>
      <c r="RQ4" s="388" t="n"/>
      <c r="RR4" s="388" t="n"/>
      <c r="RS4" s="388" t="n"/>
      <c r="RT4" s="388" t="n"/>
      <c r="RU4" s="388" t="n"/>
      <c r="RV4" s="388" t="n"/>
      <c r="RW4" s="388" t="n"/>
      <c r="RX4" s="388" t="n"/>
      <c r="RY4" s="388" t="n"/>
      <c r="RZ4" s="388" t="n"/>
      <c r="SA4" s="388" t="n"/>
      <c r="SB4" s="388" t="n"/>
      <c r="SC4" s="388" t="n"/>
      <c r="SD4" s="388" t="n"/>
      <c r="SE4" s="388" t="n"/>
      <c r="SF4" s="388" t="n"/>
      <c r="SG4" s="388" t="n"/>
      <c r="SH4" s="388" t="n"/>
      <c r="SI4" s="388" t="n"/>
      <c r="SJ4" s="388" t="n"/>
      <c r="SK4" s="388" t="n"/>
      <c r="SL4" s="388" t="n"/>
      <c r="SM4" s="388" t="n"/>
      <c r="SN4" s="388" t="n"/>
      <c r="SO4" s="388" t="n"/>
      <c r="SP4" s="388" t="n"/>
      <c r="SQ4" s="388" t="n"/>
      <c r="SR4" s="388" t="n"/>
      <c r="SS4" s="388" t="n"/>
      <c r="ST4" s="388" t="n"/>
      <c r="SU4" s="388" t="n"/>
      <c r="SV4" s="388" t="n"/>
      <c r="SW4" s="388" t="n"/>
      <c r="SX4" s="388" t="n"/>
      <c r="SY4" s="388" t="n"/>
      <c r="SZ4" s="388" t="n"/>
      <c r="TA4" s="388" t="n"/>
      <c r="TB4" s="388" t="n"/>
      <c r="TC4" s="388" t="n"/>
      <c r="TD4" s="388" t="n"/>
      <c r="TE4" s="388" t="n"/>
      <c r="TF4" s="388" t="n"/>
      <c r="TG4" s="388" t="n"/>
      <c r="TH4" s="388" t="n"/>
      <c r="TI4" s="388" t="n"/>
      <c r="TJ4" s="388" t="n"/>
      <c r="TK4" s="388" t="n"/>
      <c r="TL4" s="388" t="n"/>
      <c r="TM4" s="388" t="n"/>
      <c r="TN4" s="388" t="n"/>
      <c r="TO4" s="388" t="n"/>
      <c r="TP4" s="388" t="n"/>
      <c r="TQ4" s="388" t="n"/>
      <c r="TR4" s="388" t="n"/>
      <c r="TS4" s="388" t="n"/>
      <c r="TT4" s="388" t="n"/>
      <c r="TU4" s="388" t="n"/>
      <c r="TV4" s="388" t="n"/>
      <c r="TW4" s="388" t="n"/>
      <c r="TX4" s="388" t="n"/>
      <c r="TY4" s="388" t="n"/>
      <c r="TZ4" s="388" t="n"/>
      <c r="UA4" s="388" t="n"/>
      <c r="UB4" s="388" t="n"/>
      <c r="UC4" s="388" t="n"/>
      <c r="UD4" s="388" t="n"/>
      <c r="UE4" s="388" t="n"/>
      <c r="UF4" s="388" t="n"/>
      <c r="UG4" s="388" t="n"/>
      <c r="UH4" s="388" t="n"/>
      <c r="UI4" s="388" t="n"/>
      <c r="UJ4" s="388" t="n"/>
      <c r="UK4" s="388" t="n"/>
      <c r="UL4" s="388" t="n"/>
      <c r="UM4" s="388" t="n"/>
      <c r="UN4" s="388" t="n"/>
      <c r="UO4" s="388" t="n"/>
      <c r="UP4" s="388" t="n"/>
      <c r="UQ4" s="388" t="n"/>
      <c r="UR4" s="388" t="n"/>
      <c r="US4" s="388" t="n"/>
      <c r="UT4" s="388" t="n"/>
      <c r="UU4" s="388" t="n"/>
      <c r="UV4" s="388" t="n"/>
      <c r="UW4" s="388" t="n"/>
      <c r="UX4" s="388" t="n"/>
      <c r="UY4" s="388" t="n"/>
      <c r="UZ4" s="388" t="n"/>
      <c r="VA4" s="388" t="n"/>
      <c r="VB4" s="388" t="n"/>
      <c r="VC4" s="388" t="n"/>
      <c r="VD4" s="388" t="n"/>
      <c r="VE4" s="388" t="n"/>
      <c r="VF4" s="388" t="n"/>
      <c r="VG4" s="388" t="n"/>
      <c r="VH4" s="388" t="n"/>
      <c r="VI4" s="388" t="n"/>
      <c r="VJ4" s="388" t="n"/>
      <c r="VK4" s="388" t="n"/>
      <c r="VL4" s="388" t="n"/>
      <c r="VM4" s="388" t="n"/>
      <c r="VN4" s="388" t="n"/>
      <c r="VO4" s="388" t="n"/>
      <c r="VP4" s="388" t="n"/>
      <c r="VQ4" s="388" t="n"/>
      <c r="VR4" s="388" t="n"/>
      <c r="VS4" s="388" t="n"/>
      <c r="VT4" s="388" t="n"/>
      <c r="VU4" s="388" t="n"/>
      <c r="VV4" s="388" t="n"/>
      <c r="VW4" s="388" t="n"/>
      <c r="VX4" s="388" t="n"/>
    </row>
    <row r="5" ht="15" customFormat="1" customHeight="1" s="380">
      <c r="A5" s="390" t="inlineStr">
        <is>
          <t>YTD Actuals Snapshot:</t>
        </is>
      </c>
      <c r="B5" s="391" t="n"/>
      <c r="C5" s="392" t="n"/>
      <c r="D5" s="392" t="n"/>
      <c r="E5" s="393" t="n"/>
      <c r="F5" s="391" t="n"/>
      <c r="G5" s="392" t="n"/>
      <c r="H5" s="392" t="n"/>
      <c r="I5" s="392" t="n"/>
      <c r="J5" s="392" t="n"/>
      <c r="K5" s="392" t="n"/>
      <c r="L5" s="392" t="n"/>
      <c r="M5" s="392" t="n"/>
      <c r="N5" s="392" t="n"/>
      <c r="O5" s="392" t="n"/>
      <c r="P5" s="392" t="n"/>
      <c r="Q5" s="392" t="n"/>
      <c r="R5" s="392" t="n"/>
      <c r="S5" s="392" t="n"/>
      <c r="T5" s="392" t="n"/>
      <c r="U5" s="392" t="n"/>
      <c r="V5" s="392" t="n"/>
      <c r="W5" s="392" t="n"/>
      <c r="X5" s="392" t="n"/>
      <c r="Y5" s="392" t="n"/>
      <c r="Z5" s="392" t="n"/>
      <c r="AA5" s="392" t="n"/>
      <c r="AB5" s="392" t="n"/>
      <c r="AC5" s="392" t="n"/>
      <c r="AD5" s="392" t="n"/>
      <c r="AE5" s="392" t="n"/>
      <c r="AF5" s="392" t="n"/>
      <c r="AG5" s="392" t="n"/>
      <c r="AH5" s="392" t="n"/>
      <c r="AI5" s="392" t="n"/>
      <c r="AJ5" s="392" t="n"/>
      <c r="AK5" s="392" t="n"/>
      <c r="AL5" s="392" t="n"/>
      <c r="AM5" s="392" t="n"/>
      <c r="AN5" s="392" t="n"/>
      <c r="AO5" s="392" t="n"/>
      <c r="AP5" s="392" t="n"/>
      <c r="AQ5" s="392" t="n"/>
      <c r="AR5" s="392" t="n"/>
      <c r="AS5" s="392" t="n"/>
      <c r="AT5" s="392" t="n"/>
      <c r="AU5" s="392" t="n"/>
      <c r="AV5" s="392" t="n"/>
      <c r="AW5" s="392" t="n"/>
      <c r="AX5" s="392" t="n"/>
      <c r="AY5" s="392" t="n"/>
      <c r="AZ5" s="392" t="n"/>
      <c r="BA5" s="392" t="n"/>
      <c r="BB5" s="392" t="n"/>
      <c r="BC5" s="392" t="n"/>
      <c r="BD5" s="392" t="n"/>
      <c r="BE5" s="392" t="n"/>
      <c r="BF5" s="392" t="n"/>
      <c r="BG5" s="392" t="n"/>
      <c r="BH5" s="392" t="n"/>
      <c r="BI5" s="392" t="n"/>
      <c r="BJ5" s="392" t="n"/>
      <c r="BK5" s="392" t="n"/>
      <c r="BL5" s="392" t="n"/>
      <c r="BM5" s="392" t="n"/>
      <c r="BN5" s="392" t="n"/>
      <c r="BO5" s="392" t="n"/>
      <c r="BP5" s="392" t="n"/>
      <c r="BQ5" s="392" t="n"/>
      <c r="BR5" s="392" t="n"/>
      <c r="BS5" s="392" t="n"/>
      <c r="BT5" s="392" t="n"/>
      <c r="BU5" s="392" t="n"/>
      <c r="BV5" s="392" t="n"/>
      <c r="BW5" s="392" t="n"/>
      <c r="BX5" s="392" t="n"/>
      <c r="BY5" s="392" t="n"/>
      <c r="BZ5" s="392" t="n"/>
      <c r="CA5" s="392" t="n"/>
      <c r="CB5" s="392" t="n"/>
      <c r="CC5" s="392" t="n"/>
      <c r="CD5" s="392" t="n"/>
      <c r="CE5" s="392" t="n"/>
      <c r="CF5" s="392" t="n"/>
      <c r="CG5" s="392" t="n"/>
      <c r="CH5" s="392" t="n"/>
      <c r="CI5" s="392" t="n"/>
      <c r="CJ5" s="392" t="n"/>
      <c r="CK5" s="392" t="n"/>
      <c r="CL5" s="392" t="n"/>
      <c r="CM5" s="392" t="n"/>
      <c r="CN5" s="392" t="n"/>
      <c r="CO5" s="392" t="n"/>
      <c r="CP5" s="392" t="n"/>
      <c r="CQ5" s="392" t="n"/>
      <c r="CR5" s="392" t="n"/>
      <c r="CS5" s="392" t="n"/>
      <c r="CT5" s="392" t="n"/>
      <c r="CU5" s="392" t="n"/>
      <c r="CV5" s="392" t="n"/>
      <c r="CW5" s="392" t="n"/>
      <c r="CX5" s="392" t="n"/>
      <c r="CY5" s="392" t="n"/>
      <c r="CZ5" s="392" t="n"/>
      <c r="DA5" s="392" t="n"/>
      <c r="DB5" s="392" t="n"/>
      <c r="DC5" s="392" t="n"/>
      <c r="DD5" s="392" t="n"/>
      <c r="DE5" s="392" t="n"/>
    </row>
    <row r="6" ht="42" customFormat="1" customHeight="1" s="394">
      <c r="A6" s="395" t="n"/>
      <c r="B6" s="396" t="n"/>
      <c r="C6" s="396" t="n"/>
      <c r="D6" s="396" t="n"/>
      <c r="E6" s="396">
        <f>MID(IF(AND(Projects!$G$2="Yes",Projects!$C$2=E$3),", "&amp;Projects!$A$2,"")&amp;IF(AND(Projects!$G$3="Yes",Projects!$C$3=E$3),", "&amp;Projects!$A$3,"")&amp;IF(AND(Projects!$G$4="Yes",Projects!$C$4=E$3),", "&amp;Projects!$A$4,"")&amp;IF(AND(Projects!$G$5="Yes",Projects!$C$5=E$3),", "&amp;Projects!$A$5,"")&amp;IF(AND(Projects!$G$6="Yes",Projects!$C$6=E$3),", "&amp;Projects!$A$6,"")&amp;IF(AND(Projects!$G$7="Yes",Projects!$C$7=E$3),", "&amp;Projects!$A$7,"")&amp;IF(AND(Projects!$G$8="Yes",Projects!$C$8=E$3),", "&amp;Projects!$A$8,"")&amp;IF(AND(Projects!$G$9="Yes",Projects!$C$9=E$3),", "&amp;Projects!$A$9,"")&amp;IF(AND(Projects!$G$10="Yes",Projects!$C$10=E$3),", "&amp;Projects!$A$10,"")&amp;IF(AND(Projects!$G$11="Yes",Projects!$C$11=E$3),", "&amp;Projects!$A$11,"")&amp;IF(AND(Projects!$G$12="Yes",Projects!$C$12=E$3),", "&amp;Projects!$A$12,"")&amp;IF(AND(Projects!$G$13="Yes",Projects!$C$13=E$3),", "&amp;Projects!$A$13,"")&amp;IF(AND(Projects!$G$14="Yes",Projects!$C$14=E$3),", "&amp;Projects!$A$14,"")&amp;IF(AND(Projects!$G$15="Yes",Projects!$C$15=E$3),", "&amp;Projects!$A$15,"")&amp;IF(AND(Projects!$G$16="Yes",Projects!$C$16=E$3),", "&amp;Projects!$A$16,"")&amp;IF(AND(Projects!$G$17="Yes",Projects!$C$17=E$3),", "&amp;Projects!$A$17,"")&amp;IF(AND(Projects!$G$18="Yes",Projects!$C$18=E$3),", "&amp;Projects!$A$18,"")&amp;IF(AND(Projects!$G$19="Yes",Projects!$C$19=E$3),", "&amp;Projects!$A$19,"")&amp;IF(AND(Projects!$G$20="Yes",Projects!$C$20=E$3),", "&amp;Projects!$A$20,"")&amp;IF(AND(Projects!$G$21="Yes",Projects!$C$21=E$3),", "&amp;Projects!$A$21,"")&amp;IF(AND(Projects!$G$22="Yes",Projects!$C$22=E$3),", "&amp;Projects!$A$22,"")&amp;IF(AND(Projects!$G$23="Yes",Projects!$C$23=E$3),", "&amp;Projects!$A$23,"")&amp;IF(AND(Projects!$G$24="Yes",Projects!$C$24=E$3),", "&amp;Projects!$A$24,"")&amp;IF(AND(Projects!$G$25="Yes",Projects!$C$25=E$3),", "&amp;Projects!$A$25,"")&amp;IF(AND(Projects!$G$26="Yes",Projects!$C$26=E$3),", "&amp;Projects!$A$26,"")&amp;IF(AND(Projects!$G$27="Yes",Projects!$C$27=E$3),", "&amp;Projects!$A$27,"")&amp;IF(AND(Projects!$G$28="Yes",Projects!$C$28=E$3),", "&amp;Projects!$A$28,"")&amp;IF(AND(Projects!$G$29="Yes",Projects!$C$29=E$3),", "&amp;Projects!$A$29,"")&amp;IF(AND(Projects!$G$30="Yes",Projects!$C$30=E$3),", "&amp;Projects!$A$30,"")&amp;IF(AND(Projects!$G$31="Yes",Projects!$C$31=E$3),", "&amp;Projects!$A$31,"")&amp;IF(AND(Projects!$G$32="Yes",Projects!$C$32=E$3),", "&amp;Projects!$A$32,"")&amp;IF(AND(Projects!$G$33="Yes",Projects!$C$33=E$3),", "&amp;Projects!$A$33,"")&amp;IF(AND(Projects!$G$34="Yes",Projects!$C$34=E$3),", "&amp;Projects!$A$34,"")&amp;IF(AND(Projects!$G$35="Yes",Projects!$C$35=E$3),", "&amp;Projects!$A$35,"")&amp;IF(AND(Projects!$G$36="Yes",Projects!$C$36=E$3),", "&amp;Projects!$A$36,"")&amp;IF(AND(Projects!$G$37="Yes",Projects!$C$37=E$3),", "&amp;Projects!$A$37,"")&amp;IF(AND(Projects!$G$38="Yes",Projects!$C$38=E$3),", "&amp;Projects!$A$38,"")&amp;IF(AND(Projects!$G$39="Yes",Projects!$C$39=E$3),", "&amp;Projects!$A$39,"")&amp;IF(AND(Projects!$G$40="Yes",Projects!$C$40=E$3),", "&amp;Projects!$A$40,"")&amp;IF(AND(Projects!$G$41="Yes",Projects!$C$41=E$3),", "&amp;Projects!$A$41,"")&amp;IF(AND(Projects!$G$42="Yes",Projects!$C$42=E$3),", "&amp;Projects!$A$42,"")&amp;IF(AND(Projects!$G$43="Yes",Projects!$C$43=E$3),", "&amp;Projects!$A$43,"")&amp;IF(AND(Projects!$G$44="Yes",Projects!$C$44=E$3),", "&amp;Projects!$A$44,"")&amp;IF(AND(Projects!$G$45="Yes",Projects!$C$45=E$3),", "&amp;Projects!$A$45,"")&amp;IF(AND(Projects!$G$46="Yes",Projects!$C$46=E$3),", "&amp;Projects!$A$46,""),3,10000)</f>
        <v/>
      </c>
      <c r="F6" s="396">
        <f>MID(IF(AND(Projects!$G$2="Yes",Projects!$C$2=F$3),", "&amp;Projects!$A$2,"")&amp;IF(AND(Projects!$G$3="Yes",Projects!$C$3=F$3),", "&amp;Projects!$A$3,"")&amp;IF(AND(Projects!$G$4="Yes",Projects!$C$4=F$3),", "&amp;Projects!$A$4,"")&amp;IF(AND(Projects!$G$5="Yes",Projects!$C$5=F$3),", "&amp;Projects!$A$5,"")&amp;IF(AND(Projects!$G$6="Yes",Projects!$C$6=F$3),", "&amp;Projects!$A$6,"")&amp;IF(AND(Projects!$G$7="Yes",Projects!$C$7=F$3),", "&amp;Projects!$A$7,"")&amp;IF(AND(Projects!$G$8="Yes",Projects!$C$8=F$3),", "&amp;Projects!$A$8,"")&amp;IF(AND(Projects!$G$9="Yes",Projects!$C$9=F$3),", "&amp;Projects!$A$9,"")&amp;IF(AND(Projects!$G$10="Yes",Projects!$C$10=F$3),", "&amp;Projects!$A$10,"")&amp;IF(AND(Projects!$G$11="Yes",Projects!$C$11=F$3),", "&amp;Projects!$A$11,"")&amp;IF(AND(Projects!$G$12="Yes",Projects!$C$12=F$3),", "&amp;Projects!$A$12,"")&amp;IF(AND(Projects!$G$13="Yes",Projects!$C$13=F$3),", "&amp;Projects!$A$13,"")&amp;IF(AND(Projects!$G$14="Yes",Projects!$C$14=F$3),", "&amp;Projects!$A$14,"")&amp;IF(AND(Projects!$G$15="Yes",Projects!$C$15=F$3),", "&amp;Projects!$A$15,"")&amp;IF(AND(Projects!$G$16="Yes",Projects!$C$16=F$3),", "&amp;Projects!$A$16,"")&amp;IF(AND(Projects!$G$17="Yes",Projects!$C$17=F$3),", "&amp;Projects!$A$17,"")&amp;IF(AND(Projects!$G$18="Yes",Projects!$C$18=F$3),", "&amp;Projects!$A$18,"")&amp;IF(AND(Projects!$G$19="Yes",Projects!$C$19=F$3),", "&amp;Projects!$A$19,"")&amp;IF(AND(Projects!$G$20="Yes",Projects!$C$20=F$3),", "&amp;Projects!$A$20,"")&amp;IF(AND(Projects!$G$21="Yes",Projects!$C$21=F$3),", "&amp;Projects!$A$21,"")&amp;IF(AND(Projects!$G$22="Yes",Projects!$C$22=F$3),", "&amp;Projects!$A$22,"")&amp;IF(AND(Projects!$G$23="Yes",Projects!$C$23=F$3),", "&amp;Projects!$A$23,"")&amp;IF(AND(Projects!$G$24="Yes",Projects!$C$24=F$3),", "&amp;Projects!$A$24,"")&amp;IF(AND(Projects!$G$25="Yes",Projects!$C$25=F$3),", "&amp;Projects!$A$25,"")&amp;IF(AND(Projects!$G$26="Yes",Projects!$C$26=F$3),", "&amp;Projects!$A$26,"")&amp;IF(AND(Projects!$G$27="Yes",Projects!$C$27=F$3),", "&amp;Projects!$A$27,"")&amp;IF(AND(Projects!$G$28="Yes",Projects!$C$28=F$3),", "&amp;Projects!$A$28,"")&amp;IF(AND(Projects!$G$29="Yes",Projects!$C$29=F$3),", "&amp;Projects!$A$29,"")&amp;IF(AND(Projects!$G$30="Yes",Projects!$C$30=F$3),", "&amp;Projects!$A$30,"")&amp;IF(AND(Projects!$G$31="Yes",Projects!$C$31=F$3),", "&amp;Projects!$A$31,"")&amp;IF(AND(Projects!$G$32="Yes",Projects!$C$32=F$3),", "&amp;Projects!$A$32,"")&amp;IF(AND(Projects!$G$33="Yes",Projects!$C$33=F$3),", "&amp;Projects!$A$33,"")&amp;IF(AND(Projects!$G$34="Yes",Projects!$C$34=F$3),", "&amp;Projects!$A$34,"")&amp;IF(AND(Projects!$G$35="Yes",Projects!$C$35=F$3),", "&amp;Projects!$A$35,"")&amp;IF(AND(Projects!$G$36="Yes",Projects!$C$36=F$3),", "&amp;Projects!$A$36,"")&amp;IF(AND(Projects!$G$37="Yes",Projects!$C$37=F$3),", "&amp;Projects!$A$37,"")&amp;IF(AND(Projects!$G$38="Yes",Projects!$C$38=F$3),", "&amp;Projects!$A$38,"")&amp;IF(AND(Projects!$G$39="Yes",Projects!$C$39=F$3),", "&amp;Projects!$A$39,"")&amp;IF(AND(Projects!$G$40="Yes",Projects!$C$40=F$3),", "&amp;Projects!$A$40,"")&amp;IF(AND(Projects!$G$41="Yes",Projects!$C$41=F$3),", "&amp;Projects!$A$41,"")&amp;IF(AND(Projects!$G$42="Yes",Projects!$C$42=F$3),", "&amp;Projects!$A$42,"")&amp;IF(AND(Projects!$G$43="Yes",Projects!$C$43=F$3),", "&amp;Projects!$A$43,"")&amp;IF(AND(Projects!$G$44="Yes",Projects!$C$44=F$3),", "&amp;Projects!$A$44,"")&amp;IF(AND(Projects!$G$45="Yes",Projects!$C$45=F$3),", "&amp;Projects!$A$45,"")&amp;IF(AND(Projects!$G$46="Yes",Projects!$C$46=F$3),", "&amp;Projects!$A$46,""),3,10000)</f>
        <v/>
      </c>
      <c r="G6" s="396">
        <f>MID(IF(AND(Projects!$G$2="Yes",Projects!$C$2=G$3),", "&amp;Projects!$A$2,"")&amp;IF(AND(Projects!$G$3="Yes",Projects!$C$3=G$3),", "&amp;Projects!$A$3,"")&amp;IF(AND(Projects!$G$4="Yes",Projects!$C$4=G$3),", "&amp;Projects!$A$4,"")&amp;IF(AND(Projects!$G$5="Yes",Projects!$C$5=G$3),", "&amp;Projects!$A$5,"")&amp;IF(AND(Projects!$G$6="Yes",Projects!$C$6=G$3),", "&amp;Projects!$A$6,"")&amp;IF(AND(Projects!$G$7="Yes",Projects!$C$7=G$3),", "&amp;Projects!$A$7,"")&amp;IF(AND(Projects!$G$8="Yes",Projects!$C$8=G$3),", "&amp;Projects!$A$8,"")&amp;IF(AND(Projects!$G$9="Yes",Projects!$C$9=G$3),", "&amp;Projects!$A$9,"")&amp;IF(AND(Projects!$G$10="Yes",Projects!$C$10=G$3),", "&amp;Projects!$A$10,"")&amp;IF(AND(Projects!$G$11="Yes",Projects!$C$11=G$3),", "&amp;Projects!$A$11,"")&amp;IF(AND(Projects!$G$12="Yes",Projects!$C$12=G$3),", "&amp;Projects!$A$12,"")&amp;IF(AND(Projects!$G$13="Yes",Projects!$C$13=G$3),", "&amp;Projects!$A$13,"")&amp;IF(AND(Projects!$G$14="Yes",Projects!$C$14=G$3),", "&amp;Projects!$A$14,"")&amp;IF(AND(Projects!$G$15="Yes",Projects!$C$15=G$3),", "&amp;Projects!$A$15,"")&amp;IF(AND(Projects!$G$16="Yes",Projects!$C$16=G$3),", "&amp;Projects!$A$16,"")&amp;IF(AND(Projects!$G$17="Yes",Projects!$C$17=G$3),", "&amp;Projects!$A$17,"")&amp;IF(AND(Projects!$G$18="Yes",Projects!$C$18=G$3),", "&amp;Projects!$A$18,"")&amp;IF(AND(Projects!$G$19="Yes",Projects!$C$19=G$3),", "&amp;Projects!$A$19,"")&amp;IF(AND(Projects!$G$20="Yes",Projects!$C$20=G$3),", "&amp;Projects!$A$20,"")&amp;IF(AND(Projects!$G$21="Yes",Projects!$C$21=G$3),", "&amp;Projects!$A$21,"")&amp;IF(AND(Projects!$G$22="Yes",Projects!$C$22=G$3),", "&amp;Projects!$A$22,"")&amp;IF(AND(Projects!$G$23="Yes",Projects!$C$23=G$3),", "&amp;Projects!$A$23,"")&amp;IF(AND(Projects!$G$24="Yes",Projects!$C$24=G$3),", "&amp;Projects!$A$24,"")&amp;IF(AND(Projects!$G$25="Yes",Projects!$C$25=G$3),", "&amp;Projects!$A$25,"")&amp;IF(AND(Projects!$G$26="Yes",Projects!$C$26=G$3),", "&amp;Projects!$A$26,"")&amp;IF(AND(Projects!$G$27="Yes",Projects!$C$27=G$3),", "&amp;Projects!$A$27,"")&amp;IF(AND(Projects!$G$28="Yes",Projects!$C$28=G$3),", "&amp;Projects!$A$28,"")&amp;IF(AND(Projects!$G$29="Yes",Projects!$C$29=G$3),", "&amp;Projects!$A$29,"")&amp;IF(AND(Projects!$G$30="Yes",Projects!$C$30=G$3),", "&amp;Projects!$A$30,"")&amp;IF(AND(Projects!$G$31="Yes",Projects!$C$31=G$3),", "&amp;Projects!$A$31,"")&amp;IF(AND(Projects!$G$32="Yes",Projects!$C$32=G$3),", "&amp;Projects!$A$32,"")&amp;IF(AND(Projects!$G$33="Yes",Projects!$C$33=G$3),", "&amp;Projects!$A$33,"")&amp;IF(AND(Projects!$G$34="Yes",Projects!$C$34=G$3),", "&amp;Projects!$A$34,"")&amp;IF(AND(Projects!$G$35="Yes",Projects!$C$35=G$3),", "&amp;Projects!$A$35,"")&amp;IF(AND(Projects!$G$36="Yes",Projects!$C$36=G$3),", "&amp;Projects!$A$36,"")&amp;IF(AND(Projects!$G$37="Yes",Projects!$C$37=G$3),", "&amp;Projects!$A$37,"")&amp;IF(AND(Projects!$G$38="Yes",Projects!$C$38=G$3),", "&amp;Projects!$A$38,"")&amp;IF(AND(Projects!$G$39="Yes",Projects!$C$39=G$3),", "&amp;Projects!$A$39,"")&amp;IF(AND(Projects!$G$40="Yes",Projects!$C$40=G$3),", "&amp;Projects!$A$40,"")&amp;IF(AND(Projects!$G$41="Yes",Projects!$C$41=G$3),", "&amp;Projects!$A$41,"")&amp;IF(AND(Projects!$G$42="Yes",Projects!$C$42=G$3),", "&amp;Projects!$A$42,"")&amp;IF(AND(Projects!$G$43="Yes",Projects!$C$43=G$3),", "&amp;Projects!$A$43,"")&amp;IF(AND(Projects!$G$44="Yes",Projects!$C$44=G$3),", "&amp;Projects!$A$44,"")&amp;IF(AND(Projects!$G$45="Yes",Projects!$C$45=G$3),", "&amp;Projects!$A$45,"")&amp;IF(AND(Projects!$G$46="Yes",Projects!$C$46=G$3),", "&amp;Projects!$A$46,""),3,10000)</f>
        <v/>
      </c>
      <c r="H6" s="396">
        <f>MID(IF(AND(Projects!$G$2="Yes",Projects!$C$2=H$3),", "&amp;Projects!$A$2,"")&amp;IF(AND(Projects!$G$3="Yes",Projects!$C$3=H$3),", "&amp;Projects!$A$3,"")&amp;IF(AND(Projects!$G$4="Yes",Projects!$C$4=H$3),", "&amp;Projects!$A$4,"")&amp;IF(AND(Projects!$G$5="Yes",Projects!$C$5=H$3),", "&amp;Projects!$A$5,"")&amp;IF(AND(Projects!$G$6="Yes",Projects!$C$6=H$3),", "&amp;Projects!$A$6,"")&amp;IF(AND(Projects!$G$7="Yes",Projects!$C$7=H$3),", "&amp;Projects!$A$7,"")&amp;IF(AND(Projects!$G$8="Yes",Projects!$C$8=H$3),", "&amp;Projects!$A$8,"")&amp;IF(AND(Projects!$G$9="Yes",Projects!$C$9=H$3),", "&amp;Projects!$A$9,"")&amp;IF(AND(Projects!$G$10="Yes",Projects!$C$10=H$3),", "&amp;Projects!$A$10,"")&amp;IF(AND(Projects!$G$11="Yes",Projects!$C$11=H$3),", "&amp;Projects!$A$11,"")&amp;IF(AND(Projects!$G$12="Yes",Projects!$C$12=H$3),", "&amp;Projects!$A$12,"")&amp;IF(AND(Projects!$G$13="Yes",Projects!$C$13=H$3),", "&amp;Projects!$A$13,"")&amp;IF(AND(Projects!$G$14="Yes",Projects!$C$14=H$3),", "&amp;Projects!$A$14,"")&amp;IF(AND(Projects!$G$15="Yes",Projects!$C$15=H$3),", "&amp;Projects!$A$15,"")&amp;IF(AND(Projects!$G$16="Yes",Projects!$C$16=H$3),", "&amp;Projects!$A$16,"")&amp;IF(AND(Projects!$G$17="Yes",Projects!$C$17=H$3),", "&amp;Projects!$A$17,"")&amp;IF(AND(Projects!$G$18="Yes",Projects!$C$18=H$3),", "&amp;Projects!$A$18,"")&amp;IF(AND(Projects!$G$19="Yes",Projects!$C$19=H$3),", "&amp;Projects!$A$19,"")&amp;IF(AND(Projects!$G$20="Yes",Projects!$C$20=H$3),", "&amp;Projects!$A$20,"")&amp;IF(AND(Projects!$G$21="Yes",Projects!$C$21=H$3),", "&amp;Projects!$A$21,"")&amp;IF(AND(Projects!$G$22="Yes",Projects!$C$22=H$3),", "&amp;Projects!$A$22,"")&amp;IF(AND(Projects!$G$23="Yes",Projects!$C$23=H$3),", "&amp;Projects!$A$23,"")&amp;IF(AND(Projects!$G$24="Yes",Projects!$C$24=H$3),", "&amp;Projects!$A$24,"")&amp;IF(AND(Projects!$G$25="Yes",Projects!$C$25=H$3),", "&amp;Projects!$A$25,"")&amp;IF(AND(Projects!$G$26="Yes",Projects!$C$26=H$3),", "&amp;Projects!$A$26,"")&amp;IF(AND(Projects!$G$27="Yes",Projects!$C$27=H$3),", "&amp;Projects!$A$27,"")&amp;IF(AND(Projects!$G$28="Yes",Projects!$C$28=H$3),", "&amp;Projects!$A$28,"")&amp;IF(AND(Projects!$G$29="Yes",Projects!$C$29=H$3),", "&amp;Projects!$A$29,"")&amp;IF(AND(Projects!$G$30="Yes",Projects!$C$30=H$3),", "&amp;Projects!$A$30,"")&amp;IF(AND(Projects!$G$31="Yes",Projects!$C$31=H$3),", "&amp;Projects!$A$31,"")&amp;IF(AND(Projects!$G$32="Yes",Projects!$C$32=H$3),", "&amp;Projects!$A$32,"")&amp;IF(AND(Projects!$G$33="Yes",Projects!$C$33=H$3),", "&amp;Projects!$A$33,"")&amp;IF(AND(Projects!$G$34="Yes",Projects!$C$34=H$3),", "&amp;Projects!$A$34,"")&amp;IF(AND(Projects!$G$35="Yes",Projects!$C$35=H$3),", "&amp;Projects!$A$35,"")&amp;IF(AND(Projects!$G$36="Yes",Projects!$C$36=H$3),", "&amp;Projects!$A$36,"")&amp;IF(AND(Projects!$G$37="Yes",Projects!$C$37=H$3),", "&amp;Projects!$A$37,"")&amp;IF(AND(Projects!$G$38="Yes",Projects!$C$38=H$3),", "&amp;Projects!$A$38,"")&amp;IF(AND(Projects!$G$39="Yes",Projects!$C$39=H$3),", "&amp;Projects!$A$39,"")&amp;IF(AND(Projects!$G$40="Yes",Projects!$C$40=H$3),", "&amp;Projects!$A$40,"")&amp;IF(AND(Projects!$G$41="Yes",Projects!$C$41=H$3),", "&amp;Projects!$A$41,"")&amp;IF(AND(Projects!$G$42="Yes",Projects!$C$42=H$3),", "&amp;Projects!$A$42,"")&amp;IF(AND(Projects!$G$43="Yes",Projects!$C$43=H$3),", "&amp;Projects!$A$43,"")&amp;IF(AND(Projects!$G$44="Yes",Projects!$C$44=H$3),", "&amp;Projects!$A$44,"")&amp;IF(AND(Projects!$G$45="Yes",Projects!$C$45=H$3),", "&amp;Projects!$A$45,"")&amp;IF(AND(Projects!$G$46="Yes",Projects!$C$46=H$3),", "&amp;Projects!$A$46,""),3,10000)</f>
        <v/>
      </c>
      <c r="I6" s="396">
        <f>MID(IF(AND(Projects!$G$2="Yes",Projects!$C$2=I$3),", "&amp;Projects!$A$2,"")&amp;IF(AND(Projects!$G$3="Yes",Projects!$C$3=I$3),", "&amp;Projects!$A$3,"")&amp;IF(AND(Projects!$G$4="Yes",Projects!$C$4=I$3),", "&amp;Projects!$A$4,"")&amp;IF(AND(Projects!$G$5="Yes",Projects!$C$5=I$3),", "&amp;Projects!$A$5,"")&amp;IF(AND(Projects!$G$6="Yes",Projects!$C$6=I$3),", "&amp;Projects!$A$6,"")&amp;IF(AND(Projects!$G$7="Yes",Projects!$C$7=I$3),", "&amp;Projects!$A$7,"")&amp;IF(AND(Projects!$G$8="Yes",Projects!$C$8=I$3),", "&amp;Projects!$A$8,"")&amp;IF(AND(Projects!$G$9="Yes",Projects!$C$9=I$3),", "&amp;Projects!$A$9,"")&amp;IF(AND(Projects!$G$10="Yes",Projects!$C$10=I$3),", "&amp;Projects!$A$10,"")&amp;IF(AND(Projects!$G$11="Yes",Projects!$C$11=I$3),", "&amp;Projects!$A$11,"")&amp;IF(AND(Projects!$G$12="Yes",Projects!$C$12=I$3),", "&amp;Projects!$A$12,"")&amp;IF(AND(Projects!$G$13="Yes",Projects!$C$13=I$3),", "&amp;Projects!$A$13,"")&amp;IF(AND(Projects!$G$14="Yes",Projects!$C$14=I$3),", "&amp;Projects!$A$14,"")&amp;IF(AND(Projects!$G$15="Yes",Projects!$C$15=I$3),", "&amp;Projects!$A$15,"")&amp;IF(AND(Projects!$G$16="Yes",Projects!$C$16=I$3),", "&amp;Projects!$A$16,"")&amp;IF(AND(Projects!$G$17="Yes",Projects!$C$17=I$3),", "&amp;Projects!$A$17,"")&amp;IF(AND(Projects!$G$18="Yes",Projects!$C$18=I$3),", "&amp;Projects!$A$18,"")&amp;IF(AND(Projects!$G$19="Yes",Projects!$C$19=I$3),", "&amp;Projects!$A$19,"")&amp;IF(AND(Projects!$G$20="Yes",Projects!$C$20=I$3),", "&amp;Projects!$A$20,"")&amp;IF(AND(Projects!$G$21="Yes",Projects!$C$21=I$3),", "&amp;Projects!$A$21,"")&amp;IF(AND(Projects!$G$22="Yes",Projects!$C$22=I$3),", "&amp;Projects!$A$22,"")&amp;IF(AND(Projects!$G$23="Yes",Projects!$C$23=I$3),", "&amp;Projects!$A$23,"")&amp;IF(AND(Projects!$G$24="Yes",Projects!$C$24=I$3),", "&amp;Projects!$A$24,"")&amp;IF(AND(Projects!$G$25="Yes",Projects!$C$25=I$3),", "&amp;Projects!$A$25,"")&amp;IF(AND(Projects!$G$26="Yes",Projects!$C$26=I$3),", "&amp;Projects!$A$26,"")&amp;IF(AND(Projects!$G$27="Yes",Projects!$C$27=I$3),", "&amp;Projects!$A$27,"")&amp;IF(AND(Projects!$G$28="Yes",Projects!$C$28=I$3),", "&amp;Projects!$A$28,"")&amp;IF(AND(Projects!$G$29="Yes",Projects!$C$29=I$3),", "&amp;Projects!$A$29,"")&amp;IF(AND(Projects!$G$30="Yes",Projects!$C$30=I$3),", "&amp;Projects!$A$30,"")&amp;IF(AND(Projects!$G$31="Yes",Projects!$C$31=I$3),", "&amp;Projects!$A$31,"")&amp;IF(AND(Projects!$G$32="Yes",Projects!$C$32=I$3),", "&amp;Projects!$A$32,"")&amp;IF(AND(Projects!$G$33="Yes",Projects!$C$33=I$3),", "&amp;Projects!$A$33,"")&amp;IF(AND(Projects!$G$34="Yes",Projects!$C$34=I$3),", "&amp;Projects!$A$34,"")&amp;IF(AND(Projects!$G$35="Yes",Projects!$C$35=I$3),", "&amp;Projects!$A$35,"")&amp;IF(AND(Projects!$G$36="Yes",Projects!$C$36=I$3),", "&amp;Projects!$A$36,"")&amp;IF(AND(Projects!$G$37="Yes",Projects!$C$37=I$3),", "&amp;Projects!$A$37,"")&amp;IF(AND(Projects!$G$38="Yes",Projects!$C$38=I$3),", "&amp;Projects!$A$38,"")&amp;IF(AND(Projects!$G$39="Yes",Projects!$C$39=I$3),", "&amp;Projects!$A$39,"")&amp;IF(AND(Projects!$G$40="Yes",Projects!$C$40=I$3),", "&amp;Projects!$A$40,"")&amp;IF(AND(Projects!$G$41="Yes",Projects!$C$41=I$3),", "&amp;Projects!$A$41,"")&amp;IF(AND(Projects!$G$42="Yes",Projects!$C$42=I$3),", "&amp;Projects!$A$42,"")&amp;IF(AND(Projects!$G$43="Yes",Projects!$C$43=I$3),", "&amp;Projects!$A$43,"")&amp;IF(AND(Projects!$G$44="Yes",Projects!$C$44=I$3),", "&amp;Projects!$A$44,"")&amp;IF(AND(Projects!$G$45="Yes",Projects!$C$45=I$3),", "&amp;Projects!$A$45,"")&amp;IF(AND(Projects!$G$46="Yes",Projects!$C$46=I$3),", "&amp;Projects!$A$46,""),3,10000)</f>
        <v/>
      </c>
      <c r="J6" s="396">
        <f>MID(IF(AND(Projects!$G$2="Yes",Projects!$C$2=J$3),", "&amp;Projects!$A$2,"")&amp;IF(AND(Projects!$G$3="Yes",Projects!$C$3=J$3),", "&amp;Projects!$A$3,"")&amp;IF(AND(Projects!$G$4="Yes",Projects!$C$4=J$3),", "&amp;Projects!$A$4,"")&amp;IF(AND(Projects!$G$5="Yes",Projects!$C$5=J$3),", "&amp;Projects!$A$5,"")&amp;IF(AND(Projects!$G$6="Yes",Projects!$C$6=J$3),", "&amp;Projects!$A$6,"")&amp;IF(AND(Projects!$G$7="Yes",Projects!$C$7=J$3),", "&amp;Projects!$A$7,"")&amp;IF(AND(Projects!$G$8="Yes",Projects!$C$8=J$3),", "&amp;Projects!$A$8,"")&amp;IF(AND(Projects!$G$9="Yes",Projects!$C$9=J$3),", "&amp;Projects!$A$9,"")&amp;IF(AND(Projects!$G$10="Yes",Projects!$C$10=J$3),", "&amp;Projects!$A$10,"")&amp;IF(AND(Projects!$G$11="Yes",Projects!$C$11=J$3),", "&amp;Projects!$A$11,"")&amp;IF(AND(Projects!$G$12="Yes",Projects!$C$12=J$3),", "&amp;Projects!$A$12,"")&amp;IF(AND(Projects!$G$13="Yes",Projects!$C$13=J$3),", "&amp;Projects!$A$13,"")&amp;IF(AND(Projects!$G$14="Yes",Projects!$C$14=J$3),", "&amp;Projects!$A$14,"")&amp;IF(AND(Projects!$G$15="Yes",Projects!$C$15=J$3),", "&amp;Projects!$A$15,"")&amp;IF(AND(Projects!$G$16="Yes",Projects!$C$16=J$3),", "&amp;Projects!$A$16,"")&amp;IF(AND(Projects!$G$17="Yes",Projects!$C$17=J$3),", "&amp;Projects!$A$17,"")&amp;IF(AND(Projects!$G$18="Yes",Projects!$C$18=J$3),", "&amp;Projects!$A$18,"")&amp;IF(AND(Projects!$G$19="Yes",Projects!$C$19=J$3),", "&amp;Projects!$A$19,"")&amp;IF(AND(Projects!$G$20="Yes",Projects!$C$20=J$3),", "&amp;Projects!$A$20,"")&amp;IF(AND(Projects!$G$21="Yes",Projects!$C$21=J$3),", "&amp;Projects!$A$21,"")&amp;IF(AND(Projects!$G$22="Yes",Projects!$C$22=J$3),", "&amp;Projects!$A$22,"")&amp;IF(AND(Projects!$G$23="Yes",Projects!$C$23=J$3),", "&amp;Projects!$A$23,"")&amp;IF(AND(Projects!$G$24="Yes",Projects!$C$24=J$3),", "&amp;Projects!$A$24,"")&amp;IF(AND(Projects!$G$25="Yes",Projects!$C$25=J$3),", "&amp;Projects!$A$25,"")&amp;IF(AND(Projects!$G$26="Yes",Projects!$C$26=J$3),", "&amp;Projects!$A$26,"")&amp;IF(AND(Projects!$G$27="Yes",Projects!$C$27=J$3),", "&amp;Projects!$A$27,"")&amp;IF(AND(Projects!$G$28="Yes",Projects!$C$28=J$3),", "&amp;Projects!$A$28,"")&amp;IF(AND(Projects!$G$29="Yes",Projects!$C$29=J$3),", "&amp;Projects!$A$29,"")&amp;IF(AND(Projects!$G$30="Yes",Projects!$C$30=J$3),", "&amp;Projects!$A$30,"")&amp;IF(AND(Projects!$G$31="Yes",Projects!$C$31=J$3),", "&amp;Projects!$A$31,"")&amp;IF(AND(Projects!$G$32="Yes",Projects!$C$32=J$3),", "&amp;Projects!$A$32,"")&amp;IF(AND(Projects!$G$33="Yes",Projects!$C$33=J$3),", "&amp;Projects!$A$33,"")&amp;IF(AND(Projects!$G$34="Yes",Projects!$C$34=J$3),", "&amp;Projects!$A$34,"")&amp;IF(AND(Projects!$G$35="Yes",Projects!$C$35=J$3),", "&amp;Projects!$A$35,"")&amp;IF(AND(Projects!$G$36="Yes",Projects!$C$36=J$3),", "&amp;Projects!$A$36,"")&amp;IF(AND(Projects!$G$37="Yes",Projects!$C$37=J$3),", "&amp;Projects!$A$37,"")&amp;IF(AND(Projects!$G$38="Yes",Projects!$C$38=J$3),", "&amp;Projects!$A$38,"")&amp;IF(AND(Projects!$G$39="Yes",Projects!$C$39=J$3),", "&amp;Projects!$A$39,"")&amp;IF(AND(Projects!$G$40="Yes",Projects!$C$40=J$3),", "&amp;Projects!$A$40,"")&amp;IF(AND(Projects!$G$41="Yes",Projects!$C$41=J$3),", "&amp;Projects!$A$41,"")&amp;IF(AND(Projects!$G$42="Yes",Projects!$C$42=J$3),", "&amp;Projects!$A$42,"")&amp;IF(AND(Projects!$G$43="Yes",Projects!$C$43=J$3),", "&amp;Projects!$A$43,"")&amp;IF(AND(Projects!$G$44="Yes",Projects!$C$44=J$3),", "&amp;Projects!$A$44,"")&amp;IF(AND(Projects!$G$45="Yes",Projects!$C$45=J$3),", "&amp;Projects!$A$45,"")&amp;IF(AND(Projects!$G$46="Yes",Projects!$C$46=J$3),", "&amp;Projects!$A$46,""),3,10000)</f>
        <v/>
      </c>
      <c r="K6" s="396">
        <f>MID(IF(AND(Projects!$G$2="Yes",Projects!$C$2=K$3),", "&amp;Projects!$A$2,"")&amp;IF(AND(Projects!$G$3="Yes",Projects!$C$3=K$3),", "&amp;Projects!$A$3,"")&amp;IF(AND(Projects!$G$4="Yes",Projects!$C$4=K$3),", "&amp;Projects!$A$4,"")&amp;IF(AND(Projects!$G$5="Yes",Projects!$C$5=K$3),", "&amp;Projects!$A$5,"")&amp;IF(AND(Projects!$G$6="Yes",Projects!$C$6=K$3),", "&amp;Projects!$A$6,"")&amp;IF(AND(Projects!$G$7="Yes",Projects!$C$7=K$3),", "&amp;Projects!$A$7,"")&amp;IF(AND(Projects!$G$8="Yes",Projects!$C$8=K$3),", "&amp;Projects!$A$8,"")&amp;IF(AND(Projects!$G$9="Yes",Projects!$C$9=K$3),", "&amp;Projects!$A$9,"")&amp;IF(AND(Projects!$G$10="Yes",Projects!$C$10=K$3),", "&amp;Projects!$A$10,"")&amp;IF(AND(Projects!$G$11="Yes",Projects!$C$11=K$3),", "&amp;Projects!$A$11,"")&amp;IF(AND(Projects!$G$12="Yes",Projects!$C$12=K$3),", "&amp;Projects!$A$12,"")&amp;IF(AND(Projects!$G$13="Yes",Projects!$C$13=K$3),", "&amp;Projects!$A$13,"")&amp;IF(AND(Projects!$G$14="Yes",Projects!$C$14=K$3),", "&amp;Projects!$A$14,"")&amp;IF(AND(Projects!$G$15="Yes",Projects!$C$15=K$3),", "&amp;Projects!$A$15,"")&amp;IF(AND(Projects!$G$16="Yes",Projects!$C$16=K$3),", "&amp;Projects!$A$16,"")&amp;IF(AND(Projects!$G$17="Yes",Projects!$C$17=K$3),", "&amp;Projects!$A$17,"")&amp;IF(AND(Projects!$G$18="Yes",Projects!$C$18=K$3),", "&amp;Projects!$A$18,"")&amp;IF(AND(Projects!$G$19="Yes",Projects!$C$19=K$3),", "&amp;Projects!$A$19,"")&amp;IF(AND(Projects!$G$20="Yes",Projects!$C$20=K$3),", "&amp;Projects!$A$20,"")&amp;IF(AND(Projects!$G$21="Yes",Projects!$C$21=K$3),", "&amp;Projects!$A$21,"")&amp;IF(AND(Projects!$G$22="Yes",Projects!$C$22=K$3),", "&amp;Projects!$A$22,"")&amp;IF(AND(Projects!$G$23="Yes",Projects!$C$23=K$3),", "&amp;Projects!$A$23,"")&amp;IF(AND(Projects!$G$24="Yes",Projects!$C$24=K$3),", "&amp;Projects!$A$24,"")&amp;IF(AND(Projects!$G$25="Yes",Projects!$C$25=K$3),", "&amp;Projects!$A$25,"")&amp;IF(AND(Projects!$G$26="Yes",Projects!$C$26=K$3),", "&amp;Projects!$A$26,"")&amp;IF(AND(Projects!$G$27="Yes",Projects!$C$27=K$3),", "&amp;Projects!$A$27,"")&amp;IF(AND(Projects!$G$28="Yes",Projects!$C$28=K$3),", "&amp;Projects!$A$28,"")&amp;IF(AND(Projects!$G$29="Yes",Projects!$C$29=K$3),", "&amp;Projects!$A$29,"")&amp;IF(AND(Projects!$G$30="Yes",Projects!$C$30=K$3),", "&amp;Projects!$A$30,"")&amp;IF(AND(Projects!$G$31="Yes",Projects!$C$31=K$3),", "&amp;Projects!$A$31,"")&amp;IF(AND(Projects!$G$32="Yes",Projects!$C$32=K$3),", "&amp;Projects!$A$32,"")&amp;IF(AND(Projects!$G$33="Yes",Projects!$C$33=K$3),", "&amp;Projects!$A$33,"")&amp;IF(AND(Projects!$G$34="Yes",Projects!$C$34=K$3),", "&amp;Projects!$A$34,"")&amp;IF(AND(Projects!$G$35="Yes",Projects!$C$35=K$3),", "&amp;Projects!$A$35,"")&amp;IF(AND(Projects!$G$36="Yes",Projects!$C$36=K$3),", "&amp;Projects!$A$36,"")&amp;IF(AND(Projects!$G$37="Yes",Projects!$C$37=K$3),", "&amp;Projects!$A$37,"")&amp;IF(AND(Projects!$G$38="Yes",Projects!$C$38=K$3),", "&amp;Projects!$A$38,"")&amp;IF(AND(Projects!$G$39="Yes",Projects!$C$39=K$3),", "&amp;Projects!$A$39,"")&amp;IF(AND(Projects!$G$40="Yes",Projects!$C$40=K$3),", "&amp;Projects!$A$40,"")&amp;IF(AND(Projects!$G$41="Yes",Projects!$C$41=K$3),", "&amp;Projects!$A$41,"")&amp;IF(AND(Projects!$G$42="Yes",Projects!$C$42=K$3),", "&amp;Projects!$A$42,"")&amp;IF(AND(Projects!$G$43="Yes",Projects!$C$43=K$3),", "&amp;Projects!$A$43,"")&amp;IF(AND(Projects!$G$44="Yes",Projects!$C$44=K$3),", "&amp;Projects!$A$44,"")&amp;IF(AND(Projects!$G$45="Yes",Projects!$C$45=K$3),", "&amp;Projects!$A$45,"")&amp;IF(AND(Projects!$G$46="Yes",Projects!$C$46=K$3),", "&amp;Projects!$A$46,""),3,10000)</f>
        <v/>
      </c>
      <c r="L6" s="396">
        <f>MID(IF(AND(Projects!$G$2="Yes",Projects!$C$2=L$3),", "&amp;Projects!$A$2,"")&amp;IF(AND(Projects!$G$3="Yes",Projects!$C$3=L$3),", "&amp;Projects!$A$3,"")&amp;IF(AND(Projects!$G$4="Yes",Projects!$C$4=L$3),", "&amp;Projects!$A$4,"")&amp;IF(AND(Projects!$G$5="Yes",Projects!$C$5=L$3),", "&amp;Projects!$A$5,"")&amp;IF(AND(Projects!$G$6="Yes",Projects!$C$6=L$3),", "&amp;Projects!$A$6,"")&amp;IF(AND(Projects!$G$7="Yes",Projects!$C$7=L$3),", "&amp;Projects!$A$7,"")&amp;IF(AND(Projects!$G$8="Yes",Projects!$C$8=L$3),", "&amp;Projects!$A$8,"")&amp;IF(AND(Projects!$G$9="Yes",Projects!$C$9=L$3),", "&amp;Projects!$A$9,"")&amp;IF(AND(Projects!$G$10="Yes",Projects!$C$10=L$3),", "&amp;Projects!$A$10,"")&amp;IF(AND(Projects!$G$11="Yes",Projects!$C$11=L$3),", "&amp;Projects!$A$11,"")&amp;IF(AND(Projects!$G$12="Yes",Projects!$C$12=L$3),", "&amp;Projects!$A$12,"")&amp;IF(AND(Projects!$G$13="Yes",Projects!$C$13=L$3),", "&amp;Projects!$A$13,"")&amp;IF(AND(Projects!$G$14="Yes",Projects!$C$14=L$3),", "&amp;Projects!$A$14,"")&amp;IF(AND(Projects!$G$15="Yes",Projects!$C$15=L$3),", "&amp;Projects!$A$15,"")&amp;IF(AND(Projects!$G$16="Yes",Projects!$C$16=L$3),", "&amp;Projects!$A$16,"")&amp;IF(AND(Projects!$G$17="Yes",Projects!$C$17=L$3),", "&amp;Projects!$A$17,"")&amp;IF(AND(Projects!$G$18="Yes",Projects!$C$18=L$3),", "&amp;Projects!$A$18,"")&amp;IF(AND(Projects!$G$19="Yes",Projects!$C$19=L$3),", "&amp;Projects!$A$19,"")&amp;IF(AND(Projects!$G$20="Yes",Projects!$C$20=L$3),", "&amp;Projects!$A$20,"")&amp;IF(AND(Projects!$G$21="Yes",Projects!$C$21=L$3),", "&amp;Projects!$A$21,"")&amp;IF(AND(Projects!$G$22="Yes",Projects!$C$22=L$3),", "&amp;Projects!$A$22,"")&amp;IF(AND(Projects!$G$23="Yes",Projects!$C$23=L$3),", "&amp;Projects!$A$23,"")&amp;IF(AND(Projects!$G$24="Yes",Projects!$C$24=L$3),", "&amp;Projects!$A$24,"")&amp;IF(AND(Projects!$G$25="Yes",Projects!$C$25=L$3),", "&amp;Projects!$A$25,"")&amp;IF(AND(Projects!$G$26="Yes",Projects!$C$26=L$3),", "&amp;Projects!$A$26,"")&amp;IF(AND(Projects!$G$27="Yes",Projects!$C$27=L$3),", "&amp;Projects!$A$27,"")&amp;IF(AND(Projects!$G$28="Yes",Projects!$C$28=L$3),", "&amp;Projects!$A$28,"")&amp;IF(AND(Projects!$G$29="Yes",Projects!$C$29=L$3),", "&amp;Projects!$A$29,"")&amp;IF(AND(Projects!$G$30="Yes",Projects!$C$30=L$3),", "&amp;Projects!$A$30,"")&amp;IF(AND(Projects!$G$31="Yes",Projects!$C$31=L$3),", "&amp;Projects!$A$31,"")&amp;IF(AND(Projects!$G$32="Yes",Projects!$C$32=L$3),", "&amp;Projects!$A$32,"")&amp;IF(AND(Projects!$G$33="Yes",Projects!$C$33=L$3),", "&amp;Projects!$A$33,"")&amp;IF(AND(Projects!$G$34="Yes",Projects!$C$34=L$3),", "&amp;Projects!$A$34,"")&amp;IF(AND(Projects!$G$35="Yes",Projects!$C$35=L$3),", "&amp;Projects!$A$35,"")&amp;IF(AND(Projects!$G$36="Yes",Projects!$C$36=L$3),", "&amp;Projects!$A$36,"")&amp;IF(AND(Projects!$G$37="Yes",Projects!$C$37=L$3),", "&amp;Projects!$A$37,"")&amp;IF(AND(Projects!$G$38="Yes",Projects!$C$38=L$3),", "&amp;Projects!$A$38,"")&amp;IF(AND(Projects!$G$39="Yes",Projects!$C$39=L$3),", "&amp;Projects!$A$39,"")&amp;IF(AND(Projects!$G$40="Yes",Projects!$C$40=L$3),", "&amp;Projects!$A$40,"")&amp;IF(AND(Projects!$G$41="Yes",Projects!$C$41=L$3),", "&amp;Projects!$A$41,"")&amp;IF(AND(Projects!$G$42="Yes",Projects!$C$42=L$3),", "&amp;Projects!$A$42,"")&amp;IF(AND(Projects!$G$43="Yes",Projects!$C$43=L$3),", "&amp;Projects!$A$43,"")&amp;IF(AND(Projects!$G$44="Yes",Projects!$C$44=L$3),", "&amp;Projects!$A$44,"")&amp;IF(AND(Projects!$G$45="Yes",Projects!$C$45=L$3),", "&amp;Projects!$A$45,"")&amp;IF(AND(Projects!$G$46="Yes",Projects!$C$46=L$3),", "&amp;Projects!$A$46,""),3,10000)</f>
        <v/>
      </c>
      <c r="M6" s="396">
        <f>MID(IF(AND(Projects!$G$2="Yes",Projects!$C$2=M$3),", "&amp;Projects!$A$2,"")&amp;IF(AND(Projects!$G$3="Yes",Projects!$C$3=M$3),", "&amp;Projects!$A$3,"")&amp;IF(AND(Projects!$G$4="Yes",Projects!$C$4=M$3),", "&amp;Projects!$A$4,"")&amp;IF(AND(Projects!$G$5="Yes",Projects!$C$5=M$3),", "&amp;Projects!$A$5,"")&amp;IF(AND(Projects!$G$6="Yes",Projects!$C$6=M$3),", "&amp;Projects!$A$6,"")&amp;IF(AND(Projects!$G$7="Yes",Projects!$C$7=M$3),", "&amp;Projects!$A$7,"")&amp;IF(AND(Projects!$G$8="Yes",Projects!$C$8=M$3),", "&amp;Projects!$A$8,"")&amp;IF(AND(Projects!$G$9="Yes",Projects!$C$9=M$3),", "&amp;Projects!$A$9,"")&amp;IF(AND(Projects!$G$10="Yes",Projects!$C$10=M$3),", "&amp;Projects!$A$10,"")&amp;IF(AND(Projects!$G$11="Yes",Projects!$C$11=M$3),", "&amp;Projects!$A$11,"")&amp;IF(AND(Projects!$G$12="Yes",Projects!$C$12=M$3),", "&amp;Projects!$A$12,"")&amp;IF(AND(Projects!$G$13="Yes",Projects!$C$13=M$3),", "&amp;Projects!$A$13,"")&amp;IF(AND(Projects!$G$14="Yes",Projects!$C$14=M$3),", "&amp;Projects!$A$14,"")&amp;IF(AND(Projects!$G$15="Yes",Projects!$C$15=M$3),", "&amp;Projects!$A$15,"")&amp;IF(AND(Projects!$G$16="Yes",Projects!$C$16=M$3),", "&amp;Projects!$A$16,"")&amp;IF(AND(Projects!$G$17="Yes",Projects!$C$17=M$3),", "&amp;Projects!$A$17,"")&amp;IF(AND(Projects!$G$18="Yes",Projects!$C$18=M$3),", "&amp;Projects!$A$18,"")&amp;IF(AND(Projects!$G$19="Yes",Projects!$C$19=M$3),", "&amp;Projects!$A$19,"")&amp;IF(AND(Projects!$G$20="Yes",Projects!$C$20=M$3),", "&amp;Projects!$A$20,"")&amp;IF(AND(Projects!$G$21="Yes",Projects!$C$21=M$3),", "&amp;Projects!$A$21,"")&amp;IF(AND(Projects!$G$22="Yes",Projects!$C$22=M$3),", "&amp;Projects!$A$22,"")&amp;IF(AND(Projects!$G$23="Yes",Projects!$C$23=M$3),", "&amp;Projects!$A$23,"")&amp;IF(AND(Projects!$G$24="Yes",Projects!$C$24=M$3),", "&amp;Projects!$A$24,"")&amp;IF(AND(Projects!$G$25="Yes",Projects!$C$25=M$3),", "&amp;Projects!$A$25,"")&amp;IF(AND(Projects!$G$26="Yes",Projects!$C$26=M$3),", "&amp;Projects!$A$26,"")&amp;IF(AND(Projects!$G$27="Yes",Projects!$C$27=M$3),", "&amp;Projects!$A$27,"")&amp;IF(AND(Projects!$G$28="Yes",Projects!$C$28=M$3),", "&amp;Projects!$A$28,"")&amp;IF(AND(Projects!$G$29="Yes",Projects!$C$29=M$3),", "&amp;Projects!$A$29,"")&amp;IF(AND(Projects!$G$30="Yes",Projects!$C$30=M$3),", "&amp;Projects!$A$30,"")&amp;IF(AND(Projects!$G$31="Yes",Projects!$C$31=M$3),", "&amp;Projects!$A$31,"")&amp;IF(AND(Projects!$G$32="Yes",Projects!$C$32=M$3),", "&amp;Projects!$A$32,"")&amp;IF(AND(Projects!$G$33="Yes",Projects!$C$33=M$3),", "&amp;Projects!$A$33,"")&amp;IF(AND(Projects!$G$34="Yes",Projects!$C$34=M$3),", "&amp;Projects!$A$34,"")&amp;IF(AND(Projects!$G$35="Yes",Projects!$C$35=M$3),", "&amp;Projects!$A$35,"")&amp;IF(AND(Projects!$G$36="Yes",Projects!$C$36=M$3),", "&amp;Projects!$A$36,"")&amp;IF(AND(Projects!$G$37="Yes",Projects!$C$37=M$3),", "&amp;Projects!$A$37,"")&amp;IF(AND(Projects!$G$38="Yes",Projects!$C$38=M$3),", "&amp;Projects!$A$38,"")&amp;IF(AND(Projects!$G$39="Yes",Projects!$C$39=M$3),", "&amp;Projects!$A$39,"")&amp;IF(AND(Projects!$G$40="Yes",Projects!$C$40=M$3),", "&amp;Projects!$A$40,"")&amp;IF(AND(Projects!$G$41="Yes",Projects!$C$41=M$3),", "&amp;Projects!$A$41,"")&amp;IF(AND(Projects!$G$42="Yes",Projects!$C$42=M$3),", "&amp;Projects!$A$42,"")&amp;IF(AND(Projects!$G$43="Yes",Projects!$C$43=M$3),", "&amp;Projects!$A$43,"")&amp;IF(AND(Projects!$G$44="Yes",Projects!$C$44=M$3),", "&amp;Projects!$A$44,"")&amp;IF(AND(Projects!$G$45="Yes",Projects!$C$45=M$3),", "&amp;Projects!$A$45,"")&amp;IF(AND(Projects!$G$46="Yes",Projects!$C$46=M$3),", "&amp;Projects!$A$46,""),3,10000)</f>
        <v/>
      </c>
      <c r="N6" s="396">
        <f>MID(IF(AND(Projects!$G$2="Yes",Projects!$C$2=N$3),", "&amp;Projects!$A$2,"")&amp;IF(AND(Projects!$G$3="Yes",Projects!$C$3=N$3),", "&amp;Projects!$A$3,"")&amp;IF(AND(Projects!$G$4="Yes",Projects!$C$4=N$3),", "&amp;Projects!$A$4,"")&amp;IF(AND(Projects!$G$5="Yes",Projects!$C$5=N$3),", "&amp;Projects!$A$5,"")&amp;IF(AND(Projects!$G$6="Yes",Projects!$C$6=N$3),", "&amp;Projects!$A$6,"")&amp;IF(AND(Projects!$G$7="Yes",Projects!$C$7=N$3),", "&amp;Projects!$A$7,"")&amp;IF(AND(Projects!$G$8="Yes",Projects!$C$8=N$3),", "&amp;Projects!$A$8,"")&amp;IF(AND(Projects!$G$9="Yes",Projects!$C$9=N$3),", "&amp;Projects!$A$9,"")&amp;IF(AND(Projects!$G$10="Yes",Projects!$C$10=N$3),", "&amp;Projects!$A$10,"")&amp;IF(AND(Projects!$G$11="Yes",Projects!$C$11=N$3),", "&amp;Projects!$A$11,"")&amp;IF(AND(Projects!$G$12="Yes",Projects!$C$12=N$3),", "&amp;Projects!$A$12,"")&amp;IF(AND(Projects!$G$13="Yes",Projects!$C$13=N$3),", "&amp;Projects!$A$13,"")&amp;IF(AND(Projects!$G$14="Yes",Projects!$C$14=N$3),", "&amp;Projects!$A$14,"")&amp;IF(AND(Projects!$G$15="Yes",Projects!$C$15=N$3),", "&amp;Projects!$A$15,"")&amp;IF(AND(Projects!$G$16="Yes",Projects!$C$16=N$3),", "&amp;Projects!$A$16,"")&amp;IF(AND(Projects!$G$17="Yes",Projects!$C$17=N$3),", "&amp;Projects!$A$17,"")&amp;IF(AND(Projects!$G$18="Yes",Projects!$C$18=N$3),", "&amp;Projects!$A$18,"")&amp;IF(AND(Projects!$G$19="Yes",Projects!$C$19=N$3),", "&amp;Projects!$A$19,"")&amp;IF(AND(Projects!$G$20="Yes",Projects!$C$20=N$3),", "&amp;Projects!$A$20,"")&amp;IF(AND(Projects!$G$21="Yes",Projects!$C$21=N$3),", "&amp;Projects!$A$21,"")&amp;IF(AND(Projects!$G$22="Yes",Projects!$C$22=N$3),", "&amp;Projects!$A$22,"")&amp;IF(AND(Projects!$G$23="Yes",Projects!$C$23=N$3),", "&amp;Projects!$A$23,"")&amp;IF(AND(Projects!$G$24="Yes",Projects!$C$24=N$3),", "&amp;Projects!$A$24,"")&amp;IF(AND(Projects!$G$25="Yes",Projects!$C$25=N$3),", "&amp;Projects!$A$25,"")&amp;IF(AND(Projects!$G$26="Yes",Projects!$C$26=N$3),", "&amp;Projects!$A$26,"")&amp;IF(AND(Projects!$G$27="Yes",Projects!$C$27=N$3),", "&amp;Projects!$A$27,"")&amp;IF(AND(Projects!$G$28="Yes",Projects!$C$28=N$3),", "&amp;Projects!$A$28,"")&amp;IF(AND(Projects!$G$29="Yes",Projects!$C$29=N$3),", "&amp;Projects!$A$29,"")&amp;IF(AND(Projects!$G$30="Yes",Projects!$C$30=N$3),", "&amp;Projects!$A$30,"")&amp;IF(AND(Projects!$G$31="Yes",Projects!$C$31=N$3),", "&amp;Projects!$A$31,"")&amp;IF(AND(Projects!$G$32="Yes",Projects!$C$32=N$3),", "&amp;Projects!$A$32,"")&amp;IF(AND(Projects!$G$33="Yes",Projects!$C$33=N$3),", "&amp;Projects!$A$33,"")&amp;IF(AND(Projects!$G$34="Yes",Projects!$C$34=N$3),", "&amp;Projects!$A$34,"")&amp;IF(AND(Projects!$G$35="Yes",Projects!$C$35=N$3),", "&amp;Projects!$A$35,"")&amp;IF(AND(Projects!$G$36="Yes",Projects!$C$36=N$3),", "&amp;Projects!$A$36,"")&amp;IF(AND(Projects!$G$37="Yes",Projects!$C$37=N$3),", "&amp;Projects!$A$37,"")&amp;IF(AND(Projects!$G$38="Yes",Projects!$C$38=N$3),", "&amp;Projects!$A$38,"")&amp;IF(AND(Projects!$G$39="Yes",Projects!$C$39=N$3),", "&amp;Projects!$A$39,"")&amp;IF(AND(Projects!$G$40="Yes",Projects!$C$40=N$3),", "&amp;Projects!$A$40,"")&amp;IF(AND(Projects!$G$41="Yes",Projects!$C$41=N$3),", "&amp;Projects!$A$41,"")&amp;IF(AND(Projects!$G$42="Yes",Projects!$C$42=N$3),", "&amp;Projects!$A$42,"")&amp;IF(AND(Projects!$G$43="Yes",Projects!$C$43=N$3),", "&amp;Projects!$A$43,"")&amp;IF(AND(Projects!$G$44="Yes",Projects!$C$44=N$3),", "&amp;Projects!$A$44,"")&amp;IF(AND(Projects!$G$45="Yes",Projects!$C$45=N$3),", "&amp;Projects!$A$45,"")&amp;IF(AND(Projects!$G$46="Yes",Projects!$C$46=N$3),", "&amp;Projects!$A$46,""),3,10000)</f>
        <v/>
      </c>
      <c r="O6" s="396">
        <f>MID(IF(AND(Projects!$G$2="Yes",Projects!$C$2=O$3),", "&amp;Projects!$A$2,"")&amp;IF(AND(Projects!$G$3="Yes",Projects!$C$3=O$3),", "&amp;Projects!$A$3,"")&amp;IF(AND(Projects!$G$4="Yes",Projects!$C$4=O$3),", "&amp;Projects!$A$4,"")&amp;IF(AND(Projects!$G$5="Yes",Projects!$C$5=O$3),", "&amp;Projects!$A$5,"")&amp;IF(AND(Projects!$G$6="Yes",Projects!$C$6=O$3),", "&amp;Projects!$A$6,"")&amp;IF(AND(Projects!$G$7="Yes",Projects!$C$7=O$3),", "&amp;Projects!$A$7,"")&amp;IF(AND(Projects!$G$8="Yes",Projects!$C$8=O$3),", "&amp;Projects!$A$8,"")&amp;IF(AND(Projects!$G$9="Yes",Projects!$C$9=O$3),", "&amp;Projects!$A$9,"")&amp;IF(AND(Projects!$G$10="Yes",Projects!$C$10=O$3),", "&amp;Projects!$A$10,"")&amp;IF(AND(Projects!$G$11="Yes",Projects!$C$11=O$3),", "&amp;Projects!$A$11,"")&amp;IF(AND(Projects!$G$12="Yes",Projects!$C$12=O$3),", "&amp;Projects!$A$12,"")&amp;IF(AND(Projects!$G$13="Yes",Projects!$C$13=O$3),", "&amp;Projects!$A$13,"")&amp;IF(AND(Projects!$G$14="Yes",Projects!$C$14=O$3),", "&amp;Projects!$A$14,"")&amp;IF(AND(Projects!$G$15="Yes",Projects!$C$15=O$3),", "&amp;Projects!$A$15,"")&amp;IF(AND(Projects!$G$16="Yes",Projects!$C$16=O$3),", "&amp;Projects!$A$16,"")&amp;IF(AND(Projects!$G$17="Yes",Projects!$C$17=O$3),", "&amp;Projects!$A$17,"")&amp;IF(AND(Projects!$G$18="Yes",Projects!$C$18=O$3),", "&amp;Projects!$A$18,"")&amp;IF(AND(Projects!$G$19="Yes",Projects!$C$19=O$3),", "&amp;Projects!$A$19,"")&amp;IF(AND(Projects!$G$20="Yes",Projects!$C$20=O$3),", "&amp;Projects!$A$20,"")&amp;IF(AND(Projects!$G$21="Yes",Projects!$C$21=O$3),", "&amp;Projects!$A$21,"")&amp;IF(AND(Projects!$G$22="Yes",Projects!$C$22=O$3),", "&amp;Projects!$A$22,"")&amp;IF(AND(Projects!$G$23="Yes",Projects!$C$23=O$3),", "&amp;Projects!$A$23,"")&amp;IF(AND(Projects!$G$24="Yes",Projects!$C$24=O$3),", "&amp;Projects!$A$24,"")&amp;IF(AND(Projects!$G$25="Yes",Projects!$C$25=O$3),", "&amp;Projects!$A$25,"")&amp;IF(AND(Projects!$G$26="Yes",Projects!$C$26=O$3),", "&amp;Projects!$A$26,"")&amp;IF(AND(Projects!$G$27="Yes",Projects!$C$27=O$3),", "&amp;Projects!$A$27,"")&amp;IF(AND(Projects!$G$28="Yes",Projects!$C$28=O$3),", "&amp;Projects!$A$28,"")&amp;IF(AND(Projects!$G$29="Yes",Projects!$C$29=O$3),", "&amp;Projects!$A$29,"")&amp;IF(AND(Projects!$G$30="Yes",Projects!$C$30=O$3),", "&amp;Projects!$A$30,"")&amp;IF(AND(Projects!$G$31="Yes",Projects!$C$31=O$3),", "&amp;Projects!$A$31,"")&amp;IF(AND(Projects!$G$32="Yes",Projects!$C$32=O$3),", "&amp;Projects!$A$32,"")&amp;IF(AND(Projects!$G$33="Yes",Projects!$C$33=O$3),", "&amp;Projects!$A$33,"")&amp;IF(AND(Projects!$G$34="Yes",Projects!$C$34=O$3),", "&amp;Projects!$A$34,"")&amp;IF(AND(Projects!$G$35="Yes",Projects!$C$35=O$3),", "&amp;Projects!$A$35,"")&amp;IF(AND(Projects!$G$36="Yes",Projects!$C$36=O$3),", "&amp;Projects!$A$36,"")&amp;IF(AND(Projects!$G$37="Yes",Projects!$C$37=O$3),", "&amp;Projects!$A$37,"")&amp;IF(AND(Projects!$G$38="Yes",Projects!$C$38=O$3),", "&amp;Projects!$A$38,"")&amp;IF(AND(Projects!$G$39="Yes",Projects!$C$39=O$3),", "&amp;Projects!$A$39,"")&amp;IF(AND(Projects!$G$40="Yes",Projects!$C$40=O$3),", "&amp;Projects!$A$40,"")&amp;IF(AND(Projects!$G$41="Yes",Projects!$C$41=O$3),", "&amp;Projects!$A$41,"")&amp;IF(AND(Projects!$G$42="Yes",Projects!$C$42=O$3),", "&amp;Projects!$A$42,"")&amp;IF(AND(Projects!$G$43="Yes",Projects!$C$43=O$3),", "&amp;Projects!$A$43,"")&amp;IF(AND(Projects!$G$44="Yes",Projects!$C$44=O$3),", "&amp;Projects!$A$44,"")&amp;IF(AND(Projects!$G$45="Yes",Projects!$C$45=O$3),", "&amp;Projects!$A$45,"")&amp;IF(AND(Projects!$G$46="Yes",Projects!$C$46=O$3),", "&amp;Projects!$A$46,""),3,10000)</f>
        <v/>
      </c>
      <c r="P6" s="396">
        <f>MID(IF(AND(Projects!$G$2="Yes",Projects!$C$2=P$3),", "&amp;Projects!$A$2,"")&amp;IF(AND(Projects!$G$3="Yes",Projects!$C$3=P$3),", "&amp;Projects!$A$3,"")&amp;IF(AND(Projects!$G$4="Yes",Projects!$C$4=P$3),", "&amp;Projects!$A$4,"")&amp;IF(AND(Projects!$G$5="Yes",Projects!$C$5=P$3),", "&amp;Projects!$A$5,"")&amp;IF(AND(Projects!$G$6="Yes",Projects!$C$6=P$3),", "&amp;Projects!$A$6,"")&amp;IF(AND(Projects!$G$7="Yes",Projects!$C$7=P$3),", "&amp;Projects!$A$7,"")&amp;IF(AND(Projects!$G$8="Yes",Projects!$C$8=P$3),", "&amp;Projects!$A$8,"")&amp;IF(AND(Projects!$G$9="Yes",Projects!$C$9=P$3),", "&amp;Projects!$A$9,"")&amp;IF(AND(Projects!$G$10="Yes",Projects!$C$10=P$3),", "&amp;Projects!$A$10,"")&amp;IF(AND(Projects!$G$11="Yes",Projects!$C$11=P$3),", "&amp;Projects!$A$11,"")&amp;IF(AND(Projects!$G$12="Yes",Projects!$C$12=P$3),", "&amp;Projects!$A$12,"")&amp;IF(AND(Projects!$G$13="Yes",Projects!$C$13=P$3),", "&amp;Projects!$A$13,"")&amp;IF(AND(Projects!$G$14="Yes",Projects!$C$14=P$3),", "&amp;Projects!$A$14,"")&amp;IF(AND(Projects!$G$15="Yes",Projects!$C$15=P$3),", "&amp;Projects!$A$15,"")&amp;IF(AND(Projects!$G$16="Yes",Projects!$C$16=P$3),", "&amp;Projects!$A$16,"")&amp;IF(AND(Projects!$G$17="Yes",Projects!$C$17=P$3),", "&amp;Projects!$A$17,"")&amp;IF(AND(Projects!$G$18="Yes",Projects!$C$18=P$3),", "&amp;Projects!$A$18,"")&amp;IF(AND(Projects!$G$19="Yes",Projects!$C$19=P$3),", "&amp;Projects!$A$19,"")&amp;IF(AND(Projects!$G$20="Yes",Projects!$C$20=P$3),", "&amp;Projects!$A$20,"")&amp;IF(AND(Projects!$G$21="Yes",Projects!$C$21=P$3),", "&amp;Projects!$A$21,"")&amp;IF(AND(Projects!$G$22="Yes",Projects!$C$22=P$3),", "&amp;Projects!$A$22,"")&amp;IF(AND(Projects!$G$23="Yes",Projects!$C$23=P$3),", "&amp;Projects!$A$23,"")&amp;IF(AND(Projects!$G$24="Yes",Projects!$C$24=P$3),", "&amp;Projects!$A$24,"")&amp;IF(AND(Projects!$G$25="Yes",Projects!$C$25=P$3),", "&amp;Projects!$A$25,"")&amp;IF(AND(Projects!$G$26="Yes",Projects!$C$26=P$3),", "&amp;Projects!$A$26,"")&amp;IF(AND(Projects!$G$27="Yes",Projects!$C$27=P$3),", "&amp;Projects!$A$27,"")&amp;IF(AND(Projects!$G$28="Yes",Projects!$C$28=P$3),", "&amp;Projects!$A$28,"")&amp;IF(AND(Projects!$G$29="Yes",Projects!$C$29=P$3),", "&amp;Projects!$A$29,"")&amp;IF(AND(Projects!$G$30="Yes",Projects!$C$30=P$3),", "&amp;Projects!$A$30,"")&amp;IF(AND(Projects!$G$31="Yes",Projects!$C$31=P$3),", "&amp;Projects!$A$31,"")&amp;IF(AND(Projects!$G$32="Yes",Projects!$C$32=P$3),", "&amp;Projects!$A$32,"")&amp;IF(AND(Projects!$G$33="Yes",Projects!$C$33=P$3),", "&amp;Projects!$A$33,"")&amp;IF(AND(Projects!$G$34="Yes",Projects!$C$34=P$3),", "&amp;Projects!$A$34,"")&amp;IF(AND(Projects!$G$35="Yes",Projects!$C$35=P$3),", "&amp;Projects!$A$35,"")&amp;IF(AND(Projects!$G$36="Yes",Projects!$C$36=P$3),", "&amp;Projects!$A$36,"")&amp;IF(AND(Projects!$G$37="Yes",Projects!$C$37=P$3),", "&amp;Projects!$A$37,"")&amp;IF(AND(Projects!$G$38="Yes",Projects!$C$38=P$3),", "&amp;Projects!$A$38,"")&amp;IF(AND(Projects!$G$39="Yes",Projects!$C$39=P$3),", "&amp;Projects!$A$39,"")&amp;IF(AND(Projects!$G$40="Yes",Projects!$C$40=P$3),", "&amp;Projects!$A$40,"")&amp;IF(AND(Projects!$G$41="Yes",Projects!$C$41=P$3),", "&amp;Projects!$A$41,"")&amp;IF(AND(Projects!$G$42="Yes",Projects!$C$42=P$3),", "&amp;Projects!$A$42,"")&amp;IF(AND(Projects!$G$43="Yes",Projects!$C$43=P$3),", "&amp;Projects!$A$43,"")&amp;IF(AND(Projects!$G$44="Yes",Projects!$C$44=P$3),", "&amp;Projects!$A$44,"")&amp;IF(AND(Projects!$G$45="Yes",Projects!$C$45=P$3),", "&amp;Projects!$A$45,"")&amp;IF(AND(Projects!$G$46="Yes",Projects!$C$46=P$3),", "&amp;Projects!$A$46,""),3,10000)</f>
        <v/>
      </c>
      <c r="Q6" s="396">
        <f>MID(IF(AND(Projects!$G$2="Yes",Projects!$C$2=Q$3),", "&amp;Projects!$A$2,"")&amp;IF(AND(Projects!$G$3="Yes",Projects!$C$3=Q$3),", "&amp;Projects!$A$3,"")&amp;IF(AND(Projects!$G$4="Yes",Projects!$C$4=Q$3),", "&amp;Projects!$A$4,"")&amp;IF(AND(Projects!$G$5="Yes",Projects!$C$5=Q$3),", "&amp;Projects!$A$5,"")&amp;IF(AND(Projects!$G$6="Yes",Projects!$C$6=Q$3),", "&amp;Projects!$A$6,"")&amp;IF(AND(Projects!$G$7="Yes",Projects!$C$7=Q$3),", "&amp;Projects!$A$7,"")&amp;IF(AND(Projects!$G$8="Yes",Projects!$C$8=Q$3),", "&amp;Projects!$A$8,"")&amp;IF(AND(Projects!$G$9="Yes",Projects!$C$9=Q$3),", "&amp;Projects!$A$9,"")&amp;IF(AND(Projects!$G$10="Yes",Projects!$C$10=Q$3),", "&amp;Projects!$A$10,"")&amp;IF(AND(Projects!$G$11="Yes",Projects!$C$11=Q$3),", "&amp;Projects!$A$11,"")&amp;IF(AND(Projects!$G$12="Yes",Projects!$C$12=Q$3),", "&amp;Projects!$A$12,"")&amp;IF(AND(Projects!$G$13="Yes",Projects!$C$13=Q$3),", "&amp;Projects!$A$13,"")&amp;IF(AND(Projects!$G$14="Yes",Projects!$C$14=Q$3),", "&amp;Projects!$A$14,"")&amp;IF(AND(Projects!$G$15="Yes",Projects!$C$15=Q$3),", "&amp;Projects!$A$15,"")&amp;IF(AND(Projects!$G$16="Yes",Projects!$C$16=Q$3),", "&amp;Projects!$A$16,"")&amp;IF(AND(Projects!$G$17="Yes",Projects!$C$17=Q$3),", "&amp;Projects!$A$17,"")&amp;IF(AND(Projects!$G$18="Yes",Projects!$C$18=Q$3),", "&amp;Projects!$A$18,"")&amp;IF(AND(Projects!$G$19="Yes",Projects!$C$19=Q$3),", "&amp;Projects!$A$19,"")&amp;IF(AND(Projects!$G$20="Yes",Projects!$C$20=Q$3),", "&amp;Projects!$A$20,"")&amp;IF(AND(Projects!$G$21="Yes",Projects!$C$21=Q$3),", "&amp;Projects!$A$21,"")&amp;IF(AND(Projects!$G$22="Yes",Projects!$C$22=Q$3),", "&amp;Projects!$A$22,"")&amp;IF(AND(Projects!$G$23="Yes",Projects!$C$23=Q$3),", "&amp;Projects!$A$23,"")&amp;IF(AND(Projects!$G$24="Yes",Projects!$C$24=Q$3),", "&amp;Projects!$A$24,"")&amp;IF(AND(Projects!$G$25="Yes",Projects!$C$25=Q$3),", "&amp;Projects!$A$25,"")&amp;IF(AND(Projects!$G$26="Yes",Projects!$C$26=Q$3),", "&amp;Projects!$A$26,"")&amp;IF(AND(Projects!$G$27="Yes",Projects!$C$27=Q$3),", "&amp;Projects!$A$27,"")&amp;IF(AND(Projects!$G$28="Yes",Projects!$C$28=Q$3),", "&amp;Projects!$A$28,"")&amp;IF(AND(Projects!$G$29="Yes",Projects!$C$29=Q$3),", "&amp;Projects!$A$29,"")&amp;IF(AND(Projects!$G$30="Yes",Projects!$C$30=Q$3),", "&amp;Projects!$A$30,"")&amp;IF(AND(Projects!$G$31="Yes",Projects!$C$31=Q$3),", "&amp;Projects!$A$31,"")&amp;IF(AND(Projects!$G$32="Yes",Projects!$C$32=Q$3),", "&amp;Projects!$A$32,"")&amp;IF(AND(Projects!$G$33="Yes",Projects!$C$33=Q$3),", "&amp;Projects!$A$33,"")&amp;IF(AND(Projects!$G$34="Yes",Projects!$C$34=Q$3),", "&amp;Projects!$A$34,"")&amp;IF(AND(Projects!$G$35="Yes",Projects!$C$35=Q$3),", "&amp;Projects!$A$35,"")&amp;IF(AND(Projects!$G$36="Yes",Projects!$C$36=Q$3),", "&amp;Projects!$A$36,"")&amp;IF(AND(Projects!$G$37="Yes",Projects!$C$37=Q$3),", "&amp;Projects!$A$37,"")&amp;IF(AND(Projects!$G$38="Yes",Projects!$C$38=Q$3),", "&amp;Projects!$A$38,"")&amp;IF(AND(Projects!$G$39="Yes",Projects!$C$39=Q$3),", "&amp;Projects!$A$39,"")&amp;IF(AND(Projects!$G$40="Yes",Projects!$C$40=Q$3),", "&amp;Projects!$A$40,"")&amp;IF(AND(Projects!$G$41="Yes",Projects!$C$41=Q$3),", "&amp;Projects!$A$41,"")&amp;IF(AND(Projects!$G$42="Yes",Projects!$C$42=Q$3),", "&amp;Projects!$A$42,"")&amp;IF(AND(Projects!$G$43="Yes",Projects!$C$43=Q$3),", "&amp;Projects!$A$43,"")&amp;IF(AND(Projects!$G$44="Yes",Projects!$C$44=Q$3),", "&amp;Projects!$A$44,"")&amp;IF(AND(Projects!$G$45="Yes",Projects!$C$45=Q$3),", "&amp;Projects!$A$45,"")&amp;IF(AND(Projects!$G$46="Yes",Projects!$C$46=Q$3),", "&amp;Projects!$A$46,""),3,10000)</f>
        <v/>
      </c>
      <c r="R6" s="396">
        <f>MID(IF(AND(Projects!$G$2="Yes",Projects!$C$2=R$3),", "&amp;Projects!$A$2,"")&amp;IF(AND(Projects!$G$3="Yes",Projects!$C$3=R$3),", "&amp;Projects!$A$3,"")&amp;IF(AND(Projects!$G$4="Yes",Projects!$C$4=R$3),", "&amp;Projects!$A$4,"")&amp;IF(AND(Projects!$G$5="Yes",Projects!$C$5=R$3),", "&amp;Projects!$A$5,"")&amp;IF(AND(Projects!$G$6="Yes",Projects!$C$6=R$3),", "&amp;Projects!$A$6,"")&amp;IF(AND(Projects!$G$7="Yes",Projects!$C$7=R$3),", "&amp;Projects!$A$7,"")&amp;IF(AND(Projects!$G$8="Yes",Projects!$C$8=R$3),", "&amp;Projects!$A$8,"")&amp;IF(AND(Projects!$G$9="Yes",Projects!$C$9=R$3),", "&amp;Projects!$A$9,"")&amp;IF(AND(Projects!$G$10="Yes",Projects!$C$10=R$3),", "&amp;Projects!$A$10,"")&amp;IF(AND(Projects!$G$11="Yes",Projects!$C$11=R$3),", "&amp;Projects!$A$11,"")&amp;IF(AND(Projects!$G$12="Yes",Projects!$C$12=R$3),", "&amp;Projects!$A$12,"")&amp;IF(AND(Projects!$G$13="Yes",Projects!$C$13=R$3),", "&amp;Projects!$A$13,"")&amp;IF(AND(Projects!$G$14="Yes",Projects!$C$14=R$3),", "&amp;Projects!$A$14,"")&amp;IF(AND(Projects!$G$15="Yes",Projects!$C$15=R$3),", "&amp;Projects!$A$15,"")&amp;IF(AND(Projects!$G$16="Yes",Projects!$C$16=R$3),", "&amp;Projects!$A$16,"")&amp;IF(AND(Projects!$G$17="Yes",Projects!$C$17=R$3),", "&amp;Projects!$A$17,"")&amp;IF(AND(Projects!$G$18="Yes",Projects!$C$18=R$3),", "&amp;Projects!$A$18,"")&amp;IF(AND(Projects!$G$19="Yes",Projects!$C$19=R$3),", "&amp;Projects!$A$19,"")&amp;IF(AND(Projects!$G$20="Yes",Projects!$C$20=R$3),", "&amp;Projects!$A$20,"")&amp;IF(AND(Projects!$G$21="Yes",Projects!$C$21=R$3),", "&amp;Projects!$A$21,"")&amp;IF(AND(Projects!$G$22="Yes",Projects!$C$22=R$3),", "&amp;Projects!$A$22,"")&amp;IF(AND(Projects!$G$23="Yes",Projects!$C$23=R$3),", "&amp;Projects!$A$23,"")&amp;IF(AND(Projects!$G$24="Yes",Projects!$C$24=R$3),", "&amp;Projects!$A$24,"")&amp;IF(AND(Projects!$G$25="Yes",Projects!$C$25=R$3),", "&amp;Projects!$A$25,"")&amp;IF(AND(Projects!$G$26="Yes",Projects!$C$26=R$3),", "&amp;Projects!$A$26,"")&amp;IF(AND(Projects!$G$27="Yes",Projects!$C$27=R$3),", "&amp;Projects!$A$27,"")&amp;IF(AND(Projects!$G$28="Yes",Projects!$C$28=R$3),", "&amp;Projects!$A$28,"")&amp;IF(AND(Projects!$G$29="Yes",Projects!$C$29=R$3),", "&amp;Projects!$A$29,"")&amp;IF(AND(Projects!$G$30="Yes",Projects!$C$30=R$3),", "&amp;Projects!$A$30,"")&amp;IF(AND(Projects!$G$31="Yes",Projects!$C$31=R$3),", "&amp;Projects!$A$31,"")&amp;IF(AND(Projects!$G$32="Yes",Projects!$C$32=R$3),", "&amp;Projects!$A$32,"")&amp;IF(AND(Projects!$G$33="Yes",Projects!$C$33=R$3),", "&amp;Projects!$A$33,"")&amp;IF(AND(Projects!$G$34="Yes",Projects!$C$34=R$3),", "&amp;Projects!$A$34,"")&amp;IF(AND(Projects!$G$35="Yes",Projects!$C$35=R$3),", "&amp;Projects!$A$35,"")&amp;IF(AND(Projects!$G$36="Yes",Projects!$C$36=R$3),", "&amp;Projects!$A$36,"")&amp;IF(AND(Projects!$G$37="Yes",Projects!$C$37=R$3),", "&amp;Projects!$A$37,"")&amp;IF(AND(Projects!$G$38="Yes",Projects!$C$38=R$3),", "&amp;Projects!$A$38,"")&amp;IF(AND(Projects!$G$39="Yes",Projects!$C$39=R$3),", "&amp;Projects!$A$39,"")&amp;IF(AND(Projects!$G$40="Yes",Projects!$C$40=R$3),", "&amp;Projects!$A$40,"")&amp;IF(AND(Projects!$G$41="Yes",Projects!$C$41=R$3),", "&amp;Projects!$A$41,"")&amp;IF(AND(Projects!$G$42="Yes",Projects!$C$42=R$3),", "&amp;Projects!$A$42,"")&amp;IF(AND(Projects!$G$43="Yes",Projects!$C$43=R$3),", "&amp;Projects!$A$43,"")&amp;IF(AND(Projects!$G$44="Yes",Projects!$C$44=R$3),", "&amp;Projects!$A$44,"")&amp;IF(AND(Projects!$G$45="Yes",Projects!$C$45=R$3),", "&amp;Projects!$A$45,"")&amp;IF(AND(Projects!$G$46="Yes",Projects!$C$46=R$3),", "&amp;Projects!$A$46,""),3,10000)</f>
        <v/>
      </c>
      <c r="S6" s="396">
        <f>MID(IF(AND(Projects!$G$2="Yes",Projects!$C$2=S$3),", "&amp;Projects!$A$2,"")&amp;IF(AND(Projects!$G$3="Yes",Projects!$C$3=S$3),", "&amp;Projects!$A$3,"")&amp;IF(AND(Projects!$G$4="Yes",Projects!$C$4=S$3),", "&amp;Projects!$A$4,"")&amp;IF(AND(Projects!$G$5="Yes",Projects!$C$5=S$3),", "&amp;Projects!$A$5,"")&amp;IF(AND(Projects!$G$6="Yes",Projects!$C$6=S$3),", "&amp;Projects!$A$6,"")&amp;IF(AND(Projects!$G$7="Yes",Projects!$C$7=S$3),", "&amp;Projects!$A$7,"")&amp;IF(AND(Projects!$G$8="Yes",Projects!$C$8=S$3),", "&amp;Projects!$A$8,"")&amp;IF(AND(Projects!$G$9="Yes",Projects!$C$9=S$3),", "&amp;Projects!$A$9,"")&amp;IF(AND(Projects!$G$10="Yes",Projects!$C$10=S$3),", "&amp;Projects!$A$10,"")&amp;IF(AND(Projects!$G$11="Yes",Projects!$C$11=S$3),", "&amp;Projects!$A$11,"")&amp;IF(AND(Projects!$G$12="Yes",Projects!$C$12=S$3),", "&amp;Projects!$A$12,"")&amp;IF(AND(Projects!$G$13="Yes",Projects!$C$13=S$3),", "&amp;Projects!$A$13,"")&amp;IF(AND(Projects!$G$14="Yes",Projects!$C$14=S$3),", "&amp;Projects!$A$14,"")&amp;IF(AND(Projects!$G$15="Yes",Projects!$C$15=S$3),", "&amp;Projects!$A$15,"")&amp;IF(AND(Projects!$G$16="Yes",Projects!$C$16=S$3),", "&amp;Projects!$A$16,"")&amp;IF(AND(Projects!$G$17="Yes",Projects!$C$17=S$3),", "&amp;Projects!$A$17,"")&amp;IF(AND(Projects!$G$18="Yes",Projects!$C$18=S$3),", "&amp;Projects!$A$18,"")&amp;IF(AND(Projects!$G$19="Yes",Projects!$C$19=S$3),", "&amp;Projects!$A$19,"")&amp;IF(AND(Projects!$G$20="Yes",Projects!$C$20=S$3),", "&amp;Projects!$A$20,"")&amp;IF(AND(Projects!$G$21="Yes",Projects!$C$21=S$3),", "&amp;Projects!$A$21,"")&amp;IF(AND(Projects!$G$22="Yes",Projects!$C$22=S$3),", "&amp;Projects!$A$22,"")&amp;IF(AND(Projects!$G$23="Yes",Projects!$C$23=S$3),", "&amp;Projects!$A$23,"")&amp;IF(AND(Projects!$G$24="Yes",Projects!$C$24=S$3),", "&amp;Projects!$A$24,"")&amp;IF(AND(Projects!$G$25="Yes",Projects!$C$25=S$3),", "&amp;Projects!$A$25,"")&amp;IF(AND(Projects!$G$26="Yes",Projects!$C$26=S$3),", "&amp;Projects!$A$26,"")&amp;IF(AND(Projects!$G$27="Yes",Projects!$C$27=S$3),", "&amp;Projects!$A$27,"")&amp;IF(AND(Projects!$G$28="Yes",Projects!$C$28=S$3),", "&amp;Projects!$A$28,"")&amp;IF(AND(Projects!$G$29="Yes",Projects!$C$29=S$3),", "&amp;Projects!$A$29,"")&amp;IF(AND(Projects!$G$30="Yes",Projects!$C$30=S$3),", "&amp;Projects!$A$30,"")&amp;IF(AND(Projects!$G$31="Yes",Projects!$C$31=S$3),", "&amp;Projects!$A$31,"")&amp;IF(AND(Projects!$G$32="Yes",Projects!$C$32=S$3),", "&amp;Projects!$A$32,"")&amp;IF(AND(Projects!$G$33="Yes",Projects!$C$33=S$3),", "&amp;Projects!$A$33,"")&amp;IF(AND(Projects!$G$34="Yes",Projects!$C$34=S$3),", "&amp;Projects!$A$34,"")&amp;IF(AND(Projects!$G$35="Yes",Projects!$C$35=S$3),", "&amp;Projects!$A$35,"")&amp;IF(AND(Projects!$G$36="Yes",Projects!$C$36=S$3),", "&amp;Projects!$A$36,"")&amp;IF(AND(Projects!$G$37="Yes",Projects!$C$37=S$3),", "&amp;Projects!$A$37,"")&amp;IF(AND(Projects!$G$38="Yes",Projects!$C$38=S$3),", "&amp;Projects!$A$38,"")&amp;IF(AND(Projects!$G$39="Yes",Projects!$C$39=S$3),", "&amp;Projects!$A$39,"")&amp;IF(AND(Projects!$G$40="Yes",Projects!$C$40=S$3),", "&amp;Projects!$A$40,"")&amp;IF(AND(Projects!$G$41="Yes",Projects!$C$41=S$3),", "&amp;Projects!$A$41,"")&amp;IF(AND(Projects!$G$42="Yes",Projects!$C$42=S$3),", "&amp;Projects!$A$42,"")&amp;IF(AND(Projects!$G$43="Yes",Projects!$C$43=S$3),", "&amp;Projects!$A$43,"")&amp;IF(AND(Projects!$G$44="Yes",Projects!$C$44=S$3),", "&amp;Projects!$A$44,"")&amp;IF(AND(Projects!$G$45="Yes",Projects!$C$45=S$3),", "&amp;Projects!$A$45,"")&amp;IF(AND(Projects!$G$46="Yes",Projects!$C$46=S$3),", "&amp;Projects!$A$46,""),3,10000)</f>
        <v/>
      </c>
      <c r="T6" s="396">
        <f>MID(IF(AND(Projects!$G$2="Yes",Projects!$C$2=T$3),", "&amp;Projects!$A$2,"")&amp;IF(AND(Projects!$G$3="Yes",Projects!$C$3=T$3),", "&amp;Projects!$A$3,"")&amp;IF(AND(Projects!$G$4="Yes",Projects!$C$4=T$3),", "&amp;Projects!$A$4,"")&amp;IF(AND(Projects!$G$5="Yes",Projects!$C$5=T$3),", "&amp;Projects!$A$5,"")&amp;IF(AND(Projects!$G$6="Yes",Projects!$C$6=T$3),", "&amp;Projects!$A$6,"")&amp;IF(AND(Projects!$G$7="Yes",Projects!$C$7=T$3),", "&amp;Projects!$A$7,"")&amp;IF(AND(Projects!$G$8="Yes",Projects!$C$8=T$3),", "&amp;Projects!$A$8,"")&amp;IF(AND(Projects!$G$9="Yes",Projects!$C$9=T$3),", "&amp;Projects!$A$9,"")&amp;IF(AND(Projects!$G$10="Yes",Projects!$C$10=T$3),", "&amp;Projects!$A$10,"")&amp;IF(AND(Projects!$G$11="Yes",Projects!$C$11=T$3),", "&amp;Projects!$A$11,"")&amp;IF(AND(Projects!$G$12="Yes",Projects!$C$12=T$3),", "&amp;Projects!$A$12,"")&amp;IF(AND(Projects!$G$13="Yes",Projects!$C$13=T$3),", "&amp;Projects!$A$13,"")&amp;IF(AND(Projects!$G$14="Yes",Projects!$C$14=T$3),", "&amp;Projects!$A$14,"")&amp;IF(AND(Projects!$G$15="Yes",Projects!$C$15=T$3),", "&amp;Projects!$A$15,"")&amp;IF(AND(Projects!$G$16="Yes",Projects!$C$16=T$3),", "&amp;Projects!$A$16,"")&amp;IF(AND(Projects!$G$17="Yes",Projects!$C$17=T$3),", "&amp;Projects!$A$17,"")&amp;IF(AND(Projects!$G$18="Yes",Projects!$C$18=T$3),", "&amp;Projects!$A$18,"")&amp;IF(AND(Projects!$G$19="Yes",Projects!$C$19=T$3),", "&amp;Projects!$A$19,"")&amp;IF(AND(Projects!$G$20="Yes",Projects!$C$20=T$3),", "&amp;Projects!$A$20,"")&amp;IF(AND(Projects!$G$21="Yes",Projects!$C$21=T$3),", "&amp;Projects!$A$21,"")&amp;IF(AND(Projects!$G$22="Yes",Projects!$C$22=T$3),", "&amp;Projects!$A$22,"")&amp;IF(AND(Projects!$G$23="Yes",Projects!$C$23=T$3),", "&amp;Projects!$A$23,"")&amp;IF(AND(Projects!$G$24="Yes",Projects!$C$24=T$3),", "&amp;Projects!$A$24,"")&amp;IF(AND(Projects!$G$25="Yes",Projects!$C$25=T$3),", "&amp;Projects!$A$25,"")&amp;IF(AND(Projects!$G$26="Yes",Projects!$C$26=T$3),", "&amp;Projects!$A$26,"")&amp;IF(AND(Projects!$G$27="Yes",Projects!$C$27=T$3),", "&amp;Projects!$A$27,"")&amp;IF(AND(Projects!$G$28="Yes",Projects!$C$28=T$3),", "&amp;Projects!$A$28,"")&amp;IF(AND(Projects!$G$29="Yes",Projects!$C$29=T$3),", "&amp;Projects!$A$29,"")&amp;IF(AND(Projects!$G$30="Yes",Projects!$C$30=T$3),", "&amp;Projects!$A$30,"")&amp;IF(AND(Projects!$G$31="Yes",Projects!$C$31=T$3),", "&amp;Projects!$A$31,"")&amp;IF(AND(Projects!$G$32="Yes",Projects!$C$32=T$3),", "&amp;Projects!$A$32,"")&amp;IF(AND(Projects!$G$33="Yes",Projects!$C$33=T$3),", "&amp;Projects!$A$33,"")&amp;IF(AND(Projects!$G$34="Yes",Projects!$C$34=T$3),", "&amp;Projects!$A$34,"")&amp;IF(AND(Projects!$G$35="Yes",Projects!$C$35=T$3),", "&amp;Projects!$A$35,"")&amp;IF(AND(Projects!$G$36="Yes",Projects!$C$36=T$3),", "&amp;Projects!$A$36,"")&amp;IF(AND(Projects!$G$37="Yes",Projects!$C$37=T$3),", "&amp;Projects!$A$37,"")&amp;IF(AND(Projects!$G$38="Yes",Projects!$C$38=T$3),", "&amp;Projects!$A$38,"")&amp;IF(AND(Projects!$G$39="Yes",Projects!$C$39=T$3),", "&amp;Projects!$A$39,"")&amp;IF(AND(Projects!$G$40="Yes",Projects!$C$40=T$3),", "&amp;Projects!$A$40,"")&amp;IF(AND(Projects!$G$41="Yes",Projects!$C$41=T$3),", "&amp;Projects!$A$41,"")&amp;IF(AND(Projects!$G$42="Yes",Projects!$C$42=T$3),", "&amp;Projects!$A$42,"")&amp;IF(AND(Projects!$G$43="Yes",Projects!$C$43=T$3),", "&amp;Projects!$A$43,"")&amp;IF(AND(Projects!$G$44="Yes",Projects!$C$44=T$3),", "&amp;Projects!$A$44,"")&amp;IF(AND(Projects!$G$45="Yes",Projects!$C$45=T$3),", "&amp;Projects!$A$45,"")&amp;IF(AND(Projects!$G$46="Yes",Projects!$C$46=T$3),", "&amp;Projects!$A$46,""),3,10000)</f>
        <v/>
      </c>
      <c r="U6" s="396">
        <f>MID(IF(AND(Projects!$G$2="Yes",Projects!$C$2=U$3),", "&amp;Projects!$A$2,"")&amp;IF(AND(Projects!$G$3="Yes",Projects!$C$3=U$3),", "&amp;Projects!$A$3,"")&amp;IF(AND(Projects!$G$4="Yes",Projects!$C$4=U$3),", "&amp;Projects!$A$4,"")&amp;IF(AND(Projects!$G$5="Yes",Projects!$C$5=U$3),", "&amp;Projects!$A$5,"")&amp;IF(AND(Projects!$G$6="Yes",Projects!$C$6=U$3),", "&amp;Projects!$A$6,"")&amp;IF(AND(Projects!$G$7="Yes",Projects!$C$7=U$3),", "&amp;Projects!$A$7,"")&amp;IF(AND(Projects!$G$8="Yes",Projects!$C$8=U$3),", "&amp;Projects!$A$8,"")&amp;IF(AND(Projects!$G$9="Yes",Projects!$C$9=U$3),", "&amp;Projects!$A$9,"")&amp;IF(AND(Projects!$G$10="Yes",Projects!$C$10=U$3),", "&amp;Projects!$A$10,"")&amp;IF(AND(Projects!$G$11="Yes",Projects!$C$11=U$3),", "&amp;Projects!$A$11,"")&amp;IF(AND(Projects!$G$12="Yes",Projects!$C$12=U$3),", "&amp;Projects!$A$12,"")&amp;IF(AND(Projects!$G$13="Yes",Projects!$C$13=U$3),", "&amp;Projects!$A$13,"")&amp;IF(AND(Projects!$G$14="Yes",Projects!$C$14=U$3),", "&amp;Projects!$A$14,"")&amp;IF(AND(Projects!$G$15="Yes",Projects!$C$15=U$3),", "&amp;Projects!$A$15,"")&amp;IF(AND(Projects!$G$16="Yes",Projects!$C$16=U$3),", "&amp;Projects!$A$16,"")&amp;IF(AND(Projects!$G$17="Yes",Projects!$C$17=U$3),", "&amp;Projects!$A$17,"")&amp;IF(AND(Projects!$G$18="Yes",Projects!$C$18=U$3),", "&amp;Projects!$A$18,"")&amp;IF(AND(Projects!$G$19="Yes",Projects!$C$19=U$3),", "&amp;Projects!$A$19,"")&amp;IF(AND(Projects!$G$20="Yes",Projects!$C$20=U$3),", "&amp;Projects!$A$20,"")&amp;IF(AND(Projects!$G$21="Yes",Projects!$C$21=U$3),", "&amp;Projects!$A$21,"")&amp;IF(AND(Projects!$G$22="Yes",Projects!$C$22=U$3),", "&amp;Projects!$A$22,"")&amp;IF(AND(Projects!$G$23="Yes",Projects!$C$23=U$3),", "&amp;Projects!$A$23,"")&amp;IF(AND(Projects!$G$24="Yes",Projects!$C$24=U$3),", "&amp;Projects!$A$24,"")&amp;IF(AND(Projects!$G$25="Yes",Projects!$C$25=U$3),", "&amp;Projects!$A$25,"")&amp;IF(AND(Projects!$G$26="Yes",Projects!$C$26=U$3),", "&amp;Projects!$A$26,"")&amp;IF(AND(Projects!$G$27="Yes",Projects!$C$27=U$3),", "&amp;Projects!$A$27,"")&amp;IF(AND(Projects!$G$28="Yes",Projects!$C$28=U$3),", "&amp;Projects!$A$28,"")&amp;IF(AND(Projects!$G$29="Yes",Projects!$C$29=U$3),", "&amp;Projects!$A$29,"")&amp;IF(AND(Projects!$G$30="Yes",Projects!$C$30=U$3),", "&amp;Projects!$A$30,"")&amp;IF(AND(Projects!$G$31="Yes",Projects!$C$31=U$3),", "&amp;Projects!$A$31,"")&amp;IF(AND(Projects!$G$32="Yes",Projects!$C$32=U$3),", "&amp;Projects!$A$32,"")&amp;IF(AND(Projects!$G$33="Yes",Projects!$C$33=U$3),", "&amp;Projects!$A$33,"")&amp;IF(AND(Projects!$G$34="Yes",Projects!$C$34=U$3),", "&amp;Projects!$A$34,"")&amp;IF(AND(Projects!$G$35="Yes",Projects!$C$35=U$3),", "&amp;Projects!$A$35,"")&amp;IF(AND(Projects!$G$36="Yes",Projects!$C$36=U$3),", "&amp;Projects!$A$36,"")&amp;IF(AND(Projects!$G$37="Yes",Projects!$C$37=U$3),", "&amp;Projects!$A$37,"")&amp;IF(AND(Projects!$G$38="Yes",Projects!$C$38=U$3),", "&amp;Projects!$A$38,"")&amp;IF(AND(Projects!$G$39="Yes",Projects!$C$39=U$3),", "&amp;Projects!$A$39,"")&amp;IF(AND(Projects!$G$40="Yes",Projects!$C$40=U$3),", "&amp;Projects!$A$40,"")&amp;IF(AND(Projects!$G$41="Yes",Projects!$C$41=U$3),", "&amp;Projects!$A$41,"")&amp;IF(AND(Projects!$G$42="Yes",Projects!$C$42=U$3),", "&amp;Projects!$A$42,"")&amp;IF(AND(Projects!$G$43="Yes",Projects!$C$43=U$3),", "&amp;Projects!$A$43,"")&amp;IF(AND(Projects!$G$44="Yes",Projects!$C$44=U$3),", "&amp;Projects!$A$44,"")&amp;IF(AND(Projects!$G$45="Yes",Projects!$C$45=U$3),", "&amp;Projects!$A$45,"")&amp;IF(AND(Projects!$G$46="Yes",Projects!$C$46=U$3),", "&amp;Projects!$A$46,""),3,10000)</f>
        <v/>
      </c>
      <c r="V6" s="396">
        <f>MID(IF(AND(Projects!$G$2="Yes",Projects!$C$2=V$3),", "&amp;Projects!$A$2,"")&amp;IF(AND(Projects!$G$3="Yes",Projects!$C$3=V$3),", "&amp;Projects!$A$3,"")&amp;IF(AND(Projects!$G$4="Yes",Projects!$C$4=V$3),", "&amp;Projects!$A$4,"")&amp;IF(AND(Projects!$G$5="Yes",Projects!$C$5=V$3),", "&amp;Projects!$A$5,"")&amp;IF(AND(Projects!$G$6="Yes",Projects!$C$6=V$3),", "&amp;Projects!$A$6,"")&amp;IF(AND(Projects!$G$7="Yes",Projects!$C$7=V$3),", "&amp;Projects!$A$7,"")&amp;IF(AND(Projects!$G$8="Yes",Projects!$C$8=V$3),", "&amp;Projects!$A$8,"")&amp;IF(AND(Projects!$G$9="Yes",Projects!$C$9=V$3),", "&amp;Projects!$A$9,"")&amp;IF(AND(Projects!$G$10="Yes",Projects!$C$10=V$3),", "&amp;Projects!$A$10,"")&amp;IF(AND(Projects!$G$11="Yes",Projects!$C$11=V$3),", "&amp;Projects!$A$11,"")&amp;IF(AND(Projects!$G$12="Yes",Projects!$C$12=V$3),", "&amp;Projects!$A$12,"")&amp;IF(AND(Projects!$G$13="Yes",Projects!$C$13=V$3),", "&amp;Projects!$A$13,"")&amp;IF(AND(Projects!$G$14="Yes",Projects!$C$14=V$3),", "&amp;Projects!$A$14,"")&amp;IF(AND(Projects!$G$15="Yes",Projects!$C$15=V$3),", "&amp;Projects!$A$15,"")&amp;IF(AND(Projects!$G$16="Yes",Projects!$C$16=V$3),", "&amp;Projects!$A$16,"")&amp;IF(AND(Projects!$G$17="Yes",Projects!$C$17=V$3),", "&amp;Projects!$A$17,"")&amp;IF(AND(Projects!$G$18="Yes",Projects!$C$18=V$3),", "&amp;Projects!$A$18,"")&amp;IF(AND(Projects!$G$19="Yes",Projects!$C$19=V$3),", "&amp;Projects!$A$19,"")&amp;IF(AND(Projects!$G$20="Yes",Projects!$C$20=V$3),", "&amp;Projects!$A$20,"")&amp;IF(AND(Projects!$G$21="Yes",Projects!$C$21=V$3),", "&amp;Projects!$A$21,"")&amp;IF(AND(Projects!$G$22="Yes",Projects!$C$22=V$3),", "&amp;Projects!$A$22,"")&amp;IF(AND(Projects!$G$23="Yes",Projects!$C$23=V$3),", "&amp;Projects!$A$23,"")&amp;IF(AND(Projects!$G$24="Yes",Projects!$C$24=V$3),", "&amp;Projects!$A$24,"")&amp;IF(AND(Projects!$G$25="Yes",Projects!$C$25=V$3),", "&amp;Projects!$A$25,"")&amp;IF(AND(Projects!$G$26="Yes",Projects!$C$26=V$3),", "&amp;Projects!$A$26,"")&amp;IF(AND(Projects!$G$27="Yes",Projects!$C$27=V$3),", "&amp;Projects!$A$27,"")&amp;IF(AND(Projects!$G$28="Yes",Projects!$C$28=V$3),", "&amp;Projects!$A$28,"")&amp;IF(AND(Projects!$G$29="Yes",Projects!$C$29=V$3),", "&amp;Projects!$A$29,"")&amp;IF(AND(Projects!$G$30="Yes",Projects!$C$30=V$3),", "&amp;Projects!$A$30,"")&amp;IF(AND(Projects!$G$31="Yes",Projects!$C$31=V$3),", "&amp;Projects!$A$31,"")&amp;IF(AND(Projects!$G$32="Yes",Projects!$C$32=V$3),", "&amp;Projects!$A$32,"")&amp;IF(AND(Projects!$G$33="Yes",Projects!$C$33=V$3),", "&amp;Projects!$A$33,"")&amp;IF(AND(Projects!$G$34="Yes",Projects!$C$34=V$3),", "&amp;Projects!$A$34,"")&amp;IF(AND(Projects!$G$35="Yes",Projects!$C$35=V$3),", "&amp;Projects!$A$35,"")&amp;IF(AND(Projects!$G$36="Yes",Projects!$C$36=V$3),", "&amp;Projects!$A$36,"")&amp;IF(AND(Projects!$G$37="Yes",Projects!$C$37=V$3),", "&amp;Projects!$A$37,"")&amp;IF(AND(Projects!$G$38="Yes",Projects!$C$38=V$3),", "&amp;Projects!$A$38,"")&amp;IF(AND(Projects!$G$39="Yes",Projects!$C$39=V$3),", "&amp;Projects!$A$39,"")&amp;IF(AND(Projects!$G$40="Yes",Projects!$C$40=V$3),", "&amp;Projects!$A$40,"")&amp;IF(AND(Projects!$G$41="Yes",Projects!$C$41=V$3),", "&amp;Projects!$A$41,"")&amp;IF(AND(Projects!$G$42="Yes",Projects!$C$42=V$3),", "&amp;Projects!$A$42,"")&amp;IF(AND(Projects!$G$43="Yes",Projects!$C$43=V$3),", "&amp;Projects!$A$43,"")&amp;IF(AND(Projects!$G$44="Yes",Projects!$C$44=V$3),", "&amp;Projects!$A$44,"")&amp;IF(AND(Projects!$G$45="Yes",Projects!$C$45=V$3),", "&amp;Projects!$A$45,"")&amp;IF(AND(Projects!$G$46="Yes",Projects!$C$46=V$3),", "&amp;Projects!$A$46,""),3,10000)</f>
        <v/>
      </c>
      <c r="W6" s="396">
        <f>MID(IF(AND(Projects!$G$2="Yes",Projects!$C$2=W$3),", "&amp;Projects!$A$2,"")&amp;IF(AND(Projects!$G$3="Yes",Projects!$C$3=W$3),", "&amp;Projects!$A$3,"")&amp;IF(AND(Projects!$G$4="Yes",Projects!$C$4=W$3),", "&amp;Projects!$A$4,"")&amp;IF(AND(Projects!$G$5="Yes",Projects!$C$5=W$3),", "&amp;Projects!$A$5,"")&amp;IF(AND(Projects!$G$6="Yes",Projects!$C$6=W$3),", "&amp;Projects!$A$6,"")&amp;IF(AND(Projects!$G$7="Yes",Projects!$C$7=W$3),", "&amp;Projects!$A$7,"")&amp;IF(AND(Projects!$G$8="Yes",Projects!$C$8=W$3),", "&amp;Projects!$A$8,"")&amp;IF(AND(Projects!$G$9="Yes",Projects!$C$9=W$3),", "&amp;Projects!$A$9,"")&amp;IF(AND(Projects!$G$10="Yes",Projects!$C$10=W$3),", "&amp;Projects!$A$10,"")&amp;IF(AND(Projects!$G$11="Yes",Projects!$C$11=W$3),", "&amp;Projects!$A$11,"")&amp;IF(AND(Projects!$G$12="Yes",Projects!$C$12=W$3),", "&amp;Projects!$A$12,"")&amp;IF(AND(Projects!$G$13="Yes",Projects!$C$13=W$3),", "&amp;Projects!$A$13,"")&amp;IF(AND(Projects!$G$14="Yes",Projects!$C$14=W$3),", "&amp;Projects!$A$14,"")&amp;IF(AND(Projects!$G$15="Yes",Projects!$C$15=W$3),", "&amp;Projects!$A$15,"")&amp;IF(AND(Projects!$G$16="Yes",Projects!$C$16=W$3),", "&amp;Projects!$A$16,"")&amp;IF(AND(Projects!$G$17="Yes",Projects!$C$17=W$3),", "&amp;Projects!$A$17,"")&amp;IF(AND(Projects!$G$18="Yes",Projects!$C$18=W$3),", "&amp;Projects!$A$18,"")&amp;IF(AND(Projects!$G$19="Yes",Projects!$C$19=W$3),", "&amp;Projects!$A$19,"")&amp;IF(AND(Projects!$G$20="Yes",Projects!$C$20=W$3),", "&amp;Projects!$A$20,"")&amp;IF(AND(Projects!$G$21="Yes",Projects!$C$21=W$3),", "&amp;Projects!$A$21,"")&amp;IF(AND(Projects!$G$22="Yes",Projects!$C$22=W$3),", "&amp;Projects!$A$22,"")&amp;IF(AND(Projects!$G$23="Yes",Projects!$C$23=W$3),", "&amp;Projects!$A$23,"")&amp;IF(AND(Projects!$G$24="Yes",Projects!$C$24=W$3),", "&amp;Projects!$A$24,"")&amp;IF(AND(Projects!$G$25="Yes",Projects!$C$25=W$3),", "&amp;Projects!$A$25,"")&amp;IF(AND(Projects!$G$26="Yes",Projects!$C$26=W$3),", "&amp;Projects!$A$26,"")&amp;IF(AND(Projects!$G$27="Yes",Projects!$C$27=W$3),", "&amp;Projects!$A$27,"")&amp;IF(AND(Projects!$G$28="Yes",Projects!$C$28=W$3),", "&amp;Projects!$A$28,"")&amp;IF(AND(Projects!$G$29="Yes",Projects!$C$29=W$3),", "&amp;Projects!$A$29,"")&amp;IF(AND(Projects!$G$30="Yes",Projects!$C$30=W$3),", "&amp;Projects!$A$30,"")&amp;IF(AND(Projects!$G$31="Yes",Projects!$C$31=W$3),", "&amp;Projects!$A$31,"")&amp;IF(AND(Projects!$G$32="Yes",Projects!$C$32=W$3),", "&amp;Projects!$A$32,"")&amp;IF(AND(Projects!$G$33="Yes",Projects!$C$33=W$3),", "&amp;Projects!$A$33,"")&amp;IF(AND(Projects!$G$34="Yes",Projects!$C$34=W$3),", "&amp;Projects!$A$34,"")&amp;IF(AND(Projects!$G$35="Yes",Projects!$C$35=W$3),", "&amp;Projects!$A$35,"")&amp;IF(AND(Projects!$G$36="Yes",Projects!$C$36=W$3),", "&amp;Projects!$A$36,"")&amp;IF(AND(Projects!$G$37="Yes",Projects!$C$37=W$3),", "&amp;Projects!$A$37,"")&amp;IF(AND(Projects!$G$38="Yes",Projects!$C$38=W$3),", "&amp;Projects!$A$38,"")&amp;IF(AND(Projects!$G$39="Yes",Projects!$C$39=W$3),", "&amp;Projects!$A$39,"")&amp;IF(AND(Projects!$G$40="Yes",Projects!$C$40=W$3),", "&amp;Projects!$A$40,"")&amp;IF(AND(Projects!$G$41="Yes",Projects!$C$41=W$3),", "&amp;Projects!$A$41,"")&amp;IF(AND(Projects!$G$42="Yes",Projects!$C$42=W$3),", "&amp;Projects!$A$42,"")&amp;IF(AND(Projects!$G$43="Yes",Projects!$C$43=W$3),", "&amp;Projects!$A$43,"")&amp;IF(AND(Projects!$G$44="Yes",Projects!$C$44=W$3),", "&amp;Projects!$A$44,"")&amp;IF(AND(Projects!$G$45="Yes",Projects!$C$45=W$3),", "&amp;Projects!$A$45,"")&amp;IF(AND(Projects!$G$46="Yes",Projects!$C$46=W$3),", "&amp;Projects!$A$46,""),3,10000)</f>
        <v/>
      </c>
      <c r="X6" s="396">
        <f>MID(IF(AND(Projects!$G$2="Yes",Projects!$C$2=X$3),", "&amp;Projects!$A$2,"")&amp;IF(AND(Projects!$G$3="Yes",Projects!$C$3=X$3),", "&amp;Projects!$A$3,"")&amp;IF(AND(Projects!$G$4="Yes",Projects!$C$4=X$3),", "&amp;Projects!$A$4,"")&amp;IF(AND(Projects!$G$5="Yes",Projects!$C$5=X$3),", "&amp;Projects!$A$5,"")&amp;IF(AND(Projects!$G$6="Yes",Projects!$C$6=X$3),", "&amp;Projects!$A$6,"")&amp;IF(AND(Projects!$G$7="Yes",Projects!$C$7=X$3),", "&amp;Projects!$A$7,"")&amp;IF(AND(Projects!$G$8="Yes",Projects!$C$8=X$3),", "&amp;Projects!$A$8,"")&amp;IF(AND(Projects!$G$9="Yes",Projects!$C$9=X$3),", "&amp;Projects!$A$9,"")&amp;IF(AND(Projects!$G$10="Yes",Projects!$C$10=X$3),", "&amp;Projects!$A$10,"")&amp;IF(AND(Projects!$G$11="Yes",Projects!$C$11=X$3),", "&amp;Projects!$A$11,"")&amp;IF(AND(Projects!$G$12="Yes",Projects!$C$12=X$3),", "&amp;Projects!$A$12,"")&amp;IF(AND(Projects!$G$13="Yes",Projects!$C$13=X$3),", "&amp;Projects!$A$13,"")&amp;IF(AND(Projects!$G$14="Yes",Projects!$C$14=X$3),", "&amp;Projects!$A$14,"")&amp;IF(AND(Projects!$G$15="Yes",Projects!$C$15=X$3),", "&amp;Projects!$A$15,"")&amp;IF(AND(Projects!$G$16="Yes",Projects!$C$16=X$3),", "&amp;Projects!$A$16,"")&amp;IF(AND(Projects!$G$17="Yes",Projects!$C$17=X$3),", "&amp;Projects!$A$17,"")&amp;IF(AND(Projects!$G$18="Yes",Projects!$C$18=X$3),", "&amp;Projects!$A$18,"")&amp;IF(AND(Projects!$G$19="Yes",Projects!$C$19=X$3),", "&amp;Projects!$A$19,"")&amp;IF(AND(Projects!$G$20="Yes",Projects!$C$20=X$3),", "&amp;Projects!$A$20,"")&amp;IF(AND(Projects!$G$21="Yes",Projects!$C$21=X$3),", "&amp;Projects!$A$21,"")&amp;IF(AND(Projects!$G$22="Yes",Projects!$C$22=X$3),", "&amp;Projects!$A$22,"")&amp;IF(AND(Projects!$G$23="Yes",Projects!$C$23=X$3),", "&amp;Projects!$A$23,"")&amp;IF(AND(Projects!$G$24="Yes",Projects!$C$24=X$3),", "&amp;Projects!$A$24,"")&amp;IF(AND(Projects!$G$25="Yes",Projects!$C$25=X$3),", "&amp;Projects!$A$25,"")&amp;IF(AND(Projects!$G$26="Yes",Projects!$C$26=X$3),", "&amp;Projects!$A$26,"")&amp;IF(AND(Projects!$G$27="Yes",Projects!$C$27=X$3),", "&amp;Projects!$A$27,"")&amp;IF(AND(Projects!$G$28="Yes",Projects!$C$28=X$3),", "&amp;Projects!$A$28,"")&amp;IF(AND(Projects!$G$29="Yes",Projects!$C$29=X$3),", "&amp;Projects!$A$29,"")&amp;IF(AND(Projects!$G$30="Yes",Projects!$C$30=X$3),", "&amp;Projects!$A$30,"")&amp;IF(AND(Projects!$G$31="Yes",Projects!$C$31=X$3),", "&amp;Projects!$A$31,"")&amp;IF(AND(Projects!$G$32="Yes",Projects!$C$32=X$3),", "&amp;Projects!$A$32,"")&amp;IF(AND(Projects!$G$33="Yes",Projects!$C$33=X$3),", "&amp;Projects!$A$33,"")&amp;IF(AND(Projects!$G$34="Yes",Projects!$C$34=X$3),", "&amp;Projects!$A$34,"")&amp;IF(AND(Projects!$G$35="Yes",Projects!$C$35=X$3),", "&amp;Projects!$A$35,"")&amp;IF(AND(Projects!$G$36="Yes",Projects!$C$36=X$3),", "&amp;Projects!$A$36,"")&amp;IF(AND(Projects!$G$37="Yes",Projects!$C$37=X$3),", "&amp;Projects!$A$37,"")&amp;IF(AND(Projects!$G$38="Yes",Projects!$C$38=X$3),", "&amp;Projects!$A$38,"")&amp;IF(AND(Projects!$G$39="Yes",Projects!$C$39=X$3),", "&amp;Projects!$A$39,"")&amp;IF(AND(Projects!$G$40="Yes",Projects!$C$40=X$3),", "&amp;Projects!$A$40,"")&amp;IF(AND(Projects!$G$41="Yes",Projects!$C$41=X$3),", "&amp;Projects!$A$41,"")&amp;IF(AND(Projects!$G$42="Yes",Projects!$C$42=X$3),", "&amp;Projects!$A$42,"")&amp;IF(AND(Projects!$G$43="Yes",Projects!$C$43=X$3),", "&amp;Projects!$A$43,"")&amp;IF(AND(Projects!$G$44="Yes",Projects!$C$44=X$3),", "&amp;Projects!$A$44,"")&amp;IF(AND(Projects!$G$45="Yes",Projects!$C$45=X$3),", "&amp;Projects!$A$45,"")&amp;IF(AND(Projects!$G$46="Yes",Projects!$C$46=X$3),", "&amp;Projects!$A$46,""),3,10000)</f>
        <v/>
      </c>
      <c r="Y6" s="396">
        <f>MID(IF(AND(Projects!$G$2="Yes",Projects!$C$2=Y$3),", "&amp;Projects!$A$2,"")&amp;IF(AND(Projects!$G$3="Yes",Projects!$C$3=Y$3),", "&amp;Projects!$A$3,"")&amp;IF(AND(Projects!$G$4="Yes",Projects!$C$4=Y$3),", "&amp;Projects!$A$4,"")&amp;IF(AND(Projects!$G$5="Yes",Projects!$C$5=Y$3),", "&amp;Projects!$A$5,"")&amp;IF(AND(Projects!$G$6="Yes",Projects!$C$6=Y$3),", "&amp;Projects!$A$6,"")&amp;IF(AND(Projects!$G$7="Yes",Projects!$C$7=Y$3),", "&amp;Projects!$A$7,"")&amp;IF(AND(Projects!$G$8="Yes",Projects!$C$8=Y$3),", "&amp;Projects!$A$8,"")&amp;IF(AND(Projects!$G$9="Yes",Projects!$C$9=Y$3),", "&amp;Projects!$A$9,"")&amp;IF(AND(Projects!$G$10="Yes",Projects!$C$10=Y$3),", "&amp;Projects!$A$10,"")&amp;IF(AND(Projects!$G$11="Yes",Projects!$C$11=Y$3),", "&amp;Projects!$A$11,"")&amp;IF(AND(Projects!$G$12="Yes",Projects!$C$12=Y$3),", "&amp;Projects!$A$12,"")&amp;IF(AND(Projects!$G$13="Yes",Projects!$C$13=Y$3),", "&amp;Projects!$A$13,"")&amp;IF(AND(Projects!$G$14="Yes",Projects!$C$14=Y$3),", "&amp;Projects!$A$14,"")&amp;IF(AND(Projects!$G$15="Yes",Projects!$C$15=Y$3),", "&amp;Projects!$A$15,"")&amp;IF(AND(Projects!$G$16="Yes",Projects!$C$16=Y$3),", "&amp;Projects!$A$16,"")&amp;IF(AND(Projects!$G$17="Yes",Projects!$C$17=Y$3),", "&amp;Projects!$A$17,"")&amp;IF(AND(Projects!$G$18="Yes",Projects!$C$18=Y$3),", "&amp;Projects!$A$18,"")&amp;IF(AND(Projects!$G$19="Yes",Projects!$C$19=Y$3),", "&amp;Projects!$A$19,"")&amp;IF(AND(Projects!$G$20="Yes",Projects!$C$20=Y$3),", "&amp;Projects!$A$20,"")&amp;IF(AND(Projects!$G$21="Yes",Projects!$C$21=Y$3),", "&amp;Projects!$A$21,"")&amp;IF(AND(Projects!$G$22="Yes",Projects!$C$22=Y$3),", "&amp;Projects!$A$22,"")&amp;IF(AND(Projects!$G$23="Yes",Projects!$C$23=Y$3),", "&amp;Projects!$A$23,"")&amp;IF(AND(Projects!$G$24="Yes",Projects!$C$24=Y$3),", "&amp;Projects!$A$24,"")&amp;IF(AND(Projects!$G$25="Yes",Projects!$C$25=Y$3),", "&amp;Projects!$A$25,"")&amp;IF(AND(Projects!$G$26="Yes",Projects!$C$26=Y$3),", "&amp;Projects!$A$26,"")&amp;IF(AND(Projects!$G$27="Yes",Projects!$C$27=Y$3),", "&amp;Projects!$A$27,"")&amp;IF(AND(Projects!$G$28="Yes",Projects!$C$28=Y$3),", "&amp;Projects!$A$28,"")&amp;IF(AND(Projects!$G$29="Yes",Projects!$C$29=Y$3),", "&amp;Projects!$A$29,"")&amp;IF(AND(Projects!$G$30="Yes",Projects!$C$30=Y$3),", "&amp;Projects!$A$30,"")&amp;IF(AND(Projects!$G$31="Yes",Projects!$C$31=Y$3),", "&amp;Projects!$A$31,"")&amp;IF(AND(Projects!$G$32="Yes",Projects!$C$32=Y$3),", "&amp;Projects!$A$32,"")&amp;IF(AND(Projects!$G$33="Yes",Projects!$C$33=Y$3),", "&amp;Projects!$A$33,"")&amp;IF(AND(Projects!$G$34="Yes",Projects!$C$34=Y$3),", "&amp;Projects!$A$34,"")&amp;IF(AND(Projects!$G$35="Yes",Projects!$C$35=Y$3),", "&amp;Projects!$A$35,"")&amp;IF(AND(Projects!$G$36="Yes",Projects!$C$36=Y$3),", "&amp;Projects!$A$36,"")&amp;IF(AND(Projects!$G$37="Yes",Projects!$C$37=Y$3),", "&amp;Projects!$A$37,"")&amp;IF(AND(Projects!$G$38="Yes",Projects!$C$38=Y$3),", "&amp;Projects!$A$38,"")&amp;IF(AND(Projects!$G$39="Yes",Projects!$C$39=Y$3),", "&amp;Projects!$A$39,"")&amp;IF(AND(Projects!$G$40="Yes",Projects!$C$40=Y$3),", "&amp;Projects!$A$40,"")&amp;IF(AND(Projects!$G$41="Yes",Projects!$C$41=Y$3),", "&amp;Projects!$A$41,"")&amp;IF(AND(Projects!$G$42="Yes",Projects!$C$42=Y$3),", "&amp;Projects!$A$42,"")&amp;IF(AND(Projects!$G$43="Yes",Projects!$C$43=Y$3),", "&amp;Projects!$A$43,"")&amp;IF(AND(Projects!$G$44="Yes",Projects!$C$44=Y$3),", "&amp;Projects!$A$44,"")&amp;IF(AND(Projects!$G$45="Yes",Projects!$C$45=Y$3),", "&amp;Projects!$A$45,"")&amp;IF(AND(Projects!$G$46="Yes",Projects!$C$46=Y$3),", "&amp;Projects!$A$46,""),3,10000)</f>
        <v/>
      </c>
      <c r="Z6" s="396">
        <f>MID(IF(AND(Projects!$G$2="Yes",Projects!$C$2=Z$3),", "&amp;Projects!$A$2,"")&amp;IF(AND(Projects!$G$3="Yes",Projects!$C$3=Z$3),", "&amp;Projects!$A$3,"")&amp;IF(AND(Projects!$G$4="Yes",Projects!$C$4=Z$3),", "&amp;Projects!$A$4,"")&amp;IF(AND(Projects!$G$5="Yes",Projects!$C$5=Z$3),", "&amp;Projects!$A$5,"")&amp;IF(AND(Projects!$G$6="Yes",Projects!$C$6=Z$3),", "&amp;Projects!$A$6,"")&amp;IF(AND(Projects!$G$7="Yes",Projects!$C$7=Z$3),", "&amp;Projects!$A$7,"")&amp;IF(AND(Projects!$G$8="Yes",Projects!$C$8=Z$3),", "&amp;Projects!$A$8,"")&amp;IF(AND(Projects!$G$9="Yes",Projects!$C$9=Z$3),", "&amp;Projects!$A$9,"")&amp;IF(AND(Projects!$G$10="Yes",Projects!$C$10=Z$3),", "&amp;Projects!$A$10,"")&amp;IF(AND(Projects!$G$11="Yes",Projects!$C$11=Z$3),", "&amp;Projects!$A$11,"")&amp;IF(AND(Projects!$G$12="Yes",Projects!$C$12=Z$3),", "&amp;Projects!$A$12,"")&amp;IF(AND(Projects!$G$13="Yes",Projects!$C$13=Z$3),", "&amp;Projects!$A$13,"")&amp;IF(AND(Projects!$G$14="Yes",Projects!$C$14=Z$3),", "&amp;Projects!$A$14,"")&amp;IF(AND(Projects!$G$15="Yes",Projects!$C$15=Z$3),", "&amp;Projects!$A$15,"")&amp;IF(AND(Projects!$G$16="Yes",Projects!$C$16=Z$3),", "&amp;Projects!$A$16,"")&amp;IF(AND(Projects!$G$17="Yes",Projects!$C$17=Z$3),", "&amp;Projects!$A$17,"")&amp;IF(AND(Projects!$G$18="Yes",Projects!$C$18=Z$3),", "&amp;Projects!$A$18,"")&amp;IF(AND(Projects!$G$19="Yes",Projects!$C$19=Z$3),", "&amp;Projects!$A$19,"")&amp;IF(AND(Projects!$G$20="Yes",Projects!$C$20=Z$3),", "&amp;Projects!$A$20,"")&amp;IF(AND(Projects!$G$21="Yes",Projects!$C$21=Z$3),", "&amp;Projects!$A$21,"")&amp;IF(AND(Projects!$G$22="Yes",Projects!$C$22=Z$3),", "&amp;Projects!$A$22,"")&amp;IF(AND(Projects!$G$23="Yes",Projects!$C$23=Z$3),", "&amp;Projects!$A$23,"")&amp;IF(AND(Projects!$G$24="Yes",Projects!$C$24=Z$3),", "&amp;Projects!$A$24,"")&amp;IF(AND(Projects!$G$25="Yes",Projects!$C$25=Z$3),", "&amp;Projects!$A$25,"")&amp;IF(AND(Projects!$G$26="Yes",Projects!$C$26=Z$3),", "&amp;Projects!$A$26,"")&amp;IF(AND(Projects!$G$27="Yes",Projects!$C$27=Z$3),", "&amp;Projects!$A$27,"")&amp;IF(AND(Projects!$G$28="Yes",Projects!$C$28=Z$3),", "&amp;Projects!$A$28,"")&amp;IF(AND(Projects!$G$29="Yes",Projects!$C$29=Z$3),", "&amp;Projects!$A$29,"")&amp;IF(AND(Projects!$G$30="Yes",Projects!$C$30=Z$3),", "&amp;Projects!$A$30,"")&amp;IF(AND(Projects!$G$31="Yes",Projects!$C$31=Z$3),", "&amp;Projects!$A$31,"")&amp;IF(AND(Projects!$G$32="Yes",Projects!$C$32=Z$3),", "&amp;Projects!$A$32,"")&amp;IF(AND(Projects!$G$33="Yes",Projects!$C$33=Z$3),", "&amp;Projects!$A$33,"")&amp;IF(AND(Projects!$G$34="Yes",Projects!$C$34=Z$3),", "&amp;Projects!$A$34,"")&amp;IF(AND(Projects!$G$35="Yes",Projects!$C$35=Z$3),", "&amp;Projects!$A$35,"")&amp;IF(AND(Projects!$G$36="Yes",Projects!$C$36=Z$3),", "&amp;Projects!$A$36,"")&amp;IF(AND(Projects!$G$37="Yes",Projects!$C$37=Z$3),", "&amp;Projects!$A$37,"")&amp;IF(AND(Projects!$G$38="Yes",Projects!$C$38=Z$3),", "&amp;Projects!$A$38,"")&amp;IF(AND(Projects!$G$39="Yes",Projects!$C$39=Z$3),", "&amp;Projects!$A$39,"")&amp;IF(AND(Projects!$G$40="Yes",Projects!$C$40=Z$3),", "&amp;Projects!$A$40,"")&amp;IF(AND(Projects!$G$41="Yes",Projects!$C$41=Z$3),", "&amp;Projects!$A$41,"")&amp;IF(AND(Projects!$G$42="Yes",Projects!$C$42=Z$3),", "&amp;Projects!$A$42,"")&amp;IF(AND(Projects!$G$43="Yes",Projects!$C$43=Z$3),", "&amp;Projects!$A$43,"")&amp;IF(AND(Projects!$G$44="Yes",Projects!$C$44=Z$3),", "&amp;Projects!$A$44,"")&amp;IF(AND(Projects!$G$45="Yes",Projects!$C$45=Z$3),", "&amp;Projects!$A$45,"")&amp;IF(AND(Projects!$G$46="Yes",Projects!$C$46=Z$3),", "&amp;Projects!$A$46,""),3,10000)</f>
        <v/>
      </c>
      <c r="AA6" s="396">
        <f>MID(IF(AND(Projects!$G$2="Yes",Projects!$C$2=AA$3),", "&amp;Projects!$A$2,"")&amp;IF(AND(Projects!$G$3="Yes",Projects!$C$3=AA$3),", "&amp;Projects!$A$3,"")&amp;IF(AND(Projects!$G$4="Yes",Projects!$C$4=AA$3),", "&amp;Projects!$A$4,"")&amp;IF(AND(Projects!$G$5="Yes",Projects!$C$5=AA$3),", "&amp;Projects!$A$5,"")&amp;IF(AND(Projects!$G$6="Yes",Projects!$C$6=AA$3),", "&amp;Projects!$A$6,"")&amp;IF(AND(Projects!$G$7="Yes",Projects!$C$7=AA$3),", "&amp;Projects!$A$7,"")&amp;IF(AND(Projects!$G$8="Yes",Projects!$C$8=AA$3),", "&amp;Projects!$A$8,"")&amp;IF(AND(Projects!$G$9="Yes",Projects!$C$9=AA$3),", "&amp;Projects!$A$9,"")&amp;IF(AND(Projects!$G$10="Yes",Projects!$C$10=AA$3),", "&amp;Projects!$A$10,"")&amp;IF(AND(Projects!$G$11="Yes",Projects!$C$11=AA$3),", "&amp;Projects!$A$11,"")&amp;IF(AND(Projects!$G$12="Yes",Projects!$C$12=AA$3),", "&amp;Projects!$A$12,"")&amp;IF(AND(Projects!$G$13="Yes",Projects!$C$13=AA$3),", "&amp;Projects!$A$13,"")&amp;IF(AND(Projects!$G$14="Yes",Projects!$C$14=AA$3),", "&amp;Projects!$A$14,"")&amp;IF(AND(Projects!$G$15="Yes",Projects!$C$15=AA$3),", "&amp;Projects!$A$15,"")&amp;IF(AND(Projects!$G$16="Yes",Projects!$C$16=AA$3),", "&amp;Projects!$A$16,"")&amp;IF(AND(Projects!$G$17="Yes",Projects!$C$17=AA$3),", "&amp;Projects!$A$17,"")&amp;IF(AND(Projects!$G$18="Yes",Projects!$C$18=AA$3),", "&amp;Projects!$A$18,"")&amp;IF(AND(Projects!$G$19="Yes",Projects!$C$19=AA$3),", "&amp;Projects!$A$19,"")&amp;IF(AND(Projects!$G$20="Yes",Projects!$C$20=AA$3),", "&amp;Projects!$A$20,"")&amp;IF(AND(Projects!$G$21="Yes",Projects!$C$21=AA$3),", "&amp;Projects!$A$21,"")&amp;IF(AND(Projects!$G$22="Yes",Projects!$C$22=AA$3),", "&amp;Projects!$A$22,"")&amp;IF(AND(Projects!$G$23="Yes",Projects!$C$23=AA$3),", "&amp;Projects!$A$23,"")&amp;IF(AND(Projects!$G$24="Yes",Projects!$C$24=AA$3),", "&amp;Projects!$A$24,"")&amp;IF(AND(Projects!$G$25="Yes",Projects!$C$25=AA$3),", "&amp;Projects!$A$25,"")&amp;IF(AND(Projects!$G$26="Yes",Projects!$C$26=AA$3),", "&amp;Projects!$A$26,"")&amp;IF(AND(Projects!$G$27="Yes",Projects!$C$27=AA$3),", "&amp;Projects!$A$27,"")&amp;IF(AND(Projects!$G$28="Yes",Projects!$C$28=AA$3),", "&amp;Projects!$A$28,"")&amp;IF(AND(Projects!$G$29="Yes",Projects!$C$29=AA$3),", "&amp;Projects!$A$29,"")&amp;IF(AND(Projects!$G$30="Yes",Projects!$C$30=AA$3),", "&amp;Projects!$A$30,"")&amp;IF(AND(Projects!$G$31="Yes",Projects!$C$31=AA$3),", "&amp;Projects!$A$31,"")&amp;IF(AND(Projects!$G$32="Yes",Projects!$C$32=AA$3),", "&amp;Projects!$A$32,"")&amp;IF(AND(Projects!$G$33="Yes",Projects!$C$33=AA$3),", "&amp;Projects!$A$33,"")&amp;IF(AND(Projects!$G$34="Yes",Projects!$C$34=AA$3),", "&amp;Projects!$A$34,"")&amp;IF(AND(Projects!$G$35="Yes",Projects!$C$35=AA$3),", "&amp;Projects!$A$35,"")&amp;IF(AND(Projects!$G$36="Yes",Projects!$C$36=AA$3),", "&amp;Projects!$A$36,"")&amp;IF(AND(Projects!$G$37="Yes",Projects!$C$37=AA$3),", "&amp;Projects!$A$37,"")&amp;IF(AND(Projects!$G$38="Yes",Projects!$C$38=AA$3),", "&amp;Projects!$A$38,"")&amp;IF(AND(Projects!$G$39="Yes",Projects!$C$39=AA$3),", "&amp;Projects!$A$39,"")&amp;IF(AND(Projects!$G$40="Yes",Projects!$C$40=AA$3),", "&amp;Projects!$A$40,"")&amp;IF(AND(Projects!$G$41="Yes",Projects!$C$41=AA$3),", "&amp;Projects!$A$41,"")&amp;IF(AND(Projects!$G$42="Yes",Projects!$C$42=AA$3),", "&amp;Projects!$A$42,"")&amp;IF(AND(Projects!$G$43="Yes",Projects!$C$43=AA$3),", "&amp;Projects!$A$43,"")&amp;IF(AND(Projects!$G$44="Yes",Projects!$C$44=AA$3),", "&amp;Projects!$A$44,"")&amp;IF(AND(Projects!$G$45="Yes",Projects!$C$45=AA$3),", "&amp;Projects!$A$45,"")&amp;IF(AND(Projects!$G$46="Yes",Projects!$C$46=AA$3),", "&amp;Projects!$A$46,""),3,10000)</f>
        <v/>
      </c>
      <c r="AB6" s="396">
        <f>MID(IF(AND(Projects!$G$2="Yes",Projects!$C$2=AB$3),", "&amp;Projects!$A$2,"")&amp;IF(AND(Projects!$G$3="Yes",Projects!$C$3=AB$3),", "&amp;Projects!$A$3,"")&amp;IF(AND(Projects!$G$4="Yes",Projects!$C$4=AB$3),", "&amp;Projects!$A$4,"")&amp;IF(AND(Projects!$G$5="Yes",Projects!$C$5=AB$3),", "&amp;Projects!$A$5,"")&amp;IF(AND(Projects!$G$6="Yes",Projects!$C$6=AB$3),", "&amp;Projects!$A$6,"")&amp;IF(AND(Projects!$G$7="Yes",Projects!$C$7=AB$3),", "&amp;Projects!$A$7,"")&amp;IF(AND(Projects!$G$8="Yes",Projects!$C$8=AB$3),", "&amp;Projects!$A$8,"")&amp;IF(AND(Projects!$G$9="Yes",Projects!$C$9=AB$3),", "&amp;Projects!$A$9,"")&amp;IF(AND(Projects!$G$10="Yes",Projects!$C$10=AB$3),", "&amp;Projects!$A$10,"")&amp;IF(AND(Projects!$G$11="Yes",Projects!$C$11=AB$3),", "&amp;Projects!$A$11,"")&amp;IF(AND(Projects!$G$12="Yes",Projects!$C$12=AB$3),", "&amp;Projects!$A$12,"")&amp;IF(AND(Projects!$G$13="Yes",Projects!$C$13=AB$3),", "&amp;Projects!$A$13,"")&amp;IF(AND(Projects!$G$14="Yes",Projects!$C$14=AB$3),", "&amp;Projects!$A$14,"")&amp;IF(AND(Projects!$G$15="Yes",Projects!$C$15=AB$3),", "&amp;Projects!$A$15,"")&amp;IF(AND(Projects!$G$16="Yes",Projects!$C$16=AB$3),", "&amp;Projects!$A$16,"")&amp;IF(AND(Projects!$G$17="Yes",Projects!$C$17=AB$3),", "&amp;Projects!$A$17,"")&amp;IF(AND(Projects!$G$18="Yes",Projects!$C$18=AB$3),", "&amp;Projects!$A$18,"")&amp;IF(AND(Projects!$G$19="Yes",Projects!$C$19=AB$3),", "&amp;Projects!$A$19,"")&amp;IF(AND(Projects!$G$20="Yes",Projects!$C$20=AB$3),", "&amp;Projects!$A$20,"")&amp;IF(AND(Projects!$G$21="Yes",Projects!$C$21=AB$3),", "&amp;Projects!$A$21,"")&amp;IF(AND(Projects!$G$22="Yes",Projects!$C$22=AB$3),", "&amp;Projects!$A$22,"")&amp;IF(AND(Projects!$G$23="Yes",Projects!$C$23=AB$3),", "&amp;Projects!$A$23,"")&amp;IF(AND(Projects!$G$24="Yes",Projects!$C$24=AB$3),", "&amp;Projects!$A$24,"")&amp;IF(AND(Projects!$G$25="Yes",Projects!$C$25=AB$3),", "&amp;Projects!$A$25,"")&amp;IF(AND(Projects!$G$26="Yes",Projects!$C$26=AB$3),", "&amp;Projects!$A$26,"")&amp;IF(AND(Projects!$G$27="Yes",Projects!$C$27=AB$3),", "&amp;Projects!$A$27,"")&amp;IF(AND(Projects!$G$28="Yes",Projects!$C$28=AB$3),", "&amp;Projects!$A$28,"")&amp;IF(AND(Projects!$G$29="Yes",Projects!$C$29=AB$3),", "&amp;Projects!$A$29,"")&amp;IF(AND(Projects!$G$30="Yes",Projects!$C$30=AB$3),", "&amp;Projects!$A$30,"")&amp;IF(AND(Projects!$G$31="Yes",Projects!$C$31=AB$3),", "&amp;Projects!$A$31,"")&amp;IF(AND(Projects!$G$32="Yes",Projects!$C$32=AB$3),", "&amp;Projects!$A$32,"")&amp;IF(AND(Projects!$G$33="Yes",Projects!$C$33=AB$3),", "&amp;Projects!$A$33,"")&amp;IF(AND(Projects!$G$34="Yes",Projects!$C$34=AB$3),", "&amp;Projects!$A$34,"")&amp;IF(AND(Projects!$G$35="Yes",Projects!$C$35=AB$3),", "&amp;Projects!$A$35,"")&amp;IF(AND(Projects!$G$36="Yes",Projects!$C$36=AB$3),", "&amp;Projects!$A$36,"")&amp;IF(AND(Projects!$G$37="Yes",Projects!$C$37=AB$3),", "&amp;Projects!$A$37,"")&amp;IF(AND(Projects!$G$38="Yes",Projects!$C$38=AB$3),", "&amp;Projects!$A$38,"")&amp;IF(AND(Projects!$G$39="Yes",Projects!$C$39=AB$3),", "&amp;Projects!$A$39,"")&amp;IF(AND(Projects!$G$40="Yes",Projects!$C$40=AB$3),", "&amp;Projects!$A$40,"")&amp;IF(AND(Projects!$G$41="Yes",Projects!$C$41=AB$3),", "&amp;Projects!$A$41,"")&amp;IF(AND(Projects!$G$42="Yes",Projects!$C$42=AB$3),", "&amp;Projects!$A$42,"")&amp;IF(AND(Projects!$G$43="Yes",Projects!$C$43=AB$3),", "&amp;Projects!$A$43,"")&amp;IF(AND(Projects!$G$44="Yes",Projects!$C$44=AB$3),", "&amp;Projects!$A$44,"")&amp;IF(AND(Projects!$G$45="Yes",Projects!$C$45=AB$3),", "&amp;Projects!$A$45,"")&amp;IF(AND(Projects!$G$46="Yes",Projects!$C$46=AB$3),", "&amp;Projects!$A$46,""),3,10000)</f>
        <v/>
      </c>
      <c r="AC6" s="396">
        <f>MID(IF(AND(Projects!$G$2="Yes",Projects!$C$2=AC$3),", "&amp;Projects!$A$2,"")&amp;IF(AND(Projects!$G$3="Yes",Projects!$C$3=AC$3),", "&amp;Projects!$A$3,"")&amp;IF(AND(Projects!$G$4="Yes",Projects!$C$4=AC$3),", "&amp;Projects!$A$4,"")&amp;IF(AND(Projects!$G$5="Yes",Projects!$C$5=AC$3),", "&amp;Projects!$A$5,"")&amp;IF(AND(Projects!$G$6="Yes",Projects!$C$6=AC$3),", "&amp;Projects!$A$6,"")&amp;IF(AND(Projects!$G$7="Yes",Projects!$C$7=AC$3),", "&amp;Projects!$A$7,"")&amp;IF(AND(Projects!$G$8="Yes",Projects!$C$8=AC$3),", "&amp;Projects!$A$8,"")&amp;IF(AND(Projects!$G$9="Yes",Projects!$C$9=AC$3),", "&amp;Projects!$A$9,"")&amp;IF(AND(Projects!$G$10="Yes",Projects!$C$10=AC$3),", "&amp;Projects!$A$10,"")&amp;IF(AND(Projects!$G$11="Yes",Projects!$C$11=AC$3),", "&amp;Projects!$A$11,"")&amp;IF(AND(Projects!$G$12="Yes",Projects!$C$12=AC$3),", "&amp;Projects!$A$12,"")&amp;IF(AND(Projects!$G$13="Yes",Projects!$C$13=AC$3),", "&amp;Projects!$A$13,"")&amp;IF(AND(Projects!$G$14="Yes",Projects!$C$14=AC$3),", "&amp;Projects!$A$14,"")&amp;IF(AND(Projects!$G$15="Yes",Projects!$C$15=AC$3),", "&amp;Projects!$A$15,"")&amp;IF(AND(Projects!$G$16="Yes",Projects!$C$16=AC$3),", "&amp;Projects!$A$16,"")&amp;IF(AND(Projects!$G$17="Yes",Projects!$C$17=AC$3),", "&amp;Projects!$A$17,"")&amp;IF(AND(Projects!$G$18="Yes",Projects!$C$18=AC$3),", "&amp;Projects!$A$18,"")&amp;IF(AND(Projects!$G$19="Yes",Projects!$C$19=AC$3),", "&amp;Projects!$A$19,"")&amp;IF(AND(Projects!$G$20="Yes",Projects!$C$20=AC$3),", "&amp;Projects!$A$20,"")&amp;IF(AND(Projects!$G$21="Yes",Projects!$C$21=AC$3),", "&amp;Projects!$A$21,"")&amp;IF(AND(Projects!$G$22="Yes",Projects!$C$22=AC$3),", "&amp;Projects!$A$22,"")&amp;IF(AND(Projects!$G$23="Yes",Projects!$C$23=AC$3),", "&amp;Projects!$A$23,"")&amp;IF(AND(Projects!$G$24="Yes",Projects!$C$24=AC$3),", "&amp;Projects!$A$24,"")&amp;IF(AND(Projects!$G$25="Yes",Projects!$C$25=AC$3),", "&amp;Projects!$A$25,"")&amp;IF(AND(Projects!$G$26="Yes",Projects!$C$26=AC$3),", "&amp;Projects!$A$26,"")&amp;IF(AND(Projects!$G$27="Yes",Projects!$C$27=AC$3),", "&amp;Projects!$A$27,"")&amp;IF(AND(Projects!$G$28="Yes",Projects!$C$28=AC$3),", "&amp;Projects!$A$28,"")&amp;IF(AND(Projects!$G$29="Yes",Projects!$C$29=AC$3),", "&amp;Projects!$A$29,"")&amp;IF(AND(Projects!$G$30="Yes",Projects!$C$30=AC$3),", "&amp;Projects!$A$30,"")&amp;IF(AND(Projects!$G$31="Yes",Projects!$C$31=AC$3),", "&amp;Projects!$A$31,"")&amp;IF(AND(Projects!$G$32="Yes",Projects!$C$32=AC$3),", "&amp;Projects!$A$32,"")&amp;IF(AND(Projects!$G$33="Yes",Projects!$C$33=AC$3),", "&amp;Projects!$A$33,"")&amp;IF(AND(Projects!$G$34="Yes",Projects!$C$34=AC$3),", "&amp;Projects!$A$34,"")&amp;IF(AND(Projects!$G$35="Yes",Projects!$C$35=AC$3),", "&amp;Projects!$A$35,"")&amp;IF(AND(Projects!$G$36="Yes",Projects!$C$36=AC$3),", "&amp;Projects!$A$36,"")&amp;IF(AND(Projects!$G$37="Yes",Projects!$C$37=AC$3),", "&amp;Projects!$A$37,"")&amp;IF(AND(Projects!$G$38="Yes",Projects!$C$38=AC$3),", "&amp;Projects!$A$38,"")&amp;IF(AND(Projects!$G$39="Yes",Projects!$C$39=AC$3),", "&amp;Projects!$A$39,"")&amp;IF(AND(Projects!$G$40="Yes",Projects!$C$40=AC$3),", "&amp;Projects!$A$40,"")&amp;IF(AND(Projects!$G$41="Yes",Projects!$C$41=AC$3),", "&amp;Projects!$A$41,"")&amp;IF(AND(Projects!$G$42="Yes",Projects!$C$42=AC$3),", "&amp;Projects!$A$42,"")&amp;IF(AND(Projects!$G$43="Yes",Projects!$C$43=AC$3),", "&amp;Projects!$A$43,"")&amp;IF(AND(Projects!$G$44="Yes",Projects!$C$44=AC$3),", "&amp;Projects!$A$44,"")&amp;IF(AND(Projects!$G$45="Yes",Projects!$C$45=AC$3),", "&amp;Projects!$A$45,"")&amp;IF(AND(Projects!$G$46="Yes",Projects!$C$46=AC$3),", "&amp;Projects!$A$46,""),3,10000)</f>
        <v/>
      </c>
      <c r="AD6" s="396">
        <f>MID(IF(AND(Projects!$G$2="Yes",Projects!$C$2=AD$3),", "&amp;Projects!$A$2,"")&amp;IF(AND(Projects!$G$3="Yes",Projects!$C$3=AD$3),", "&amp;Projects!$A$3,"")&amp;IF(AND(Projects!$G$4="Yes",Projects!$C$4=AD$3),", "&amp;Projects!$A$4,"")&amp;IF(AND(Projects!$G$5="Yes",Projects!$C$5=AD$3),", "&amp;Projects!$A$5,"")&amp;IF(AND(Projects!$G$6="Yes",Projects!$C$6=AD$3),", "&amp;Projects!$A$6,"")&amp;IF(AND(Projects!$G$7="Yes",Projects!$C$7=AD$3),", "&amp;Projects!$A$7,"")&amp;IF(AND(Projects!$G$8="Yes",Projects!$C$8=AD$3),", "&amp;Projects!$A$8,"")&amp;IF(AND(Projects!$G$9="Yes",Projects!$C$9=AD$3),", "&amp;Projects!$A$9,"")&amp;IF(AND(Projects!$G$10="Yes",Projects!$C$10=AD$3),", "&amp;Projects!$A$10,"")&amp;IF(AND(Projects!$G$11="Yes",Projects!$C$11=AD$3),", "&amp;Projects!$A$11,"")&amp;IF(AND(Projects!$G$12="Yes",Projects!$C$12=AD$3),", "&amp;Projects!$A$12,"")&amp;IF(AND(Projects!$G$13="Yes",Projects!$C$13=AD$3),", "&amp;Projects!$A$13,"")&amp;IF(AND(Projects!$G$14="Yes",Projects!$C$14=AD$3),", "&amp;Projects!$A$14,"")&amp;IF(AND(Projects!$G$15="Yes",Projects!$C$15=AD$3),", "&amp;Projects!$A$15,"")&amp;IF(AND(Projects!$G$16="Yes",Projects!$C$16=AD$3),", "&amp;Projects!$A$16,"")&amp;IF(AND(Projects!$G$17="Yes",Projects!$C$17=AD$3),", "&amp;Projects!$A$17,"")&amp;IF(AND(Projects!$G$18="Yes",Projects!$C$18=AD$3),", "&amp;Projects!$A$18,"")&amp;IF(AND(Projects!$G$19="Yes",Projects!$C$19=AD$3),", "&amp;Projects!$A$19,"")&amp;IF(AND(Projects!$G$20="Yes",Projects!$C$20=AD$3),", "&amp;Projects!$A$20,"")&amp;IF(AND(Projects!$G$21="Yes",Projects!$C$21=AD$3),", "&amp;Projects!$A$21,"")&amp;IF(AND(Projects!$G$22="Yes",Projects!$C$22=AD$3),", "&amp;Projects!$A$22,"")&amp;IF(AND(Projects!$G$23="Yes",Projects!$C$23=AD$3),", "&amp;Projects!$A$23,"")&amp;IF(AND(Projects!$G$24="Yes",Projects!$C$24=AD$3),", "&amp;Projects!$A$24,"")&amp;IF(AND(Projects!$G$25="Yes",Projects!$C$25=AD$3),", "&amp;Projects!$A$25,"")&amp;IF(AND(Projects!$G$26="Yes",Projects!$C$26=AD$3),", "&amp;Projects!$A$26,"")&amp;IF(AND(Projects!$G$27="Yes",Projects!$C$27=AD$3),", "&amp;Projects!$A$27,"")&amp;IF(AND(Projects!$G$28="Yes",Projects!$C$28=AD$3),", "&amp;Projects!$A$28,"")&amp;IF(AND(Projects!$G$29="Yes",Projects!$C$29=AD$3),", "&amp;Projects!$A$29,"")&amp;IF(AND(Projects!$G$30="Yes",Projects!$C$30=AD$3),", "&amp;Projects!$A$30,"")&amp;IF(AND(Projects!$G$31="Yes",Projects!$C$31=AD$3),", "&amp;Projects!$A$31,"")&amp;IF(AND(Projects!$G$32="Yes",Projects!$C$32=AD$3),", "&amp;Projects!$A$32,"")&amp;IF(AND(Projects!$G$33="Yes",Projects!$C$33=AD$3),", "&amp;Projects!$A$33,"")&amp;IF(AND(Projects!$G$34="Yes",Projects!$C$34=AD$3),", "&amp;Projects!$A$34,"")&amp;IF(AND(Projects!$G$35="Yes",Projects!$C$35=AD$3),", "&amp;Projects!$A$35,"")&amp;IF(AND(Projects!$G$36="Yes",Projects!$C$36=AD$3),", "&amp;Projects!$A$36,"")&amp;IF(AND(Projects!$G$37="Yes",Projects!$C$37=AD$3),", "&amp;Projects!$A$37,"")&amp;IF(AND(Projects!$G$38="Yes",Projects!$C$38=AD$3),", "&amp;Projects!$A$38,"")&amp;IF(AND(Projects!$G$39="Yes",Projects!$C$39=AD$3),", "&amp;Projects!$A$39,"")&amp;IF(AND(Projects!$G$40="Yes",Projects!$C$40=AD$3),", "&amp;Projects!$A$40,"")&amp;IF(AND(Projects!$G$41="Yes",Projects!$C$41=AD$3),", "&amp;Projects!$A$41,"")&amp;IF(AND(Projects!$G$42="Yes",Projects!$C$42=AD$3),", "&amp;Projects!$A$42,"")&amp;IF(AND(Projects!$G$43="Yes",Projects!$C$43=AD$3),", "&amp;Projects!$A$43,"")&amp;IF(AND(Projects!$G$44="Yes",Projects!$C$44=AD$3),", "&amp;Projects!$A$44,"")&amp;IF(AND(Projects!$G$45="Yes",Projects!$C$45=AD$3),", "&amp;Projects!$A$45,"")&amp;IF(AND(Projects!$G$46="Yes",Projects!$C$46=AD$3),", "&amp;Projects!$A$46,""),3,10000)</f>
        <v/>
      </c>
      <c r="AE6" s="396">
        <f>MID(IF(AND(Projects!$G$2="Yes",Projects!$C$2=AE$3),", "&amp;Projects!$A$2,"")&amp;IF(AND(Projects!$G$3="Yes",Projects!$C$3=AE$3),", "&amp;Projects!$A$3,"")&amp;IF(AND(Projects!$G$4="Yes",Projects!$C$4=AE$3),", "&amp;Projects!$A$4,"")&amp;IF(AND(Projects!$G$5="Yes",Projects!$C$5=AE$3),", "&amp;Projects!$A$5,"")&amp;IF(AND(Projects!$G$6="Yes",Projects!$C$6=AE$3),", "&amp;Projects!$A$6,"")&amp;IF(AND(Projects!$G$7="Yes",Projects!$C$7=AE$3),", "&amp;Projects!$A$7,"")&amp;IF(AND(Projects!$G$8="Yes",Projects!$C$8=AE$3),", "&amp;Projects!$A$8,"")&amp;IF(AND(Projects!$G$9="Yes",Projects!$C$9=AE$3),", "&amp;Projects!$A$9,"")&amp;IF(AND(Projects!$G$10="Yes",Projects!$C$10=AE$3),", "&amp;Projects!$A$10,"")&amp;IF(AND(Projects!$G$11="Yes",Projects!$C$11=AE$3),", "&amp;Projects!$A$11,"")&amp;IF(AND(Projects!$G$12="Yes",Projects!$C$12=AE$3),", "&amp;Projects!$A$12,"")&amp;IF(AND(Projects!$G$13="Yes",Projects!$C$13=AE$3),", "&amp;Projects!$A$13,"")&amp;IF(AND(Projects!$G$14="Yes",Projects!$C$14=AE$3),", "&amp;Projects!$A$14,"")&amp;IF(AND(Projects!$G$15="Yes",Projects!$C$15=AE$3),", "&amp;Projects!$A$15,"")&amp;IF(AND(Projects!$G$16="Yes",Projects!$C$16=AE$3),", "&amp;Projects!$A$16,"")&amp;IF(AND(Projects!$G$17="Yes",Projects!$C$17=AE$3),", "&amp;Projects!$A$17,"")&amp;IF(AND(Projects!$G$18="Yes",Projects!$C$18=AE$3),", "&amp;Projects!$A$18,"")&amp;IF(AND(Projects!$G$19="Yes",Projects!$C$19=AE$3),", "&amp;Projects!$A$19,"")&amp;IF(AND(Projects!$G$20="Yes",Projects!$C$20=AE$3),", "&amp;Projects!$A$20,"")&amp;IF(AND(Projects!$G$21="Yes",Projects!$C$21=AE$3),", "&amp;Projects!$A$21,"")&amp;IF(AND(Projects!$G$22="Yes",Projects!$C$22=AE$3),", "&amp;Projects!$A$22,"")&amp;IF(AND(Projects!$G$23="Yes",Projects!$C$23=AE$3),", "&amp;Projects!$A$23,"")&amp;IF(AND(Projects!$G$24="Yes",Projects!$C$24=AE$3),", "&amp;Projects!$A$24,"")&amp;IF(AND(Projects!$G$25="Yes",Projects!$C$25=AE$3),", "&amp;Projects!$A$25,"")&amp;IF(AND(Projects!$G$26="Yes",Projects!$C$26=AE$3),", "&amp;Projects!$A$26,"")&amp;IF(AND(Projects!$G$27="Yes",Projects!$C$27=AE$3),", "&amp;Projects!$A$27,"")&amp;IF(AND(Projects!$G$28="Yes",Projects!$C$28=AE$3),", "&amp;Projects!$A$28,"")&amp;IF(AND(Projects!$G$29="Yes",Projects!$C$29=AE$3),", "&amp;Projects!$A$29,"")&amp;IF(AND(Projects!$G$30="Yes",Projects!$C$30=AE$3),", "&amp;Projects!$A$30,"")&amp;IF(AND(Projects!$G$31="Yes",Projects!$C$31=AE$3),", "&amp;Projects!$A$31,"")&amp;IF(AND(Projects!$G$32="Yes",Projects!$C$32=AE$3),", "&amp;Projects!$A$32,"")&amp;IF(AND(Projects!$G$33="Yes",Projects!$C$33=AE$3),", "&amp;Projects!$A$33,"")&amp;IF(AND(Projects!$G$34="Yes",Projects!$C$34=AE$3),", "&amp;Projects!$A$34,"")&amp;IF(AND(Projects!$G$35="Yes",Projects!$C$35=AE$3),", "&amp;Projects!$A$35,"")&amp;IF(AND(Projects!$G$36="Yes",Projects!$C$36=AE$3),", "&amp;Projects!$A$36,"")&amp;IF(AND(Projects!$G$37="Yes",Projects!$C$37=AE$3),", "&amp;Projects!$A$37,"")&amp;IF(AND(Projects!$G$38="Yes",Projects!$C$38=AE$3),", "&amp;Projects!$A$38,"")&amp;IF(AND(Projects!$G$39="Yes",Projects!$C$39=AE$3),", "&amp;Projects!$A$39,"")&amp;IF(AND(Projects!$G$40="Yes",Projects!$C$40=AE$3),", "&amp;Projects!$A$40,"")&amp;IF(AND(Projects!$G$41="Yes",Projects!$C$41=AE$3),", "&amp;Projects!$A$41,"")&amp;IF(AND(Projects!$G$42="Yes",Projects!$C$42=AE$3),", "&amp;Projects!$A$42,"")&amp;IF(AND(Projects!$G$43="Yes",Projects!$C$43=AE$3),", "&amp;Projects!$A$43,"")&amp;IF(AND(Projects!$G$44="Yes",Projects!$C$44=AE$3),", "&amp;Projects!$A$44,"")&amp;IF(AND(Projects!$G$45="Yes",Projects!$C$45=AE$3),", "&amp;Projects!$A$45,"")&amp;IF(AND(Projects!$G$46="Yes",Projects!$C$46=AE$3),", "&amp;Projects!$A$46,""),3,10000)</f>
        <v/>
      </c>
      <c r="AF6" s="396">
        <f>MID(IF(AND(Projects!$G$2="Yes",Projects!$C$2=AF$3),", "&amp;Projects!$A$2,"")&amp;IF(AND(Projects!$G$3="Yes",Projects!$C$3=AF$3),", "&amp;Projects!$A$3,"")&amp;IF(AND(Projects!$G$4="Yes",Projects!$C$4=AF$3),", "&amp;Projects!$A$4,"")&amp;IF(AND(Projects!$G$5="Yes",Projects!$C$5=AF$3),", "&amp;Projects!$A$5,"")&amp;IF(AND(Projects!$G$6="Yes",Projects!$C$6=AF$3),", "&amp;Projects!$A$6,"")&amp;IF(AND(Projects!$G$7="Yes",Projects!$C$7=AF$3),", "&amp;Projects!$A$7,"")&amp;IF(AND(Projects!$G$8="Yes",Projects!$C$8=AF$3),", "&amp;Projects!$A$8,"")&amp;IF(AND(Projects!$G$9="Yes",Projects!$C$9=AF$3),", "&amp;Projects!$A$9,"")&amp;IF(AND(Projects!$G$10="Yes",Projects!$C$10=AF$3),", "&amp;Projects!$A$10,"")&amp;IF(AND(Projects!$G$11="Yes",Projects!$C$11=AF$3),", "&amp;Projects!$A$11,"")&amp;IF(AND(Projects!$G$12="Yes",Projects!$C$12=AF$3),", "&amp;Projects!$A$12,"")&amp;IF(AND(Projects!$G$13="Yes",Projects!$C$13=AF$3),", "&amp;Projects!$A$13,"")&amp;IF(AND(Projects!$G$14="Yes",Projects!$C$14=AF$3),", "&amp;Projects!$A$14,"")&amp;IF(AND(Projects!$G$15="Yes",Projects!$C$15=AF$3),", "&amp;Projects!$A$15,"")&amp;IF(AND(Projects!$G$16="Yes",Projects!$C$16=AF$3),", "&amp;Projects!$A$16,"")&amp;IF(AND(Projects!$G$17="Yes",Projects!$C$17=AF$3),", "&amp;Projects!$A$17,"")&amp;IF(AND(Projects!$G$18="Yes",Projects!$C$18=AF$3),", "&amp;Projects!$A$18,"")&amp;IF(AND(Projects!$G$19="Yes",Projects!$C$19=AF$3),", "&amp;Projects!$A$19,"")&amp;IF(AND(Projects!$G$20="Yes",Projects!$C$20=AF$3),", "&amp;Projects!$A$20,"")&amp;IF(AND(Projects!$G$21="Yes",Projects!$C$21=AF$3),", "&amp;Projects!$A$21,"")&amp;IF(AND(Projects!$G$22="Yes",Projects!$C$22=AF$3),", "&amp;Projects!$A$22,"")&amp;IF(AND(Projects!$G$23="Yes",Projects!$C$23=AF$3),", "&amp;Projects!$A$23,"")&amp;IF(AND(Projects!$G$24="Yes",Projects!$C$24=AF$3),", "&amp;Projects!$A$24,"")&amp;IF(AND(Projects!$G$25="Yes",Projects!$C$25=AF$3),", "&amp;Projects!$A$25,"")&amp;IF(AND(Projects!$G$26="Yes",Projects!$C$26=AF$3),", "&amp;Projects!$A$26,"")&amp;IF(AND(Projects!$G$27="Yes",Projects!$C$27=AF$3),", "&amp;Projects!$A$27,"")&amp;IF(AND(Projects!$G$28="Yes",Projects!$C$28=AF$3),", "&amp;Projects!$A$28,"")&amp;IF(AND(Projects!$G$29="Yes",Projects!$C$29=AF$3),", "&amp;Projects!$A$29,"")&amp;IF(AND(Projects!$G$30="Yes",Projects!$C$30=AF$3),", "&amp;Projects!$A$30,"")&amp;IF(AND(Projects!$G$31="Yes",Projects!$C$31=AF$3),", "&amp;Projects!$A$31,"")&amp;IF(AND(Projects!$G$32="Yes",Projects!$C$32=AF$3),", "&amp;Projects!$A$32,"")&amp;IF(AND(Projects!$G$33="Yes",Projects!$C$33=AF$3),", "&amp;Projects!$A$33,"")&amp;IF(AND(Projects!$G$34="Yes",Projects!$C$34=AF$3),", "&amp;Projects!$A$34,"")&amp;IF(AND(Projects!$G$35="Yes",Projects!$C$35=AF$3),", "&amp;Projects!$A$35,"")&amp;IF(AND(Projects!$G$36="Yes",Projects!$C$36=AF$3),", "&amp;Projects!$A$36,"")&amp;IF(AND(Projects!$G$37="Yes",Projects!$C$37=AF$3),", "&amp;Projects!$A$37,"")&amp;IF(AND(Projects!$G$38="Yes",Projects!$C$38=AF$3),", "&amp;Projects!$A$38,"")&amp;IF(AND(Projects!$G$39="Yes",Projects!$C$39=AF$3),", "&amp;Projects!$A$39,"")&amp;IF(AND(Projects!$G$40="Yes",Projects!$C$40=AF$3),", "&amp;Projects!$A$40,"")&amp;IF(AND(Projects!$G$41="Yes",Projects!$C$41=AF$3),", "&amp;Projects!$A$41,"")&amp;IF(AND(Projects!$G$42="Yes",Projects!$C$42=AF$3),", "&amp;Projects!$A$42,"")&amp;IF(AND(Projects!$G$43="Yes",Projects!$C$43=AF$3),", "&amp;Projects!$A$43,"")&amp;IF(AND(Projects!$G$44="Yes",Projects!$C$44=AF$3),", "&amp;Projects!$A$44,"")&amp;IF(AND(Projects!$G$45="Yes",Projects!$C$45=AF$3),", "&amp;Projects!$A$45,"")&amp;IF(AND(Projects!$G$46="Yes",Projects!$C$46=AF$3),", "&amp;Projects!$A$46,""),3,10000)</f>
        <v/>
      </c>
      <c r="AG6" s="396">
        <f>MID(IF(AND(Projects!$G$2="Yes",Projects!$C$2=AG$3),", "&amp;Projects!$A$2,"")&amp;IF(AND(Projects!$G$3="Yes",Projects!$C$3=AG$3),", "&amp;Projects!$A$3,"")&amp;IF(AND(Projects!$G$4="Yes",Projects!$C$4=AG$3),", "&amp;Projects!$A$4,"")&amp;IF(AND(Projects!$G$5="Yes",Projects!$C$5=AG$3),", "&amp;Projects!$A$5,"")&amp;IF(AND(Projects!$G$6="Yes",Projects!$C$6=AG$3),", "&amp;Projects!$A$6,"")&amp;IF(AND(Projects!$G$7="Yes",Projects!$C$7=AG$3),", "&amp;Projects!$A$7,"")&amp;IF(AND(Projects!$G$8="Yes",Projects!$C$8=AG$3),", "&amp;Projects!$A$8,"")&amp;IF(AND(Projects!$G$9="Yes",Projects!$C$9=AG$3),", "&amp;Projects!$A$9,"")&amp;IF(AND(Projects!$G$10="Yes",Projects!$C$10=AG$3),", "&amp;Projects!$A$10,"")&amp;IF(AND(Projects!$G$11="Yes",Projects!$C$11=AG$3),", "&amp;Projects!$A$11,"")&amp;IF(AND(Projects!$G$12="Yes",Projects!$C$12=AG$3),", "&amp;Projects!$A$12,"")&amp;IF(AND(Projects!$G$13="Yes",Projects!$C$13=AG$3),", "&amp;Projects!$A$13,"")&amp;IF(AND(Projects!$G$14="Yes",Projects!$C$14=AG$3),", "&amp;Projects!$A$14,"")&amp;IF(AND(Projects!$G$15="Yes",Projects!$C$15=AG$3),", "&amp;Projects!$A$15,"")&amp;IF(AND(Projects!$G$16="Yes",Projects!$C$16=AG$3),", "&amp;Projects!$A$16,"")&amp;IF(AND(Projects!$G$17="Yes",Projects!$C$17=AG$3),", "&amp;Projects!$A$17,"")&amp;IF(AND(Projects!$G$18="Yes",Projects!$C$18=AG$3),", "&amp;Projects!$A$18,"")&amp;IF(AND(Projects!$G$19="Yes",Projects!$C$19=AG$3),", "&amp;Projects!$A$19,"")&amp;IF(AND(Projects!$G$20="Yes",Projects!$C$20=AG$3),", "&amp;Projects!$A$20,"")&amp;IF(AND(Projects!$G$21="Yes",Projects!$C$21=AG$3),", "&amp;Projects!$A$21,"")&amp;IF(AND(Projects!$G$22="Yes",Projects!$C$22=AG$3),", "&amp;Projects!$A$22,"")&amp;IF(AND(Projects!$G$23="Yes",Projects!$C$23=AG$3),", "&amp;Projects!$A$23,"")&amp;IF(AND(Projects!$G$24="Yes",Projects!$C$24=AG$3),", "&amp;Projects!$A$24,"")&amp;IF(AND(Projects!$G$25="Yes",Projects!$C$25=AG$3),", "&amp;Projects!$A$25,"")&amp;IF(AND(Projects!$G$26="Yes",Projects!$C$26=AG$3),", "&amp;Projects!$A$26,"")&amp;IF(AND(Projects!$G$27="Yes",Projects!$C$27=AG$3),", "&amp;Projects!$A$27,"")&amp;IF(AND(Projects!$G$28="Yes",Projects!$C$28=AG$3),", "&amp;Projects!$A$28,"")&amp;IF(AND(Projects!$G$29="Yes",Projects!$C$29=AG$3),", "&amp;Projects!$A$29,"")&amp;IF(AND(Projects!$G$30="Yes",Projects!$C$30=AG$3),", "&amp;Projects!$A$30,"")&amp;IF(AND(Projects!$G$31="Yes",Projects!$C$31=AG$3),", "&amp;Projects!$A$31,"")&amp;IF(AND(Projects!$G$32="Yes",Projects!$C$32=AG$3),", "&amp;Projects!$A$32,"")&amp;IF(AND(Projects!$G$33="Yes",Projects!$C$33=AG$3),", "&amp;Projects!$A$33,"")&amp;IF(AND(Projects!$G$34="Yes",Projects!$C$34=AG$3),", "&amp;Projects!$A$34,"")&amp;IF(AND(Projects!$G$35="Yes",Projects!$C$35=AG$3),", "&amp;Projects!$A$35,"")&amp;IF(AND(Projects!$G$36="Yes",Projects!$C$36=AG$3),", "&amp;Projects!$A$36,"")&amp;IF(AND(Projects!$G$37="Yes",Projects!$C$37=AG$3),", "&amp;Projects!$A$37,"")&amp;IF(AND(Projects!$G$38="Yes",Projects!$C$38=AG$3),", "&amp;Projects!$A$38,"")&amp;IF(AND(Projects!$G$39="Yes",Projects!$C$39=AG$3),", "&amp;Projects!$A$39,"")&amp;IF(AND(Projects!$G$40="Yes",Projects!$C$40=AG$3),", "&amp;Projects!$A$40,"")&amp;IF(AND(Projects!$G$41="Yes",Projects!$C$41=AG$3),", "&amp;Projects!$A$41,"")&amp;IF(AND(Projects!$G$42="Yes",Projects!$C$42=AG$3),", "&amp;Projects!$A$42,"")&amp;IF(AND(Projects!$G$43="Yes",Projects!$C$43=AG$3),", "&amp;Projects!$A$43,"")&amp;IF(AND(Projects!$G$44="Yes",Projects!$C$44=AG$3),", "&amp;Projects!$A$44,"")&amp;IF(AND(Projects!$G$45="Yes",Projects!$C$45=AG$3),", "&amp;Projects!$A$45,"")&amp;IF(AND(Projects!$G$46="Yes",Projects!$C$46=AG$3),", "&amp;Projects!$A$46,""),3,10000)</f>
        <v/>
      </c>
      <c r="AH6" s="396">
        <f>MID(IF(AND(Projects!$G$2="Yes",Projects!$C$2=AH$3),", "&amp;Projects!$A$2,"")&amp;IF(AND(Projects!$G$3="Yes",Projects!$C$3=AH$3),", "&amp;Projects!$A$3,"")&amp;IF(AND(Projects!$G$4="Yes",Projects!$C$4=AH$3),", "&amp;Projects!$A$4,"")&amp;IF(AND(Projects!$G$5="Yes",Projects!$C$5=AH$3),", "&amp;Projects!$A$5,"")&amp;IF(AND(Projects!$G$6="Yes",Projects!$C$6=AH$3),", "&amp;Projects!$A$6,"")&amp;IF(AND(Projects!$G$7="Yes",Projects!$C$7=AH$3),", "&amp;Projects!$A$7,"")&amp;IF(AND(Projects!$G$8="Yes",Projects!$C$8=AH$3),", "&amp;Projects!$A$8,"")&amp;IF(AND(Projects!$G$9="Yes",Projects!$C$9=AH$3),", "&amp;Projects!$A$9,"")&amp;IF(AND(Projects!$G$10="Yes",Projects!$C$10=AH$3),", "&amp;Projects!$A$10,"")&amp;IF(AND(Projects!$G$11="Yes",Projects!$C$11=AH$3),", "&amp;Projects!$A$11,"")&amp;IF(AND(Projects!$G$12="Yes",Projects!$C$12=AH$3),", "&amp;Projects!$A$12,"")&amp;IF(AND(Projects!$G$13="Yes",Projects!$C$13=AH$3),", "&amp;Projects!$A$13,"")&amp;IF(AND(Projects!$G$14="Yes",Projects!$C$14=AH$3),", "&amp;Projects!$A$14,"")&amp;IF(AND(Projects!$G$15="Yes",Projects!$C$15=AH$3),", "&amp;Projects!$A$15,"")&amp;IF(AND(Projects!$G$16="Yes",Projects!$C$16=AH$3),", "&amp;Projects!$A$16,"")&amp;IF(AND(Projects!$G$17="Yes",Projects!$C$17=AH$3),", "&amp;Projects!$A$17,"")&amp;IF(AND(Projects!$G$18="Yes",Projects!$C$18=AH$3),", "&amp;Projects!$A$18,"")&amp;IF(AND(Projects!$G$19="Yes",Projects!$C$19=AH$3),", "&amp;Projects!$A$19,"")&amp;IF(AND(Projects!$G$20="Yes",Projects!$C$20=AH$3),", "&amp;Projects!$A$20,"")&amp;IF(AND(Projects!$G$21="Yes",Projects!$C$21=AH$3),", "&amp;Projects!$A$21,"")&amp;IF(AND(Projects!$G$22="Yes",Projects!$C$22=AH$3),", "&amp;Projects!$A$22,"")&amp;IF(AND(Projects!$G$23="Yes",Projects!$C$23=AH$3),", "&amp;Projects!$A$23,"")&amp;IF(AND(Projects!$G$24="Yes",Projects!$C$24=AH$3),", "&amp;Projects!$A$24,"")&amp;IF(AND(Projects!$G$25="Yes",Projects!$C$25=AH$3),", "&amp;Projects!$A$25,"")&amp;IF(AND(Projects!$G$26="Yes",Projects!$C$26=AH$3),", "&amp;Projects!$A$26,"")&amp;IF(AND(Projects!$G$27="Yes",Projects!$C$27=AH$3),", "&amp;Projects!$A$27,"")&amp;IF(AND(Projects!$G$28="Yes",Projects!$C$28=AH$3),", "&amp;Projects!$A$28,"")&amp;IF(AND(Projects!$G$29="Yes",Projects!$C$29=AH$3),", "&amp;Projects!$A$29,"")&amp;IF(AND(Projects!$G$30="Yes",Projects!$C$30=AH$3),", "&amp;Projects!$A$30,"")&amp;IF(AND(Projects!$G$31="Yes",Projects!$C$31=AH$3),", "&amp;Projects!$A$31,"")&amp;IF(AND(Projects!$G$32="Yes",Projects!$C$32=AH$3),", "&amp;Projects!$A$32,"")&amp;IF(AND(Projects!$G$33="Yes",Projects!$C$33=AH$3),", "&amp;Projects!$A$33,"")&amp;IF(AND(Projects!$G$34="Yes",Projects!$C$34=AH$3),", "&amp;Projects!$A$34,"")&amp;IF(AND(Projects!$G$35="Yes",Projects!$C$35=AH$3),", "&amp;Projects!$A$35,"")&amp;IF(AND(Projects!$G$36="Yes",Projects!$C$36=AH$3),", "&amp;Projects!$A$36,"")&amp;IF(AND(Projects!$G$37="Yes",Projects!$C$37=AH$3),", "&amp;Projects!$A$37,"")&amp;IF(AND(Projects!$G$38="Yes",Projects!$C$38=AH$3),", "&amp;Projects!$A$38,"")&amp;IF(AND(Projects!$G$39="Yes",Projects!$C$39=AH$3),", "&amp;Projects!$A$39,"")&amp;IF(AND(Projects!$G$40="Yes",Projects!$C$40=AH$3),", "&amp;Projects!$A$40,"")&amp;IF(AND(Projects!$G$41="Yes",Projects!$C$41=AH$3),", "&amp;Projects!$A$41,"")&amp;IF(AND(Projects!$G$42="Yes",Projects!$C$42=AH$3),", "&amp;Projects!$A$42,"")&amp;IF(AND(Projects!$G$43="Yes",Projects!$C$43=AH$3),", "&amp;Projects!$A$43,"")&amp;IF(AND(Projects!$G$44="Yes",Projects!$C$44=AH$3),", "&amp;Projects!$A$44,"")&amp;IF(AND(Projects!$G$45="Yes",Projects!$C$45=AH$3),", "&amp;Projects!$A$45,"")&amp;IF(AND(Projects!$G$46="Yes",Projects!$C$46=AH$3),", "&amp;Projects!$A$46,""),3,10000)</f>
        <v/>
      </c>
      <c r="AI6" s="396">
        <f>MID(IF(AND(Projects!$G$2="Yes",Projects!$C$2=AI$3),", "&amp;Projects!$A$2,"")&amp;IF(AND(Projects!$G$3="Yes",Projects!$C$3=AI$3),", "&amp;Projects!$A$3,"")&amp;IF(AND(Projects!$G$4="Yes",Projects!$C$4=AI$3),", "&amp;Projects!$A$4,"")&amp;IF(AND(Projects!$G$5="Yes",Projects!$C$5=AI$3),", "&amp;Projects!$A$5,"")&amp;IF(AND(Projects!$G$6="Yes",Projects!$C$6=AI$3),", "&amp;Projects!$A$6,"")&amp;IF(AND(Projects!$G$7="Yes",Projects!$C$7=AI$3),", "&amp;Projects!$A$7,"")&amp;IF(AND(Projects!$G$8="Yes",Projects!$C$8=AI$3),", "&amp;Projects!$A$8,"")&amp;IF(AND(Projects!$G$9="Yes",Projects!$C$9=AI$3),", "&amp;Projects!$A$9,"")&amp;IF(AND(Projects!$G$10="Yes",Projects!$C$10=AI$3),", "&amp;Projects!$A$10,"")&amp;IF(AND(Projects!$G$11="Yes",Projects!$C$11=AI$3),", "&amp;Projects!$A$11,"")&amp;IF(AND(Projects!$G$12="Yes",Projects!$C$12=AI$3),", "&amp;Projects!$A$12,"")&amp;IF(AND(Projects!$G$13="Yes",Projects!$C$13=AI$3),", "&amp;Projects!$A$13,"")&amp;IF(AND(Projects!$G$14="Yes",Projects!$C$14=AI$3),", "&amp;Projects!$A$14,"")&amp;IF(AND(Projects!$G$15="Yes",Projects!$C$15=AI$3),", "&amp;Projects!$A$15,"")&amp;IF(AND(Projects!$G$16="Yes",Projects!$C$16=AI$3),", "&amp;Projects!$A$16,"")&amp;IF(AND(Projects!$G$17="Yes",Projects!$C$17=AI$3),", "&amp;Projects!$A$17,"")&amp;IF(AND(Projects!$G$18="Yes",Projects!$C$18=AI$3),", "&amp;Projects!$A$18,"")&amp;IF(AND(Projects!$G$19="Yes",Projects!$C$19=AI$3),", "&amp;Projects!$A$19,"")&amp;IF(AND(Projects!$G$20="Yes",Projects!$C$20=AI$3),", "&amp;Projects!$A$20,"")&amp;IF(AND(Projects!$G$21="Yes",Projects!$C$21=AI$3),", "&amp;Projects!$A$21,"")&amp;IF(AND(Projects!$G$22="Yes",Projects!$C$22=AI$3),", "&amp;Projects!$A$22,"")&amp;IF(AND(Projects!$G$23="Yes",Projects!$C$23=AI$3),", "&amp;Projects!$A$23,"")&amp;IF(AND(Projects!$G$24="Yes",Projects!$C$24=AI$3),", "&amp;Projects!$A$24,"")&amp;IF(AND(Projects!$G$25="Yes",Projects!$C$25=AI$3),", "&amp;Projects!$A$25,"")&amp;IF(AND(Projects!$G$26="Yes",Projects!$C$26=AI$3),", "&amp;Projects!$A$26,"")&amp;IF(AND(Projects!$G$27="Yes",Projects!$C$27=AI$3),", "&amp;Projects!$A$27,"")&amp;IF(AND(Projects!$G$28="Yes",Projects!$C$28=AI$3),", "&amp;Projects!$A$28,"")&amp;IF(AND(Projects!$G$29="Yes",Projects!$C$29=AI$3),", "&amp;Projects!$A$29,"")&amp;IF(AND(Projects!$G$30="Yes",Projects!$C$30=AI$3),", "&amp;Projects!$A$30,"")&amp;IF(AND(Projects!$G$31="Yes",Projects!$C$31=AI$3),", "&amp;Projects!$A$31,"")&amp;IF(AND(Projects!$G$32="Yes",Projects!$C$32=AI$3),", "&amp;Projects!$A$32,"")&amp;IF(AND(Projects!$G$33="Yes",Projects!$C$33=AI$3),", "&amp;Projects!$A$33,"")&amp;IF(AND(Projects!$G$34="Yes",Projects!$C$34=AI$3),", "&amp;Projects!$A$34,"")&amp;IF(AND(Projects!$G$35="Yes",Projects!$C$35=AI$3),", "&amp;Projects!$A$35,"")&amp;IF(AND(Projects!$G$36="Yes",Projects!$C$36=AI$3),", "&amp;Projects!$A$36,"")&amp;IF(AND(Projects!$G$37="Yes",Projects!$C$37=AI$3),", "&amp;Projects!$A$37,"")&amp;IF(AND(Projects!$G$38="Yes",Projects!$C$38=AI$3),", "&amp;Projects!$A$38,"")&amp;IF(AND(Projects!$G$39="Yes",Projects!$C$39=AI$3),", "&amp;Projects!$A$39,"")&amp;IF(AND(Projects!$G$40="Yes",Projects!$C$40=AI$3),", "&amp;Projects!$A$40,"")&amp;IF(AND(Projects!$G$41="Yes",Projects!$C$41=AI$3),", "&amp;Projects!$A$41,"")&amp;IF(AND(Projects!$G$42="Yes",Projects!$C$42=AI$3),", "&amp;Projects!$A$42,"")&amp;IF(AND(Projects!$G$43="Yes",Projects!$C$43=AI$3),", "&amp;Projects!$A$43,"")&amp;IF(AND(Projects!$G$44="Yes",Projects!$C$44=AI$3),", "&amp;Projects!$A$44,"")&amp;IF(AND(Projects!$G$45="Yes",Projects!$C$45=AI$3),", "&amp;Projects!$A$45,"")&amp;IF(AND(Projects!$G$46="Yes",Projects!$C$46=AI$3),", "&amp;Projects!$A$46,""),3,10000)</f>
        <v/>
      </c>
      <c r="AJ6" s="396">
        <f>MID(IF(AND(Projects!$G$2="Yes",Projects!$C$2=AJ$3),", "&amp;Projects!$A$2,"")&amp;IF(AND(Projects!$G$3="Yes",Projects!$C$3=AJ$3),", "&amp;Projects!$A$3,"")&amp;IF(AND(Projects!$G$4="Yes",Projects!$C$4=AJ$3),", "&amp;Projects!$A$4,"")&amp;IF(AND(Projects!$G$5="Yes",Projects!$C$5=AJ$3),", "&amp;Projects!$A$5,"")&amp;IF(AND(Projects!$G$6="Yes",Projects!$C$6=AJ$3),", "&amp;Projects!$A$6,"")&amp;IF(AND(Projects!$G$7="Yes",Projects!$C$7=AJ$3),", "&amp;Projects!$A$7,"")&amp;IF(AND(Projects!$G$8="Yes",Projects!$C$8=AJ$3),", "&amp;Projects!$A$8,"")&amp;IF(AND(Projects!$G$9="Yes",Projects!$C$9=AJ$3),", "&amp;Projects!$A$9,"")&amp;IF(AND(Projects!$G$10="Yes",Projects!$C$10=AJ$3),", "&amp;Projects!$A$10,"")&amp;IF(AND(Projects!$G$11="Yes",Projects!$C$11=AJ$3),", "&amp;Projects!$A$11,"")&amp;IF(AND(Projects!$G$12="Yes",Projects!$C$12=AJ$3),", "&amp;Projects!$A$12,"")&amp;IF(AND(Projects!$G$13="Yes",Projects!$C$13=AJ$3),", "&amp;Projects!$A$13,"")&amp;IF(AND(Projects!$G$14="Yes",Projects!$C$14=AJ$3),", "&amp;Projects!$A$14,"")&amp;IF(AND(Projects!$G$15="Yes",Projects!$C$15=AJ$3),", "&amp;Projects!$A$15,"")&amp;IF(AND(Projects!$G$16="Yes",Projects!$C$16=AJ$3),", "&amp;Projects!$A$16,"")&amp;IF(AND(Projects!$G$17="Yes",Projects!$C$17=AJ$3),", "&amp;Projects!$A$17,"")&amp;IF(AND(Projects!$G$18="Yes",Projects!$C$18=AJ$3),", "&amp;Projects!$A$18,"")&amp;IF(AND(Projects!$G$19="Yes",Projects!$C$19=AJ$3),", "&amp;Projects!$A$19,"")&amp;IF(AND(Projects!$G$20="Yes",Projects!$C$20=AJ$3),", "&amp;Projects!$A$20,"")&amp;IF(AND(Projects!$G$21="Yes",Projects!$C$21=AJ$3),", "&amp;Projects!$A$21,"")&amp;IF(AND(Projects!$G$22="Yes",Projects!$C$22=AJ$3),", "&amp;Projects!$A$22,"")&amp;IF(AND(Projects!$G$23="Yes",Projects!$C$23=AJ$3),", "&amp;Projects!$A$23,"")&amp;IF(AND(Projects!$G$24="Yes",Projects!$C$24=AJ$3),", "&amp;Projects!$A$24,"")&amp;IF(AND(Projects!$G$25="Yes",Projects!$C$25=AJ$3),", "&amp;Projects!$A$25,"")&amp;IF(AND(Projects!$G$26="Yes",Projects!$C$26=AJ$3),", "&amp;Projects!$A$26,"")&amp;IF(AND(Projects!$G$27="Yes",Projects!$C$27=AJ$3),", "&amp;Projects!$A$27,"")&amp;IF(AND(Projects!$G$28="Yes",Projects!$C$28=AJ$3),", "&amp;Projects!$A$28,"")&amp;IF(AND(Projects!$G$29="Yes",Projects!$C$29=AJ$3),", "&amp;Projects!$A$29,"")&amp;IF(AND(Projects!$G$30="Yes",Projects!$C$30=AJ$3),", "&amp;Projects!$A$30,"")&amp;IF(AND(Projects!$G$31="Yes",Projects!$C$31=AJ$3),", "&amp;Projects!$A$31,"")&amp;IF(AND(Projects!$G$32="Yes",Projects!$C$32=AJ$3),", "&amp;Projects!$A$32,"")&amp;IF(AND(Projects!$G$33="Yes",Projects!$C$33=AJ$3),", "&amp;Projects!$A$33,"")&amp;IF(AND(Projects!$G$34="Yes",Projects!$C$34=AJ$3),", "&amp;Projects!$A$34,"")&amp;IF(AND(Projects!$G$35="Yes",Projects!$C$35=AJ$3),", "&amp;Projects!$A$35,"")&amp;IF(AND(Projects!$G$36="Yes",Projects!$C$36=AJ$3),", "&amp;Projects!$A$36,"")&amp;IF(AND(Projects!$G$37="Yes",Projects!$C$37=AJ$3),", "&amp;Projects!$A$37,"")&amp;IF(AND(Projects!$G$38="Yes",Projects!$C$38=AJ$3),", "&amp;Projects!$A$38,"")&amp;IF(AND(Projects!$G$39="Yes",Projects!$C$39=AJ$3),", "&amp;Projects!$A$39,"")&amp;IF(AND(Projects!$G$40="Yes",Projects!$C$40=AJ$3),", "&amp;Projects!$A$40,"")&amp;IF(AND(Projects!$G$41="Yes",Projects!$C$41=AJ$3),", "&amp;Projects!$A$41,"")&amp;IF(AND(Projects!$G$42="Yes",Projects!$C$42=AJ$3),", "&amp;Projects!$A$42,"")&amp;IF(AND(Projects!$G$43="Yes",Projects!$C$43=AJ$3),", "&amp;Projects!$A$43,"")&amp;IF(AND(Projects!$G$44="Yes",Projects!$C$44=AJ$3),", "&amp;Projects!$A$44,"")&amp;IF(AND(Projects!$G$45="Yes",Projects!$C$45=AJ$3),", "&amp;Projects!$A$45,"")&amp;IF(AND(Projects!$G$46="Yes",Projects!$C$46=AJ$3),", "&amp;Projects!$A$46,""),3,10000)</f>
        <v/>
      </c>
      <c r="AK6" s="396">
        <f>MID(IF(AND(Projects!$G$2="Yes",Projects!$C$2=AK$3),", "&amp;Projects!$A$2,"")&amp;IF(AND(Projects!$G$3="Yes",Projects!$C$3=AK$3),", "&amp;Projects!$A$3,"")&amp;IF(AND(Projects!$G$4="Yes",Projects!$C$4=AK$3),", "&amp;Projects!$A$4,"")&amp;IF(AND(Projects!$G$5="Yes",Projects!$C$5=AK$3),", "&amp;Projects!$A$5,"")&amp;IF(AND(Projects!$G$6="Yes",Projects!$C$6=AK$3),", "&amp;Projects!$A$6,"")&amp;IF(AND(Projects!$G$7="Yes",Projects!$C$7=AK$3),", "&amp;Projects!$A$7,"")&amp;IF(AND(Projects!$G$8="Yes",Projects!$C$8=AK$3),", "&amp;Projects!$A$8,"")&amp;IF(AND(Projects!$G$9="Yes",Projects!$C$9=AK$3),", "&amp;Projects!$A$9,"")&amp;IF(AND(Projects!$G$10="Yes",Projects!$C$10=AK$3),", "&amp;Projects!$A$10,"")&amp;IF(AND(Projects!$G$11="Yes",Projects!$C$11=AK$3),", "&amp;Projects!$A$11,"")&amp;IF(AND(Projects!$G$12="Yes",Projects!$C$12=AK$3),", "&amp;Projects!$A$12,"")&amp;IF(AND(Projects!$G$13="Yes",Projects!$C$13=AK$3),", "&amp;Projects!$A$13,"")&amp;IF(AND(Projects!$G$14="Yes",Projects!$C$14=AK$3),", "&amp;Projects!$A$14,"")&amp;IF(AND(Projects!$G$15="Yes",Projects!$C$15=AK$3),", "&amp;Projects!$A$15,"")&amp;IF(AND(Projects!$G$16="Yes",Projects!$C$16=AK$3),", "&amp;Projects!$A$16,"")&amp;IF(AND(Projects!$G$17="Yes",Projects!$C$17=AK$3),", "&amp;Projects!$A$17,"")&amp;IF(AND(Projects!$G$18="Yes",Projects!$C$18=AK$3),", "&amp;Projects!$A$18,"")&amp;IF(AND(Projects!$G$19="Yes",Projects!$C$19=AK$3),", "&amp;Projects!$A$19,"")&amp;IF(AND(Projects!$G$20="Yes",Projects!$C$20=AK$3),", "&amp;Projects!$A$20,"")&amp;IF(AND(Projects!$G$21="Yes",Projects!$C$21=AK$3),", "&amp;Projects!$A$21,"")&amp;IF(AND(Projects!$G$22="Yes",Projects!$C$22=AK$3),", "&amp;Projects!$A$22,"")&amp;IF(AND(Projects!$G$23="Yes",Projects!$C$23=AK$3),", "&amp;Projects!$A$23,"")&amp;IF(AND(Projects!$G$24="Yes",Projects!$C$24=AK$3),", "&amp;Projects!$A$24,"")&amp;IF(AND(Projects!$G$25="Yes",Projects!$C$25=AK$3),", "&amp;Projects!$A$25,"")&amp;IF(AND(Projects!$G$26="Yes",Projects!$C$26=AK$3),", "&amp;Projects!$A$26,"")&amp;IF(AND(Projects!$G$27="Yes",Projects!$C$27=AK$3),", "&amp;Projects!$A$27,"")&amp;IF(AND(Projects!$G$28="Yes",Projects!$C$28=AK$3),", "&amp;Projects!$A$28,"")&amp;IF(AND(Projects!$G$29="Yes",Projects!$C$29=AK$3),", "&amp;Projects!$A$29,"")&amp;IF(AND(Projects!$G$30="Yes",Projects!$C$30=AK$3),", "&amp;Projects!$A$30,"")&amp;IF(AND(Projects!$G$31="Yes",Projects!$C$31=AK$3),", "&amp;Projects!$A$31,"")&amp;IF(AND(Projects!$G$32="Yes",Projects!$C$32=AK$3),", "&amp;Projects!$A$32,"")&amp;IF(AND(Projects!$G$33="Yes",Projects!$C$33=AK$3),", "&amp;Projects!$A$33,"")&amp;IF(AND(Projects!$G$34="Yes",Projects!$C$34=AK$3),", "&amp;Projects!$A$34,"")&amp;IF(AND(Projects!$G$35="Yes",Projects!$C$35=AK$3),", "&amp;Projects!$A$35,"")&amp;IF(AND(Projects!$G$36="Yes",Projects!$C$36=AK$3),", "&amp;Projects!$A$36,"")&amp;IF(AND(Projects!$G$37="Yes",Projects!$C$37=AK$3),", "&amp;Projects!$A$37,"")&amp;IF(AND(Projects!$G$38="Yes",Projects!$C$38=AK$3),", "&amp;Projects!$A$38,"")&amp;IF(AND(Projects!$G$39="Yes",Projects!$C$39=AK$3),", "&amp;Projects!$A$39,"")&amp;IF(AND(Projects!$G$40="Yes",Projects!$C$40=AK$3),", "&amp;Projects!$A$40,"")&amp;IF(AND(Projects!$G$41="Yes",Projects!$C$41=AK$3),", "&amp;Projects!$A$41,"")&amp;IF(AND(Projects!$G$42="Yes",Projects!$C$42=AK$3),", "&amp;Projects!$A$42,"")&amp;IF(AND(Projects!$G$43="Yes",Projects!$C$43=AK$3),", "&amp;Projects!$A$43,"")&amp;IF(AND(Projects!$G$44="Yes",Projects!$C$44=AK$3),", "&amp;Projects!$A$44,"")&amp;IF(AND(Projects!$G$45="Yes",Projects!$C$45=AK$3),", "&amp;Projects!$A$45,"")&amp;IF(AND(Projects!$G$46="Yes",Projects!$C$46=AK$3),", "&amp;Projects!$A$46,""),3,10000)</f>
        <v/>
      </c>
      <c r="AL6" s="396">
        <f>MID(IF(AND(Projects!$G$2="Yes",Projects!$C$2=AL$3),", "&amp;Projects!$A$2,"")&amp;IF(AND(Projects!$G$3="Yes",Projects!$C$3=AL$3),", "&amp;Projects!$A$3,"")&amp;IF(AND(Projects!$G$4="Yes",Projects!$C$4=AL$3),", "&amp;Projects!$A$4,"")&amp;IF(AND(Projects!$G$5="Yes",Projects!$C$5=AL$3),", "&amp;Projects!$A$5,"")&amp;IF(AND(Projects!$G$6="Yes",Projects!$C$6=AL$3),", "&amp;Projects!$A$6,"")&amp;IF(AND(Projects!$G$7="Yes",Projects!$C$7=AL$3),", "&amp;Projects!$A$7,"")&amp;IF(AND(Projects!$G$8="Yes",Projects!$C$8=AL$3),", "&amp;Projects!$A$8,"")&amp;IF(AND(Projects!$G$9="Yes",Projects!$C$9=AL$3),", "&amp;Projects!$A$9,"")&amp;IF(AND(Projects!$G$10="Yes",Projects!$C$10=AL$3),", "&amp;Projects!$A$10,"")&amp;IF(AND(Projects!$G$11="Yes",Projects!$C$11=AL$3),", "&amp;Projects!$A$11,"")&amp;IF(AND(Projects!$G$12="Yes",Projects!$C$12=AL$3),", "&amp;Projects!$A$12,"")&amp;IF(AND(Projects!$G$13="Yes",Projects!$C$13=AL$3),", "&amp;Projects!$A$13,"")&amp;IF(AND(Projects!$G$14="Yes",Projects!$C$14=AL$3),", "&amp;Projects!$A$14,"")&amp;IF(AND(Projects!$G$15="Yes",Projects!$C$15=AL$3),", "&amp;Projects!$A$15,"")&amp;IF(AND(Projects!$G$16="Yes",Projects!$C$16=AL$3),", "&amp;Projects!$A$16,"")&amp;IF(AND(Projects!$G$17="Yes",Projects!$C$17=AL$3),", "&amp;Projects!$A$17,"")&amp;IF(AND(Projects!$G$18="Yes",Projects!$C$18=AL$3),", "&amp;Projects!$A$18,"")&amp;IF(AND(Projects!$G$19="Yes",Projects!$C$19=AL$3),", "&amp;Projects!$A$19,"")&amp;IF(AND(Projects!$G$20="Yes",Projects!$C$20=AL$3),", "&amp;Projects!$A$20,"")&amp;IF(AND(Projects!$G$21="Yes",Projects!$C$21=AL$3),", "&amp;Projects!$A$21,"")&amp;IF(AND(Projects!$G$22="Yes",Projects!$C$22=AL$3),", "&amp;Projects!$A$22,"")&amp;IF(AND(Projects!$G$23="Yes",Projects!$C$23=AL$3),", "&amp;Projects!$A$23,"")&amp;IF(AND(Projects!$G$24="Yes",Projects!$C$24=AL$3),", "&amp;Projects!$A$24,"")&amp;IF(AND(Projects!$G$25="Yes",Projects!$C$25=AL$3),", "&amp;Projects!$A$25,"")&amp;IF(AND(Projects!$G$26="Yes",Projects!$C$26=AL$3),", "&amp;Projects!$A$26,"")&amp;IF(AND(Projects!$G$27="Yes",Projects!$C$27=AL$3),", "&amp;Projects!$A$27,"")&amp;IF(AND(Projects!$G$28="Yes",Projects!$C$28=AL$3),", "&amp;Projects!$A$28,"")&amp;IF(AND(Projects!$G$29="Yes",Projects!$C$29=AL$3),", "&amp;Projects!$A$29,"")&amp;IF(AND(Projects!$G$30="Yes",Projects!$C$30=AL$3),", "&amp;Projects!$A$30,"")&amp;IF(AND(Projects!$G$31="Yes",Projects!$C$31=AL$3),", "&amp;Projects!$A$31,"")&amp;IF(AND(Projects!$G$32="Yes",Projects!$C$32=AL$3),", "&amp;Projects!$A$32,"")&amp;IF(AND(Projects!$G$33="Yes",Projects!$C$33=AL$3),", "&amp;Projects!$A$33,"")&amp;IF(AND(Projects!$G$34="Yes",Projects!$C$34=AL$3),", "&amp;Projects!$A$34,"")&amp;IF(AND(Projects!$G$35="Yes",Projects!$C$35=AL$3),", "&amp;Projects!$A$35,"")&amp;IF(AND(Projects!$G$36="Yes",Projects!$C$36=AL$3),", "&amp;Projects!$A$36,"")&amp;IF(AND(Projects!$G$37="Yes",Projects!$C$37=AL$3),", "&amp;Projects!$A$37,"")&amp;IF(AND(Projects!$G$38="Yes",Projects!$C$38=AL$3),", "&amp;Projects!$A$38,"")&amp;IF(AND(Projects!$G$39="Yes",Projects!$C$39=AL$3),", "&amp;Projects!$A$39,"")&amp;IF(AND(Projects!$G$40="Yes",Projects!$C$40=AL$3),", "&amp;Projects!$A$40,"")&amp;IF(AND(Projects!$G$41="Yes",Projects!$C$41=AL$3),", "&amp;Projects!$A$41,"")&amp;IF(AND(Projects!$G$42="Yes",Projects!$C$42=AL$3),", "&amp;Projects!$A$42,"")&amp;IF(AND(Projects!$G$43="Yes",Projects!$C$43=AL$3),", "&amp;Projects!$A$43,"")&amp;IF(AND(Projects!$G$44="Yes",Projects!$C$44=AL$3),", "&amp;Projects!$A$44,"")&amp;IF(AND(Projects!$G$45="Yes",Projects!$C$45=AL$3),", "&amp;Projects!$A$45,"")&amp;IF(AND(Projects!$G$46="Yes",Projects!$C$46=AL$3),", "&amp;Projects!$A$46,""),3,10000)</f>
        <v/>
      </c>
      <c r="AM6" s="396">
        <f>MID(IF(AND(Projects!$G$2="Yes",Projects!$C$2=AM$3),", "&amp;Projects!$A$2,"")&amp;IF(AND(Projects!$G$3="Yes",Projects!$C$3=AM$3),", "&amp;Projects!$A$3,"")&amp;IF(AND(Projects!$G$4="Yes",Projects!$C$4=AM$3),", "&amp;Projects!$A$4,"")&amp;IF(AND(Projects!$G$5="Yes",Projects!$C$5=AM$3),", "&amp;Projects!$A$5,"")&amp;IF(AND(Projects!$G$6="Yes",Projects!$C$6=AM$3),", "&amp;Projects!$A$6,"")&amp;IF(AND(Projects!$G$7="Yes",Projects!$C$7=AM$3),", "&amp;Projects!$A$7,"")&amp;IF(AND(Projects!$G$8="Yes",Projects!$C$8=AM$3),", "&amp;Projects!$A$8,"")&amp;IF(AND(Projects!$G$9="Yes",Projects!$C$9=AM$3),", "&amp;Projects!$A$9,"")&amp;IF(AND(Projects!$G$10="Yes",Projects!$C$10=AM$3),", "&amp;Projects!$A$10,"")&amp;IF(AND(Projects!$G$11="Yes",Projects!$C$11=AM$3),", "&amp;Projects!$A$11,"")&amp;IF(AND(Projects!$G$12="Yes",Projects!$C$12=AM$3),", "&amp;Projects!$A$12,"")&amp;IF(AND(Projects!$G$13="Yes",Projects!$C$13=AM$3),", "&amp;Projects!$A$13,"")&amp;IF(AND(Projects!$G$14="Yes",Projects!$C$14=AM$3),", "&amp;Projects!$A$14,"")&amp;IF(AND(Projects!$G$15="Yes",Projects!$C$15=AM$3),", "&amp;Projects!$A$15,"")&amp;IF(AND(Projects!$G$16="Yes",Projects!$C$16=AM$3),", "&amp;Projects!$A$16,"")&amp;IF(AND(Projects!$G$17="Yes",Projects!$C$17=AM$3),", "&amp;Projects!$A$17,"")&amp;IF(AND(Projects!$G$18="Yes",Projects!$C$18=AM$3),", "&amp;Projects!$A$18,"")&amp;IF(AND(Projects!$G$19="Yes",Projects!$C$19=AM$3),", "&amp;Projects!$A$19,"")&amp;IF(AND(Projects!$G$20="Yes",Projects!$C$20=AM$3),", "&amp;Projects!$A$20,"")&amp;IF(AND(Projects!$G$21="Yes",Projects!$C$21=AM$3),", "&amp;Projects!$A$21,"")&amp;IF(AND(Projects!$G$22="Yes",Projects!$C$22=AM$3),", "&amp;Projects!$A$22,"")&amp;IF(AND(Projects!$G$23="Yes",Projects!$C$23=AM$3),", "&amp;Projects!$A$23,"")&amp;IF(AND(Projects!$G$24="Yes",Projects!$C$24=AM$3),", "&amp;Projects!$A$24,"")&amp;IF(AND(Projects!$G$25="Yes",Projects!$C$25=AM$3),", "&amp;Projects!$A$25,"")&amp;IF(AND(Projects!$G$26="Yes",Projects!$C$26=AM$3),", "&amp;Projects!$A$26,"")&amp;IF(AND(Projects!$G$27="Yes",Projects!$C$27=AM$3),", "&amp;Projects!$A$27,"")&amp;IF(AND(Projects!$G$28="Yes",Projects!$C$28=AM$3),", "&amp;Projects!$A$28,"")&amp;IF(AND(Projects!$G$29="Yes",Projects!$C$29=AM$3),", "&amp;Projects!$A$29,"")&amp;IF(AND(Projects!$G$30="Yes",Projects!$C$30=AM$3),", "&amp;Projects!$A$30,"")&amp;IF(AND(Projects!$G$31="Yes",Projects!$C$31=AM$3),", "&amp;Projects!$A$31,"")&amp;IF(AND(Projects!$G$32="Yes",Projects!$C$32=AM$3),", "&amp;Projects!$A$32,"")&amp;IF(AND(Projects!$G$33="Yes",Projects!$C$33=AM$3),", "&amp;Projects!$A$33,"")&amp;IF(AND(Projects!$G$34="Yes",Projects!$C$34=AM$3),", "&amp;Projects!$A$34,"")&amp;IF(AND(Projects!$G$35="Yes",Projects!$C$35=AM$3),", "&amp;Projects!$A$35,"")&amp;IF(AND(Projects!$G$36="Yes",Projects!$C$36=AM$3),", "&amp;Projects!$A$36,"")&amp;IF(AND(Projects!$G$37="Yes",Projects!$C$37=AM$3),", "&amp;Projects!$A$37,"")&amp;IF(AND(Projects!$G$38="Yes",Projects!$C$38=AM$3),", "&amp;Projects!$A$38,"")&amp;IF(AND(Projects!$G$39="Yes",Projects!$C$39=AM$3),", "&amp;Projects!$A$39,"")&amp;IF(AND(Projects!$G$40="Yes",Projects!$C$40=AM$3),", "&amp;Projects!$A$40,"")&amp;IF(AND(Projects!$G$41="Yes",Projects!$C$41=AM$3),", "&amp;Projects!$A$41,"")&amp;IF(AND(Projects!$G$42="Yes",Projects!$C$42=AM$3),", "&amp;Projects!$A$42,"")&amp;IF(AND(Projects!$G$43="Yes",Projects!$C$43=AM$3),", "&amp;Projects!$A$43,"")&amp;IF(AND(Projects!$G$44="Yes",Projects!$C$44=AM$3),", "&amp;Projects!$A$44,"")&amp;IF(AND(Projects!$G$45="Yes",Projects!$C$45=AM$3),", "&amp;Projects!$A$45,"")&amp;IF(AND(Projects!$G$46="Yes",Projects!$C$46=AM$3),", "&amp;Projects!$A$46,""),3,10000)</f>
        <v/>
      </c>
      <c r="AN6" s="396">
        <f>MID(IF(AND(Projects!$G$2="Yes",Projects!$C$2=AN$3),", "&amp;Projects!$A$2,"")&amp;IF(AND(Projects!$G$3="Yes",Projects!$C$3=AN$3),", "&amp;Projects!$A$3,"")&amp;IF(AND(Projects!$G$4="Yes",Projects!$C$4=AN$3),", "&amp;Projects!$A$4,"")&amp;IF(AND(Projects!$G$5="Yes",Projects!$C$5=AN$3),", "&amp;Projects!$A$5,"")&amp;IF(AND(Projects!$G$6="Yes",Projects!$C$6=AN$3),", "&amp;Projects!$A$6,"")&amp;IF(AND(Projects!$G$7="Yes",Projects!$C$7=AN$3),", "&amp;Projects!$A$7,"")&amp;IF(AND(Projects!$G$8="Yes",Projects!$C$8=AN$3),", "&amp;Projects!$A$8,"")&amp;IF(AND(Projects!$G$9="Yes",Projects!$C$9=AN$3),", "&amp;Projects!$A$9,"")&amp;IF(AND(Projects!$G$10="Yes",Projects!$C$10=AN$3),", "&amp;Projects!$A$10,"")&amp;IF(AND(Projects!$G$11="Yes",Projects!$C$11=AN$3),", "&amp;Projects!$A$11,"")&amp;IF(AND(Projects!$G$12="Yes",Projects!$C$12=AN$3),", "&amp;Projects!$A$12,"")&amp;IF(AND(Projects!$G$13="Yes",Projects!$C$13=AN$3),", "&amp;Projects!$A$13,"")&amp;IF(AND(Projects!$G$14="Yes",Projects!$C$14=AN$3),", "&amp;Projects!$A$14,"")&amp;IF(AND(Projects!$G$15="Yes",Projects!$C$15=AN$3),", "&amp;Projects!$A$15,"")&amp;IF(AND(Projects!$G$16="Yes",Projects!$C$16=AN$3),", "&amp;Projects!$A$16,"")&amp;IF(AND(Projects!$G$17="Yes",Projects!$C$17=AN$3),", "&amp;Projects!$A$17,"")&amp;IF(AND(Projects!$G$18="Yes",Projects!$C$18=AN$3),", "&amp;Projects!$A$18,"")&amp;IF(AND(Projects!$G$19="Yes",Projects!$C$19=AN$3),", "&amp;Projects!$A$19,"")&amp;IF(AND(Projects!$G$20="Yes",Projects!$C$20=AN$3),", "&amp;Projects!$A$20,"")&amp;IF(AND(Projects!$G$21="Yes",Projects!$C$21=AN$3),", "&amp;Projects!$A$21,"")&amp;IF(AND(Projects!$G$22="Yes",Projects!$C$22=AN$3),", "&amp;Projects!$A$22,"")&amp;IF(AND(Projects!$G$23="Yes",Projects!$C$23=AN$3),", "&amp;Projects!$A$23,"")&amp;IF(AND(Projects!$G$24="Yes",Projects!$C$24=AN$3),", "&amp;Projects!$A$24,"")&amp;IF(AND(Projects!$G$25="Yes",Projects!$C$25=AN$3),", "&amp;Projects!$A$25,"")&amp;IF(AND(Projects!$G$26="Yes",Projects!$C$26=AN$3),", "&amp;Projects!$A$26,"")&amp;IF(AND(Projects!$G$27="Yes",Projects!$C$27=AN$3),", "&amp;Projects!$A$27,"")&amp;IF(AND(Projects!$G$28="Yes",Projects!$C$28=AN$3),", "&amp;Projects!$A$28,"")&amp;IF(AND(Projects!$G$29="Yes",Projects!$C$29=AN$3),", "&amp;Projects!$A$29,"")&amp;IF(AND(Projects!$G$30="Yes",Projects!$C$30=AN$3),", "&amp;Projects!$A$30,"")&amp;IF(AND(Projects!$G$31="Yes",Projects!$C$31=AN$3),", "&amp;Projects!$A$31,"")&amp;IF(AND(Projects!$G$32="Yes",Projects!$C$32=AN$3),", "&amp;Projects!$A$32,"")&amp;IF(AND(Projects!$G$33="Yes",Projects!$C$33=AN$3),", "&amp;Projects!$A$33,"")&amp;IF(AND(Projects!$G$34="Yes",Projects!$C$34=AN$3),", "&amp;Projects!$A$34,"")&amp;IF(AND(Projects!$G$35="Yes",Projects!$C$35=AN$3),", "&amp;Projects!$A$35,"")&amp;IF(AND(Projects!$G$36="Yes",Projects!$C$36=AN$3),", "&amp;Projects!$A$36,"")&amp;IF(AND(Projects!$G$37="Yes",Projects!$C$37=AN$3),", "&amp;Projects!$A$37,"")&amp;IF(AND(Projects!$G$38="Yes",Projects!$C$38=AN$3),", "&amp;Projects!$A$38,"")&amp;IF(AND(Projects!$G$39="Yes",Projects!$C$39=AN$3),", "&amp;Projects!$A$39,"")&amp;IF(AND(Projects!$G$40="Yes",Projects!$C$40=AN$3),", "&amp;Projects!$A$40,"")&amp;IF(AND(Projects!$G$41="Yes",Projects!$C$41=AN$3),", "&amp;Projects!$A$41,"")&amp;IF(AND(Projects!$G$42="Yes",Projects!$C$42=AN$3),", "&amp;Projects!$A$42,"")&amp;IF(AND(Projects!$G$43="Yes",Projects!$C$43=AN$3),", "&amp;Projects!$A$43,"")&amp;IF(AND(Projects!$G$44="Yes",Projects!$C$44=AN$3),", "&amp;Projects!$A$44,"")&amp;IF(AND(Projects!$G$45="Yes",Projects!$C$45=AN$3),", "&amp;Projects!$A$45,"")&amp;IF(AND(Projects!$G$46="Yes",Projects!$C$46=AN$3),", "&amp;Projects!$A$46,""),3,10000)</f>
        <v/>
      </c>
      <c r="AO6" s="396">
        <f>MID(IF(AND(Projects!$G$2="Yes",Projects!$C$2=AO$3),", "&amp;Projects!$A$2,"")&amp;IF(AND(Projects!$G$3="Yes",Projects!$C$3=AO$3),", "&amp;Projects!$A$3,"")&amp;IF(AND(Projects!$G$4="Yes",Projects!$C$4=AO$3),", "&amp;Projects!$A$4,"")&amp;IF(AND(Projects!$G$5="Yes",Projects!$C$5=AO$3),", "&amp;Projects!$A$5,"")&amp;IF(AND(Projects!$G$6="Yes",Projects!$C$6=AO$3),", "&amp;Projects!$A$6,"")&amp;IF(AND(Projects!$G$7="Yes",Projects!$C$7=AO$3),", "&amp;Projects!$A$7,"")&amp;IF(AND(Projects!$G$8="Yes",Projects!$C$8=AO$3),", "&amp;Projects!$A$8,"")&amp;IF(AND(Projects!$G$9="Yes",Projects!$C$9=AO$3),", "&amp;Projects!$A$9,"")&amp;IF(AND(Projects!$G$10="Yes",Projects!$C$10=AO$3),", "&amp;Projects!$A$10,"")&amp;IF(AND(Projects!$G$11="Yes",Projects!$C$11=AO$3),", "&amp;Projects!$A$11,"")&amp;IF(AND(Projects!$G$12="Yes",Projects!$C$12=AO$3),", "&amp;Projects!$A$12,"")&amp;IF(AND(Projects!$G$13="Yes",Projects!$C$13=AO$3),", "&amp;Projects!$A$13,"")&amp;IF(AND(Projects!$G$14="Yes",Projects!$C$14=AO$3),", "&amp;Projects!$A$14,"")&amp;IF(AND(Projects!$G$15="Yes",Projects!$C$15=AO$3),", "&amp;Projects!$A$15,"")&amp;IF(AND(Projects!$G$16="Yes",Projects!$C$16=AO$3),", "&amp;Projects!$A$16,"")&amp;IF(AND(Projects!$G$17="Yes",Projects!$C$17=AO$3),", "&amp;Projects!$A$17,"")&amp;IF(AND(Projects!$G$18="Yes",Projects!$C$18=AO$3),", "&amp;Projects!$A$18,"")&amp;IF(AND(Projects!$G$19="Yes",Projects!$C$19=AO$3),", "&amp;Projects!$A$19,"")&amp;IF(AND(Projects!$G$20="Yes",Projects!$C$20=AO$3),", "&amp;Projects!$A$20,"")&amp;IF(AND(Projects!$G$21="Yes",Projects!$C$21=AO$3),", "&amp;Projects!$A$21,"")&amp;IF(AND(Projects!$G$22="Yes",Projects!$C$22=AO$3),", "&amp;Projects!$A$22,"")&amp;IF(AND(Projects!$G$23="Yes",Projects!$C$23=AO$3),", "&amp;Projects!$A$23,"")&amp;IF(AND(Projects!$G$24="Yes",Projects!$C$24=AO$3),", "&amp;Projects!$A$24,"")&amp;IF(AND(Projects!$G$25="Yes",Projects!$C$25=AO$3),", "&amp;Projects!$A$25,"")&amp;IF(AND(Projects!$G$26="Yes",Projects!$C$26=AO$3),", "&amp;Projects!$A$26,"")&amp;IF(AND(Projects!$G$27="Yes",Projects!$C$27=AO$3),", "&amp;Projects!$A$27,"")&amp;IF(AND(Projects!$G$28="Yes",Projects!$C$28=AO$3),", "&amp;Projects!$A$28,"")&amp;IF(AND(Projects!$G$29="Yes",Projects!$C$29=AO$3),", "&amp;Projects!$A$29,"")&amp;IF(AND(Projects!$G$30="Yes",Projects!$C$30=AO$3),", "&amp;Projects!$A$30,"")&amp;IF(AND(Projects!$G$31="Yes",Projects!$C$31=AO$3),", "&amp;Projects!$A$31,"")&amp;IF(AND(Projects!$G$32="Yes",Projects!$C$32=AO$3),", "&amp;Projects!$A$32,"")&amp;IF(AND(Projects!$G$33="Yes",Projects!$C$33=AO$3),", "&amp;Projects!$A$33,"")&amp;IF(AND(Projects!$G$34="Yes",Projects!$C$34=AO$3),", "&amp;Projects!$A$34,"")&amp;IF(AND(Projects!$G$35="Yes",Projects!$C$35=AO$3),", "&amp;Projects!$A$35,"")&amp;IF(AND(Projects!$G$36="Yes",Projects!$C$36=AO$3),", "&amp;Projects!$A$36,"")&amp;IF(AND(Projects!$G$37="Yes",Projects!$C$37=AO$3),", "&amp;Projects!$A$37,"")&amp;IF(AND(Projects!$G$38="Yes",Projects!$C$38=AO$3),", "&amp;Projects!$A$38,"")&amp;IF(AND(Projects!$G$39="Yes",Projects!$C$39=AO$3),", "&amp;Projects!$A$39,"")&amp;IF(AND(Projects!$G$40="Yes",Projects!$C$40=AO$3),", "&amp;Projects!$A$40,"")&amp;IF(AND(Projects!$G$41="Yes",Projects!$C$41=AO$3),", "&amp;Projects!$A$41,"")&amp;IF(AND(Projects!$G$42="Yes",Projects!$C$42=AO$3),", "&amp;Projects!$A$42,"")&amp;IF(AND(Projects!$G$43="Yes",Projects!$C$43=AO$3),", "&amp;Projects!$A$43,"")&amp;IF(AND(Projects!$G$44="Yes",Projects!$C$44=AO$3),", "&amp;Projects!$A$44,"")&amp;IF(AND(Projects!$G$45="Yes",Projects!$C$45=AO$3),", "&amp;Projects!$A$45,"")&amp;IF(AND(Projects!$G$46="Yes",Projects!$C$46=AO$3),", "&amp;Projects!$A$46,""),3,10000)</f>
        <v/>
      </c>
      <c r="AP6" s="396">
        <f>MID(IF(AND(Projects!$G$2="Yes",Projects!$C$2=AP$3),", "&amp;Projects!$A$2,"")&amp;IF(AND(Projects!$G$3="Yes",Projects!$C$3=AP$3),", "&amp;Projects!$A$3,"")&amp;IF(AND(Projects!$G$4="Yes",Projects!$C$4=AP$3),", "&amp;Projects!$A$4,"")&amp;IF(AND(Projects!$G$5="Yes",Projects!$C$5=AP$3),", "&amp;Projects!$A$5,"")&amp;IF(AND(Projects!$G$6="Yes",Projects!$C$6=AP$3),", "&amp;Projects!$A$6,"")&amp;IF(AND(Projects!$G$7="Yes",Projects!$C$7=AP$3),", "&amp;Projects!$A$7,"")&amp;IF(AND(Projects!$G$8="Yes",Projects!$C$8=AP$3),", "&amp;Projects!$A$8,"")&amp;IF(AND(Projects!$G$9="Yes",Projects!$C$9=AP$3),", "&amp;Projects!$A$9,"")&amp;IF(AND(Projects!$G$10="Yes",Projects!$C$10=AP$3),", "&amp;Projects!$A$10,"")&amp;IF(AND(Projects!$G$11="Yes",Projects!$C$11=AP$3),", "&amp;Projects!$A$11,"")&amp;IF(AND(Projects!$G$12="Yes",Projects!$C$12=AP$3),", "&amp;Projects!$A$12,"")&amp;IF(AND(Projects!$G$13="Yes",Projects!$C$13=AP$3),", "&amp;Projects!$A$13,"")&amp;IF(AND(Projects!$G$14="Yes",Projects!$C$14=AP$3),", "&amp;Projects!$A$14,"")&amp;IF(AND(Projects!$G$15="Yes",Projects!$C$15=AP$3),", "&amp;Projects!$A$15,"")&amp;IF(AND(Projects!$G$16="Yes",Projects!$C$16=AP$3),", "&amp;Projects!$A$16,"")&amp;IF(AND(Projects!$G$17="Yes",Projects!$C$17=AP$3),", "&amp;Projects!$A$17,"")&amp;IF(AND(Projects!$G$18="Yes",Projects!$C$18=AP$3),", "&amp;Projects!$A$18,"")&amp;IF(AND(Projects!$G$19="Yes",Projects!$C$19=AP$3),", "&amp;Projects!$A$19,"")&amp;IF(AND(Projects!$G$20="Yes",Projects!$C$20=AP$3),", "&amp;Projects!$A$20,"")&amp;IF(AND(Projects!$G$21="Yes",Projects!$C$21=AP$3),", "&amp;Projects!$A$21,"")&amp;IF(AND(Projects!$G$22="Yes",Projects!$C$22=AP$3),", "&amp;Projects!$A$22,"")&amp;IF(AND(Projects!$G$23="Yes",Projects!$C$23=AP$3),", "&amp;Projects!$A$23,"")&amp;IF(AND(Projects!$G$24="Yes",Projects!$C$24=AP$3),", "&amp;Projects!$A$24,"")&amp;IF(AND(Projects!$G$25="Yes",Projects!$C$25=AP$3),", "&amp;Projects!$A$25,"")&amp;IF(AND(Projects!$G$26="Yes",Projects!$C$26=AP$3),", "&amp;Projects!$A$26,"")&amp;IF(AND(Projects!$G$27="Yes",Projects!$C$27=AP$3),", "&amp;Projects!$A$27,"")&amp;IF(AND(Projects!$G$28="Yes",Projects!$C$28=AP$3),", "&amp;Projects!$A$28,"")&amp;IF(AND(Projects!$G$29="Yes",Projects!$C$29=AP$3),", "&amp;Projects!$A$29,"")&amp;IF(AND(Projects!$G$30="Yes",Projects!$C$30=AP$3),", "&amp;Projects!$A$30,"")&amp;IF(AND(Projects!$G$31="Yes",Projects!$C$31=AP$3),", "&amp;Projects!$A$31,"")&amp;IF(AND(Projects!$G$32="Yes",Projects!$C$32=AP$3),", "&amp;Projects!$A$32,"")&amp;IF(AND(Projects!$G$33="Yes",Projects!$C$33=AP$3),", "&amp;Projects!$A$33,"")&amp;IF(AND(Projects!$G$34="Yes",Projects!$C$34=AP$3),", "&amp;Projects!$A$34,"")&amp;IF(AND(Projects!$G$35="Yes",Projects!$C$35=AP$3),", "&amp;Projects!$A$35,"")&amp;IF(AND(Projects!$G$36="Yes",Projects!$C$36=AP$3),", "&amp;Projects!$A$36,"")&amp;IF(AND(Projects!$G$37="Yes",Projects!$C$37=AP$3),", "&amp;Projects!$A$37,"")&amp;IF(AND(Projects!$G$38="Yes",Projects!$C$38=AP$3),", "&amp;Projects!$A$38,"")&amp;IF(AND(Projects!$G$39="Yes",Projects!$C$39=AP$3),", "&amp;Projects!$A$39,"")&amp;IF(AND(Projects!$G$40="Yes",Projects!$C$40=AP$3),", "&amp;Projects!$A$40,"")&amp;IF(AND(Projects!$G$41="Yes",Projects!$C$41=AP$3),", "&amp;Projects!$A$41,"")&amp;IF(AND(Projects!$G$42="Yes",Projects!$C$42=AP$3),", "&amp;Projects!$A$42,"")&amp;IF(AND(Projects!$G$43="Yes",Projects!$C$43=AP$3),", "&amp;Projects!$A$43,"")&amp;IF(AND(Projects!$G$44="Yes",Projects!$C$44=AP$3),", "&amp;Projects!$A$44,"")&amp;IF(AND(Projects!$G$45="Yes",Projects!$C$45=AP$3),", "&amp;Projects!$A$45,"")&amp;IF(AND(Projects!$G$46="Yes",Projects!$C$46=AP$3),", "&amp;Projects!$A$46,""),3,10000)</f>
        <v/>
      </c>
      <c r="AQ6" s="396">
        <f>MID(IF(AND(Projects!$G$2="Yes",Projects!$C$2=AQ$3),", "&amp;Projects!$A$2,"")&amp;IF(AND(Projects!$G$3="Yes",Projects!$C$3=AQ$3),", "&amp;Projects!$A$3,"")&amp;IF(AND(Projects!$G$4="Yes",Projects!$C$4=AQ$3),", "&amp;Projects!$A$4,"")&amp;IF(AND(Projects!$G$5="Yes",Projects!$C$5=AQ$3),", "&amp;Projects!$A$5,"")&amp;IF(AND(Projects!$G$6="Yes",Projects!$C$6=AQ$3),", "&amp;Projects!$A$6,"")&amp;IF(AND(Projects!$G$7="Yes",Projects!$C$7=AQ$3),", "&amp;Projects!$A$7,"")&amp;IF(AND(Projects!$G$8="Yes",Projects!$C$8=AQ$3),", "&amp;Projects!$A$8,"")&amp;IF(AND(Projects!$G$9="Yes",Projects!$C$9=AQ$3),", "&amp;Projects!$A$9,"")&amp;IF(AND(Projects!$G$10="Yes",Projects!$C$10=AQ$3),", "&amp;Projects!$A$10,"")&amp;IF(AND(Projects!$G$11="Yes",Projects!$C$11=AQ$3),", "&amp;Projects!$A$11,"")&amp;IF(AND(Projects!$G$12="Yes",Projects!$C$12=AQ$3),", "&amp;Projects!$A$12,"")&amp;IF(AND(Projects!$G$13="Yes",Projects!$C$13=AQ$3),", "&amp;Projects!$A$13,"")&amp;IF(AND(Projects!$G$14="Yes",Projects!$C$14=AQ$3),", "&amp;Projects!$A$14,"")&amp;IF(AND(Projects!$G$15="Yes",Projects!$C$15=AQ$3),", "&amp;Projects!$A$15,"")&amp;IF(AND(Projects!$G$16="Yes",Projects!$C$16=AQ$3),", "&amp;Projects!$A$16,"")&amp;IF(AND(Projects!$G$17="Yes",Projects!$C$17=AQ$3),", "&amp;Projects!$A$17,"")&amp;IF(AND(Projects!$G$18="Yes",Projects!$C$18=AQ$3),", "&amp;Projects!$A$18,"")&amp;IF(AND(Projects!$G$19="Yes",Projects!$C$19=AQ$3),", "&amp;Projects!$A$19,"")&amp;IF(AND(Projects!$G$20="Yes",Projects!$C$20=AQ$3),", "&amp;Projects!$A$20,"")&amp;IF(AND(Projects!$G$21="Yes",Projects!$C$21=AQ$3),", "&amp;Projects!$A$21,"")&amp;IF(AND(Projects!$G$22="Yes",Projects!$C$22=AQ$3),", "&amp;Projects!$A$22,"")&amp;IF(AND(Projects!$G$23="Yes",Projects!$C$23=AQ$3),", "&amp;Projects!$A$23,"")&amp;IF(AND(Projects!$G$24="Yes",Projects!$C$24=AQ$3),", "&amp;Projects!$A$24,"")&amp;IF(AND(Projects!$G$25="Yes",Projects!$C$25=AQ$3),", "&amp;Projects!$A$25,"")&amp;IF(AND(Projects!$G$26="Yes",Projects!$C$26=AQ$3),", "&amp;Projects!$A$26,"")&amp;IF(AND(Projects!$G$27="Yes",Projects!$C$27=AQ$3),", "&amp;Projects!$A$27,"")&amp;IF(AND(Projects!$G$28="Yes",Projects!$C$28=AQ$3),", "&amp;Projects!$A$28,"")&amp;IF(AND(Projects!$G$29="Yes",Projects!$C$29=AQ$3),", "&amp;Projects!$A$29,"")&amp;IF(AND(Projects!$G$30="Yes",Projects!$C$30=AQ$3),", "&amp;Projects!$A$30,"")&amp;IF(AND(Projects!$G$31="Yes",Projects!$C$31=AQ$3),", "&amp;Projects!$A$31,"")&amp;IF(AND(Projects!$G$32="Yes",Projects!$C$32=AQ$3),", "&amp;Projects!$A$32,"")&amp;IF(AND(Projects!$G$33="Yes",Projects!$C$33=AQ$3),", "&amp;Projects!$A$33,"")&amp;IF(AND(Projects!$G$34="Yes",Projects!$C$34=AQ$3),", "&amp;Projects!$A$34,"")&amp;IF(AND(Projects!$G$35="Yes",Projects!$C$35=AQ$3),", "&amp;Projects!$A$35,"")&amp;IF(AND(Projects!$G$36="Yes",Projects!$C$36=AQ$3),", "&amp;Projects!$A$36,"")&amp;IF(AND(Projects!$G$37="Yes",Projects!$C$37=AQ$3),", "&amp;Projects!$A$37,"")&amp;IF(AND(Projects!$G$38="Yes",Projects!$C$38=AQ$3),", "&amp;Projects!$A$38,"")&amp;IF(AND(Projects!$G$39="Yes",Projects!$C$39=AQ$3),", "&amp;Projects!$A$39,"")&amp;IF(AND(Projects!$G$40="Yes",Projects!$C$40=AQ$3),", "&amp;Projects!$A$40,"")&amp;IF(AND(Projects!$G$41="Yes",Projects!$C$41=AQ$3),", "&amp;Projects!$A$41,"")&amp;IF(AND(Projects!$G$42="Yes",Projects!$C$42=AQ$3),", "&amp;Projects!$A$42,"")&amp;IF(AND(Projects!$G$43="Yes",Projects!$C$43=AQ$3),", "&amp;Projects!$A$43,"")&amp;IF(AND(Projects!$G$44="Yes",Projects!$C$44=AQ$3),", "&amp;Projects!$A$44,"")&amp;IF(AND(Projects!$G$45="Yes",Projects!$C$45=AQ$3),", "&amp;Projects!$A$45,"")&amp;IF(AND(Projects!$G$46="Yes",Projects!$C$46=AQ$3),", "&amp;Projects!$A$46,""),3,10000)</f>
        <v/>
      </c>
      <c r="AR6" s="396">
        <f>MID(IF(AND(Projects!$G$2="Yes",Projects!$C$2=AR$3),", "&amp;Projects!$A$2,"")&amp;IF(AND(Projects!$G$3="Yes",Projects!$C$3=AR$3),", "&amp;Projects!$A$3,"")&amp;IF(AND(Projects!$G$4="Yes",Projects!$C$4=AR$3),", "&amp;Projects!$A$4,"")&amp;IF(AND(Projects!$G$5="Yes",Projects!$C$5=AR$3),", "&amp;Projects!$A$5,"")&amp;IF(AND(Projects!$G$6="Yes",Projects!$C$6=AR$3),", "&amp;Projects!$A$6,"")&amp;IF(AND(Projects!$G$7="Yes",Projects!$C$7=AR$3),", "&amp;Projects!$A$7,"")&amp;IF(AND(Projects!$G$8="Yes",Projects!$C$8=AR$3),", "&amp;Projects!$A$8,"")&amp;IF(AND(Projects!$G$9="Yes",Projects!$C$9=AR$3),", "&amp;Projects!$A$9,"")&amp;IF(AND(Projects!$G$10="Yes",Projects!$C$10=AR$3),", "&amp;Projects!$A$10,"")&amp;IF(AND(Projects!$G$11="Yes",Projects!$C$11=AR$3),", "&amp;Projects!$A$11,"")&amp;IF(AND(Projects!$G$12="Yes",Projects!$C$12=AR$3),", "&amp;Projects!$A$12,"")&amp;IF(AND(Projects!$G$13="Yes",Projects!$C$13=AR$3),", "&amp;Projects!$A$13,"")&amp;IF(AND(Projects!$G$14="Yes",Projects!$C$14=AR$3),", "&amp;Projects!$A$14,"")&amp;IF(AND(Projects!$G$15="Yes",Projects!$C$15=AR$3),", "&amp;Projects!$A$15,"")&amp;IF(AND(Projects!$G$16="Yes",Projects!$C$16=AR$3),", "&amp;Projects!$A$16,"")&amp;IF(AND(Projects!$G$17="Yes",Projects!$C$17=AR$3),", "&amp;Projects!$A$17,"")&amp;IF(AND(Projects!$G$18="Yes",Projects!$C$18=AR$3),", "&amp;Projects!$A$18,"")&amp;IF(AND(Projects!$G$19="Yes",Projects!$C$19=AR$3),", "&amp;Projects!$A$19,"")&amp;IF(AND(Projects!$G$20="Yes",Projects!$C$20=AR$3),", "&amp;Projects!$A$20,"")&amp;IF(AND(Projects!$G$21="Yes",Projects!$C$21=AR$3),", "&amp;Projects!$A$21,"")&amp;IF(AND(Projects!$G$22="Yes",Projects!$C$22=AR$3),", "&amp;Projects!$A$22,"")&amp;IF(AND(Projects!$G$23="Yes",Projects!$C$23=AR$3),", "&amp;Projects!$A$23,"")&amp;IF(AND(Projects!$G$24="Yes",Projects!$C$24=AR$3),", "&amp;Projects!$A$24,"")&amp;IF(AND(Projects!$G$25="Yes",Projects!$C$25=AR$3),", "&amp;Projects!$A$25,"")&amp;IF(AND(Projects!$G$26="Yes",Projects!$C$26=AR$3),", "&amp;Projects!$A$26,"")&amp;IF(AND(Projects!$G$27="Yes",Projects!$C$27=AR$3),", "&amp;Projects!$A$27,"")&amp;IF(AND(Projects!$G$28="Yes",Projects!$C$28=AR$3),", "&amp;Projects!$A$28,"")&amp;IF(AND(Projects!$G$29="Yes",Projects!$C$29=AR$3),", "&amp;Projects!$A$29,"")&amp;IF(AND(Projects!$G$30="Yes",Projects!$C$30=AR$3),", "&amp;Projects!$A$30,"")&amp;IF(AND(Projects!$G$31="Yes",Projects!$C$31=AR$3),", "&amp;Projects!$A$31,"")&amp;IF(AND(Projects!$G$32="Yes",Projects!$C$32=AR$3),", "&amp;Projects!$A$32,"")&amp;IF(AND(Projects!$G$33="Yes",Projects!$C$33=AR$3),", "&amp;Projects!$A$33,"")&amp;IF(AND(Projects!$G$34="Yes",Projects!$C$34=AR$3),", "&amp;Projects!$A$34,"")&amp;IF(AND(Projects!$G$35="Yes",Projects!$C$35=AR$3),", "&amp;Projects!$A$35,"")&amp;IF(AND(Projects!$G$36="Yes",Projects!$C$36=AR$3),", "&amp;Projects!$A$36,"")&amp;IF(AND(Projects!$G$37="Yes",Projects!$C$37=AR$3),", "&amp;Projects!$A$37,"")&amp;IF(AND(Projects!$G$38="Yes",Projects!$C$38=AR$3),", "&amp;Projects!$A$38,"")&amp;IF(AND(Projects!$G$39="Yes",Projects!$C$39=AR$3),", "&amp;Projects!$A$39,"")&amp;IF(AND(Projects!$G$40="Yes",Projects!$C$40=AR$3),", "&amp;Projects!$A$40,"")&amp;IF(AND(Projects!$G$41="Yes",Projects!$C$41=AR$3),", "&amp;Projects!$A$41,"")&amp;IF(AND(Projects!$G$42="Yes",Projects!$C$42=AR$3),", "&amp;Projects!$A$42,"")&amp;IF(AND(Projects!$G$43="Yes",Projects!$C$43=AR$3),", "&amp;Projects!$A$43,"")&amp;IF(AND(Projects!$G$44="Yes",Projects!$C$44=AR$3),", "&amp;Projects!$A$44,"")&amp;IF(AND(Projects!$G$45="Yes",Projects!$C$45=AR$3),", "&amp;Projects!$A$45,"")&amp;IF(AND(Projects!$G$46="Yes",Projects!$C$46=AR$3),", "&amp;Projects!$A$46,""),3,10000)</f>
        <v/>
      </c>
      <c r="AS6" s="396">
        <f>MID(IF(AND(Projects!$G$2="Yes",Projects!$C$2=AS$3),", "&amp;Projects!$A$2,"")&amp;IF(AND(Projects!$G$3="Yes",Projects!$C$3=AS$3),", "&amp;Projects!$A$3,"")&amp;IF(AND(Projects!$G$4="Yes",Projects!$C$4=AS$3),", "&amp;Projects!$A$4,"")&amp;IF(AND(Projects!$G$5="Yes",Projects!$C$5=AS$3),", "&amp;Projects!$A$5,"")&amp;IF(AND(Projects!$G$6="Yes",Projects!$C$6=AS$3),", "&amp;Projects!$A$6,"")&amp;IF(AND(Projects!$G$7="Yes",Projects!$C$7=AS$3),", "&amp;Projects!$A$7,"")&amp;IF(AND(Projects!$G$8="Yes",Projects!$C$8=AS$3),", "&amp;Projects!$A$8,"")&amp;IF(AND(Projects!$G$9="Yes",Projects!$C$9=AS$3),", "&amp;Projects!$A$9,"")&amp;IF(AND(Projects!$G$10="Yes",Projects!$C$10=AS$3),", "&amp;Projects!$A$10,"")&amp;IF(AND(Projects!$G$11="Yes",Projects!$C$11=AS$3),", "&amp;Projects!$A$11,"")&amp;IF(AND(Projects!$G$12="Yes",Projects!$C$12=AS$3),", "&amp;Projects!$A$12,"")&amp;IF(AND(Projects!$G$13="Yes",Projects!$C$13=AS$3),", "&amp;Projects!$A$13,"")&amp;IF(AND(Projects!$G$14="Yes",Projects!$C$14=AS$3),", "&amp;Projects!$A$14,"")&amp;IF(AND(Projects!$G$15="Yes",Projects!$C$15=AS$3),", "&amp;Projects!$A$15,"")&amp;IF(AND(Projects!$G$16="Yes",Projects!$C$16=AS$3),", "&amp;Projects!$A$16,"")&amp;IF(AND(Projects!$G$17="Yes",Projects!$C$17=AS$3),", "&amp;Projects!$A$17,"")&amp;IF(AND(Projects!$G$18="Yes",Projects!$C$18=AS$3),", "&amp;Projects!$A$18,"")&amp;IF(AND(Projects!$G$19="Yes",Projects!$C$19=AS$3),", "&amp;Projects!$A$19,"")&amp;IF(AND(Projects!$G$20="Yes",Projects!$C$20=AS$3),", "&amp;Projects!$A$20,"")&amp;IF(AND(Projects!$G$21="Yes",Projects!$C$21=AS$3),", "&amp;Projects!$A$21,"")&amp;IF(AND(Projects!$G$22="Yes",Projects!$C$22=AS$3),", "&amp;Projects!$A$22,"")&amp;IF(AND(Projects!$G$23="Yes",Projects!$C$23=AS$3),", "&amp;Projects!$A$23,"")&amp;IF(AND(Projects!$G$24="Yes",Projects!$C$24=AS$3),", "&amp;Projects!$A$24,"")&amp;IF(AND(Projects!$G$25="Yes",Projects!$C$25=AS$3),", "&amp;Projects!$A$25,"")&amp;IF(AND(Projects!$G$26="Yes",Projects!$C$26=AS$3),", "&amp;Projects!$A$26,"")&amp;IF(AND(Projects!$G$27="Yes",Projects!$C$27=AS$3),", "&amp;Projects!$A$27,"")&amp;IF(AND(Projects!$G$28="Yes",Projects!$C$28=AS$3),", "&amp;Projects!$A$28,"")&amp;IF(AND(Projects!$G$29="Yes",Projects!$C$29=AS$3),", "&amp;Projects!$A$29,"")&amp;IF(AND(Projects!$G$30="Yes",Projects!$C$30=AS$3),", "&amp;Projects!$A$30,"")&amp;IF(AND(Projects!$G$31="Yes",Projects!$C$31=AS$3),", "&amp;Projects!$A$31,"")&amp;IF(AND(Projects!$G$32="Yes",Projects!$C$32=AS$3),", "&amp;Projects!$A$32,"")&amp;IF(AND(Projects!$G$33="Yes",Projects!$C$33=AS$3),", "&amp;Projects!$A$33,"")&amp;IF(AND(Projects!$G$34="Yes",Projects!$C$34=AS$3),", "&amp;Projects!$A$34,"")&amp;IF(AND(Projects!$G$35="Yes",Projects!$C$35=AS$3),", "&amp;Projects!$A$35,"")&amp;IF(AND(Projects!$G$36="Yes",Projects!$C$36=AS$3),", "&amp;Projects!$A$36,"")&amp;IF(AND(Projects!$G$37="Yes",Projects!$C$37=AS$3),", "&amp;Projects!$A$37,"")&amp;IF(AND(Projects!$G$38="Yes",Projects!$C$38=AS$3),", "&amp;Projects!$A$38,"")&amp;IF(AND(Projects!$G$39="Yes",Projects!$C$39=AS$3),", "&amp;Projects!$A$39,"")&amp;IF(AND(Projects!$G$40="Yes",Projects!$C$40=AS$3),", "&amp;Projects!$A$40,"")&amp;IF(AND(Projects!$G$41="Yes",Projects!$C$41=AS$3),", "&amp;Projects!$A$41,"")&amp;IF(AND(Projects!$G$42="Yes",Projects!$C$42=AS$3),", "&amp;Projects!$A$42,"")&amp;IF(AND(Projects!$G$43="Yes",Projects!$C$43=AS$3),", "&amp;Projects!$A$43,"")&amp;IF(AND(Projects!$G$44="Yes",Projects!$C$44=AS$3),", "&amp;Projects!$A$44,"")&amp;IF(AND(Projects!$G$45="Yes",Projects!$C$45=AS$3),", "&amp;Projects!$A$45,"")&amp;IF(AND(Projects!$G$46="Yes",Projects!$C$46=AS$3),", "&amp;Projects!$A$46,""),3,10000)</f>
        <v/>
      </c>
      <c r="AT6" s="396">
        <f>MID(IF(AND(Projects!$G$2="Yes",Projects!$C$2=AT$3),", "&amp;Projects!$A$2,"")&amp;IF(AND(Projects!$G$3="Yes",Projects!$C$3=AT$3),", "&amp;Projects!$A$3,"")&amp;IF(AND(Projects!$G$4="Yes",Projects!$C$4=AT$3),", "&amp;Projects!$A$4,"")&amp;IF(AND(Projects!$G$5="Yes",Projects!$C$5=AT$3),", "&amp;Projects!$A$5,"")&amp;IF(AND(Projects!$G$6="Yes",Projects!$C$6=AT$3),", "&amp;Projects!$A$6,"")&amp;IF(AND(Projects!$G$7="Yes",Projects!$C$7=AT$3),", "&amp;Projects!$A$7,"")&amp;IF(AND(Projects!$G$8="Yes",Projects!$C$8=AT$3),", "&amp;Projects!$A$8,"")&amp;IF(AND(Projects!$G$9="Yes",Projects!$C$9=AT$3),", "&amp;Projects!$A$9,"")&amp;IF(AND(Projects!$G$10="Yes",Projects!$C$10=AT$3),", "&amp;Projects!$A$10,"")&amp;IF(AND(Projects!$G$11="Yes",Projects!$C$11=AT$3),", "&amp;Projects!$A$11,"")&amp;IF(AND(Projects!$G$12="Yes",Projects!$C$12=AT$3),", "&amp;Projects!$A$12,"")&amp;IF(AND(Projects!$G$13="Yes",Projects!$C$13=AT$3),", "&amp;Projects!$A$13,"")&amp;IF(AND(Projects!$G$14="Yes",Projects!$C$14=AT$3),", "&amp;Projects!$A$14,"")&amp;IF(AND(Projects!$G$15="Yes",Projects!$C$15=AT$3),", "&amp;Projects!$A$15,"")&amp;IF(AND(Projects!$G$16="Yes",Projects!$C$16=AT$3),", "&amp;Projects!$A$16,"")&amp;IF(AND(Projects!$G$17="Yes",Projects!$C$17=AT$3),", "&amp;Projects!$A$17,"")&amp;IF(AND(Projects!$G$18="Yes",Projects!$C$18=AT$3),", "&amp;Projects!$A$18,"")&amp;IF(AND(Projects!$G$19="Yes",Projects!$C$19=AT$3),", "&amp;Projects!$A$19,"")&amp;IF(AND(Projects!$G$20="Yes",Projects!$C$20=AT$3),", "&amp;Projects!$A$20,"")&amp;IF(AND(Projects!$G$21="Yes",Projects!$C$21=AT$3),", "&amp;Projects!$A$21,"")&amp;IF(AND(Projects!$G$22="Yes",Projects!$C$22=AT$3),", "&amp;Projects!$A$22,"")&amp;IF(AND(Projects!$G$23="Yes",Projects!$C$23=AT$3),", "&amp;Projects!$A$23,"")&amp;IF(AND(Projects!$G$24="Yes",Projects!$C$24=AT$3),", "&amp;Projects!$A$24,"")&amp;IF(AND(Projects!$G$25="Yes",Projects!$C$25=AT$3),", "&amp;Projects!$A$25,"")&amp;IF(AND(Projects!$G$26="Yes",Projects!$C$26=AT$3),", "&amp;Projects!$A$26,"")&amp;IF(AND(Projects!$G$27="Yes",Projects!$C$27=AT$3),", "&amp;Projects!$A$27,"")&amp;IF(AND(Projects!$G$28="Yes",Projects!$C$28=AT$3),", "&amp;Projects!$A$28,"")&amp;IF(AND(Projects!$G$29="Yes",Projects!$C$29=AT$3),", "&amp;Projects!$A$29,"")&amp;IF(AND(Projects!$G$30="Yes",Projects!$C$30=AT$3),", "&amp;Projects!$A$30,"")&amp;IF(AND(Projects!$G$31="Yes",Projects!$C$31=AT$3),", "&amp;Projects!$A$31,"")&amp;IF(AND(Projects!$G$32="Yes",Projects!$C$32=AT$3),", "&amp;Projects!$A$32,"")&amp;IF(AND(Projects!$G$33="Yes",Projects!$C$33=AT$3),", "&amp;Projects!$A$33,"")&amp;IF(AND(Projects!$G$34="Yes",Projects!$C$34=AT$3),", "&amp;Projects!$A$34,"")&amp;IF(AND(Projects!$G$35="Yes",Projects!$C$35=AT$3),", "&amp;Projects!$A$35,"")&amp;IF(AND(Projects!$G$36="Yes",Projects!$C$36=AT$3),", "&amp;Projects!$A$36,"")&amp;IF(AND(Projects!$G$37="Yes",Projects!$C$37=AT$3),", "&amp;Projects!$A$37,"")&amp;IF(AND(Projects!$G$38="Yes",Projects!$C$38=AT$3),", "&amp;Projects!$A$38,"")&amp;IF(AND(Projects!$G$39="Yes",Projects!$C$39=AT$3),", "&amp;Projects!$A$39,"")&amp;IF(AND(Projects!$G$40="Yes",Projects!$C$40=AT$3),", "&amp;Projects!$A$40,"")&amp;IF(AND(Projects!$G$41="Yes",Projects!$C$41=AT$3),", "&amp;Projects!$A$41,"")&amp;IF(AND(Projects!$G$42="Yes",Projects!$C$42=AT$3),", "&amp;Projects!$A$42,"")&amp;IF(AND(Projects!$G$43="Yes",Projects!$C$43=AT$3),", "&amp;Projects!$A$43,"")&amp;IF(AND(Projects!$G$44="Yes",Projects!$C$44=AT$3),", "&amp;Projects!$A$44,"")&amp;IF(AND(Projects!$G$45="Yes",Projects!$C$45=AT$3),", "&amp;Projects!$A$45,"")&amp;IF(AND(Projects!$G$46="Yes",Projects!$C$46=AT$3),", "&amp;Projects!$A$46,""),3,10000)</f>
        <v/>
      </c>
      <c r="AU6" s="396">
        <f>MID(IF(AND(Projects!$G$2="Yes",Projects!$C$2=AU$3),", "&amp;Projects!$A$2,"")&amp;IF(AND(Projects!$G$3="Yes",Projects!$C$3=AU$3),", "&amp;Projects!$A$3,"")&amp;IF(AND(Projects!$G$4="Yes",Projects!$C$4=AU$3),", "&amp;Projects!$A$4,"")&amp;IF(AND(Projects!$G$5="Yes",Projects!$C$5=AU$3),", "&amp;Projects!$A$5,"")&amp;IF(AND(Projects!$G$6="Yes",Projects!$C$6=AU$3),", "&amp;Projects!$A$6,"")&amp;IF(AND(Projects!$G$7="Yes",Projects!$C$7=AU$3),", "&amp;Projects!$A$7,"")&amp;IF(AND(Projects!$G$8="Yes",Projects!$C$8=AU$3),", "&amp;Projects!$A$8,"")&amp;IF(AND(Projects!$G$9="Yes",Projects!$C$9=AU$3),", "&amp;Projects!$A$9,"")&amp;IF(AND(Projects!$G$10="Yes",Projects!$C$10=AU$3),", "&amp;Projects!$A$10,"")&amp;IF(AND(Projects!$G$11="Yes",Projects!$C$11=AU$3),", "&amp;Projects!$A$11,"")&amp;IF(AND(Projects!$G$12="Yes",Projects!$C$12=AU$3),", "&amp;Projects!$A$12,"")&amp;IF(AND(Projects!$G$13="Yes",Projects!$C$13=AU$3),", "&amp;Projects!$A$13,"")&amp;IF(AND(Projects!$G$14="Yes",Projects!$C$14=AU$3),", "&amp;Projects!$A$14,"")&amp;IF(AND(Projects!$G$15="Yes",Projects!$C$15=AU$3),", "&amp;Projects!$A$15,"")&amp;IF(AND(Projects!$G$16="Yes",Projects!$C$16=AU$3),", "&amp;Projects!$A$16,"")&amp;IF(AND(Projects!$G$17="Yes",Projects!$C$17=AU$3),", "&amp;Projects!$A$17,"")&amp;IF(AND(Projects!$G$18="Yes",Projects!$C$18=AU$3),", "&amp;Projects!$A$18,"")&amp;IF(AND(Projects!$G$19="Yes",Projects!$C$19=AU$3),", "&amp;Projects!$A$19,"")&amp;IF(AND(Projects!$G$20="Yes",Projects!$C$20=AU$3),", "&amp;Projects!$A$20,"")&amp;IF(AND(Projects!$G$21="Yes",Projects!$C$21=AU$3),", "&amp;Projects!$A$21,"")&amp;IF(AND(Projects!$G$22="Yes",Projects!$C$22=AU$3),", "&amp;Projects!$A$22,"")&amp;IF(AND(Projects!$G$23="Yes",Projects!$C$23=AU$3),", "&amp;Projects!$A$23,"")&amp;IF(AND(Projects!$G$24="Yes",Projects!$C$24=AU$3),", "&amp;Projects!$A$24,"")&amp;IF(AND(Projects!$G$25="Yes",Projects!$C$25=AU$3),", "&amp;Projects!$A$25,"")&amp;IF(AND(Projects!$G$26="Yes",Projects!$C$26=AU$3),", "&amp;Projects!$A$26,"")&amp;IF(AND(Projects!$G$27="Yes",Projects!$C$27=AU$3),", "&amp;Projects!$A$27,"")&amp;IF(AND(Projects!$G$28="Yes",Projects!$C$28=AU$3),", "&amp;Projects!$A$28,"")&amp;IF(AND(Projects!$G$29="Yes",Projects!$C$29=AU$3),", "&amp;Projects!$A$29,"")&amp;IF(AND(Projects!$G$30="Yes",Projects!$C$30=AU$3),", "&amp;Projects!$A$30,"")&amp;IF(AND(Projects!$G$31="Yes",Projects!$C$31=AU$3),", "&amp;Projects!$A$31,"")&amp;IF(AND(Projects!$G$32="Yes",Projects!$C$32=AU$3),", "&amp;Projects!$A$32,"")&amp;IF(AND(Projects!$G$33="Yes",Projects!$C$33=AU$3),", "&amp;Projects!$A$33,"")&amp;IF(AND(Projects!$G$34="Yes",Projects!$C$34=AU$3),", "&amp;Projects!$A$34,"")&amp;IF(AND(Projects!$G$35="Yes",Projects!$C$35=AU$3),", "&amp;Projects!$A$35,"")&amp;IF(AND(Projects!$G$36="Yes",Projects!$C$36=AU$3),", "&amp;Projects!$A$36,"")&amp;IF(AND(Projects!$G$37="Yes",Projects!$C$37=AU$3),", "&amp;Projects!$A$37,"")&amp;IF(AND(Projects!$G$38="Yes",Projects!$C$38=AU$3),", "&amp;Projects!$A$38,"")&amp;IF(AND(Projects!$G$39="Yes",Projects!$C$39=AU$3),", "&amp;Projects!$A$39,"")&amp;IF(AND(Projects!$G$40="Yes",Projects!$C$40=AU$3),", "&amp;Projects!$A$40,"")&amp;IF(AND(Projects!$G$41="Yes",Projects!$C$41=AU$3),", "&amp;Projects!$A$41,"")&amp;IF(AND(Projects!$G$42="Yes",Projects!$C$42=AU$3),", "&amp;Projects!$A$42,"")&amp;IF(AND(Projects!$G$43="Yes",Projects!$C$43=AU$3),", "&amp;Projects!$A$43,"")&amp;IF(AND(Projects!$G$44="Yes",Projects!$C$44=AU$3),", "&amp;Projects!$A$44,"")&amp;IF(AND(Projects!$G$45="Yes",Projects!$C$45=AU$3),", "&amp;Projects!$A$45,"")&amp;IF(AND(Projects!$G$46="Yes",Projects!$C$46=AU$3),", "&amp;Projects!$A$46,""),3,10000)</f>
        <v/>
      </c>
      <c r="AV6" s="396">
        <f>MID(IF(AND(Projects!$G$2="Yes",Projects!$C$2=AV$3),", "&amp;Projects!$A$2,"")&amp;IF(AND(Projects!$G$3="Yes",Projects!$C$3=AV$3),", "&amp;Projects!$A$3,"")&amp;IF(AND(Projects!$G$4="Yes",Projects!$C$4=AV$3),", "&amp;Projects!$A$4,"")&amp;IF(AND(Projects!$G$5="Yes",Projects!$C$5=AV$3),", "&amp;Projects!$A$5,"")&amp;IF(AND(Projects!$G$6="Yes",Projects!$C$6=AV$3),", "&amp;Projects!$A$6,"")&amp;IF(AND(Projects!$G$7="Yes",Projects!$C$7=AV$3),", "&amp;Projects!$A$7,"")&amp;IF(AND(Projects!$G$8="Yes",Projects!$C$8=AV$3),", "&amp;Projects!$A$8,"")&amp;IF(AND(Projects!$G$9="Yes",Projects!$C$9=AV$3),", "&amp;Projects!$A$9,"")&amp;IF(AND(Projects!$G$10="Yes",Projects!$C$10=AV$3),", "&amp;Projects!$A$10,"")&amp;IF(AND(Projects!$G$11="Yes",Projects!$C$11=AV$3),", "&amp;Projects!$A$11,"")&amp;IF(AND(Projects!$G$12="Yes",Projects!$C$12=AV$3),", "&amp;Projects!$A$12,"")&amp;IF(AND(Projects!$G$13="Yes",Projects!$C$13=AV$3),", "&amp;Projects!$A$13,"")&amp;IF(AND(Projects!$G$14="Yes",Projects!$C$14=AV$3),", "&amp;Projects!$A$14,"")&amp;IF(AND(Projects!$G$15="Yes",Projects!$C$15=AV$3),", "&amp;Projects!$A$15,"")&amp;IF(AND(Projects!$G$16="Yes",Projects!$C$16=AV$3),", "&amp;Projects!$A$16,"")&amp;IF(AND(Projects!$G$17="Yes",Projects!$C$17=AV$3),", "&amp;Projects!$A$17,"")&amp;IF(AND(Projects!$G$18="Yes",Projects!$C$18=AV$3),", "&amp;Projects!$A$18,"")&amp;IF(AND(Projects!$G$19="Yes",Projects!$C$19=AV$3),", "&amp;Projects!$A$19,"")&amp;IF(AND(Projects!$G$20="Yes",Projects!$C$20=AV$3),", "&amp;Projects!$A$20,"")&amp;IF(AND(Projects!$G$21="Yes",Projects!$C$21=AV$3),", "&amp;Projects!$A$21,"")&amp;IF(AND(Projects!$G$22="Yes",Projects!$C$22=AV$3),", "&amp;Projects!$A$22,"")&amp;IF(AND(Projects!$G$23="Yes",Projects!$C$23=AV$3),", "&amp;Projects!$A$23,"")&amp;IF(AND(Projects!$G$24="Yes",Projects!$C$24=AV$3),", "&amp;Projects!$A$24,"")&amp;IF(AND(Projects!$G$25="Yes",Projects!$C$25=AV$3),", "&amp;Projects!$A$25,"")&amp;IF(AND(Projects!$G$26="Yes",Projects!$C$26=AV$3),", "&amp;Projects!$A$26,"")&amp;IF(AND(Projects!$G$27="Yes",Projects!$C$27=AV$3),", "&amp;Projects!$A$27,"")&amp;IF(AND(Projects!$G$28="Yes",Projects!$C$28=AV$3),", "&amp;Projects!$A$28,"")&amp;IF(AND(Projects!$G$29="Yes",Projects!$C$29=AV$3),", "&amp;Projects!$A$29,"")&amp;IF(AND(Projects!$G$30="Yes",Projects!$C$30=AV$3),", "&amp;Projects!$A$30,"")&amp;IF(AND(Projects!$G$31="Yes",Projects!$C$31=AV$3),", "&amp;Projects!$A$31,"")&amp;IF(AND(Projects!$G$32="Yes",Projects!$C$32=AV$3),", "&amp;Projects!$A$32,"")&amp;IF(AND(Projects!$G$33="Yes",Projects!$C$33=AV$3),", "&amp;Projects!$A$33,"")&amp;IF(AND(Projects!$G$34="Yes",Projects!$C$34=AV$3),", "&amp;Projects!$A$34,"")&amp;IF(AND(Projects!$G$35="Yes",Projects!$C$35=AV$3),", "&amp;Projects!$A$35,"")&amp;IF(AND(Projects!$G$36="Yes",Projects!$C$36=AV$3),", "&amp;Projects!$A$36,"")&amp;IF(AND(Projects!$G$37="Yes",Projects!$C$37=AV$3),", "&amp;Projects!$A$37,"")&amp;IF(AND(Projects!$G$38="Yes",Projects!$C$38=AV$3),", "&amp;Projects!$A$38,"")&amp;IF(AND(Projects!$G$39="Yes",Projects!$C$39=AV$3),", "&amp;Projects!$A$39,"")&amp;IF(AND(Projects!$G$40="Yes",Projects!$C$40=AV$3),", "&amp;Projects!$A$40,"")&amp;IF(AND(Projects!$G$41="Yes",Projects!$C$41=AV$3),", "&amp;Projects!$A$41,"")&amp;IF(AND(Projects!$G$42="Yes",Projects!$C$42=AV$3),", "&amp;Projects!$A$42,"")&amp;IF(AND(Projects!$G$43="Yes",Projects!$C$43=AV$3),", "&amp;Projects!$A$43,"")&amp;IF(AND(Projects!$G$44="Yes",Projects!$C$44=AV$3),", "&amp;Projects!$A$44,"")&amp;IF(AND(Projects!$G$45="Yes",Projects!$C$45=AV$3),", "&amp;Projects!$A$45,"")&amp;IF(AND(Projects!$G$46="Yes",Projects!$C$46=AV$3),", "&amp;Projects!$A$46,""),3,10000)</f>
        <v/>
      </c>
      <c r="AW6" s="396">
        <f>MID(IF(AND(Projects!$G$2="Yes",Projects!$C$2=AW$3),", "&amp;Projects!$A$2,"")&amp;IF(AND(Projects!$G$3="Yes",Projects!$C$3=AW$3),", "&amp;Projects!$A$3,"")&amp;IF(AND(Projects!$G$4="Yes",Projects!$C$4=AW$3),", "&amp;Projects!$A$4,"")&amp;IF(AND(Projects!$G$5="Yes",Projects!$C$5=AW$3),", "&amp;Projects!$A$5,"")&amp;IF(AND(Projects!$G$6="Yes",Projects!$C$6=AW$3),", "&amp;Projects!$A$6,"")&amp;IF(AND(Projects!$G$7="Yes",Projects!$C$7=AW$3),", "&amp;Projects!$A$7,"")&amp;IF(AND(Projects!$G$8="Yes",Projects!$C$8=AW$3),", "&amp;Projects!$A$8,"")&amp;IF(AND(Projects!$G$9="Yes",Projects!$C$9=AW$3),", "&amp;Projects!$A$9,"")&amp;IF(AND(Projects!$G$10="Yes",Projects!$C$10=AW$3),", "&amp;Projects!$A$10,"")&amp;IF(AND(Projects!$G$11="Yes",Projects!$C$11=AW$3),", "&amp;Projects!$A$11,"")&amp;IF(AND(Projects!$G$12="Yes",Projects!$C$12=AW$3),", "&amp;Projects!$A$12,"")&amp;IF(AND(Projects!$G$13="Yes",Projects!$C$13=AW$3),", "&amp;Projects!$A$13,"")&amp;IF(AND(Projects!$G$14="Yes",Projects!$C$14=AW$3),", "&amp;Projects!$A$14,"")&amp;IF(AND(Projects!$G$15="Yes",Projects!$C$15=AW$3),", "&amp;Projects!$A$15,"")&amp;IF(AND(Projects!$G$16="Yes",Projects!$C$16=AW$3),", "&amp;Projects!$A$16,"")&amp;IF(AND(Projects!$G$17="Yes",Projects!$C$17=AW$3),", "&amp;Projects!$A$17,"")&amp;IF(AND(Projects!$G$18="Yes",Projects!$C$18=AW$3),", "&amp;Projects!$A$18,"")&amp;IF(AND(Projects!$G$19="Yes",Projects!$C$19=AW$3),", "&amp;Projects!$A$19,"")&amp;IF(AND(Projects!$G$20="Yes",Projects!$C$20=AW$3),", "&amp;Projects!$A$20,"")&amp;IF(AND(Projects!$G$21="Yes",Projects!$C$21=AW$3),", "&amp;Projects!$A$21,"")&amp;IF(AND(Projects!$G$22="Yes",Projects!$C$22=AW$3),", "&amp;Projects!$A$22,"")&amp;IF(AND(Projects!$G$23="Yes",Projects!$C$23=AW$3),", "&amp;Projects!$A$23,"")&amp;IF(AND(Projects!$G$24="Yes",Projects!$C$24=AW$3),", "&amp;Projects!$A$24,"")&amp;IF(AND(Projects!$G$25="Yes",Projects!$C$25=AW$3),", "&amp;Projects!$A$25,"")&amp;IF(AND(Projects!$G$26="Yes",Projects!$C$26=AW$3),", "&amp;Projects!$A$26,"")&amp;IF(AND(Projects!$G$27="Yes",Projects!$C$27=AW$3),", "&amp;Projects!$A$27,"")&amp;IF(AND(Projects!$G$28="Yes",Projects!$C$28=AW$3),", "&amp;Projects!$A$28,"")&amp;IF(AND(Projects!$G$29="Yes",Projects!$C$29=AW$3),", "&amp;Projects!$A$29,"")&amp;IF(AND(Projects!$G$30="Yes",Projects!$C$30=AW$3),", "&amp;Projects!$A$30,"")&amp;IF(AND(Projects!$G$31="Yes",Projects!$C$31=AW$3),", "&amp;Projects!$A$31,"")&amp;IF(AND(Projects!$G$32="Yes",Projects!$C$32=AW$3),", "&amp;Projects!$A$32,"")&amp;IF(AND(Projects!$G$33="Yes",Projects!$C$33=AW$3),", "&amp;Projects!$A$33,"")&amp;IF(AND(Projects!$G$34="Yes",Projects!$C$34=AW$3),", "&amp;Projects!$A$34,"")&amp;IF(AND(Projects!$G$35="Yes",Projects!$C$35=AW$3),", "&amp;Projects!$A$35,"")&amp;IF(AND(Projects!$G$36="Yes",Projects!$C$36=AW$3),", "&amp;Projects!$A$36,"")&amp;IF(AND(Projects!$G$37="Yes",Projects!$C$37=AW$3),", "&amp;Projects!$A$37,"")&amp;IF(AND(Projects!$G$38="Yes",Projects!$C$38=AW$3),", "&amp;Projects!$A$38,"")&amp;IF(AND(Projects!$G$39="Yes",Projects!$C$39=AW$3),", "&amp;Projects!$A$39,"")&amp;IF(AND(Projects!$G$40="Yes",Projects!$C$40=AW$3),", "&amp;Projects!$A$40,"")&amp;IF(AND(Projects!$G$41="Yes",Projects!$C$41=AW$3),", "&amp;Projects!$A$41,"")&amp;IF(AND(Projects!$G$42="Yes",Projects!$C$42=AW$3),", "&amp;Projects!$A$42,"")&amp;IF(AND(Projects!$G$43="Yes",Projects!$C$43=AW$3),", "&amp;Projects!$A$43,"")&amp;IF(AND(Projects!$G$44="Yes",Projects!$C$44=AW$3),", "&amp;Projects!$A$44,"")&amp;IF(AND(Projects!$G$45="Yes",Projects!$C$45=AW$3),", "&amp;Projects!$A$45,"")&amp;IF(AND(Projects!$G$46="Yes",Projects!$C$46=AW$3),", "&amp;Projects!$A$46,""),3,10000)</f>
        <v/>
      </c>
      <c r="AX6" s="396">
        <f>MID(IF(AND(Projects!$G$2="Yes",Projects!$C$2=AX$3),", "&amp;Projects!$A$2,"")&amp;IF(AND(Projects!$G$3="Yes",Projects!$C$3=AX$3),", "&amp;Projects!$A$3,"")&amp;IF(AND(Projects!$G$4="Yes",Projects!$C$4=AX$3),", "&amp;Projects!$A$4,"")&amp;IF(AND(Projects!$G$5="Yes",Projects!$C$5=AX$3),", "&amp;Projects!$A$5,"")&amp;IF(AND(Projects!$G$6="Yes",Projects!$C$6=AX$3),", "&amp;Projects!$A$6,"")&amp;IF(AND(Projects!$G$7="Yes",Projects!$C$7=AX$3),", "&amp;Projects!$A$7,"")&amp;IF(AND(Projects!$G$8="Yes",Projects!$C$8=AX$3),", "&amp;Projects!$A$8,"")&amp;IF(AND(Projects!$G$9="Yes",Projects!$C$9=AX$3),", "&amp;Projects!$A$9,"")&amp;IF(AND(Projects!$G$10="Yes",Projects!$C$10=AX$3),", "&amp;Projects!$A$10,"")&amp;IF(AND(Projects!$G$11="Yes",Projects!$C$11=AX$3),", "&amp;Projects!$A$11,"")&amp;IF(AND(Projects!$G$12="Yes",Projects!$C$12=AX$3),", "&amp;Projects!$A$12,"")&amp;IF(AND(Projects!$G$13="Yes",Projects!$C$13=AX$3),", "&amp;Projects!$A$13,"")&amp;IF(AND(Projects!$G$14="Yes",Projects!$C$14=AX$3),", "&amp;Projects!$A$14,"")&amp;IF(AND(Projects!$G$15="Yes",Projects!$C$15=AX$3),", "&amp;Projects!$A$15,"")&amp;IF(AND(Projects!$G$16="Yes",Projects!$C$16=AX$3),", "&amp;Projects!$A$16,"")&amp;IF(AND(Projects!$G$17="Yes",Projects!$C$17=AX$3),", "&amp;Projects!$A$17,"")&amp;IF(AND(Projects!$G$18="Yes",Projects!$C$18=AX$3),", "&amp;Projects!$A$18,"")&amp;IF(AND(Projects!$G$19="Yes",Projects!$C$19=AX$3),", "&amp;Projects!$A$19,"")&amp;IF(AND(Projects!$G$20="Yes",Projects!$C$20=AX$3),", "&amp;Projects!$A$20,"")&amp;IF(AND(Projects!$G$21="Yes",Projects!$C$21=AX$3),", "&amp;Projects!$A$21,"")&amp;IF(AND(Projects!$G$22="Yes",Projects!$C$22=AX$3),", "&amp;Projects!$A$22,"")&amp;IF(AND(Projects!$G$23="Yes",Projects!$C$23=AX$3),", "&amp;Projects!$A$23,"")&amp;IF(AND(Projects!$G$24="Yes",Projects!$C$24=AX$3),", "&amp;Projects!$A$24,"")&amp;IF(AND(Projects!$G$25="Yes",Projects!$C$25=AX$3),", "&amp;Projects!$A$25,"")&amp;IF(AND(Projects!$G$26="Yes",Projects!$C$26=AX$3),", "&amp;Projects!$A$26,"")&amp;IF(AND(Projects!$G$27="Yes",Projects!$C$27=AX$3),", "&amp;Projects!$A$27,"")&amp;IF(AND(Projects!$G$28="Yes",Projects!$C$28=AX$3),", "&amp;Projects!$A$28,"")&amp;IF(AND(Projects!$G$29="Yes",Projects!$C$29=AX$3),", "&amp;Projects!$A$29,"")&amp;IF(AND(Projects!$G$30="Yes",Projects!$C$30=AX$3),", "&amp;Projects!$A$30,"")&amp;IF(AND(Projects!$G$31="Yes",Projects!$C$31=AX$3),", "&amp;Projects!$A$31,"")&amp;IF(AND(Projects!$G$32="Yes",Projects!$C$32=AX$3),", "&amp;Projects!$A$32,"")&amp;IF(AND(Projects!$G$33="Yes",Projects!$C$33=AX$3),", "&amp;Projects!$A$33,"")&amp;IF(AND(Projects!$G$34="Yes",Projects!$C$34=AX$3),", "&amp;Projects!$A$34,"")&amp;IF(AND(Projects!$G$35="Yes",Projects!$C$35=AX$3),", "&amp;Projects!$A$35,"")&amp;IF(AND(Projects!$G$36="Yes",Projects!$C$36=AX$3),", "&amp;Projects!$A$36,"")&amp;IF(AND(Projects!$G$37="Yes",Projects!$C$37=AX$3),", "&amp;Projects!$A$37,"")&amp;IF(AND(Projects!$G$38="Yes",Projects!$C$38=AX$3),", "&amp;Projects!$A$38,"")&amp;IF(AND(Projects!$G$39="Yes",Projects!$C$39=AX$3),", "&amp;Projects!$A$39,"")&amp;IF(AND(Projects!$G$40="Yes",Projects!$C$40=AX$3),", "&amp;Projects!$A$40,"")&amp;IF(AND(Projects!$G$41="Yes",Projects!$C$41=AX$3),", "&amp;Projects!$A$41,"")&amp;IF(AND(Projects!$G$42="Yes",Projects!$C$42=AX$3),", "&amp;Projects!$A$42,"")&amp;IF(AND(Projects!$G$43="Yes",Projects!$C$43=AX$3),", "&amp;Projects!$A$43,"")&amp;IF(AND(Projects!$G$44="Yes",Projects!$C$44=AX$3),", "&amp;Projects!$A$44,"")&amp;IF(AND(Projects!$G$45="Yes",Projects!$C$45=AX$3),", "&amp;Projects!$A$45,"")&amp;IF(AND(Projects!$G$46="Yes",Projects!$C$46=AX$3),", "&amp;Projects!$A$46,""),3,10000)</f>
        <v/>
      </c>
      <c r="AY6" s="396">
        <f>MID(IF(AND(Projects!$G$2="Yes",Projects!$C$2=AY$3),", "&amp;Projects!$A$2,"")&amp;IF(AND(Projects!$G$3="Yes",Projects!$C$3=AY$3),", "&amp;Projects!$A$3,"")&amp;IF(AND(Projects!$G$4="Yes",Projects!$C$4=AY$3),", "&amp;Projects!$A$4,"")&amp;IF(AND(Projects!$G$5="Yes",Projects!$C$5=AY$3),", "&amp;Projects!$A$5,"")&amp;IF(AND(Projects!$G$6="Yes",Projects!$C$6=AY$3),", "&amp;Projects!$A$6,"")&amp;IF(AND(Projects!$G$7="Yes",Projects!$C$7=AY$3),", "&amp;Projects!$A$7,"")&amp;IF(AND(Projects!$G$8="Yes",Projects!$C$8=AY$3),", "&amp;Projects!$A$8,"")&amp;IF(AND(Projects!$G$9="Yes",Projects!$C$9=AY$3),", "&amp;Projects!$A$9,"")&amp;IF(AND(Projects!$G$10="Yes",Projects!$C$10=AY$3),", "&amp;Projects!$A$10,"")&amp;IF(AND(Projects!$G$11="Yes",Projects!$C$11=AY$3),", "&amp;Projects!$A$11,"")&amp;IF(AND(Projects!$G$12="Yes",Projects!$C$12=AY$3),", "&amp;Projects!$A$12,"")&amp;IF(AND(Projects!$G$13="Yes",Projects!$C$13=AY$3),", "&amp;Projects!$A$13,"")&amp;IF(AND(Projects!$G$14="Yes",Projects!$C$14=AY$3),", "&amp;Projects!$A$14,"")&amp;IF(AND(Projects!$G$15="Yes",Projects!$C$15=AY$3),", "&amp;Projects!$A$15,"")&amp;IF(AND(Projects!$G$16="Yes",Projects!$C$16=AY$3),", "&amp;Projects!$A$16,"")&amp;IF(AND(Projects!$G$17="Yes",Projects!$C$17=AY$3),", "&amp;Projects!$A$17,"")&amp;IF(AND(Projects!$G$18="Yes",Projects!$C$18=AY$3),", "&amp;Projects!$A$18,"")&amp;IF(AND(Projects!$G$19="Yes",Projects!$C$19=AY$3),", "&amp;Projects!$A$19,"")&amp;IF(AND(Projects!$G$20="Yes",Projects!$C$20=AY$3),", "&amp;Projects!$A$20,"")&amp;IF(AND(Projects!$G$21="Yes",Projects!$C$21=AY$3),", "&amp;Projects!$A$21,"")&amp;IF(AND(Projects!$G$22="Yes",Projects!$C$22=AY$3),", "&amp;Projects!$A$22,"")&amp;IF(AND(Projects!$G$23="Yes",Projects!$C$23=AY$3),", "&amp;Projects!$A$23,"")&amp;IF(AND(Projects!$G$24="Yes",Projects!$C$24=AY$3),", "&amp;Projects!$A$24,"")&amp;IF(AND(Projects!$G$25="Yes",Projects!$C$25=AY$3),", "&amp;Projects!$A$25,"")&amp;IF(AND(Projects!$G$26="Yes",Projects!$C$26=AY$3),", "&amp;Projects!$A$26,"")&amp;IF(AND(Projects!$G$27="Yes",Projects!$C$27=AY$3),", "&amp;Projects!$A$27,"")&amp;IF(AND(Projects!$G$28="Yes",Projects!$C$28=AY$3),", "&amp;Projects!$A$28,"")&amp;IF(AND(Projects!$G$29="Yes",Projects!$C$29=AY$3),", "&amp;Projects!$A$29,"")&amp;IF(AND(Projects!$G$30="Yes",Projects!$C$30=AY$3),", "&amp;Projects!$A$30,"")&amp;IF(AND(Projects!$G$31="Yes",Projects!$C$31=AY$3),", "&amp;Projects!$A$31,"")&amp;IF(AND(Projects!$G$32="Yes",Projects!$C$32=AY$3),", "&amp;Projects!$A$32,"")&amp;IF(AND(Projects!$G$33="Yes",Projects!$C$33=AY$3),", "&amp;Projects!$A$33,"")&amp;IF(AND(Projects!$G$34="Yes",Projects!$C$34=AY$3),", "&amp;Projects!$A$34,"")&amp;IF(AND(Projects!$G$35="Yes",Projects!$C$35=AY$3),", "&amp;Projects!$A$35,"")&amp;IF(AND(Projects!$G$36="Yes",Projects!$C$36=AY$3),", "&amp;Projects!$A$36,"")&amp;IF(AND(Projects!$G$37="Yes",Projects!$C$37=AY$3),", "&amp;Projects!$A$37,"")&amp;IF(AND(Projects!$G$38="Yes",Projects!$C$38=AY$3),", "&amp;Projects!$A$38,"")&amp;IF(AND(Projects!$G$39="Yes",Projects!$C$39=AY$3),", "&amp;Projects!$A$39,"")&amp;IF(AND(Projects!$G$40="Yes",Projects!$C$40=AY$3),", "&amp;Projects!$A$40,"")&amp;IF(AND(Projects!$G$41="Yes",Projects!$C$41=AY$3),", "&amp;Projects!$A$41,"")&amp;IF(AND(Projects!$G$42="Yes",Projects!$C$42=AY$3),", "&amp;Projects!$A$42,"")&amp;IF(AND(Projects!$G$43="Yes",Projects!$C$43=AY$3),", "&amp;Projects!$A$43,"")&amp;IF(AND(Projects!$G$44="Yes",Projects!$C$44=AY$3),", "&amp;Projects!$A$44,"")&amp;IF(AND(Projects!$G$45="Yes",Projects!$C$45=AY$3),", "&amp;Projects!$A$45,"")&amp;IF(AND(Projects!$G$46="Yes",Projects!$C$46=AY$3),", "&amp;Projects!$A$46,""),3,10000)</f>
        <v/>
      </c>
      <c r="AZ6" s="396">
        <f>MID(IF(AND(Projects!$G$2="Yes",Projects!$C$2=AZ$3),", "&amp;Projects!$A$2,"")&amp;IF(AND(Projects!$G$3="Yes",Projects!$C$3=AZ$3),", "&amp;Projects!$A$3,"")&amp;IF(AND(Projects!$G$4="Yes",Projects!$C$4=AZ$3),", "&amp;Projects!$A$4,"")&amp;IF(AND(Projects!$G$5="Yes",Projects!$C$5=AZ$3),", "&amp;Projects!$A$5,"")&amp;IF(AND(Projects!$G$6="Yes",Projects!$C$6=AZ$3),", "&amp;Projects!$A$6,"")&amp;IF(AND(Projects!$G$7="Yes",Projects!$C$7=AZ$3),", "&amp;Projects!$A$7,"")&amp;IF(AND(Projects!$G$8="Yes",Projects!$C$8=AZ$3),", "&amp;Projects!$A$8,"")&amp;IF(AND(Projects!$G$9="Yes",Projects!$C$9=AZ$3),", "&amp;Projects!$A$9,"")&amp;IF(AND(Projects!$G$10="Yes",Projects!$C$10=AZ$3),", "&amp;Projects!$A$10,"")&amp;IF(AND(Projects!$G$11="Yes",Projects!$C$11=AZ$3),", "&amp;Projects!$A$11,"")&amp;IF(AND(Projects!$G$12="Yes",Projects!$C$12=AZ$3),", "&amp;Projects!$A$12,"")&amp;IF(AND(Projects!$G$13="Yes",Projects!$C$13=AZ$3),", "&amp;Projects!$A$13,"")&amp;IF(AND(Projects!$G$14="Yes",Projects!$C$14=AZ$3),", "&amp;Projects!$A$14,"")&amp;IF(AND(Projects!$G$15="Yes",Projects!$C$15=AZ$3),", "&amp;Projects!$A$15,"")&amp;IF(AND(Projects!$G$16="Yes",Projects!$C$16=AZ$3),", "&amp;Projects!$A$16,"")&amp;IF(AND(Projects!$G$17="Yes",Projects!$C$17=AZ$3),", "&amp;Projects!$A$17,"")&amp;IF(AND(Projects!$G$18="Yes",Projects!$C$18=AZ$3),", "&amp;Projects!$A$18,"")&amp;IF(AND(Projects!$G$19="Yes",Projects!$C$19=AZ$3),", "&amp;Projects!$A$19,"")&amp;IF(AND(Projects!$G$20="Yes",Projects!$C$20=AZ$3),", "&amp;Projects!$A$20,"")&amp;IF(AND(Projects!$G$21="Yes",Projects!$C$21=AZ$3),", "&amp;Projects!$A$21,"")&amp;IF(AND(Projects!$G$22="Yes",Projects!$C$22=AZ$3),", "&amp;Projects!$A$22,"")&amp;IF(AND(Projects!$G$23="Yes",Projects!$C$23=AZ$3),", "&amp;Projects!$A$23,"")&amp;IF(AND(Projects!$G$24="Yes",Projects!$C$24=AZ$3),", "&amp;Projects!$A$24,"")&amp;IF(AND(Projects!$G$25="Yes",Projects!$C$25=AZ$3),", "&amp;Projects!$A$25,"")&amp;IF(AND(Projects!$G$26="Yes",Projects!$C$26=AZ$3),", "&amp;Projects!$A$26,"")&amp;IF(AND(Projects!$G$27="Yes",Projects!$C$27=AZ$3),", "&amp;Projects!$A$27,"")&amp;IF(AND(Projects!$G$28="Yes",Projects!$C$28=AZ$3),", "&amp;Projects!$A$28,"")&amp;IF(AND(Projects!$G$29="Yes",Projects!$C$29=AZ$3),", "&amp;Projects!$A$29,"")&amp;IF(AND(Projects!$G$30="Yes",Projects!$C$30=AZ$3),", "&amp;Projects!$A$30,"")&amp;IF(AND(Projects!$G$31="Yes",Projects!$C$31=AZ$3),", "&amp;Projects!$A$31,"")&amp;IF(AND(Projects!$G$32="Yes",Projects!$C$32=AZ$3),", "&amp;Projects!$A$32,"")&amp;IF(AND(Projects!$G$33="Yes",Projects!$C$33=AZ$3),", "&amp;Projects!$A$33,"")&amp;IF(AND(Projects!$G$34="Yes",Projects!$C$34=AZ$3),", "&amp;Projects!$A$34,"")&amp;IF(AND(Projects!$G$35="Yes",Projects!$C$35=AZ$3),", "&amp;Projects!$A$35,"")&amp;IF(AND(Projects!$G$36="Yes",Projects!$C$36=AZ$3),", "&amp;Projects!$A$36,"")&amp;IF(AND(Projects!$G$37="Yes",Projects!$C$37=AZ$3),", "&amp;Projects!$A$37,"")&amp;IF(AND(Projects!$G$38="Yes",Projects!$C$38=AZ$3),", "&amp;Projects!$A$38,"")&amp;IF(AND(Projects!$G$39="Yes",Projects!$C$39=AZ$3),", "&amp;Projects!$A$39,"")&amp;IF(AND(Projects!$G$40="Yes",Projects!$C$40=AZ$3),", "&amp;Projects!$A$40,"")&amp;IF(AND(Projects!$G$41="Yes",Projects!$C$41=AZ$3),", "&amp;Projects!$A$41,"")&amp;IF(AND(Projects!$G$42="Yes",Projects!$C$42=AZ$3),", "&amp;Projects!$A$42,"")&amp;IF(AND(Projects!$G$43="Yes",Projects!$C$43=AZ$3),", "&amp;Projects!$A$43,"")&amp;IF(AND(Projects!$G$44="Yes",Projects!$C$44=AZ$3),", "&amp;Projects!$A$44,"")&amp;IF(AND(Projects!$G$45="Yes",Projects!$C$45=AZ$3),", "&amp;Projects!$A$45,"")&amp;IF(AND(Projects!$G$46="Yes",Projects!$C$46=AZ$3),", "&amp;Projects!$A$46,""),3,10000)</f>
        <v/>
      </c>
      <c r="BA6" s="396">
        <f>MID(IF(AND(Projects!$G$2="Yes",Projects!$C$2=BA$3),", "&amp;Projects!$A$2,"")&amp;IF(AND(Projects!$G$3="Yes",Projects!$C$3=BA$3),", "&amp;Projects!$A$3,"")&amp;IF(AND(Projects!$G$4="Yes",Projects!$C$4=BA$3),", "&amp;Projects!$A$4,"")&amp;IF(AND(Projects!$G$5="Yes",Projects!$C$5=BA$3),", "&amp;Projects!$A$5,"")&amp;IF(AND(Projects!$G$6="Yes",Projects!$C$6=BA$3),", "&amp;Projects!$A$6,"")&amp;IF(AND(Projects!$G$7="Yes",Projects!$C$7=BA$3),", "&amp;Projects!$A$7,"")&amp;IF(AND(Projects!$G$8="Yes",Projects!$C$8=BA$3),", "&amp;Projects!$A$8,"")&amp;IF(AND(Projects!$G$9="Yes",Projects!$C$9=BA$3),", "&amp;Projects!$A$9,"")&amp;IF(AND(Projects!$G$10="Yes",Projects!$C$10=BA$3),", "&amp;Projects!$A$10,"")&amp;IF(AND(Projects!$G$11="Yes",Projects!$C$11=BA$3),", "&amp;Projects!$A$11,"")&amp;IF(AND(Projects!$G$12="Yes",Projects!$C$12=BA$3),", "&amp;Projects!$A$12,"")&amp;IF(AND(Projects!$G$13="Yes",Projects!$C$13=BA$3),", "&amp;Projects!$A$13,"")&amp;IF(AND(Projects!$G$14="Yes",Projects!$C$14=BA$3),", "&amp;Projects!$A$14,"")&amp;IF(AND(Projects!$G$15="Yes",Projects!$C$15=BA$3),", "&amp;Projects!$A$15,"")&amp;IF(AND(Projects!$G$16="Yes",Projects!$C$16=BA$3),", "&amp;Projects!$A$16,"")&amp;IF(AND(Projects!$G$17="Yes",Projects!$C$17=BA$3),", "&amp;Projects!$A$17,"")&amp;IF(AND(Projects!$G$18="Yes",Projects!$C$18=BA$3),", "&amp;Projects!$A$18,"")&amp;IF(AND(Projects!$G$19="Yes",Projects!$C$19=BA$3),", "&amp;Projects!$A$19,"")&amp;IF(AND(Projects!$G$20="Yes",Projects!$C$20=BA$3),", "&amp;Projects!$A$20,"")&amp;IF(AND(Projects!$G$21="Yes",Projects!$C$21=BA$3),", "&amp;Projects!$A$21,"")&amp;IF(AND(Projects!$G$22="Yes",Projects!$C$22=BA$3),", "&amp;Projects!$A$22,"")&amp;IF(AND(Projects!$G$23="Yes",Projects!$C$23=BA$3),", "&amp;Projects!$A$23,"")&amp;IF(AND(Projects!$G$24="Yes",Projects!$C$24=BA$3),", "&amp;Projects!$A$24,"")&amp;IF(AND(Projects!$G$25="Yes",Projects!$C$25=BA$3),", "&amp;Projects!$A$25,"")&amp;IF(AND(Projects!$G$26="Yes",Projects!$C$26=BA$3),", "&amp;Projects!$A$26,"")&amp;IF(AND(Projects!$G$27="Yes",Projects!$C$27=BA$3),", "&amp;Projects!$A$27,"")&amp;IF(AND(Projects!$G$28="Yes",Projects!$C$28=BA$3),", "&amp;Projects!$A$28,"")&amp;IF(AND(Projects!$G$29="Yes",Projects!$C$29=BA$3),", "&amp;Projects!$A$29,"")&amp;IF(AND(Projects!$G$30="Yes",Projects!$C$30=BA$3),", "&amp;Projects!$A$30,"")&amp;IF(AND(Projects!$G$31="Yes",Projects!$C$31=BA$3),", "&amp;Projects!$A$31,"")&amp;IF(AND(Projects!$G$32="Yes",Projects!$C$32=BA$3),", "&amp;Projects!$A$32,"")&amp;IF(AND(Projects!$G$33="Yes",Projects!$C$33=BA$3),", "&amp;Projects!$A$33,"")&amp;IF(AND(Projects!$G$34="Yes",Projects!$C$34=BA$3),", "&amp;Projects!$A$34,"")&amp;IF(AND(Projects!$G$35="Yes",Projects!$C$35=BA$3),", "&amp;Projects!$A$35,"")&amp;IF(AND(Projects!$G$36="Yes",Projects!$C$36=BA$3),", "&amp;Projects!$A$36,"")&amp;IF(AND(Projects!$G$37="Yes",Projects!$C$37=BA$3),", "&amp;Projects!$A$37,"")&amp;IF(AND(Projects!$G$38="Yes",Projects!$C$38=BA$3),", "&amp;Projects!$A$38,"")&amp;IF(AND(Projects!$G$39="Yes",Projects!$C$39=BA$3),", "&amp;Projects!$A$39,"")&amp;IF(AND(Projects!$G$40="Yes",Projects!$C$40=BA$3),", "&amp;Projects!$A$40,"")&amp;IF(AND(Projects!$G$41="Yes",Projects!$C$41=BA$3),", "&amp;Projects!$A$41,"")&amp;IF(AND(Projects!$G$42="Yes",Projects!$C$42=BA$3),", "&amp;Projects!$A$42,"")&amp;IF(AND(Projects!$G$43="Yes",Projects!$C$43=BA$3),", "&amp;Projects!$A$43,"")&amp;IF(AND(Projects!$G$44="Yes",Projects!$C$44=BA$3),", "&amp;Projects!$A$44,"")&amp;IF(AND(Projects!$G$45="Yes",Projects!$C$45=BA$3),", "&amp;Projects!$A$45,"")&amp;IF(AND(Projects!$G$46="Yes",Projects!$C$46=BA$3),", "&amp;Projects!$A$46,""),3,10000)</f>
        <v/>
      </c>
      <c r="BB6" s="396">
        <f>MID(IF(AND(Projects!$G$2="Yes",Projects!$C$2=BB$3),", "&amp;Projects!$A$2,"")&amp;IF(AND(Projects!$G$3="Yes",Projects!$C$3=BB$3),", "&amp;Projects!$A$3,"")&amp;IF(AND(Projects!$G$4="Yes",Projects!$C$4=BB$3),", "&amp;Projects!$A$4,"")&amp;IF(AND(Projects!$G$5="Yes",Projects!$C$5=BB$3),", "&amp;Projects!$A$5,"")&amp;IF(AND(Projects!$G$6="Yes",Projects!$C$6=BB$3),", "&amp;Projects!$A$6,"")&amp;IF(AND(Projects!$G$7="Yes",Projects!$C$7=BB$3),", "&amp;Projects!$A$7,"")&amp;IF(AND(Projects!$G$8="Yes",Projects!$C$8=BB$3),", "&amp;Projects!$A$8,"")&amp;IF(AND(Projects!$G$9="Yes",Projects!$C$9=BB$3),", "&amp;Projects!$A$9,"")&amp;IF(AND(Projects!$G$10="Yes",Projects!$C$10=BB$3),", "&amp;Projects!$A$10,"")&amp;IF(AND(Projects!$G$11="Yes",Projects!$C$11=BB$3),", "&amp;Projects!$A$11,"")&amp;IF(AND(Projects!$G$12="Yes",Projects!$C$12=BB$3),", "&amp;Projects!$A$12,"")&amp;IF(AND(Projects!$G$13="Yes",Projects!$C$13=BB$3),", "&amp;Projects!$A$13,"")&amp;IF(AND(Projects!$G$14="Yes",Projects!$C$14=BB$3),", "&amp;Projects!$A$14,"")&amp;IF(AND(Projects!$G$15="Yes",Projects!$C$15=BB$3),", "&amp;Projects!$A$15,"")&amp;IF(AND(Projects!$G$16="Yes",Projects!$C$16=BB$3),", "&amp;Projects!$A$16,"")&amp;IF(AND(Projects!$G$17="Yes",Projects!$C$17=BB$3),", "&amp;Projects!$A$17,"")&amp;IF(AND(Projects!$G$18="Yes",Projects!$C$18=BB$3),", "&amp;Projects!$A$18,"")&amp;IF(AND(Projects!$G$19="Yes",Projects!$C$19=BB$3),", "&amp;Projects!$A$19,"")&amp;IF(AND(Projects!$G$20="Yes",Projects!$C$20=BB$3),", "&amp;Projects!$A$20,"")&amp;IF(AND(Projects!$G$21="Yes",Projects!$C$21=BB$3),", "&amp;Projects!$A$21,"")&amp;IF(AND(Projects!$G$22="Yes",Projects!$C$22=BB$3),", "&amp;Projects!$A$22,"")&amp;IF(AND(Projects!$G$23="Yes",Projects!$C$23=BB$3),", "&amp;Projects!$A$23,"")&amp;IF(AND(Projects!$G$24="Yes",Projects!$C$24=BB$3),", "&amp;Projects!$A$24,"")&amp;IF(AND(Projects!$G$25="Yes",Projects!$C$25=BB$3),", "&amp;Projects!$A$25,"")&amp;IF(AND(Projects!$G$26="Yes",Projects!$C$26=BB$3),", "&amp;Projects!$A$26,"")&amp;IF(AND(Projects!$G$27="Yes",Projects!$C$27=BB$3),", "&amp;Projects!$A$27,"")&amp;IF(AND(Projects!$G$28="Yes",Projects!$C$28=BB$3),", "&amp;Projects!$A$28,"")&amp;IF(AND(Projects!$G$29="Yes",Projects!$C$29=BB$3),", "&amp;Projects!$A$29,"")&amp;IF(AND(Projects!$G$30="Yes",Projects!$C$30=BB$3),", "&amp;Projects!$A$30,"")&amp;IF(AND(Projects!$G$31="Yes",Projects!$C$31=BB$3),", "&amp;Projects!$A$31,"")&amp;IF(AND(Projects!$G$32="Yes",Projects!$C$32=BB$3),", "&amp;Projects!$A$32,"")&amp;IF(AND(Projects!$G$33="Yes",Projects!$C$33=BB$3),", "&amp;Projects!$A$33,"")&amp;IF(AND(Projects!$G$34="Yes",Projects!$C$34=BB$3),", "&amp;Projects!$A$34,"")&amp;IF(AND(Projects!$G$35="Yes",Projects!$C$35=BB$3),", "&amp;Projects!$A$35,"")&amp;IF(AND(Projects!$G$36="Yes",Projects!$C$36=BB$3),", "&amp;Projects!$A$36,"")&amp;IF(AND(Projects!$G$37="Yes",Projects!$C$37=BB$3),", "&amp;Projects!$A$37,"")&amp;IF(AND(Projects!$G$38="Yes",Projects!$C$38=BB$3),", "&amp;Projects!$A$38,"")&amp;IF(AND(Projects!$G$39="Yes",Projects!$C$39=BB$3),", "&amp;Projects!$A$39,"")&amp;IF(AND(Projects!$G$40="Yes",Projects!$C$40=BB$3),", "&amp;Projects!$A$40,"")&amp;IF(AND(Projects!$G$41="Yes",Projects!$C$41=BB$3),", "&amp;Projects!$A$41,"")&amp;IF(AND(Projects!$G$42="Yes",Projects!$C$42=BB$3),", "&amp;Projects!$A$42,"")&amp;IF(AND(Projects!$G$43="Yes",Projects!$C$43=BB$3),", "&amp;Projects!$A$43,"")&amp;IF(AND(Projects!$G$44="Yes",Projects!$C$44=BB$3),", "&amp;Projects!$A$44,"")&amp;IF(AND(Projects!$G$45="Yes",Projects!$C$45=BB$3),", "&amp;Projects!$A$45,"")&amp;IF(AND(Projects!$G$46="Yes",Projects!$C$46=BB$3),", "&amp;Projects!$A$46,""),3,10000)</f>
        <v/>
      </c>
      <c r="BC6" s="396">
        <f>MID(IF(AND(Projects!$G$2="Yes",Projects!$C$2=BC$3),", "&amp;Projects!$A$2,"")&amp;IF(AND(Projects!$G$3="Yes",Projects!$C$3=BC$3),", "&amp;Projects!$A$3,"")&amp;IF(AND(Projects!$G$4="Yes",Projects!$C$4=BC$3),", "&amp;Projects!$A$4,"")&amp;IF(AND(Projects!$G$5="Yes",Projects!$C$5=BC$3),", "&amp;Projects!$A$5,"")&amp;IF(AND(Projects!$G$6="Yes",Projects!$C$6=BC$3),", "&amp;Projects!$A$6,"")&amp;IF(AND(Projects!$G$7="Yes",Projects!$C$7=BC$3),", "&amp;Projects!$A$7,"")&amp;IF(AND(Projects!$G$8="Yes",Projects!$C$8=BC$3),", "&amp;Projects!$A$8,"")&amp;IF(AND(Projects!$G$9="Yes",Projects!$C$9=BC$3),", "&amp;Projects!$A$9,"")&amp;IF(AND(Projects!$G$10="Yes",Projects!$C$10=BC$3),", "&amp;Projects!$A$10,"")&amp;IF(AND(Projects!$G$11="Yes",Projects!$C$11=BC$3),", "&amp;Projects!$A$11,"")&amp;IF(AND(Projects!$G$12="Yes",Projects!$C$12=BC$3),", "&amp;Projects!$A$12,"")&amp;IF(AND(Projects!$G$13="Yes",Projects!$C$13=BC$3),", "&amp;Projects!$A$13,"")&amp;IF(AND(Projects!$G$14="Yes",Projects!$C$14=BC$3),", "&amp;Projects!$A$14,"")&amp;IF(AND(Projects!$G$15="Yes",Projects!$C$15=BC$3),", "&amp;Projects!$A$15,"")&amp;IF(AND(Projects!$G$16="Yes",Projects!$C$16=BC$3),", "&amp;Projects!$A$16,"")&amp;IF(AND(Projects!$G$17="Yes",Projects!$C$17=BC$3),", "&amp;Projects!$A$17,"")&amp;IF(AND(Projects!$G$18="Yes",Projects!$C$18=BC$3),", "&amp;Projects!$A$18,"")&amp;IF(AND(Projects!$G$19="Yes",Projects!$C$19=BC$3),", "&amp;Projects!$A$19,"")&amp;IF(AND(Projects!$G$20="Yes",Projects!$C$20=BC$3),", "&amp;Projects!$A$20,"")&amp;IF(AND(Projects!$G$21="Yes",Projects!$C$21=BC$3),", "&amp;Projects!$A$21,"")&amp;IF(AND(Projects!$G$22="Yes",Projects!$C$22=BC$3),", "&amp;Projects!$A$22,"")&amp;IF(AND(Projects!$G$23="Yes",Projects!$C$23=BC$3),", "&amp;Projects!$A$23,"")&amp;IF(AND(Projects!$G$24="Yes",Projects!$C$24=BC$3),", "&amp;Projects!$A$24,"")&amp;IF(AND(Projects!$G$25="Yes",Projects!$C$25=BC$3),", "&amp;Projects!$A$25,"")&amp;IF(AND(Projects!$G$26="Yes",Projects!$C$26=BC$3),", "&amp;Projects!$A$26,"")&amp;IF(AND(Projects!$G$27="Yes",Projects!$C$27=BC$3),", "&amp;Projects!$A$27,"")&amp;IF(AND(Projects!$G$28="Yes",Projects!$C$28=BC$3),", "&amp;Projects!$A$28,"")&amp;IF(AND(Projects!$G$29="Yes",Projects!$C$29=BC$3),", "&amp;Projects!$A$29,"")&amp;IF(AND(Projects!$G$30="Yes",Projects!$C$30=BC$3),", "&amp;Projects!$A$30,"")&amp;IF(AND(Projects!$G$31="Yes",Projects!$C$31=BC$3),", "&amp;Projects!$A$31,"")&amp;IF(AND(Projects!$G$32="Yes",Projects!$C$32=BC$3),", "&amp;Projects!$A$32,"")&amp;IF(AND(Projects!$G$33="Yes",Projects!$C$33=BC$3),", "&amp;Projects!$A$33,"")&amp;IF(AND(Projects!$G$34="Yes",Projects!$C$34=BC$3),", "&amp;Projects!$A$34,"")&amp;IF(AND(Projects!$G$35="Yes",Projects!$C$35=BC$3),", "&amp;Projects!$A$35,"")&amp;IF(AND(Projects!$G$36="Yes",Projects!$C$36=BC$3),", "&amp;Projects!$A$36,"")&amp;IF(AND(Projects!$G$37="Yes",Projects!$C$37=BC$3),", "&amp;Projects!$A$37,"")&amp;IF(AND(Projects!$G$38="Yes",Projects!$C$38=BC$3),", "&amp;Projects!$A$38,"")&amp;IF(AND(Projects!$G$39="Yes",Projects!$C$39=BC$3),", "&amp;Projects!$A$39,"")&amp;IF(AND(Projects!$G$40="Yes",Projects!$C$40=BC$3),", "&amp;Projects!$A$40,"")&amp;IF(AND(Projects!$G$41="Yes",Projects!$C$41=BC$3),", "&amp;Projects!$A$41,"")&amp;IF(AND(Projects!$G$42="Yes",Projects!$C$42=BC$3),", "&amp;Projects!$A$42,"")&amp;IF(AND(Projects!$G$43="Yes",Projects!$C$43=BC$3),", "&amp;Projects!$A$43,"")&amp;IF(AND(Projects!$G$44="Yes",Projects!$C$44=BC$3),", "&amp;Projects!$A$44,"")&amp;IF(AND(Projects!$G$45="Yes",Projects!$C$45=BC$3),", "&amp;Projects!$A$45,"")&amp;IF(AND(Projects!$G$46="Yes",Projects!$C$46=BC$3),", "&amp;Projects!$A$46,""),3,10000)</f>
        <v/>
      </c>
      <c r="BD6" s="396">
        <f>MID(IF(AND(Projects!$G$2="Yes",Projects!$C$2=BD$3),", "&amp;Projects!$A$2,"")&amp;IF(AND(Projects!$G$3="Yes",Projects!$C$3=BD$3),", "&amp;Projects!$A$3,"")&amp;IF(AND(Projects!$G$4="Yes",Projects!$C$4=BD$3),", "&amp;Projects!$A$4,"")&amp;IF(AND(Projects!$G$5="Yes",Projects!$C$5=BD$3),", "&amp;Projects!$A$5,"")&amp;IF(AND(Projects!$G$6="Yes",Projects!$C$6=BD$3),", "&amp;Projects!$A$6,"")&amp;IF(AND(Projects!$G$7="Yes",Projects!$C$7=BD$3),", "&amp;Projects!$A$7,"")&amp;IF(AND(Projects!$G$8="Yes",Projects!$C$8=BD$3),", "&amp;Projects!$A$8,"")&amp;IF(AND(Projects!$G$9="Yes",Projects!$C$9=BD$3),", "&amp;Projects!$A$9,"")&amp;IF(AND(Projects!$G$10="Yes",Projects!$C$10=BD$3),", "&amp;Projects!$A$10,"")&amp;IF(AND(Projects!$G$11="Yes",Projects!$C$11=BD$3),", "&amp;Projects!$A$11,"")&amp;IF(AND(Projects!$G$12="Yes",Projects!$C$12=BD$3),", "&amp;Projects!$A$12,"")&amp;IF(AND(Projects!$G$13="Yes",Projects!$C$13=BD$3),", "&amp;Projects!$A$13,"")&amp;IF(AND(Projects!$G$14="Yes",Projects!$C$14=BD$3),", "&amp;Projects!$A$14,"")&amp;IF(AND(Projects!$G$15="Yes",Projects!$C$15=BD$3),", "&amp;Projects!$A$15,"")&amp;IF(AND(Projects!$G$16="Yes",Projects!$C$16=BD$3),", "&amp;Projects!$A$16,"")&amp;IF(AND(Projects!$G$17="Yes",Projects!$C$17=BD$3),", "&amp;Projects!$A$17,"")&amp;IF(AND(Projects!$G$18="Yes",Projects!$C$18=BD$3),", "&amp;Projects!$A$18,"")&amp;IF(AND(Projects!$G$19="Yes",Projects!$C$19=BD$3),", "&amp;Projects!$A$19,"")&amp;IF(AND(Projects!$G$20="Yes",Projects!$C$20=BD$3),", "&amp;Projects!$A$20,"")&amp;IF(AND(Projects!$G$21="Yes",Projects!$C$21=BD$3),", "&amp;Projects!$A$21,"")&amp;IF(AND(Projects!$G$22="Yes",Projects!$C$22=BD$3),", "&amp;Projects!$A$22,"")&amp;IF(AND(Projects!$G$23="Yes",Projects!$C$23=BD$3),", "&amp;Projects!$A$23,"")&amp;IF(AND(Projects!$G$24="Yes",Projects!$C$24=BD$3),", "&amp;Projects!$A$24,"")&amp;IF(AND(Projects!$G$25="Yes",Projects!$C$25=BD$3),", "&amp;Projects!$A$25,"")&amp;IF(AND(Projects!$G$26="Yes",Projects!$C$26=BD$3),", "&amp;Projects!$A$26,"")&amp;IF(AND(Projects!$G$27="Yes",Projects!$C$27=BD$3),", "&amp;Projects!$A$27,"")&amp;IF(AND(Projects!$G$28="Yes",Projects!$C$28=BD$3),", "&amp;Projects!$A$28,"")&amp;IF(AND(Projects!$G$29="Yes",Projects!$C$29=BD$3),", "&amp;Projects!$A$29,"")&amp;IF(AND(Projects!$G$30="Yes",Projects!$C$30=BD$3),", "&amp;Projects!$A$30,"")&amp;IF(AND(Projects!$G$31="Yes",Projects!$C$31=BD$3),", "&amp;Projects!$A$31,"")&amp;IF(AND(Projects!$G$32="Yes",Projects!$C$32=BD$3),", "&amp;Projects!$A$32,"")&amp;IF(AND(Projects!$G$33="Yes",Projects!$C$33=BD$3),", "&amp;Projects!$A$33,"")&amp;IF(AND(Projects!$G$34="Yes",Projects!$C$34=BD$3),", "&amp;Projects!$A$34,"")&amp;IF(AND(Projects!$G$35="Yes",Projects!$C$35=BD$3),", "&amp;Projects!$A$35,"")&amp;IF(AND(Projects!$G$36="Yes",Projects!$C$36=BD$3),", "&amp;Projects!$A$36,"")&amp;IF(AND(Projects!$G$37="Yes",Projects!$C$37=BD$3),", "&amp;Projects!$A$37,"")&amp;IF(AND(Projects!$G$38="Yes",Projects!$C$38=BD$3),", "&amp;Projects!$A$38,"")&amp;IF(AND(Projects!$G$39="Yes",Projects!$C$39=BD$3),", "&amp;Projects!$A$39,"")&amp;IF(AND(Projects!$G$40="Yes",Projects!$C$40=BD$3),", "&amp;Projects!$A$40,"")&amp;IF(AND(Projects!$G$41="Yes",Projects!$C$41=BD$3),", "&amp;Projects!$A$41,"")&amp;IF(AND(Projects!$G$42="Yes",Projects!$C$42=BD$3),", "&amp;Projects!$A$42,"")&amp;IF(AND(Projects!$G$43="Yes",Projects!$C$43=BD$3),", "&amp;Projects!$A$43,"")&amp;IF(AND(Projects!$G$44="Yes",Projects!$C$44=BD$3),", "&amp;Projects!$A$44,"")&amp;IF(AND(Projects!$G$45="Yes",Projects!$C$45=BD$3),", "&amp;Projects!$A$45,"")&amp;IF(AND(Projects!$G$46="Yes",Projects!$C$46=BD$3),", "&amp;Projects!$A$46,""),3,10000)</f>
        <v/>
      </c>
      <c r="BE6" s="396">
        <f>MID(IF(AND(Projects!$G$2="Yes",Projects!$C$2=BE$3),", "&amp;Projects!$A$2,"")&amp;IF(AND(Projects!$G$3="Yes",Projects!$C$3=BE$3),", "&amp;Projects!$A$3,"")&amp;IF(AND(Projects!$G$4="Yes",Projects!$C$4=BE$3),", "&amp;Projects!$A$4,"")&amp;IF(AND(Projects!$G$5="Yes",Projects!$C$5=BE$3),", "&amp;Projects!$A$5,"")&amp;IF(AND(Projects!$G$6="Yes",Projects!$C$6=BE$3),", "&amp;Projects!$A$6,"")&amp;IF(AND(Projects!$G$7="Yes",Projects!$C$7=BE$3),", "&amp;Projects!$A$7,"")&amp;IF(AND(Projects!$G$8="Yes",Projects!$C$8=BE$3),", "&amp;Projects!$A$8,"")&amp;IF(AND(Projects!$G$9="Yes",Projects!$C$9=BE$3),", "&amp;Projects!$A$9,"")&amp;IF(AND(Projects!$G$10="Yes",Projects!$C$10=BE$3),", "&amp;Projects!$A$10,"")&amp;IF(AND(Projects!$G$11="Yes",Projects!$C$11=BE$3),", "&amp;Projects!$A$11,"")&amp;IF(AND(Projects!$G$12="Yes",Projects!$C$12=BE$3),", "&amp;Projects!$A$12,"")&amp;IF(AND(Projects!$G$13="Yes",Projects!$C$13=BE$3),", "&amp;Projects!$A$13,"")&amp;IF(AND(Projects!$G$14="Yes",Projects!$C$14=BE$3),", "&amp;Projects!$A$14,"")&amp;IF(AND(Projects!$G$15="Yes",Projects!$C$15=BE$3),", "&amp;Projects!$A$15,"")&amp;IF(AND(Projects!$G$16="Yes",Projects!$C$16=BE$3),", "&amp;Projects!$A$16,"")&amp;IF(AND(Projects!$G$17="Yes",Projects!$C$17=BE$3),", "&amp;Projects!$A$17,"")&amp;IF(AND(Projects!$G$18="Yes",Projects!$C$18=BE$3),", "&amp;Projects!$A$18,"")&amp;IF(AND(Projects!$G$19="Yes",Projects!$C$19=BE$3),", "&amp;Projects!$A$19,"")&amp;IF(AND(Projects!$G$20="Yes",Projects!$C$20=BE$3),", "&amp;Projects!$A$20,"")&amp;IF(AND(Projects!$G$21="Yes",Projects!$C$21=BE$3),", "&amp;Projects!$A$21,"")&amp;IF(AND(Projects!$G$22="Yes",Projects!$C$22=BE$3),", "&amp;Projects!$A$22,"")&amp;IF(AND(Projects!$G$23="Yes",Projects!$C$23=BE$3),", "&amp;Projects!$A$23,"")&amp;IF(AND(Projects!$G$24="Yes",Projects!$C$24=BE$3),", "&amp;Projects!$A$24,"")&amp;IF(AND(Projects!$G$25="Yes",Projects!$C$25=BE$3),", "&amp;Projects!$A$25,"")&amp;IF(AND(Projects!$G$26="Yes",Projects!$C$26=BE$3),", "&amp;Projects!$A$26,"")&amp;IF(AND(Projects!$G$27="Yes",Projects!$C$27=BE$3),", "&amp;Projects!$A$27,"")&amp;IF(AND(Projects!$G$28="Yes",Projects!$C$28=BE$3),", "&amp;Projects!$A$28,"")&amp;IF(AND(Projects!$G$29="Yes",Projects!$C$29=BE$3),", "&amp;Projects!$A$29,"")&amp;IF(AND(Projects!$G$30="Yes",Projects!$C$30=BE$3),", "&amp;Projects!$A$30,"")&amp;IF(AND(Projects!$G$31="Yes",Projects!$C$31=BE$3),", "&amp;Projects!$A$31,"")&amp;IF(AND(Projects!$G$32="Yes",Projects!$C$32=BE$3),", "&amp;Projects!$A$32,"")&amp;IF(AND(Projects!$G$33="Yes",Projects!$C$33=BE$3),", "&amp;Projects!$A$33,"")&amp;IF(AND(Projects!$G$34="Yes",Projects!$C$34=BE$3),", "&amp;Projects!$A$34,"")&amp;IF(AND(Projects!$G$35="Yes",Projects!$C$35=BE$3),", "&amp;Projects!$A$35,"")&amp;IF(AND(Projects!$G$36="Yes",Projects!$C$36=BE$3),", "&amp;Projects!$A$36,"")&amp;IF(AND(Projects!$G$37="Yes",Projects!$C$37=BE$3),", "&amp;Projects!$A$37,"")&amp;IF(AND(Projects!$G$38="Yes",Projects!$C$38=BE$3),", "&amp;Projects!$A$38,"")&amp;IF(AND(Projects!$G$39="Yes",Projects!$C$39=BE$3),", "&amp;Projects!$A$39,"")&amp;IF(AND(Projects!$G$40="Yes",Projects!$C$40=BE$3),", "&amp;Projects!$A$40,"")&amp;IF(AND(Projects!$G$41="Yes",Projects!$C$41=BE$3),", "&amp;Projects!$A$41,"")&amp;IF(AND(Projects!$G$42="Yes",Projects!$C$42=BE$3),", "&amp;Projects!$A$42,"")&amp;IF(AND(Projects!$G$43="Yes",Projects!$C$43=BE$3),", "&amp;Projects!$A$43,"")&amp;IF(AND(Projects!$G$44="Yes",Projects!$C$44=BE$3),", "&amp;Projects!$A$44,"")&amp;IF(AND(Projects!$G$45="Yes",Projects!$C$45=BE$3),", "&amp;Projects!$A$45,"")&amp;IF(AND(Projects!$G$46="Yes",Projects!$C$46=BE$3),", "&amp;Projects!$A$46,""),3,10000)</f>
        <v/>
      </c>
      <c r="BF6" s="396">
        <f>MID(IF(AND(Projects!$G$2="Yes",Projects!$C$2=BF$3),", "&amp;Projects!$A$2,"")&amp;IF(AND(Projects!$G$3="Yes",Projects!$C$3=BF$3),", "&amp;Projects!$A$3,"")&amp;IF(AND(Projects!$G$4="Yes",Projects!$C$4=BF$3),", "&amp;Projects!$A$4,"")&amp;IF(AND(Projects!$G$5="Yes",Projects!$C$5=BF$3),", "&amp;Projects!$A$5,"")&amp;IF(AND(Projects!$G$6="Yes",Projects!$C$6=BF$3),", "&amp;Projects!$A$6,"")&amp;IF(AND(Projects!$G$7="Yes",Projects!$C$7=BF$3),", "&amp;Projects!$A$7,"")&amp;IF(AND(Projects!$G$8="Yes",Projects!$C$8=BF$3),", "&amp;Projects!$A$8,"")&amp;IF(AND(Projects!$G$9="Yes",Projects!$C$9=BF$3),", "&amp;Projects!$A$9,"")&amp;IF(AND(Projects!$G$10="Yes",Projects!$C$10=BF$3),", "&amp;Projects!$A$10,"")&amp;IF(AND(Projects!$G$11="Yes",Projects!$C$11=BF$3),", "&amp;Projects!$A$11,"")&amp;IF(AND(Projects!$G$12="Yes",Projects!$C$12=BF$3),", "&amp;Projects!$A$12,"")&amp;IF(AND(Projects!$G$13="Yes",Projects!$C$13=BF$3),", "&amp;Projects!$A$13,"")&amp;IF(AND(Projects!$G$14="Yes",Projects!$C$14=BF$3),", "&amp;Projects!$A$14,"")&amp;IF(AND(Projects!$G$15="Yes",Projects!$C$15=BF$3),", "&amp;Projects!$A$15,"")&amp;IF(AND(Projects!$G$16="Yes",Projects!$C$16=BF$3),", "&amp;Projects!$A$16,"")&amp;IF(AND(Projects!$G$17="Yes",Projects!$C$17=BF$3),", "&amp;Projects!$A$17,"")&amp;IF(AND(Projects!$G$18="Yes",Projects!$C$18=BF$3),", "&amp;Projects!$A$18,"")&amp;IF(AND(Projects!$G$19="Yes",Projects!$C$19=BF$3),", "&amp;Projects!$A$19,"")&amp;IF(AND(Projects!$G$20="Yes",Projects!$C$20=BF$3),", "&amp;Projects!$A$20,"")&amp;IF(AND(Projects!$G$21="Yes",Projects!$C$21=BF$3),", "&amp;Projects!$A$21,"")&amp;IF(AND(Projects!$G$22="Yes",Projects!$C$22=BF$3),", "&amp;Projects!$A$22,"")&amp;IF(AND(Projects!$G$23="Yes",Projects!$C$23=BF$3),", "&amp;Projects!$A$23,"")&amp;IF(AND(Projects!$G$24="Yes",Projects!$C$24=BF$3),", "&amp;Projects!$A$24,"")&amp;IF(AND(Projects!$G$25="Yes",Projects!$C$25=BF$3),", "&amp;Projects!$A$25,"")&amp;IF(AND(Projects!$G$26="Yes",Projects!$C$26=BF$3),", "&amp;Projects!$A$26,"")&amp;IF(AND(Projects!$G$27="Yes",Projects!$C$27=BF$3),", "&amp;Projects!$A$27,"")&amp;IF(AND(Projects!$G$28="Yes",Projects!$C$28=BF$3),", "&amp;Projects!$A$28,"")&amp;IF(AND(Projects!$G$29="Yes",Projects!$C$29=BF$3),", "&amp;Projects!$A$29,"")&amp;IF(AND(Projects!$G$30="Yes",Projects!$C$30=BF$3),", "&amp;Projects!$A$30,"")&amp;IF(AND(Projects!$G$31="Yes",Projects!$C$31=BF$3),", "&amp;Projects!$A$31,"")&amp;IF(AND(Projects!$G$32="Yes",Projects!$C$32=BF$3),", "&amp;Projects!$A$32,"")&amp;IF(AND(Projects!$G$33="Yes",Projects!$C$33=BF$3),", "&amp;Projects!$A$33,"")&amp;IF(AND(Projects!$G$34="Yes",Projects!$C$34=BF$3),", "&amp;Projects!$A$34,"")&amp;IF(AND(Projects!$G$35="Yes",Projects!$C$35=BF$3),", "&amp;Projects!$A$35,"")&amp;IF(AND(Projects!$G$36="Yes",Projects!$C$36=BF$3),", "&amp;Projects!$A$36,"")&amp;IF(AND(Projects!$G$37="Yes",Projects!$C$37=BF$3),", "&amp;Projects!$A$37,"")&amp;IF(AND(Projects!$G$38="Yes",Projects!$C$38=BF$3),", "&amp;Projects!$A$38,"")&amp;IF(AND(Projects!$G$39="Yes",Projects!$C$39=BF$3),", "&amp;Projects!$A$39,"")&amp;IF(AND(Projects!$G$40="Yes",Projects!$C$40=BF$3),", "&amp;Projects!$A$40,"")&amp;IF(AND(Projects!$G$41="Yes",Projects!$C$41=BF$3),", "&amp;Projects!$A$41,"")&amp;IF(AND(Projects!$G$42="Yes",Projects!$C$42=BF$3),", "&amp;Projects!$A$42,"")&amp;IF(AND(Projects!$G$43="Yes",Projects!$C$43=BF$3),", "&amp;Projects!$A$43,"")&amp;IF(AND(Projects!$G$44="Yes",Projects!$C$44=BF$3),", "&amp;Projects!$A$44,"")&amp;IF(AND(Projects!$G$45="Yes",Projects!$C$45=BF$3),", "&amp;Projects!$A$45,"")&amp;IF(AND(Projects!$G$46="Yes",Projects!$C$46=BF$3),", "&amp;Projects!$A$46,""),3,10000)</f>
        <v/>
      </c>
      <c r="BG6" s="396">
        <f>MID(IF(AND(Projects!$G$2="Yes",Projects!$C$2=BG$3),", "&amp;Projects!$A$2,"")&amp;IF(AND(Projects!$G$3="Yes",Projects!$C$3=BG$3),", "&amp;Projects!$A$3,"")&amp;IF(AND(Projects!$G$4="Yes",Projects!$C$4=BG$3),", "&amp;Projects!$A$4,"")&amp;IF(AND(Projects!$G$5="Yes",Projects!$C$5=BG$3),", "&amp;Projects!$A$5,"")&amp;IF(AND(Projects!$G$6="Yes",Projects!$C$6=BG$3),", "&amp;Projects!$A$6,"")&amp;IF(AND(Projects!$G$7="Yes",Projects!$C$7=BG$3),", "&amp;Projects!$A$7,"")&amp;IF(AND(Projects!$G$8="Yes",Projects!$C$8=BG$3),", "&amp;Projects!$A$8,"")&amp;IF(AND(Projects!$G$9="Yes",Projects!$C$9=BG$3),", "&amp;Projects!$A$9,"")&amp;IF(AND(Projects!$G$10="Yes",Projects!$C$10=BG$3),", "&amp;Projects!$A$10,"")&amp;IF(AND(Projects!$G$11="Yes",Projects!$C$11=BG$3),", "&amp;Projects!$A$11,"")&amp;IF(AND(Projects!$G$12="Yes",Projects!$C$12=BG$3),", "&amp;Projects!$A$12,"")&amp;IF(AND(Projects!$G$13="Yes",Projects!$C$13=BG$3),", "&amp;Projects!$A$13,"")&amp;IF(AND(Projects!$G$14="Yes",Projects!$C$14=BG$3),", "&amp;Projects!$A$14,"")&amp;IF(AND(Projects!$G$15="Yes",Projects!$C$15=BG$3),", "&amp;Projects!$A$15,"")&amp;IF(AND(Projects!$G$16="Yes",Projects!$C$16=BG$3),", "&amp;Projects!$A$16,"")&amp;IF(AND(Projects!$G$17="Yes",Projects!$C$17=BG$3),", "&amp;Projects!$A$17,"")&amp;IF(AND(Projects!$G$18="Yes",Projects!$C$18=BG$3),", "&amp;Projects!$A$18,"")&amp;IF(AND(Projects!$G$19="Yes",Projects!$C$19=BG$3),", "&amp;Projects!$A$19,"")&amp;IF(AND(Projects!$G$20="Yes",Projects!$C$20=BG$3),", "&amp;Projects!$A$20,"")&amp;IF(AND(Projects!$G$21="Yes",Projects!$C$21=BG$3),", "&amp;Projects!$A$21,"")&amp;IF(AND(Projects!$G$22="Yes",Projects!$C$22=BG$3),", "&amp;Projects!$A$22,"")&amp;IF(AND(Projects!$G$23="Yes",Projects!$C$23=BG$3),", "&amp;Projects!$A$23,"")&amp;IF(AND(Projects!$G$24="Yes",Projects!$C$24=BG$3),", "&amp;Projects!$A$24,"")&amp;IF(AND(Projects!$G$25="Yes",Projects!$C$25=BG$3),", "&amp;Projects!$A$25,"")&amp;IF(AND(Projects!$G$26="Yes",Projects!$C$26=BG$3),", "&amp;Projects!$A$26,"")&amp;IF(AND(Projects!$G$27="Yes",Projects!$C$27=BG$3),", "&amp;Projects!$A$27,"")&amp;IF(AND(Projects!$G$28="Yes",Projects!$C$28=BG$3),", "&amp;Projects!$A$28,"")&amp;IF(AND(Projects!$G$29="Yes",Projects!$C$29=BG$3),", "&amp;Projects!$A$29,"")&amp;IF(AND(Projects!$G$30="Yes",Projects!$C$30=BG$3),", "&amp;Projects!$A$30,"")&amp;IF(AND(Projects!$G$31="Yes",Projects!$C$31=BG$3),", "&amp;Projects!$A$31,"")&amp;IF(AND(Projects!$G$32="Yes",Projects!$C$32=BG$3),", "&amp;Projects!$A$32,"")&amp;IF(AND(Projects!$G$33="Yes",Projects!$C$33=BG$3),", "&amp;Projects!$A$33,"")&amp;IF(AND(Projects!$G$34="Yes",Projects!$C$34=BG$3),", "&amp;Projects!$A$34,"")&amp;IF(AND(Projects!$G$35="Yes",Projects!$C$35=BG$3),", "&amp;Projects!$A$35,"")&amp;IF(AND(Projects!$G$36="Yes",Projects!$C$36=BG$3),", "&amp;Projects!$A$36,"")&amp;IF(AND(Projects!$G$37="Yes",Projects!$C$37=BG$3),", "&amp;Projects!$A$37,"")&amp;IF(AND(Projects!$G$38="Yes",Projects!$C$38=BG$3),", "&amp;Projects!$A$38,"")&amp;IF(AND(Projects!$G$39="Yes",Projects!$C$39=BG$3),", "&amp;Projects!$A$39,"")&amp;IF(AND(Projects!$G$40="Yes",Projects!$C$40=BG$3),", "&amp;Projects!$A$40,"")&amp;IF(AND(Projects!$G$41="Yes",Projects!$C$41=BG$3),", "&amp;Projects!$A$41,"")&amp;IF(AND(Projects!$G$42="Yes",Projects!$C$42=BG$3),", "&amp;Projects!$A$42,"")&amp;IF(AND(Projects!$G$43="Yes",Projects!$C$43=BG$3),", "&amp;Projects!$A$43,"")&amp;IF(AND(Projects!$G$44="Yes",Projects!$C$44=BG$3),", "&amp;Projects!$A$44,"")&amp;IF(AND(Projects!$G$45="Yes",Projects!$C$45=BG$3),", "&amp;Projects!$A$45,"")&amp;IF(AND(Projects!$G$46="Yes",Projects!$C$46=BG$3),", "&amp;Projects!$A$46,""),3,10000)</f>
        <v/>
      </c>
      <c r="BH6" s="396">
        <f>MID(IF(AND(Projects!$G$2="Yes",Projects!$C$2=BH$3),", "&amp;Projects!$A$2,"")&amp;IF(AND(Projects!$G$3="Yes",Projects!$C$3=BH$3),", "&amp;Projects!$A$3,"")&amp;IF(AND(Projects!$G$4="Yes",Projects!$C$4=BH$3),", "&amp;Projects!$A$4,"")&amp;IF(AND(Projects!$G$5="Yes",Projects!$C$5=BH$3),", "&amp;Projects!$A$5,"")&amp;IF(AND(Projects!$G$6="Yes",Projects!$C$6=BH$3),", "&amp;Projects!$A$6,"")&amp;IF(AND(Projects!$G$7="Yes",Projects!$C$7=BH$3),", "&amp;Projects!$A$7,"")&amp;IF(AND(Projects!$G$8="Yes",Projects!$C$8=BH$3),", "&amp;Projects!$A$8,"")&amp;IF(AND(Projects!$G$9="Yes",Projects!$C$9=BH$3),", "&amp;Projects!$A$9,"")&amp;IF(AND(Projects!$G$10="Yes",Projects!$C$10=BH$3),", "&amp;Projects!$A$10,"")&amp;IF(AND(Projects!$G$11="Yes",Projects!$C$11=BH$3),", "&amp;Projects!$A$11,"")&amp;IF(AND(Projects!$G$12="Yes",Projects!$C$12=BH$3),", "&amp;Projects!$A$12,"")&amp;IF(AND(Projects!$G$13="Yes",Projects!$C$13=BH$3),", "&amp;Projects!$A$13,"")&amp;IF(AND(Projects!$G$14="Yes",Projects!$C$14=BH$3),", "&amp;Projects!$A$14,"")&amp;IF(AND(Projects!$G$15="Yes",Projects!$C$15=BH$3),", "&amp;Projects!$A$15,"")&amp;IF(AND(Projects!$G$16="Yes",Projects!$C$16=BH$3),", "&amp;Projects!$A$16,"")&amp;IF(AND(Projects!$G$17="Yes",Projects!$C$17=BH$3),", "&amp;Projects!$A$17,"")&amp;IF(AND(Projects!$G$18="Yes",Projects!$C$18=BH$3),", "&amp;Projects!$A$18,"")&amp;IF(AND(Projects!$G$19="Yes",Projects!$C$19=BH$3),", "&amp;Projects!$A$19,"")&amp;IF(AND(Projects!$G$20="Yes",Projects!$C$20=BH$3),", "&amp;Projects!$A$20,"")&amp;IF(AND(Projects!$G$21="Yes",Projects!$C$21=BH$3),", "&amp;Projects!$A$21,"")&amp;IF(AND(Projects!$G$22="Yes",Projects!$C$22=BH$3),", "&amp;Projects!$A$22,"")&amp;IF(AND(Projects!$G$23="Yes",Projects!$C$23=BH$3),", "&amp;Projects!$A$23,"")&amp;IF(AND(Projects!$G$24="Yes",Projects!$C$24=BH$3),", "&amp;Projects!$A$24,"")&amp;IF(AND(Projects!$G$25="Yes",Projects!$C$25=BH$3),", "&amp;Projects!$A$25,"")&amp;IF(AND(Projects!$G$26="Yes",Projects!$C$26=BH$3),", "&amp;Projects!$A$26,"")&amp;IF(AND(Projects!$G$27="Yes",Projects!$C$27=BH$3),", "&amp;Projects!$A$27,"")&amp;IF(AND(Projects!$G$28="Yes",Projects!$C$28=BH$3),", "&amp;Projects!$A$28,"")&amp;IF(AND(Projects!$G$29="Yes",Projects!$C$29=BH$3),", "&amp;Projects!$A$29,"")&amp;IF(AND(Projects!$G$30="Yes",Projects!$C$30=BH$3),", "&amp;Projects!$A$30,"")&amp;IF(AND(Projects!$G$31="Yes",Projects!$C$31=BH$3),", "&amp;Projects!$A$31,"")&amp;IF(AND(Projects!$G$32="Yes",Projects!$C$32=BH$3),", "&amp;Projects!$A$32,"")&amp;IF(AND(Projects!$G$33="Yes",Projects!$C$33=BH$3),", "&amp;Projects!$A$33,"")&amp;IF(AND(Projects!$G$34="Yes",Projects!$C$34=BH$3),", "&amp;Projects!$A$34,"")&amp;IF(AND(Projects!$G$35="Yes",Projects!$C$35=BH$3),", "&amp;Projects!$A$35,"")&amp;IF(AND(Projects!$G$36="Yes",Projects!$C$36=BH$3),", "&amp;Projects!$A$36,"")&amp;IF(AND(Projects!$G$37="Yes",Projects!$C$37=BH$3),", "&amp;Projects!$A$37,"")&amp;IF(AND(Projects!$G$38="Yes",Projects!$C$38=BH$3),", "&amp;Projects!$A$38,"")&amp;IF(AND(Projects!$G$39="Yes",Projects!$C$39=BH$3),", "&amp;Projects!$A$39,"")&amp;IF(AND(Projects!$G$40="Yes",Projects!$C$40=BH$3),", "&amp;Projects!$A$40,"")&amp;IF(AND(Projects!$G$41="Yes",Projects!$C$41=BH$3),", "&amp;Projects!$A$41,"")&amp;IF(AND(Projects!$G$42="Yes",Projects!$C$42=BH$3),", "&amp;Projects!$A$42,"")&amp;IF(AND(Projects!$G$43="Yes",Projects!$C$43=BH$3),", "&amp;Projects!$A$43,"")&amp;IF(AND(Projects!$G$44="Yes",Projects!$C$44=BH$3),", "&amp;Projects!$A$44,"")&amp;IF(AND(Projects!$G$45="Yes",Projects!$C$45=BH$3),", "&amp;Projects!$A$45,"")&amp;IF(AND(Projects!$G$46="Yes",Projects!$C$46=BH$3),", "&amp;Projects!$A$46,""),3,10000)</f>
        <v/>
      </c>
      <c r="BI6" s="396">
        <f>MID(IF(AND(Projects!$G$2="Yes",Projects!$C$2=BI$3),", "&amp;Projects!$A$2,"")&amp;IF(AND(Projects!$G$3="Yes",Projects!$C$3=BI$3),", "&amp;Projects!$A$3,"")&amp;IF(AND(Projects!$G$4="Yes",Projects!$C$4=BI$3),", "&amp;Projects!$A$4,"")&amp;IF(AND(Projects!$G$5="Yes",Projects!$C$5=BI$3),", "&amp;Projects!$A$5,"")&amp;IF(AND(Projects!$G$6="Yes",Projects!$C$6=BI$3),", "&amp;Projects!$A$6,"")&amp;IF(AND(Projects!$G$7="Yes",Projects!$C$7=BI$3),", "&amp;Projects!$A$7,"")&amp;IF(AND(Projects!$G$8="Yes",Projects!$C$8=BI$3),", "&amp;Projects!$A$8,"")&amp;IF(AND(Projects!$G$9="Yes",Projects!$C$9=BI$3),", "&amp;Projects!$A$9,"")&amp;IF(AND(Projects!$G$10="Yes",Projects!$C$10=BI$3),", "&amp;Projects!$A$10,"")&amp;IF(AND(Projects!$G$11="Yes",Projects!$C$11=BI$3),", "&amp;Projects!$A$11,"")&amp;IF(AND(Projects!$G$12="Yes",Projects!$C$12=BI$3),", "&amp;Projects!$A$12,"")&amp;IF(AND(Projects!$G$13="Yes",Projects!$C$13=BI$3),", "&amp;Projects!$A$13,"")&amp;IF(AND(Projects!$G$14="Yes",Projects!$C$14=BI$3),", "&amp;Projects!$A$14,"")&amp;IF(AND(Projects!$G$15="Yes",Projects!$C$15=BI$3),", "&amp;Projects!$A$15,"")&amp;IF(AND(Projects!$G$16="Yes",Projects!$C$16=BI$3),", "&amp;Projects!$A$16,"")&amp;IF(AND(Projects!$G$17="Yes",Projects!$C$17=BI$3),", "&amp;Projects!$A$17,"")&amp;IF(AND(Projects!$G$18="Yes",Projects!$C$18=BI$3),", "&amp;Projects!$A$18,"")&amp;IF(AND(Projects!$G$19="Yes",Projects!$C$19=BI$3),", "&amp;Projects!$A$19,"")&amp;IF(AND(Projects!$G$20="Yes",Projects!$C$20=BI$3),", "&amp;Projects!$A$20,"")&amp;IF(AND(Projects!$G$21="Yes",Projects!$C$21=BI$3),", "&amp;Projects!$A$21,"")&amp;IF(AND(Projects!$G$22="Yes",Projects!$C$22=BI$3),", "&amp;Projects!$A$22,"")&amp;IF(AND(Projects!$G$23="Yes",Projects!$C$23=BI$3),", "&amp;Projects!$A$23,"")&amp;IF(AND(Projects!$G$24="Yes",Projects!$C$24=BI$3),", "&amp;Projects!$A$24,"")&amp;IF(AND(Projects!$G$25="Yes",Projects!$C$25=BI$3),", "&amp;Projects!$A$25,"")&amp;IF(AND(Projects!$G$26="Yes",Projects!$C$26=BI$3),", "&amp;Projects!$A$26,"")&amp;IF(AND(Projects!$G$27="Yes",Projects!$C$27=BI$3),", "&amp;Projects!$A$27,"")&amp;IF(AND(Projects!$G$28="Yes",Projects!$C$28=BI$3),", "&amp;Projects!$A$28,"")&amp;IF(AND(Projects!$G$29="Yes",Projects!$C$29=BI$3),", "&amp;Projects!$A$29,"")&amp;IF(AND(Projects!$G$30="Yes",Projects!$C$30=BI$3),", "&amp;Projects!$A$30,"")&amp;IF(AND(Projects!$G$31="Yes",Projects!$C$31=BI$3),", "&amp;Projects!$A$31,"")&amp;IF(AND(Projects!$G$32="Yes",Projects!$C$32=BI$3),", "&amp;Projects!$A$32,"")&amp;IF(AND(Projects!$G$33="Yes",Projects!$C$33=BI$3),", "&amp;Projects!$A$33,"")&amp;IF(AND(Projects!$G$34="Yes",Projects!$C$34=BI$3),", "&amp;Projects!$A$34,"")&amp;IF(AND(Projects!$G$35="Yes",Projects!$C$35=BI$3),", "&amp;Projects!$A$35,"")&amp;IF(AND(Projects!$G$36="Yes",Projects!$C$36=BI$3),", "&amp;Projects!$A$36,"")&amp;IF(AND(Projects!$G$37="Yes",Projects!$C$37=BI$3),", "&amp;Projects!$A$37,"")&amp;IF(AND(Projects!$G$38="Yes",Projects!$C$38=BI$3),", "&amp;Projects!$A$38,"")&amp;IF(AND(Projects!$G$39="Yes",Projects!$C$39=BI$3),", "&amp;Projects!$A$39,"")&amp;IF(AND(Projects!$G$40="Yes",Projects!$C$40=BI$3),", "&amp;Projects!$A$40,"")&amp;IF(AND(Projects!$G$41="Yes",Projects!$C$41=BI$3),", "&amp;Projects!$A$41,"")&amp;IF(AND(Projects!$G$42="Yes",Projects!$C$42=BI$3),", "&amp;Projects!$A$42,"")&amp;IF(AND(Projects!$G$43="Yes",Projects!$C$43=BI$3),", "&amp;Projects!$A$43,"")&amp;IF(AND(Projects!$G$44="Yes",Projects!$C$44=BI$3),", "&amp;Projects!$A$44,"")&amp;IF(AND(Projects!$G$45="Yes",Projects!$C$45=BI$3),", "&amp;Projects!$A$45,"")&amp;IF(AND(Projects!$G$46="Yes",Projects!$C$46=BI$3),", "&amp;Projects!$A$46,""),3,10000)</f>
        <v/>
      </c>
      <c r="BJ6" s="396">
        <f>MID(IF(AND(Projects!$G$2="Yes",Projects!$C$2=BJ$3),", "&amp;Projects!$A$2,"")&amp;IF(AND(Projects!$G$3="Yes",Projects!$C$3=BJ$3),", "&amp;Projects!$A$3,"")&amp;IF(AND(Projects!$G$4="Yes",Projects!$C$4=BJ$3),", "&amp;Projects!$A$4,"")&amp;IF(AND(Projects!$G$5="Yes",Projects!$C$5=BJ$3),", "&amp;Projects!$A$5,"")&amp;IF(AND(Projects!$G$6="Yes",Projects!$C$6=BJ$3),", "&amp;Projects!$A$6,"")&amp;IF(AND(Projects!$G$7="Yes",Projects!$C$7=BJ$3),", "&amp;Projects!$A$7,"")&amp;IF(AND(Projects!$G$8="Yes",Projects!$C$8=BJ$3),", "&amp;Projects!$A$8,"")&amp;IF(AND(Projects!$G$9="Yes",Projects!$C$9=BJ$3),", "&amp;Projects!$A$9,"")&amp;IF(AND(Projects!$G$10="Yes",Projects!$C$10=BJ$3),", "&amp;Projects!$A$10,"")&amp;IF(AND(Projects!$G$11="Yes",Projects!$C$11=BJ$3),", "&amp;Projects!$A$11,"")&amp;IF(AND(Projects!$G$12="Yes",Projects!$C$12=BJ$3),", "&amp;Projects!$A$12,"")&amp;IF(AND(Projects!$G$13="Yes",Projects!$C$13=BJ$3),", "&amp;Projects!$A$13,"")&amp;IF(AND(Projects!$G$14="Yes",Projects!$C$14=BJ$3),", "&amp;Projects!$A$14,"")&amp;IF(AND(Projects!$G$15="Yes",Projects!$C$15=BJ$3),", "&amp;Projects!$A$15,"")&amp;IF(AND(Projects!$G$16="Yes",Projects!$C$16=BJ$3),", "&amp;Projects!$A$16,"")&amp;IF(AND(Projects!$G$17="Yes",Projects!$C$17=BJ$3),", "&amp;Projects!$A$17,"")&amp;IF(AND(Projects!$G$18="Yes",Projects!$C$18=BJ$3),", "&amp;Projects!$A$18,"")&amp;IF(AND(Projects!$G$19="Yes",Projects!$C$19=BJ$3),", "&amp;Projects!$A$19,"")&amp;IF(AND(Projects!$G$20="Yes",Projects!$C$20=BJ$3),", "&amp;Projects!$A$20,"")&amp;IF(AND(Projects!$G$21="Yes",Projects!$C$21=BJ$3),", "&amp;Projects!$A$21,"")&amp;IF(AND(Projects!$G$22="Yes",Projects!$C$22=BJ$3),", "&amp;Projects!$A$22,"")&amp;IF(AND(Projects!$G$23="Yes",Projects!$C$23=BJ$3),", "&amp;Projects!$A$23,"")&amp;IF(AND(Projects!$G$24="Yes",Projects!$C$24=BJ$3),", "&amp;Projects!$A$24,"")&amp;IF(AND(Projects!$G$25="Yes",Projects!$C$25=BJ$3),", "&amp;Projects!$A$25,"")&amp;IF(AND(Projects!$G$26="Yes",Projects!$C$26=BJ$3),", "&amp;Projects!$A$26,"")&amp;IF(AND(Projects!$G$27="Yes",Projects!$C$27=BJ$3),", "&amp;Projects!$A$27,"")&amp;IF(AND(Projects!$G$28="Yes",Projects!$C$28=BJ$3),", "&amp;Projects!$A$28,"")&amp;IF(AND(Projects!$G$29="Yes",Projects!$C$29=BJ$3),", "&amp;Projects!$A$29,"")&amp;IF(AND(Projects!$G$30="Yes",Projects!$C$30=BJ$3),", "&amp;Projects!$A$30,"")&amp;IF(AND(Projects!$G$31="Yes",Projects!$C$31=BJ$3),", "&amp;Projects!$A$31,"")&amp;IF(AND(Projects!$G$32="Yes",Projects!$C$32=BJ$3),", "&amp;Projects!$A$32,"")&amp;IF(AND(Projects!$G$33="Yes",Projects!$C$33=BJ$3),", "&amp;Projects!$A$33,"")&amp;IF(AND(Projects!$G$34="Yes",Projects!$C$34=BJ$3),", "&amp;Projects!$A$34,"")&amp;IF(AND(Projects!$G$35="Yes",Projects!$C$35=BJ$3),", "&amp;Projects!$A$35,"")&amp;IF(AND(Projects!$G$36="Yes",Projects!$C$36=BJ$3),", "&amp;Projects!$A$36,"")&amp;IF(AND(Projects!$G$37="Yes",Projects!$C$37=BJ$3),", "&amp;Projects!$A$37,"")&amp;IF(AND(Projects!$G$38="Yes",Projects!$C$38=BJ$3),", "&amp;Projects!$A$38,"")&amp;IF(AND(Projects!$G$39="Yes",Projects!$C$39=BJ$3),", "&amp;Projects!$A$39,"")&amp;IF(AND(Projects!$G$40="Yes",Projects!$C$40=BJ$3),", "&amp;Projects!$A$40,"")&amp;IF(AND(Projects!$G$41="Yes",Projects!$C$41=BJ$3),", "&amp;Projects!$A$41,"")&amp;IF(AND(Projects!$G$42="Yes",Projects!$C$42=BJ$3),", "&amp;Projects!$A$42,"")&amp;IF(AND(Projects!$G$43="Yes",Projects!$C$43=BJ$3),", "&amp;Projects!$A$43,"")&amp;IF(AND(Projects!$G$44="Yes",Projects!$C$44=BJ$3),", "&amp;Projects!$A$44,"")&amp;IF(AND(Projects!$G$45="Yes",Projects!$C$45=BJ$3),", "&amp;Projects!$A$45,"")&amp;IF(AND(Projects!$G$46="Yes",Projects!$C$46=BJ$3),", "&amp;Projects!$A$46,""),3,10000)</f>
        <v/>
      </c>
      <c r="BK6" s="396">
        <f>MID(IF(AND(Projects!$G$2="Yes",Projects!$C$2=BK$3),", "&amp;Projects!$A$2,"")&amp;IF(AND(Projects!$G$3="Yes",Projects!$C$3=BK$3),", "&amp;Projects!$A$3,"")&amp;IF(AND(Projects!$G$4="Yes",Projects!$C$4=BK$3),", "&amp;Projects!$A$4,"")&amp;IF(AND(Projects!$G$5="Yes",Projects!$C$5=BK$3),", "&amp;Projects!$A$5,"")&amp;IF(AND(Projects!$G$6="Yes",Projects!$C$6=BK$3),", "&amp;Projects!$A$6,"")&amp;IF(AND(Projects!$G$7="Yes",Projects!$C$7=BK$3),", "&amp;Projects!$A$7,"")&amp;IF(AND(Projects!$G$8="Yes",Projects!$C$8=BK$3),", "&amp;Projects!$A$8,"")&amp;IF(AND(Projects!$G$9="Yes",Projects!$C$9=BK$3),", "&amp;Projects!$A$9,"")&amp;IF(AND(Projects!$G$10="Yes",Projects!$C$10=BK$3),", "&amp;Projects!$A$10,"")&amp;IF(AND(Projects!$G$11="Yes",Projects!$C$11=BK$3),", "&amp;Projects!$A$11,"")&amp;IF(AND(Projects!$G$12="Yes",Projects!$C$12=BK$3),", "&amp;Projects!$A$12,"")&amp;IF(AND(Projects!$G$13="Yes",Projects!$C$13=BK$3),", "&amp;Projects!$A$13,"")&amp;IF(AND(Projects!$G$14="Yes",Projects!$C$14=BK$3),", "&amp;Projects!$A$14,"")&amp;IF(AND(Projects!$G$15="Yes",Projects!$C$15=BK$3),", "&amp;Projects!$A$15,"")&amp;IF(AND(Projects!$G$16="Yes",Projects!$C$16=BK$3),", "&amp;Projects!$A$16,"")&amp;IF(AND(Projects!$G$17="Yes",Projects!$C$17=BK$3),", "&amp;Projects!$A$17,"")&amp;IF(AND(Projects!$G$18="Yes",Projects!$C$18=BK$3),", "&amp;Projects!$A$18,"")&amp;IF(AND(Projects!$G$19="Yes",Projects!$C$19=BK$3),", "&amp;Projects!$A$19,"")&amp;IF(AND(Projects!$G$20="Yes",Projects!$C$20=BK$3),", "&amp;Projects!$A$20,"")&amp;IF(AND(Projects!$G$21="Yes",Projects!$C$21=BK$3),", "&amp;Projects!$A$21,"")&amp;IF(AND(Projects!$G$22="Yes",Projects!$C$22=BK$3),", "&amp;Projects!$A$22,"")&amp;IF(AND(Projects!$G$23="Yes",Projects!$C$23=BK$3),", "&amp;Projects!$A$23,"")&amp;IF(AND(Projects!$G$24="Yes",Projects!$C$24=BK$3),", "&amp;Projects!$A$24,"")&amp;IF(AND(Projects!$G$25="Yes",Projects!$C$25=BK$3),", "&amp;Projects!$A$25,"")&amp;IF(AND(Projects!$G$26="Yes",Projects!$C$26=BK$3),", "&amp;Projects!$A$26,"")&amp;IF(AND(Projects!$G$27="Yes",Projects!$C$27=BK$3),", "&amp;Projects!$A$27,"")&amp;IF(AND(Projects!$G$28="Yes",Projects!$C$28=BK$3),", "&amp;Projects!$A$28,"")&amp;IF(AND(Projects!$G$29="Yes",Projects!$C$29=BK$3),", "&amp;Projects!$A$29,"")&amp;IF(AND(Projects!$G$30="Yes",Projects!$C$30=BK$3),", "&amp;Projects!$A$30,"")&amp;IF(AND(Projects!$G$31="Yes",Projects!$C$31=BK$3),", "&amp;Projects!$A$31,"")&amp;IF(AND(Projects!$G$32="Yes",Projects!$C$32=BK$3),", "&amp;Projects!$A$32,"")&amp;IF(AND(Projects!$G$33="Yes",Projects!$C$33=BK$3),", "&amp;Projects!$A$33,"")&amp;IF(AND(Projects!$G$34="Yes",Projects!$C$34=BK$3),", "&amp;Projects!$A$34,"")&amp;IF(AND(Projects!$G$35="Yes",Projects!$C$35=BK$3),", "&amp;Projects!$A$35,"")&amp;IF(AND(Projects!$G$36="Yes",Projects!$C$36=BK$3),", "&amp;Projects!$A$36,"")&amp;IF(AND(Projects!$G$37="Yes",Projects!$C$37=BK$3),", "&amp;Projects!$A$37,"")&amp;IF(AND(Projects!$G$38="Yes",Projects!$C$38=BK$3),", "&amp;Projects!$A$38,"")&amp;IF(AND(Projects!$G$39="Yes",Projects!$C$39=BK$3),", "&amp;Projects!$A$39,"")&amp;IF(AND(Projects!$G$40="Yes",Projects!$C$40=BK$3),", "&amp;Projects!$A$40,"")&amp;IF(AND(Projects!$G$41="Yes",Projects!$C$41=BK$3),", "&amp;Projects!$A$41,"")&amp;IF(AND(Projects!$G$42="Yes",Projects!$C$42=BK$3),", "&amp;Projects!$A$42,"")&amp;IF(AND(Projects!$G$43="Yes",Projects!$C$43=BK$3),", "&amp;Projects!$A$43,"")&amp;IF(AND(Projects!$G$44="Yes",Projects!$C$44=BK$3),", "&amp;Projects!$A$44,"")&amp;IF(AND(Projects!$G$45="Yes",Projects!$C$45=BK$3),", "&amp;Projects!$A$45,"")&amp;IF(AND(Projects!$G$46="Yes",Projects!$C$46=BK$3),", "&amp;Projects!$A$46,""),3,10000)</f>
        <v/>
      </c>
      <c r="BL6" s="396">
        <f>MID(IF(AND(Projects!$G$2="Yes",Projects!$C$2=BL$3),", "&amp;Projects!$A$2,"")&amp;IF(AND(Projects!$G$3="Yes",Projects!$C$3=BL$3),", "&amp;Projects!$A$3,"")&amp;IF(AND(Projects!$G$4="Yes",Projects!$C$4=BL$3),", "&amp;Projects!$A$4,"")&amp;IF(AND(Projects!$G$5="Yes",Projects!$C$5=BL$3),", "&amp;Projects!$A$5,"")&amp;IF(AND(Projects!$G$6="Yes",Projects!$C$6=BL$3),", "&amp;Projects!$A$6,"")&amp;IF(AND(Projects!$G$7="Yes",Projects!$C$7=BL$3),", "&amp;Projects!$A$7,"")&amp;IF(AND(Projects!$G$8="Yes",Projects!$C$8=BL$3),", "&amp;Projects!$A$8,"")&amp;IF(AND(Projects!$G$9="Yes",Projects!$C$9=BL$3),", "&amp;Projects!$A$9,"")&amp;IF(AND(Projects!$G$10="Yes",Projects!$C$10=BL$3),", "&amp;Projects!$A$10,"")&amp;IF(AND(Projects!$G$11="Yes",Projects!$C$11=BL$3),", "&amp;Projects!$A$11,"")&amp;IF(AND(Projects!$G$12="Yes",Projects!$C$12=BL$3),", "&amp;Projects!$A$12,"")&amp;IF(AND(Projects!$G$13="Yes",Projects!$C$13=BL$3),", "&amp;Projects!$A$13,"")&amp;IF(AND(Projects!$G$14="Yes",Projects!$C$14=BL$3),", "&amp;Projects!$A$14,"")&amp;IF(AND(Projects!$G$15="Yes",Projects!$C$15=BL$3),", "&amp;Projects!$A$15,"")&amp;IF(AND(Projects!$G$16="Yes",Projects!$C$16=BL$3),", "&amp;Projects!$A$16,"")&amp;IF(AND(Projects!$G$17="Yes",Projects!$C$17=BL$3),", "&amp;Projects!$A$17,"")&amp;IF(AND(Projects!$G$18="Yes",Projects!$C$18=BL$3),", "&amp;Projects!$A$18,"")&amp;IF(AND(Projects!$G$19="Yes",Projects!$C$19=BL$3),", "&amp;Projects!$A$19,"")&amp;IF(AND(Projects!$G$20="Yes",Projects!$C$20=BL$3),", "&amp;Projects!$A$20,"")&amp;IF(AND(Projects!$G$21="Yes",Projects!$C$21=BL$3),", "&amp;Projects!$A$21,"")&amp;IF(AND(Projects!$G$22="Yes",Projects!$C$22=BL$3),", "&amp;Projects!$A$22,"")&amp;IF(AND(Projects!$G$23="Yes",Projects!$C$23=BL$3),", "&amp;Projects!$A$23,"")&amp;IF(AND(Projects!$G$24="Yes",Projects!$C$24=BL$3),", "&amp;Projects!$A$24,"")&amp;IF(AND(Projects!$G$25="Yes",Projects!$C$25=BL$3),", "&amp;Projects!$A$25,"")&amp;IF(AND(Projects!$G$26="Yes",Projects!$C$26=BL$3),", "&amp;Projects!$A$26,"")&amp;IF(AND(Projects!$G$27="Yes",Projects!$C$27=BL$3),", "&amp;Projects!$A$27,"")&amp;IF(AND(Projects!$G$28="Yes",Projects!$C$28=BL$3),", "&amp;Projects!$A$28,"")&amp;IF(AND(Projects!$G$29="Yes",Projects!$C$29=BL$3),", "&amp;Projects!$A$29,"")&amp;IF(AND(Projects!$G$30="Yes",Projects!$C$30=BL$3),", "&amp;Projects!$A$30,"")&amp;IF(AND(Projects!$G$31="Yes",Projects!$C$31=BL$3),", "&amp;Projects!$A$31,"")&amp;IF(AND(Projects!$G$32="Yes",Projects!$C$32=BL$3),", "&amp;Projects!$A$32,"")&amp;IF(AND(Projects!$G$33="Yes",Projects!$C$33=BL$3),", "&amp;Projects!$A$33,"")&amp;IF(AND(Projects!$G$34="Yes",Projects!$C$34=BL$3),", "&amp;Projects!$A$34,"")&amp;IF(AND(Projects!$G$35="Yes",Projects!$C$35=BL$3),", "&amp;Projects!$A$35,"")&amp;IF(AND(Projects!$G$36="Yes",Projects!$C$36=BL$3),", "&amp;Projects!$A$36,"")&amp;IF(AND(Projects!$G$37="Yes",Projects!$C$37=BL$3),", "&amp;Projects!$A$37,"")&amp;IF(AND(Projects!$G$38="Yes",Projects!$C$38=BL$3),", "&amp;Projects!$A$38,"")&amp;IF(AND(Projects!$G$39="Yes",Projects!$C$39=BL$3),", "&amp;Projects!$A$39,"")&amp;IF(AND(Projects!$G$40="Yes",Projects!$C$40=BL$3),", "&amp;Projects!$A$40,"")&amp;IF(AND(Projects!$G$41="Yes",Projects!$C$41=BL$3),", "&amp;Projects!$A$41,"")&amp;IF(AND(Projects!$G$42="Yes",Projects!$C$42=BL$3),", "&amp;Projects!$A$42,"")&amp;IF(AND(Projects!$G$43="Yes",Projects!$C$43=BL$3),", "&amp;Projects!$A$43,"")&amp;IF(AND(Projects!$G$44="Yes",Projects!$C$44=BL$3),", "&amp;Projects!$A$44,"")&amp;IF(AND(Projects!$G$45="Yes",Projects!$C$45=BL$3),", "&amp;Projects!$A$45,"")&amp;IF(AND(Projects!$G$46="Yes",Projects!$C$46=BL$3),", "&amp;Projects!$A$46,""),3,10000)</f>
        <v/>
      </c>
      <c r="BM6" s="396">
        <f>MID(IF(AND(Projects!$G$2="Yes",Projects!$C$2=BM$3),", "&amp;Projects!$A$2,"")&amp;IF(AND(Projects!$G$3="Yes",Projects!$C$3=BM$3),", "&amp;Projects!$A$3,"")&amp;IF(AND(Projects!$G$4="Yes",Projects!$C$4=BM$3),", "&amp;Projects!$A$4,"")&amp;IF(AND(Projects!$G$5="Yes",Projects!$C$5=BM$3),", "&amp;Projects!$A$5,"")&amp;IF(AND(Projects!$G$6="Yes",Projects!$C$6=BM$3),", "&amp;Projects!$A$6,"")&amp;IF(AND(Projects!$G$7="Yes",Projects!$C$7=BM$3),", "&amp;Projects!$A$7,"")&amp;IF(AND(Projects!$G$8="Yes",Projects!$C$8=BM$3),", "&amp;Projects!$A$8,"")&amp;IF(AND(Projects!$G$9="Yes",Projects!$C$9=BM$3),", "&amp;Projects!$A$9,"")&amp;IF(AND(Projects!$G$10="Yes",Projects!$C$10=BM$3),", "&amp;Projects!$A$10,"")&amp;IF(AND(Projects!$G$11="Yes",Projects!$C$11=BM$3),", "&amp;Projects!$A$11,"")&amp;IF(AND(Projects!$G$12="Yes",Projects!$C$12=BM$3),", "&amp;Projects!$A$12,"")&amp;IF(AND(Projects!$G$13="Yes",Projects!$C$13=BM$3),", "&amp;Projects!$A$13,"")&amp;IF(AND(Projects!$G$14="Yes",Projects!$C$14=BM$3),", "&amp;Projects!$A$14,"")&amp;IF(AND(Projects!$G$15="Yes",Projects!$C$15=BM$3),", "&amp;Projects!$A$15,"")&amp;IF(AND(Projects!$G$16="Yes",Projects!$C$16=BM$3),", "&amp;Projects!$A$16,"")&amp;IF(AND(Projects!$G$17="Yes",Projects!$C$17=BM$3),", "&amp;Projects!$A$17,"")&amp;IF(AND(Projects!$G$18="Yes",Projects!$C$18=BM$3),", "&amp;Projects!$A$18,"")&amp;IF(AND(Projects!$G$19="Yes",Projects!$C$19=BM$3),", "&amp;Projects!$A$19,"")&amp;IF(AND(Projects!$G$20="Yes",Projects!$C$20=BM$3),", "&amp;Projects!$A$20,"")&amp;IF(AND(Projects!$G$21="Yes",Projects!$C$21=BM$3),", "&amp;Projects!$A$21,"")&amp;IF(AND(Projects!$G$22="Yes",Projects!$C$22=BM$3),", "&amp;Projects!$A$22,"")&amp;IF(AND(Projects!$G$23="Yes",Projects!$C$23=BM$3),", "&amp;Projects!$A$23,"")&amp;IF(AND(Projects!$G$24="Yes",Projects!$C$24=BM$3),", "&amp;Projects!$A$24,"")&amp;IF(AND(Projects!$G$25="Yes",Projects!$C$25=BM$3),", "&amp;Projects!$A$25,"")&amp;IF(AND(Projects!$G$26="Yes",Projects!$C$26=BM$3),", "&amp;Projects!$A$26,"")&amp;IF(AND(Projects!$G$27="Yes",Projects!$C$27=BM$3),", "&amp;Projects!$A$27,"")&amp;IF(AND(Projects!$G$28="Yes",Projects!$C$28=BM$3),", "&amp;Projects!$A$28,"")&amp;IF(AND(Projects!$G$29="Yes",Projects!$C$29=BM$3),", "&amp;Projects!$A$29,"")&amp;IF(AND(Projects!$G$30="Yes",Projects!$C$30=BM$3),", "&amp;Projects!$A$30,"")&amp;IF(AND(Projects!$G$31="Yes",Projects!$C$31=BM$3),", "&amp;Projects!$A$31,"")&amp;IF(AND(Projects!$G$32="Yes",Projects!$C$32=BM$3),", "&amp;Projects!$A$32,"")&amp;IF(AND(Projects!$G$33="Yes",Projects!$C$33=BM$3),", "&amp;Projects!$A$33,"")&amp;IF(AND(Projects!$G$34="Yes",Projects!$C$34=BM$3),", "&amp;Projects!$A$34,"")&amp;IF(AND(Projects!$G$35="Yes",Projects!$C$35=BM$3),", "&amp;Projects!$A$35,"")&amp;IF(AND(Projects!$G$36="Yes",Projects!$C$36=BM$3),", "&amp;Projects!$A$36,"")&amp;IF(AND(Projects!$G$37="Yes",Projects!$C$37=BM$3),", "&amp;Projects!$A$37,"")&amp;IF(AND(Projects!$G$38="Yes",Projects!$C$38=BM$3),", "&amp;Projects!$A$38,"")&amp;IF(AND(Projects!$G$39="Yes",Projects!$C$39=BM$3),", "&amp;Projects!$A$39,"")&amp;IF(AND(Projects!$G$40="Yes",Projects!$C$40=BM$3),", "&amp;Projects!$A$40,"")&amp;IF(AND(Projects!$G$41="Yes",Projects!$C$41=BM$3),", "&amp;Projects!$A$41,"")&amp;IF(AND(Projects!$G$42="Yes",Projects!$C$42=BM$3),", "&amp;Projects!$A$42,"")&amp;IF(AND(Projects!$G$43="Yes",Projects!$C$43=BM$3),", "&amp;Projects!$A$43,"")&amp;IF(AND(Projects!$G$44="Yes",Projects!$C$44=BM$3),", "&amp;Projects!$A$44,"")&amp;IF(AND(Projects!$G$45="Yes",Projects!$C$45=BM$3),", "&amp;Projects!$A$45,"")&amp;IF(AND(Projects!$G$46="Yes",Projects!$C$46=BM$3),", "&amp;Projects!$A$46,""),3,10000)</f>
        <v/>
      </c>
      <c r="BN6" s="396">
        <f>MID(IF(AND(Projects!$G$2="Yes",Projects!$C$2=BN$3),", "&amp;Projects!$A$2,"")&amp;IF(AND(Projects!$G$3="Yes",Projects!$C$3=BN$3),", "&amp;Projects!$A$3,"")&amp;IF(AND(Projects!$G$4="Yes",Projects!$C$4=BN$3),", "&amp;Projects!$A$4,"")&amp;IF(AND(Projects!$G$5="Yes",Projects!$C$5=BN$3),", "&amp;Projects!$A$5,"")&amp;IF(AND(Projects!$G$6="Yes",Projects!$C$6=BN$3),", "&amp;Projects!$A$6,"")&amp;IF(AND(Projects!$G$7="Yes",Projects!$C$7=BN$3),", "&amp;Projects!$A$7,"")&amp;IF(AND(Projects!$G$8="Yes",Projects!$C$8=BN$3),", "&amp;Projects!$A$8,"")&amp;IF(AND(Projects!$G$9="Yes",Projects!$C$9=BN$3),", "&amp;Projects!$A$9,"")&amp;IF(AND(Projects!$G$10="Yes",Projects!$C$10=BN$3),", "&amp;Projects!$A$10,"")&amp;IF(AND(Projects!$G$11="Yes",Projects!$C$11=BN$3),", "&amp;Projects!$A$11,"")&amp;IF(AND(Projects!$G$12="Yes",Projects!$C$12=BN$3),", "&amp;Projects!$A$12,"")&amp;IF(AND(Projects!$G$13="Yes",Projects!$C$13=BN$3),", "&amp;Projects!$A$13,"")&amp;IF(AND(Projects!$G$14="Yes",Projects!$C$14=BN$3),", "&amp;Projects!$A$14,"")&amp;IF(AND(Projects!$G$15="Yes",Projects!$C$15=BN$3),", "&amp;Projects!$A$15,"")&amp;IF(AND(Projects!$G$16="Yes",Projects!$C$16=BN$3),", "&amp;Projects!$A$16,"")&amp;IF(AND(Projects!$G$17="Yes",Projects!$C$17=BN$3),", "&amp;Projects!$A$17,"")&amp;IF(AND(Projects!$G$18="Yes",Projects!$C$18=BN$3),", "&amp;Projects!$A$18,"")&amp;IF(AND(Projects!$G$19="Yes",Projects!$C$19=BN$3),", "&amp;Projects!$A$19,"")&amp;IF(AND(Projects!$G$20="Yes",Projects!$C$20=BN$3),", "&amp;Projects!$A$20,"")&amp;IF(AND(Projects!$G$21="Yes",Projects!$C$21=BN$3),", "&amp;Projects!$A$21,"")&amp;IF(AND(Projects!$G$22="Yes",Projects!$C$22=BN$3),", "&amp;Projects!$A$22,"")&amp;IF(AND(Projects!$G$23="Yes",Projects!$C$23=BN$3),", "&amp;Projects!$A$23,"")&amp;IF(AND(Projects!$G$24="Yes",Projects!$C$24=BN$3),", "&amp;Projects!$A$24,"")&amp;IF(AND(Projects!$G$25="Yes",Projects!$C$25=BN$3),", "&amp;Projects!$A$25,"")&amp;IF(AND(Projects!$G$26="Yes",Projects!$C$26=BN$3),", "&amp;Projects!$A$26,"")&amp;IF(AND(Projects!$G$27="Yes",Projects!$C$27=BN$3),", "&amp;Projects!$A$27,"")&amp;IF(AND(Projects!$G$28="Yes",Projects!$C$28=BN$3),", "&amp;Projects!$A$28,"")&amp;IF(AND(Projects!$G$29="Yes",Projects!$C$29=BN$3),", "&amp;Projects!$A$29,"")&amp;IF(AND(Projects!$G$30="Yes",Projects!$C$30=BN$3),", "&amp;Projects!$A$30,"")&amp;IF(AND(Projects!$G$31="Yes",Projects!$C$31=BN$3),", "&amp;Projects!$A$31,"")&amp;IF(AND(Projects!$G$32="Yes",Projects!$C$32=BN$3),", "&amp;Projects!$A$32,"")&amp;IF(AND(Projects!$G$33="Yes",Projects!$C$33=BN$3),", "&amp;Projects!$A$33,"")&amp;IF(AND(Projects!$G$34="Yes",Projects!$C$34=BN$3),", "&amp;Projects!$A$34,"")&amp;IF(AND(Projects!$G$35="Yes",Projects!$C$35=BN$3),", "&amp;Projects!$A$35,"")&amp;IF(AND(Projects!$G$36="Yes",Projects!$C$36=BN$3),", "&amp;Projects!$A$36,"")&amp;IF(AND(Projects!$G$37="Yes",Projects!$C$37=BN$3),", "&amp;Projects!$A$37,"")&amp;IF(AND(Projects!$G$38="Yes",Projects!$C$38=BN$3),", "&amp;Projects!$A$38,"")&amp;IF(AND(Projects!$G$39="Yes",Projects!$C$39=BN$3),", "&amp;Projects!$A$39,"")&amp;IF(AND(Projects!$G$40="Yes",Projects!$C$40=BN$3),", "&amp;Projects!$A$40,"")&amp;IF(AND(Projects!$G$41="Yes",Projects!$C$41=BN$3),", "&amp;Projects!$A$41,"")&amp;IF(AND(Projects!$G$42="Yes",Projects!$C$42=BN$3),", "&amp;Projects!$A$42,"")&amp;IF(AND(Projects!$G$43="Yes",Projects!$C$43=BN$3),", "&amp;Projects!$A$43,"")&amp;IF(AND(Projects!$G$44="Yes",Projects!$C$44=BN$3),", "&amp;Projects!$A$44,"")&amp;IF(AND(Projects!$G$45="Yes",Projects!$C$45=BN$3),", "&amp;Projects!$A$45,"")&amp;IF(AND(Projects!$G$46="Yes",Projects!$C$46=BN$3),", "&amp;Projects!$A$46,""),3,10000)</f>
        <v/>
      </c>
      <c r="BO6" s="396">
        <f>MID(IF(AND(Projects!$G$2="Yes",Projects!$C$2=BO$3),", "&amp;Projects!$A$2,"")&amp;IF(AND(Projects!$G$3="Yes",Projects!$C$3=BO$3),", "&amp;Projects!$A$3,"")&amp;IF(AND(Projects!$G$4="Yes",Projects!$C$4=BO$3),", "&amp;Projects!$A$4,"")&amp;IF(AND(Projects!$G$5="Yes",Projects!$C$5=BO$3),", "&amp;Projects!$A$5,"")&amp;IF(AND(Projects!$G$6="Yes",Projects!$C$6=BO$3),", "&amp;Projects!$A$6,"")&amp;IF(AND(Projects!$G$7="Yes",Projects!$C$7=BO$3),", "&amp;Projects!$A$7,"")&amp;IF(AND(Projects!$G$8="Yes",Projects!$C$8=BO$3),", "&amp;Projects!$A$8,"")&amp;IF(AND(Projects!$G$9="Yes",Projects!$C$9=BO$3),", "&amp;Projects!$A$9,"")&amp;IF(AND(Projects!$G$10="Yes",Projects!$C$10=BO$3),", "&amp;Projects!$A$10,"")&amp;IF(AND(Projects!$G$11="Yes",Projects!$C$11=BO$3),", "&amp;Projects!$A$11,"")&amp;IF(AND(Projects!$G$12="Yes",Projects!$C$12=BO$3),", "&amp;Projects!$A$12,"")&amp;IF(AND(Projects!$G$13="Yes",Projects!$C$13=BO$3),", "&amp;Projects!$A$13,"")&amp;IF(AND(Projects!$G$14="Yes",Projects!$C$14=BO$3),", "&amp;Projects!$A$14,"")&amp;IF(AND(Projects!$G$15="Yes",Projects!$C$15=BO$3),", "&amp;Projects!$A$15,"")&amp;IF(AND(Projects!$G$16="Yes",Projects!$C$16=BO$3),", "&amp;Projects!$A$16,"")&amp;IF(AND(Projects!$G$17="Yes",Projects!$C$17=BO$3),", "&amp;Projects!$A$17,"")&amp;IF(AND(Projects!$G$18="Yes",Projects!$C$18=BO$3),", "&amp;Projects!$A$18,"")&amp;IF(AND(Projects!$G$19="Yes",Projects!$C$19=BO$3),", "&amp;Projects!$A$19,"")&amp;IF(AND(Projects!$G$20="Yes",Projects!$C$20=BO$3),", "&amp;Projects!$A$20,"")&amp;IF(AND(Projects!$G$21="Yes",Projects!$C$21=BO$3),", "&amp;Projects!$A$21,"")&amp;IF(AND(Projects!$G$22="Yes",Projects!$C$22=BO$3),", "&amp;Projects!$A$22,"")&amp;IF(AND(Projects!$G$23="Yes",Projects!$C$23=BO$3),", "&amp;Projects!$A$23,"")&amp;IF(AND(Projects!$G$24="Yes",Projects!$C$24=BO$3),", "&amp;Projects!$A$24,"")&amp;IF(AND(Projects!$G$25="Yes",Projects!$C$25=BO$3),", "&amp;Projects!$A$25,"")&amp;IF(AND(Projects!$G$26="Yes",Projects!$C$26=BO$3),", "&amp;Projects!$A$26,"")&amp;IF(AND(Projects!$G$27="Yes",Projects!$C$27=BO$3),", "&amp;Projects!$A$27,"")&amp;IF(AND(Projects!$G$28="Yes",Projects!$C$28=BO$3),", "&amp;Projects!$A$28,"")&amp;IF(AND(Projects!$G$29="Yes",Projects!$C$29=BO$3),", "&amp;Projects!$A$29,"")&amp;IF(AND(Projects!$G$30="Yes",Projects!$C$30=BO$3),", "&amp;Projects!$A$30,"")&amp;IF(AND(Projects!$G$31="Yes",Projects!$C$31=BO$3),", "&amp;Projects!$A$31,"")&amp;IF(AND(Projects!$G$32="Yes",Projects!$C$32=BO$3),", "&amp;Projects!$A$32,"")&amp;IF(AND(Projects!$G$33="Yes",Projects!$C$33=BO$3),", "&amp;Projects!$A$33,"")&amp;IF(AND(Projects!$G$34="Yes",Projects!$C$34=BO$3),", "&amp;Projects!$A$34,"")&amp;IF(AND(Projects!$G$35="Yes",Projects!$C$35=BO$3),", "&amp;Projects!$A$35,"")&amp;IF(AND(Projects!$G$36="Yes",Projects!$C$36=BO$3),", "&amp;Projects!$A$36,"")&amp;IF(AND(Projects!$G$37="Yes",Projects!$C$37=BO$3),", "&amp;Projects!$A$37,"")&amp;IF(AND(Projects!$G$38="Yes",Projects!$C$38=BO$3),", "&amp;Projects!$A$38,"")&amp;IF(AND(Projects!$G$39="Yes",Projects!$C$39=BO$3),", "&amp;Projects!$A$39,"")&amp;IF(AND(Projects!$G$40="Yes",Projects!$C$40=BO$3),", "&amp;Projects!$A$40,"")&amp;IF(AND(Projects!$G$41="Yes",Projects!$C$41=BO$3),", "&amp;Projects!$A$41,"")&amp;IF(AND(Projects!$G$42="Yes",Projects!$C$42=BO$3),", "&amp;Projects!$A$42,"")&amp;IF(AND(Projects!$G$43="Yes",Projects!$C$43=BO$3),", "&amp;Projects!$A$43,"")&amp;IF(AND(Projects!$G$44="Yes",Projects!$C$44=BO$3),", "&amp;Projects!$A$44,"")&amp;IF(AND(Projects!$G$45="Yes",Projects!$C$45=BO$3),", "&amp;Projects!$A$45,"")&amp;IF(AND(Projects!$G$46="Yes",Projects!$C$46=BO$3),", "&amp;Projects!$A$46,""),3,10000)</f>
        <v/>
      </c>
      <c r="BP6" s="396">
        <f>MID(IF(AND(Projects!$G$2="Yes",Projects!$C$2=BP$3),", "&amp;Projects!$A$2,"")&amp;IF(AND(Projects!$G$3="Yes",Projects!$C$3=BP$3),", "&amp;Projects!$A$3,"")&amp;IF(AND(Projects!$G$4="Yes",Projects!$C$4=BP$3),", "&amp;Projects!$A$4,"")&amp;IF(AND(Projects!$G$5="Yes",Projects!$C$5=BP$3),", "&amp;Projects!$A$5,"")&amp;IF(AND(Projects!$G$6="Yes",Projects!$C$6=BP$3),", "&amp;Projects!$A$6,"")&amp;IF(AND(Projects!$G$7="Yes",Projects!$C$7=BP$3),", "&amp;Projects!$A$7,"")&amp;IF(AND(Projects!$G$8="Yes",Projects!$C$8=BP$3),", "&amp;Projects!$A$8,"")&amp;IF(AND(Projects!$G$9="Yes",Projects!$C$9=BP$3),", "&amp;Projects!$A$9,"")&amp;IF(AND(Projects!$G$10="Yes",Projects!$C$10=BP$3),", "&amp;Projects!$A$10,"")&amp;IF(AND(Projects!$G$11="Yes",Projects!$C$11=BP$3),", "&amp;Projects!$A$11,"")&amp;IF(AND(Projects!$G$12="Yes",Projects!$C$12=BP$3),", "&amp;Projects!$A$12,"")&amp;IF(AND(Projects!$G$13="Yes",Projects!$C$13=BP$3),", "&amp;Projects!$A$13,"")&amp;IF(AND(Projects!$G$14="Yes",Projects!$C$14=BP$3),", "&amp;Projects!$A$14,"")&amp;IF(AND(Projects!$G$15="Yes",Projects!$C$15=BP$3),", "&amp;Projects!$A$15,"")&amp;IF(AND(Projects!$G$16="Yes",Projects!$C$16=BP$3),", "&amp;Projects!$A$16,"")&amp;IF(AND(Projects!$G$17="Yes",Projects!$C$17=BP$3),", "&amp;Projects!$A$17,"")&amp;IF(AND(Projects!$G$18="Yes",Projects!$C$18=BP$3),", "&amp;Projects!$A$18,"")&amp;IF(AND(Projects!$G$19="Yes",Projects!$C$19=BP$3),", "&amp;Projects!$A$19,"")&amp;IF(AND(Projects!$G$20="Yes",Projects!$C$20=BP$3),", "&amp;Projects!$A$20,"")&amp;IF(AND(Projects!$G$21="Yes",Projects!$C$21=BP$3),", "&amp;Projects!$A$21,"")&amp;IF(AND(Projects!$G$22="Yes",Projects!$C$22=BP$3),", "&amp;Projects!$A$22,"")&amp;IF(AND(Projects!$G$23="Yes",Projects!$C$23=BP$3),", "&amp;Projects!$A$23,"")&amp;IF(AND(Projects!$G$24="Yes",Projects!$C$24=BP$3),", "&amp;Projects!$A$24,"")&amp;IF(AND(Projects!$G$25="Yes",Projects!$C$25=BP$3),", "&amp;Projects!$A$25,"")&amp;IF(AND(Projects!$G$26="Yes",Projects!$C$26=BP$3),", "&amp;Projects!$A$26,"")&amp;IF(AND(Projects!$G$27="Yes",Projects!$C$27=BP$3),", "&amp;Projects!$A$27,"")&amp;IF(AND(Projects!$G$28="Yes",Projects!$C$28=BP$3),", "&amp;Projects!$A$28,"")&amp;IF(AND(Projects!$G$29="Yes",Projects!$C$29=BP$3),", "&amp;Projects!$A$29,"")&amp;IF(AND(Projects!$G$30="Yes",Projects!$C$30=BP$3),", "&amp;Projects!$A$30,"")&amp;IF(AND(Projects!$G$31="Yes",Projects!$C$31=BP$3),", "&amp;Projects!$A$31,"")&amp;IF(AND(Projects!$G$32="Yes",Projects!$C$32=BP$3),", "&amp;Projects!$A$32,"")&amp;IF(AND(Projects!$G$33="Yes",Projects!$C$33=BP$3),", "&amp;Projects!$A$33,"")&amp;IF(AND(Projects!$G$34="Yes",Projects!$C$34=BP$3),", "&amp;Projects!$A$34,"")&amp;IF(AND(Projects!$G$35="Yes",Projects!$C$35=BP$3),", "&amp;Projects!$A$35,"")&amp;IF(AND(Projects!$G$36="Yes",Projects!$C$36=BP$3),", "&amp;Projects!$A$36,"")&amp;IF(AND(Projects!$G$37="Yes",Projects!$C$37=BP$3),", "&amp;Projects!$A$37,"")&amp;IF(AND(Projects!$G$38="Yes",Projects!$C$38=BP$3),", "&amp;Projects!$A$38,"")&amp;IF(AND(Projects!$G$39="Yes",Projects!$C$39=BP$3),", "&amp;Projects!$A$39,"")&amp;IF(AND(Projects!$G$40="Yes",Projects!$C$40=BP$3),", "&amp;Projects!$A$40,"")&amp;IF(AND(Projects!$G$41="Yes",Projects!$C$41=BP$3),", "&amp;Projects!$A$41,"")&amp;IF(AND(Projects!$G$42="Yes",Projects!$C$42=BP$3),", "&amp;Projects!$A$42,"")&amp;IF(AND(Projects!$G$43="Yes",Projects!$C$43=BP$3),", "&amp;Projects!$A$43,"")&amp;IF(AND(Projects!$G$44="Yes",Projects!$C$44=BP$3),", "&amp;Projects!$A$44,"")&amp;IF(AND(Projects!$G$45="Yes",Projects!$C$45=BP$3),", "&amp;Projects!$A$45,"")&amp;IF(AND(Projects!$G$46="Yes",Projects!$C$46=BP$3),", "&amp;Projects!$A$46,""),3,10000)</f>
        <v/>
      </c>
      <c r="BQ6" s="396">
        <f>MID(IF(AND(Projects!$G$2="Yes",Projects!$C$2=BQ$3),", "&amp;Projects!$A$2,"")&amp;IF(AND(Projects!$G$3="Yes",Projects!$C$3=BQ$3),", "&amp;Projects!$A$3,"")&amp;IF(AND(Projects!$G$4="Yes",Projects!$C$4=BQ$3),", "&amp;Projects!$A$4,"")&amp;IF(AND(Projects!$G$5="Yes",Projects!$C$5=BQ$3),", "&amp;Projects!$A$5,"")&amp;IF(AND(Projects!$G$6="Yes",Projects!$C$6=BQ$3),", "&amp;Projects!$A$6,"")&amp;IF(AND(Projects!$G$7="Yes",Projects!$C$7=BQ$3),", "&amp;Projects!$A$7,"")&amp;IF(AND(Projects!$G$8="Yes",Projects!$C$8=BQ$3),", "&amp;Projects!$A$8,"")&amp;IF(AND(Projects!$G$9="Yes",Projects!$C$9=BQ$3),", "&amp;Projects!$A$9,"")&amp;IF(AND(Projects!$G$10="Yes",Projects!$C$10=BQ$3),", "&amp;Projects!$A$10,"")&amp;IF(AND(Projects!$G$11="Yes",Projects!$C$11=BQ$3),", "&amp;Projects!$A$11,"")&amp;IF(AND(Projects!$G$12="Yes",Projects!$C$12=BQ$3),", "&amp;Projects!$A$12,"")&amp;IF(AND(Projects!$G$13="Yes",Projects!$C$13=BQ$3),", "&amp;Projects!$A$13,"")&amp;IF(AND(Projects!$G$14="Yes",Projects!$C$14=BQ$3),", "&amp;Projects!$A$14,"")&amp;IF(AND(Projects!$G$15="Yes",Projects!$C$15=BQ$3),", "&amp;Projects!$A$15,"")&amp;IF(AND(Projects!$G$16="Yes",Projects!$C$16=BQ$3),", "&amp;Projects!$A$16,"")&amp;IF(AND(Projects!$G$17="Yes",Projects!$C$17=BQ$3),", "&amp;Projects!$A$17,"")&amp;IF(AND(Projects!$G$18="Yes",Projects!$C$18=BQ$3),", "&amp;Projects!$A$18,"")&amp;IF(AND(Projects!$G$19="Yes",Projects!$C$19=BQ$3),", "&amp;Projects!$A$19,"")&amp;IF(AND(Projects!$G$20="Yes",Projects!$C$20=BQ$3),", "&amp;Projects!$A$20,"")&amp;IF(AND(Projects!$G$21="Yes",Projects!$C$21=BQ$3),", "&amp;Projects!$A$21,"")&amp;IF(AND(Projects!$G$22="Yes",Projects!$C$22=BQ$3),", "&amp;Projects!$A$22,"")&amp;IF(AND(Projects!$G$23="Yes",Projects!$C$23=BQ$3),", "&amp;Projects!$A$23,"")&amp;IF(AND(Projects!$G$24="Yes",Projects!$C$24=BQ$3),", "&amp;Projects!$A$24,"")&amp;IF(AND(Projects!$G$25="Yes",Projects!$C$25=BQ$3),", "&amp;Projects!$A$25,"")&amp;IF(AND(Projects!$G$26="Yes",Projects!$C$26=BQ$3),", "&amp;Projects!$A$26,"")&amp;IF(AND(Projects!$G$27="Yes",Projects!$C$27=BQ$3),", "&amp;Projects!$A$27,"")&amp;IF(AND(Projects!$G$28="Yes",Projects!$C$28=BQ$3),", "&amp;Projects!$A$28,"")&amp;IF(AND(Projects!$G$29="Yes",Projects!$C$29=BQ$3),", "&amp;Projects!$A$29,"")&amp;IF(AND(Projects!$G$30="Yes",Projects!$C$30=BQ$3),", "&amp;Projects!$A$30,"")&amp;IF(AND(Projects!$G$31="Yes",Projects!$C$31=BQ$3),", "&amp;Projects!$A$31,"")&amp;IF(AND(Projects!$G$32="Yes",Projects!$C$32=BQ$3),", "&amp;Projects!$A$32,"")&amp;IF(AND(Projects!$G$33="Yes",Projects!$C$33=BQ$3),", "&amp;Projects!$A$33,"")&amp;IF(AND(Projects!$G$34="Yes",Projects!$C$34=BQ$3),", "&amp;Projects!$A$34,"")&amp;IF(AND(Projects!$G$35="Yes",Projects!$C$35=BQ$3),", "&amp;Projects!$A$35,"")&amp;IF(AND(Projects!$G$36="Yes",Projects!$C$36=BQ$3),", "&amp;Projects!$A$36,"")&amp;IF(AND(Projects!$G$37="Yes",Projects!$C$37=BQ$3),", "&amp;Projects!$A$37,"")&amp;IF(AND(Projects!$G$38="Yes",Projects!$C$38=BQ$3),", "&amp;Projects!$A$38,"")&amp;IF(AND(Projects!$G$39="Yes",Projects!$C$39=BQ$3),", "&amp;Projects!$A$39,"")&amp;IF(AND(Projects!$G$40="Yes",Projects!$C$40=BQ$3),", "&amp;Projects!$A$40,"")&amp;IF(AND(Projects!$G$41="Yes",Projects!$C$41=BQ$3),", "&amp;Projects!$A$41,"")&amp;IF(AND(Projects!$G$42="Yes",Projects!$C$42=BQ$3),", "&amp;Projects!$A$42,"")&amp;IF(AND(Projects!$G$43="Yes",Projects!$C$43=BQ$3),", "&amp;Projects!$A$43,"")&amp;IF(AND(Projects!$G$44="Yes",Projects!$C$44=BQ$3),", "&amp;Projects!$A$44,"")&amp;IF(AND(Projects!$G$45="Yes",Projects!$C$45=BQ$3),", "&amp;Projects!$A$45,"")&amp;IF(AND(Projects!$G$46="Yes",Projects!$C$46=BQ$3),", "&amp;Projects!$A$46,""),3,10000)</f>
        <v/>
      </c>
      <c r="BR6" s="396">
        <f>MID(IF(AND(Projects!$G$2="Yes",Projects!$C$2=BR$3),", "&amp;Projects!$A$2,"")&amp;IF(AND(Projects!$G$3="Yes",Projects!$C$3=BR$3),", "&amp;Projects!$A$3,"")&amp;IF(AND(Projects!$G$4="Yes",Projects!$C$4=BR$3),", "&amp;Projects!$A$4,"")&amp;IF(AND(Projects!$G$5="Yes",Projects!$C$5=BR$3),", "&amp;Projects!$A$5,"")&amp;IF(AND(Projects!$G$6="Yes",Projects!$C$6=BR$3),", "&amp;Projects!$A$6,"")&amp;IF(AND(Projects!$G$7="Yes",Projects!$C$7=BR$3),", "&amp;Projects!$A$7,"")&amp;IF(AND(Projects!$G$8="Yes",Projects!$C$8=BR$3),", "&amp;Projects!$A$8,"")&amp;IF(AND(Projects!$G$9="Yes",Projects!$C$9=BR$3),", "&amp;Projects!$A$9,"")&amp;IF(AND(Projects!$G$10="Yes",Projects!$C$10=BR$3),", "&amp;Projects!$A$10,"")&amp;IF(AND(Projects!$G$11="Yes",Projects!$C$11=BR$3),", "&amp;Projects!$A$11,"")&amp;IF(AND(Projects!$G$12="Yes",Projects!$C$12=BR$3),", "&amp;Projects!$A$12,"")&amp;IF(AND(Projects!$G$13="Yes",Projects!$C$13=BR$3),", "&amp;Projects!$A$13,"")&amp;IF(AND(Projects!$G$14="Yes",Projects!$C$14=BR$3),", "&amp;Projects!$A$14,"")&amp;IF(AND(Projects!$G$15="Yes",Projects!$C$15=BR$3),", "&amp;Projects!$A$15,"")&amp;IF(AND(Projects!$G$16="Yes",Projects!$C$16=BR$3),", "&amp;Projects!$A$16,"")&amp;IF(AND(Projects!$G$17="Yes",Projects!$C$17=BR$3),", "&amp;Projects!$A$17,"")&amp;IF(AND(Projects!$G$18="Yes",Projects!$C$18=BR$3),", "&amp;Projects!$A$18,"")&amp;IF(AND(Projects!$G$19="Yes",Projects!$C$19=BR$3),", "&amp;Projects!$A$19,"")&amp;IF(AND(Projects!$G$20="Yes",Projects!$C$20=BR$3),", "&amp;Projects!$A$20,"")&amp;IF(AND(Projects!$G$21="Yes",Projects!$C$21=BR$3),", "&amp;Projects!$A$21,"")&amp;IF(AND(Projects!$G$22="Yes",Projects!$C$22=BR$3),", "&amp;Projects!$A$22,"")&amp;IF(AND(Projects!$G$23="Yes",Projects!$C$23=BR$3),", "&amp;Projects!$A$23,"")&amp;IF(AND(Projects!$G$24="Yes",Projects!$C$24=BR$3),", "&amp;Projects!$A$24,"")&amp;IF(AND(Projects!$G$25="Yes",Projects!$C$25=BR$3),", "&amp;Projects!$A$25,"")&amp;IF(AND(Projects!$G$26="Yes",Projects!$C$26=BR$3),", "&amp;Projects!$A$26,"")&amp;IF(AND(Projects!$G$27="Yes",Projects!$C$27=BR$3),", "&amp;Projects!$A$27,"")&amp;IF(AND(Projects!$G$28="Yes",Projects!$C$28=BR$3),", "&amp;Projects!$A$28,"")&amp;IF(AND(Projects!$G$29="Yes",Projects!$C$29=BR$3),", "&amp;Projects!$A$29,"")&amp;IF(AND(Projects!$G$30="Yes",Projects!$C$30=BR$3),", "&amp;Projects!$A$30,"")&amp;IF(AND(Projects!$G$31="Yes",Projects!$C$31=BR$3),", "&amp;Projects!$A$31,"")&amp;IF(AND(Projects!$G$32="Yes",Projects!$C$32=BR$3),", "&amp;Projects!$A$32,"")&amp;IF(AND(Projects!$G$33="Yes",Projects!$C$33=BR$3),", "&amp;Projects!$A$33,"")&amp;IF(AND(Projects!$G$34="Yes",Projects!$C$34=BR$3),", "&amp;Projects!$A$34,"")&amp;IF(AND(Projects!$G$35="Yes",Projects!$C$35=BR$3),", "&amp;Projects!$A$35,"")&amp;IF(AND(Projects!$G$36="Yes",Projects!$C$36=BR$3),", "&amp;Projects!$A$36,"")&amp;IF(AND(Projects!$G$37="Yes",Projects!$C$37=BR$3),", "&amp;Projects!$A$37,"")&amp;IF(AND(Projects!$G$38="Yes",Projects!$C$38=BR$3),", "&amp;Projects!$A$38,"")&amp;IF(AND(Projects!$G$39="Yes",Projects!$C$39=BR$3),", "&amp;Projects!$A$39,"")&amp;IF(AND(Projects!$G$40="Yes",Projects!$C$40=BR$3),", "&amp;Projects!$A$40,"")&amp;IF(AND(Projects!$G$41="Yes",Projects!$C$41=BR$3),", "&amp;Projects!$A$41,"")&amp;IF(AND(Projects!$G$42="Yes",Projects!$C$42=BR$3),", "&amp;Projects!$A$42,"")&amp;IF(AND(Projects!$G$43="Yes",Projects!$C$43=BR$3),", "&amp;Projects!$A$43,"")&amp;IF(AND(Projects!$G$44="Yes",Projects!$C$44=BR$3),", "&amp;Projects!$A$44,"")&amp;IF(AND(Projects!$G$45="Yes",Projects!$C$45=BR$3),", "&amp;Projects!$A$45,"")&amp;IF(AND(Projects!$G$46="Yes",Projects!$C$46=BR$3),", "&amp;Projects!$A$46,""),3,10000)</f>
        <v/>
      </c>
      <c r="BS6" s="396">
        <f>MID(IF(AND(Projects!$G$2="Yes",Projects!$C$2=BS$3),", "&amp;Projects!$A$2,"")&amp;IF(AND(Projects!$G$3="Yes",Projects!$C$3=BS$3),", "&amp;Projects!$A$3,"")&amp;IF(AND(Projects!$G$4="Yes",Projects!$C$4=BS$3),", "&amp;Projects!$A$4,"")&amp;IF(AND(Projects!$G$5="Yes",Projects!$C$5=BS$3),", "&amp;Projects!$A$5,"")&amp;IF(AND(Projects!$G$6="Yes",Projects!$C$6=BS$3),", "&amp;Projects!$A$6,"")&amp;IF(AND(Projects!$G$7="Yes",Projects!$C$7=BS$3),", "&amp;Projects!$A$7,"")&amp;IF(AND(Projects!$G$8="Yes",Projects!$C$8=BS$3),", "&amp;Projects!$A$8,"")&amp;IF(AND(Projects!$G$9="Yes",Projects!$C$9=BS$3),", "&amp;Projects!$A$9,"")&amp;IF(AND(Projects!$G$10="Yes",Projects!$C$10=BS$3),", "&amp;Projects!$A$10,"")&amp;IF(AND(Projects!$G$11="Yes",Projects!$C$11=BS$3),", "&amp;Projects!$A$11,"")&amp;IF(AND(Projects!$G$12="Yes",Projects!$C$12=BS$3),", "&amp;Projects!$A$12,"")&amp;IF(AND(Projects!$G$13="Yes",Projects!$C$13=BS$3),", "&amp;Projects!$A$13,"")&amp;IF(AND(Projects!$G$14="Yes",Projects!$C$14=BS$3),", "&amp;Projects!$A$14,"")&amp;IF(AND(Projects!$G$15="Yes",Projects!$C$15=BS$3),", "&amp;Projects!$A$15,"")&amp;IF(AND(Projects!$G$16="Yes",Projects!$C$16=BS$3),", "&amp;Projects!$A$16,"")&amp;IF(AND(Projects!$G$17="Yes",Projects!$C$17=BS$3),", "&amp;Projects!$A$17,"")&amp;IF(AND(Projects!$G$18="Yes",Projects!$C$18=BS$3),", "&amp;Projects!$A$18,"")&amp;IF(AND(Projects!$G$19="Yes",Projects!$C$19=BS$3),", "&amp;Projects!$A$19,"")&amp;IF(AND(Projects!$G$20="Yes",Projects!$C$20=BS$3),", "&amp;Projects!$A$20,"")&amp;IF(AND(Projects!$G$21="Yes",Projects!$C$21=BS$3),", "&amp;Projects!$A$21,"")&amp;IF(AND(Projects!$G$22="Yes",Projects!$C$22=BS$3),", "&amp;Projects!$A$22,"")&amp;IF(AND(Projects!$G$23="Yes",Projects!$C$23=BS$3),", "&amp;Projects!$A$23,"")&amp;IF(AND(Projects!$G$24="Yes",Projects!$C$24=BS$3),", "&amp;Projects!$A$24,"")&amp;IF(AND(Projects!$G$25="Yes",Projects!$C$25=BS$3),", "&amp;Projects!$A$25,"")&amp;IF(AND(Projects!$G$26="Yes",Projects!$C$26=BS$3),", "&amp;Projects!$A$26,"")&amp;IF(AND(Projects!$G$27="Yes",Projects!$C$27=BS$3),", "&amp;Projects!$A$27,"")&amp;IF(AND(Projects!$G$28="Yes",Projects!$C$28=BS$3),", "&amp;Projects!$A$28,"")&amp;IF(AND(Projects!$G$29="Yes",Projects!$C$29=BS$3),", "&amp;Projects!$A$29,"")&amp;IF(AND(Projects!$G$30="Yes",Projects!$C$30=BS$3),", "&amp;Projects!$A$30,"")&amp;IF(AND(Projects!$G$31="Yes",Projects!$C$31=BS$3),", "&amp;Projects!$A$31,"")&amp;IF(AND(Projects!$G$32="Yes",Projects!$C$32=BS$3),", "&amp;Projects!$A$32,"")&amp;IF(AND(Projects!$G$33="Yes",Projects!$C$33=BS$3),", "&amp;Projects!$A$33,"")&amp;IF(AND(Projects!$G$34="Yes",Projects!$C$34=BS$3),", "&amp;Projects!$A$34,"")&amp;IF(AND(Projects!$G$35="Yes",Projects!$C$35=BS$3),", "&amp;Projects!$A$35,"")&amp;IF(AND(Projects!$G$36="Yes",Projects!$C$36=BS$3),", "&amp;Projects!$A$36,"")&amp;IF(AND(Projects!$G$37="Yes",Projects!$C$37=BS$3),", "&amp;Projects!$A$37,"")&amp;IF(AND(Projects!$G$38="Yes",Projects!$C$38=BS$3),", "&amp;Projects!$A$38,"")&amp;IF(AND(Projects!$G$39="Yes",Projects!$C$39=BS$3),", "&amp;Projects!$A$39,"")&amp;IF(AND(Projects!$G$40="Yes",Projects!$C$40=BS$3),", "&amp;Projects!$A$40,"")&amp;IF(AND(Projects!$G$41="Yes",Projects!$C$41=BS$3),", "&amp;Projects!$A$41,"")&amp;IF(AND(Projects!$G$42="Yes",Projects!$C$42=BS$3),", "&amp;Projects!$A$42,"")&amp;IF(AND(Projects!$G$43="Yes",Projects!$C$43=BS$3),", "&amp;Projects!$A$43,"")&amp;IF(AND(Projects!$G$44="Yes",Projects!$C$44=BS$3),", "&amp;Projects!$A$44,"")&amp;IF(AND(Projects!$G$45="Yes",Projects!$C$45=BS$3),", "&amp;Projects!$A$45,"")&amp;IF(AND(Projects!$G$46="Yes",Projects!$C$46=BS$3),", "&amp;Projects!$A$46,""),3,10000)</f>
        <v/>
      </c>
      <c r="BT6" s="396">
        <f>MID(IF(AND(Projects!$G$2="Yes",Projects!$C$2=BT$3),", "&amp;Projects!$A$2,"")&amp;IF(AND(Projects!$G$3="Yes",Projects!$C$3=BT$3),", "&amp;Projects!$A$3,"")&amp;IF(AND(Projects!$G$4="Yes",Projects!$C$4=BT$3),", "&amp;Projects!$A$4,"")&amp;IF(AND(Projects!$G$5="Yes",Projects!$C$5=BT$3),", "&amp;Projects!$A$5,"")&amp;IF(AND(Projects!$G$6="Yes",Projects!$C$6=BT$3),", "&amp;Projects!$A$6,"")&amp;IF(AND(Projects!$G$7="Yes",Projects!$C$7=BT$3),", "&amp;Projects!$A$7,"")&amp;IF(AND(Projects!$G$8="Yes",Projects!$C$8=BT$3),", "&amp;Projects!$A$8,"")&amp;IF(AND(Projects!$G$9="Yes",Projects!$C$9=BT$3),", "&amp;Projects!$A$9,"")&amp;IF(AND(Projects!$G$10="Yes",Projects!$C$10=BT$3),", "&amp;Projects!$A$10,"")&amp;IF(AND(Projects!$G$11="Yes",Projects!$C$11=BT$3),", "&amp;Projects!$A$11,"")&amp;IF(AND(Projects!$G$12="Yes",Projects!$C$12=BT$3),", "&amp;Projects!$A$12,"")&amp;IF(AND(Projects!$G$13="Yes",Projects!$C$13=BT$3),", "&amp;Projects!$A$13,"")&amp;IF(AND(Projects!$G$14="Yes",Projects!$C$14=BT$3),", "&amp;Projects!$A$14,"")&amp;IF(AND(Projects!$G$15="Yes",Projects!$C$15=BT$3),", "&amp;Projects!$A$15,"")&amp;IF(AND(Projects!$G$16="Yes",Projects!$C$16=BT$3),", "&amp;Projects!$A$16,"")&amp;IF(AND(Projects!$G$17="Yes",Projects!$C$17=BT$3),", "&amp;Projects!$A$17,"")&amp;IF(AND(Projects!$G$18="Yes",Projects!$C$18=BT$3),", "&amp;Projects!$A$18,"")&amp;IF(AND(Projects!$G$19="Yes",Projects!$C$19=BT$3),", "&amp;Projects!$A$19,"")&amp;IF(AND(Projects!$G$20="Yes",Projects!$C$20=BT$3),", "&amp;Projects!$A$20,"")&amp;IF(AND(Projects!$G$21="Yes",Projects!$C$21=BT$3),", "&amp;Projects!$A$21,"")&amp;IF(AND(Projects!$G$22="Yes",Projects!$C$22=BT$3),", "&amp;Projects!$A$22,"")&amp;IF(AND(Projects!$G$23="Yes",Projects!$C$23=BT$3),", "&amp;Projects!$A$23,"")&amp;IF(AND(Projects!$G$24="Yes",Projects!$C$24=BT$3),", "&amp;Projects!$A$24,"")&amp;IF(AND(Projects!$G$25="Yes",Projects!$C$25=BT$3),", "&amp;Projects!$A$25,"")&amp;IF(AND(Projects!$G$26="Yes",Projects!$C$26=BT$3),", "&amp;Projects!$A$26,"")&amp;IF(AND(Projects!$G$27="Yes",Projects!$C$27=BT$3),", "&amp;Projects!$A$27,"")&amp;IF(AND(Projects!$G$28="Yes",Projects!$C$28=BT$3),", "&amp;Projects!$A$28,"")&amp;IF(AND(Projects!$G$29="Yes",Projects!$C$29=BT$3),", "&amp;Projects!$A$29,"")&amp;IF(AND(Projects!$G$30="Yes",Projects!$C$30=BT$3),", "&amp;Projects!$A$30,"")&amp;IF(AND(Projects!$G$31="Yes",Projects!$C$31=BT$3),", "&amp;Projects!$A$31,"")&amp;IF(AND(Projects!$G$32="Yes",Projects!$C$32=BT$3),", "&amp;Projects!$A$32,"")&amp;IF(AND(Projects!$G$33="Yes",Projects!$C$33=BT$3),", "&amp;Projects!$A$33,"")&amp;IF(AND(Projects!$G$34="Yes",Projects!$C$34=BT$3),", "&amp;Projects!$A$34,"")&amp;IF(AND(Projects!$G$35="Yes",Projects!$C$35=BT$3),", "&amp;Projects!$A$35,"")&amp;IF(AND(Projects!$G$36="Yes",Projects!$C$36=BT$3),", "&amp;Projects!$A$36,"")&amp;IF(AND(Projects!$G$37="Yes",Projects!$C$37=BT$3),", "&amp;Projects!$A$37,"")&amp;IF(AND(Projects!$G$38="Yes",Projects!$C$38=BT$3),", "&amp;Projects!$A$38,"")&amp;IF(AND(Projects!$G$39="Yes",Projects!$C$39=BT$3),", "&amp;Projects!$A$39,"")&amp;IF(AND(Projects!$G$40="Yes",Projects!$C$40=BT$3),", "&amp;Projects!$A$40,"")&amp;IF(AND(Projects!$G$41="Yes",Projects!$C$41=BT$3),", "&amp;Projects!$A$41,"")&amp;IF(AND(Projects!$G$42="Yes",Projects!$C$42=BT$3),", "&amp;Projects!$A$42,"")&amp;IF(AND(Projects!$G$43="Yes",Projects!$C$43=BT$3),", "&amp;Projects!$A$43,"")&amp;IF(AND(Projects!$G$44="Yes",Projects!$C$44=BT$3),", "&amp;Projects!$A$44,"")&amp;IF(AND(Projects!$G$45="Yes",Projects!$C$45=BT$3),", "&amp;Projects!$A$45,"")&amp;IF(AND(Projects!$G$46="Yes",Projects!$C$46=BT$3),", "&amp;Projects!$A$46,""),3,10000)</f>
        <v/>
      </c>
      <c r="BU6" s="396">
        <f>MID(IF(AND(Projects!$G$2="Yes",Projects!$C$2=BU$3),", "&amp;Projects!$A$2,"")&amp;IF(AND(Projects!$G$3="Yes",Projects!$C$3=BU$3),", "&amp;Projects!$A$3,"")&amp;IF(AND(Projects!$G$4="Yes",Projects!$C$4=BU$3),", "&amp;Projects!$A$4,"")&amp;IF(AND(Projects!$G$5="Yes",Projects!$C$5=BU$3),", "&amp;Projects!$A$5,"")&amp;IF(AND(Projects!$G$6="Yes",Projects!$C$6=BU$3),", "&amp;Projects!$A$6,"")&amp;IF(AND(Projects!$G$7="Yes",Projects!$C$7=BU$3),", "&amp;Projects!$A$7,"")&amp;IF(AND(Projects!$G$8="Yes",Projects!$C$8=BU$3),", "&amp;Projects!$A$8,"")&amp;IF(AND(Projects!$G$9="Yes",Projects!$C$9=BU$3),", "&amp;Projects!$A$9,"")&amp;IF(AND(Projects!$G$10="Yes",Projects!$C$10=BU$3),", "&amp;Projects!$A$10,"")&amp;IF(AND(Projects!$G$11="Yes",Projects!$C$11=BU$3),", "&amp;Projects!$A$11,"")&amp;IF(AND(Projects!$G$12="Yes",Projects!$C$12=BU$3),", "&amp;Projects!$A$12,"")&amp;IF(AND(Projects!$G$13="Yes",Projects!$C$13=BU$3),", "&amp;Projects!$A$13,"")&amp;IF(AND(Projects!$G$14="Yes",Projects!$C$14=BU$3),", "&amp;Projects!$A$14,"")&amp;IF(AND(Projects!$G$15="Yes",Projects!$C$15=BU$3),", "&amp;Projects!$A$15,"")&amp;IF(AND(Projects!$G$16="Yes",Projects!$C$16=BU$3),", "&amp;Projects!$A$16,"")&amp;IF(AND(Projects!$G$17="Yes",Projects!$C$17=BU$3),", "&amp;Projects!$A$17,"")&amp;IF(AND(Projects!$G$18="Yes",Projects!$C$18=BU$3),", "&amp;Projects!$A$18,"")&amp;IF(AND(Projects!$G$19="Yes",Projects!$C$19=BU$3),", "&amp;Projects!$A$19,"")&amp;IF(AND(Projects!$G$20="Yes",Projects!$C$20=BU$3),", "&amp;Projects!$A$20,"")&amp;IF(AND(Projects!$G$21="Yes",Projects!$C$21=BU$3),", "&amp;Projects!$A$21,"")&amp;IF(AND(Projects!$G$22="Yes",Projects!$C$22=BU$3),", "&amp;Projects!$A$22,"")&amp;IF(AND(Projects!$G$23="Yes",Projects!$C$23=BU$3),", "&amp;Projects!$A$23,"")&amp;IF(AND(Projects!$G$24="Yes",Projects!$C$24=BU$3),", "&amp;Projects!$A$24,"")&amp;IF(AND(Projects!$G$25="Yes",Projects!$C$25=BU$3),", "&amp;Projects!$A$25,"")&amp;IF(AND(Projects!$G$26="Yes",Projects!$C$26=BU$3),", "&amp;Projects!$A$26,"")&amp;IF(AND(Projects!$G$27="Yes",Projects!$C$27=BU$3),", "&amp;Projects!$A$27,"")&amp;IF(AND(Projects!$G$28="Yes",Projects!$C$28=BU$3),", "&amp;Projects!$A$28,"")&amp;IF(AND(Projects!$G$29="Yes",Projects!$C$29=BU$3),", "&amp;Projects!$A$29,"")&amp;IF(AND(Projects!$G$30="Yes",Projects!$C$30=BU$3),", "&amp;Projects!$A$30,"")&amp;IF(AND(Projects!$G$31="Yes",Projects!$C$31=BU$3),", "&amp;Projects!$A$31,"")&amp;IF(AND(Projects!$G$32="Yes",Projects!$C$32=BU$3),", "&amp;Projects!$A$32,"")&amp;IF(AND(Projects!$G$33="Yes",Projects!$C$33=BU$3),", "&amp;Projects!$A$33,"")&amp;IF(AND(Projects!$G$34="Yes",Projects!$C$34=BU$3),", "&amp;Projects!$A$34,"")&amp;IF(AND(Projects!$G$35="Yes",Projects!$C$35=BU$3),", "&amp;Projects!$A$35,"")&amp;IF(AND(Projects!$G$36="Yes",Projects!$C$36=BU$3),", "&amp;Projects!$A$36,"")&amp;IF(AND(Projects!$G$37="Yes",Projects!$C$37=BU$3),", "&amp;Projects!$A$37,"")&amp;IF(AND(Projects!$G$38="Yes",Projects!$C$38=BU$3),", "&amp;Projects!$A$38,"")&amp;IF(AND(Projects!$G$39="Yes",Projects!$C$39=BU$3),", "&amp;Projects!$A$39,"")&amp;IF(AND(Projects!$G$40="Yes",Projects!$C$40=BU$3),", "&amp;Projects!$A$40,"")&amp;IF(AND(Projects!$G$41="Yes",Projects!$C$41=BU$3),", "&amp;Projects!$A$41,"")&amp;IF(AND(Projects!$G$42="Yes",Projects!$C$42=BU$3),", "&amp;Projects!$A$42,"")&amp;IF(AND(Projects!$G$43="Yes",Projects!$C$43=BU$3),", "&amp;Projects!$A$43,"")&amp;IF(AND(Projects!$G$44="Yes",Projects!$C$44=BU$3),", "&amp;Projects!$A$44,"")&amp;IF(AND(Projects!$G$45="Yes",Projects!$C$45=BU$3),", "&amp;Projects!$A$45,"")&amp;IF(AND(Projects!$G$46="Yes",Projects!$C$46=BU$3),", "&amp;Projects!$A$46,""),3,10000)</f>
        <v/>
      </c>
      <c r="BV6" s="396">
        <f>MID(IF(AND(Projects!$G$2="Yes",Projects!$C$2=BV$3),", "&amp;Projects!$A$2,"")&amp;IF(AND(Projects!$G$3="Yes",Projects!$C$3=BV$3),", "&amp;Projects!$A$3,"")&amp;IF(AND(Projects!$G$4="Yes",Projects!$C$4=BV$3),", "&amp;Projects!$A$4,"")&amp;IF(AND(Projects!$G$5="Yes",Projects!$C$5=BV$3),", "&amp;Projects!$A$5,"")&amp;IF(AND(Projects!$G$6="Yes",Projects!$C$6=BV$3),", "&amp;Projects!$A$6,"")&amp;IF(AND(Projects!$G$7="Yes",Projects!$C$7=BV$3),", "&amp;Projects!$A$7,"")&amp;IF(AND(Projects!$G$8="Yes",Projects!$C$8=BV$3),", "&amp;Projects!$A$8,"")&amp;IF(AND(Projects!$G$9="Yes",Projects!$C$9=BV$3),", "&amp;Projects!$A$9,"")&amp;IF(AND(Projects!$G$10="Yes",Projects!$C$10=BV$3),", "&amp;Projects!$A$10,"")&amp;IF(AND(Projects!$G$11="Yes",Projects!$C$11=BV$3),", "&amp;Projects!$A$11,"")&amp;IF(AND(Projects!$G$12="Yes",Projects!$C$12=BV$3),", "&amp;Projects!$A$12,"")&amp;IF(AND(Projects!$G$13="Yes",Projects!$C$13=BV$3),", "&amp;Projects!$A$13,"")&amp;IF(AND(Projects!$G$14="Yes",Projects!$C$14=BV$3),", "&amp;Projects!$A$14,"")&amp;IF(AND(Projects!$G$15="Yes",Projects!$C$15=BV$3),", "&amp;Projects!$A$15,"")&amp;IF(AND(Projects!$G$16="Yes",Projects!$C$16=BV$3),", "&amp;Projects!$A$16,"")&amp;IF(AND(Projects!$G$17="Yes",Projects!$C$17=BV$3),", "&amp;Projects!$A$17,"")&amp;IF(AND(Projects!$G$18="Yes",Projects!$C$18=BV$3),", "&amp;Projects!$A$18,"")&amp;IF(AND(Projects!$G$19="Yes",Projects!$C$19=BV$3),", "&amp;Projects!$A$19,"")&amp;IF(AND(Projects!$G$20="Yes",Projects!$C$20=BV$3),", "&amp;Projects!$A$20,"")&amp;IF(AND(Projects!$G$21="Yes",Projects!$C$21=BV$3),", "&amp;Projects!$A$21,"")&amp;IF(AND(Projects!$G$22="Yes",Projects!$C$22=BV$3),", "&amp;Projects!$A$22,"")&amp;IF(AND(Projects!$G$23="Yes",Projects!$C$23=BV$3),", "&amp;Projects!$A$23,"")&amp;IF(AND(Projects!$G$24="Yes",Projects!$C$24=BV$3),", "&amp;Projects!$A$24,"")&amp;IF(AND(Projects!$G$25="Yes",Projects!$C$25=BV$3),", "&amp;Projects!$A$25,"")&amp;IF(AND(Projects!$G$26="Yes",Projects!$C$26=BV$3),", "&amp;Projects!$A$26,"")&amp;IF(AND(Projects!$G$27="Yes",Projects!$C$27=BV$3),", "&amp;Projects!$A$27,"")&amp;IF(AND(Projects!$G$28="Yes",Projects!$C$28=BV$3),", "&amp;Projects!$A$28,"")&amp;IF(AND(Projects!$G$29="Yes",Projects!$C$29=BV$3),", "&amp;Projects!$A$29,"")&amp;IF(AND(Projects!$G$30="Yes",Projects!$C$30=BV$3),", "&amp;Projects!$A$30,"")&amp;IF(AND(Projects!$G$31="Yes",Projects!$C$31=BV$3),", "&amp;Projects!$A$31,"")&amp;IF(AND(Projects!$G$32="Yes",Projects!$C$32=BV$3),", "&amp;Projects!$A$32,"")&amp;IF(AND(Projects!$G$33="Yes",Projects!$C$33=BV$3),", "&amp;Projects!$A$33,"")&amp;IF(AND(Projects!$G$34="Yes",Projects!$C$34=BV$3),", "&amp;Projects!$A$34,"")&amp;IF(AND(Projects!$G$35="Yes",Projects!$C$35=BV$3),", "&amp;Projects!$A$35,"")&amp;IF(AND(Projects!$G$36="Yes",Projects!$C$36=BV$3),", "&amp;Projects!$A$36,"")&amp;IF(AND(Projects!$G$37="Yes",Projects!$C$37=BV$3),", "&amp;Projects!$A$37,"")&amp;IF(AND(Projects!$G$38="Yes",Projects!$C$38=BV$3),", "&amp;Projects!$A$38,"")&amp;IF(AND(Projects!$G$39="Yes",Projects!$C$39=BV$3),", "&amp;Projects!$A$39,"")&amp;IF(AND(Projects!$G$40="Yes",Projects!$C$40=BV$3),", "&amp;Projects!$A$40,"")&amp;IF(AND(Projects!$G$41="Yes",Projects!$C$41=BV$3),", "&amp;Projects!$A$41,"")&amp;IF(AND(Projects!$G$42="Yes",Projects!$C$42=BV$3),", "&amp;Projects!$A$42,"")&amp;IF(AND(Projects!$G$43="Yes",Projects!$C$43=BV$3),", "&amp;Projects!$A$43,"")&amp;IF(AND(Projects!$G$44="Yes",Projects!$C$44=BV$3),", "&amp;Projects!$A$44,"")&amp;IF(AND(Projects!$G$45="Yes",Projects!$C$45=BV$3),", "&amp;Projects!$A$45,"")&amp;IF(AND(Projects!$G$46="Yes",Projects!$C$46=BV$3),", "&amp;Projects!$A$46,""),3,10000)</f>
        <v/>
      </c>
      <c r="BW6" s="396">
        <f>MID(IF(AND(Projects!$G$2="Yes",Projects!$C$2=BW$3),", "&amp;Projects!$A$2,"")&amp;IF(AND(Projects!$G$3="Yes",Projects!$C$3=BW$3),", "&amp;Projects!$A$3,"")&amp;IF(AND(Projects!$G$4="Yes",Projects!$C$4=BW$3),", "&amp;Projects!$A$4,"")&amp;IF(AND(Projects!$G$5="Yes",Projects!$C$5=BW$3),", "&amp;Projects!$A$5,"")&amp;IF(AND(Projects!$G$6="Yes",Projects!$C$6=BW$3),", "&amp;Projects!$A$6,"")&amp;IF(AND(Projects!$G$7="Yes",Projects!$C$7=BW$3),", "&amp;Projects!$A$7,"")&amp;IF(AND(Projects!$G$8="Yes",Projects!$C$8=BW$3),", "&amp;Projects!$A$8,"")&amp;IF(AND(Projects!$G$9="Yes",Projects!$C$9=BW$3),", "&amp;Projects!$A$9,"")&amp;IF(AND(Projects!$G$10="Yes",Projects!$C$10=BW$3),", "&amp;Projects!$A$10,"")&amp;IF(AND(Projects!$G$11="Yes",Projects!$C$11=BW$3),", "&amp;Projects!$A$11,"")&amp;IF(AND(Projects!$G$12="Yes",Projects!$C$12=BW$3),", "&amp;Projects!$A$12,"")&amp;IF(AND(Projects!$G$13="Yes",Projects!$C$13=BW$3),", "&amp;Projects!$A$13,"")&amp;IF(AND(Projects!$G$14="Yes",Projects!$C$14=BW$3),", "&amp;Projects!$A$14,"")&amp;IF(AND(Projects!$G$15="Yes",Projects!$C$15=BW$3),", "&amp;Projects!$A$15,"")&amp;IF(AND(Projects!$G$16="Yes",Projects!$C$16=BW$3),", "&amp;Projects!$A$16,"")&amp;IF(AND(Projects!$G$17="Yes",Projects!$C$17=BW$3),", "&amp;Projects!$A$17,"")&amp;IF(AND(Projects!$G$18="Yes",Projects!$C$18=BW$3),", "&amp;Projects!$A$18,"")&amp;IF(AND(Projects!$G$19="Yes",Projects!$C$19=BW$3),", "&amp;Projects!$A$19,"")&amp;IF(AND(Projects!$G$20="Yes",Projects!$C$20=BW$3),", "&amp;Projects!$A$20,"")&amp;IF(AND(Projects!$G$21="Yes",Projects!$C$21=BW$3),", "&amp;Projects!$A$21,"")&amp;IF(AND(Projects!$G$22="Yes",Projects!$C$22=BW$3),", "&amp;Projects!$A$22,"")&amp;IF(AND(Projects!$G$23="Yes",Projects!$C$23=BW$3),", "&amp;Projects!$A$23,"")&amp;IF(AND(Projects!$G$24="Yes",Projects!$C$24=BW$3),", "&amp;Projects!$A$24,"")&amp;IF(AND(Projects!$G$25="Yes",Projects!$C$25=BW$3),", "&amp;Projects!$A$25,"")&amp;IF(AND(Projects!$G$26="Yes",Projects!$C$26=BW$3),", "&amp;Projects!$A$26,"")&amp;IF(AND(Projects!$G$27="Yes",Projects!$C$27=BW$3),", "&amp;Projects!$A$27,"")&amp;IF(AND(Projects!$G$28="Yes",Projects!$C$28=BW$3),", "&amp;Projects!$A$28,"")&amp;IF(AND(Projects!$G$29="Yes",Projects!$C$29=BW$3),", "&amp;Projects!$A$29,"")&amp;IF(AND(Projects!$G$30="Yes",Projects!$C$30=BW$3),", "&amp;Projects!$A$30,"")&amp;IF(AND(Projects!$G$31="Yes",Projects!$C$31=BW$3),", "&amp;Projects!$A$31,"")&amp;IF(AND(Projects!$G$32="Yes",Projects!$C$32=BW$3),", "&amp;Projects!$A$32,"")&amp;IF(AND(Projects!$G$33="Yes",Projects!$C$33=BW$3),", "&amp;Projects!$A$33,"")&amp;IF(AND(Projects!$G$34="Yes",Projects!$C$34=BW$3),", "&amp;Projects!$A$34,"")&amp;IF(AND(Projects!$G$35="Yes",Projects!$C$35=BW$3),", "&amp;Projects!$A$35,"")&amp;IF(AND(Projects!$G$36="Yes",Projects!$C$36=BW$3),", "&amp;Projects!$A$36,"")&amp;IF(AND(Projects!$G$37="Yes",Projects!$C$37=BW$3),", "&amp;Projects!$A$37,"")&amp;IF(AND(Projects!$G$38="Yes",Projects!$C$38=BW$3),", "&amp;Projects!$A$38,"")&amp;IF(AND(Projects!$G$39="Yes",Projects!$C$39=BW$3),", "&amp;Projects!$A$39,"")&amp;IF(AND(Projects!$G$40="Yes",Projects!$C$40=BW$3),", "&amp;Projects!$A$40,"")&amp;IF(AND(Projects!$G$41="Yes",Projects!$C$41=BW$3),", "&amp;Projects!$A$41,"")&amp;IF(AND(Projects!$G$42="Yes",Projects!$C$42=BW$3),", "&amp;Projects!$A$42,"")&amp;IF(AND(Projects!$G$43="Yes",Projects!$C$43=BW$3),", "&amp;Projects!$A$43,"")&amp;IF(AND(Projects!$G$44="Yes",Projects!$C$44=BW$3),", "&amp;Projects!$A$44,"")&amp;IF(AND(Projects!$G$45="Yes",Projects!$C$45=BW$3),", "&amp;Projects!$A$45,"")&amp;IF(AND(Projects!$G$46="Yes",Projects!$C$46=BW$3),", "&amp;Projects!$A$46,""),3,10000)</f>
        <v/>
      </c>
      <c r="BX6" s="396">
        <f>MID(IF(AND(Projects!$G$2="Yes",Projects!$C$2=BX$3),", "&amp;Projects!$A$2,"")&amp;IF(AND(Projects!$G$3="Yes",Projects!$C$3=BX$3),", "&amp;Projects!$A$3,"")&amp;IF(AND(Projects!$G$4="Yes",Projects!$C$4=BX$3),", "&amp;Projects!$A$4,"")&amp;IF(AND(Projects!$G$5="Yes",Projects!$C$5=BX$3),", "&amp;Projects!$A$5,"")&amp;IF(AND(Projects!$G$6="Yes",Projects!$C$6=BX$3),", "&amp;Projects!$A$6,"")&amp;IF(AND(Projects!$G$7="Yes",Projects!$C$7=BX$3),", "&amp;Projects!$A$7,"")&amp;IF(AND(Projects!$G$8="Yes",Projects!$C$8=BX$3),", "&amp;Projects!$A$8,"")&amp;IF(AND(Projects!$G$9="Yes",Projects!$C$9=BX$3),", "&amp;Projects!$A$9,"")&amp;IF(AND(Projects!$G$10="Yes",Projects!$C$10=BX$3),", "&amp;Projects!$A$10,"")&amp;IF(AND(Projects!$G$11="Yes",Projects!$C$11=BX$3),", "&amp;Projects!$A$11,"")&amp;IF(AND(Projects!$G$12="Yes",Projects!$C$12=BX$3),", "&amp;Projects!$A$12,"")&amp;IF(AND(Projects!$G$13="Yes",Projects!$C$13=BX$3),", "&amp;Projects!$A$13,"")&amp;IF(AND(Projects!$G$14="Yes",Projects!$C$14=BX$3),", "&amp;Projects!$A$14,"")&amp;IF(AND(Projects!$G$15="Yes",Projects!$C$15=BX$3),", "&amp;Projects!$A$15,"")&amp;IF(AND(Projects!$G$16="Yes",Projects!$C$16=BX$3),", "&amp;Projects!$A$16,"")&amp;IF(AND(Projects!$G$17="Yes",Projects!$C$17=BX$3),", "&amp;Projects!$A$17,"")&amp;IF(AND(Projects!$G$18="Yes",Projects!$C$18=BX$3),", "&amp;Projects!$A$18,"")&amp;IF(AND(Projects!$G$19="Yes",Projects!$C$19=BX$3),", "&amp;Projects!$A$19,"")&amp;IF(AND(Projects!$G$20="Yes",Projects!$C$20=BX$3),", "&amp;Projects!$A$20,"")&amp;IF(AND(Projects!$G$21="Yes",Projects!$C$21=BX$3),", "&amp;Projects!$A$21,"")&amp;IF(AND(Projects!$G$22="Yes",Projects!$C$22=BX$3),", "&amp;Projects!$A$22,"")&amp;IF(AND(Projects!$G$23="Yes",Projects!$C$23=BX$3),", "&amp;Projects!$A$23,"")&amp;IF(AND(Projects!$G$24="Yes",Projects!$C$24=BX$3),", "&amp;Projects!$A$24,"")&amp;IF(AND(Projects!$G$25="Yes",Projects!$C$25=BX$3),", "&amp;Projects!$A$25,"")&amp;IF(AND(Projects!$G$26="Yes",Projects!$C$26=BX$3),", "&amp;Projects!$A$26,"")&amp;IF(AND(Projects!$G$27="Yes",Projects!$C$27=BX$3),", "&amp;Projects!$A$27,"")&amp;IF(AND(Projects!$G$28="Yes",Projects!$C$28=BX$3),", "&amp;Projects!$A$28,"")&amp;IF(AND(Projects!$G$29="Yes",Projects!$C$29=BX$3),", "&amp;Projects!$A$29,"")&amp;IF(AND(Projects!$G$30="Yes",Projects!$C$30=BX$3),", "&amp;Projects!$A$30,"")&amp;IF(AND(Projects!$G$31="Yes",Projects!$C$31=BX$3),", "&amp;Projects!$A$31,"")&amp;IF(AND(Projects!$G$32="Yes",Projects!$C$32=BX$3),", "&amp;Projects!$A$32,"")&amp;IF(AND(Projects!$G$33="Yes",Projects!$C$33=BX$3),", "&amp;Projects!$A$33,"")&amp;IF(AND(Projects!$G$34="Yes",Projects!$C$34=BX$3),", "&amp;Projects!$A$34,"")&amp;IF(AND(Projects!$G$35="Yes",Projects!$C$35=BX$3),", "&amp;Projects!$A$35,"")&amp;IF(AND(Projects!$G$36="Yes",Projects!$C$36=BX$3),", "&amp;Projects!$A$36,"")&amp;IF(AND(Projects!$G$37="Yes",Projects!$C$37=BX$3),", "&amp;Projects!$A$37,"")&amp;IF(AND(Projects!$G$38="Yes",Projects!$C$38=BX$3),", "&amp;Projects!$A$38,"")&amp;IF(AND(Projects!$G$39="Yes",Projects!$C$39=BX$3),", "&amp;Projects!$A$39,"")&amp;IF(AND(Projects!$G$40="Yes",Projects!$C$40=BX$3),", "&amp;Projects!$A$40,"")&amp;IF(AND(Projects!$G$41="Yes",Projects!$C$41=BX$3),", "&amp;Projects!$A$41,"")&amp;IF(AND(Projects!$G$42="Yes",Projects!$C$42=BX$3),", "&amp;Projects!$A$42,"")&amp;IF(AND(Projects!$G$43="Yes",Projects!$C$43=BX$3),", "&amp;Projects!$A$43,"")&amp;IF(AND(Projects!$G$44="Yes",Projects!$C$44=BX$3),", "&amp;Projects!$A$44,"")&amp;IF(AND(Projects!$G$45="Yes",Projects!$C$45=BX$3),", "&amp;Projects!$A$45,"")&amp;IF(AND(Projects!$G$46="Yes",Projects!$C$46=BX$3),", "&amp;Projects!$A$46,""),3,10000)</f>
        <v/>
      </c>
      <c r="BY6" s="396">
        <f>MID(IF(AND(Projects!$G$2="Yes",Projects!$C$2=BY$3),", "&amp;Projects!$A$2,"")&amp;IF(AND(Projects!$G$3="Yes",Projects!$C$3=BY$3),", "&amp;Projects!$A$3,"")&amp;IF(AND(Projects!$G$4="Yes",Projects!$C$4=BY$3),", "&amp;Projects!$A$4,"")&amp;IF(AND(Projects!$G$5="Yes",Projects!$C$5=BY$3),", "&amp;Projects!$A$5,"")&amp;IF(AND(Projects!$G$6="Yes",Projects!$C$6=BY$3),", "&amp;Projects!$A$6,"")&amp;IF(AND(Projects!$G$7="Yes",Projects!$C$7=BY$3),", "&amp;Projects!$A$7,"")&amp;IF(AND(Projects!$G$8="Yes",Projects!$C$8=BY$3),", "&amp;Projects!$A$8,"")&amp;IF(AND(Projects!$G$9="Yes",Projects!$C$9=BY$3),", "&amp;Projects!$A$9,"")&amp;IF(AND(Projects!$G$10="Yes",Projects!$C$10=BY$3),", "&amp;Projects!$A$10,"")&amp;IF(AND(Projects!$G$11="Yes",Projects!$C$11=BY$3),", "&amp;Projects!$A$11,"")&amp;IF(AND(Projects!$G$12="Yes",Projects!$C$12=BY$3),", "&amp;Projects!$A$12,"")&amp;IF(AND(Projects!$G$13="Yes",Projects!$C$13=BY$3),", "&amp;Projects!$A$13,"")&amp;IF(AND(Projects!$G$14="Yes",Projects!$C$14=BY$3),", "&amp;Projects!$A$14,"")&amp;IF(AND(Projects!$G$15="Yes",Projects!$C$15=BY$3),", "&amp;Projects!$A$15,"")&amp;IF(AND(Projects!$G$16="Yes",Projects!$C$16=BY$3),", "&amp;Projects!$A$16,"")&amp;IF(AND(Projects!$G$17="Yes",Projects!$C$17=BY$3),", "&amp;Projects!$A$17,"")&amp;IF(AND(Projects!$G$18="Yes",Projects!$C$18=BY$3),", "&amp;Projects!$A$18,"")&amp;IF(AND(Projects!$G$19="Yes",Projects!$C$19=BY$3),", "&amp;Projects!$A$19,"")&amp;IF(AND(Projects!$G$20="Yes",Projects!$C$20=BY$3),", "&amp;Projects!$A$20,"")&amp;IF(AND(Projects!$G$21="Yes",Projects!$C$21=BY$3),", "&amp;Projects!$A$21,"")&amp;IF(AND(Projects!$G$22="Yes",Projects!$C$22=BY$3),", "&amp;Projects!$A$22,"")&amp;IF(AND(Projects!$G$23="Yes",Projects!$C$23=BY$3),", "&amp;Projects!$A$23,"")&amp;IF(AND(Projects!$G$24="Yes",Projects!$C$24=BY$3),", "&amp;Projects!$A$24,"")&amp;IF(AND(Projects!$G$25="Yes",Projects!$C$25=BY$3),", "&amp;Projects!$A$25,"")&amp;IF(AND(Projects!$G$26="Yes",Projects!$C$26=BY$3),", "&amp;Projects!$A$26,"")&amp;IF(AND(Projects!$G$27="Yes",Projects!$C$27=BY$3),", "&amp;Projects!$A$27,"")&amp;IF(AND(Projects!$G$28="Yes",Projects!$C$28=BY$3),", "&amp;Projects!$A$28,"")&amp;IF(AND(Projects!$G$29="Yes",Projects!$C$29=BY$3),", "&amp;Projects!$A$29,"")&amp;IF(AND(Projects!$G$30="Yes",Projects!$C$30=BY$3),", "&amp;Projects!$A$30,"")&amp;IF(AND(Projects!$G$31="Yes",Projects!$C$31=BY$3),", "&amp;Projects!$A$31,"")&amp;IF(AND(Projects!$G$32="Yes",Projects!$C$32=BY$3),", "&amp;Projects!$A$32,"")&amp;IF(AND(Projects!$G$33="Yes",Projects!$C$33=BY$3),", "&amp;Projects!$A$33,"")&amp;IF(AND(Projects!$G$34="Yes",Projects!$C$34=BY$3),", "&amp;Projects!$A$34,"")&amp;IF(AND(Projects!$G$35="Yes",Projects!$C$35=BY$3),", "&amp;Projects!$A$35,"")&amp;IF(AND(Projects!$G$36="Yes",Projects!$C$36=BY$3),", "&amp;Projects!$A$36,"")&amp;IF(AND(Projects!$G$37="Yes",Projects!$C$37=BY$3),", "&amp;Projects!$A$37,"")&amp;IF(AND(Projects!$G$38="Yes",Projects!$C$38=BY$3),", "&amp;Projects!$A$38,"")&amp;IF(AND(Projects!$G$39="Yes",Projects!$C$39=BY$3),", "&amp;Projects!$A$39,"")&amp;IF(AND(Projects!$G$40="Yes",Projects!$C$40=BY$3),", "&amp;Projects!$A$40,"")&amp;IF(AND(Projects!$G$41="Yes",Projects!$C$41=BY$3),", "&amp;Projects!$A$41,"")&amp;IF(AND(Projects!$G$42="Yes",Projects!$C$42=BY$3),", "&amp;Projects!$A$42,"")&amp;IF(AND(Projects!$G$43="Yes",Projects!$C$43=BY$3),", "&amp;Projects!$A$43,"")&amp;IF(AND(Projects!$G$44="Yes",Projects!$C$44=BY$3),", "&amp;Projects!$A$44,"")&amp;IF(AND(Projects!$G$45="Yes",Projects!$C$45=BY$3),", "&amp;Projects!$A$45,"")&amp;IF(AND(Projects!$G$46="Yes",Projects!$C$46=BY$3),", "&amp;Projects!$A$46,""),3,10000)</f>
        <v/>
      </c>
      <c r="BZ6" s="396">
        <f>MID(IF(AND(Projects!$G$2="Yes",Projects!$C$2=BZ$3),", "&amp;Projects!$A$2,"")&amp;IF(AND(Projects!$G$3="Yes",Projects!$C$3=BZ$3),", "&amp;Projects!$A$3,"")&amp;IF(AND(Projects!$G$4="Yes",Projects!$C$4=BZ$3),", "&amp;Projects!$A$4,"")&amp;IF(AND(Projects!$G$5="Yes",Projects!$C$5=BZ$3),", "&amp;Projects!$A$5,"")&amp;IF(AND(Projects!$G$6="Yes",Projects!$C$6=BZ$3),", "&amp;Projects!$A$6,"")&amp;IF(AND(Projects!$G$7="Yes",Projects!$C$7=BZ$3),", "&amp;Projects!$A$7,"")&amp;IF(AND(Projects!$G$8="Yes",Projects!$C$8=BZ$3),", "&amp;Projects!$A$8,"")&amp;IF(AND(Projects!$G$9="Yes",Projects!$C$9=BZ$3),", "&amp;Projects!$A$9,"")&amp;IF(AND(Projects!$G$10="Yes",Projects!$C$10=BZ$3),", "&amp;Projects!$A$10,"")&amp;IF(AND(Projects!$G$11="Yes",Projects!$C$11=BZ$3),", "&amp;Projects!$A$11,"")&amp;IF(AND(Projects!$G$12="Yes",Projects!$C$12=BZ$3),", "&amp;Projects!$A$12,"")&amp;IF(AND(Projects!$G$13="Yes",Projects!$C$13=BZ$3),", "&amp;Projects!$A$13,"")&amp;IF(AND(Projects!$G$14="Yes",Projects!$C$14=BZ$3),", "&amp;Projects!$A$14,"")&amp;IF(AND(Projects!$G$15="Yes",Projects!$C$15=BZ$3),", "&amp;Projects!$A$15,"")&amp;IF(AND(Projects!$G$16="Yes",Projects!$C$16=BZ$3),", "&amp;Projects!$A$16,"")&amp;IF(AND(Projects!$G$17="Yes",Projects!$C$17=BZ$3),", "&amp;Projects!$A$17,"")&amp;IF(AND(Projects!$G$18="Yes",Projects!$C$18=BZ$3),", "&amp;Projects!$A$18,"")&amp;IF(AND(Projects!$G$19="Yes",Projects!$C$19=BZ$3),", "&amp;Projects!$A$19,"")&amp;IF(AND(Projects!$G$20="Yes",Projects!$C$20=BZ$3),", "&amp;Projects!$A$20,"")&amp;IF(AND(Projects!$G$21="Yes",Projects!$C$21=BZ$3),", "&amp;Projects!$A$21,"")&amp;IF(AND(Projects!$G$22="Yes",Projects!$C$22=BZ$3),", "&amp;Projects!$A$22,"")&amp;IF(AND(Projects!$G$23="Yes",Projects!$C$23=BZ$3),", "&amp;Projects!$A$23,"")&amp;IF(AND(Projects!$G$24="Yes",Projects!$C$24=BZ$3),", "&amp;Projects!$A$24,"")&amp;IF(AND(Projects!$G$25="Yes",Projects!$C$25=BZ$3),", "&amp;Projects!$A$25,"")&amp;IF(AND(Projects!$G$26="Yes",Projects!$C$26=BZ$3),", "&amp;Projects!$A$26,"")&amp;IF(AND(Projects!$G$27="Yes",Projects!$C$27=BZ$3),", "&amp;Projects!$A$27,"")&amp;IF(AND(Projects!$G$28="Yes",Projects!$C$28=BZ$3),", "&amp;Projects!$A$28,"")&amp;IF(AND(Projects!$G$29="Yes",Projects!$C$29=BZ$3),", "&amp;Projects!$A$29,"")&amp;IF(AND(Projects!$G$30="Yes",Projects!$C$30=BZ$3),", "&amp;Projects!$A$30,"")&amp;IF(AND(Projects!$G$31="Yes",Projects!$C$31=BZ$3),", "&amp;Projects!$A$31,"")&amp;IF(AND(Projects!$G$32="Yes",Projects!$C$32=BZ$3),", "&amp;Projects!$A$32,"")&amp;IF(AND(Projects!$G$33="Yes",Projects!$C$33=BZ$3),", "&amp;Projects!$A$33,"")&amp;IF(AND(Projects!$G$34="Yes",Projects!$C$34=BZ$3),", "&amp;Projects!$A$34,"")&amp;IF(AND(Projects!$G$35="Yes",Projects!$C$35=BZ$3),", "&amp;Projects!$A$35,"")&amp;IF(AND(Projects!$G$36="Yes",Projects!$C$36=BZ$3),", "&amp;Projects!$A$36,"")&amp;IF(AND(Projects!$G$37="Yes",Projects!$C$37=BZ$3),", "&amp;Projects!$A$37,"")&amp;IF(AND(Projects!$G$38="Yes",Projects!$C$38=BZ$3),", "&amp;Projects!$A$38,"")&amp;IF(AND(Projects!$G$39="Yes",Projects!$C$39=BZ$3),", "&amp;Projects!$A$39,"")&amp;IF(AND(Projects!$G$40="Yes",Projects!$C$40=BZ$3),", "&amp;Projects!$A$40,"")&amp;IF(AND(Projects!$G$41="Yes",Projects!$C$41=BZ$3),", "&amp;Projects!$A$41,"")&amp;IF(AND(Projects!$G$42="Yes",Projects!$C$42=BZ$3),", "&amp;Projects!$A$42,"")&amp;IF(AND(Projects!$G$43="Yes",Projects!$C$43=BZ$3),", "&amp;Projects!$A$43,"")&amp;IF(AND(Projects!$G$44="Yes",Projects!$C$44=BZ$3),", "&amp;Projects!$A$44,"")&amp;IF(AND(Projects!$G$45="Yes",Projects!$C$45=BZ$3),", "&amp;Projects!$A$45,"")&amp;IF(AND(Projects!$G$46="Yes",Projects!$C$46=BZ$3),", "&amp;Projects!$A$46,""),3,10000)</f>
        <v/>
      </c>
      <c r="CA6" s="396">
        <f>MID(IF(AND(Projects!$G$2="Yes",Projects!$C$2=CA$3),", "&amp;Projects!$A$2,"")&amp;IF(AND(Projects!$G$3="Yes",Projects!$C$3=CA$3),", "&amp;Projects!$A$3,"")&amp;IF(AND(Projects!$G$4="Yes",Projects!$C$4=CA$3),", "&amp;Projects!$A$4,"")&amp;IF(AND(Projects!$G$5="Yes",Projects!$C$5=CA$3),", "&amp;Projects!$A$5,"")&amp;IF(AND(Projects!$G$6="Yes",Projects!$C$6=CA$3),", "&amp;Projects!$A$6,"")&amp;IF(AND(Projects!$G$7="Yes",Projects!$C$7=CA$3),", "&amp;Projects!$A$7,"")&amp;IF(AND(Projects!$G$8="Yes",Projects!$C$8=CA$3),", "&amp;Projects!$A$8,"")&amp;IF(AND(Projects!$G$9="Yes",Projects!$C$9=CA$3),", "&amp;Projects!$A$9,"")&amp;IF(AND(Projects!$G$10="Yes",Projects!$C$10=CA$3),", "&amp;Projects!$A$10,"")&amp;IF(AND(Projects!$G$11="Yes",Projects!$C$11=CA$3),", "&amp;Projects!$A$11,"")&amp;IF(AND(Projects!$G$12="Yes",Projects!$C$12=CA$3),", "&amp;Projects!$A$12,"")&amp;IF(AND(Projects!$G$13="Yes",Projects!$C$13=CA$3),", "&amp;Projects!$A$13,"")&amp;IF(AND(Projects!$G$14="Yes",Projects!$C$14=CA$3),", "&amp;Projects!$A$14,"")&amp;IF(AND(Projects!$G$15="Yes",Projects!$C$15=CA$3),", "&amp;Projects!$A$15,"")&amp;IF(AND(Projects!$G$16="Yes",Projects!$C$16=CA$3),", "&amp;Projects!$A$16,"")&amp;IF(AND(Projects!$G$17="Yes",Projects!$C$17=CA$3),", "&amp;Projects!$A$17,"")&amp;IF(AND(Projects!$G$18="Yes",Projects!$C$18=CA$3),", "&amp;Projects!$A$18,"")&amp;IF(AND(Projects!$G$19="Yes",Projects!$C$19=CA$3),", "&amp;Projects!$A$19,"")&amp;IF(AND(Projects!$G$20="Yes",Projects!$C$20=CA$3),", "&amp;Projects!$A$20,"")&amp;IF(AND(Projects!$G$21="Yes",Projects!$C$21=CA$3),", "&amp;Projects!$A$21,"")&amp;IF(AND(Projects!$G$22="Yes",Projects!$C$22=CA$3),", "&amp;Projects!$A$22,"")&amp;IF(AND(Projects!$G$23="Yes",Projects!$C$23=CA$3),", "&amp;Projects!$A$23,"")&amp;IF(AND(Projects!$G$24="Yes",Projects!$C$24=CA$3),", "&amp;Projects!$A$24,"")&amp;IF(AND(Projects!$G$25="Yes",Projects!$C$25=CA$3),", "&amp;Projects!$A$25,"")&amp;IF(AND(Projects!$G$26="Yes",Projects!$C$26=CA$3),", "&amp;Projects!$A$26,"")&amp;IF(AND(Projects!$G$27="Yes",Projects!$C$27=CA$3),", "&amp;Projects!$A$27,"")&amp;IF(AND(Projects!$G$28="Yes",Projects!$C$28=CA$3),", "&amp;Projects!$A$28,"")&amp;IF(AND(Projects!$G$29="Yes",Projects!$C$29=CA$3),", "&amp;Projects!$A$29,"")&amp;IF(AND(Projects!$G$30="Yes",Projects!$C$30=CA$3),", "&amp;Projects!$A$30,"")&amp;IF(AND(Projects!$G$31="Yes",Projects!$C$31=CA$3),", "&amp;Projects!$A$31,"")&amp;IF(AND(Projects!$G$32="Yes",Projects!$C$32=CA$3),", "&amp;Projects!$A$32,"")&amp;IF(AND(Projects!$G$33="Yes",Projects!$C$33=CA$3),", "&amp;Projects!$A$33,"")&amp;IF(AND(Projects!$G$34="Yes",Projects!$C$34=CA$3),", "&amp;Projects!$A$34,"")&amp;IF(AND(Projects!$G$35="Yes",Projects!$C$35=CA$3),", "&amp;Projects!$A$35,"")&amp;IF(AND(Projects!$G$36="Yes",Projects!$C$36=CA$3),", "&amp;Projects!$A$36,"")&amp;IF(AND(Projects!$G$37="Yes",Projects!$C$37=CA$3),", "&amp;Projects!$A$37,"")&amp;IF(AND(Projects!$G$38="Yes",Projects!$C$38=CA$3),", "&amp;Projects!$A$38,"")&amp;IF(AND(Projects!$G$39="Yes",Projects!$C$39=CA$3),", "&amp;Projects!$A$39,"")&amp;IF(AND(Projects!$G$40="Yes",Projects!$C$40=CA$3),", "&amp;Projects!$A$40,"")&amp;IF(AND(Projects!$G$41="Yes",Projects!$C$41=CA$3),", "&amp;Projects!$A$41,"")&amp;IF(AND(Projects!$G$42="Yes",Projects!$C$42=CA$3),", "&amp;Projects!$A$42,"")&amp;IF(AND(Projects!$G$43="Yes",Projects!$C$43=CA$3),", "&amp;Projects!$A$43,"")&amp;IF(AND(Projects!$G$44="Yes",Projects!$C$44=CA$3),", "&amp;Projects!$A$44,"")&amp;IF(AND(Projects!$G$45="Yes",Projects!$C$45=CA$3),", "&amp;Projects!$A$45,"")&amp;IF(AND(Projects!$G$46="Yes",Projects!$C$46=CA$3),", "&amp;Projects!$A$46,""),3,10000)</f>
        <v/>
      </c>
      <c r="CB6" s="396">
        <f>MID(IF(AND(Projects!$G$2="Yes",Projects!$C$2=CB$3),", "&amp;Projects!$A$2,"")&amp;IF(AND(Projects!$G$3="Yes",Projects!$C$3=CB$3),", "&amp;Projects!$A$3,"")&amp;IF(AND(Projects!$G$4="Yes",Projects!$C$4=CB$3),", "&amp;Projects!$A$4,"")&amp;IF(AND(Projects!$G$5="Yes",Projects!$C$5=CB$3),", "&amp;Projects!$A$5,"")&amp;IF(AND(Projects!$G$6="Yes",Projects!$C$6=CB$3),", "&amp;Projects!$A$6,"")&amp;IF(AND(Projects!$G$7="Yes",Projects!$C$7=CB$3),", "&amp;Projects!$A$7,"")&amp;IF(AND(Projects!$G$8="Yes",Projects!$C$8=CB$3),", "&amp;Projects!$A$8,"")&amp;IF(AND(Projects!$G$9="Yes",Projects!$C$9=CB$3),", "&amp;Projects!$A$9,"")&amp;IF(AND(Projects!$G$10="Yes",Projects!$C$10=CB$3),", "&amp;Projects!$A$10,"")&amp;IF(AND(Projects!$G$11="Yes",Projects!$C$11=CB$3),", "&amp;Projects!$A$11,"")&amp;IF(AND(Projects!$G$12="Yes",Projects!$C$12=CB$3),", "&amp;Projects!$A$12,"")&amp;IF(AND(Projects!$G$13="Yes",Projects!$C$13=CB$3),", "&amp;Projects!$A$13,"")&amp;IF(AND(Projects!$G$14="Yes",Projects!$C$14=CB$3),", "&amp;Projects!$A$14,"")&amp;IF(AND(Projects!$G$15="Yes",Projects!$C$15=CB$3),", "&amp;Projects!$A$15,"")&amp;IF(AND(Projects!$G$16="Yes",Projects!$C$16=CB$3),", "&amp;Projects!$A$16,"")&amp;IF(AND(Projects!$G$17="Yes",Projects!$C$17=CB$3),", "&amp;Projects!$A$17,"")&amp;IF(AND(Projects!$G$18="Yes",Projects!$C$18=CB$3),", "&amp;Projects!$A$18,"")&amp;IF(AND(Projects!$G$19="Yes",Projects!$C$19=CB$3),", "&amp;Projects!$A$19,"")&amp;IF(AND(Projects!$G$20="Yes",Projects!$C$20=CB$3),", "&amp;Projects!$A$20,"")&amp;IF(AND(Projects!$G$21="Yes",Projects!$C$21=CB$3),", "&amp;Projects!$A$21,"")&amp;IF(AND(Projects!$G$22="Yes",Projects!$C$22=CB$3),", "&amp;Projects!$A$22,"")&amp;IF(AND(Projects!$G$23="Yes",Projects!$C$23=CB$3),", "&amp;Projects!$A$23,"")&amp;IF(AND(Projects!$G$24="Yes",Projects!$C$24=CB$3),", "&amp;Projects!$A$24,"")&amp;IF(AND(Projects!$G$25="Yes",Projects!$C$25=CB$3),", "&amp;Projects!$A$25,"")&amp;IF(AND(Projects!$G$26="Yes",Projects!$C$26=CB$3),", "&amp;Projects!$A$26,"")&amp;IF(AND(Projects!$G$27="Yes",Projects!$C$27=CB$3),", "&amp;Projects!$A$27,"")&amp;IF(AND(Projects!$G$28="Yes",Projects!$C$28=CB$3),", "&amp;Projects!$A$28,"")&amp;IF(AND(Projects!$G$29="Yes",Projects!$C$29=CB$3),", "&amp;Projects!$A$29,"")&amp;IF(AND(Projects!$G$30="Yes",Projects!$C$30=CB$3),", "&amp;Projects!$A$30,"")&amp;IF(AND(Projects!$G$31="Yes",Projects!$C$31=CB$3),", "&amp;Projects!$A$31,"")&amp;IF(AND(Projects!$G$32="Yes",Projects!$C$32=CB$3),", "&amp;Projects!$A$32,"")&amp;IF(AND(Projects!$G$33="Yes",Projects!$C$33=CB$3),", "&amp;Projects!$A$33,"")&amp;IF(AND(Projects!$G$34="Yes",Projects!$C$34=CB$3),", "&amp;Projects!$A$34,"")&amp;IF(AND(Projects!$G$35="Yes",Projects!$C$35=CB$3),", "&amp;Projects!$A$35,"")&amp;IF(AND(Projects!$G$36="Yes",Projects!$C$36=CB$3),", "&amp;Projects!$A$36,"")&amp;IF(AND(Projects!$G$37="Yes",Projects!$C$37=CB$3),", "&amp;Projects!$A$37,"")&amp;IF(AND(Projects!$G$38="Yes",Projects!$C$38=CB$3),", "&amp;Projects!$A$38,"")&amp;IF(AND(Projects!$G$39="Yes",Projects!$C$39=CB$3),", "&amp;Projects!$A$39,"")&amp;IF(AND(Projects!$G$40="Yes",Projects!$C$40=CB$3),", "&amp;Projects!$A$40,"")&amp;IF(AND(Projects!$G$41="Yes",Projects!$C$41=CB$3),", "&amp;Projects!$A$41,"")&amp;IF(AND(Projects!$G$42="Yes",Projects!$C$42=CB$3),", "&amp;Projects!$A$42,"")&amp;IF(AND(Projects!$G$43="Yes",Projects!$C$43=CB$3),", "&amp;Projects!$A$43,"")&amp;IF(AND(Projects!$G$44="Yes",Projects!$C$44=CB$3),", "&amp;Projects!$A$44,"")&amp;IF(AND(Projects!$G$45="Yes",Projects!$C$45=CB$3),", "&amp;Projects!$A$45,"")&amp;IF(AND(Projects!$G$46="Yes",Projects!$C$46=CB$3),", "&amp;Projects!$A$46,""),3,10000)</f>
        <v/>
      </c>
      <c r="CC6" s="396">
        <f>MID(IF(AND(Projects!$G$2="Yes",Projects!$C$2=CC$3),", "&amp;Projects!$A$2,"")&amp;IF(AND(Projects!$G$3="Yes",Projects!$C$3=CC$3),", "&amp;Projects!$A$3,"")&amp;IF(AND(Projects!$G$4="Yes",Projects!$C$4=CC$3),", "&amp;Projects!$A$4,"")&amp;IF(AND(Projects!$G$5="Yes",Projects!$C$5=CC$3),", "&amp;Projects!$A$5,"")&amp;IF(AND(Projects!$G$6="Yes",Projects!$C$6=CC$3),", "&amp;Projects!$A$6,"")&amp;IF(AND(Projects!$G$7="Yes",Projects!$C$7=CC$3),", "&amp;Projects!$A$7,"")&amp;IF(AND(Projects!$G$8="Yes",Projects!$C$8=CC$3),", "&amp;Projects!$A$8,"")&amp;IF(AND(Projects!$G$9="Yes",Projects!$C$9=CC$3),", "&amp;Projects!$A$9,"")&amp;IF(AND(Projects!$G$10="Yes",Projects!$C$10=CC$3),", "&amp;Projects!$A$10,"")&amp;IF(AND(Projects!$G$11="Yes",Projects!$C$11=CC$3),", "&amp;Projects!$A$11,"")&amp;IF(AND(Projects!$G$12="Yes",Projects!$C$12=CC$3),", "&amp;Projects!$A$12,"")&amp;IF(AND(Projects!$G$13="Yes",Projects!$C$13=CC$3),", "&amp;Projects!$A$13,"")&amp;IF(AND(Projects!$G$14="Yes",Projects!$C$14=CC$3),", "&amp;Projects!$A$14,"")&amp;IF(AND(Projects!$G$15="Yes",Projects!$C$15=CC$3),", "&amp;Projects!$A$15,"")&amp;IF(AND(Projects!$G$16="Yes",Projects!$C$16=CC$3),", "&amp;Projects!$A$16,"")&amp;IF(AND(Projects!$G$17="Yes",Projects!$C$17=CC$3),", "&amp;Projects!$A$17,"")&amp;IF(AND(Projects!$G$18="Yes",Projects!$C$18=CC$3),", "&amp;Projects!$A$18,"")&amp;IF(AND(Projects!$G$19="Yes",Projects!$C$19=CC$3),", "&amp;Projects!$A$19,"")&amp;IF(AND(Projects!$G$20="Yes",Projects!$C$20=CC$3),", "&amp;Projects!$A$20,"")&amp;IF(AND(Projects!$G$21="Yes",Projects!$C$21=CC$3),", "&amp;Projects!$A$21,"")&amp;IF(AND(Projects!$G$22="Yes",Projects!$C$22=CC$3),", "&amp;Projects!$A$22,"")&amp;IF(AND(Projects!$G$23="Yes",Projects!$C$23=CC$3),", "&amp;Projects!$A$23,"")&amp;IF(AND(Projects!$G$24="Yes",Projects!$C$24=CC$3),", "&amp;Projects!$A$24,"")&amp;IF(AND(Projects!$G$25="Yes",Projects!$C$25=CC$3),", "&amp;Projects!$A$25,"")&amp;IF(AND(Projects!$G$26="Yes",Projects!$C$26=CC$3),", "&amp;Projects!$A$26,"")&amp;IF(AND(Projects!$G$27="Yes",Projects!$C$27=CC$3),", "&amp;Projects!$A$27,"")&amp;IF(AND(Projects!$G$28="Yes",Projects!$C$28=CC$3),", "&amp;Projects!$A$28,"")&amp;IF(AND(Projects!$G$29="Yes",Projects!$C$29=CC$3),", "&amp;Projects!$A$29,"")&amp;IF(AND(Projects!$G$30="Yes",Projects!$C$30=CC$3),", "&amp;Projects!$A$30,"")&amp;IF(AND(Projects!$G$31="Yes",Projects!$C$31=CC$3),", "&amp;Projects!$A$31,"")&amp;IF(AND(Projects!$G$32="Yes",Projects!$C$32=CC$3),", "&amp;Projects!$A$32,"")&amp;IF(AND(Projects!$G$33="Yes",Projects!$C$33=CC$3),", "&amp;Projects!$A$33,"")&amp;IF(AND(Projects!$G$34="Yes",Projects!$C$34=CC$3),", "&amp;Projects!$A$34,"")&amp;IF(AND(Projects!$G$35="Yes",Projects!$C$35=CC$3),", "&amp;Projects!$A$35,"")&amp;IF(AND(Projects!$G$36="Yes",Projects!$C$36=CC$3),", "&amp;Projects!$A$36,"")&amp;IF(AND(Projects!$G$37="Yes",Projects!$C$37=CC$3),", "&amp;Projects!$A$37,"")&amp;IF(AND(Projects!$G$38="Yes",Projects!$C$38=CC$3),", "&amp;Projects!$A$38,"")&amp;IF(AND(Projects!$G$39="Yes",Projects!$C$39=CC$3),", "&amp;Projects!$A$39,"")&amp;IF(AND(Projects!$G$40="Yes",Projects!$C$40=CC$3),", "&amp;Projects!$A$40,"")&amp;IF(AND(Projects!$G$41="Yes",Projects!$C$41=CC$3),", "&amp;Projects!$A$41,"")&amp;IF(AND(Projects!$G$42="Yes",Projects!$C$42=CC$3),", "&amp;Projects!$A$42,"")&amp;IF(AND(Projects!$G$43="Yes",Projects!$C$43=CC$3),", "&amp;Projects!$A$43,"")&amp;IF(AND(Projects!$G$44="Yes",Projects!$C$44=CC$3),", "&amp;Projects!$A$44,"")&amp;IF(AND(Projects!$G$45="Yes",Projects!$C$45=CC$3),", "&amp;Projects!$A$45,"")&amp;IF(AND(Projects!$G$46="Yes",Projects!$C$46=CC$3),", "&amp;Projects!$A$46,""),3,10000)</f>
        <v/>
      </c>
      <c r="CD6" s="396">
        <f>MID(IF(AND(Projects!$G$2="Yes",Projects!$C$2=CD$3),", "&amp;Projects!$A$2,"")&amp;IF(AND(Projects!$G$3="Yes",Projects!$C$3=CD$3),", "&amp;Projects!$A$3,"")&amp;IF(AND(Projects!$G$4="Yes",Projects!$C$4=CD$3),", "&amp;Projects!$A$4,"")&amp;IF(AND(Projects!$G$5="Yes",Projects!$C$5=CD$3),", "&amp;Projects!$A$5,"")&amp;IF(AND(Projects!$G$6="Yes",Projects!$C$6=CD$3),", "&amp;Projects!$A$6,"")&amp;IF(AND(Projects!$G$7="Yes",Projects!$C$7=CD$3),", "&amp;Projects!$A$7,"")&amp;IF(AND(Projects!$G$8="Yes",Projects!$C$8=CD$3),", "&amp;Projects!$A$8,"")&amp;IF(AND(Projects!$G$9="Yes",Projects!$C$9=CD$3),", "&amp;Projects!$A$9,"")&amp;IF(AND(Projects!$G$10="Yes",Projects!$C$10=CD$3),", "&amp;Projects!$A$10,"")&amp;IF(AND(Projects!$G$11="Yes",Projects!$C$11=CD$3),", "&amp;Projects!$A$11,"")&amp;IF(AND(Projects!$G$12="Yes",Projects!$C$12=CD$3),", "&amp;Projects!$A$12,"")&amp;IF(AND(Projects!$G$13="Yes",Projects!$C$13=CD$3),", "&amp;Projects!$A$13,"")&amp;IF(AND(Projects!$G$14="Yes",Projects!$C$14=CD$3),", "&amp;Projects!$A$14,"")&amp;IF(AND(Projects!$G$15="Yes",Projects!$C$15=CD$3),", "&amp;Projects!$A$15,"")&amp;IF(AND(Projects!$G$16="Yes",Projects!$C$16=CD$3),", "&amp;Projects!$A$16,"")&amp;IF(AND(Projects!$G$17="Yes",Projects!$C$17=CD$3),", "&amp;Projects!$A$17,"")&amp;IF(AND(Projects!$G$18="Yes",Projects!$C$18=CD$3),", "&amp;Projects!$A$18,"")&amp;IF(AND(Projects!$G$19="Yes",Projects!$C$19=CD$3),", "&amp;Projects!$A$19,"")&amp;IF(AND(Projects!$G$20="Yes",Projects!$C$20=CD$3),", "&amp;Projects!$A$20,"")&amp;IF(AND(Projects!$G$21="Yes",Projects!$C$21=CD$3),", "&amp;Projects!$A$21,"")&amp;IF(AND(Projects!$G$22="Yes",Projects!$C$22=CD$3),", "&amp;Projects!$A$22,"")&amp;IF(AND(Projects!$G$23="Yes",Projects!$C$23=CD$3),", "&amp;Projects!$A$23,"")&amp;IF(AND(Projects!$G$24="Yes",Projects!$C$24=CD$3),", "&amp;Projects!$A$24,"")&amp;IF(AND(Projects!$G$25="Yes",Projects!$C$25=CD$3),", "&amp;Projects!$A$25,"")&amp;IF(AND(Projects!$G$26="Yes",Projects!$C$26=CD$3),", "&amp;Projects!$A$26,"")&amp;IF(AND(Projects!$G$27="Yes",Projects!$C$27=CD$3),", "&amp;Projects!$A$27,"")&amp;IF(AND(Projects!$G$28="Yes",Projects!$C$28=CD$3),", "&amp;Projects!$A$28,"")&amp;IF(AND(Projects!$G$29="Yes",Projects!$C$29=CD$3),", "&amp;Projects!$A$29,"")&amp;IF(AND(Projects!$G$30="Yes",Projects!$C$30=CD$3),", "&amp;Projects!$A$30,"")&amp;IF(AND(Projects!$G$31="Yes",Projects!$C$31=CD$3),", "&amp;Projects!$A$31,"")&amp;IF(AND(Projects!$G$32="Yes",Projects!$C$32=CD$3),", "&amp;Projects!$A$32,"")&amp;IF(AND(Projects!$G$33="Yes",Projects!$C$33=CD$3),", "&amp;Projects!$A$33,"")&amp;IF(AND(Projects!$G$34="Yes",Projects!$C$34=CD$3),", "&amp;Projects!$A$34,"")&amp;IF(AND(Projects!$G$35="Yes",Projects!$C$35=CD$3),", "&amp;Projects!$A$35,"")&amp;IF(AND(Projects!$G$36="Yes",Projects!$C$36=CD$3),", "&amp;Projects!$A$36,"")&amp;IF(AND(Projects!$G$37="Yes",Projects!$C$37=CD$3),", "&amp;Projects!$A$37,"")&amp;IF(AND(Projects!$G$38="Yes",Projects!$C$38=CD$3),", "&amp;Projects!$A$38,"")&amp;IF(AND(Projects!$G$39="Yes",Projects!$C$39=CD$3),", "&amp;Projects!$A$39,"")&amp;IF(AND(Projects!$G$40="Yes",Projects!$C$40=CD$3),", "&amp;Projects!$A$40,"")&amp;IF(AND(Projects!$G$41="Yes",Projects!$C$41=CD$3),", "&amp;Projects!$A$41,"")&amp;IF(AND(Projects!$G$42="Yes",Projects!$C$42=CD$3),", "&amp;Projects!$A$42,"")&amp;IF(AND(Projects!$G$43="Yes",Projects!$C$43=CD$3),", "&amp;Projects!$A$43,"")&amp;IF(AND(Projects!$G$44="Yes",Projects!$C$44=CD$3),", "&amp;Projects!$A$44,"")&amp;IF(AND(Projects!$G$45="Yes",Projects!$C$45=CD$3),", "&amp;Projects!$A$45,"")&amp;IF(AND(Projects!$G$46="Yes",Projects!$C$46=CD$3),", "&amp;Projects!$A$46,""),3,10000)</f>
        <v/>
      </c>
      <c r="CE6" s="396">
        <f>MID(IF(AND(Projects!$G$2="Yes",Projects!$C$2=CE$3),", "&amp;Projects!$A$2,"")&amp;IF(AND(Projects!$G$3="Yes",Projects!$C$3=CE$3),", "&amp;Projects!$A$3,"")&amp;IF(AND(Projects!$G$4="Yes",Projects!$C$4=CE$3),", "&amp;Projects!$A$4,"")&amp;IF(AND(Projects!$G$5="Yes",Projects!$C$5=CE$3),", "&amp;Projects!$A$5,"")&amp;IF(AND(Projects!$G$6="Yes",Projects!$C$6=CE$3),", "&amp;Projects!$A$6,"")&amp;IF(AND(Projects!$G$7="Yes",Projects!$C$7=CE$3),", "&amp;Projects!$A$7,"")&amp;IF(AND(Projects!$G$8="Yes",Projects!$C$8=CE$3),", "&amp;Projects!$A$8,"")&amp;IF(AND(Projects!$G$9="Yes",Projects!$C$9=CE$3),", "&amp;Projects!$A$9,"")&amp;IF(AND(Projects!$G$10="Yes",Projects!$C$10=CE$3),", "&amp;Projects!$A$10,"")&amp;IF(AND(Projects!$G$11="Yes",Projects!$C$11=CE$3),", "&amp;Projects!$A$11,"")&amp;IF(AND(Projects!$G$12="Yes",Projects!$C$12=CE$3),", "&amp;Projects!$A$12,"")&amp;IF(AND(Projects!$G$13="Yes",Projects!$C$13=CE$3),", "&amp;Projects!$A$13,"")&amp;IF(AND(Projects!$G$14="Yes",Projects!$C$14=CE$3),", "&amp;Projects!$A$14,"")&amp;IF(AND(Projects!$G$15="Yes",Projects!$C$15=CE$3),", "&amp;Projects!$A$15,"")&amp;IF(AND(Projects!$G$16="Yes",Projects!$C$16=CE$3),", "&amp;Projects!$A$16,"")&amp;IF(AND(Projects!$G$17="Yes",Projects!$C$17=CE$3),", "&amp;Projects!$A$17,"")&amp;IF(AND(Projects!$G$18="Yes",Projects!$C$18=CE$3),", "&amp;Projects!$A$18,"")&amp;IF(AND(Projects!$G$19="Yes",Projects!$C$19=CE$3),", "&amp;Projects!$A$19,"")&amp;IF(AND(Projects!$G$20="Yes",Projects!$C$20=CE$3),", "&amp;Projects!$A$20,"")&amp;IF(AND(Projects!$G$21="Yes",Projects!$C$21=CE$3),", "&amp;Projects!$A$21,"")&amp;IF(AND(Projects!$G$22="Yes",Projects!$C$22=CE$3),", "&amp;Projects!$A$22,"")&amp;IF(AND(Projects!$G$23="Yes",Projects!$C$23=CE$3),", "&amp;Projects!$A$23,"")&amp;IF(AND(Projects!$G$24="Yes",Projects!$C$24=CE$3),", "&amp;Projects!$A$24,"")&amp;IF(AND(Projects!$G$25="Yes",Projects!$C$25=CE$3),", "&amp;Projects!$A$25,"")&amp;IF(AND(Projects!$G$26="Yes",Projects!$C$26=CE$3),", "&amp;Projects!$A$26,"")&amp;IF(AND(Projects!$G$27="Yes",Projects!$C$27=CE$3),", "&amp;Projects!$A$27,"")&amp;IF(AND(Projects!$G$28="Yes",Projects!$C$28=CE$3),", "&amp;Projects!$A$28,"")&amp;IF(AND(Projects!$G$29="Yes",Projects!$C$29=CE$3),", "&amp;Projects!$A$29,"")&amp;IF(AND(Projects!$G$30="Yes",Projects!$C$30=CE$3),", "&amp;Projects!$A$30,"")&amp;IF(AND(Projects!$G$31="Yes",Projects!$C$31=CE$3),", "&amp;Projects!$A$31,"")&amp;IF(AND(Projects!$G$32="Yes",Projects!$C$32=CE$3),", "&amp;Projects!$A$32,"")&amp;IF(AND(Projects!$G$33="Yes",Projects!$C$33=CE$3),", "&amp;Projects!$A$33,"")&amp;IF(AND(Projects!$G$34="Yes",Projects!$C$34=CE$3),", "&amp;Projects!$A$34,"")&amp;IF(AND(Projects!$G$35="Yes",Projects!$C$35=CE$3),", "&amp;Projects!$A$35,"")&amp;IF(AND(Projects!$G$36="Yes",Projects!$C$36=CE$3),", "&amp;Projects!$A$36,"")&amp;IF(AND(Projects!$G$37="Yes",Projects!$C$37=CE$3),", "&amp;Projects!$A$37,"")&amp;IF(AND(Projects!$G$38="Yes",Projects!$C$38=CE$3),", "&amp;Projects!$A$38,"")&amp;IF(AND(Projects!$G$39="Yes",Projects!$C$39=CE$3),", "&amp;Projects!$A$39,"")&amp;IF(AND(Projects!$G$40="Yes",Projects!$C$40=CE$3),", "&amp;Projects!$A$40,"")&amp;IF(AND(Projects!$G$41="Yes",Projects!$C$41=CE$3),", "&amp;Projects!$A$41,"")&amp;IF(AND(Projects!$G$42="Yes",Projects!$C$42=CE$3),", "&amp;Projects!$A$42,"")&amp;IF(AND(Projects!$G$43="Yes",Projects!$C$43=CE$3),", "&amp;Projects!$A$43,"")&amp;IF(AND(Projects!$G$44="Yes",Projects!$C$44=CE$3),", "&amp;Projects!$A$44,"")&amp;IF(AND(Projects!$G$45="Yes",Projects!$C$45=CE$3),", "&amp;Projects!$A$45,"")&amp;IF(AND(Projects!$G$46="Yes",Projects!$C$46=CE$3),", "&amp;Projects!$A$46,""),3,10000)</f>
        <v/>
      </c>
      <c r="CF6" s="396">
        <f>MID(IF(AND(Projects!$G$2="Yes",Projects!$C$2=CF$3),", "&amp;Projects!$A$2,"")&amp;IF(AND(Projects!$G$3="Yes",Projects!$C$3=CF$3),", "&amp;Projects!$A$3,"")&amp;IF(AND(Projects!$G$4="Yes",Projects!$C$4=CF$3),", "&amp;Projects!$A$4,"")&amp;IF(AND(Projects!$G$5="Yes",Projects!$C$5=CF$3),", "&amp;Projects!$A$5,"")&amp;IF(AND(Projects!$G$6="Yes",Projects!$C$6=CF$3),", "&amp;Projects!$A$6,"")&amp;IF(AND(Projects!$G$7="Yes",Projects!$C$7=CF$3),", "&amp;Projects!$A$7,"")&amp;IF(AND(Projects!$G$8="Yes",Projects!$C$8=CF$3),", "&amp;Projects!$A$8,"")&amp;IF(AND(Projects!$G$9="Yes",Projects!$C$9=CF$3),", "&amp;Projects!$A$9,"")&amp;IF(AND(Projects!$G$10="Yes",Projects!$C$10=CF$3),", "&amp;Projects!$A$10,"")&amp;IF(AND(Projects!$G$11="Yes",Projects!$C$11=CF$3),", "&amp;Projects!$A$11,"")&amp;IF(AND(Projects!$G$12="Yes",Projects!$C$12=CF$3),", "&amp;Projects!$A$12,"")&amp;IF(AND(Projects!$G$13="Yes",Projects!$C$13=CF$3),", "&amp;Projects!$A$13,"")&amp;IF(AND(Projects!$G$14="Yes",Projects!$C$14=CF$3),", "&amp;Projects!$A$14,"")&amp;IF(AND(Projects!$G$15="Yes",Projects!$C$15=CF$3),", "&amp;Projects!$A$15,"")&amp;IF(AND(Projects!$G$16="Yes",Projects!$C$16=CF$3),", "&amp;Projects!$A$16,"")&amp;IF(AND(Projects!$G$17="Yes",Projects!$C$17=CF$3),", "&amp;Projects!$A$17,"")&amp;IF(AND(Projects!$G$18="Yes",Projects!$C$18=CF$3),", "&amp;Projects!$A$18,"")&amp;IF(AND(Projects!$G$19="Yes",Projects!$C$19=CF$3),", "&amp;Projects!$A$19,"")&amp;IF(AND(Projects!$G$20="Yes",Projects!$C$20=CF$3),", "&amp;Projects!$A$20,"")&amp;IF(AND(Projects!$G$21="Yes",Projects!$C$21=CF$3),", "&amp;Projects!$A$21,"")&amp;IF(AND(Projects!$G$22="Yes",Projects!$C$22=CF$3),", "&amp;Projects!$A$22,"")&amp;IF(AND(Projects!$G$23="Yes",Projects!$C$23=CF$3),", "&amp;Projects!$A$23,"")&amp;IF(AND(Projects!$G$24="Yes",Projects!$C$24=CF$3),", "&amp;Projects!$A$24,"")&amp;IF(AND(Projects!$G$25="Yes",Projects!$C$25=CF$3),", "&amp;Projects!$A$25,"")&amp;IF(AND(Projects!$G$26="Yes",Projects!$C$26=CF$3),", "&amp;Projects!$A$26,"")&amp;IF(AND(Projects!$G$27="Yes",Projects!$C$27=CF$3),", "&amp;Projects!$A$27,"")&amp;IF(AND(Projects!$G$28="Yes",Projects!$C$28=CF$3),", "&amp;Projects!$A$28,"")&amp;IF(AND(Projects!$G$29="Yes",Projects!$C$29=CF$3),", "&amp;Projects!$A$29,"")&amp;IF(AND(Projects!$G$30="Yes",Projects!$C$30=CF$3),", "&amp;Projects!$A$30,"")&amp;IF(AND(Projects!$G$31="Yes",Projects!$C$31=CF$3),", "&amp;Projects!$A$31,"")&amp;IF(AND(Projects!$G$32="Yes",Projects!$C$32=CF$3),", "&amp;Projects!$A$32,"")&amp;IF(AND(Projects!$G$33="Yes",Projects!$C$33=CF$3),", "&amp;Projects!$A$33,"")&amp;IF(AND(Projects!$G$34="Yes",Projects!$C$34=CF$3),", "&amp;Projects!$A$34,"")&amp;IF(AND(Projects!$G$35="Yes",Projects!$C$35=CF$3),", "&amp;Projects!$A$35,"")&amp;IF(AND(Projects!$G$36="Yes",Projects!$C$36=CF$3),", "&amp;Projects!$A$36,"")&amp;IF(AND(Projects!$G$37="Yes",Projects!$C$37=CF$3),", "&amp;Projects!$A$37,"")&amp;IF(AND(Projects!$G$38="Yes",Projects!$C$38=CF$3),", "&amp;Projects!$A$38,"")&amp;IF(AND(Projects!$G$39="Yes",Projects!$C$39=CF$3),", "&amp;Projects!$A$39,"")&amp;IF(AND(Projects!$G$40="Yes",Projects!$C$40=CF$3),", "&amp;Projects!$A$40,"")&amp;IF(AND(Projects!$G$41="Yes",Projects!$C$41=CF$3),", "&amp;Projects!$A$41,"")&amp;IF(AND(Projects!$G$42="Yes",Projects!$C$42=CF$3),", "&amp;Projects!$A$42,"")&amp;IF(AND(Projects!$G$43="Yes",Projects!$C$43=CF$3),", "&amp;Projects!$A$43,"")&amp;IF(AND(Projects!$G$44="Yes",Projects!$C$44=CF$3),", "&amp;Projects!$A$44,"")&amp;IF(AND(Projects!$G$45="Yes",Projects!$C$45=CF$3),", "&amp;Projects!$A$45,"")&amp;IF(AND(Projects!$G$46="Yes",Projects!$C$46=CF$3),", "&amp;Projects!$A$46,""),3,10000)</f>
        <v/>
      </c>
      <c r="CG6" s="396">
        <f>MID(IF(AND(Projects!$G$2="Yes",Projects!$C$2=CG$3),", "&amp;Projects!$A$2,"")&amp;IF(AND(Projects!$G$3="Yes",Projects!$C$3=CG$3),", "&amp;Projects!$A$3,"")&amp;IF(AND(Projects!$G$4="Yes",Projects!$C$4=CG$3),", "&amp;Projects!$A$4,"")&amp;IF(AND(Projects!$G$5="Yes",Projects!$C$5=CG$3),", "&amp;Projects!$A$5,"")&amp;IF(AND(Projects!$G$6="Yes",Projects!$C$6=CG$3),", "&amp;Projects!$A$6,"")&amp;IF(AND(Projects!$G$7="Yes",Projects!$C$7=CG$3),", "&amp;Projects!$A$7,"")&amp;IF(AND(Projects!$G$8="Yes",Projects!$C$8=CG$3),", "&amp;Projects!$A$8,"")&amp;IF(AND(Projects!$G$9="Yes",Projects!$C$9=CG$3),", "&amp;Projects!$A$9,"")&amp;IF(AND(Projects!$G$10="Yes",Projects!$C$10=CG$3),", "&amp;Projects!$A$10,"")&amp;IF(AND(Projects!$G$11="Yes",Projects!$C$11=CG$3),", "&amp;Projects!$A$11,"")&amp;IF(AND(Projects!$G$12="Yes",Projects!$C$12=CG$3),", "&amp;Projects!$A$12,"")&amp;IF(AND(Projects!$G$13="Yes",Projects!$C$13=CG$3),", "&amp;Projects!$A$13,"")&amp;IF(AND(Projects!$G$14="Yes",Projects!$C$14=CG$3),", "&amp;Projects!$A$14,"")&amp;IF(AND(Projects!$G$15="Yes",Projects!$C$15=CG$3),", "&amp;Projects!$A$15,"")&amp;IF(AND(Projects!$G$16="Yes",Projects!$C$16=CG$3),", "&amp;Projects!$A$16,"")&amp;IF(AND(Projects!$G$17="Yes",Projects!$C$17=CG$3),", "&amp;Projects!$A$17,"")&amp;IF(AND(Projects!$G$18="Yes",Projects!$C$18=CG$3),", "&amp;Projects!$A$18,"")&amp;IF(AND(Projects!$G$19="Yes",Projects!$C$19=CG$3),", "&amp;Projects!$A$19,"")&amp;IF(AND(Projects!$G$20="Yes",Projects!$C$20=CG$3),", "&amp;Projects!$A$20,"")&amp;IF(AND(Projects!$G$21="Yes",Projects!$C$21=CG$3),", "&amp;Projects!$A$21,"")&amp;IF(AND(Projects!$G$22="Yes",Projects!$C$22=CG$3),", "&amp;Projects!$A$22,"")&amp;IF(AND(Projects!$G$23="Yes",Projects!$C$23=CG$3),", "&amp;Projects!$A$23,"")&amp;IF(AND(Projects!$G$24="Yes",Projects!$C$24=CG$3),", "&amp;Projects!$A$24,"")&amp;IF(AND(Projects!$G$25="Yes",Projects!$C$25=CG$3),", "&amp;Projects!$A$25,"")&amp;IF(AND(Projects!$G$26="Yes",Projects!$C$26=CG$3),", "&amp;Projects!$A$26,"")&amp;IF(AND(Projects!$G$27="Yes",Projects!$C$27=CG$3),", "&amp;Projects!$A$27,"")&amp;IF(AND(Projects!$G$28="Yes",Projects!$C$28=CG$3),", "&amp;Projects!$A$28,"")&amp;IF(AND(Projects!$G$29="Yes",Projects!$C$29=CG$3),", "&amp;Projects!$A$29,"")&amp;IF(AND(Projects!$G$30="Yes",Projects!$C$30=CG$3),", "&amp;Projects!$A$30,"")&amp;IF(AND(Projects!$G$31="Yes",Projects!$C$31=CG$3),", "&amp;Projects!$A$31,"")&amp;IF(AND(Projects!$G$32="Yes",Projects!$C$32=CG$3),", "&amp;Projects!$A$32,"")&amp;IF(AND(Projects!$G$33="Yes",Projects!$C$33=CG$3),", "&amp;Projects!$A$33,"")&amp;IF(AND(Projects!$G$34="Yes",Projects!$C$34=CG$3),", "&amp;Projects!$A$34,"")&amp;IF(AND(Projects!$G$35="Yes",Projects!$C$35=CG$3),", "&amp;Projects!$A$35,"")&amp;IF(AND(Projects!$G$36="Yes",Projects!$C$36=CG$3),", "&amp;Projects!$A$36,"")&amp;IF(AND(Projects!$G$37="Yes",Projects!$C$37=CG$3),", "&amp;Projects!$A$37,"")&amp;IF(AND(Projects!$G$38="Yes",Projects!$C$38=CG$3),", "&amp;Projects!$A$38,"")&amp;IF(AND(Projects!$G$39="Yes",Projects!$C$39=CG$3),", "&amp;Projects!$A$39,"")&amp;IF(AND(Projects!$G$40="Yes",Projects!$C$40=CG$3),", "&amp;Projects!$A$40,"")&amp;IF(AND(Projects!$G$41="Yes",Projects!$C$41=CG$3),", "&amp;Projects!$A$41,"")&amp;IF(AND(Projects!$G$42="Yes",Projects!$C$42=CG$3),", "&amp;Projects!$A$42,"")&amp;IF(AND(Projects!$G$43="Yes",Projects!$C$43=CG$3),", "&amp;Projects!$A$43,"")&amp;IF(AND(Projects!$G$44="Yes",Projects!$C$44=CG$3),", "&amp;Projects!$A$44,"")&amp;IF(AND(Projects!$G$45="Yes",Projects!$C$45=CG$3),", "&amp;Projects!$A$45,"")&amp;IF(AND(Projects!$G$46="Yes",Projects!$C$46=CG$3),", "&amp;Projects!$A$46,""),3,10000)</f>
        <v/>
      </c>
      <c r="CH6" s="396">
        <f>MID(IF(AND(Projects!$G$2="Yes",Projects!$C$2=CH$3),", "&amp;Projects!$A$2,"")&amp;IF(AND(Projects!$G$3="Yes",Projects!$C$3=CH$3),", "&amp;Projects!$A$3,"")&amp;IF(AND(Projects!$G$4="Yes",Projects!$C$4=CH$3),", "&amp;Projects!$A$4,"")&amp;IF(AND(Projects!$G$5="Yes",Projects!$C$5=CH$3),", "&amp;Projects!$A$5,"")&amp;IF(AND(Projects!$G$6="Yes",Projects!$C$6=CH$3),", "&amp;Projects!$A$6,"")&amp;IF(AND(Projects!$G$7="Yes",Projects!$C$7=CH$3),", "&amp;Projects!$A$7,"")&amp;IF(AND(Projects!$G$8="Yes",Projects!$C$8=CH$3),", "&amp;Projects!$A$8,"")&amp;IF(AND(Projects!$G$9="Yes",Projects!$C$9=CH$3),", "&amp;Projects!$A$9,"")&amp;IF(AND(Projects!$G$10="Yes",Projects!$C$10=CH$3),", "&amp;Projects!$A$10,"")&amp;IF(AND(Projects!$G$11="Yes",Projects!$C$11=CH$3),", "&amp;Projects!$A$11,"")&amp;IF(AND(Projects!$G$12="Yes",Projects!$C$12=CH$3),", "&amp;Projects!$A$12,"")&amp;IF(AND(Projects!$G$13="Yes",Projects!$C$13=CH$3),", "&amp;Projects!$A$13,"")&amp;IF(AND(Projects!$G$14="Yes",Projects!$C$14=CH$3),", "&amp;Projects!$A$14,"")&amp;IF(AND(Projects!$G$15="Yes",Projects!$C$15=CH$3),", "&amp;Projects!$A$15,"")&amp;IF(AND(Projects!$G$16="Yes",Projects!$C$16=CH$3),", "&amp;Projects!$A$16,"")&amp;IF(AND(Projects!$G$17="Yes",Projects!$C$17=CH$3),", "&amp;Projects!$A$17,"")&amp;IF(AND(Projects!$G$18="Yes",Projects!$C$18=CH$3),", "&amp;Projects!$A$18,"")&amp;IF(AND(Projects!$G$19="Yes",Projects!$C$19=CH$3),", "&amp;Projects!$A$19,"")&amp;IF(AND(Projects!$G$20="Yes",Projects!$C$20=CH$3),", "&amp;Projects!$A$20,"")&amp;IF(AND(Projects!$G$21="Yes",Projects!$C$21=CH$3),", "&amp;Projects!$A$21,"")&amp;IF(AND(Projects!$G$22="Yes",Projects!$C$22=CH$3),", "&amp;Projects!$A$22,"")&amp;IF(AND(Projects!$G$23="Yes",Projects!$C$23=CH$3),", "&amp;Projects!$A$23,"")&amp;IF(AND(Projects!$G$24="Yes",Projects!$C$24=CH$3),", "&amp;Projects!$A$24,"")&amp;IF(AND(Projects!$G$25="Yes",Projects!$C$25=CH$3),", "&amp;Projects!$A$25,"")&amp;IF(AND(Projects!$G$26="Yes",Projects!$C$26=CH$3),", "&amp;Projects!$A$26,"")&amp;IF(AND(Projects!$G$27="Yes",Projects!$C$27=CH$3),", "&amp;Projects!$A$27,"")&amp;IF(AND(Projects!$G$28="Yes",Projects!$C$28=CH$3),", "&amp;Projects!$A$28,"")&amp;IF(AND(Projects!$G$29="Yes",Projects!$C$29=CH$3),", "&amp;Projects!$A$29,"")&amp;IF(AND(Projects!$G$30="Yes",Projects!$C$30=CH$3),", "&amp;Projects!$A$30,"")&amp;IF(AND(Projects!$G$31="Yes",Projects!$C$31=CH$3),", "&amp;Projects!$A$31,"")&amp;IF(AND(Projects!$G$32="Yes",Projects!$C$32=CH$3),", "&amp;Projects!$A$32,"")&amp;IF(AND(Projects!$G$33="Yes",Projects!$C$33=CH$3),", "&amp;Projects!$A$33,"")&amp;IF(AND(Projects!$G$34="Yes",Projects!$C$34=CH$3),", "&amp;Projects!$A$34,"")&amp;IF(AND(Projects!$G$35="Yes",Projects!$C$35=CH$3),", "&amp;Projects!$A$35,"")&amp;IF(AND(Projects!$G$36="Yes",Projects!$C$36=CH$3),", "&amp;Projects!$A$36,"")&amp;IF(AND(Projects!$G$37="Yes",Projects!$C$37=CH$3),", "&amp;Projects!$A$37,"")&amp;IF(AND(Projects!$G$38="Yes",Projects!$C$38=CH$3),", "&amp;Projects!$A$38,"")&amp;IF(AND(Projects!$G$39="Yes",Projects!$C$39=CH$3),", "&amp;Projects!$A$39,"")&amp;IF(AND(Projects!$G$40="Yes",Projects!$C$40=CH$3),", "&amp;Projects!$A$40,"")&amp;IF(AND(Projects!$G$41="Yes",Projects!$C$41=CH$3),", "&amp;Projects!$A$41,"")&amp;IF(AND(Projects!$G$42="Yes",Projects!$C$42=CH$3),", "&amp;Projects!$A$42,"")&amp;IF(AND(Projects!$G$43="Yes",Projects!$C$43=CH$3),", "&amp;Projects!$A$43,"")&amp;IF(AND(Projects!$G$44="Yes",Projects!$C$44=CH$3),", "&amp;Projects!$A$44,"")&amp;IF(AND(Projects!$G$45="Yes",Projects!$C$45=CH$3),", "&amp;Projects!$A$45,"")&amp;IF(AND(Projects!$G$46="Yes",Projects!$C$46=CH$3),", "&amp;Projects!$A$46,""),3,10000)</f>
        <v/>
      </c>
      <c r="CI6" s="396">
        <f>MID(IF(AND(Projects!$G$2="Yes",Projects!$C$2=CI$3),", "&amp;Projects!$A$2,"")&amp;IF(AND(Projects!$G$3="Yes",Projects!$C$3=CI$3),", "&amp;Projects!$A$3,"")&amp;IF(AND(Projects!$G$4="Yes",Projects!$C$4=CI$3),", "&amp;Projects!$A$4,"")&amp;IF(AND(Projects!$G$5="Yes",Projects!$C$5=CI$3),", "&amp;Projects!$A$5,"")&amp;IF(AND(Projects!$G$6="Yes",Projects!$C$6=CI$3),", "&amp;Projects!$A$6,"")&amp;IF(AND(Projects!$G$7="Yes",Projects!$C$7=CI$3),", "&amp;Projects!$A$7,"")&amp;IF(AND(Projects!$G$8="Yes",Projects!$C$8=CI$3),", "&amp;Projects!$A$8,"")&amp;IF(AND(Projects!$G$9="Yes",Projects!$C$9=CI$3),", "&amp;Projects!$A$9,"")&amp;IF(AND(Projects!$G$10="Yes",Projects!$C$10=CI$3),", "&amp;Projects!$A$10,"")&amp;IF(AND(Projects!$G$11="Yes",Projects!$C$11=CI$3),", "&amp;Projects!$A$11,"")&amp;IF(AND(Projects!$G$12="Yes",Projects!$C$12=CI$3),", "&amp;Projects!$A$12,"")&amp;IF(AND(Projects!$G$13="Yes",Projects!$C$13=CI$3),", "&amp;Projects!$A$13,"")&amp;IF(AND(Projects!$G$14="Yes",Projects!$C$14=CI$3),", "&amp;Projects!$A$14,"")&amp;IF(AND(Projects!$G$15="Yes",Projects!$C$15=CI$3),", "&amp;Projects!$A$15,"")&amp;IF(AND(Projects!$G$16="Yes",Projects!$C$16=CI$3),", "&amp;Projects!$A$16,"")&amp;IF(AND(Projects!$G$17="Yes",Projects!$C$17=CI$3),", "&amp;Projects!$A$17,"")&amp;IF(AND(Projects!$G$18="Yes",Projects!$C$18=CI$3),", "&amp;Projects!$A$18,"")&amp;IF(AND(Projects!$G$19="Yes",Projects!$C$19=CI$3),", "&amp;Projects!$A$19,"")&amp;IF(AND(Projects!$G$20="Yes",Projects!$C$20=CI$3),", "&amp;Projects!$A$20,"")&amp;IF(AND(Projects!$G$21="Yes",Projects!$C$21=CI$3),", "&amp;Projects!$A$21,"")&amp;IF(AND(Projects!$G$22="Yes",Projects!$C$22=CI$3),", "&amp;Projects!$A$22,"")&amp;IF(AND(Projects!$G$23="Yes",Projects!$C$23=CI$3),", "&amp;Projects!$A$23,"")&amp;IF(AND(Projects!$G$24="Yes",Projects!$C$24=CI$3),", "&amp;Projects!$A$24,"")&amp;IF(AND(Projects!$G$25="Yes",Projects!$C$25=CI$3),", "&amp;Projects!$A$25,"")&amp;IF(AND(Projects!$G$26="Yes",Projects!$C$26=CI$3),", "&amp;Projects!$A$26,"")&amp;IF(AND(Projects!$G$27="Yes",Projects!$C$27=CI$3),", "&amp;Projects!$A$27,"")&amp;IF(AND(Projects!$G$28="Yes",Projects!$C$28=CI$3),", "&amp;Projects!$A$28,"")&amp;IF(AND(Projects!$G$29="Yes",Projects!$C$29=CI$3),", "&amp;Projects!$A$29,"")&amp;IF(AND(Projects!$G$30="Yes",Projects!$C$30=CI$3),", "&amp;Projects!$A$30,"")&amp;IF(AND(Projects!$G$31="Yes",Projects!$C$31=CI$3),", "&amp;Projects!$A$31,"")&amp;IF(AND(Projects!$G$32="Yes",Projects!$C$32=CI$3),", "&amp;Projects!$A$32,"")&amp;IF(AND(Projects!$G$33="Yes",Projects!$C$33=CI$3),", "&amp;Projects!$A$33,"")&amp;IF(AND(Projects!$G$34="Yes",Projects!$C$34=CI$3),", "&amp;Projects!$A$34,"")&amp;IF(AND(Projects!$G$35="Yes",Projects!$C$35=CI$3),", "&amp;Projects!$A$35,"")&amp;IF(AND(Projects!$G$36="Yes",Projects!$C$36=CI$3),", "&amp;Projects!$A$36,"")&amp;IF(AND(Projects!$G$37="Yes",Projects!$C$37=CI$3),", "&amp;Projects!$A$37,"")&amp;IF(AND(Projects!$G$38="Yes",Projects!$C$38=CI$3),", "&amp;Projects!$A$38,"")&amp;IF(AND(Projects!$G$39="Yes",Projects!$C$39=CI$3),", "&amp;Projects!$A$39,"")&amp;IF(AND(Projects!$G$40="Yes",Projects!$C$40=CI$3),", "&amp;Projects!$A$40,"")&amp;IF(AND(Projects!$G$41="Yes",Projects!$C$41=CI$3),", "&amp;Projects!$A$41,"")&amp;IF(AND(Projects!$G$42="Yes",Projects!$C$42=CI$3),", "&amp;Projects!$A$42,"")&amp;IF(AND(Projects!$G$43="Yes",Projects!$C$43=CI$3),", "&amp;Projects!$A$43,"")&amp;IF(AND(Projects!$G$44="Yes",Projects!$C$44=CI$3),", "&amp;Projects!$A$44,"")&amp;IF(AND(Projects!$G$45="Yes",Projects!$C$45=CI$3),", "&amp;Projects!$A$45,"")&amp;IF(AND(Projects!$G$46="Yes",Projects!$C$46=CI$3),", "&amp;Projects!$A$46,""),3,10000)</f>
        <v/>
      </c>
      <c r="CJ6" s="396">
        <f>MID(IF(AND(Projects!$G$2="Yes",Projects!$C$2=CJ$3),", "&amp;Projects!$A$2,"")&amp;IF(AND(Projects!$G$3="Yes",Projects!$C$3=CJ$3),", "&amp;Projects!$A$3,"")&amp;IF(AND(Projects!$G$4="Yes",Projects!$C$4=CJ$3),", "&amp;Projects!$A$4,"")&amp;IF(AND(Projects!$G$5="Yes",Projects!$C$5=CJ$3),", "&amp;Projects!$A$5,"")&amp;IF(AND(Projects!$G$6="Yes",Projects!$C$6=CJ$3),", "&amp;Projects!$A$6,"")&amp;IF(AND(Projects!$G$7="Yes",Projects!$C$7=CJ$3),", "&amp;Projects!$A$7,"")&amp;IF(AND(Projects!$G$8="Yes",Projects!$C$8=CJ$3),", "&amp;Projects!$A$8,"")&amp;IF(AND(Projects!$G$9="Yes",Projects!$C$9=CJ$3),", "&amp;Projects!$A$9,"")&amp;IF(AND(Projects!$G$10="Yes",Projects!$C$10=CJ$3),", "&amp;Projects!$A$10,"")&amp;IF(AND(Projects!$G$11="Yes",Projects!$C$11=CJ$3),", "&amp;Projects!$A$11,"")&amp;IF(AND(Projects!$G$12="Yes",Projects!$C$12=CJ$3),", "&amp;Projects!$A$12,"")&amp;IF(AND(Projects!$G$13="Yes",Projects!$C$13=CJ$3),", "&amp;Projects!$A$13,"")&amp;IF(AND(Projects!$G$14="Yes",Projects!$C$14=CJ$3),", "&amp;Projects!$A$14,"")&amp;IF(AND(Projects!$G$15="Yes",Projects!$C$15=CJ$3),", "&amp;Projects!$A$15,"")&amp;IF(AND(Projects!$G$16="Yes",Projects!$C$16=CJ$3),", "&amp;Projects!$A$16,"")&amp;IF(AND(Projects!$G$17="Yes",Projects!$C$17=CJ$3),", "&amp;Projects!$A$17,"")&amp;IF(AND(Projects!$G$18="Yes",Projects!$C$18=CJ$3),", "&amp;Projects!$A$18,"")&amp;IF(AND(Projects!$G$19="Yes",Projects!$C$19=CJ$3),", "&amp;Projects!$A$19,"")&amp;IF(AND(Projects!$G$20="Yes",Projects!$C$20=CJ$3),", "&amp;Projects!$A$20,"")&amp;IF(AND(Projects!$G$21="Yes",Projects!$C$21=CJ$3),", "&amp;Projects!$A$21,"")&amp;IF(AND(Projects!$G$22="Yes",Projects!$C$22=CJ$3),", "&amp;Projects!$A$22,"")&amp;IF(AND(Projects!$G$23="Yes",Projects!$C$23=CJ$3),", "&amp;Projects!$A$23,"")&amp;IF(AND(Projects!$G$24="Yes",Projects!$C$24=CJ$3),", "&amp;Projects!$A$24,"")&amp;IF(AND(Projects!$G$25="Yes",Projects!$C$25=CJ$3),", "&amp;Projects!$A$25,"")&amp;IF(AND(Projects!$G$26="Yes",Projects!$C$26=CJ$3),", "&amp;Projects!$A$26,"")&amp;IF(AND(Projects!$G$27="Yes",Projects!$C$27=CJ$3),", "&amp;Projects!$A$27,"")&amp;IF(AND(Projects!$G$28="Yes",Projects!$C$28=CJ$3),", "&amp;Projects!$A$28,"")&amp;IF(AND(Projects!$G$29="Yes",Projects!$C$29=CJ$3),", "&amp;Projects!$A$29,"")&amp;IF(AND(Projects!$G$30="Yes",Projects!$C$30=CJ$3),", "&amp;Projects!$A$30,"")&amp;IF(AND(Projects!$G$31="Yes",Projects!$C$31=CJ$3),", "&amp;Projects!$A$31,"")&amp;IF(AND(Projects!$G$32="Yes",Projects!$C$32=CJ$3),", "&amp;Projects!$A$32,"")&amp;IF(AND(Projects!$G$33="Yes",Projects!$C$33=CJ$3),", "&amp;Projects!$A$33,"")&amp;IF(AND(Projects!$G$34="Yes",Projects!$C$34=CJ$3),", "&amp;Projects!$A$34,"")&amp;IF(AND(Projects!$G$35="Yes",Projects!$C$35=CJ$3),", "&amp;Projects!$A$35,"")&amp;IF(AND(Projects!$G$36="Yes",Projects!$C$36=CJ$3),", "&amp;Projects!$A$36,"")&amp;IF(AND(Projects!$G$37="Yes",Projects!$C$37=CJ$3),", "&amp;Projects!$A$37,"")&amp;IF(AND(Projects!$G$38="Yes",Projects!$C$38=CJ$3),", "&amp;Projects!$A$38,"")&amp;IF(AND(Projects!$G$39="Yes",Projects!$C$39=CJ$3),", "&amp;Projects!$A$39,"")&amp;IF(AND(Projects!$G$40="Yes",Projects!$C$40=CJ$3),", "&amp;Projects!$A$40,"")&amp;IF(AND(Projects!$G$41="Yes",Projects!$C$41=CJ$3),", "&amp;Projects!$A$41,"")&amp;IF(AND(Projects!$G$42="Yes",Projects!$C$42=CJ$3),", "&amp;Projects!$A$42,"")&amp;IF(AND(Projects!$G$43="Yes",Projects!$C$43=CJ$3),", "&amp;Projects!$A$43,"")&amp;IF(AND(Projects!$G$44="Yes",Projects!$C$44=CJ$3),", "&amp;Projects!$A$44,"")&amp;IF(AND(Projects!$G$45="Yes",Projects!$C$45=CJ$3),", "&amp;Projects!$A$45,"")&amp;IF(AND(Projects!$G$46="Yes",Projects!$C$46=CJ$3),", "&amp;Projects!$A$46,""),3,10000)</f>
        <v/>
      </c>
      <c r="CK6" s="396">
        <f>MID(IF(AND(Projects!$G$2="Yes",Projects!$C$2=CK$3),", "&amp;Projects!$A$2,"")&amp;IF(AND(Projects!$G$3="Yes",Projects!$C$3=CK$3),", "&amp;Projects!$A$3,"")&amp;IF(AND(Projects!$G$4="Yes",Projects!$C$4=CK$3),", "&amp;Projects!$A$4,"")&amp;IF(AND(Projects!$G$5="Yes",Projects!$C$5=CK$3),", "&amp;Projects!$A$5,"")&amp;IF(AND(Projects!$G$6="Yes",Projects!$C$6=CK$3),", "&amp;Projects!$A$6,"")&amp;IF(AND(Projects!$G$7="Yes",Projects!$C$7=CK$3),", "&amp;Projects!$A$7,"")&amp;IF(AND(Projects!$G$8="Yes",Projects!$C$8=CK$3),", "&amp;Projects!$A$8,"")&amp;IF(AND(Projects!$G$9="Yes",Projects!$C$9=CK$3),", "&amp;Projects!$A$9,"")&amp;IF(AND(Projects!$G$10="Yes",Projects!$C$10=CK$3),", "&amp;Projects!$A$10,"")&amp;IF(AND(Projects!$G$11="Yes",Projects!$C$11=CK$3),", "&amp;Projects!$A$11,"")&amp;IF(AND(Projects!$G$12="Yes",Projects!$C$12=CK$3),", "&amp;Projects!$A$12,"")&amp;IF(AND(Projects!$G$13="Yes",Projects!$C$13=CK$3),", "&amp;Projects!$A$13,"")&amp;IF(AND(Projects!$G$14="Yes",Projects!$C$14=CK$3),", "&amp;Projects!$A$14,"")&amp;IF(AND(Projects!$G$15="Yes",Projects!$C$15=CK$3),", "&amp;Projects!$A$15,"")&amp;IF(AND(Projects!$G$16="Yes",Projects!$C$16=CK$3),", "&amp;Projects!$A$16,"")&amp;IF(AND(Projects!$G$17="Yes",Projects!$C$17=CK$3),", "&amp;Projects!$A$17,"")&amp;IF(AND(Projects!$G$18="Yes",Projects!$C$18=CK$3),", "&amp;Projects!$A$18,"")&amp;IF(AND(Projects!$G$19="Yes",Projects!$C$19=CK$3),", "&amp;Projects!$A$19,"")&amp;IF(AND(Projects!$G$20="Yes",Projects!$C$20=CK$3),", "&amp;Projects!$A$20,"")&amp;IF(AND(Projects!$G$21="Yes",Projects!$C$21=CK$3),", "&amp;Projects!$A$21,"")&amp;IF(AND(Projects!$G$22="Yes",Projects!$C$22=CK$3),", "&amp;Projects!$A$22,"")&amp;IF(AND(Projects!$G$23="Yes",Projects!$C$23=CK$3),", "&amp;Projects!$A$23,"")&amp;IF(AND(Projects!$G$24="Yes",Projects!$C$24=CK$3),", "&amp;Projects!$A$24,"")&amp;IF(AND(Projects!$G$25="Yes",Projects!$C$25=CK$3),", "&amp;Projects!$A$25,"")&amp;IF(AND(Projects!$G$26="Yes",Projects!$C$26=CK$3),", "&amp;Projects!$A$26,"")&amp;IF(AND(Projects!$G$27="Yes",Projects!$C$27=CK$3),", "&amp;Projects!$A$27,"")&amp;IF(AND(Projects!$G$28="Yes",Projects!$C$28=CK$3),", "&amp;Projects!$A$28,"")&amp;IF(AND(Projects!$G$29="Yes",Projects!$C$29=CK$3),", "&amp;Projects!$A$29,"")&amp;IF(AND(Projects!$G$30="Yes",Projects!$C$30=CK$3),", "&amp;Projects!$A$30,"")&amp;IF(AND(Projects!$G$31="Yes",Projects!$C$31=CK$3),", "&amp;Projects!$A$31,"")&amp;IF(AND(Projects!$G$32="Yes",Projects!$C$32=CK$3),", "&amp;Projects!$A$32,"")&amp;IF(AND(Projects!$G$33="Yes",Projects!$C$33=CK$3),", "&amp;Projects!$A$33,"")&amp;IF(AND(Projects!$G$34="Yes",Projects!$C$34=CK$3),", "&amp;Projects!$A$34,"")&amp;IF(AND(Projects!$G$35="Yes",Projects!$C$35=CK$3),", "&amp;Projects!$A$35,"")&amp;IF(AND(Projects!$G$36="Yes",Projects!$C$36=CK$3),", "&amp;Projects!$A$36,"")&amp;IF(AND(Projects!$G$37="Yes",Projects!$C$37=CK$3),", "&amp;Projects!$A$37,"")&amp;IF(AND(Projects!$G$38="Yes",Projects!$C$38=CK$3),", "&amp;Projects!$A$38,"")&amp;IF(AND(Projects!$G$39="Yes",Projects!$C$39=CK$3),", "&amp;Projects!$A$39,"")&amp;IF(AND(Projects!$G$40="Yes",Projects!$C$40=CK$3),", "&amp;Projects!$A$40,"")&amp;IF(AND(Projects!$G$41="Yes",Projects!$C$41=CK$3),", "&amp;Projects!$A$41,"")&amp;IF(AND(Projects!$G$42="Yes",Projects!$C$42=CK$3),", "&amp;Projects!$A$42,"")&amp;IF(AND(Projects!$G$43="Yes",Projects!$C$43=CK$3),", "&amp;Projects!$A$43,"")&amp;IF(AND(Projects!$G$44="Yes",Projects!$C$44=CK$3),", "&amp;Projects!$A$44,"")&amp;IF(AND(Projects!$G$45="Yes",Projects!$C$45=CK$3),", "&amp;Projects!$A$45,"")&amp;IF(AND(Projects!$G$46="Yes",Projects!$C$46=CK$3),", "&amp;Projects!$A$46,""),3,10000)</f>
        <v/>
      </c>
      <c r="CL6" s="396">
        <f>MID(IF(AND(Projects!$G$2="Yes",Projects!$C$2=CL$3),", "&amp;Projects!$A$2,"")&amp;IF(AND(Projects!$G$3="Yes",Projects!$C$3=CL$3),", "&amp;Projects!$A$3,"")&amp;IF(AND(Projects!$G$4="Yes",Projects!$C$4=CL$3),", "&amp;Projects!$A$4,"")&amp;IF(AND(Projects!$G$5="Yes",Projects!$C$5=CL$3),", "&amp;Projects!$A$5,"")&amp;IF(AND(Projects!$G$6="Yes",Projects!$C$6=CL$3),", "&amp;Projects!$A$6,"")&amp;IF(AND(Projects!$G$7="Yes",Projects!$C$7=CL$3),", "&amp;Projects!$A$7,"")&amp;IF(AND(Projects!$G$8="Yes",Projects!$C$8=CL$3),", "&amp;Projects!$A$8,"")&amp;IF(AND(Projects!$G$9="Yes",Projects!$C$9=CL$3),", "&amp;Projects!$A$9,"")&amp;IF(AND(Projects!$G$10="Yes",Projects!$C$10=CL$3),", "&amp;Projects!$A$10,"")&amp;IF(AND(Projects!$G$11="Yes",Projects!$C$11=CL$3),", "&amp;Projects!$A$11,"")&amp;IF(AND(Projects!$G$12="Yes",Projects!$C$12=CL$3),", "&amp;Projects!$A$12,"")&amp;IF(AND(Projects!$G$13="Yes",Projects!$C$13=CL$3),", "&amp;Projects!$A$13,"")&amp;IF(AND(Projects!$G$14="Yes",Projects!$C$14=CL$3),", "&amp;Projects!$A$14,"")&amp;IF(AND(Projects!$G$15="Yes",Projects!$C$15=CL$3),", "&amp;Projects!$A$15,"")&amp;IF(AND(Projects!$G$16="Yes",Projects!$C$16=CL$3),", "&amp;Projects!$A$16,"")&amp;IF(AND(Projects!$G$17="Yes",Projects!$C$17=CL$3),", "&amp;Projects!$A$17,"")&amp;IF(AND(Projects!$G$18="Yes",Projects!$C$18=CL$3),", "&amp;Projects!$A$18,"")&amp;IF(AND(Projects!$G$19="Yes",Projects!$C$19=CL$3),", "&amp;Projects!$A$19,"")&amp;IF(AND(Projects!$G$20="Yes",Projects!$C$20=CL$3),", "&amp;Projects!$A$20,"")&amp;IF(AND(Projects!$G$21="Yes",Projects!$C$21=CL$3),", "&amp;Projects!$A$21,"")&amp;IF(AND(Projects!$G$22="Yes",Projects!$C$22=CL$3),", "&amp;Projects!$A$22,"")&amp;IF(AND(Projects!$G$23="Yes",Projects!$C$23=CL$3),", "&amp;Projects!$A$23,"")&amp;IF(AND(Projects!$G$24="Yes",Projects!$C$24=CL$3),", "&amp;Projects!$A$24,"")&amp;IF(AND(Projects!$G$25="Yes",Projects!$C$25=CL$3),", "&amp;Projects!$A$25,"")&amp;IF(AND(Projects!$G$26="Yes",Projects!$C$26=CL$3),", "&amp;Projects!$A$26,"")&amp;IF(AND(Projects!$G$27="Yes",Projects!$C$27=CL$3),", "&amp;Projects!$A$27,"")&amp;IF(AND(Projects!$G$28="Yes",Projects!$C$28=CL$3),", "&amp;Projects!$A$28,"")&amp;IF(AND(Projects!$G$29="Yes",Projects!$C$29=CL$3),", "&amp;Projects!$A$29,"")&amp;IF(AND(Projects!$G$30="Yes",Projects!$C$30=CL$3),", "&amp;Projects!$A$30,"")&amp;IF(AND(Projects!$G$31="Yes",Projects!$C$31=CL$3),", "&amp;Projects!$A$31,"")&amp;IF(AND(Projects!$G$32="Yes",Projects!$C$32=CL$3),", "&amp;Projects!$A$32,"")&amp;IF(AND(Projects!$G$33="Yes",Projects!$C$33=CL$3),", "&amp;Projects!$A$33,"")&amp;IF(AND(Projects!$G$34="Yes",Projects!$C$34=CL$3),", "&amp;Projects!$A$34,"")&amp;IF(AND(Projects!$G$35="Yes",Projects!$C$35=CL$3),", "&amp;Projects!$A$35,"")&amp;IF(AND(Projects!$G$36="Yes",Projects!$C$36=CL$3),", "&amp;Projects!$A$36,"")&amp;IF(AND(Projects!$G$37="Yes",Projects!$C$37=CL$3),", "&amp;Projects!$A$37,"")&amp;IF(AND(Projects!$G$38="Yes",Projects!$C$38=CL$3),", "&amp;Projects!$A$38,"")&amp;IF(AND(Projects!$G$39="Yes",Projects!$C$39=CL$3),", "&amp;Projects!$A$39,"")&amp;IF(AND(Projects!$G$40="Yes",Projects!$C$40=CL$3),", "&amp;Projects!$A$40,"")&amp;IF(AND(Projects!$G$41="Yes",Projects!$C$41=CL$3),", "&amp;Projects!$A$41,"")&amp;IF(AND(Projects!$G$42="Yes",Projects!$C$42=CL$3),", "&amp;Projects!$A$42,"")&amp;IF(AND(Projects!$G$43="Yes",Projects!$C$43=CL$3),", "&amp;Projects!$A$43,"")&amp;IF(AND(Projects!$G$44="Yes",Projects!$C$44=CL$3),", "&amp;Projects!$A$44,"")&amp;IF(AND(Projects!$G$45="Yes",Projects!$C$45=CL$3),", "&amp;Projects!$A$45,"")&amp;IF(AND(Projects!$G$46="Yes",Projects!$C$46=CL$3),", "&amp;Projects!$A$46,""),3,10000)</f>
        <v/>
      </c>
      <c r="CM6" s="396">
        <f>MID(IF(AND(Projects!$G$2="Yes",Projects!$C$2=CM$3),", "&amp;Projects!$A$2,"")&amp;IF(AND(Projects!$G$3="Yes",Projects!$C$3=CM$3),", "&amp;Projects!$A$3,"")&amp;IF(AND(Projects!$G$4="Yes",Projects!$C$4=CM$3),", "&amp;Projects!$A$4,"")&amp;IF(AND(Projects!$G$5="Yes",Projects!$C$5=CM$3),", "&amp;Projects!$A$5,"")&amp;IF(AND(Projects!$G$6="Yes",Projects!$C$6=CM$3),", "&amp;Projects!$A$6,"")&amp;IF(AND(Projects!$G$7="Yes",Projects!$C$7=CM$3),", "&amp;Projects!$A$7,"")&amp;IF(AND(Projects!$G$8="Yes",Projects!$C$8=CM$3),", "&amp;Projects!$A$8,"")&amp;IF(AND(Projects!$G$9="Yes",Projects!$C$9=CM$3),", "&amp;Projects!$A$9,"")&amp;IF(AND(Projects!$G$10="Yes",Projects!$C$10=CM$3),", "&amp;Projects!$A$10,"")&amp;IF(AND(Projects!$G$11="Yes",Projects!$C$11=CM$3),", "&amp;Projects!$A$11,"")&amp;IF(AND(Projects!$G$12="Yes",Projects!$C$12=CM$3),", "&amp;Projects!$A$12,"")&amp;IF(AND(Projects!$G$13="Yes",Projects!$C$13=CM$3),", "&amp;Projects!$A$13,"")&amp;IF(AND(Projects!$G$14="Yes",Projects!$C$14=CM$3),", "&amp;Projects!$A$14,"")&amp;IF(AND(Projects!$G$15="Yes",Projects!$C$15=CM$3),", "&amp;Projects!$A$15,"")&amp;IF(AND(Projects!$G$16="Yes",Projects!$C$16=CM$3),", "&amp;Projects!$A$16,"")&amp;IF(AND(Projects!$G$17="Yes",Projects!$C$17=CM$3),", "&amp;Projects!$A$17,"")&amp;IF(AND(Projects!$G$18="Yes",Projects!$C$18=CM$3),", "&amp;Projects!$A$18,"")&amp;IF(AND(Projects!$G$19="Yes",Projects!$C$19=CM$3),", "&amp;Projects!$A$19,"")&amp;IF(AND(Projects!$G$20="Yes",Projects!$C$20=CM$3),", "&amp;Projects!$A$20,"")&amp;IF(AND(Projects!$G$21="Yes",Projects!$C$21=CM$3),", "&amp;Projects!$A$21,"")&amp;IF(AND(Projects!$G$22="Yes",Projects!$C$22=CM$3),", "&amp;Projects!$A$22,"")&amp;IF(AND(Projects!$G$23="Yes",Projects!$C$23=CM$3),", "&amp;Projects!$A$23,"")&amp;IF(AND(Projects!$G$24="Yes",Projects!$C$24=CM$3),", "&amp;Projects!$A$24,"")&amp;IF(AND(Projects!$G$25="Yes",Projects!$C$25=CM$3),", "&amp;Projects!$A$25,"")&amp;IF(AND(Projects!$G$26="Yes",Projects!$C$26=CM$3),", "&amp;Projects!$A$26,"")&amp;IF(AND(Projects!$G$27="Yes",Projects!$C$27=CM$3),", "&amp;Projects!$A$27,"")&amp;IF(AND(Projects!$G$28="Yes",Projects!$C$28=CM$3),", "&amp;Projects!$A$28,"")&amp;IF(AND(Projects!$G$29="Yes",Projects!$C$29=CM$3),", "&amp;Projects!$A$29,"")&amp;IF(AND(Projects!$G$30="Yes",Projects!$C$30=CM$3),", "&amp;Projects!$A$30,"")&amp;IF(AND(Projects!$G$31="Yes",Projects!$C$31=CM$3),", "&amp;Projects!$A$31,"")&amp;IF(AND(Projects!$G$32="Yes",Projects!$C$32=CM$3),", "&amp;Projects!$A$32,"")&amp;IF(AND(Projects!$G$33="Yes",Projects!$C$33=CM$3),", "&amp;Projects!$A$33,"")&amp;IF(AND(Projects!$G$34="Yes",Projects!$C$34=CM$3),", "&amp;Projects!$A$34,"")&amp;IF(AND(Projects!$G$35="Yes",Projects!$C$35=CM$3),", "&amp;Projects!$A$35,"")&amp;IF(AND(Projects!$G$36="Yes",Projects!$C$36=CM$3),", "&amp;Projects!$A$36,"")&amp;IF(AND(Projects!$G$37="Yes",Projects!$C$37=CM$3),", "&amp;Projects!$A$37,"")&amp;IF(AND(Projects!$G$38="Yes",Projects!$C$38=CM$3),", "&amp;Projects!$A$38,"")&amp;IF(AND(Projects!$G$39="Yes",Projects!$C$39=CM$3),", "&amp;Projects!$A$39,"")&amp;IF(AND(Projects!$G$40="Yes",Projects!$C$40=CM$3),", "&amp;Projects!$A$40,"")&amp;IF(AND(Projects!$G$41="Yes",Projects!$C$41=CM$3),", "&amp;Projects!$A$41,"")&amp;IF(AND(Projects!$G$42="Yes",Projects!$C$42=CM$3),", "&amp;Projects!$A$42,"")&amp;IF(AND(Projects!$G$43="Yes",Projects!$C$43=CM$3),", "&amp;Projects!$A$43,"")&amp;IF(AND(Projects!$G$44="Yes",Projects!$C$44=CM$3),", "&amp;Projects!$A$44,"")&amp;IF(AND(Projects!$G$45="Yes",Projects!$C$45=CM$3),", "&amp;Projects!$A$45,"")&amp;IF(AND(Projects!$G$46="Yes",Projects!$C$46=CM$3),", "&amp;Projects!$A$46,""),3,10000)</f>
        <v/>
      </c>
      <c r="CN6" s="396">
        <f>MID(IF(AND(Projects!$G$2="Yes",Projects!$C$2=CN$3),", "&amp;Projects!$A$2,"")&amp;IF(AND(Projects!$G$3="Yes",Projects!$C$3=CN$3),", "&amp;Projects!$A$3,"")&amp;IF(AND(Projects!$G$4="Yes",Projects!$C$4=CN$3),", "&amp;Projects!$A$4,"")&amp;IF(AND(Projects!$G$5="Yes",Projects!$C$5=CN$3),", "&amp;Projects!$A$5,"")&amp;IF(AND(Projects!$G$6="Yes",Projects!$C$6=CN$3),", "&amp;Projects!$A$6,"")&amp;IF(AND(Projects!$G$7="Yes",Projects!$C$7=CN$3),", "&amp;Projects!$A$7,"")&amp;IF(AND(Projects!$G$8="Yes",Projects!$C$8=CN$3),", "&amp;Projects!$A$8,"")&amp;IF(AND(Projects!$G$9="Yes",Projects!$C$9=CN$3),", "&amp;Projects!$A$9,"")&amp;IF(AND(Projects!$G$10="Yes",Projects!$C$10=CN$3),", "&amp;Projects!$A$10,"")&amp;IF(AND(Projects!$G$11="Yes",Projects!$C$11=CN$3),", "&amp;Projects!$A$11,"")&amp;IF(AND(Projects!$G$12="Yes",Projects!$C$12=CN$3),", "&amp;Projects!$A$12,"")&amp;IF(AND(Projects!$G$13="Yes",Projects!$C$13=CN$3),", "&amp;Projects!$A$13,"")&amp;IF(AND(Projects!$G$14="Yes",Projects!$C$14=CN$3),", "&amp;Projects!$A$14,"")&amp;IF(AND(Projects!$G$15="Yes",Projects!$C$15=CN$3),", "&amp;Projects!$A$15,"")&amp;IF(AND(Projects!$G$16="Yes",Projects!$C$16=CN$3),", "&amp;Projects!$A$16,"")&amp;IF(AND(Projects!$G$17="Yes",Projects!$C$17=CN$3),", "&amp;Projects!$A$17,"")&amp;IF(AND(Projects!$G$18="Yes",Projects!$C$18=CN$3),", "&amp;Projects!$A$18,"")&amp;IF(AND(Projects!$G$19="Yes",Projects!$C$19=CN$3),", "&amp;Projects!$A$19,"")&amp;IF(AND(Projects!$G$20="Yes",Projects!$C$20=CN$3),", "&amp;Projects!$A$20,"")&amp;IF(AND(Projects!$G$21="Yes",Projects!$C$21=CN$3),", "&amp;Projects!$A$21,"")&amp;IF(AND(Projects!$G$22="Yes",Projects!$C$22=CN$3),", "&amp;Projects!$A$22,"")&amp;IF(AND(Projects!$G$23="Yes",Projects!$C$23=CN$3),", "&amp;Projects!$A$23,"")&amp;IF(AND(Projects!$G$24="Yes",Projects!$C$24=CN$3),", "&amp;Projects!$A$24,"")&amp;IF(AND(Projects!$G$25="Yes",Projects!$C$25=CN$3),", "&amp;Projects!$A$25,"")&amp;IF(AND(Projects!$G$26="Yes",Projects!$C$26=CN$3),", "&amp;Projects!$A$26,"")&amp;IF(AND(Projects!$G$27="Yes",Projects!$C$27=CN$3),", "&amp;Projects!$A$27,"")&amp;IF(AND(Projects!$G$28="Yes",Projects!$C$28=CN$3),", "&amp;Projects!$A$28,"")&amp;IF(AND(Projects!$G$29="Yes",Projects!$C$29=CN$3),", "&amp;Projects!$A$29,"")&amp;IF(AND(Projects!$G$30="Yes",Projects!$C$30=CN$3),", "&amp;Projects!$A$30,"")&amp;IF(AND(Projects!$G$31="Yes",Projects!$C$31=CN$3),", "&amp;Projects!$A$31,"")&amp;IF(AND(Projects!$G$32="Yes",Projects!$C$32=CN$3),", "&amp;Projects!$A$32,"")&amp;IF(AND(Projects!$G$33="Yes",Projects!$C$33=CN$3),", "&amp;Projects!$A$33,"")&amp;IF(AND(Projects!$G$34="Yes",Projects!$C$34=CN$3),", "&amp;Projects!$A$34,"")&amp;IF(AND(Projects!$G$35="Yes",Projects!$C$35=CN$3),", "&amp;Projects!$A$35,"")&amp;IF(AND(Projects!$G$36="Yes",Projects!$C$36=CN$3),", "&amp;Projects!$A$36,"")&amp;IF(AND(Projects!$G$37="Yes",Projects!$C$37=CN$3),", "&amp;Projects!$A$37,"")&amp;IF(AND(Projects!$G$38="Yes",Projects!$C$38=CN$3),", "&amp;Projects!$A$38,"")&amp;IF(AND(Projects!$G$39="Yes",Projects!$C$39=CN$3),", "&amp;Projects!$A$39,"")&amp;IF(AND(Projects!$G$40="Yes",Projects!$C$40=CN$3),", "&amp;Projects!$A$40,"")&amp;IF(AND(Projects!$G$41="Yes",Projects!$C$41=CN$3),", "&amp;Projects!$A$41,"")&amp;IF(AND(Projects!$G$42="Yes",Projects!$C$42=CN$3),", "&amp;Projects!$A$42,"")&amp;IF(AND(Projects!$G$43="Yes",Projects!$C$43=CN$3),", "&amp;Projects!$A$43,"")&amp;IF(AND(Projects!$G$44="Yes",Projects!$C$44=CN$3),", "&amp;Projects!$A$44,"")&amp;IF(AND(Projects!$G$45="Yes",Projects!$C$45=CN$3),", "&amp;Projects!$A$45,"")&amp;IF(AND(Projects!$G$46="Yes",Projects!$C$46=CN$3),", "&amp;Projects!$A$46,""),3,10000)</f>
        <v/>
      </c>
      <c r="CO6" s="396">
        <f>MID(IF(AND(Projects!$G$2="Yes",Projects!$C$2=CO$3),", "&amp;Projects!$A$2,"")&amp;IF(AND(Projects!$G$3="Yes",Projects!$C$3=CO$3),", "&amp;Projects!$A$3,"")&amp;IF(AND(Projects!$G$4="Yes",Projects!$C$4=CO$3),", "&amp;Projects!$A$4,"")&amp;IF(AND(Projects!$G$5="Yes",Projects!$C$5=CO$3),", "&amp;Projects!$A$5,"")&amp;IF(AND(Projects!$G$6="Yes",Projects!$C$6=CO$3),", "&amp;Projects!$A$6,"")&amp;IF(AND(Projects!$G$7="Yes",Projects!$C$7=CO$3),", "&amp;Projects!$A$7,"")&amp;IF(AND(Projects!$G$8="Yes",Projects!$C$8=CO$3),", "&amp;Projects!$A$8,"")&amp;IF(AND(Projects!$G$9="Yes",Projects!$C$9=CO$3),", "&amp;Projects!$A$9,"")&amp;IF(AND(Projects!$G$10="Yes",Projects!$C$10=CO$3),", "&amp;Projects!$A$10,"")&amp;IF(AND(Projects!$G$11="Yes",Projects!$C$11=CO$3),", "&amp;Projects!$A$11,"")&amp;IF(AND(Projects!$G$12="Yes",Projects!$C$12=CO$3),", "&amp;Projects!$A$12,"")&amp;IF(AND(Projects!$G$13="Yes",Projects!$C$13=CO$3),", "&amp;Projects!$A$13,"")&amp;IF(AND(Projects!$G$14="Yes",Projects!$C$14=CO$3),", "&amp;Projects!$A$14,"")&amp;IF(AND(Projects!$G$15="Yes",Projects!$C$15=CO$3),", "&amp;Projects!$A$15,"")&amp;IF(AND(Projects!$G$16="Yes",Projects!$C$16=CO$3),", "&amp;Projects!$A$16,"")&amp;IF(AND(Projects!$G$17="Yes",Projects!$C$17=CO$3),", "&amp;Projects!$A$17,"")&amp;IF(AND(Projects!$G$18="Yes",Projects!$C$18=CO$3),", "&amp;Projects!$A$18,"")&amp;IF(AND(Projects!$G$19="Yes",Projects!$C$19=CO$3),", "&amp;Projects!$A$19,"")&amp;IF(AND(Projects!$G$20="Yes",Projects!$C$20=CO$3),", "&amp;Projects!$A$20,"")&amp;IF(AND(Projects!$G$21="Yes",Projects!$C$21=CO$3),", "&amp;Projects!$A$21,"")&amp;IF(AND(Projects!$G$22="Yes",Projects!$C$22=CO$3),", "&amp;Projects!$A$22,"")&amp;IF(AND(Projects!$G$23="Yes",Projects!$C$23=CO$3),", "&amp;Projects!$A$23,"")&amp;IF(AND(Projects!$G$24="Yes",Projects!$C$24=CO$3),", "&amp;Projects!$A$24,"")&amp;IF(AND(Projects!$G$25="Yes",Projects!$C$25=CO$3),", "&amp;Projects!$A$25,"")&amp;IF(AND(Projects!$G$26="Yes",Projects!$C$26=CO$3),", "&amp;Projects!$A$26,"")&amp;IF(AND(Projects!$G$27="Yes",Projects!$C$27=CO$3),", "&amp;Projects!$A$27,"")&amp;IF(AND(Projects!$G$28="Yes",Projects!$C$28=CO$3),", "&amp;Projects!$A$28,"")&amp;IF(AND(Projects!$G$29="Yes",Projects!$C$29=CO$3),", "&amp;Projects!$A$29,"")&amp;IF(AND(Projects!$G$30="Yes",Projects!$C$30=CO$3),", "&amp;Projects!$A$30,"")&amp;IF(AND(Projects!$G$31="Yes",Projects!$C$31=CO$3),", "&amp;Projects!$A$31,"")&amp;IF(AND(Projects!$G$32="Yes",Projects!$C$32=CO$3),", "&amp;Projects!$A$32,"")&amp;IF(AND(Projects!$G$33="Yes",Projects!$C$33=CO$3),", "&amp;Projects!$A$33,"")&amp;IF(AND(Projects!$G$34="Yes",Projects!$C$34=CO$3),", "&amp;Projects!$A$34,"")&amp;IF(AND(Projects!$G$35="Yes",Projects!$C$35=CO$3),", "&amp;Projects!$A$35,"")&amp;IF(AND(Projects!$G$36="Yes",Projects!$C$36=CO$3),", "&amp;Projects!$A$36,"")&amp;IF(AND(Projects!$G$37="Yes",Projects!$C$37=CO$3),", "&amp;Projects!$A$37,"")&amp;IF(AND(Projects!$G$38="Yes",Projects!$C$38=CO$3),", "&amp;Projects!$A$38,"")&amp;IF(AND(Projects!$G$39="Yes",Projects!$C$39=CO$3),", "&amp;Projects!$A$39,"")&amp;IF(AND(Projects!$G$40="Yes",Projects!$C$40=CO$3),", "&amp;Projects!$A$40,"")&amp;IF(AND(Projects!$G$41="Yes",Projects!$C$41=CO$3),", "&amp;Projects!$A$41,"")&amp;IF(AND(Projects!$G$42="Yes",Projects!$C$42=CO$3),", "&amp;Projects!$A$42,"")&amp;IF(AND(Projects!$G$43="Yes",Projects!$C$43=CO$3),", "&amp;Projects!$A$43,"")&amp;IF(AND(Projects!$G$44="Yes",Projects!$C$44=CO$3),", "&amp;Projects!$A$44,"")&amp;IF(AND(Projects!$G$45="Yes",Projects!$C$45=CO$3),", "&amp;Projects!$A$45,"")&amp;IF(AND(Projects!$G$46="Yes",Projects!$C$46=CO$3),", "&amp;Projects!$A$46,""),3,10000)</f>
        <v/>
      </c>
      <c r="CP6" s="396">
        <f>MID(IF(AND(Projects!$G$2="Yes",Projects!$C$2=CP$3),", "&amp;Projects!$A$2,"")&amp;IF(AND(Projects!$G$3="Yes",Projects!$C$3=CP$3),", "&amp;Projects!$A$3,"")&amp;IF(AND(Projects!$G$4="Yes",Projects!$C$4=CP$3),", "&amp;Projects!$A$4,"")&amp;IF(AND(Projects!$G$5="Yes",Projects!$C$5=CP$3),", "&amp;Projects!$A$5,"")&amp;IF(AND(Projects!$G$6="Yes",Projects!$C$6=CP$3),", "&amp;Projects!$A$6,"")&amp;IF(AND(Projects!$G$7="Yes",Projects!$C$7=CP$3),", "&amp;Projects!$A$7,"")&amp;IF(AND(Projects!$G$8="Yes",Projects!$C$8=CP$3),", "&amp;Projects!$A$8,"")&amp;IF(AND(Projects!$G$9="Yes",Projects!$C$9=CP$3),", "&amp;Projects!$A$9,"")&amp;IF(AND(Projects!$G$10="Yes",Projects!$C$10=CP$3),", "&amp;Projects!$A$10,"")&amp;IF(AND(Projects!$G$11="Yes",Projects!$C$11=CP$3),", "&amp;Projects!$A$11,"")&amp;IF(AND(Projects!$G$12="Yes",Projects!$C$12=CP$3),", "&amp;Projects!$A$12,"")&amp;IF(AND(Projects!$G$13="Yes",Projects!$C$13=CP$3),", "&amp;Projects!$A$13,"")&amp;IF(AND(Projects!$G$14="Yes",Projects!$C$14=CP$3),", "&amp;Projects!$A$14,"")&amp;IF(AND(Projects!$G$15="Yes",Projects!$C$15=CP$3),", "&amp;Projects!$A$15,"")&amp;IF(AND(Projects!$G$16="Yes",Projects!$C$16=CP$3),", "&amp;Projects!$A$16,"")&amp;IF(AND(Projects!$G$17="Yes",Projects!$C$17=CP$3),", "&amp;Projects!$A$17,"")&amp;IF(AND(Projects!$G$18="Yes",Projects!$C$18=CP$3),", "&amp;Projects!$A$18,"")&amp;IF(AND(Projects!$G$19="Yes",Projects!$C$19=CP$3),", "&amp;Projects!$A$19,"")&amp;IF(AND(Projects!$G$20="Yes",Projects!$C$20=CP$3),", "&amp;Projects!$A$20,"")&amp;IF(AND(Projects!$G$21="Yes",Projects!$C$21=CP$3),", "&amp;Projects!$A$21,"")&amp;IF(AND(Projects!$G$22="Yes",Projects!$C$22=CP$3),", "&amp;Projects!$A$22,"")&amp;IF(AND(Projects!$G$23="Yes",Projects!$C$23=CP$3),", "&amp;Projects!$A$23,"")&amp;IF(AND(Projects!$G$24="Yes",Projects!$C$24=CP$3),", "&amp;Projects!$A$24,"")&amp;IF(AND(Projects!$G$25="Yes",Projects!$C$25=CP$3),", "&amp;Projects!$A$25,"")&amp;IF(AND(Projects!$G$26="Yes",Projects!$C$26=CP$3),", "&amp;Projects!$A$26,"")&amp;IF(AND(Projects!$G$27="Yes",Projects!$C$27=CP$3),", "&amp;Projects!$A$27,"")&amp;IF(AND(Projects!$G$28="Yes",Projects!$C$28=CP$3),", "&amp;Projects!$A$28,"")&amp;IF(AND(Projects!$G$29="Yes",Projects!$C$29=CP$3),", "&amp;Projects!$A$29,"")&amp;IF(AND(Projects!$G$30="Yes",Projects!$C$30=CP$3),", "&amp;Projects!$A$30,"")&amp;IF(AND(Projects!$G$31="Yes",Projects!$C$31=CP$3),", "&amp;Projects!$A$31,"")&amp;IF(AND(Projects!$G$32="Yes",Projects!$C$32=CP$3),", "&amp;Projects!$A$32,"")&amp;IF(AND(Projects!$G$33="Yes",Projects!$C$33=CP$3),", "&amp;Projects!$A$33,"")&amp;IF(AND(Projects!$G$34="Yes",Projects!$C$34=CP$3),", "&amp;Projects!$A$34,"")&amp;IF(AND(Projects!$G$35="Yes",Projects!$C$35=CP$3),", "&amp;Projects!$A$35,"")&amp;IF(AND(Projects!$G$36="Yes",Projects!$C$36=CP$3),", "&amp;Projects!$A$36,"")&amp;IF(AND(Projects!$G$37="Yes",Projects!$C$37=CP$3),", "&amp;Projects!$A$37,"")&amp;IF(AND(Projects!$G$38="Yes",Projects!$C$38=CP$3),", "&amp;Projects!$A$38,"")&amp;IF(AND(Projects!$G$39="Yes",Projects!$C$39=CP$3),", "&amp;Projects!$A$39,"")&amp;IF(AND(Projects!$G$40="Yes",Projects!$C$40=CP$3),", "&amp;Projects!$A$40,"")&amp;IF(AND(Projects!$G$41="Yes",Projects!$C$41=CP$3),", "&amp;Projects!$A$41,"")&amp;IF(AND(Projects!$G$42="Yes",Projects!$C$42=CP$3),", "&amp;Projects!$A$42,"")&amp;IF(AND(Projects!$G$43="Yes",Projects!$C$43=CP$3),", "&amp;Projects!$A$43,"")&amp;IF(AND(Projects!$G$44="Yes",Projects!$C$44=CP$3),", "&amp;Projects!$A$44,"")&amp;IF(AND(Projects!$G$45="Yes",Projects!$C$45=CP$3),", "&amp;Projects!$A$45,"")&amp;IF(AND(Projects!$G$46="Yes",Projects!$C$46=CP$3),", "&amp;Projects!$A$46,""),3,10000)</f>
        <v/>
      </c>
      <c r="CQ6" s="396">
        <f>MID(IF(AND(Projects!$G$2="Yes",Projects!$C$2=CQ$3),", "&amp;Projects!$A$2,"")&amp;IF(AND(Projects!$G$3="Yes",Projects!$C$3=CQ$3),", "&amp;Projects!$A$3,"")&amp;IF(AND(Projects!$G$4="Yes",Projects!$C$4=CQ$3),", "&amp;Projects!$A$4,"")&amp;IF(AND(Projects!$G$5="Yes",Projects!$C$5=CQ$3),", "&amp;Projects!$A$5,"")&amp;IF(AND(Projects!$G$6="Yes",Projects!$C$6=CQ$3),", "&amp;Projects!$A$6,"")&amp;IF(AND(Projects!$G$7="Yes",Projects!$C$7=CQ$3),", "&amp;Projects!$A$7,"")&amp;IF(AND(Projects!$G$8="Yes",Projects!$C$8=CQ$3),", "&amp;Projects!$A$8,"")&amp;IF(AND(Projects!$G$9="Yes",Projects!$C$9=CQ$3),", "&amp;Projects!$A$9,"")&amp;IF(AND(Projects!$G$10="Yes",Projects!$C$10=CQ$3),", "&amp;Projects!$A$10,"")&amp;IF(AND(Projects!$G$11="Yes",Projects!$C$11=CQ$3),", "&amp;Projects!$A$11,"")&amp;IF(AND(Projects!$G$12="Yes",Projects!$C$12=CQ$3),", "&amp;Projects!$A$12,"")&amp;IF(AND(Projects!$G$13="Yes",Projects!$C$13=CQ$3),", "&amp;Projects!$A$13,"")&amp;IF(AND(Projects!$G$14="Yes",Projects!$C$14=CQ$3),", "&amp;Projects!$A$14,"")&amp;IF(AND(Projects!$G$15="Yes",Projects!$C$15=CQ$3),", "&amp;Projects!$A$15,"")&amp;IF(AND(Projects!$G$16="Yes",Projects!$C$16=CQ$3),", "&amp;Projects!$A$16,"")&amp;IF(AND(Projects!$G$17="Yes",Projects!$C$17=CQ$3),", "&amp;Projects!$A$17,"")&amp;IF(AND(Projects!$G$18="Yes",Projects!$C$18=CQ$3),", "&amp;Projects!$A$18,"")&amp;IF(AND(Projects!$G$19="Yes",Projects!$C$19=CQ$3),", "&amp;Projects!$A$19,"")&amp;IF(AND(Projects!$G$20="Yes",Projects!$C$20=CQ$3),", "&amp;Projects!$A$20,"")&amp;IF(AND(Projects!$G$21="Yes",Projects!$C$21=CQ$3),", "&amp;Projects!$A$21,"")&amp;IF(AND(Projects!$G$22="Yes",Projects!$C$22=CQ$3),", "&amp;Projects!$A$22,"")&amp;IF(AND(Projects!$G$23="Yes",Projects!$C$23=CQ$3),", "&amp;Projects!$A$23,"")&amp;IF(AND(Projects!$G$24="Yes",Projects!$C$24=CQ$3),", "&amp;Projects!$A$24,"")&amp;IF(AND(Projects!$G$25="Yes",Projects!$C$25=CQ$3),", "&amp;Projects!$A$25,"")&amp;IF(AND(Projects!$G$26="Yes",Projects!$C$26=CQ$3),", "&amp;Projects!$A$26,"")&amp;IF(AND(Projects!$G$27="Yes",Projects!$C$27=CQ$3),", "&amp;Projects!$A$27,"")&amp;IF(AND(Projects!$G$28="Yes",Projects!$C$28=CQ$3),", "&amp;Projects!$A$28,"")&amp;IF(AND(Projects!$G$29="Yes",Projects!$C$29=CQ$3),", "&amp;Projects!$A$29,"")&amp;IF(AND(Projects!$G$30="Yes",Projects!$C$30=CQ$3),", "&amp;Projects!$A$30,"")&amp;IF(AND(Projects!$G$31="Yes",Projects!$C$31=CQ$3),", "&amp;Projects!$A$31,"")&amp;IF(AND(Projects!$G$32="Yes",Projects!$C$32=CQ$3),", "&amp;Projects!$A$32,"")&amp;IF(AND(Projects!$G$33="Yes",Projects!$C$33=CQ$3),", "&amp;Projects!$A$33,"")&amp;IF(AND(Projects!$G$34="Yes",Projects!$C$34=CQ$3),", "&amp;Projects!$A$34,"")&amp;IF(AND(Projects!$G$35="Yes",Projects!$C$35=CQ$3),", "&amp;Projects!$A$35,"")&amp;IF(AND(Projects!$G$36="Yes",Projects!$C$36=CQ$3),", "&amp;Projects!$A$36,"")&amp;IF(AND(Projects!$G$37="Yes",Projects!$C$37=CQ$3),", "&amp;Projects!$A$37,"")&amp;IF(AND(Projects!$G$38="Yes",Projects!$C$38=CQ$3),", "&amp;Projects!$A$38,"")&amp;IF(AND(Projects!$G$39="Yes",Projects!$C$39=CQ$3),", "&amp;Projects!$A$39,"")&amp;IF(AND(Projects!$G$40="Yes",Projects!$C$40=CQ$3),", "&amp;Projects!$A$40,"")&amp;IF(AND(Projects!$G$41="Yes",Projects!$C$41=CQ$3),", "&amp;Projects!$A$41,"")&amp;IF(AND(Projects!$G$42="Yes",Projects!$C$42=CQ$3),", "&amp;Projects!$A$42,"")&amp;IF(AND(Projects!$G$43="Yes",Projects!$C$43=CQ$3),", "&amp;Projects!$A$43,"")&amp;IF(AND(Projects!$G$44="Yes",Projects!$C$44=CQ$3),", "&amp;Projects!$A$44,"")&amp;IF(AND(Projects!$G$45="Yes",Projects!$C$45=CQ$3),", "&amp;Projects!$A$45,"")&amp;IF(AND(Projects!$G$46="Yes",Projects!$C$46=CQ$3),", "&amp;Projects!$A$46,""),3,10000)</f>
        <v/>
      </c>
      <c r="CR6" s="396">
        <f>MID(IF(AND(Projects!$G$2="Yes",Projects!$C$2=CR$3),", "&amp;Projects!$A$2,"")&amp;IF(AND(Projects!$G$3="Yes",Projects!$C$3=CR$3),", "&amp;Projects!$A$3,"")&amp;IF(AND(Projects!$G$4="Yes",Projects!$C$4=CR$3),", "&amp;Projects!$A$4,"")&amp;IF(AND(Projects!$G$5="Yes",Projects!$C$5=CR$3),", "&amp;Projects!$A$5,"")&amp;IF(AND(Projects!$G$6="Yes",Projects!$C$6=CR$3),", "&amp;Projects!$A$6,"")&amp;IF(AND(Projects!$G$7="Yes",Projects!$C$7=CR$3),", "&amp;Projects!$A$7,"")&amp;IF(AND(Projects!$G$8="Yes",Projects!$C$8=CR$3),", "&amp;Projects!$A$8,"")&amp;IF(AND(Projects!$G$9="Yes",Projects!$C$9=CR$3),", "&amp;Projects!$A$9,"")&amp;IF(AND(Projects!$G$10="Yes",Projects!$C$10=CR$3),", "&amp;Projects!$A$10,"")&amp;IF(AND(Projects!$G$11="Yes",Projects!$C$11=CR$3),", "&amp;Projects!$A$11,"")&amp;IF(AND(Projects!$G$12="Yes",Projects!$C$12=CR$3),", "&amp;Projects!$A$12,"")&amp;IF(AND(Projects!$G$13="Yes",Projects!$C$13=CR$3),", "&amp;Projects!$A$13,"")&amp;IF(AND(Projects!$G$14="Yes",Projects!$C$14=CR$3),", "&amp;Projects!$A$14,"")&amp;IF(AND(Projects!$G$15="Yes",Projects!$C$15=CR$3),", "&amp;Projects!$A$15,"")&amp;IF(AND(Projects!$G$16="Yes",Projects!$C$16=CR$3),", "&amp;Projects!$A$16,"")&amp;IF(AND(Projects!$G$17="Yes",Projects!$C$17=CR$3),", "&amp;Projects!$A$17,"")&amp;IF(AND(Projects!$G$18="Yes",Projects!$C$18=CR$3),", "&amp;Projects!$A$18,"")&amp;IF(AND(Projects!$G$19="Yes",Projects!$C$19=CR$3),", "&amp;Projects!$A$19,"")&amp;IF(AND(Projects!$G$20="Yes",Projects!$C$20=CR$3),", "&amp;Projects!$A$20,"")&amp;IF(AND(Projects!$G$21="Yes",Projects!$C$21=CR$3),", "&amp;Projects!$A$21,"")&amp;IF(AND(Projects!$G$22="Yes",Projects!$C$22=CR$3),", "&amp;Projects!$A$22,"")&amp;IF(AND(Projects!$G$23="Yes",Projects!$C$23=CR$3),", "&amp;Projects!$A$23,"")&amp;IF(AND(Projects!$G$24="Yes",Projects!$C$24=CR$3),", "&amp;Projects!$A$24,"")&amp;IF(AND(Projects!$G$25="Yes",Projects!$C$25=CR$3),", "&amp;Projects!$A$25,"")&amp;IF(AND(Projects!$G$26="Yes",Projects!$C$26=CR$3),", "&amp;Projects!$A$26,"")&amp;IF(AND(Projects!$G$27="Yes",Projects!$C$27=CR$3),", "&amp;Projects!$A$27,"")&amp;IF(AND(Projects!$G$28="Yes",Projects!$C$28=CR$3),", "&amp;Projects!$A$28,"")&amp;IF(AND(Projects!$G$29="Yes",Projects!$C$29=CR$3),", "&amp;Projects!$A$29,"")&amp;IF(AND(Projects!$G$30="Yes",Projects!$C$30=CR$3),", "&amp;Projects!$A$30,"")&amp;IF(AND(Projects!$G$31="Yes",Projects!$C$31=CR$3),", "&amp;Projects!$A$31,"")&amp;IF(AND(Projects!$G$32="Yes",Projects!$C$32=CR$3),", "&amp;Projects!$A$32,"")&amp;IF(AND(Projects!$G$33="Yes",Projects!$C$33=CR$3),", "&amp;Projects!$A$33,"")&amp;IF(AND(Projects!$G$34="Yes",Projects!$C$34=CR$3),", "&amp;Projects!$A$34,"")&amp;IF(AND(Projects!$G$35="Yes",Projects!$C$35=CR$3),", "&amp;Projects!$A$35,"")&amp;IF(AND(Projects!$G$36="Yes",Projects!$C$36=CR$3),", "&amp;Projects!$A$36,"")&amp;IF(AND(Projects!$G$37="Yes",Projects!$C$37=CR$3),", "&amp;Projects!$A$37,"")&amp;IF(AND(Projects!$G$38="Yes",Projects!$C$38=CR$3),", "&amp;Projects!$A$38,"")&amp;IF(AND(Projects!$G$39="Yes",Projects!$C$39=CR$3),", "&amp;Projects!$A$39,"")&amp;IF(AND(Projects!$G$40="Yes",Projects!$C$40=CR$3),", "&amp;Projects!$A$40,"")&amp;IF(AND(Projects!$G$41="Yes",Projects!$C$41=CR$3),", "&amp;Projects!$A$41,"")&amp;IF(AND(Projects!$G$42="Yes",Projects!$C$42=CR$3),", "&amp;Projects!$A$42,"")&amp;IF(AND(Projects!$G$43="Yes",Projects!$C$43=CR$3),", "&amp;Projects!$A$43,"")&amp;IF(AND(Projects!$G$44="Yes",Projects!$C$44=CR$3),", "&amp;Projects!$A$44,"")&amp;IF(AND(Projects!$G$45="Yes",Projects!$C$45=CR$3),", "&amp;Projects!$A$45,"")&amp;IF(AND(Projects!$G$46="Yes",Projects!$C$46=CR$3),", "&amp;Projects!$A$46,""),3,10000)</f>
        <v/>
      </c>
      <c r="CS6" s="396">
        <f>MID(IF(AND(Projects!$G$2="Yes",Projects!$C$2=CS$3),", "&amp;Projects!$A$2,"")&amp;IF(AND(Projects!$G$3="Yes",Projects!$C$3=CS$3),", "&amp;Projects!$A$3,"")&amp;IF(AND(Projects!$G$4="Yes",Projects!$C$4=CS$3),", "&amp;Projects!$A$4,"")&amp;IF(AND(Projects!$G$5="Yes",Projects!$C$5=CS$3),", "&amp;Projects!$A$5,"")&amp;IF(AND(Projects!$G$6="Yes",Projects!$C$6=CS$3),", "&amp;Projects!$A$6,"")&amp;IF(AND(Projects!$G$7="Yes",Projects!$C$7=CS$3),", "&amp;Projects!$A$7,"")&amp;IF(AND(Projects!$G$8="Yes",Projects!$C$8=CS$3),", "&amp;Projects!$A$8,"")&amp;IF(AND(Projects!$G$9="Yes",Projects!$C$9=CS$3),", "&amp;Projects!$A$9,"")&amp;IF(AND(Projects!$G$10="Yes",Projects!$C$10=CS$3),", "&amp;Projects!$A$10,"")&amp;IF(AND(Projects!$G$11="Yes",Projects!$C$11=CS$3),", "&amp;Projects!$A$11,"")&amp;IF(AND(Projects!$G$12="Yes",Projects!$C$12=CS$3),", "&amp;Projects!$A$12,"")&amp;IF(AND(Projects!$G$13="Yes",Projects!$C$13=CS$3),", "&amp;Projects!$A$13,"")&amp;IF(AND(Projects!$G$14="Yes",Projects!$C$14=CS$3),", "&amp;Projects!$A$14,"")&amp;IF(AND(Projects!$G$15="Yes",Projects!$C$15=CS$3),", "&amp;Projects!$A$15,"")&amp;IF(AND(Projects!$G$16="Yes",Projects!$C$16=CS$3),", "&amp;Projects!$A$16,"")&amp;IF(AND(Projects!$G$17="Yes",Projects!$C$17=CS$3),", "&amp;Projects!$A$17,"")&amp;IF(AND(Projects!$G$18="Yes",Projects!$C$18=CS$3),", "&amp;Projects!$A$18,"")&amp;IF(AND(Projects!$G$19="Yes",Projects!$C$19=CS$3),", "&amp;Projects!$A$19,"")&amp;IF(AND(Projects!$G$20="Yes",Projects!$C$20=CS$3),", "&amp;Projects!$A$20,"")&amp;IF(AND(Projects!$G$21="Yes",Projects!$C$21=CS$3),", "&amp;Projects!$A$21,"")&amp;IF(AND(Projects!$G$22="Yes",Projects!$C$22=CS$3),", "&amp;Projects!$A$22,"")&amp;IF(AND(Projects!$G$23="Yes",Projects!$C$23=CS$3),", "&amp;Projects!$A$23,"")&amp;IF(AND(Projects!$G$24="Yes",Projects!$C$24=CS$3),", "&amp;Projects!$A$24,"")&amp;IF(AND(Projects!$G$25="Yes",Projects!$C$25=CS$3),", "&amp;Projects!$A$25,"")&amp;IF(AND(Projects!$G$26="Yes",Projects!$C$26=CS$3),", "&amp;Projects!$A$26,"")&amp;IF(AND(Projects!$G$27="Yes",Projects!$C$27=CS$3),", "&amp;Projects!$A$27,"")&amp;IF(AND(Projects!$G$28="Yes",Projects!$C$28=CS$3),", "&amp;Projects!$A$28,"")&amp;IF(AND(Projects!$G$29="Yes",Projects!$C$29=CS$3),", "&amp;Projects!$A$29,"")&amp;IF(AND(Projects!$G$30="Yes",Projects!$C$30=CS$3),", "&amp;Projects!$A$30,"")&amp;IF(AND(Projects!$G$31="Yes",Projects!$C$31=CS$3),", "&amp;Projects!$A$31,"")&amp;IF(AND(Projects!$G$32="Yes",Projects!$C$32=CS$3),", "&amp;Projects!$A$32,"")&amp;IF(AND(Projects!$G$33="Yes",Projects!$C$33=CS$3),", "&amp;Projects!$A$33,"")&amp;IF(AND(Projects!$G$34="Yes",Projects!$C$34=CS$3),", "&amp;Projects!$A$34,"")&amp;IF(AND(Projects!$G$35="Yes",Projects!$C$35=CS$3),", "&amp;Projects!$A$35,"")&amp;IF(AND(Projects!$G$36="Yes",Projects!$C$36=CS$3),", "&amp;Projects!$A$36,"")&amp;IF(AND(Projects!$G$37="Yes",Projects!$C$37=CS$3),", "&amp;Projects!$A$37,"")&amp;IF(AND(Projects!$G$38="Yes",Projects!$C$38=CS$3),", "&amp;Projects!$A$38,"")&amp;IF(AND(Projects!$G$39="Yes",Projects!$C$39=CS$3),", "&amp;Projects!$A$39,"")&amp;IF(AND(Projects!$G$40="Yes",Projects!$C$40=CS$3),", "&amp;Projects!$A$40,"")&amp;IF(AND(Projects!$G$41="Yes",Projects!$C$41=CS$3),", "&amp;Projects!$A$41,"")&amp;IF(AND(Projects!$G$42="Yes",Projects!$C$42=CS$3),", "&amp;Projects!$A$42,"")&amp;IF(AND(Projects!$G$43="Yes",Projects!$C$43=CS$3),", "&amp;Projects!$A$43,"")&amp;IF(AND(Projects!$G$44="Yes",Projects!$C$44=CS$3),", "&amp;Projects!$A$44,"")&amp;IF(AND(Projects!$G$45="Yes",Projects!$C$45=CS$3),", "&amp;Projects!$A$45,"")&amp;IF(AND(Projects!$G$46="Yes",Projects!$C$46=CS$3),", "&amp;Projects!$A$46,""),3,10000)</f>
        <v/>
      </c>
      <c r="CT6" s="396">
        <f>MID(IF(AND(Projects!$G$2="Yes",Projects!$C$2=CT$3),", "&amp;Projects!$A$2,"")&amp;IF(AND(Projects!$G$3="Yes",Projects!$C$3=CT$3),", "&amp;Projects!$A$3,"")&amp;IF(AND(Projects!$G$4="Yes",Projects!$C$4=CT$3),", "&amp;Projects!$A$4,"")&amp;IF(AND(Projects!$G$5="Yes",Projects!$C$5=CT$3),", "&amp;Projects!$A$5,"")&amp;IF(AND(Projects!$G$6="Yes",Projects!$C$6=CT$3),", "&amp;Projects!$A$6,"")&amp;IF(AND(Projects!$G$7="Yes",Projects!$C$7=CT$3),", "&amp;Projects!$A$7,"")&amp;IF(AND(Projects!$G$8="Yes",Projects!$C$8=CT$3),", "&amp;Projects!$A$8,"")&amp;IF(AND(Projects!$G$9="Yes",Projects!$C$9=CT$3),", "&amp;Projects!$A$9,"")&amp;IF(AND(Projects!$G$10="Yes",Projects!$C$10=CT$3),", "&amp;Projects!$A$10,"")&amp;IF(AND(Projects!$G$11="Yes",Projects!$C$11=CT$3),", "&amp;Projects!$A$11,"")&amp;IF(AND(Projects!$G$12="Yes",Projects!$C$12=CT$3),", "&amp;Projects!$A$12,"")&amp;IF(AND(Projects!$G$13="Yes",Projects!$C$13=CT$3),", "&amp;Projects!$A$13,"")&amp;IF(AND(Projects!$G$14="Yes",Projects!$C$14=CT$3),", "&amp;Projects!$A$14,"")&amp;IF(AND(Projects!$G$15="Yes",Projects!$C$15=CT$3),", "&amp;Projects!$A$15,"")&amp;IF(AND(Projects!$G$16="Yes",Projects!$C$16=CT$3),", "&amp;Projects!$A$16,"")&amp;IF(AND(Projects!$G$17="Yes",Projects!$C$17=CT$3),", "&amp;Projects!$A$17,"")&amp;IF(AND(Projects!$G$18="Yes",Projects!$C$18=CT$3),", "&amp;Projects!$A$18,"")&amp;IF(AND(Projects!$G$19="Yes",Projects!$C$19=CT$3),", "&amp;Projects!$A$19,"")&amp;IF(AND(Projects!$G$20="Yes",Projects!$C$20=CT$3),", "&amp;Projects!$A$20,"")&amp;IF(AND(Projects!$G$21="Yes",Projects!$C$21=CT$3),", "&amp;Projects!$A$21,"")&amp;IF(AND(Projects!$G$22="Yes",Projects!$C$22=CT$3),", "&amp;Projects!$A$22,"")&amp;IF(AND(Projects!$G$23="Yes",Projects!$C$23=CT$3),", "&amp;Projects!$A$23,"")&amp;IF(AND(Projects!$G$24="Yes",Projects!$C$24=CT$3),", "&amp;Projects!$A$24,"")&amp;IF(AND(Projects!$G$25="Yes",Projects!$C$25=CT$3),", "&amp;Projects!$A$25,"")&amp;IF(AND(Projects!$G$26="Yes",Projects!$C$26=CT$3),", "&amp;Projects!$A$26,"")&amp;IF(AND(Projects!$G$27="Yes",Projects!$C$27=CT$3),", "&amp;Projects!$A$27,"")&amp;IF(AND(Projects!$G$28="Yes",Projects!$C$28=CT$3),", "&amp;Projects!$A$28,"")&amp;IF(AND(Projects!$G$29="Yes",Projects!$C$29=CT$3),", "&amp;Projects!$A$29,"")&amp;IF(AND(Projects!$G$30="Yes",Projects!$C$30=CT$3),", "&amp;Projects!$A$30,"")&amp;IF(AND(Projects!$G$31="Yes",Projects!$C$31=CT$3),", "&amp;Projects!$A$31,"")&amp;IF(AND(Projects!$G$32="Yes",Projects!$C$32=CT$3),", "&amp;Projects!$A$32,"")&amp;IF(AND(Projects!$G$33="Yes",Projects!$C$33=CT$3),", "&amp;Projects!$A$33,"")&amp;IF(AND(Projects!$G$34="Yes",Projects!$C$34=CT$3),", "&amp;Projects!$A$34,"")&amp;IF(AND(Projects!$G$35="Yes",Projects!$C$35=CT$3),", "&amp;Projects!$A$35,"")&amp;IF(AND(Projects!$G$36="Yes",Projects!$C$36=CT$3),", "&amp;Projects!$A$36,"")&amp;IF(AND(Projects!$G$37="Yes",Projects!$C$37=CT$3),", "&amp;Projects!$A$37,"")&amp;IF(AND(Projects!$G$38="Yes",Projects!$C$38=CT$3),", "&amp;Projects!$A$38,"")&amp;IF(AND(Projects!$G$39="Yes",Projects!$C$39=CT$3),", "&amp;Projects!$A$39,"")&amp;IF(AND(Projects!$G$40="Yes",Projects!$C$40=CT$3),", "&amp;Projects!$A$40,"")&amp;IF(AND(Projects!$G$41="Yes",Projects!$C$41=CT$3),", "&amp;Projects!$A$41,"")&amp;IF(AND(Projects!$G$42="Yes",Projects!$C$42=CT$3),", "&amp;Projects!$A$42,"")&amp;IF(AND(Projects!$G$43="Yes",Projects!$C$43=CT$3),", "&amp;Projects!$A$43,"")&amp;IF(AND(Projects!$G$44="Yes",Projects!$C$44=CT$3),", "&amp;Projects!$A$44,"")&amp;IF(AND(Projects!$G$45="Yes",Projects!$C$45=CT$3),", "&amp;Projects!$A$45,"")&amp;IF(AND(Projects!$G$46="Yes",Projects!$C$46=CT$3),", "&amp;Projects!$A$46,""),3,10000)</f>
        <v/>
      </c>
      <c r="CU6" s="396">
        <f>MID(IF(AND(Projects!$G$2="Yes",Projects!$C$2=CU$3),", "&amp;Projects!$A$2,"")&amp;IF(AND(Projects!$G$3="Yes",Projects!$C$3=CU$3),", "&amp;Projects!$A$3,"")&amp;IF(AND(Projects!$G$4="Yes",Projects!$C$4=CU$3),", "&amp;Projects!$A$4,"")&amp;IF(AND(Projects!$G$5="Yes",Projects!$C$5=CU$3),", "&amp;Projects!$A$5,"")&amp;IF(AND(Projects!$G$6="Yes",Projects!$C$6=CU$3),", "&amp;Projects!$A$6,"")&amp;IF(AND(Projects!$G$7="Yes",Projects!$C$7=CU$3),", "&amp;Projects!$A$7,"")&amp;IF(AND(Projects!$G$8="Yes",Projects!$C$8=CU$3),", "&amp;Projects!$A$8,"")&amp;IF(AND(Projects!$G$9="Yes",Projects!$C$9=CU$3),", "&amp;Projects!$A$9,"")&amp;IF(AND(Projects!$G$10="Yes",Projects!$C$10=CU$3),", "&amp;Projects!$A$10,"")&amp;IF(AND(Projects!$G$11="Yes",Projects!$C$11=CU$3),", "&amp;Projects!$A$11,"")&amp;IF(AND(Projects!$G$12="Yes",Projects!$C$12=CU$3),", "&amp;Projects!$A$12,"")&amp;IF(AND(Projects!$G$13="Yes",Projects!$C$13=CU$3),", "&amp;Projects!$A$13,"")&amp;IF(AND(Projects!$G$14="Yes",Projects!$C$14=CU$3),", "&amp;Projects!$A$14,"")&amp;IF(AND(Projects!$G$15="Yes",Projects!$C$15=CU$3),", "&amp;Projects!$A$15,"")&amp;IF(AND(Projects!$G$16="Yes",Projects!$C$16=CU$3),", "&amp;Projects!$A$16,"")&amp;IF(AND(Projects!$G$17="Yes",Projects!$C$17=CU$3),", "&amp;Projects!$A$17,"")&amp;IF(AND(Projects!$G$18="Yes",Projects!$C$18=CU$3),", "&amp;Projects!$A$18,"")&amp;IF(AND(Projects!$G$19="Yes",Projects!$C$19=CU$3),", "&amp;Projects!$A$19,"")&amp;IF(AND(Projects!$G$20="Yes",Projects!$C$20=CU$3),", "&amp;Projects!$A$20,"")&amp;IF(AND(Projects!$G$21="Yes",Projects!$C$21=CU$3),", "&amp;Projects!$A$21,"")&amp;IF(AND(Projects!$G$22="Yes",Projects!$C$22=CU$3),", "&amp;Projects!$A$22,"")&amp;IF(AND(Projects!$G$23="Yes",Projects!$C$23=CU$3),", "&amp;Projects!$A$23,"")&amp;IF(AND(Projects!$G$24="Yes",Projects!$C$24=CU$3),", "&amp;Projects!$A$24,"")&amp;IF(AND(Projects!$G$25="Yes",Projects!$C$25=CU$3),", "&amp;Projects!$A$25,"")&amp;IF(AND(Projects!$G$26="Yes",Projects!$C$26=CU$3),", "&amp;Projects!$A$26,"")&amp;IF(AND(Projects!$G$27="Yes",Projects!$C$27=CU$3),", "&amp;Projects!$A$27,"")&amp;IF(AND(Projects!$G$28="Yes",Projects!$C$28=CU$3),", "&amp;Projects!$A$28,"")&amp;IF(AND(Projects!$G$29="Yes",Projects!$C$29=CU$3),", "&amp;Projects!$A$29,"")&amp;IF(AND(Projects!$G$30="Yes",Projects!$C$30=CU$3),", "&amp;Projects!$A$30,"")&amp;IF(AND(Projects!$G$31="Yes",Projects!$C$31=CU$3),", "&amp;Projects!$A$31,"")&amp;IF(AND(Projects!$G$32="Yes",Projects!$C$32=CU$3),", "&amp;Projects!$A$32,"")&amp;IF(AND(Projects!$G$33="Yes",Projects!$C$33=CU$3),", "&amp;Projects!$A$33,"")&amp;IF(AND(Projects!$G$34="Yes",Projects!$C$34=CU$3),", "&amp;Projects!$A$34,"")&amp;IF(AND(Projects!$G$35="Yes",Projects!$C$35=CU$3),", "&amp;Projects!$A$35,"")&amp;IF(AND(Projects!$G$36="Yes",Projects!$C$36=CU$3),", "&amp;Projects!$A$36,"")&amp;IF(AND(Projects!$G$37="Yes",Projects!$C$37=CU$3),", "&amp;Projects!$A$37,"")&amp;IF(AND(Projects!$G$38="Yes",Projects!$C$38=CU$3),", "&amp;Projects!$A$38,"")&amp;IF(AND(Projects!$G$39="Yes",Projects!$C$39=CU$3),", "&amp;Projects!$A$39,"")&amp;IF(AND(Projects!$G$40="Yes",Projects!$C$40=CU$3),", "&amp;Projects!$A$40,"")&amp;IF(AND(Projects!$G$41="Yes",Projects!$C$41=CU$3),", "&amp;Projects!$A$41,"")&amp;IF(AND(Projects!$G$42="Yes",Projects!$C$42=CU$3),", "&amp;Projects!$A$42,"")&amp;IF(AND(Projects!$G$43="Yes",Projects!$C$43=CU$3),", "&amp;Projects!$A$43,"")&amp;IF(AND(Projects!$G$44="Yes",Projects!$C$44=CU$3),", "&amp;Projects!$A$44,"")&amp;IF(AND(Projects!$G$45="Yes",Projects!$C$45=CU$3),", "&amp;Projects!$A$45,"")&amp;IF(AND(Projects!$G$46="Yes",Projects!$C$46=CU$3),", "&amp;Projects!$A$46,""),3,10000)</f>
        <v/>
      </c>
      <c r="CV6" s="396">
        <f>MID(IF(AND(Projects!$G$2="Yes",Projects!$C$2=CV$3),", "&amp;Projects!$A$2,"")&amp;IF(AND(Projects!$G$3="Yes",Projects!$C$3=CV$3),", "&amp;Projects!$A$3,"")&amp;IF(AND(Projects!$G$4="Yes",Projects!$C$4=CV$3),", "&amp;Projects!$A$4,"")&amp;IF(AND(Projects!$G$5="Yes",Projects!$C$5=CV$3),", "&amp;Projects!$A$5,"")&amp;IF(AND(Projects!$G$6="Yes",Projects!$C$6=CV$3),", "&amp;Projects!$A$6,"")&amp;IF(AND(Projects!$G$7="Yes",Projects!$C$7=CV$3),", "&amp;Projects!$A$7,"")&amp;IF(AND(Projects!$G$8="Yes",Projects!$C$8=CV$3),", "&amp;Projects!$A$8,"")&amp;IF(AND(Projects!$G$9="Yes",Projects!$C$9=CV$3),", "&amp;Projects!$A$9,"")&amp;IF(AND(Projects!$G$10="Yes",Projects!$C$10=CV$3),", "&amp;Projects!$A$10,"")&amp;IF(AND(Projects!$G$11="Yes",Projects!$C$11=CV$3),", "&amp;Projects!$A$11,"")&amp;IF(AND(Projects!$G$12="Yes",Projects!$C$12=CV$3),", "&amp;Projects!$A$12,"")&amp;IF(AND(Projects!$G$13="Yes",Projects!$C$13=CV$3),", "&amp;Projects!$A$13,"")&amp;IF(AND(Projects!$G$14="Yes",Projects!$C$14=CV$3),", "&amp;Projects!$A$14,"")&amp;IF(AND(Projects!$G$15="Yes",Projects!$C$15=CV$3),", "&amp;Projects!$A$15,"")&amp;IF(AND(Projects!$G$16="Yes",Projects!$C$16=CV$3),", "&amp;Projects!$A$16,"")&amp;IF(AND(Projects!$G$17="Yes",Projects!$C$17=CV$3),", "&amp;Projects!$A$17,"")&amp;IF(AND(Projects!$G$18="Yes",Projects!$C$18=CV$3),", "&amp;Projects!$A$18,"")&amp;IF(AND(Projects!$G$19="Yes",Projects!$C$19=CV$3),", "&amp;Projects!$A$19,"")&amp;IF(AND(Projects!$G$20="Yes",Projects!$C$20=CV$3),", "&amp;Projects!$A$20,"")&amp;IF(AND(Projects!$G$21="Yes",Projects!$C$21=CV$3),", "&amp;Projects!$A$21,"")&amp;IF(AND(Projects!$G$22="Yes",Projects!$C$22=CV$3),", "&amp;Projects!$A$22,"")&amp;IF(AND(Projects!$G$23="Yes",Projects!$C$23=CV$3),", "&amp;Projects!$A$23,"")&amp;IF(AND(Projects!$G$24="Yes",Projects!$C$24=CV$3),", "&amp;Projects!$A$24,"")&amp;IF(AND(Projects!$G$25="Yes",Projects!$C$25=CV$3),", "&amp;Projects!$A$25,"")&amp;IF(AND(Projects!$G$26="Yes",Projects!$C$26=CV$3),", "&amp;Projects!$A$26,"")&amp;IF(AND(Projects!$G$27="Yes",Projects!$C$27=CV$3),", "&amp;Projects!$A$27,"")&amp;IF(AND(Projects!$G$28="Yes",Projects!$C$28=CV$3),", "&amp;Projects!$A$28,"")&amp;IF(AND(Projects!$G$29="Yes",Projects!$C$29=CV$3),", "&amp;Projects!$A$29,"")&amp;IF(AND(Projects!$G$30="Yes",Projects!$C$30=CV$3),", "&amp;Projects!$A$30,"")&amp;IF(AND(Projects!$G$31="Yes",Projects!$C$31=CV$3),", "&amp;Projects!$A$31,"")&amp;IF(AND(Projects!$G$32="Yes",Projects!$C$32=CV$3),", "&amp;Projects!$A$32,"")&amp;IF(AND(Projects!$G$33="Yes",Projects!$C$33=CV$3),", "&amp;Projects!$A$33,"")&amp;IF(AND(Projects!$G$34="Yes",Projects!$C$34=CV$3),", "&amp;Projects!$A$34,"")&amp;IF(AND(Projects!$G$35="Yes",Projects!$C$35=CV$3),", "&amp;Projects!$A$35,"")&amp;IF(AND(Projects!$G$36="Yes",Projects!$C$36=CV$3),", "&amp;Projects!$A$36,"")&amp;IF(AND(Projects!$G$37="Yes",Projects!$C$37=CV$3),", "&amp;Projects!$A$37,"")&amp;IF(AND(Projects!$G$38="Yes",Projects!$C$38=CV$3),", "&amp;Projects!$A$38,"")&amp;IF(AND(Projects!$G$39="Yes",Projects!$C$39=CV$3),", "&amp;Projects!$A$39,"")&amp;IF(AND(Projects!$G$40="Yes",Projects!$C$40=CV$3),", "&amp;Projects!$A$40,"")&amp;IF(AND(Projects!$G$41="Yes",Projects!$C$41=CV$3),", "&amp;Projects!$A$41,"")&amp;IF(AND(Projects!$G$42="Yes",Projects!$C$42=CV$3),", "&amp;Projects!$A$42,"")&amp;IF(AND(Projects!$G$43="Yes",Projects!$C$43=CV$3),", "&amp;Projects!$A$43,"")&amp;IF(AND(Projects!$G$44="Yes",Projects!$C$44=CV$3),", "&amp;Projects!$A$44,"")&amp;IF(AND(Projects!$G$45="Yes",Projects!$C$45=CV$3),", "&amp;Projects!$A$45,"")&amp;IF(AND(Projects!$G$46="Yes",Projects!$C$46=CV$3),", "&amp;Projects!$A$46,""),3,10000)</f>
        <v/>
      </c>
      <c r="CW6" s="396">
        <f>MID(IF(AND(Projects!$G$2="Yes",Projects!$C$2=CW$3),", "&amp;Projects!$A$2,"")&amp;IF(AND(Projects!$G$3="Yes",Projects!$C$3=CW$3),", "&amp;Projects!$A$3,"")&amp;IF(AND(Projects!$G$4="Yes",Projects!$C$4=CW$3),", "&amp;Projects!$A$4,"")&amp;IF(AND(Projects!$G$5="Yes",Projects!$C$5=CW$3),", "&amp;Projects!$A$5,"")&amp;IF(AND(Projects!$G$6="Yes",Projects!$C$6=CW$3),", "&amp;Projects!$A$6,"")&amp;IF(AND(Projects!$G$7="Yes",Projects!$C$7=CW$3),", "&amp;Projects!$A$7,"")&amp;IF(AND(Projects!$G$8="Yes",Projects!$C$8=CW$3),", "&amp;Projects!$A$8,"")&amp;IF(AND(Projects!$G$9="Yes",Projects!$C$9=CW$3),", "&amp;Projects!$A$9,"")&amp;IF(AND(Projects!$G$10="Yes",Projects!$C$10=CW$3),", "&amp;Projects!$A$10,"")&amp;IF(AND(Projects!$G$11="Yes",Projects!$C$11=CW$3),", "&amp;Projects!$A$11,"")&amp;IF(AND(Projects!$G$12="Yes",Projects!$C$12=CW$3),", "&amp;Projects!$A$12,"")&amp;IF(AND(Projects!$G$13="Yes",Projects!$C$13=CW$3),", "&amp;Projects!$A$13,"")&amp;IF(AND(Projects!$G$14="Yes",Projects!$C$14=CW$3),", "&amp;Projects!$A$14,"")&amp;IF(AND(Projects!$G$15="Yes",Projects!$C$15=CW$3),", "&amp;Projects!$A$15,"")&amp;IF(AND(Projects!$G$16="Yes",Projects!$C$16=CW$3),", "&amp;Projects!$A$16,"")&amp;IF(AND(Projects!$G$17="Yes",Projects!$C$17=CW$3),", "&amp;Projects!$A$17,"")&amp;IF(AND(Projects!$G$18="Yes",Projects!$C$18=CW$3),", "&amp;Projects!$A$18,"")&amp;IF(AND(Projects!$G$19="Yes",Projects!$C$19=CW$3),", "&amp;Projects!$A$19,"")&amp;IF(AND(Projects!$G$20="Yes",Projects!$C$20=CW$3),", "&amp;Projects!$A$20,"")&amp;IF(AND(Projects!$G$21="Yes",Projects!$C$21=CW$3),", "&amp;Projects!$A$21,"")&amp;IF(AND(Projects!$G$22="Yes",Projects!$C$22=CW$3),", "&amp;Projects!$A$22,"")&amp;IF(AND(Projects!$G$23="Yes",Projects!$C$23=CW$3),", "&amp;Projects!$A$23,"")&amp;IF(AND(Projects!$G$24="Yes",Projects!$C$24=CW$3),", "&amp;Projects!$A$24,"")&amp;IF(AND(Projects!$G$25="Yes",Projects!$C$25=CW$3),", "&amp;Projects!$A$25,"")&amp;IF(AND(Projects!$G$26="Yes",Projects!$C$26=CW$3),", "&amp;Projects!$A$26,"")&amp;IF(AND(Projects!$G$27="Yes",Projects!$C$27=CW$3),", "&amp;Projects!$A$27,"")&amp;IF(AND(Projects!$G$28="Yes",Projects!$C$28=CW$3),", "&amp;Projects!$A$28,"")&amp;IF(AND(Projects!$G$29="Yes",Projects!$C$29=CW$3),", "&amp;Projects!$A$29,"")&amp;IF(AND(Projects!$G$30="Yes",Projects!$C$30=CW$3),", "&amp;Projects!$A$30,"")&amp;IF(AND(Projects!$G$31="Yes",Projects!$C$31=CW$3),", "&amp;Projects!$A$31,"")&amp;IF(AND(Projects!$G$32="Yes",Projects!$C$32=CW$3),", "&amp;Projects!$A$32,"")&amp;IF(AND(Projects!$G$33="Yes",Projects!$C$33=CW$3),", "&amp;Projects!$A$33,"")&amp;IF(AND(Projects!$G$34="Yes",Projects!$C$34=CW$3),", "&amp;Projects!$A$34,"")&amp;IF(AND(Projects!$G$35="Yes",Projects!$C$35=CW$3),", "&amp;Projects!$A$35,"")&amp;IF(AND(Projects!$G$36="Yes",Projects!$C$36=CW$3),", "&amp;Projects!$A$36,"")&amp;IF(AND(Projects!$G$37="Yes",Projects!$C$37=CW$3),", "&amp;Projects!$A$37,"")&amp;IF(AND(Projects!$G$38="Yes",Projects!$C$38=CW$3),", "&amp;Projects!$A$38,"")&amp;IF(AND(Projects!$G$39="Yes",Projects!$C$39=CW$3),", "&amp;Projects!$A$39,"")&amp;IF(AND(Projects!$G$40="Yes",Projects!$C$40=CW$3),", "&amp;Projects!$A$40,"")&amp;IF(AND(Projects!$G$41="Yes",Projects!$C$41=CW$3),", "&amp;Projects!$A$41,"")&amp;IF(AND(Projects!$G$42="Yes",Projects!$C$42=CW$3),", "&amp;Projects!$A$42,"")&amp;IF(AND(Projects!$G$43="Yes",Projects!$C$43=CW$3),", "&amp;Projects!$A$43,"")&amp;IF(AND(Projects!$G$44="Yes",Projects!$C$44=CW$3),", "&amp;Projects!$A$44,"")&amp;IF(AND(Projects!$G$45="Yes",Projects!$C$45=CW$3),", "&amp;Projects!$A$45,"")&amp;IF(AND(Projects!$G$46="Yes",Projects!$C$46=CW$3),", "&amp;Projects!$A$46,""),3,10000)</f>
        <v/>
      </c>
      <c r="CX6" s="396">
        <f>MID(IF(AND(Projects!$G$2="Yes",Projects!$C$2=CX$3),", "&amp;Projects!$A$2,"")&amp;IF(AND(Projects!$G$3="Yes",Projects!$C$3=CX$3),", "&amp;Projects!$A$3,"")&amp;IF(AND(Projects!$G$4="Yes",Projects!$C$4=CX$3),", "&amp;Projects!$A$4,"")&amp;IF(AND(Projects!$G$5="Yes",Projects!$C$5=CX$3),", "&amp;Projects!$A$5,"")&amp;IF(AND(Projects!$G$6="Yes",Projects!$C$6=CX$3),", "&amp;Projects!$A$6,"")&amp;IF(AND(Projects!$G$7="Yes",Projects!$C$7=CX$3),", "&amp;Projects!$A$7,"")&amp;IF(AND(Projects!$G$8="Yes",Projects!$C$8=CX$3),", "&amp;Projects!$A$8,"")&amp;IF(AND(Projects!$G$9="Yes",Projects!$C$9=CX$3),", "&amp;Projects!$A$9,"")&amp;IF(AND(Projects!$G$10="Yes",Projects!$C$10=CX$3),", "&amp;Projects!$A$10,"")&amp;IF(AND(Projects!$G$11="Yes",Projects!$C$11=CX$3),", "&amp;Projects!$A$11,"")&amp;IF(AND(Projects!$G$12="Yes",Projects!$C$12=CX$3),", "&amp;Projects!$A$12,"")&amp;IF(AND(Projects!$G$13="Yes",Projects!$C$13=CX$3),", "&amp;Projects!$A$13,"")&amp;IF(AND(Projects!$G$14="Yes",Projects!$C$14=CX$3),", "&amp;Projects!$A$14,"")&amp;IF(AND(Projects!$G$15="Yes",Projects!$C$15=CX$3),", "&amp;Projects!$A$15,"")&amp;IF(AND(Projects!$G$16="Yes",Projects!$C$16=CX$3),", "&amp;Projects!$A$16,"")&amp;IF(AND(Projects!$G$17="Yes",Projects!$C$17=CX$3),", "&amp;Projects!$A$17,"")&amp;IF(AND(Projects!$G$18="Yes",Projects!$C$18=CX$3),", "&amp;Projects!$A$18,"")&amp;IF(AND(Projects!$G$19="Yes",Projects!$C$19=CX$3),", "&amp;Projects!$A$19,"")&amp;IF(AND(Projects!$G$20="Yes",Projects!$C$20=CX$3),", "&amp;Projects!$A$20,"")&amp;IF(AND(Projects!$G$21="Yes",Projects!$C$21=CX$3),", "&amp;Projects!$A$21,"")&amp;IF(AND(Projects!$G$22="Yes",Projects!$C$22=CX$3),", "&amp;Projects!$A$22,"")&amp;IF(AND(Projects!$G$23="Yes",Projects!$C$23=CX$3),", "&amp;Projects!$A$23,"")&amp;IF(AND(Projects!$G$24="Yes",Projects!$C$24=CX$3),", "&amp;Projects!$A$24,"")&amp;IF(AND(Projects!$G$25="Yes",Projects!$C$25=CX$3),", "&amp;Projects!$A$25,"")&amp;IF(AND(Projects!$G$26="Yes",Projects!$C$26=CX$3),", "&amp;Projects!$A$26,"")&amp;IF(AND(Projects!$G$27="Yes",Projects!$C$27=CX$3),", "&amp;Projects!$A$27,"")&amp;IF(AND(Projects!$G$28="Yes",Projects!$C$28=CX$3),", "&amp;Projects!$A$28,"")&amp;IF(AND(Projects!$G$29="Yes",Projects!$C$29=CX$3),", "&amp;Projects!$A$29,"")&amp;IF(AND(Projects!$G$30="Yes",Projects!$C$30=CX$3),", "&amp;Projects!$A$30,"")&amp;IF(AND(Projects!$G$31="Yes",Projects!$C$31=CX$3),", "&amp;Projects!$A$31,"")&amp;IF(AND(Projects!$G$32="Yes",Projects!$C$32=CX$3),", "&amp;Projects!$A$32,"")&amp;IF(AND(Projects!$G$33="Yes",Projects!$C$33=CX$3),", "&amp;Projects!$A$33,"")&amp;IF(AND(Projects!$G$34="Yes",Projects!$C$34=CX$3),", "&amp;Projects!$A$34,"")&amp;IF(AND(Projects!$G$35="Yes",Projects!$C$35=CX$3),", "&amp;Projects!$A$35,"")&amp;IF(AND(Projects!$G$36="Yes",Projects!$C$36=CX$3),", "&amp;Projects!$A$36,"")&amp;IF(AND(Projects!$G$37="Yes",Projects!$C$37=CX$3),", "&amp;Projects!$A$37,"")&amp;IF(AND(Projects!$G$38="Yes",Projects!$C$38=CX$3),", "&amp;Projects!$A$38,"")&amp;IF(AND(Projects!$G$39="Yes",Projects!$C$39=CX$3),", "&amp;Projects!$A$39,"")&amp;IF(AND(Projects!$G$40="Yes",Projects!$C$40=CX$3),", "&amp;Projects!$A$40,"")&amp;IF(AND(Projects!$G$41="Yes",Projects!$C$41=CX$3),", "&amp;Projects!$A$41,"")&amp;IF(AND(Projects!$G$42="Yes",Projects!$C$42=CX$3),", "&amp;Projects!$A$42,"")&amp;IF(AND(Projects!$G$43="Yes",Projects!$C$43=CX$3),", "&amp;Projects!$A$43,"")&amp;IF(AND(Projects!$G$44="Yes",Projects!$C$44=CX$3),", "&amp;Projects!$A$44,"")&amp;IF(AND(Projects!$G$45="Yes",Projects!$C$45=CX$3),", "&amp;Projects!$A$45,"")&amp;IF(AND(Projects!$G$46="Yes",Projects!$C$46=CX$3),", "&amp;Projects!$A$46,""),3,10000)</f>
        <v/>
      </c>
      <c r="CY6" s="396">
        <f>MID(IF(AND(Projects!$G$2="Yes",Projects!$C$2=CY$3),", "&amp;Projects!$A$2,"")&amp;IF(AND(Projects!$G$3="Yes",Projects!$C$3=CY$3),", "&amp;Projects!$A$3,"")&amp;IF(AND(Projects!$G$4="Yes",Projects!$C$4=CY$3),", "&amp;Projects!$A$4,"")&amp;IF(AND(Projects!$G$5="Yes",Projects!$C$5=CY$3),", "&amp;Projects!$A$5,"")&amp;IF(AND(Projects!$G$6="Yes",Projects!$C$6=CY$3),", "&amp;Projects!$A$6,"")&amp;IF(AND(Projects!$G$7="Yes",Projects!$C$7=CY$3),", "&amp;Projects!$A$7,"")&amp;IF(AND(Projects!$G$8="Yes",Projects!$C$8=CY$3),", "&amp;Projects!$A$8,"")&amp;IF(AND(Projects!$G$9="Yes",Projects!$C$9=CY$3),", "&amp;Projects!$A$9,"")&amp;IF(AND(Projects!$G$10="Yes",Projects!$C$10=CY$3),", "&amp;Projects!$A$10,"")&amp;IF(AND(Projects!$G$11="Yes",Projects!$C$11=CY$3),", "&amp;Projects!$A$11,"")&amp;IF(AND(Projects!$G$12="Yes",Projects!$C$12=CY$3),", "&amp;Projects!$A$12,"")&amp;IF(AND(Projects!$G$13="Yes",Projects!$C$13=CY$3),", "&amp;Projects!$A$13,"")&amp;IF(AND(Projects!$G$14="Yes",Projects!$C$14=CY$3),", "&amp;Projects!$A$14,"")&amp;IF(AND(Projects!$G$15="Yes",Projects!$C$15=CY$3),", "&amp;Projects!$A$15,"")&amp;IF(AND(Projects!$G$16="Yes",Projects!$C$16=CY$3),", "&amp;Projects!$A$16,"")&amp;IF(AND(Projects!$G$17="Yes",Projects!$C$17=CY$3),", "&amp;Projects!$A$17,"")&amp;IF(AND(Projects!$G$18="Yes",Projects!$C$18=CY$3),", "&amp;Projects!$A$18,"")&amp;IF(AND(Projects!$G$19="Yes",Projects!$C$19=CY$3),", "&amp;Projects!$A$19,"")&amp;IF(AND(Projects!$G$20="Yes",Projects!$C$20=CY$3),", "&amp;Projects!$A$20,"")&amp;IF(AND(Projects!$G$21="Yes",Projects!$C$21=CY$3),", "&amp;Projects!$A$21,"")&amp;IF(AND(Projects!$G$22="Yes",Projects!$C$22=CY$3),", "&amp;Projects!$A$22,"")&amp;IF(AND(Projects!$G$23="Yes",Projects!$C$23=CY$3),", "&amp;Projects!$A$23,"")&amp;IF(AND(Projects!$G$24="Yes",Projects!$C$24=CY$3),", "&amp;Projects!$A$24,"")&amp;IF(AND(Projects!$G$25="Yes",Projects!$C$25=CY$3),", "&amp;Projects!$A$25,"")&amp;IF(AND(Projects!$G$26="Yes",Projects!$C$26=CY$3),", "&amp;Projects!$A$26,"")&amp;IF(AND(Projects!$G$27="Yes",Projects!$C$27=CY$3),", "&amp;Projects!$A$27,"")&amp;IF(AND(Projects!$G$28="Yes",Projects!$C$28=CY$3),", "&amp;Projects!$A$28,"")&amp;IF(AND(Projects!$G$29="Yes",Projects!$C$29=CY$3),", "&amp;Projects!$A$29,"")&amp;IF(AND(Projects!$G$30="Yes",Projects!$C$30=CY$3),", "&amp;Projects!$A$30,"")&amp;IF(AND(Projects!$G$31="Yes",Projects!$C$31=CY$3),", "&amp;Projects!$A$31,"")&amp;IF(AND(Projects!$G$32="Yes",Projects!$C$32=CY$3),", "&amp;Projects!$A$32,"")&amp;IF(AND(Projects!$G$33="Yes",Projects!$C$33=CY$3),", "&amp;Projects!$A$33,"")&amp;IF(AND(Projects!$G$34="Yes",Projects!$C$34=CY$3),", "&amp;Projects!$A$34,"")&amp;IF(AND(Projects!$G$35="Yes",Projects!$C$35=CY$3),", "&amp;Projects!$A$35,"")&amp;IF(AND(Projects!$G$36="Yes",Projects!$C$36=CY$3),", "&amp;Projects!$A$36,"")&amp;IF(AND(Projects!$G$37="Yes",Projects!$C$37=CY$3),", "&amp;Projects!$A$37,"")&amp;IF(AND(Projects!$G$38="Yes",Projects!$C$38=CY$3),", "&amp;Projects!$A$38,"")&amp;IF(AND(Projects!$G$39="Yes",Projects!$C$39=CY$3),", "&amp;Projects!$A$39,"")&amp;IF(AND(Projects!$G$40="Yes",Projects!$C$40=CY$3),", "&amp;Projects!$A$40,"")&amp;IF(AND(Projects!$G$41="Yes",Projects!$C$41=CY$3),", "&amp;Projects!$A$41,"")&amp;IF(AND(Projects!$G$42="Yes",Projects!$C$42=CY$3),", "&amp;Projects!$A$42,"")&amp;IF(AND(Projects!$G$43="Yes",Projects!$C$43=CY$3),", "&amp;Projects!$A$43,"")&amp;IF(AND(Projects!$G$44="Yes",Projects!$C$44=CY$3),", "&amp;Projects!$A$44,"")&amp;IF(AND(Projects!$G$45="Yes",Projects!$C$45=CY$3),", "&amp;Projects!$A$45,"")&amp;IF(AND(Projects!$G$46="Yes",Projects!$C$46=CY$3),", "&amp;Projects!$A$46,""),3,10000)</f>
        <v/>
      </c>
      <c r="CZ6" s="396">
        <f>MID(IF(AND(Projects!$G$2="Yes",Projects!$C$2=CZ$3),", "&amp;Projects!$A$2,"")&amp;IF(AND(Projects!$G$3="Yes",Projects!$C$3=CZ$3),", "&amp;Projects!$A$3,"")&amp;IF(AND(Projects!$G$4="Yes",Projects!$C$4=CZ$3),", "&amp;Projects!$A$4,"")&amp;IF(AND(Projects!$G$5="Yes",Projects!$C$5=CZ$3),", "&amp;Projects!$A$5,"")&amp;IF(AND(Projects!$G$6="Yes",Projects!$C$6=CZ$3),", "&amp;Projects!$A$6,"")&amp;IF(AND(Projects!$G$7="Yes",Projects!$C$7=CZ$3),", "&amp;Projects!$A$7,"")&amp;IF(AND(Projects!$G$8="Yes",Projects!$C$8=CZ$3),", "&amp;Projects!$A$8,"")&amp;IF(AND(Projects!$G$9="Yes",Projects!$C$9=CZ$3),", "&amp;Projects!$A$9,"")&amp;IF(AND(Projects!$G$10="Yes",Projects!$C$10=CZ$3),", "&amp;Projects!$A$10,"")&amp;IF(AND(Projects!$G$11="Yes",Projects!$C$11=CZ$3),", "&amp;Projects!$A$11,"")&amp;IF(AND(Projects!$G$12="Yes",Projects!$C$12=CZ$3),", "&amp;Projects!$A$12,"")&amp;IF(AND(Projects!$G$13="Yes",Projects!$C$13=CZ$3),", "&amp;Projects!$A$13,"")&amp;IF(AND(Projects!$G$14="Yes",Projects!$C$14=CZ$3),", "&amp;Projects!$A$14,"")&amp;IF(AND(Projects!$G$15="Yes",Projects!$C$15=CZ$3),", "&amp;Projects!$A$15,"")&amp;IF(AND(Projects!$G$16="Yes",Projects!$C$16=CZ$3),", "&amp;Projects!$A$16,"")&amp;IF(AND(Projects!$G$17="Yes",Projects!$C$17=CZ$3),", "&amp;Projects!$A$17,"")&amp;IF(AND(Projects!$G$18="Yes",Projects!$C$18=CZ$3),", "&amp;Projects!$A$18,"")&amp;IF(AND(Projects!$G$19="Yes",Projects!$C$19=CZ$3),", "&amp;Projects!$A$19,"")&amp;IF(AND(Projects!$G$20="Yes",Projects!$C$20=CZ$3),", "&amp;Projects!$A$20,"")&amp;IF(AND(Projects!$G$21="Yes",Projects!$C$21=CZ$3),", "&amp;Projects!$A$21,"")&amp;IF(AND(Projects!$G$22="Yes",Projects!$C$22=CZ$3),", "&amp;Projects!$A$22,"")&amp;IF(AND(Projects!$G$23="Yes",Projects!$C$23=CZ$3),", "&amp;Projects!$A$23,"")&amp;IF(AND(Projects!$G$24="Yes",Projects!$C$24=CZ$3),", "&amp;Projects!$A$24,"")&amp;IF(AND(Projects!$G$25="Yes",Projects!$C$25=CZ$3),", "&amp;Projects!$A$25,"")&amp;IF(AND(Projects!$G$26="Yes",Projects!$C$26=CZ$3),", "&amp;Projects!$A$26,"")&amp;IF(AND(Projects!$G$27="Yes",Projects!$C$27=CZ$3),", "&amp;Projects!$A$27,"")&amp;IF(AND(Projects!$G$28="Yes",Projects!$C$28=CZ$3),", "&amp;Projects!$A$28,"")&amp;IF(AND(Projects!$G$29="Yes",Projects!$C$29=CZ$3),", "&amp;Projects!$A$29,"")&amp;IF(AND(Projects!$G$30="Yes",Projects!$C$30=CZ$3),", "&amp;Projects!$A$30,"")&amp;IF(AND(Projects!$G$31="Yes",Projects!$C$31=CZ$3),", "&amp;Projects!$A$31,"")&amp;IF(AND(Projects!$G$32="Yes",Projects!$C$32=CZ$3),", "&amp;Projects!$A$32,"")&amp;IF(AND(Projects!$G$33="Yes",Projects!$C$33=CZ$3),", "&amp;Projects!$A$33,"")&amp;IF(AND(Projects!$G$34="Yes",Projects!$C$34=CZ$3),", "&amp;Projects!$A$34,"")&amp;IF(AND(Projects!$G$35="Yes",Projects!$C$35=CZ$3),", "&amp;Projects!$A$35,"")&amp;IF(AND(Projects!$G$36="Yes",Projects!$C$36=CZ$3),", "&amp;Projects!$A$36,"")&amp;IF(AND(Projects!$G$37="Yes",Projects!$C$37=CZ$3),", "&amp;Projects!$A$37,"")&amp;IF(AND(Projects!$G$38="Yes",Projects!$C$38=CZ$3),", "&amp;Projects!$A$38,"")&amp;IF(AND(Projects!$G$39="Yes",Projects!$C$39=CZ$3),", "&amp;Projects!$A$39,"")&amp;IF(AND(Projects!$G$40="Yes",Projects!$C$40=CZ$3),", "&amp;Projects!$A$40,"")&amp;IF(AND(Projects!$G$41="Yes",Projects!$C$41=CZ$3),", "&amp;Projects!$A$41,"")&amp;IF(AND(Projects!$G$42="Yes",Projects!$C$42=CZ$3),", "&amp;Projects!$A$42,"")&amp;IF(AND(Projects!$G$43="Yes",Projects!$C$43=CZ$3),", "&amp;Projects!$A$43,"")&amp;IF(AND(Projects!$G$44="Yes",Projects!$C$44=CZ$3),", "&amp;Projects!$A$44,"")&amp;IF(AND(Projects!$G$45="Yes",Projects!$C$45=CZ$3),", "&amp;Projects!$A$45,"")&amp;IF(AND(Projects!$G$46="Yes",Projects!$C$46=CZ$3),", "&amp;Projects!$A$46,""),3,10000)</f>
        <v/>
      </c>
      <c r="DA6" s="396">
        <f>MID(IF(AND(Projects!$G$2="Yes",Projects!$C$2=DA$3),", "&amp;Projects!$A$2,"")&amp;IF(AND(Projects!$G$3="Yes",Projects!$C$3=DA$3),", "&amp;Projects!$A$3,"")&amp;IF(AND(Projects!$G$4="Yes",Projects!$C$4=DA$3),", "&amp;Projects!$A$4,"")&amp;IF(AND(Projects!$G$5="Yes",Projects!$C$5=DA$3),", "&amp;Projects!$A$5,"")&amp;IF(AND(Projects!$G$6="Yes",Projects!$C$6=DA$3),", "&amp;Projects!$A$6,"")&amp;IF(AND(Projects!$G$7="Yes",Projects!$C$7=DA$3),", "&amp;Projects!$A$7,"")&amp;IF(AND(Projects!$G$8="Yes",Projects!$C$8=DA$3),", "&amp;Projects!$A$8,"")&amp;IF(AND(Projects!$G$9="Yes",Projects!$C$9=DA$3),", "&amp;Projects!$A$9,"")&amp;IF(AND(Projects!$G$10="Yes",Projects!$C$10=DA$3),", "&amp;Projects!$A$10,"")&amp;IF(AND(Projects!$G$11="Yes",Projects!$C$11=DA$3),", "&amp;Projects!$A$11,"")&amp;IF(AND(Projects!$G$12="Yes",Projects!$C$12=DA$3),", "&amp;Projects!$A$12,"")&amp;IF(AND(Projects!$G$13="Yes",Projects!$C$13=DA$3),", "&amp;Projects!$A$13,"")&amp;IF(AND(Projects!$G$14="Yes",Projects!$C$14=DA$3),", "&amp;Projects!$A$14,"")&amp;IF(AND(Projects!$G$15="Yes",Projects!$C$15=DA$3),", "&amp;Projects!$A$15,"")&amp;IF(AND(Projects!$G$16="Yes",Projects!$C$16=DA$3),", "&amp;Projects!$A$16,"")&amp;IF(AND(Projects!$G$17="Yes",Projects!$C$17=DA$3),", "&amp;Projects!$A$17,"")&amp;IF(AND(Projects!$G$18="Yes",Projects!$C$18=DA$3),", "&amp;Projects!$A$18,"")&amp;IF(AND(Projects!$G$19="Yes",Projects!$C$19=DA$3),", "&amp;Projects!$A$19,"")&amp;IF(AND(Projects!$G$20="Yes",Projects!$C$20=DA$3),", "&amp;Projects!$A$20,"")&amp;IF(AND(Projects!$G$21="Yes",Projects!$C$21=DA$3),", "&amp;Projects!$A$21,"")&amp;IF(AND(Projects!$G$22="Yes",Projects!$C$22=DA$3),", "&amp;Projects!$A$22,"")&amp;IF(AND(Projects!$G$23="Yes",Projects!$C$23=DA$3),", "&amp;Projects!$A$23,"")&amp;IF(AND(Projects!$G$24="Yes",Projects!$C$24=DA$3),", "&amp;Projects!$A$24,"")&amp;IF(AND(Projects!$G$25="Yes",Projects!$C$25=DA$3),", "&amp;Projects!$A$25,"")&amp;IF(AND(Projects!$G$26="Yes",Projects!$C$26=DA$3),", "&amp;Projects!$A$26,"")&amp;IF(AND(Projects!$G$27="Yes",Projects!$C$27=DA$3),", "&amp;Projects!$A$27,"")&amp;IF(AND(Projects!$G$28="Yes",Projects!$C$28=DA$3),", "&amp;Projects!$A$28,"")&amp;IF(AND(Projects!$G$29="Yes",Projects!$C$29=DA$3),", "&amp;Projects!$A$29,"")&amp;IF(AND(Projects!$G$30="Yes",Projects!$C$30=DA$3),", "&amp;Projects!$A$30,"")&amp;IF(AND(Projects!$G$31="Yes",Projects!$C$31=DA$3),", "&amp;Projects!$A$31,"")&amp;IF(AND(Projects!$G$32="Yes",Projects!$C$32=DA$3),", "&amp;Projects!$A$32,"")&amp;IF(AND(Projects!$G$33="Yes",Projects!$C$33=DA$3),", "&amp;Projects!$A$33,"")&amp;IF(AND(Projects!$G$34="Yes",Projects!$C$34=DA$3),", "&amp;Projects!$A$34,"")&amp;IF(AND(Projects!$G$35="Yes",Projects!$C$35=DA$3),", "&amp;Projects!$A$35,"")&amp;IF(AND(Projects!$G$36="Yes",Projects!$C$36=DA$3),", "&amp;Projects!$A$36,"")&amp;IF(AND(Projects!$G$37="Yes",Projects!$C$37=DA$3),", "&amp;Projects!$A$37,"")&amp;IF(AND(Projects!$G$38="Yes",Projects!$C$38=DA$3),", "&amp;Projects!$A$38,"")&amp;IF(AND(Projects!$G$39="Yes",Projects!$C$39=DA$3),", "&amp;Projects!$A$39,"")&amp;IF(AND(Projects!$G$40="Yes",Projects!$C$40=DA$3),", "&amp;Projects!$A$40,"")&amp;IF(AND(Projects!$G$41="Yes",Projects!$C$41=DA$3),", "&amp;Projects!$A$41,"")&amp;IF(AND(Projects!$G$42="Yes",Projects!$C$42=DA$3),", "&amp;Projects!$A$42,"")&amp;IF(AND(Projects!$G$43="Yes",Projects!$C$43=DA$3),", "&amp;Projects!$A$43,"")&amp;IF(AND(Projects!$G$44="Yes",Projects!$C$44=DA$3),", "&amp;Projects!$A$44,"")&amp;IF(AND(Projects!$G$45="Yes",Projects!$C$45=DA$3),", "&amp;Projects!$A$45,"")&amp;IF(AND(Projects!$G$46="Yes",Projects!$C$46=DA$3),", "&amp;Projects!$A$46,""),3,10000)</f>
        <v/>
      </c>
      <c r="DB6" s="396">
        <f>MID(IF(AND(Projects!$G$2="Yes",Projects!$C$2=DB$3),", "&amp;Projects!$A$2,"")&amp;IF(AND(Projects!$G$3="Yes",Projects!$C$3=DB$3),", "&amp;Projects!$A$3,"")&amp;IF(AND(Projects!$G$4="Yes",Projects!$C$4=DB$3),", "&amp;Projects!$A$4,"")&amp;IF(AND(Projects!$G$5="Yes",Projects!$C$5=DB$3),", "&amp;Projects!$A$5,"")&amp;IF(AND(Projects!$G$6="Yes",Projects!$C$6=DB$3),", "&amp;Projects!$A$6,"")&amp;IF(AND(Projects!$G$7="Yes",Projects!$C$7=DB$3),", "&amp;Projects!$A$7,"")&amp;IF(AND(Projects!$G$8="Yes",Projects!$C$8=DB$3),", "&amp;Projects!$A$8,"")&amp;IF(AND(Projects!$G$9="Yes",Projects!$C$9=DB$3),", "&amp;Projects!$A$9,"")&amp;IF(AND(Projects!$G$10="Yes",Projects!$C$10=DB$3),", "&amp;Projects!$A$10,"")&amp;IF(AND(Projects!$G$11="Yes",Projects!$C$11=DB$3),", "&amp;Projects!$A$11,"")&amp;IF(AND(Projects!$G$12="Yes",Projects!$C$12=DB$3),", "&amp;Projects!$A$12,"")&amp;IF(AND(Projects!$G$13="Yes",Projects!$C$13=DB$3),", "&amp;Projects!$A$13,"")&amp;IF(AND(Projects!$G$14="Yes",Projects!$C$14=DB$3),", "&amp;Projects!$A$14,"")&amp;IF(AND(Projects!$G$15="Yes",Projects!$C$15=DB$3),", "&amp;Projects!$A$15,"")&amp;IF(AND(Projects!$G$16="Yes",Projects!$C$16=DB$3),", "&amp;Projects!$A$16,"")&amp;IF(AND(Projects!$G$17="Yes",Projects!$C$17=DB$3),", "&amp;Projects!$A$17,"")&amp;IF(AND(Projects!$G$18="Yes",Projects!$C$18=DB$3),", "&amp;Projects!$A$18,"")&amp;IF(AND(Projects!$G$19="Yes",Projects!$C$19=DB$3),", "&amp;Projects!$A$19,"")&amp;IF(AND(Projects!$G$20="Yes",Projects!$C$20=DB$3),", "&amp;Projects!$A$20,"")&amp;IF(AND(Projects!$G$21="Yes",Projects!$C$21=DB$3),", "&amp;Projects!$A$21,"")&amp;IF(AND(Projects!$G$22="Yes",Projects!$C$22=DB$3),", "&amp;Projects!$A$22,"")&amp;IF(AND(Projects!$G$23="Yes",Projects!$C$23=DB$3),", "&amp;Projects!$A$23,"")&amp;IF(AND(Projects!$G$24="Yes",Projects!$C$24=DB$3),", "&amp;Projects!$A$24,"")&amp;IF(AND(Projects!$G$25="Yes",Projects!$C$25=DB$3),", "&amp;Projects!$A$25,"")&amp;IF(AND(Projects!$G$26="Yes",Projects!$C$26=DB$3),", "&amp;Projects!$A$26,"")&amp;IF(AND(Projects!$G$27="Yes",Projects!$C$27=DB$3),", "&amp;Projects!$A$27,"")&amp;IF(AND(Projects!$G$28="Yes",Projects!$C$28=DB$3),", "&amp;Projects!$A$28,"")&amp;IF(AND(Projects!$G$29="Yes",Projects!$C$29=DB$3),", "&amp;Projects!$A$29,"")&amp;IF(AND(Projects!$G$30="Yes",Projects!$C$30=DB$3),", "&amp;Projects!$A$30,"")&amp;IF(AND(Projects!$G$31="Yes",Projects!$C$31=DB$3),", "&amp;Projects!$A$31,"")&amp;IF(AND(Projects!$G$32="Yes",Projects!$C$32=DB$3),", "&amp;Projects!$A$32,"")&amp;IF(AND(Projects!$G$33="Yes",Projects!$C$33=DB$3),", "&amp;Projects!$A$33,"")&amp;IF(AND(Projects!$G$34="Yes",Projects!$C$34=DB$3),", "&amp;Projects!$A$34,"")&amp;IF(AND(Projects!$G$35="Yes",Projects!$C$35=DB$3),", "&amp;Projects!$A$35,"")&amp;IF(AND(Projects!$G$36="Yes",Projects!$C$36=DB$3),", "&amp;Projects!$A$36,"")&amp;IF(AND(Projects!$G$37="Yes",Projects!$C$37=DB$3),", "&amp;Projects!$A$37,"")&amp;IF(AND(Projects!$G$38="Yes",Projects!$C$38=DB$3),", "&amp;Projects!$A$38,"")&amp;IF(AND(Projects!$G$39="Yes",Projects!$C$39=DB$3),", "&amp;Projects!$A$39,"")&amp;IF(AND(Projects!$G$40="Yes",Projects!$C$40=DB$3),", "&amp;Projects!$A$40,"")&amp;IF(AND(Projects!$G$41="Yes",Projects!$C$41=DB$3),", "&amp;Projects!$A$41,"")&amp;IF(AND(Projects!$G$42="Yes",Projects!$C$42=DB$3),", "&amp;Projects!$A$42,"")&amp;IF(AND(Projects!$G$43="Yes",Projects!$C$43=DB$3),", "&amp;Projects!$A$43,"")&amp;IF(AND(Projects!$G$44="Yes",Projects!$C$44=DB$3),", "&amp;Projects!$A$44,"")&amp;IF(AND(Projects!$G$45="Yes",Projects!$C$45=DB$3),", "&amp;Projects!$A$45,"")&amp;IF(AND(Projects!$G$46="Yes",Projects!$C$46=DB$3),", "&amp;Projects!$A$46,""),3,10000)</f>
        <v/>
      </c>
      <c r="DC6" s="396">
        <f>MID(IF(AND(Projects!$G$2="Yes",Projects!$C$2=DC$3),", "&amp;Projects!$A$2,"")&amp;IF(AND(Projects!$G$3="Yes",Projects!$C$3=DC$3),", "&amp;Projects!$A$3,"")&amp;IF(AND(Projects!$G$4="Yes",Projects!$C$4=DC$3),", "&amp;Projects!$A$4,"")&amp;IF(AND(Projects!$G$5="Yes",Projects!$C$5=DC$3),", "&amp;Projects!$A$5,"")&amp;IF(AND(Projects!$G$6="Yes",Projects!$C$6=DC$3),", "&amp;Projects!$A$6,"")&amp;IF(AND(Projects!$G$7="Yes",Projects!$C$7=DC$3),", "&amp;Projects!$A$7,"")&amp;IF(AND(Projects!$G$8="Yes",Projects!$C$8=DC$3),", "&amp;Projects!$A$8,"")&amp;IF(AND(Projects!$G$9="Yes",Projects!$C$9=DC$3),", "&amp;Projects!$A$9,"")&amp;IF(AND(Projects!$G$10="Yes",Projects!$C$10=DC$3),", "&amp;Projects!$A$10,"")&amp;IF(AND(Projects!$G$11="Yes",Projects!$C$11=DC$3),", "&amp;Projects!$A$11,"")&amp;IF(AND(Projects!$G$12="Yes",Projects!$C$12=DC$3),", "&amp;Projects!$A$12,"")&amp;IF(AND(Projects!$G$13="Yes",Projects!$C$13=DC$3),", "&amp;Projects!$A$13,"")&amp;IF(AND(Projects!$G$14="Yes",Projects!$C$14=DC$3),", "&amp;Projects!$A$14,"")&amp;IF(AND(Projects!$G$15="Yes",Projects!$C$15=DC$3),", "&amp;Projects!$A$15,"")&amp;IF(AND(Projects!$G$16="Yes",Projects!$C$16=DC$3),", "&amp;Projects!$A$16,"")&amp;IF(AND(Projects!$G$17="Yes",Projects!$C$17=DC$3),", "&amp;Projects!$A$17,"")&amp;IF(AND(Projects!$G$18="Yes",Projects!$C$18=DC$3),", "&amp;Projects!$A$18,"")&amp;IF(AND(Projects!$G$19="Yes",Projects!$C$19=DC$3),", "&amp;Projects!$A$19,"")&amp;IF(AND(Projects!$G$20="Yes",Projects!$C$20=DC$3),", "&amp;Projects!$A$20,"")&amp;IF(AND(Projects!$G$21="Yes",Projects!$C$21=DC$3),", "&amp;Projects!$A$21,"")&amp;IF(AND(Projects!$G$22="Yes",Projects!$C$22=DC$3),", "&amp;Projects!$A$22,"")&amp;IF(AND(Projects!$G$23="Yes",Projects!$C$23=DC$3),", "&amp;Projects!$A$23,"")&amp;IF(AND(Projects!$G$24="Yes",Projects!$C$24=DC$3),", "&amp;Projects!$A$24,"")&amp;IF(AND(Projects!$G$25="Yes",Projects!$C$25=DC$3),", "&amp;Projects!$A$25,"")&amp;IF(AND(Projects!$G$26="Yes",Projects!$C$26=DC$3),", "&amp;Projects!$A$26,"")&amp;IF(AND(Projects!$G$27="Yes",Projects!$C$27=DC$3),", "&amp;Projects!$A$27,"")&amp;IF(AND(Projects!$G$28="Yes",Projects!$C$28=DC$3),", "&amp;Projects!$A$28,"")&amp;IF(AND(Projects!$G$29="Yes",Projects!$C$29=DC$3),", "&amp;Projects!$A$29,"")&amp;IF(AND(Projects!$G$30="Yes",Projects!$C$30=DC$3),", "&amp;Projects!$A$30,"")&amp;IF(AND(Projects!$G$31="Yes",Projects!$C$31=DC$3),", "&amp;Projects!$A$31,"")&amp;IF(AND(Projects!$G$32="Yes",Projects!$C$32=DC$3),", "&amp;Projects!$A$32,"")&amp;IF(AND(Projects!$G$33="Yes",Projects!$C$33=DC$3),", "&amp;Projects!$A$33,"")&amp;IF(AND(Projects!$G$34="Yes",Projects!$C$34=DC$3),", "&amp;Projects!$A$34,"")&amp;IF(AND(Projects!$G$35="Yes",Projects!$C$35=DC$3),", "&amp;Projects!$A$35,"")&amp;IF(AND(Projects!$G$36="Yes",Projects!$C$36=DC$3),", "&amp;Projects!$A$36,"")&amp;IF(AND(Projects!$G$37="Yes",Projects!$C$37=DC$3),", "&amp;Projects!$A$37,"")&amp;IF(AND(Projects!$G$38="Yes",Projects!$C$38=DC$3),", "&amp;Projects!$A$38,"")&amp;IF(AND(Projects!$G$39="Yes",Projects!$C$39=DC$3),", "&amp;Projects!$A$39,"")&amp;IF(AND(Projects!$G$40="Yes",Projects!$C$40=DC$3),", "&amp;Projects!$A$40,"")&amp;IF(AND(Projects!$G$41="Yes",Projects!$C$41=DC$3),", "&amp;Projects!$A$41,"")&amp;IF(AND(Projects!$G$42="Yes",Projects!$C$42=DC$3),", "&amp;Projects!$A$42,"")&amp;IF(AND(Projects!$G$43="Yes",Projects!$C$43=DC$3),", "&amp;Projects!$A$43,"")&amp;IF(AND(Projects!$G$44="Yes",Projects!$C$44=DC$3),", "&amp;Projects!$A$44,"")&amp;IF(AND(Projects!$G$45="Yes",Projects!$C$45=DC$3),", "&amp;Projects!$A$45,"")&amp;IF(AND(Projects!$G$46="Yes",Projects!$C$46=DC$3),", "&amp;Projects!$A$46,""),3,10000)</f>
        <v/>
      </c>
      <c r="DD6" s="396">
        <f>MID(IF(AND(Projects!$G$2="Yes",Projects!$C$2=DD$3),", "&amp;Projects!$A$2,"")&amp;IF(AND(Projects!$G$3="Yes",Projects!$C$3=DD$3),", "&amp;Projects!$A$3,"")&amp;IF(AND(Projects!$G$4="Yes",Projects!$C$4=DD$3),", "&amp;Projects!$A$4,"")&amp;IF(AND(Projects!$G$5="Yes",Projects!$C$5=DD$3),", "&amp;Projects!$A$5,"")&amp;IF(AND(Projects!$G$6="Yes",Projects!$C$6=DD$3),", "&amp;Projects!$A$6,"")&amp;IF(AND(Projects!$G$7="Yes",Projects!$C$7=DD$3),", "&amp;Projects!$A$7,"")&amp;IF(AND(Projects!$G$8="Yes",Projects!$C$8=DD$3),", "&amp;Projects!$A$8,"")&amp;IF(AND(Projects!$G$9="Yes",Projects!$C$9=DD$3),", "&amp;Projects!$A$9,"")&amp;IF(AND(Projects!$G$10="Yes",Projects!$C$10=DD$3),", "&amp;Projects!$A$10,"")&amp;IF(AND(Projects!$G$11="Yes",Projects!$C$11=DD$3),", "&amp;Projects!$A$11,"")&amp;IF(AND(Projects!$G$12="Yes",Projects!$C$12=DD$3),", "&amp;Projects!$A$12,"")&amp;IF(AND(Projects!$G$13="Yes",Projects!$C$13=DD$3),", "&amp;Projects!$A$13,"")&amp;IF(AND(Projects!$G$14="Yes",Projects!$C$14=DD$3),", "&amp;Projects!$A$14,"")&amp;IF(AND(Projects!$G$15="Yes",Projects!$C$15=DD$3),", "&amp;Projects!$A$15,"")&amp;IF(AND(Projects!$G$16="Yes",Projects!$C$16=DD$3),", "&amp;Projects!$A$16,"")&amp;IF(AND(Projects!$G$17="Yes",Projects!$C$17=DD$3),", "&amp;Projects!$A$17,"")&amp;IF(AND(Projects!$G$18="Yes",Projects!$C$18=DD$3),", "&amp;Projects!$A$18,"")&amp;IF(AND(Projects!$G$19="Yes",Projects!$C$19=DD$3),", "&amp;Projects!$A$19,"")&amp;IF(AND(Projects!$G$20="Yes",Projects!$C$20=DD$3),", "&amp;Projects!$A$20,"")&amp;IF(AND(Projects!$G$21="Yes",Projects!$C$21=DD$3),", "&amp;Projects!$A$21,"")&amp;IF(AND(Projects!$G$22="Yes",Projects!$C$22=DD$3),", "&amp;Projects!$A$22,"")&amp;IF(AND(Projects!$G$23="Yes",Projects!$C$23=DD$3),", "&amp;Projects!$A$23,"")&amp;IF(AND(Projects!$G$24="Yes",Projects!$C$24=DD$3),", "&amp;Projects!$A$24,"")&amp;IF(AND(Projects!$G$25="Yes",Projects!$C$25=DD$3),", "&amp;Projects!$A$25,"")&amp;IF(AND(Projects!$G$26="Yes",Projects!$C$26=DD$3),", "&amp;Projects!$A$26,"")&amp;IF(AND(Projects!$G$27="Yes",Projects!$C$27=DD$3),", "&amp;Projects!$A$27,"")&amp;IF(AND(Projects!$G$28="Yes",Projects!$C$28=DD$3),", "&amp;Projects!$A$28,"")&amp;IF(AND(Projects!$G$29="Yes",Projects!$C$29=DD$3),", "&amp;Projects!$A$29,"")&amp;IF(AND(Projects!$G$30="Yes",Projects!$C$30=DD$3),", "&amp;Projects!$A$30,"")&amp;IF(AND(Projects!$G$31="Yes",Projects!$C$31=DD$3),", "&amp;Projects!$A$31,"")&amp;IF(AND(Projects!$G$32="Yes",Projects!$C$32=DD$3),", "&amp;Projects!$A$32,"")&amp;IF(AND(Projects!$G$33="Yes",Projects!$C$33=DD$3),", "&amp;Projects!$A$33,"")&amp;IF(AND(Projects!$G$34="Yes",Projects!$C$34=DD$3),", "&amp;Projects!$A$34,"")&amp;IF(AND(Projects!$G$35="Yes",Projects!$C$35=DD$3),", "&amp;Projects!$A$35,"")&amp;IF(AND(Projects!$G$36="Yes",Projects!$C$36=DD$3),", "&amp;Projects!$A$36,"")&amp;IF(AND(Projects!$G$37="Yes",Projects!$C$37=DD$3),", "&amp;Projects!$A$37,"")&amp;IF(AND(Projects!$G$38="Yes",Projects!$C$38=DD$3),", "&amp;Projects!$A$38,"")&amp;IF(AND(Projects!$G$39="Yes",Projects!$C$39=DD$3),", "&amp;Projects!$A$39,"")&amp;IF(AND(Projects!$G$40="Yes",Projects!$C$40=DD$3),", "&amp;Projects!$A$40,"")&amp;IF(AND(Projects!$G$41="Yes",Projects!$C$41=DD$3),", "&amp;Projects!$A$41,"")&amp;IF(AND(Projects!$G$42="Yes",Projects!$C$42=DD$3),", "&amp;Projects!$A$42,"")&amp;IF(AND(Projects!$G$43="Yes",Projects!$C$43=DD$3),", "&amp;Projects!$A$43,"")&amp;IF(AND(Projects!$G$44="Yes",Projects!$C$44=DD$3),", "&amp;Projects!$A$44,"")&amp;IF(AND(Projects!$G$45="Yes",Projects!$C$45=DD$3),", "&amp;Projects!$A$45,"")&amp;IF(AND(Projects!$G$46="Yes",Projects!$C$46=DD$3),", "&amp;Projects!$A$46,""),3,10000)</f>
        <v/>
      </c>
      <c r="DE6" s="396">
        <f>MID(IF(AND(Projects!$G$2="Yes",Projects!$C$2=DE$3),", "&amp;Projects!$A$2,"")&amp;IF(AND(Projects!$G$3="Yes",Projects!$C$3=DE$3),", "&amp;Projects!$A$3,"")&amp;IF(AND(Projects!$G$4="Yes",Projects!$C$4=DE$3),", "&amp;Projects!$A$4,"")&amp;IF(AND(Projects!$G$5="Yes",Projects!$C$5=DE$3),", "&amp;Projects!$A$5,"")&amp;IF(AND(Projects!$G$6="Yes",Projects!$C$6=DE$3),", "&amp;Projects!$A$6,"")&amp;IF(AND(Projects!$G$7="Yes",Projects!$C$7=DE$3),", "&amp;Projects!$A$7,"")&amp;IF(AND(Projects!$G$8="Yes",Projects!$C$8=DE$3),", "&amp;Projects!$A$8,"")&amp;IF(AND(Projects!$G$9="Yes",Projects!$C$9=DE$3),", "&amp;Projects!$A$9,"")&amp;IF(AND(Projects!$G$10="Yes",Projects!$C$10=DE$3),", "&amp;Projects!$A$10,"")&amp;IF(AND(Projects!$G$11="Yes",Projects!$C$11=DE$3),", "&amp;Projects!$A$11,"")&amp;IF(AND(Projects!$G$12="Yes",Projects!$C$12=DE$3),", "&amp;Projects!$A$12,"")&amp;IF(AND(Projects!$G$13="Yes",Projects!$C$13=DE$3),", "&amp;Projects!$A$13,"")&amp;IF(AND(Projects!$G$14="Yes",Projects!$C$14=DE$3),", "&amp;Projects!$A$14,"")&amp;IF(AND(Projects!$G$15="Yes",Projects!$C$15=DE$3),", "&amp;Projects!$A$15,"")&amp;IF(AND(Projects!$G$16="Yes",Projects!$C$16=DE$3),", "&amp;Projects!$A$16,"")&amp;IF(AND(Projects!$G$17="Yes",Projects!$C$17=DE$3),", "&amp;Projects!$A$17,"")&amp;IF(AND(Projects!$G$18="Yes",Projects!$C$18=DE$3),", "&amp;Projects!$A$18,"")&amp;IF(AND(Projects!$G$19="Yes",Projects!$C$19=DE$3),", "&amp;Projects!$A$19,"")&amp;IF(AND(Projects!$G$20="Yes",Projects!$C$20=DE$3),", "&amp;Projects!$A$20,"")&amp;IF(AND(Projects!$G$21="Yes",Projects!$C$21=DE$3),", "&amp;Projects!$A$21,"")&amp;IF(AND(Projects!$G$22="Yes",Projects!$C$22=DE$3),", "&amp;Projects!$A$22,"")&amp;IF(AND(Projects!$G$23="Yes",Projects!$C$23=DE$3),", "&amp;Projects!$A$23,"")&amp;IF(AND(Projects!$G$24="Yes",Projects!$C$24=DE$3),", "&amp;Projects!$A$24,"")&amp;IF(AND(Projects!$G$25="Yes",Projects!$C$25=DE$3),", "&amp;Projects!$A$25,"")&amp;IF(AND(Projects!$G$26="Yes",Projects!$C$26=DE$3),", "&amp;Projects!$A$26,"")&amp;IF(AND(Projects!$G$27="Yes",Projects!$C$27=DE$3),", "&amp;Projects!$A$27,"")&amp;IF(AND(Projects!$G$28="Yes",Projects!$C$28=DE$3),", "&amp;Projects!$A$28,"")&amp;IF(AND(Projects!$G$29="Yes",Projects!$C$29=DE$3),", "&amp;Projects!$A$29,"")&amp;IF(AND(Projects!$G$30="Yes",Projects!$C$30=DE$3),", "&amp;Projects!$A$30,"")&amp;IF(AND(Projects!$G$31="Yes",Projects!$C$31=DE$3),", "&amp;Projects!$A$31,"")&amp;IF(AND(Projects!$G$32="Yes",Projects!$C$32=DE$3),", "&amp;Projects!$A$32,"")&amp;IF(AND(Projects!$G$33="Yes",Projects!$C$33=DE$3),", "&amp;Projects!$A$33,"")&amp;IF(AND(Projects!$G$34="Yes",Projects!$C$34=DE$3),", "&amp;Projects!$A$34,"")&amp;IF(AND(Projects!$G$35="Yes",Projects!$C$35=DE$3),", "&amp;Projects!$A$35,"")&amp;IF(AND(Projects!$G$36="Yes",Projects!$C$36=DE$3),", "&amp;Projects!$A$36,"")&amp;IF(AND(Projects!$G$37="Yes",Projects!$C$37=DE$3),", "&amp;Projects!$A$37,"")&amp;IF(AND(Projects!$G$38="Yes",Projects!$C$38=DE$3),", "&amp;Projects!$A$38,"")&amp;IF(AND(Projects!$G$39="Yes",Projects!$C$39=DE$3),", "&amp;Projects!$A$39,"")&amp;IF(AND(Projects!$G$40="Yes",Projects!$C$40=DE$3),", "&amp;Projects!$A$40,"")&amp;IF(AND(Projects!$G$41="Yes",Projects!$C$41=DE$3),", "&amp;Projects!$A$41,"")&amp;IF(AND(Projects!$G$42="Yes",Projects!$C$42=DE$3),", "&amp;Projects!$A$42,"")&amp;IF(AND(Projects!$G$43="Yes",Projects!$C$43=DE$3),", "&amp;Projects!$A$43,"")&amp;IF(AND(Projects!$G$44="Yes",Projects!$C$44=DE$3),", "&amp;Projects!$A$44,"")&amp;IF(AND(Projects!$G$45="Yes",Projects!$C$45=DE$3),", "&amp;Projects!$A$45,"")&amp;IF(AND(Projects!$G$46="Yes",Projects!$C$46=DE$3),", "&amp;Projects!$A$46,""),3,10000)</f>
        <v/>
      </c>
    </row>
    <row r="7" ht="9.75" customFormat="1" customHeight="1" s="397">
      <c r="A7" s="398" t="n"/>
      <c r="B7" s="399" t="n"/>
      <c r="C7" s="400" t="n"/>
      <c r="D7" s="400" t="n"/>
      <c r="E7" s="401" t="n"/>
      <c r="F7" s="399" t="n"/>
      <c r="G7" s="400" t="n"/>
      <c r="H7" s="400" t="n"/>
      <c r="I7" s="400" t="n"/>
      <c r="J7" s="400" t="n"/>
      <c r="K7" s="400" t="n"/>
      <c r="L7" s="400" t="n"/>
      <c r="M7" s="400" t="n"/>
      <c r="N7" s="400" t="n"/>
      <c r="O7" s="400" t="n"/>
      <c r="P7" s="400" t="n"/>
      <c r="Q7" s="400" t="n"/>
      <c r="R7" s="400" t="n"/>
      <c r="S7" s="400" t="n"/>
      <c r="T7" s="400" t="n"/>
      <c r="U7" s="400" t="n"/>
      <c r="V7" s="400" t="n"/>
      <c r="W7" s="400" t="n"/>
      <c r="X7" s="400" t="n"/>
      <c r="Y7" s="400" t="n"/>
      <c r="Z7" s="400" t="n"/>
      <c r="AA7" s="400" t="n"/>
      <c r="AB7" s="400" t="n"/>
      <c r="AC7" s="400" t="n"/>
      <c r="AD7" s="400" t="n"/>
      <c r="AE7" s="400" t="n"/>
      <c r="AF7" s="400" t="n"/>
      <c r="AG7" s="400" t="n"/>
      <c r="AH7" s="400" t="n"/>
      <c r="AI7" s="400" t="n"/>
      <c r="AJ7" s="400" t="n"/>
      <c r="AK7" s="400" t="n"/>
      <c r="AL7" s="400" t="n"/>
      <c r="AM7" s="400" t="n"/>
      <c r="AN7" s="400" t="n"/>
      <c r="AO7" s="400" t="n"/>
      <c r="AP7" s="400" t="n"/>
      <c r="AQ7" s="400" t="n"/>
      <c r="AR7" s="400" t="n"/>
      <c r="AS7" s="400" t="n"/>
      <c r="AT7" s="400" t="n"/>
      <c r="AU7" s="400" t="n"/>
      <c r="AV7" s="400" t="n"/>
      <c r="AW7" s="400" t="n"/>
      <c r="AX7" s="400" t="n"/>
      <c r="AY7" s="400" t="n"/>
      <c r="AZ7" s="400" t="n"/>
      <c r="BA7" s="400" t="n"/>
      <c r="BB7" s="400" t="n"/>
      <c r="BC7" s="400" t="n"/>
      <c r="BD7" s="400" t="n"/>
      <c r="BE7" s="400" t="n"/>
      <c r="BF7" s="400" t="n"/>
      <c r="BG7" s="400" t="n"/>
      <c r="BH7" s="400" t="n"/>
      <c r="BI7" s="400" t="n"/>
      <c r="BJ7" s="400" t="n"/>
      <c r="BK7" s="400" t="n"/>
      <c r="BL7" s="400" t="n"/>
      <c r="BM7" s="400" t="n"/>
      <c r="BN7" s="400" t="n"/>
      <c r="BO7" s="400" t="n"/>
      <c r="BP7" s="400" t="n"/>
      <c r="BQ7" s="400" t="n"/>
      <c r="BR7" s="400" t="n"/>
      <c r="BS7" s="400" t="n"/>
      <c r="BT7" s="400" t="n"/>
      <c r="BU7" s="400" t="n"/>
      <c r="BV7" s="400" t="n"/>
      <c r="BW7" s="400" t="n"/>
      <c r="BX7" s="400" t="n"/>
      <c r="BY7" s="400" t="n"/>
      <c r="BZ7" s="400" t="n"/>
      <c r="CA7" s="400" t="n"/>
      <c r="CB7" s="400" t="n"/>
      <c r="CC7" s="400" t="n"/>
      <c r="CD7" s="400" t="n"/>
      <c r="CE7" s="400" t="n"/>
      <c r="CF7" s="400" t="n"/>
      <c r="CG7" s="400" t="n"/>
      <c r="CH7" s="400" t="n"/>
      <c r="CI7" s="400" t="n"/>
      <c r="CJ7" s="400" t="n"/>
      <c r="CK7" s="400" t="n"/>
      <c r="CL7" s="400" t="n"/>
      <c r="CM7" s="400" t="n"/>
      <c r="CN7" s="400" t="n"/>
      <c r="CO7" s="400" t="n"/>
      <c r="CP7" s="400" t="n"/>
      <c r="CQ7" s="400" t="n"/>
      <c r="CR7" s="400" t="n"/>
      <c r="CS7" s="400" t="n"/>
      <c r="CT7" s="400" t="n"/>
      <c r="CU7" s="400" t="n"/>
      <c r="CV7" s="400" t="n"/>
      <c r="CW7" s="400" t="n"/>
      <c r="CX7" s="400" t="n"/>
      <c r="CY7" s="400" t="n"/>
      <c r="CZ7" s="400" t="n"/>
      <c r="DA7" s="400" t="n"/>
      <c r="DB7" s="400" t="n"/>
      <c r="DC7" s="400" t="n"/>
      <c r="DD7" s="400" t="n"/>
      <c r="DE7" s="400" t="n"/>
    </row>
    <row r="8" ht="15" customFormat="1" customHeight="1" s="402">
      <c r="A8" s="402" t="inlineStr">
        <is>
          <t>GC Revenue</t>
        </is>
      </c>
      <c r="B8" s="403" t="n"/>
      <c r="C8" s="404" t="n"/>
      <c r="D8" s="404" t="n"/>
      <c r="E8" s="405" t="n"/>
      <c r="F8" s="403" t="n"/>
      <c r="G8" s="404" t="n"/>
      <c r="H8" s="404" t="n"/>
      <c r="I8" s="404" t="n"/>
      <c r="J8" s="404" t="n"/>
      <c r="K8" s="404" t="n"/>
      <c r="L8" s="404" t="n"/>
      <c r="M8" s="404" t="n"/>
      <c r="N8" s="404" t="n"/>
      <c r="O8" s="404" t="n"/>
      <c r="P8" s="404" t="n"/>
      <c r="Q8" s="404" t="n"/>
      <c r="R8" s="404" t="n"/>
      <c r="S8" s="404" t="n"/>
      <c r="T8" s="404" t="n"/>
      <c r="U8" s="404" t="n"/>
      <c r="V8" s="404" t="n"/>
      <c r="W8" s="404" t="n"/>
      <c r="X8" s="404" t="n"/>
      <c r="Y8" s="404" t="n"/>
      <c r="Z8" s="404" t="n"/>
      <c r="AA8" s="404" t="n"/>
      <c r="AB8" s="404" t="n"/>
      <c r="AC8" s="404" t="n"/>
      <c r="AD8" s="404" t="n"/>
      <c r="AE8" s="404" t="n"/>
      <c r="AF8" s="404" t="n"/>
      <c r="AG8" s="404" t="n"/>
      <c r="AH8" s="404" t="n"/>
      <c r="AI8" s="404" t="n"/>
      <c r="AJ8" s="404" t="n"/>
      <c r="AK8" s="404" t="n"/>
      <c r="AL8" s="404" t="n"/>
      <c r="AM8" s="404" t="n"/>
      <c r="AN8" s="404" t="n"/>
      <c r="AO8" s="404" t="n"/>
      <c r="AP8" s="404" t="n"/>
      <c r="AQ8" s="404" t="n"/>
      <c r="AR8" s="404" t="n"/>
      <c r="AS8" s="404" t="n"/>
      <c r="AT8" s="404" t="n"/>
      <c r="AU8" s="404" t="n"/>
      <c r="AV8" s="404" t="n"/>
      <c r="AW8" s="404" t="n"/>
      <c r="AX8" s="404" t="n"/>
      <c r="AY8" s="404" t="n"/>
      <c r="AZ8" s="404" t="n"/>
      <c r="BA8" s="404" t="n"/>
      <c r="BB8" s="404" t="n"/>
      <c r="BC8" s="404" t="n"/>
      <c r="BD8" s="404" t="n"/>
      <c r="BE8" s="404" t="n"/>
      <c r="BF8" s="404" t="n"/>
      <c r="BG8" s="404" t="n"/>
      <c r="BH8" s="404" t="n"/>
      <c r="BI8" s="404" t="n"/>
      <c r="BJ8" s="404" t="n"/>
      <c r="BK8" s="404" t="n"/>
      <c r="BL8" s="404" t="n"/>
      <c r="BM8" s="404" t="n"/>
      <c r="BN8" s="404" t="n"/>
      <c r="BO8" s="404" t="n"/>
      <c r="BP8" s="404" t="n"/>
      <c r="BQ8" s="404" t="n"/>
      <c r="BR8" s="404" t="n"/>
      <c r="BS8" s="404" t="n"/>
      <c r="BT8" s="404" t="n"/>
      <c r="BU8" s="404" t="n"/>
      <c r="BV8" s="404" t="n"/>
      <c r="BW8" s="404" t="n"/>
      <c r="BX8" s="404" t="n"/>
      <c r="BY8" s="404" t="n"/>
      <c r="BZ8" s="404" t="n"/>
      <c r="CA8" s="404" t="n"/>
      <c r="CB8" s="404" t="n"/>
      <c r="CC8" s="404" t="n"/>
      <c r="CD8" s="404" t="n"/>
      <c r="CE8" s="404" t="n"/>
      <c r="CF8" s="404" t="n"/>
      <c r="CG8" s="404" t="n"/>
      <c r="CH8" s="404" t="n"/>
      <c r="CI8" s="404" t="n"/>
      <c r="CJ8" s="404" t="n"/>
      <c r="CK8" s="404" t="n"/>
      <c r="CL8" s="404" t="n"/>
      <c r="CM8" s="404" t="n"/>
      <c r="CN8" s="404" t="n"/>
      <c r="CO8" s="404" t="n"/>
      <c r="CP8" s="404" t="n"/>
      <c r="CQ8" s="404" t="n"/>
      <c r="CR8" s="404" t="n"/>
      <c r="CS8" s="404" t="n"/>
      <c r="CT8" s="404" t="n"/>
      <c r="CU8" s="404" t="n"/>
      <c r="CV8" s="404" t="n"/>
      <c r="CW8" s="404" t="n"/>
      <c r="CX8" s="404" t="n"/>
      <c r="CY8" s="404" t="n"/>
      <c r="CZ8" s="404" t="n"/>
      <c r="DA8" s="404" t="n"/>
      <c r="DB8" s="404" t="n"/>
      <c r="DC8" s="404" t="n"/>
      <c r="DD8" s="404" t="n"/>
      <c r="DE8" s="404" t="n"/>
    </row>
    <row r="9" ht="15" customFormat="1" customHeight="1" s="380">
      <c r="A9" s="397" t="n"/>
      <c r="B9" s="399" t="n"/>
      <c r="C9" s="392" t="n"/>
      <c r="D9" s="392" t="n"/>
      <c r="E9" s="392" t="n"/>
      <c r="F9" s="392" t="n"/>
      <c r="G9" s="392" t="n"/>
      <c r="H9" s="392" t="n"/>
      <c r="I9" s="392" t="n"/>
      <c r="J9" s="392" t="n"/>
      <c r="K9" s="392" t="n"/>
      <c r="L9" s="392" t="n"/>
      <c r="M9" s="392" t="n"/>
      <c r="N9" s="392" t="n"/>
      <c r="O9" s="392" t="n"/>
      <c r="P9" s="392" t="n"/>
      <c r="Q9" s="392" t="n"/>
      <c r="R9" s="392" t="n"/>
      <c r="S9" s="392" t="n"/>
      <c r="T9" s="392" t="n"/>
      <c r="U9" s="392" t="n"/>
      <c r="V9" s="392" t="n"/>
      <c r="W9" s="392" t="n"/>
      <c r="X9" s="392" t="n"/>
      <c r="Y9" s="392" t="n"/>
      <c r="Z9" s="392" t="n"/>
      <c r="AA9" s="392" t="n"/>
      <c r="AB9" s="392" t="n"/>
      <c r="AC9" s="392" t="n"/>
      <c r="AD9" s="392" t="n"/>
      <c r="AE9" s="392" t="n"/>
      <c r="AF9" s="392" t="n"/>
      <c r="AG9" s="392" t="n"/>
      <c r="AH9" s="392" t="n"/>
      <c r="AI9" s="392" t="n"/>
      <c r="AJ9" s="392" t="n"/>
      <c r="AK9" s="392" t="n"/>
      <c r="AL9" s="392" t="n"/>
      <c r="AM9" s="392" t="n"/>
      <c r="AN9" s="392" t="n"/>
      <c r="AO9" s="392" t="n"/>
      <c r="AP9" s="392" t="n"/>
      <c r="AQ9" s="392" t="n"/>
      <c r="AR9" s="392" t="n"/>
      <c r="AS9" s="392" t="n"/>
      <c r="AT9" s="392" t="n"/>
      <c r="AU9" s="392" t="n"/>
      <c r="AV9" s="392" t="n"/>
      <c r="AW9" s="392" t="n"/>
      <c r="AX9" s="392" t="n"/>
      <c r="AY9" s="392" t="n"/>
      <c r="AZ9" s="392" t="n"/>
      <c r="BA9" s="392" t="n"/>
      <c r="BB9" s="392" t="n"/>
      <c r="BC9" s="392" t="n"/>
      <c r="BD9" s="392" t="n"/>
      <c r="BE9" s="392" t="n"/>
      <c r="BF9" s="392" t="n"/>
      <c r="BG9" s="392" t="n"/>
      <c r="BH9" s="392" t="n"/>
      <c r="BI9" s="392" t="n"/>
      <c r="BJ9" s="392" t="n"/>
      <c r="BK9" s="392" t="n"/>
      <c r="BL9" s="392" t="n"/>
      <c r="BM9" s="392" t="n"/>
      <c r="BN9" s="392" t="n"/>
      <c r="BO9" s="392" t="n"/>
      <c r="BP9" s="392" t="n"/>
      <c r="BQ9" s="392" t="n"/>
      <c r="BR9" s="392" t="n"/>
      <c r="BS9" s="392" t="n"/>
      <c r="BT9" s="392" t="n"/>
      <c r="BU9" s="392" t="n"/>
      <c r="BV9" s="392" t="n"/>
      <c r="BW9" s="392" t="n"/>
      <c r="BX9" s="392" t="n"/>
      <c r="BY9" s="392" t="n"/>
      <c r="BZ9" s="392" t="n"/>
      <c r="CA9" s="392" t="n"/>
      <c r="CB9" s="392" t="n"/>
      <c r="CC9" s="392" t="n"/>
      <c r="CD9" s="392" t="n"/>
      <c r="CE9" s="392" t="n"/>
      <c r="CF9" s="392" t="n"/>
      <c r="CG9" s="392" t="n"/>
      <c r="CH9" s="392" t="n"/>
      <c r="CI9" s="392" t="n"/>
      <c r="CJ9" s="392" t="n"/>
      <c r="CK9" s="392" t="n"/>
      <c r="CL9" s="392" t="n"/>
      <c r="CM9" s="392" t="n"/>
      <c r="CN9" s="392" t="n"/>
      <c r="CO9" s="392" t="n"/>
      <c r="CP9" s="392" t="n"/>
      <c r="CQ9" s="392" t="n"/>
      <c r="CR9" s="392" t="n"/>
      <c r="CS9" s="392" t="n"/>
      <c r="CT9" s="392" t="n"/>
      <c r="CU9" s="392" t="n"/>
      <c r="CV9" s="392" t="n"/>
      <c r="CW9" s="392" t="n"/>
      <c r="CX9" s="392" t="n"/>
      <c r="CY9" s="392" t="n"/>
      <c r="CZ9" s="392" t="n"/>
      <c r="DA9" s="392" t="n"/>
      <c r="DB9" s="392" t="n"/>
      <c r="DC9" s="392" t="n"/>
      <c r="DD9" s="392" t="n"/>
      <c r="DE9" s="392" t="n"/>
    </row>
    <row r="10" ht="15" customFormat="1" customHeight="1" s="380">
      <c r="A10" s="397" t="inlineStr">
        <is>
          <t>Other GC Income</t>
        </is>
      </c>
      <c r="B10" s="392">
        <f>IF(ISBLANK(Actuals!C8),0,Actuals!C8)</f>
        <v/>
      </c>
      <c r="C10" s="392">
        <f>IF(ISBLANK(Actuals!D8),0,Actuals!D8)</f>
        <v/>
      </c>
      <c r="D10" s="392">
        <f>IF(ISBLANK(Actuals!E8),0,Actuals!E8)</f>
        <v/>
      </c>
      <c r="E10" s="392">
        <f>IF(ISBLANK(Actuals!F8),(SUMPRODUCT((Projects!$G$2:$G$14="Yes")*(1&gt;=Projects!$C$2:$C$14)*(1&lt;Projects!$C$2:$C$14+Projects!$D$2:$D$14)*Projects!$B$2:$B$14*Assumptions!$B$10/Projects!$D$2:$D$14*0.95)+SUMPRODUCT((Projects!$G$2:$G$14="Yes")*(1=Projects!$C$2:$C$14+Projects!$D$2:$D$14-1)*Projects!$B$2:$B$14*Assumptions!$B$10*0.05)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)+(SUMPRODUCT((Projects!$G$2:$G$14="Yes")*(1&gt;=Projects!$C$2:$C$14)*(1&lt;Projects!$C$2:$C$14+Projects!$D$2:$D$14)*Projects!$B$2:$B$14*Assumptions!$B$12/Projects!$D$2:$D$14*0.95)+SUMPRODUCT((Projects!$G$2:$G$14="Yes")*(1=Projects!$C$2:$C$14+Projects!$D$2:$D$14-1)*Projects!$B$2:$B$14*Assumptions!$B$12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),Actuals!F8)</f>
        <v/>
      </c>
      <c r="F10" s="392">
        <f>IF(ISBLANK(Actuals!G8),295126.83*Curves!C$6/SUM(Curves!$C$6:$I$6)+1008656.9*Curves!C$7/SUM(Curves!$C$7:$Q$7)+692704.95*Curves!C$8/SUM(Curves!$C$8:$P$8)+790610.91*Curves!C$9/SUM(Curves!$C$9:$P$9)+188945.64*Curves!C$4/SUM(Curves!$C$4:$T$4)+SUMPRODUCT((Projects!$G$8:$G$14="Yes")*(2&gt;=Projects!$C$8:$C$14)*(2&lt;Projects!$C$8:$C$14+Projects!$D$8:$D$14)*Projects!$B$8:$B$14*Assumptions!$B$10/Projects!$D$8:$D$14*0.95)+SUMPRODUCT((Projects!$G$8:$G$14="Yes")*(2=Projects!$C$8:$C$14+Projects!$D$8:$D$14-1)*Projects!$B$8:$B$14*Assumptions!$B$10*0.05)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$8:$G$14="Yes")*(2&gt;=Projects!$C$8:$C$14)*(2&lt;Projects!$C$8:$C$14+Projects!$D$8:$D$14)*Projects!$B$8:$B$14*Assumptions!$B$12/Projects!$D$8:$D$14*0.95)+SUMPRODUCT((Projects!$G$8:$G$14="Yes")*(2=Projects!$C$8:$C$14+Projects!$D$8:$D$14-1)*Projects!$B$8:$B$14*Assumptions!$B$12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,Actuals!G8)</f>
        <v/>
      </c>
      <c r="G10" s="392">
        <f>IF(ISBLANK(Actuals!H8),274422.33*Curves!D$6/SUM(Curves!$E$6:$I$6)+882574.78*Curves!D$7/SUM(Curves!$E$7:$Q$7)+600344.29*Curves!D$8/SUM(Curves!$E$8:$P$8)+685196.13*Curves!D$9/SUM(Curves!$E$9:$P$9)+161723.42*Curves!D$4/SUM(Curves!$E$4:$T$4)+SUMPRODUCT((Projects!$G$8:$G$14="Yes")*(3&gt;=Projects!$C$8:$C$14)*(3&lt;Projects!$C$8:$C$14+Projects!$D$8:$D$14)*Projects!$B$8:$B$14*Assumptions!$B$10/Projects!$D$8:$D$14*0.95)+SUMPRODUCT((Projects!$G$8:$G$14="Yes")*(3=Projects!$C$8:$C$14+Projects!$D$8:$D$14-1)*Projects!$B$8:$B$14*Assumptions!$B$10*0.05)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$8:$G$14="Yes")*(3&gt;=Projects!$C$8:$C$14)*(3&lt;Projects!$C$8:$C$14+Projects!$D$8:$D$14)*Projects!$B$8:$B$14*Assumptions!$B$12/Projects!$D$8:$D$14*0.95)+SUMPRODUCT((Projects!$G$8:$G$14="Yes")*(3=Projects!$C$8:$C$14+Projects!$D$8:$D$14-1)*Projects!$B$8:$B$14*Assumptions!$B$12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,Actuals!H8)</f>
        <v/>
      </c>
      <c r="H10" s="392">
        <f>IF(ISBLANK(Actuals!I8),274422.33*Curves!E$6/SUM(Curves!$E$6:$I$6)+882574.78*Curves!E$7/SUM(Curves!$E$7:$Q$7)+600344.29*Curves!E$8/SUM(Curves!$E$8:$P$8)+685196.13*Curves!E$9/SUM(Curves!$E$9:$P$9)+161723.42*Curves!E$4/SUM(Curves!$E$4:$T$4)+SUMPRODUCT((Projects!$G$8:$G$14="Yes")*(4&gt;=Projects!$C$8:$C$14)*(4&lt;Projects!$C$8:$C$14+Projects!$D$8:$D$14)*Projects!$B$8:$B$14*Assumptions!$B$10/Projects!$D$8:$D$14*0.95)+SUMPRODUCT((Projects!$G$8:$G$14="Yes")*(4=Projects!$C$8:$C$14+Projects!$D$8:$D$14-1)*Projects!$B$8:$B$14*Assumptions!$B$10*0.05)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$8:$G$14="Yes")*(4&gt;=Projects!$C$8:$C$14)*(4&lt;Projects!$C$8:$C$14+Projects!$D$8:$D$14)*Projects!$B$8:$B$14*Assumptions!$B$12/Projects!$D$8:$D$14*0.95)+SUMPRODUCT((Projects!$G$8:$G$14="Yes")*(4=Projects!$C$8:$C$14+Projects!$D$8:$D$14-1)*Projects!$B$8:$B$14*Assumptions!$B$12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,Actuals!I8)</f>
        <v/>
      </c>
      <c r="I10" s="392">
        <f>IF(ISBLANK(Actuals!J8),274422.33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$10/Projects!$D$8:$D$14*0.95)+SUMPRODUCT((Projects!$G$8:$G$14="Yes")*(5=Projects!$C$8:$C$14+Projects!$D$8:$D$14-1)*Projects!$B$8:$B$14*Assumptions!$B$10*0.05)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$8:$G$14="Yes")*(5&gt;=Projects!$C$8:$C$14)*(5&lt;Projects!$C$8:$C$14+Projects!$D$8:$D$14)*Projects!$B$8:$B$14*Assumptions!$B$12/Projects!$D$8:$D$14*0.95)+SUMPRODUCT((Projects!$G$8:$G$14="Yes")*(5=Projects!$C$8:$C$14+Projects!$D$8:$D$14-1)*Projects!$B$8:$B$14*Assumptions!$B$12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+178042.52+24920.93,Actuals!J8)</f>
        <v/>
      </c>
      <c r="J10" s="392">
        <f>IF(ISBLANK(Actuals!K8),274422.33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$10/Projects!$D$8:$D$14*0.95)+SUMPRODUCT((Projects!$G$8:$G$14="Yes")*(6=Projects!$C$8:$C$14+Projects!$D$8:$D$14-1)*Projects!$B$8:$B$14*Assumptions!$B$10*0.05)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$8:$G$14="Yes")*(6&gt;=Projects!$C$8:$C$14)*(6&lt;Projects!$C$8:$C$14+Projects!$D$8:$D$14)*Projects!$B$8:$B$14*Assumptions!$B$12/Projects!$D$8:$D$14*0.95)+SUMPRODUCT((Projects!$G$8:$G$14="Yes")*(6=Projects!$C$8:$C$14+Projects!$D$8:$D$14-1)*Projects!$B$8:$B$14*Assumptions!$B$12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+194677.56+59181.05,Actuals!K8)</f>
        <v/>
      </c>
      <c r="K10" s="392">
        <f>IF(ISBLANK(Actuals!L8),274422.33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$10/Projects!$D$8:$D$14*0.95)+SUMPRODUCT((Projects!$G$8:$G$14="Yes")*(7=Projects!$C$8:$C$14+Projects!$D$8:$D$14-1)*Projects!$B$8:$B$14*Assumptions!$B$10*0.05)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$8:$G$14="Yes")*(7&gt;=Projects!$C$8:$C$14)*(7&lt;Projects!$C$8:$C$14+Projects!$D$8:$D$14)*Projects!$B$8:$B$14*Assumptions!$B$12/Projects!$D$8:$D$14*0.95)+SUMPRODUCT((Projects!$G$8:$G$14="Yes")*(7=Projects!$C$8:$C$14+Projects!$D$8:$D$14-1)*Projects!$B$8:$B$14*Assumptions!$B$12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+197289.25+83126.03,Actuals!L8)</f>
        <v/>
      </c>
      <c r="L10" s="392">
        <f>IF(ISBLANK(Actuals!M8),274422.33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$10/Projects!$D$8:$D$14*0.95)+SUMPRODUCT((Projects!$G$8:$G$14="Yes")*(8=Projects!$C$8:$C$14+Projects!$D$8:$D$14-1)*Projects!$B$8:$B$14*Assumptions!$B$10*0.05)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$8:$G$14="Yes")*(8&gt;=Projects!$C$8:$C$14)*(8&lt;Projects!$C$8:$C$14+Projects!$D$8:$D$14)*Projects!$B$8:$B$14*Assumptions!$B$12/Projects!$D$8:$D$14*0.95)+SUMPRODUCT((Projects!$G$8:$G$14="Yes")*(8=Projects!$C$8:$C$14+Projects!$D$8:$D$14-1)*Projects!$B$8:$B$14*Assumptions!$B$12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+169595.35+54036.08,Actuals!M8)</f>
        <v/>
      </c>
      <c r="M10" s="392">
        <f>IF(ISBLANK(Actuals!N8)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$10/Projects!$D$8:$D$14*0.95)+SUMPRODUCT((Projects!$G$8:$G$14="Yes")*(9=Projects!$C$8:$C$14+Projects!$D$8:$D$14-1)*Projects!$B$8:$B$14*Assumptions!$B$10*0.05)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$8:$G$14="Yes")*(9&gt;=Projects!$C$8:$C$14)*(9&lt;Projects!$C$8:$C$14+Projects!$D$8:$D$14)*Projects!$B$8:$B$14*Assumptions!$B$12/Projects!$D$8:$D$14*0.95)+SUMPRODUCT((Projects!$G$8:$G$14="Yes")*(9=Projects!$C$8:$C$14+Projects!$D$8:$D$14-1)*Projects!$B$8:$B$14*Assumptions!$B$12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+185750.1+40497.24,Actuals!N8)</f>
        <v/>
      </c>
      <c r="N10" s="392">
        <f>IF(ISBLANK(Actuals!O8)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$10/Projects!$D$8:$D$14*0.95)+SUMPRODUCT((Projects!$G$8:$G$14="Yes")*(10=Projects!$C$8:$C$14+Projects!$D$8:$D$14-1)*Projects!$B$8:$B$14*Assumptions!$B$10*0.05)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$8:$G$14="Yes")*(10&gt;=Projects!$C$8:$C$14)*(10&lt;Projects!$C$8:$C$14+Projects!$D$8:$D$14)*Projects!$B$8:$B$14*Assumptions!$B$12/Projects!$D$8:$D$14*0.95)+SUMPRODUCT((Projects!$G$8:$G$14="Yes")*(10=Projects!$C$8:$C$14+Projects!$D$8:$D$14-1)*Projects!$B$8:$B$14*Assumptions!$B$12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+192704.46+51592,Actuals!O8)</f>
        <v/>
      </c>
      <c r="O10" s="392">
        <f>IF(ISBLANK(Actuals!P8)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$10/Projects!$D$8:$D$14*0.95)+SUMPRODUCT((Projects!$G$8:$G$14="Yes")*(11=Projects!$C$8:$C$14+Projects!$D$8:$D$14-1)*Projects!$B$8:$B$14*Assumptions!$B$10*0.05)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$8:$G$14="Yes")*(11&gt;=Projects!$C$8:$C$14)*(11&lt;Projects!$C$8:$C$14+Projects!$D$8:$D$14)*Projects!$B$8:$B$14*Assumptions!$B$12/Projects!$D$8:$D$14*0.95)+SUMPRODUCT((Projects!$G$8:$G$14="Yes")*(11=Projects!$C$8:$C$14+Projects!$D$8:$D$14-1)*Projects!$B$8:$B$14*Assumptions!$B$12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+167996.31+41736.77,Actuals!P8)</f>
        <v/>
      </c>
      <c r="P10" s="392">
        <f>IF(ISBLANK(Actuals!Q8)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$10/Projects!$D$8:$D$14*0.95)+SUMPRODUCT((Projects!$G$8:$G$14="Yes")*(12=Projects!$C$8:$C$14+Projects!$D$8:$D$14-1)*Projects!$B$8:$B$14*Assumptions!$B$10*0.05)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$8:$G$14="Yes")*(12&gt;=Projects!$C$8:$C$14)*(12&lt;Projects!$C$8:$C$14+Projects!$D$8:$D$14)*Projects!$B$8:$B$14*Assumptions!$B$12/Projects!$D$8:$D$14*0.95)+SUMPRODUCT((Projects!$G$8:$G$14="Yes")*(12=Projects!$C$8:$C$14+Projects!$D$8:$D$14-1)*Projects!$B$8:$B$14*Assumptions!$B$12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+177880.09+50356.25,Actuals!Q8)</f>
        <v/>
      </c>
      <c r="Q10" s="392">
        <f>IF(ISBLANK(Actuals!R8)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$10/Projects!$D$8:$D$14*0.95)+SUMPRODUCT((Projects!$G$8:$G$14="Yes")*(13=Projects!$C$8:$C$14+Projects!$D$8:$D$14-1)*Projects!$B$8:$B$14*Assumptions!$B$10*0.05)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$8:$G$14="Yes")*(13&gt;=Projects!$C$8:$C$14)*(13&lt;Projects!$C$8:$C$14+Projects!$D$8:$D$14)*Projects!$B$8:$B$14*Assumptions!$B$12/Projects!$D$8:$D$14*0.95)+SUMPRODUCT((Projects!$G$8:$G$14="Yes")*(13=Projects!$C$8:$C$14+Projects!$D$8:$D$14-1)*Projects!$B$8:$B$14*Assumptions!$B$12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+156532.47+42530.55,Actuals!R8)</f>
        <v/>
      </c>
      <c r="R10" s="392">
        <f>IF(ISBLANK(Actuals!S8)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$10/Projects!$D$8:$D$14*0.95)+SUMPRODUCT((Projects!$G$8:$G$14="Yes")*(14=Projects!$C$8:$C$14+Projects!$D$8:$D$14-1)*Projects!$B$8:$B$14*Assumptions!$B$10*0.05)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$8:$G$14="Yes")*(14&gt;=Projects!$C$8:$C$14)*(14&lt;Projects!$C$8:$C$14+Projects!$D$8:$D$14)*Projects!$B$8:$B$14*Assumptions!$B$12/Projects!$D$8:$D$14*0.95)+SUMPRODUCT((Projects!$G$8:$G$14="Yes")*(14=Projects!$C$8:$C$14+Projects!$D$8:$D$14-1)*Projects!$B$8:$B$14*Assumptions!$B$12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+123894.47+52270.25,Actuals!S8)</f>
        <v/>
      </c>
      <c r="S10" s="392">
        <f>IF(ISBLANK(Actuals!T8)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$10/Projects!$D$8:$D$14*0.95)+SUMPRODUCT((Projects!$G$8:$G$14="Yes")*(15=Projects!$C$8:$C$14+Projects!$D$8:$D$14-1)*Projects!$B$8:$B$14*Assumptions!$B$10*0.05)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$8:$G$14="Yes")*(15&gt;=Projects!$C$8:$C$14)*(15&lt;Projects!$C$8:$C$14+Projects!$D$8:$D$14)*Projects!$B$8:$B$14*Assumptions!$B$12/Projects!$D$8:$D$14*0.95)+SUMPRODUCT((Projects!$G$8:$G$14="Yes")*(15=Projects!$C$8:$C$14+Projects!$D$8:$D$14-1)*Projects!$B$8:$B$14*Assumptions!$B$12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+135161.17+49127.97,Actuals!T8)</f>
        <v/>
      </c>
      <c r="T10" s="392">
        <f>IF(ISBLANK(Actuals!U8),0*Curves!Q$7/SUM(Curves!$E$7:$Q$7)+0*Curves!Q$4/SUM(Curves!$E$4:$T$4)+SUMPRODUCT((Projects!$G$8:$G$14="Yes")*(16&gt;=Projects!$C$8:$C$14)*(16&lt;Projects!$C$8:$C$14+Projects!$D$8:$D$14)*Projects!$B$8:$B$14*Assumptions!$B$10/Projects!$D$8:$D$14*0.95)+SUMPRODUCT((Projects!$G$8:$G$14="Yes")*(16=Projects!$C$8:$C$14+Projects!$D$8:$D$14-1)*Projects!$B$8:$B$14*Assumptions!$B$10*0.05)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$8:$G$14="Yes")*(16&gt;=Projects!$C$8:$C$14)*(16&lt;Projects!$C$8:$C$14+Projects!$D$8:$D$14)*Projects!$B$8:$B$14*Assumptions!$B$12/Projects!$D$8:$D$14*0.95)+SUMPRODUCT((Projects!$G$8:$G$14="Yes")*(16=Projects!$C$8:$C$14+Projects!$D$8:$D$14-1)*Projects!$B$8:$B$14*Assumptions!$B$12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+149759.43+88120.25,Actuals!U8)</f>
        <v/>
      </c>
      <c r="U10" s="392">
        <f>IF(ISBLANK(Actuals!V8),0*Curves!R$4/SUM(Curves!$E$4:$T$4)+SUMPRODUCT((Projects!$G$8:$G$14="Yes")*(17&gt;=Projects!$C$8:$C$14)*(17&lt;Projects!$C$8:$C$14+Projects!$D$8:$D$14)*Projects!$B$8:$B$14*Assumptions!$B$10/Projects!$D$8:$D$14*0.95)+SUMPRODUCT((Projects!$G$8:$G$14="Yes")*(17=Projects!$C$8:$C$14+Projects!$D$8:$D$14-1)*Projects!$B$8:$B$14*Assumptions!$B$10*0.05)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$8:$G$14="Yes")*(17&gt;=Projects!$C$8:$C$14)*(17&lt;Projects!$C$8:$C$14+Projects!$D$8:$D$14)*Projects!$B$8:$B$14*Assumptions!$B$12/Projects!$D$8:$D$14*0.95)+SUMPRODUCT((Projects!$G$8:$G$14="Yes")*(17=Projects!$C$8:$C$14+Projects!$D$8:$D$14-1)*Projects!$B$8:$B$14*Assumptions!$B$12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+119578.88+56313.11,Actuals!V8)</f>
        <v/>
      </c>
      <c r="V10" s="392">
        <f>IF(ISBLANK(Actuals!W8),0*Curves!S$4/SUM(Curves!$E$4:$T$4)+SUMPRODUCT((Projects!$G$8:$G$14="Yes")*(18&gt;=Projects!$C$8:$C$14)*(18&lt;Projects!$C$8:$C$14+Projects!$D$8:$D$14)*Projects!$B$8:$B$14*Assumptions!$B$10/Projects!$D$8:$D$14*0.95)+SUMPRODUCT((Projects!$G$8:$G$14="Yes")*(18=Projects!$C$8:$C$14+Projects!$D$8:$D$14-1)*Projects!$B$8:$B$14*Assumptions!$B$10*0.05)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$8:$G$14="Yes")*(18&gt;=Projects!$C$8:$C$14)*(18&lt;Projects!$C$8:$C$14+Projects!$D$8:$D$14)*Projects!$B$8:$B$14*Assumptions!$B$12/Projects!$D$8:$D$14*0.95)+SUMPRODUCT((Projects!$G$8:$G$14="Yes")*(18=Projects!$C$8:$C$14+Projects!$D$8:$D$14-1)*Projects!$B$8:$B$14*Assumptions!$B$12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+51829.51+167929.79,Actuals!W8)</f>
        <v/>
      </c>
      <c r="W10" s="392">
        <f>IF(ISBLANK(Actuals!X8),0*Curves!T$4/SUM(Curves!$E$4:$T$4)+SUMPRODUCT((Projects!$G$8:$G$14="Yes")*(19&gt;=Projects!$C$8:$C$14)*(19&lt;Projects!$C$8:$C$14+Projects!$D$8:$D$14)*Projects!$B$8:$B$14*Assumptions!$B$10/Projects!$D$8:$D$14*0.95)+SUMPRODUCT((Projects!$G$8:$G$14="Yes")*(19=Projects!$C$8:$C$14+Projects!$D$8:$D$14-1)*Projects!$B$8:$B$14*Assumptions!$B$10*0.05)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$8:$G$14="Yes")*(19&gt;=Projects!$C$8:$C$14)*(19&lt;Projects!$C$8:$C$14+Projects!$D$8:$D$14)*Projects!$B$8:$B$14*Assumptions!$B$12/Projects!$D$8:$D$14*0.95)+SUMPRODUCT((Projects!$G$8:$G$14="Yes")*(19=Projects!$C$8:$C$14+Projects!$D$8:$D$14-1)*Projects!$B$8:$B$14*Assumptions!$B$12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+12036.71+106082.83,Actuals!X8)</f>
        <v/>
      </c>
      <c r="X10" s="392">
        <f>IF(ISBLANK(Actuals!Y8),0+SUMPRODUCT((Projects!$G$8:$G$14="Yes")*(20&gt;=Projects!$C$8:$C$14)*(20&lt;Projects!$C$8:$C$14+Projects!$D$8:$D$14)*Projects!$B$8:$B$14*Assumptions!$B$10/Projects!$D$8:$D$14*0.95)+SUMPRODUCT((Projects!$G$8:$G$14="Yes")*(20=Projects!$C$8:$C$14+Projects!$D$8:$D$14-1)*Projects!$B$8:$B$14*Assumptions!$B$10*0.05)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$8:$G$14="Yes")*(20&gt;=Projects!$C$8:$C$14)*(20&lt;Projects!$C$8:$C$14+Projects!$D$8:$D$14)*Projects!$B$8:$B$14*Assumptions!$B$12/Projects!$D$8:$D$14*0.95)+SUMPRODUCT((Projects!$G$8:$G$14="Yes")*(20=Projects!$C$8:$C$14+Projects!$D$8:$D$14-1)*Projects!$B$8:$B$14*Assumptions!$B$12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+0+217899.85,Actuals!Y8)</f>
        <v/>
      </c>
      <c r="Y10" s="392">
        <f>IF(ISBLANK(Actuals!Z8),0+SUMPRODUCT((Projects!$G$8:$G$14="Yes")*(21&gt;=Projects!$C$8:$C$14)*(21&lt;Projects!$C$8:$C$14+Projects!$D$8:$D$14)*Projects!$B$8:$B$14*Assumptions!$B$10/Projects!$D$8:$D$14*0.95)+SUMPRODUCT((Projects!$G$8:$G$14="Yes")*(21=Projects!$C$8:$C$14+Projects!$D$8:$D$14-1)*Projects!$B$8:$B$14*Assumptions!$B$10*0.05)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$8:$G$14="Yes")*(21&gt;=Projects!$C$8:$C$14)*(21&lt;Projects!$C$8:$C$14+Projects!$D$8:$D$14)*Projects!$B$8:$B$14*Assumptions!$B$12/Projects!$D$8:$D$14*0.95)+SUMPRODUCT((Projects!$G$8:$G$14="Yes")*(21=Projects!$C$8:$C$14+Projects!$D$8:$D$14-1)*Projects!$B$8:$B$14*Assumptions!$B$12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+0+125465.1,Actuals!Z8)</f>
        <v/>
      </c>
      <c r="Z10" s="392">
        <f>IF(ISBLANK(Actuals!AA8),0+SUMPRODUCT((Projects!$G$8:$G$14="Yes")*(22&gt;=Projects!$C$8:$C$14)*(22&lt;Projects!$C$8:$C$14+Projects!$D$8:$D$14)*Projects!$B$8:$B$14*Assumptions!$B$10/Projects!$D$8:$D$14*0.95)+SUMPRODUCT((Projects!$G$8:$G$14="Yes")*(22=Projects!$C$8:$C$14+Projects!$D$8:$D$14-1)*Projects!$B$8:$B$14*Assumptions!$B$10*0.05)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$8:$G$14="Yes")*(22&gt;=Projects!$C$8:$C$14)*(22&lt;Projects!$C$8:$C$14+Projects!$D$8:$D$14)*Projects!$B$8:$B$14*Assumptions!$B$12/Projects!$D$8:$D$14*0.95)+SUMPRODUCT((Projects!$G$8:$G$14="Yes")*(22=Projects!$C$8:$C$14+Projects!$D$8:$D$14-1)*Projects!$B$8:$B$14*Assumptions!$B$12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+0+197662.91,Actuals!AA8)</f>
        <v/>
      </c>
      <c r="AA10" s="392">
        <f>IF(ISBLANK(Actuals!AB8),0+SUMPRODUCT((Projects!$G$8:$G$14="Yes")*(23&gt;=Projects!$C$8:$C$14)*(23&lt;Projects!$C$8:$C$14+Projects!$D$8:$D$14)*Projects!$B$8:$B$14*Assumptions!$B$10/Projects!$D$8:$D$14*0.95)+SUMPRODUCT((Projects!$G$8:$G$14="Yes")*(23=Projects!$C$8:$C$14+Projects!$D$8:$D$14-1)*Projects!$B$8:$B$14*Assumptions!$B$10*0.05)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$8:$G$14="Yes")*(23&gt;=Projects!$C$8:$C$14)*(23&lt;Projects!$C$8:$C$14+Projects!$D$8:$D$14)*Projects!$B$8:$B$14*Assumptions!$B$12/Projects!$D$8:$D$14*0.95)+SUMPRODUCT((Projects!$G$8:$G$14="Yes")*(23=Projects!$C$8:$C$14+Projects!$D$8:$D$14-1)*Projects!$B$8:$B$14*Assumptions!$B$12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+0+165055.08,Actuals!AB8)</f>
        <v/>
      </c>
      <c r="AB10" s="392">
        <f>IF(ISBLANK(Actuals!AC8),0+SUMPRODUCT((Projects!$G$8:$G$14="Yes")*(24&gt;=Projects!$C$8:$C$14)*(24&lt;Projects!$C$8:$C$14+Projects!$D$8:$D$14)*Projects!$B$8:$B$14*Assumptions!$B$10/Projects!$D$8:$D$14*0.95)+SUMPRODUCT((Projects!$G$8:$G$14="Yes")*(24=Projects!$C$8:$C$14+Projects!$D$8:$D$14-1)*Projects!$B$8:$B$14*Assumptions!$B$10*0.05)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$8:$G$14="Yes")*(24&gt;=Projects!$C$8:$C$14)*(24&lt;Projects!$C$8:$C$14+Projects!$D$8:$D$14)*Projects!$B$8:$B$14*Assumptions!$B$12/Projects!$D$8:$D$14*0.95)+SUMPRODUCT((Projects!$G$8:$G$14="Yes")*(24=Projects!$C$8:$C$14+Projects!$D$8:$D$14-1)*Projects!$B$8:$B$14*Assumptions!$B$12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+0+112515.83,Actuals!AC8)</f>
        <v/>
      </c>
      <c r="AC10" s="392">
        <f>IF(ISBLANK(Actuals!AD8),0+SUMPRODUCT((Projects!$G$8:$G$14="Yes")*(25&gt;=Projects!$C$8:$C$14)*(25&lt;Projects!$C$8:$C$14+Projects!$D$8:$D$14)*Projects!$B$8:$B$14*Assumptions!$B$10/Projects!$D$8:$D$14*0.95)+SUMPRODUCT((Projects!$G$8:$G$14="Yes")*(25=Projects!$C$8:$C$14+Projects!$D$8:$D$14-1)*Projects!$B$8:$B$14*Assumptions!$B$10*0.05)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$8:$G$14="Yes")*(25&gt;=Projects!$C$8:$C$14)*(25&lt;Projects!$C$8:$C$14+Projects!$D$8:$D$14)*Projects!$B$8:$B$14*Assumptions!$B$12/Projects!$D$8:$D$14*0.95)+SUMPRODUCT((Projects!$G$8:$G$14="Yes")*(25=Projects!$C$8:$C$14+Projects!$D$8:$D$14-1)*Projects!$B$8:$B$14*Assumptions!$B$12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+0+71206.06,Actuals!AD8)</f>
        <v/>
      </c>
      <c r="AD10" s="392">
        <f>IF(ISBLANK(Actuals!AE8),0+SUMPRODUCT((Projects!$G$8:$G$14="Yes")*(26&gt;=Projects!$C$8:$C$14)*(26&lt;Projects!$C$8:$C$14+Projects!$D$8:$D$14)*Projects!$B$8:$B$14*Assumptions!$B$10/Projects!$D$8:$D$14*0.95)+SUMPRODUCT((Projects!$G$8:$G$14="Yes")*(26=Projects!$C$8:$C$14+Projects!$D$8:$D$14-1)*Projects!$B$8:$B$14*Assumptions!$B$10*0.05)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$8:$G$14="Yes")*(26&gt;=Projects!$C$8:$C$14)*(26&lt;Projects!$C$8:$C$14+Projects!$D$8:$D$14)*Projects!$B$8:$B$14*Assumptions!$B$12/Projects!$D$8:$D$14*0.95)+SUMPRODUCT((Projects!$G$8:$G$14="Yes")*(26=Projects!$C$8:$C$14+Projects!$D$8:$D$14-1)*Projects!$B$8:$B$14*Assumptions!$B$12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+0+84320.29,Actuals!AE8)</f>
        <v/>
      </c>
      <c r="AE10" s="392">
        <f>IF(ISBLANK(Actuals!AF8),0+SUMPRODUCT((Projects!$G$8:$G$14="Yes")*(27&gt;=Projects!$C$8:$C$14)*(27&lt;Projects!$C$8:$C$14+Projects!$D$8:$D$14)*Projects!$B$8:$B$14*Assumptions!$B$10/Projects!$D$8:$D$14*0.95)+SUMPRODUCT((Projects!$G$8:$G$14="Yes")*(27=Projects!$C$8:$C$14+Projects!$D$8:$D$14-1)*Projects!$B$8:$B$14*Assumptions!$B$10*0.05)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$8:$G$14="Yes")*(27&gt;=Projects!$C$8:$C$14)*(27&lt;Projects!$C$8:$C$14+Projects!$D$8:$D$14)*Projects!$B$8:$B$14*Assumptions!$B$12/Projects!$D$8:$D$14*0.95)+SUMPRODUCT((Projects!$G$8:$G$14="Yes")*(27=Projects!$C$8:$C$14+Projects!$D$8:$D$14-1)*Projects!$B$8:$B$14*Assumptions!$B$12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+0+79138.58,Actuals!AF8)</f>
        <v/>
      </c>
      <c r="AF10" s="392">
        <f>IF(ISBLANK(Actuals!AG8),0+SUMPRODUCT((Projects!$G$8:$G$14="Yes")*(28&gt;=Projects!$C$8:$C$14)*(28&lt;Projects!$C$8:$C$14+Projects!$D$8:$D$14)*Projects!$B$8:$B$14*Assumptions!$B$10/Projects!$D$8:$D$14*0.95)+SUMPRODUCT((Projects!$G$8:$G$14="Yes")*(28=Projects!$C$8:$C$14+Projects!$D$8:$D$14-1)*Projects!$B$8:$B$14*Assumptions!$B$10*0.05)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$8:$G$14="Yes")*(28&gt;=Projects!$C$8:$C$14)*(28&lt;Projects!$C$8:$C$14+Projects!$D$8:$D$14)*Projects!$B$8:$B$14*Assumptions!$B$12/Projects!$D$8:$D$14*0.95)+SUMPRODUCT((Projects!$G$8:$G$14="Yes")*(28=Projects!$C$8:$C$14+Projects!$D$8:$D$14-1)*Projects!$B$8:$B$14*Assumptions!$B$12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+0+97862.63,Actuals!AG8)</f>
        <v/>
      </c>
      <c r="AG10" s="392">
        <f>IF(ISBLANK(Actuals!AH8),0+SUMPRODUCT((Projects!$G$8:$G$14="Yes")*(29&gt;=Projects!$C$8:$C$14)*(29&lt;Projects!$C$8:$C$14+Projects!$D$8:$D$14)*Projects!$B$8:$B$14*Assumptions!$B$10/Projects!$D$8:$D$14*0.95)+SUMPRODUCT((Projects!$G$8:$G$14="Yes")*(29=Projects!$C$8:$C$14+Projects!$D$8:$D$14-1)*Projects!$B$8:$B$14*Assumptions!$B$10*0.05)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$8:$G$14="Yes")*(29&gt;=Projects!$C$8:$C$14)*(29&lt;Projects!$C$8:$C$14+Projects!$D$8:$D$14)*Projects!$B$8:$B$14*Assumptions!$B$12/Projects!$D$8:$D$14*0.95)+SUMPRODUCT((Projects!$G$8:$G$14="Yes")*(29=Projects!$C$8:$C$14+Projects!$D$8:$D$14-1)*Projects!$B$8:$B$14*Assumptions!$B$12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+0+169949.87,Actuals!AH8)</f>
        <v/>
      </c>
      <c r="AH10" s="392">
        <f>IF(ISBLANK(Actuals!AI8),0+SUMPRODUCT((Projects!$G$8:$G$14="Yes")*(30&gt;=Projects!$C$8:$C$14)*(30&lt;Projects!$C$8:$C$14+Projects!$D$8:$D$14)*Projects!$B$8:$B$14*Assumptions!$B$10/Projects!$D$8:$D$14*0.95)+SUMPRODUCT((Projects!$G$8:$G$14="Yes")*(30=Projects!$C$8:$C$14+Projects!$D$8:$D$14-1)*Projects!$B$8:$B$14*Assumptions!$B$10*0.05)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$8:$G$14="Yes")*(30&gt;=Projects!$C$8:$C$14)*(30&lt;Projects!$C$8:$C$14+Projects!$D$8:$D$14)*Projects!$B$8:$B$14*Assumptions!$B$12/Projects!$D$8:$D$14*0.95)+SUMPRODUCT((Projects!$G$8:$G$14="Yes")*(30=Projects!$C$8:$C$14+Projects!$D$8:$D$14-1)*Projects!$B$8:$B$14*Assumptions!$B$12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+0+157724.98,Actuals!AI8)</f>
        <v/>
      </c>
      <c r="AI10" s="392">
        <f>IF(ISBLANK(Actuals!AJ8),0+SUMPRODUCT((Projects!$G$8:$G$14="Yes")*(31&gt;=Projects!$C$8:$C$14)*(31&lt;Projects!$C$8:$C$14+Projects!$D$8:$D$14)*Projects!$B$8:$B$14*Assumptions!$B$10/Projects!$D$8:$D$14*0.95)+SUMPRODUCT((Projects!$G$8:$G$14="Yes")*(31=Projects!$C$8:$C$14+Projects!$D$8:$D$14-1)*Projects!$B$8:$B$14*Assumptions!$B$10*0.05)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$8:$G$14="Yes")*(31&gt;=Projects!$C$8:$C$14)*(31&lt;Projects!$C$8:$C$14+Projects!$D$8:$D$14)*Projects!$B$8:$B$14*Assumptions!$B$12/Projects!$D$8:$D$14*0.95)+SUMPRODUCT((Projects!$G$8:$G$14="Yes")*(31=Projects!$C$8:$C$14+Projects!$D$8:$D$14-1)*Projects!$B$8:$B$14*Assumptions!$B$12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+0+154201.06,Actuals!AJ8)</f>
        <v/>
      </c>
      <c r="AJ10" s="392">
        <f>IF(ISBLANK(Actuals!AK8),0+SUMPRODUCT((Projects!$G$8:$G$14="Yes")*(32&gt;=Projects!$C$8:$C$14)*(32&lt;Projects!$C$8:$C$14+Projects!$D$8:$D$14)*Projects!$B$8:$B$14*Assumptions!$B$10/Projects!$D$8:$D$14*0.95)+SUMPRODUCT((Projects!$G$8:$G$14="Yes")*(32=Projects!$C$8:$C$14+Projects!$D$8:$D$14-1)*Projects!$B$8:$B$14*Assumptions!$B$10*0.05)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$8:$G$14="Yes")*(32&gt;=Projects!$C$8:$C$14)*(32&lt;Projects!$C$8:$C$14+Projects!$D$8:$D$14)*Projects!$B$8:$B$14*Assumptions!$B$12/Projects!$D$8:$D$14*0.95)+SUMPRODUCT((Projects!$G$8:$G$14="Yes")*(32=Projects!$C$8:$C$14+Projects!$D$8:$D$14-1)*Projects!$B$8:$B$14*Assumptions!$B$12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+0+84129.61,Actuals!AK8)</f>
        <v/>
      </c>
      <c r="AK10" s="392">
        <f>IF(ISBLANK(Actuals!AL8),0+SUMPRODUCT((Projects!$G$8:$G$14="Yes")*(33&gt;=Projects!$C$8:$C$14)*(33&lt;Projects!$C$8:$C$14+Projects!$D$8:$D$14)*Projects!$B$8:$B$14*Assumptions!$B$10/Projects!$D$8:$D$14*0.95)+SUMPRODUCT((Projects!$G$8:$G$14="Yes")*(33=Projects!$C$8:$C$14+Projects!$D$8:$D$14-1)*Projects!$B$8:$B$14*Assumptions!$B$10*0.05)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$8:$G$14="Yes")*(33&gt;=Projects!$C$8:$C$14)*(33&lt;Projects!$C$8:$C$14+Projects!$D$8:$D$14)*Projects!$B$8:$B$14*Assumptions!$B$12/Projects!$D$8:$D$14*0.95)+SUMPRODUCT((Projects!$G$8:$G$14="Yes")*(33=Projects!$C$8:$C$14+Projects!$D$8:$D$14-1)*Projects!$B$8:$B$14*Assumptions!$B$12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+0+69839.32,Actuals!AL8)</f>
        <v/>
      </c>
      <c r="AL10" s="392">
        <f>IF(ISBLANK(Actuals!AM8),0+SUMPRODUCT((Projects!$G$8:$G$14="Yes")*(34&gt;=Projects!$C$8:$C$14)*(34&lt;Projects!$C$8:$C$14+Projects!$D$8:$D$14)*Projects!$B$8:$B$14*Assumptions!$B$10/Projects!$D$8:$D$14*0.95)+SUMPRODUCT((Projects!$G$8:$G$14="Yes")*(34=Projects!$C$8:$C$14+Projects!$D$8:$D$14-1)*Projects!$B$8:$B$14*Assumptions!$B$10*0.05)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$8:$G$14="Yes")*(34&gt;=Projects!$C$8:$C$14)*(34&lt;Projects!$C$8:$C$14+Projects!$D$8:$D$14)*Projects!$B$8:$B$14*Assumptions!$B$12/Projects!$D$8:$D$14*0.95)+SUMPRODUCT((Projects!$G$8:$G$14="Yes")*(34=Projects!$C$8:$C$14+Projects!$D$8:$D$14-1)*Projects!$B$8:$B$14*Assumptions!$B$12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+0+78016.5,Actuals!AM8)</f>
        <v/>
      </c>
      <c r="AM10" s="392">
        <f>IF(ISBLANK(Actuals!AN8),0+SUMPRODUCT((Projects!$G$8:$G$14="Yes")*(35&gt;=Projects!$C$8:$C$14)*(35&lt;Projects!$C$8:$C$14+Projects!$D$8:$D$14)*Projects!$B$8:$B$14*Assumptions!$B$10/Projects!$D$8:$D$14*0.95)+SUMPRODUCT((Projects!$G$8:$G$14="Yes")*(35=Projects!$C$8:$C$14+Projects!$D$8:$D$14-1)*Projects!$B$8:$B$14*Assumptions!$B$10*0.05)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$8:$G$14="Yes")*(35&gt;=Projects!$C$8:$C$14)*(35&lt;Projects!$C$8:$C$14+Projects!$D$8:$D$14)*Projects!$B$8:$B$14*Assumptions!$B$12/Projects!$D$8:$D$14*0.95)+SUMPRODUCT((Projects!$G$8:$G$14="Yes")*(35=Projects!$C$8:$C$14+Projects!$D$8:$D$14-1)*Projects!$B$8:$B$14*Assumptions!$B$12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+0+84806.09,Actuals!AN8)</f>
        <v/>
      </c>
      <c r="AN10" s="392">
        <f>IF(ISBLANK(Actuals!AO8),0+SUMPRODUCT((Projects!$G$8:$G$14="Yes")*(36&gt;=Projects!$C$8:$C$14)*(36&lt;Projects!$C$8:$C$14+Projects!$D$8:$D$14)*Projects!$B$8:$B$14*Assumptions!$B$10/Projects!$D$8:$D$14*0.95)+SUMPRODUCT((Projects!$G$8:$G$14="Yes")*(36=Projects!$C$8:$C$14+Projects!$D$8:$D$14-1)*Projects!$B$8:$B$14*Assumptions!$B$10*0.05)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$8:$G$14="Yes")*(36&gt;=Projects!$C$8:$C$14)*(36&lt;Projects!$C$8:$C$14+Projects!$D$8:$D$14)*Projects!$B$8:$B$14*Assumptions!$B$12/Projects!$D$8:$D$14*0.95)+SUMPRODUCT((Projects!$G$8:$G$14="Yes")*(36=Projects!$C$8:$C$14+Projects!$D$8:$D$14-1)*Projects!$B$8:$B$14*Assumptions!$B$12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+0+22816.35,Actuals!AO8)</f>
        <v/>
      </c>
      <c r="AO10" s="392">
        <f>IF(ISBLANK(Actuals!AP8),0+SUMPRODUCT((Projects!$G$8:$G$14="Yes")*(37&gt;=Projects!$C$8:$C$14)*(37&lt;Projects!$C$8:$C$14+Projects!$D$8:$D$14)*Projects!$B$8:$B$14*Assumptions!$B$10/Projects!$D$8:$D$14*0.95)+SUMPRODUCT((Projects!$G$8:$G$14="Yes")*(37=Projects!$C$8:$C$14+Projects!$D$8:$D$14-1)*Projects!$B$8:$B$14*Assumptions!$B$10*0.05)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$8:$G$14="Yes")*(37&gt;=Projects!$C$8:$C$14)*(37&lt;Projects!$C$8:$C$14+Projects!$D$8:$D$14)*Projects!$B$8:$B$14*Assumptions!$B$12/Projects!$D$8:$D$14*0.95)+SUMPRODUCT((Projects!$G$8:$G$14="Yes")*(37=Projects!$C$8:$C$14+Projects!$D$8:$D$14-1)*Projects!$B$8:$B$14*Assumptions!$B$12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+0,Actuals!AP8)</f>
        <v/>
      </c>
      <c r="AP10" s="392">
        <f>IF(ISBLANK(Actuals!AQ8),0+SUMPRODUCT((Projects!$G$8:$G$14="Yes")*(38&gt;=Projects!$C$8:$C$14)*(38&lt;Projects!$C$8:$C$14+Projects!$D$8:$D$14)*Projects!$B$8:$B$14*Assumptions!$B$10/Projects!$D$8:$D$14*0.95)+SUMPRODUCT((Projects!$G$8:$G$14="Yes")*(38=Projects!$C$8:$C$14+Projects!$D$8:$D$14-1)*Projects!$B$8:$B$14*Assumptions!$B$10*0.05)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$8:$G$14="Yes")*(38&gt;=Projects!$C$8:$C$14)*(38&lt;Projects!$C$8:$C$14+Projects!$D$8:$D$14)*Projects!$B$8:$B$14*Assumptions!$B$12/Projects!$D$8:$D$14*0.95)+SUMPRODUCT((Projects!$G$8:$G$14="Yes")*(38=Projects!$C$8:$C$14+Projects!$D$8:$D$14-1)*Projects!$B$8:$B$14*Assumptions!$B$12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+0,Actuals!AQ8)</f>
        <v/>
      </c>
      <c r="AQ10" s="392">
        <f>IF(ISBLANK(Actuals!AR8),0+SUMPRODUCT((Projects!$G$8:$G$14="Yes")*(39&gt;=Projects!$C$8:$C$14)*(39&lt;Projects!$C$8:$C$14+Projects!$D$8:$D$14)*Projects!$B$8:$B$14*Assumptions!$B$10/Projects!$D$8:$D$14*0.95)+SUMPRODUCT((Projects!$G$8:$G$14="Yes")*(39=Projects!$C$8:$C$14+Projects!$D$8:$D$14-1)*Projects!$B$8:$B$14*Assumptions!$B$10*0.05)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$8:$G$14="Yes")*(39&gt;=Projects!$C$8:$C$14)*(39&lt;Projects!$C$8:$C$14+Projects!$D$8:$D$14)*Projects!$B$8:$B$14*Assumptions!$B$12/Projects!$D$8:$D$14*0.95)+SUMPRODUCT((Projects!$G$8:$G$14="Yes")*(39=Projects!$C$8:$C$14+Projects!$D$8:$D$14-1)*Projects!$B$8:$B$14*Assumptions!$B$12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+0,Actuals!AR8)</f>
        <v/>
      </c>
      <c r="AR10" s="392">
        <f>IF(ISBLANK(Actuals!AS8),0+SUMPRODUCT((Projects!$G$8:$G$14="Yes")*(40&gt;=Projects!$C$8:$C$14)*(40&lt;Projects!$C$8:$C$14+Projects!$D$8:$D$14)*Projects!$B$8:$B$14*Assumptions!$B$10/Projects!$D$8:$D$14*0.95)+SUMPRODUCT((Projects!$G$8:$G$14="Yes")*(40=Projects!$C$8:$C$14+Projects!$D$8:$D$14-1)*Projects!$B$8:$B$14*Assumptions!$B$10*0.05)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$8:$G$14="Yes")*(40&gt;=Projects!$C$8:$C$14)*(40&lt;Projects!$C$8:$C$14+Projects!$D$8:$D$14)*Projects!$B$8:$B$14*Assumptions!$B$12/Projects!$D$8:$D$14*0.95)+SUMPRODUCT((Projects!$G$8:$G$14="Yes")*(40=Projects!$C$8:$C$14+Projects!$D$8:$D$14-1)*Projects!$B$8:$B$14*Assumptions!$B$12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+0,Actuals!AS8)</f>
        <v/>
      </c>
      <c r="AS10" s="392">
        <f>IF(ISBLANK(Actuals!AT8),0+SUMPRODUCT((Projects!$G$8:$G$14="Yes")*(41&gt;=Projects!$C$8:$C$14)*(41&lt;Projects!$C$8:$C$14+Projects!$D$8:$D$14)*Projects!$B$8:$B$14*Assumptions!$B$10/Projects!$D$8:$D$14*0.95)+SUMPRODUCT((Projects!$G$8:$G$14="Yes")*(41=Projects!$C$8:$C$14+Projects!$D$8:$D$14-1)*Projects!$B$8:$B$14*Assumptions!$B$10*0.05)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$8:$G$14="Yes")*(41&gt;=Projects!$C$8:$C$14)*(41&lt;Projects!$C$8:$C$14+Projects!$D$8:$D$14)*Projects!$B$8:$B$14*Assumptions!$B$12/Projects!$D$8:$D$14*0.95)+SUMPRODUCT((Projects!$G$8:$G$14="Yes")*(41=Projects!$C$8:$C$14+Projects!$D$8:$D$14-1)*Projects!$B$8:$B$14*Assumptions!$B$12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+0,Actuals!AT8)</f>
        <v/>
      </c>
      <c r="AT10" s="392">
        <f>IF(ISBLANK(Actuals!AU8),0+SUMPRODUCT((Projects!$G$8:$G$14="Yes")*(42&gt;=Projects!$C$8:$C$14)*(42&lt;Projects!$C$8:$C$14+Projects!$D$8:$D$14)*Projects!$B$8:$B$14*Assumptions!$B$10/Projects!$D$8:$D$14*0.95)+SUMPRODUCT((Projects!$G$8:$G$14="Yes")*(42=Projects!$C$8:$C$14+Projects!$D$8:$D$14-1)*Projects!$B$8:$B$14*Assumptions!$B$10*0.05)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$8:$G$14="Yes")*(42&gt;=Projects!$C$8:$C$14)*(42&lt;Projects!$C$8:$C$14+Projects!$D$8:$D$14)*Projects!$B$8:$B$14*Assumptions!$B$12/Projects!$D$8:$D$14*0.95)+SUMPRODUCT((Projects!$G$8:$G$14="Yes")*(42=Projects!$C$8:$C$14+Projects!$D$8:$D$14-1)*Projects!$B$8:$B$14*Assumptions!$B$12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+0,Actuals!AU8)</f>
        <v/>
      </c>
      <c r="AU10" s="392">
        <f>IF(ISBLANK(Actuals!AV8),0+SUMPRODUCT((Projects!$G$8:$G$14="Yes")*(43&gt;=Projects!$C$8:$C$14)*(43&lt;Projects!$C$8:$C$14+Projects!$D$8:$D$14)*Projects!$B$8:$B$14*Assumptions!$B$10/Projects!$D$8:$D$14*0.95)+SUMPRODUCT((Projects!$G$8:$G$14="Yes")*(43=Projects!$C$8:$C$14+Projects!$D$8:$D$14-1)*Projects!$B$8:$B$14*Assumptions!$B$10*0.05)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$8:$G$14="Yes")*(43&gt;=Projects!$C$8:$C$14)*(43&lt;Projects!$C$8:$C$14+Projects!$D$8:$D$14)*Projects!$B$8:$B$14*Assumptions!$B$12/Projects!$D$8:$D$14*0.95)+SUMPRODUCT((Projects!$G$8:$G$14="Yes")*(43=Projects!$C$8:$C$14+Projects!$D$8:$D$14-1)*Projects!$B$8:$B$14*Assumptions!$B$12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+0,Actuals!AV8)</f>
        <v/>
      </c>
      <c r="AV10" s="392">
        <f>IF(ISBLANK(Actuals!AW8),0+SUMPRODUCT((Projects!$G$8:$G$14="Yes")*(44&gt;=Projects!$C$8:$C$14)*(44&lt;Projects!$C$8:$C$14+Projects!$D$8:$D$14)*Projects!$B$8:$B$14*Assumptions!$B$10/Projects!$D$8:$D$14*0.95)+SUMPRODUCT((Projects!$G$8:$G$14="Yes")*(44=Projects!$C$8:$C$14+Projects!$D$8:$D$14-1)*Projects!$B$8:$B$14*Assumptions!$B$10*0.05)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$8:$G$14="Yes")*(44&gt;=Projects!$C$8:$C$14)*(44&lt;Projects!$C$8:$C$14+Projects!$D$8:$D$14)*Projects!$B$8:$B$14*Assumptions!$B$12/Projects!$D$8:$D$14*0.95)+SUMPRODUCT((Projects!$G$8:$G$14="Yes")*(44=Projects!$C$8:$C$14+Projects!$D$8:$D$14-1)*Projects!$B$8:$B$14*Assumptions!$B$12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+0,Actuals!AW8)</f>
        <v/>
      </c>
      <c r="AW10" s="392">
        <f>IF(ISBLANK(Actuals!AX8),0+SUMPRODUCT((Projects!$G$8:$G$14="Yes")*(45&gt;=Projects!$C$8:$C$14)*(45&lt;Projects!$C$8:$C$14+Projects!$D$8:$D$14)*Projects!$B$8:$B$14*Assumptions!$B$10/Projects!$D$8:$D$14*0.95)+SUMPRODUCT((Projects!$G$8:$G$14="Yes")*(45=Projects!$C$8:$C$14+Projects!$D$8:$D$14-1)*Projects!$B$8:$B$14*Assumptions!$B$10*0.05)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$8:$G$14="Yes")*(45&gt;=Projects!$C$8:$C$14)*(45&lt;Projects!$C$8:$C$14+Projects!$D$8:$D$14)*Projects!$B$8:$B$14*Assumptions!$B$12/Projects!$D$8:$D$14*0.95)+SUMPRODUCT((Projects!$G$8:$G$14="Yes")*(45=Projects!$C$8:$C$14+Projects!$D$8:$D$14-1)*Projects!$B$8:$B$14*Assumptions!$B$12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+0,Actuals!AX8)</f>
        <v/>
      </c>
      <c r="AX10" s="392">
        <f>IF(ISBLANK(Actuals!AY8),0+SUMPRODUCT((Projects!$G$8:$G$14="Yes")*(46&gt;=Projects!$C$8:$C$14)*(46&lt;Projects!$C$8:$C$14+Projects!$D$8:$D$14)*Projects!$B$8:$B$14*Assumptions!$B$10/Projects!$D$8:$D$14*0.95)+SUMPRODUCT((Projects!$G$8:$G$14="Yes")*(46=Projects!$C$8:$C$14+Projects!$D$8:$D$14-1)*Projects!$B$8:$B$14*Assumptions!$B$10*0.05)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$8:$G$14="Yes")*(46&gt;=Projects!$C$8:$C$14)*(46&lt;Projects!$C$8:$C$14+Projects!$D$8:$D$14)*Projects!$B$8:$B$14*Assumptions!$B$12/Projects!$D$8:$D$14*0.95)+SUMPRODUCT((Projects!$G$8:$G$14="Yes")*(46=Projects!$C$8:$C$14+Projects!$D$8:$D$14-1)*Projects!$B$8:$B$14*Assumptions!$B$12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+0,Actuals!AY8)</f>
        <v/>
      </c>
      <c r="AY10" s="392">
        <f>IF(ISBLANK(Actuals!AZ8),0+SUMPRODUCT((Projects!$G$8:$G$14="Yes")*(47&gt;=Projects!$C$8:$C$14)*(47&lt;Projects!$C$8:$C$14+Projects!$D$8:$D$14)*Projects!$B$8:$B$14*Assumptions!$B$10/Projects!$D$8:$D$14*0.95)+SUMPRODUCT((Projects!$G$8:$G$14="Yes")*(47=Projects!$C$8:$C$14+Projects!$D$8:$D$14-1)*Projects!$B$8:$B$14*Assumptions!$B$10*0.05)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$8:$G$14="Yes")*(47&gt;=Projects!$C$8:$C$14)*(47&lt;Projects!$C$8:$C$14+Projects!$D$8:$D$14)*Projects!$B$8:$B$14*Assumptions!$B$12/Projects!$D$8:$D$14*0.95)+SUMPRODUCT((Projects!$G$8:$G$14="Yes")*(47=Projects!$C$8:$C$14+Projects!$D$8:$D$14-1)*Projects!$B$8:$B$14*Assumptions!$B$12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+0,Actuals!AZ8)</f>
        <v/>
      </c>
      <c r="AZ10" s="392">
        <f>IF(ISBLANK(Actuals!BA8),0+SUMPRODUCT((Projects!$G$8:$G$14="Yes")*(48&gt;=Projects!$C$8:$C$14)*(48&lt;Projects!$C$8:$C$14+Projects!$D$8:$D$14)*Projects!$B$8:$B$14*Assumptions!$B$10/Projects!$D$8:$D$14*0.95)+SUMPRODUCT((Projects!$G$8:$G$14="Yes")*(48=Projects!$C$8:$C$14+Projects!$D$8:$D$14-1)*Projects!$B$8:$B$14*Assumptions!$B$10*0.05)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$8:$G$14="Yes")*(48&gt;=Projects!$C$8:$C$14)*(48&lt;Projects!$C$8:$C$14+Projects!$D$8:$D$14)*Projects!$B$8:$B$14*Assumptions!$B$12/Projects!$D$8:$D$14*0.95)+SUMPRODUCT((Projects!$G$8:$G$14="Yes")*(48=Projects!$C$8:$C$14+Projects!$D$8:$D$14-1)*Projects!$B$8:$B$14*Assumptions!$B$12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+0,Actuals!BA8)</f>
        <v/>
      </c>
      <c r="BA10" s="392">
        <f>IF(ISBLANK(Actuals!BB8),0+SUMPRODUCT((Projects!$G$8:$G$14="Yes")*(49&gt;=Projects!$C$8:$C$14)*(49&lt;Projects!$C$8:$C$14+Projects!$D$8:$D$14)*Projects!$B$8:$B$14*Assumptions!$B$10/Projects!$D$8:$D$14*0.95)+SUMPRODUCT((Projects!$G$8:$G$14="Yes")*(49=Projects!$C$8:$C$14+Projects!$D$8:$D$14-1)*Projects!$B$8:$B$14*Assumptions!$B$10*0.05)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$8:$G$14="Yes")*(49&gt;=Projects!$C$8:$C$14)*(49&lt;Projects!$C$8:$C$14+Projects!$D$8:$D$14)*Projects!$B$8:$B$14*Assumptions!$B$12/Projects!$D$8:$D$14*0.95)+SUMPRODUCT((Projects!$G$8:$G$14="Yes")*(49=Projects!$C$8:$C$14+Projects!$D$8:$D$14-1)*Projects!$B$8:$B$14*Assumptions!$B$12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+0,Actuals!BB8)</f>
        <v/>
      </c>
      <c r="BB10" s="392">
        <f>IF(ISBLANK(Actuals!BC8),0+SUMPRODUCT((Projects!$G$8:$G$14="Yes")*(50&gt;=Projects!$C$8:$C$14)*(50&lt;Projects!$C$8:$C$14+Projects!$D$8:$D$14)*Projects!$B$8:$B$14*Assumptions!$B$10/Projects!$D$8:$D$14*0.95)+SUMPRODUCT((Projects!$G$8:$G$14="Yes")*(50=Projects!$C$8:$C$14+Projects!$D$8:$D$14-1)*Projects!$B$8:$B$14*Assumptions!$B$10*0.05)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$8:$G$14="Yes")*(50&gt;=Projects!$C$8:$C$14)*(50&lt;Projects!$C$8:$C$14+Projects!$D$8:$D$14)*Projects!$B$8:$B$14*Assumptions!$B$12/Projects!$D$8:$D$14*0.95)+SUMPRODUCT((Projects!$G$8:$G$14="Yes")*(50=Projects!$C$8:$C$14+Projects!$D$8:$D$14-1)*Projects!$B$8:$B$14*Assumptions!$B$12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+0,Actuals!BC8)</f>
        <v/>
      </c>
      <c r="BC10" s="392">
        <f>IF(ISBLANK(Actuals!BD8),0+SUMPRODUCT((Projects!$G$8:$G$14="Yes")*(51&gt;=Projects!$C$8:$C$14)*(51&lt;Projects!$C$8:$C$14+Projects!$D$8:$D$14)*Projects!$B$8:$B$14*Assumptions!$B$10/Projects!$D$8:$D$14*0.95)+SUMPRODUCT((Projects!$G$8:$G$14="Yes")*(51=Projects!$C$8:$C$14+Projects!$D$8:$D$14-1)*Projects!$B$8:$B$14*Assumptions!$B$10*0.05)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$8:$G$14="Yes")*(51&gt;=Projects!$C$8:$C$14)*(51&lt;Projects!$C$8:$C$14+Projects!$D$8:$D$14)*Projects!$B$8:$B$14*Assumptions!$B$12/Projects!$D$8:$D$14*0.95)+SUMPRODUCT((Projects!$G$8:$G$14="Yes")*(51=Projects!$C$8:$C$14+Projects!$D$8:$D$14-1)*Projects!$B$8:$B$14*Assumptions!$B$12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+0,Actuals!BD8)</f>
        <v/>
      </c>
      <c r="BD10" s="392">
        <f>IF(ISBLANK(Actuals!BE8),0+SUMPRODUCT((Projects!$G$8:$G$14="Yes")*(52&gt;=Projects!$C$8:$C$14)*(52&lt;Projects!$C$8:$C$14+Projects!$D$8:$D$14)*Projects!$B$8:$B$14*Assumptions!$B$10/Projects!$D$8:$D$14*0.95)+SUMPRODUCT((Projects!$G$8:$G$14="Yes")*(52=Projects!$C$8:$C$14+Projects!$D$8:$D$14-1)*Projects!$B$8:$B$14*Assumptions!$B$10*0.05)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$8:$G$14="Yes")*(52&gt;=Projects!$C$8:$C$14)*(52&lt;Projects!$C$8:$C$14+Projects!$D$8:$D$14)*Projects!$B$8:$B$14*Assumptions!$B$12/Projects!$D$8:$D$14*0.95)+SUMPRODUCT((Projects!$G$8:$G$14="Yes")*(52=Projects!$C$8:$C$14+Projects!$D$8:$D$14-1)*Projects!$B$8:$B$14*Assumptions!$B$12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+0,Actuals!BE8)</f>
        <v/>
      </c>
      <c r="BE10" s="392">
        <f>IF(ISBLANK(Actuals!BF8),0+SUMPRODUCT((Projects!$G$8:$G$14="Yes")*(53&gt;=Projects!$C$8:$C$14)*(53&lt;Projects!$C$8:$C$14+Projects!$D$8:$D$14)*Projects!$B$8:$B$14*Assumptions!$B$10/Projects!$D$8:$D$14*0.95)+SUMPRODUCT((Projects!$G$8:$G$14="Yes")*(53=Projects!$C$8:$C$14+Projects!$D$8:$D$14-1)*Projects!$B$8:$B$14*Assumptions!$B$10*0.05)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$8:$G$14="Yes")*(53&gt;=Projects!$C$8:$C$14)*(53&lt;Projects!$C$8:$C$14+Projects!$D$8:$D$14)*Projects!$B$8:$B$14*Assumptions!$B$12/Projects!$D$8:$D$14*0.95)+SUMPRODUCT((Projects!$G$8:$G$14="Yes")*(53=Projects!$C$8:$C$14+Projects!$D$8:$D$14-1)*Projects!$B$8:$B$14*Assumptions!$B$12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+0,Actuals!BF8)</f>
        <v/>
      </c>
      <c r="BF10" s="392">
        <f>IF(ISBLANK(Actuals!BG8),0+SUMPRODUCT((Projects!$G$8:$G$14="Yes")*(54&gt;=Projects!$C$8:$C$14)*(54&lt;Projects!$C$8:$C$14+Projects!$D$8:$D$14)*Projects!$B$8:$B$14*Assumptions!$B$10/Projects!$D$8:$D$14*0.95)+SUMPRODUCT((Projects!$G$8:$G$14="Yes")*(54=Projects!$C$8:$C$14+Projects!$D$8:$D$14-1)*Projects!$B$8:$B$14*Assumptions!$B$10*0.05)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$8:$G$14="Yes")*(54&gt;=Projects!$C$8:$C$14)*(54&lt;Projects!$C$8:$C$14+Projects!$D$8:$D$14)*Projects!$B$8:$B$14*Assumptions!$B$12/Projects!$D$8:$D$14*0.95)+SUMPRODUCT((Projects!$G$8:$G$14="Yes")*(54=Projects!$C$8:$C$14+Projects!$D$8:$D$14-1)*Projects!$B$8:$B$14*Assumptions!$B$12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+0,Actuals!BG8)</f>
        <v/>
      </c>
      <c r="BG10" s="392">
        <f>IF(ISBLANK(Actuals!BH8),0+SUMPRODUCT((Projects!$G$8:$G$14="Yes")*(55&gt;=Projects!$C$8:$C$14)*(55&lt;Projects!$C$8:$C$14+Projects!$D$8:$D$14)*Projects!$B$8:$B$14*Assumptions!$B$10/Projects!$D$8:$D$14*0.95)+SUMPRODUCT((Projects!$G$8:$G$14="Yes")*(55=Projects!$C$8:$C$14+Projects!$D$8:$D$14-1)*Projects!$B$8:$B$14*Assumptions!$B$10*0.05)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$8:$G$14="Yes")*(55&gt;=Projects!$C$8:$C$14)*(55&lt;Projects!$C$8:$C$14+Projects!$D$8:$D$14)*Projects!$B$8:$B$14*Assumptions!$B$12/Projects!$D$8:$D$14*0.95)+SUMPRODUCT((Projects!$G$8:$G$14="Yes")*(55=Projects!$C$8:$C$14+Projects!$D$8:$D$14-1)*Projects!$B$8:$B$14*Assumptions!$B$12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+0,Actuals!BH8)</f>
        <v/>
      </c>
      <c r="BH10" s="392">
        <f>IF(ISBLANK(Actuals!BI8),0+SUMPRODUCT((Projects!$G$8:$G$14="Yes")*(56&gt;=Projects!$C$8:$C$14)*(56&lt;Projects!$C$8:$C$14+Projects!$D$8:$D$14)*Projects!$B$8:$B$14*Assumptions!$B$10/Projects!$D$8:$D$14*0.95)+SUMPRODUCT((Projects!$G$8:$G$14="Yes")*(56=Projects!$C$8:$C$14+Projects!$D$8:$D$14-1)*Projects!$B$8:$B$14*Assumptions!$B$10*0.05)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$8:$G$14="Yes")*(56&gt;=Projects!$C$8:$C$14)*(56&lt;Projects!$C$8:$C$14+Projects!$D$8:$D$14)*Projects!$B$8:$B$14*Assumptions!$B$12/Projects!$D$8:$D$14*0.95)+SUMPRODUCT((Projects!$G$8:$G$14="Yes")*(56=Projects!$C$8:$C$14+Projects!$D$8:$D$14-1)*Projects!$B$8:$B$14*Assumptions!$B$12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+0,Actuals!BI8)</f>
        <v/>
      </c>
      <c r="BI10" s="392">
        <f>IF(ISBLANK(Actuals!BJ8),0+SUMPRODUCT((Projects!$G$8:$G$14="Yes")*(57&gt;=Projects!$C$8:$C$14)*(57&lt;Projects!$C$8:$C$14+Projects!$D$8:$D$14)*Projects!$B$8:$B$14*Assumptions!$B$10/Projects!$D$8:$D$14*0.95)+SUMPRODUCT((Projects!$G$8:$G$14="Yes")*(57=Projects!$C$8:$C$14+Projects!$D$8:$D$14-1)*Projects!$B$8:$B$14*Assumptions!$B$10*0.05)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$8:$G$14="Yes")*(57&gt;=Projects!$C$8:$C$14)*(57&lt;Projects!$C$8:$C$14+Projects!$D$8:$D$14)*Projects!$B$8:$B$14*Assumptions!$B$12/Projects!$D$8:$D$14*0.95)+SUMPRODUCT((Projects!$G$8:$G$14="Yes")*(57=Projects!$C$8:$C$14+Projects!$D$8:$D$14-1)*Projects!$B$8:$B$14*Assumptions!$B$12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+0,Actuals!BJ8)</f>
        <v/>
      </c>
      <c r="BJ10" s="392">
        <f>IF(ISBLANK(Actuals!BK8),0+SUMPRODUCT((Projects!$G$8:$G$14="Yes")*(58&gt;=Projects!$C$8:$C$14)*(58&lt;Projects!$C$8:$C$14+Projects!$D$8:$D$14)*Projects!$B$8:$B$14*Assumptions!$B$10/Projects!$D$8:$D$14*0.95)+SUMPRODUCT((Projects!$G$8:$G$14="Yes")*(58=Projects!$C$8:$C$14+Projects!$D$8:$D$14-1)*Projects!$B$8:$B$14*Assumptions!$B$10*0.05)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$8:$G$14="Yes")*(58&gt;=Projects!$C$8:$C$14)*(58&lt;Projects!$C$8:$C$14+Projects!$D$8:$D$14)*Projects!$B$8:$B$14*Assumptions!$B$12/Projects!$D$8:$D$14*0.95)+SUMPRODUCT((Projects!$G$8:$G$14="Yes")*(58=Projects!$C$8:$C$14+Projects!$D$8:$D$14-1)*Projects!$B$8:$B$14*Assumptions!$B$12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+0,Actuals!BK8)</f>
        <v/>
      </c>
      <c r="BK10" s="392">
        <f>IF(ISBLANK(Actuals!BL8),0+SUMPRODUCT((Projects!$G$8:$G$14="Yes")*(59&gt;=Projects!$C$8:$C$14)*(59&lt;Projects!$C$8:$C$14+Projects!$D$8:$D$14)*Projects!$B$8:$B$14*Assumptions!$B$10/Projects!$D$8:$D$14*0.95)+SUMPRODUCT((Projects!$G$8:$G$14="Yes")*(59=Projects!$C$8:$C$14+Projects!$D$8:$D$14-1)*Projects!$B$8:$B$14*Assumptions!$B$10*0.05)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$8:$G$14="Yes")*(59&gt;=Projects!$C$8:$C$14)*(59&lt;Projects!$C$8:$C$14+Projects!$D$8:$D$14)*Projects!$B$8:$B$14*Assumptions!$B$12/Projects!$D$8:$D$14*0.95)+SUMPRODUCT((Projects!$G$8:$G$14="Yes")*(59=Projects!$C$8:$C$14+Projects!$D$8:$D$14-1)*Projects!$B$8:$B$14*Assumptions!$B$12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+0,Actuals!BL8)</f>
        <v/>
      </c>
      <c r="BL10" s="392">
        <f>IF(ISBLANK(Actuals!BM8),0+SUMPRODUCT((Projects!$G$8:$G$14="Yes")*(60&gt;=Projects!$C$8:$C$14)*(60&lt;Projects!$C$8:$C$14+Projects!$D$8:$D$14)*Projects!$B$8:$B$14*Assumptions!$B$10/Projects!$D$8:$D$14*0.95)+SUMPRODUCT((Projects!$G$8:$G$14="Yes")*(60=Projects!$C$8:$C$14+Projects!$D$8:$D$14-1)*Projects!$B$8:$B$14*Assumptions!$B$10*0.05)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$8:$G$14="Yes")*(60&gt;=Projects!$C$8:$C$14)*(60&lt;Projects!$C$8:$C$14+Projects!$D$8:$D$14)*Projects!$B$8:$B$14*Assumptions!$B$12/Projects!$D$8:$D$14*0.95)+SUMPRODUCT((Projects!$G$8:$G$14="Yes")*(60=Projects!$C$8:$C$14+Projects!$D$8:$D$14-1)*Projects!$B$8:$B$14*Assumptions!$B$12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+0,Actuals!BM8)</f>
        <v/>
      </c>
      <c r="BM10" s="392">
        <f>IF(ISBLANK(Actuals!BN8),0+SUMPRODUCT((Projects!$G$8:$G$14="Yes")*(61&gt;=Projects!$C$8:$C$14)*(61&lt;Projects!$C$8:$C$14+Projects!$D$8:$D$14)*Projects!$B$8:$B$14*Assumptions!$B$10/Projects!$D$8:$D$14*0.95)+SUMPRODUCT((Projects!$G$8:$G$14="Yes")*(61=Projects!$C$8:$C$14+Projects!$D$8:$D$14-1)*Projects!$B$8:$B$14*Assumptions!$B$10*0.05)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$8:$G$14="Yes")*(61&gt;=Projects!$C$8:$C$14)*(61&lt;Projects!$C$8:$C$14+Projects!$D$8:$D$14)*Projects!$B$8:$B$14*Assumptions!$B$12/Projects!$D$8:$D$14*0.95)+SUMPRODUCT((Projects!$G$8:$G$14="Yes")*(61=Projects!$C$8:$C$14+Projects!$D$8:$D$14-1)*Projects!$B$8:$B$14*Assumptions!$B$12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+0,Actuals!BN8)</f>
        <v/>
      </c>
      <c r="BN10" s="392">
        <f>IF(ISBLANK(Actuals!BO8),0+SUMPRODUCT((Projects!$G$8:$G$14="Yes")*(62&gt;=Projects!$C$8:$C$14)*(62&lt;Projects!$C$8:$C$14+Projects!$D$8:$D$14)*Projects!$B$8:$B$14*Assumptions!$B$10/Projects!$D$8:$D$14*0.95)+SUMPRODUCT((Projects!$G$8:$G$14="Yes")*(62=Projects!$C$8:$C$14+Projects!$D$8:$D$14-1)*Projects!$B$8:$B$14*Assumptions!$B$10*0.05)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$8:$G$14="Yes")*(62&gt;=Projects!$C$8:$C$14)*(62&lt;Projects!$C$8:$C$14+Projects!$D$8:$D$14)*Projects!$B$8:$B$14*Assumptions!$B$12/Projects!$D$8:$D$14*0.95)+SUMPRODUCT((Projects!$G$8:$G$14="Yes")*(62=Projects!$C$8:$C$14+Projects!$D$8:$D$14-1)*Projects!$B$8:$B$14*Assumptions!$B$12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+0,Actuals!BO8)</f>
        <v/>
      </c>
      <c r="BO10" s="392">
        <f>IF(ISBLANK(Actuals!BP8),0+SUMPRODUCT((Projects!$G$8:$G$14="Yes")*(63&gt;=Projects!$C$8:$C$14)*(63&lt;Projects!$C$8:$C$14+Projects!$D$8:$D$14)*Projects!$B$8:$B$14*Assumptions!$B$10/Projects!$D$8:$D$14*0.95)+SUMPRODUCT((Projects!$G$8:$G$14="Yes")*(63=Projects!$C$8:$C$14+Projects!$D$8:$D$14-1)*Projects!$B$8:$B$14*Assumptions!$B$10*0.05)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$8:$G$14="Yes")*(63&gt;=Projects!$C$8:$C$14)*(63&lt;Projects!$C$8:$C$14+Projects!$D$8:$D$14)*Projects!$B$8:$B$14*Assumptions!$B$12/Projects!$D$8:$D$14*0.95)+SUMPRODUCT((Projects!$G$8:$G$14="Yes")*(63=Projects!$C$8:$C$14+Projects!$D$8:$D$14-1)*Projects!$B$8:$B$14*Assumptions!$B$12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+0,Actuals!BP8)</f>
        <v/>
      </c>
      <c r="BP10" s="392">
        <f>IF(ISBLANK(Actuals!BQ8),0+SUMPRODUCT((Projects!$G$8:$G$14="Yes")*(64&gt;=Projects!$C$8:$C$14)*(64&lt;Projects!$C$8:$C$14+Projects!$D$8:$D$14)*Projects!$B$8:$B$14*Assumptions!$B$10/Projects!$D$8:$D$14*0.95)+SUMPRODUCT((Projects!$G$8:$G$14="Yes")*(64=Projects!$C$8:$C$14+Projects!$D$8:$D$14-1)*Projects!$B$8:$B$14*Assumptions!$B$10*0.05)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$8:$G$14="Yes")*(64&gt;=Projects!$C$8:$C$14)*(64&lt;Projects!$C$8:$C$14+Projects!$D$8:$D$14)*Projects!$B$8:$B$14*Assumptions!$B$12/Projects!$D$8:$D$14*0.95)+SUMPRODUCT((Projects!$G$8:$G$14="Yes")*(64=Projects!$C$8:$C$14+Projects!$D$8:$D$14-1)*Projects!$B$8:$B$14*Assumptions!$B$12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+0,Actuals!BQ8)</f>
        <v/>
      </c>
      <c r="BQ10" s="392">
        <f>IF(ISBLANK(Actuals!BR8),0+SUMPRODUCT((Projects!$G$8:$G$14="Yes")*(65&gt;=Projects!$C$8:$C$14)*(65&lt;Projects!$C$8:$C$14+Projects!$D$8:$D$14)*Projects!$B$8:$B$14*Assumptions!$B$10/Projects!$D$8:$D$14*0.95)+SUMPRODUCT((Projects!$G$8:$G$14="Yes")*(65=Projects!$C$8:$C$14+Projects!$D$8:$D$14-1)*Projects!$B$8:$B$14*Assumptions!$B$10*0.05)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$8:$G$14="Yes")*(65&gt;=Projects!$C$8:$C$14)*(65&lt;Projects!$C$8:$C$14+Projects!$D$8:$D$14)*Projects!$B$8:$B$14*Assumptions!$B$12/Projects!$D$8:$D$14*0.95)+SUMPRODUCT((Projects!$G$8:$G$14="Yes")*(65=Projects!$C$8:$C$14+Projects!$D$8:$D$14-1)*Projects!$B$8:$B$14*Assumptions!$B$12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+0,Actuals!BR8)</f>
        <v/>
      </c>
      <c r="BR10" s="392">
        <f>IF(ISBLANK(Actuals!BS8),0+SUMPRODUCT((Projects!$G$8:$G$14="Yes")*(66&gt;=Projects!$C$8:$C$14)*(66&lt;Projects!$C$8:$C$14+Projects!$D$8:$D$14)*Projects!$B$8:$B$14*Assumptions!$B$10/Projects!$D$8:$D$14*0.95)+SUMPRODUCT((Projects!$G$8:$G$14="Yes")*(66=Projects!$C$8:$C$14+Projects!$D$8:$D$14-1)*Projects!$B$8:$B$14*Assumptions!$B$10*0.05)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$8:$G$14="Yes")*(66&gt;=Projects!$C$8:$C$14)*(66&lt;Projects!$C$8:$C$14+Projects!$D$8:$D$14)*Projects!$B$8:$B$14*Assumptions!$B$12/Projects!$D$8:$D$14*0.95)+SUMPRODUCT((Projects!$G$8:$G$14="Yes")*(66=Projects!$C$8:$C$14+Projects!$D$8:$D$14-1)*Projects!$B$8:$B$14*Assumptions!$B$12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+0,Actuals!BS8)</f>
        <v/>
      </c>
      <c r="BS10" s="392">
        <f>IF(ISBLANK(Actuals!BT8),0+SUMPRODUCT((Projects!$G$8:$G$14="Yes")*(67&gt;=Projects!$C$8:$C$14)*(67&lt;Projects!$C$8:$C$14+Projects!$D$8:$D$14)*Projects!$B$8:$B$14*Assumptions!$B$10/Projects!$D$8:$D$14*0.95)+SUMPRODUCT((Projects!$G$8:$G$14="Yes")*(67=Projects!$C$8:$C$14+Projects!$D$8:$D$14-1)*Projects!$B$8:$B$14*Assumptions!$B$10*0.05)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$8:$G$14="Yes")*(67&gt;=Projects!$C$8:$C$14)*(67&lt;Projects!$C$8:$C$14+Projects!$D$8:$D$14)*Projects!$B$8:$B$14*Assumptions!$B$12/Projects!$D$8:$D$14*0.95)+SUMPRODUCT((Projects!$G$8:$G$14="Yes")*(67=Projects!$C$8:$C$14+Projects!$D$8:$D$14-1)*Projects!$B$8:$B$14*Assumptions!$B$12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+0,Actuals!BT8)</f>
        <v/>
      </c>
      <c r="BT10" s="392">
        <f>IF(ISBLANK(Actuals!BU8),0+SUMPRODUCT((Projects!$G$8:$G$14="Yes")*(68&gt;=Projects!$C$8:$C$14)*(68&lt;Projects!$C$8:$C$14+Projects!$D$8:$D$14)*Projects!$B$8:$B$14*Assumptions!$B$10/Projects!$D$8:$D$14*0.95)+SUMPRODUCT((Projects!$G$8:$G$14="Yes")*(68=Projects!$C$8:$C$14+Projects!$D$8:$D$14-1)*Projects!$B$8:$B$14*Assumptions!$B$10*0.05)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$8:$G$14="Yes")*(68&gt;=Projects!$C$8:$C$14)*(68&lt;Projects!$C$8:$C$14+Projects!$D$8:$D$14)*Projects!$B$8:$B$14*Assumptions!$B$12/Projects!$D$8:$D$14*0.95)+SUMPRODUCT((Projects!$G$8:$G$14="Yes")*(68=Projects!$C$8:$C$14+Projects!$D$8:$D$14-1)*Projects!$B$8:$B$14*Assumptions!$B$12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+0,Actuals!BU8)</f>
        <v/>
      </c>
      <c r="BU10" s="392">
        <f>IF(ISBLANK(Actuals!BV8),0+SUMPRODUCT((Projects!$G$8:$G$14="Yes")*(69&gt;=Projects!$C$8:$C$14)*(69&lt;Projects!$C$8:$C$14+Projects!$D$8:$D$14)*Projects!$B$8:$B$14*Assumptions!$B$10/Projects!$D$8:$D$14*0.95)+SUMPRODUCT((Projects!$G$8:$G$14="Yes")*(69=Projects!$C$8:$C$14+Projects!$D$8:$D$14-1)*Projects!$B$8:$B$14*Assumptions!$B$10*0.05)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$8:$G$14="Yes")*(69&gt;=Projects!$C$8:$C$14)*(69&lt;Projects!$C$8:$C$14+Projects!$D$8:$D$14)*Projects!$B$8:$B$14*Assumptions!$B$12/Projects!$D$8:$D$14*0.95)+SUMPRODUCT((Projects!$G$8:$G$14="Yes")*(69=Projects!$C$8:$C$14+Projects!$D$8:$D$14-1)*Projects!$B$8:$B$14*Assumptions!$B$12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+0,Actuals!BV8)</f>
        <v/>
      </c>
      <c r="BV10" s="392">
        <f>IF(ISBLANK(Actuals!BW8),0+SUMPRODUCT((Projects!$G$8:$G$14="Yes")*(70&gt;=Projects!$C$8:$C$14)*(70&lt;Projects!$C$8:$C$14+Projects!$D$8:$D$14)*Projects!$B$8:$B$14*Assumptions!$B$10/Projects!$D$8:$D$14*0.95)+SUMPRODUCT((Projects!$G$8:$G$14="Yes")*(70=Projects!$C$8:$C$14+Projects!$D$8:$D$14-1)*Projects!$B$8:$B$14*Assumptions!$B$10*0.05)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$8:$G$14="Yes")*(70&gt;=Projects!$C$8:$C$14)*(70&lt;Projects!$C$8:$C$14+Projects!$D$8:$D$14)*Projects!$B$8:$B$14*Assumptions!$B$12/Projects!$D$8:$D$14*0.95)+SUMPRODUCT((Projects!$G$8:$G$14="Yes")*(70=Projects!$C$8:$C$14+Projects!$D$8:$D$14-1)*Projects!$B$8:$B$14*Assumptions!$B$12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+0,Actuals!BW8)</f>
        <v/>
      </c>
      <c r="BW10" s="392">
        <f>IF(ISBLANK(Actuals!BX8),0+SUMPRODUCT((Projects!$G$8:$G$14="Yes")*(71&gt;=Projects!$C$8:$C$14)*(71&lt;Projects!$C$8:$C$14+Projects!$D$8:$D$14)*Projects!$B$8:$B$14*Assumptions!$B$10/Projects!$D$8:$D$14*0.95)+SUMPRODUCT((Projects!$G$8:$G$14="Yes")*(71=Projects!$C$8:$C$14+Projects!$D$8:$D$14-1)*Projects!$B$8:$B$14*Assumptions!$B$10*0.05)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$8:$G$14="Yes")*(71&gt;=Projects!$C$8:$C$14)*(71&lt;Projects!$C$8:$C$14+Projects!$D$8:$D$14)*Projects!$B$8:$B$14*Assumptions!$B$12/Projects!$D$8:$D$14*0.95)+SUMPRODUCT((Projects!$G$8:$G$14="Yes")*(71=Projects!$C$8:$C$14+Projects!$D$8:$D$14-1)*Projects!$B$8:$B$14*Assumptions!$B$12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+0,Actuals!BX8)</f>
        <v/>
      </c>
      <c r="BX10" s="392">
        <f>IF(ISBLANK(Actuals!BY8),0+SUMPRODUCT((Projects!$G$8:$G$14="Yes")*(72&gt;=Projects!$C$8:$C$14)*(72&lt;Projects!$C$8:$C$14+Projects!$D$8:$D$14)*Projects!$B$8:$B$14*Assumptions!$B$10/Projects!$D$8:$D$14*0.95)+SUMPRODUCT((Projects!$G$8:$G$14="Yes")*(72=Projects!$C$8:$C$14+Projects!$D$8:$D$14-1)*Projects!$B$8:$B$14*Assumptions!$B$10*0.05)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$8:$G$14="Yes")*(72&gt;=Projects!$C$8:$C$14)*(72&lt;Projects!$C$8:$C$14+Projects!$D$8:$D$14)*Projects!$B$8:$B$14*Assumptions!$B$12/Projects!$D$8:$D$14*0.95)+SUMPRODUCT((Projects!$G$8:$G$14="Yes")*(72=Projects!$C$8:$C$14+Projects!$D$8:$D$14-1)*Projects!$B$8:$B$14*Assumptions!$B$12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+0,Actuals!BY8)</f>
        <v/>
      </c>
      <c r="BY10" s="392">
        <f>IF(ISBLANK(Actuals!BZ8),0+SUMPRODUCT((Projects!$G$8:$G$14="Yes")*(73&gt;=Projects!$C$8:$C$14)*(73&lt;Projects!$C$8:$C$14+Projects!$D$8:$D$14)*Projects!$B$8:$B$14*Assumptions!$B$10/Projects!$D$8:$D$14*0.95)+SUMPRODUCT((Projects!$G$8:$G$14="Yes")*(73=Projects!$C$8:$C$14+Projects!$D$8:$D$14-1)*Projects!$B$8:$B$14*Assumptions!$B$10*0.05)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$8:$G$14="Yes")*(73&gt;=Projects!$C$8:$C$14)*(73&lt;Projects!$C$8:$C$14+Projects!$D$8:$D$14)*Projects!$B$8:$B$14*Assumptions!$B$12/Projects!$D$8:$D$14*0.95)+SUMPRODUCT((Projects!$G$8:$G$14="Yes")*(73=Projects!$C$8:$C$14+Projects!$D$8:$D$14-1)*Projects!$B$8:$B$14*Assumptions!$B$12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+0,Actuals!BZ8)</f>
        <v/>
      </c>
      <c r="BZ10" s="392">
        <f>IF(ISBLANK(Actuals!CA8),0+SUMPRODUCT((Projects!$G$8:$G$14="Yes")*(74&gt;=Projects!$C$8:$C$14)*(74&lt;Projects!$C$8:$C$14+Projects!$D$8:$D$14)*Projects!$B$8:$B$14*Assumptions!$B$10/Projects!$D$8:$D$14*0.95)+SUMPRODUCT((Projects!$G$8:$G$14="Yes")*(74=Projects!$C$8:$C$14+Projects!$D$8:$D$14-1)*Projects!$B$8:$B$14*Assumptions!$B$10*0.05)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$8:$G$14="Yes")*(74&gt;=Projects!$C$8:$C$14)*(74&lt;Projects!$C$8:$C$14+Projects!$D$8:$D$14)*Projects!$B$8:$B$14*Assumptions!$B$12/Projects!$D$8:$D$14*0.95)+SUMPRODUCT((Projects!$G$8:$G$14="Yes")*(74=Projects!$C$8:$C$14+Projects!$D$8:$D$14-1)*Projects!$B$8:$B$14*Assumptions!$B$12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+0,Actuals!CA8)</f>
        <v/>
      </c>
      <c r="CA10" s="392">
        <f>IF(ISBLANK(Actuals!CB8),0+SUMPRODUCT((Projects!$G$8:$G$14="Yes")*(75&gt;=Projects!$C$8:$C$14)*(75&lt;Projects!$C$8:$C$14+Projects!$D$8:$D$14)*Projects!$B$8:$B$14*Assumptions!$B$10/Projects!$D$8:$D$14*0.95)+SUMPRODUCT((Projects!$G$8:$G$14="Yes")*(75=Projects!$C$8:$C$14+Projects!$D$8:$D$14-1)*Projects!$B$8:$B$14*Assumptions!$B$10*0.05)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$8:$G$14="Yes")*(75&gt;=Projects!$C$8:$C$14)*(75&lt;Projects!$C$8:$C$14+Projects!$D$8:$D$14)*Projects!$B$8:$B$14*Assumptions!$B$12/Projects!$D$8:$D$14*0.95)+SUMPRODUCT((Projects!$G$8:$G$14="Yes")*(75=Projects!$C$8:$C$14+Projects!$D$8:$D$14-1)*Projects!$B$8:$B$14*Assumptions!$B$12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+0,Actuals!CB8)</f>
        <v/>
      </c>
      <c r="CB10" s="392">
        <f>IF(ISBLANK(Actuals!CC8),0+SUMPRODUCT((Projects!$G$8:$G$14="Yes")*(76&gt;=Projects!$C$8:$C$14)*(76&lt;Projects!$C$8:$C$14+Projects!$D$8:$D$14)*Projects!$B$8:$B$14*Assumptions!$B$10/Projects!$D$8:$D$14*0.95)+SUMPRODUCT((Projects!$G$8:$G$14="Yes")*(76=Projects!$C$8:$C$14+Projects!$D$8:$D$14-1)*Projects!$B$8:$B$14*Assumptions!$B$10*0.05)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$8:$G$14="Yes")*(76&gt;=Projects!$C$8:$C$14)*(76&lt;Projects!$C$8:$C$14+Projects!$D$8:$D$14)*Projects!$B$8:$B$14*Assumptions!$B$12/Projects!$D$8:$D$14*0.95)+SUMPRODUCT((Projects!$G$8:$G$14="Yes")*(76=Projects!$C$8:$C$14+Projects!$D$8:$D$14-1)*Projects!$B$8:$B$14*Assumptions!$B$12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+0,Actuals!CC8)</f>
        <v/>
      </c>
      <c r="CC10" s="392">
        <f>IF(ISBLANK(Actuals!CD8),0+SUMPRODUCT((Projects!$G$8:$G$14="Yes")*(77&gt;=Projects!$C$8:$C$14)*(77&lt;Projects!$C$8:$C$14+Projects!$D$8:$D$14)*Projects!$B$8:$B$14*Assumptions!$B$10/Projects!$D$8:$D$14*0.95)+SUMPRODUCT((Projects!$G$8:$G$14="Yes")*(77=Projects!$C$8:$C$14+Projects!$D$8:$D$14-1)*Projects!$B$8:$B$14*Assumptions!$B$10*0.05)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$8:$G$14="Yes")*(77&gt;=Projects!$C$8:$C$14)*(77&lt;Projects!$C$8:$C$14+Projects!$D$8:$D$14)*Projects!$B$8:$B$14*Assumptions!$B$12/Projects!$D$8:$D$14*0.95)+SUMPRODUCT((Projects!$G$8:$G$14="Yes")*(77=Projects!$C$8:$C$14+Projects!$D$8:$D$14-1)*Projects!$B$8:$B$14*Assumptions!$B$12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+0,Actuals!CD8)</f>
        <v/>
      </c>
      <c r="CD10" s="392">
        <f>IF(ISBLANK(Actuals!CE8),0+SUMPRODUCT((Projects!$G$8:$G$14="Yes")*(78&gt;=Projects!$C$8:$C$14)*(78&lt;Projects!$C$8:$C$14+Projects!$D$8:$D$14)*Projects!$B$8:$B$14*Assumptions!$B$10/Projects!$D$8:$D$14*0.95)+SUMPRODUCT((Projects!$G$8:$G$14="Yes")*(78=Projects!$C$8:$C$14+Projects!$D$8:$D$14-1)*Projects!$B$8:$B$14*Assumptions!$B$10*0.05)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$8:$G$14="Yes")*(78&gt;=Projects!$C$8:$C$14)*(78&lt;Projects!$C$8:$C$14+Projects!$D$8:$D$14)*Projects!$B$8:$B$14*Assumptions!$B$12/Projects!$D$8:$D$14*0.95)+SUMPRODUCT((Projects!$G$8:$G$14="Yes")*(78=Projects!$C$8:$C$14+Projects!$D$8:$D$14-1)*Projects!$B$8:$B$14*Assumptions!$B$12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+0,Actuals!CE8)</f>
        <v/>
      </c>
      <c r="CE10" s="392">
        <f>IF(ISBLANK(Actuals!CF8),0+SUMPRODUCT((Projects!$G$8:$G$14="Yes")*(79&gt;=Projects!$C$8:$C$14)*(79&lt;Projects!$C$8:$C$14+Projects!$D$8:$D$14)*Projects!$B$8:$B$14*Assumptions!$B$10/Projects!$D$8:$D$14*0.95)+SUMPRODUCT((Projects!$G$8:$G$14="Yes")*(79=Projects!$C$8:$C$14+Projects!$D$8:$D$14-1)*Projects!$B$8:$B$14*Assumptions!$B$10*0.05)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$8:$G$14="Yes")*(79&gt;=Projects!$C$8:$C$14)*(79&lt;Projects!$C$8:$C$14+Projects!$D$8:$D$14)*Projects!$B$8:$B$14*Assumptions!$B$12/Projects!$D$8:$D$14*0.95)+SUMPRODUCT((Projects!$G$8:$G$14="Yes")*(79=Projects!$C$8:$C$14+Projects!$D$8:$D$14-1)*Projects!$B$8:$B$14*Assumptions!$B$12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+0,Actuals!CF8)</f>
        <v/>
      </c>
      <c r="CF10" s="392">
        <f>IF(ISBLANK(Actuals!CG8),0+SUMPRODUCT((Projects!$G$8:$G$14="Yes")*(80&gt;=Projects!$C$8:$C$14)*(80&lt;Projects!$C$8:$C$14+Projects!$D$8:$D$14)*Projects!$B$8:$B$14*Assumptions!$B$10/Projects!$D$8:$D$14*0.95)+SUMPRODUCT((Projects!$G$8:$G$14="Yes")*(80=Projects!$C$8:$C$14+Projects!$D$8:$D$14-1)*Projects!$B$8:$B$14*Assumptions!$B$10*0.05)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$8:$G$14="Yes")*(80&gt;=Projects!$C$8:$C$14)*(80&lt;Projects!$C$8:$C$14+Projects!$D$8:$D$14)*Projects!$B$8:$B$14*Assumptions!$B$12/Projects!$D$8:$D$14*0.95)+SUMPRODUCT((Projects!$G$8:$G$14="Yes")*(80=Projects!$C$8:$C$14+Projects!$D$8:$D$14-1)*Projects!$B$8:$B$14*Assumptions!$B$12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+0,Actuals!CG8)</f>
        <v/>
      </c>
      <c r="CG10" s="392">
        <f>IF(ISBLANK(Actuals!CH8),0+SUMPRODUCT((Projects!$G$8:$G$14="Yes")*(81&gt;=Projects!$C$8:$C$14)*(81&lt;Projects!$C$8:$C$14+Projects!$D$8:$D$14)*Projects!$B$8:$B$14*Assumptions!$B$10/Projects!$D$8:$D$14*0.95)+SUMPRODUCT((Projects!$G$8:$G$14="Yes")*(81=Projects!$C$8:$C$14+Projects!$D$8:$D$14-1)*Projects!$B$8:$B$14*Assumptions!$B$10*0.05)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$8:$G$14="Yes")*(81&gt;=Projects!$C$8:$C$14)*(81&lt;Projects!$C$8:$C$14+Projects!$D$8:$D$14)*Projects!$B$8:$B$14*Assumptions!$B$12/Projects!$D$8:$D$14*0.95)+SUMPRODUCT((Projects!$G$8:$G$14="Yes")*(81=Projects!$C$8:$C$14+Projects!$D$8:$D$14-1)*Projects!$B$8:$B$14*Assumptions!$B$12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+0,Actuals!CH8)</f>
        <v/>
      </c>
      <c r="CH10" s="392">
        <f>IF(ISBLANK(Actuals!CI8),0+SUMPRODUCT((Projects!$G$8:$G$14="Yes")*(82&gt;=Projects!$C$8:$C$14)*(82&lt;Projects!$C$8:$C$14+Projects!$D$8:$D$14)*Projects!$B$8:$B$14*Assumptions!$B$10/Projects!$D$8:$D$14*0.95)+SUMPRODUCT((Projects!$G$8:$G$14="Yes")*(82=Projects!$C$8:$C$14+Projects!$D$8:$D$14-1)*Projects!$B$8:$B$14*Assumptions!$B$10*0.05)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$8:$G$14="Yes")*(82&gt;=Projects!$C$8:$C$14)*(82&lt;Projects!$C$8:$C$14+Projects!$D$8:$D$14)*Projects!$B$8:$B$14*Assumptions!$B$12/Projects!$D$8:$D$14*0.95)+SUMPRODUCT((Projects!$G$8:$G$14="Yes")*(82=Projects!$C$8:$C$14+Projects!$D$8:$D$14-1)*Projects!$B$8:$B$14*Assumptions!$B$12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+0,Actuals!CI8)</f>
        <v/>
      </c>
      <c r="CI10" s="392">
        <f>IF(ISBLANK(Actuals!CJ8),0+SUMPRODUCT((Projects!$G$8:$G$14="Yes")*(83&gt;=Projects!$C$8:$C$14)*(83&lt;Projects!$C$8:$C$14+Projects!$D$8:$D$14)*Projects!$B$8:$B$14*Assumptions!$B$10/Projects!$D$8:$D$14*0.95)+SUMPRODUCT((Projects!$G$8:$G$14="Yes")*(83=Projects!$C$8:$C$14+Projects!$D$8:$D$14-1)*Projects!$B$8:$B$14*Assumptions!$B$10*0.05)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$8:$G$14="Yes")*(83&gt;=Projects!$C$8:$C$14)*(83&lt;Projects!$C$8:$C$14+Projects!$D$8:$D$14)*Projects!$B$8:$B$14*Assumptions!$B$12/Projects!$D$8:$D$14*0.95)+SUMPRODUCT((Projects!$G$8:$G$14="Yes")*(83=Projects!$C$8:$C$14+Projects!$D$8:$D$14-1)*Projects!$B$8:$B$14*Assumptions!$B$12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+0,Actuals!CJ8)</f>
        <v/>
      </c>
      <c r="CJ10" s="392">
        <f>IF(ISBLANK(Actuals!CK8),0+SUMPRODUCT((Projects!$G$8:$G$14="Yes")*(84&gt;=Projects!$C$8:$C$14)*(84&lt;Projects!$C$8:$C$14+Projects!$D$8:$D$14)*Projects!$B$8:$B$14*Assumptions!$B$10/Projects!$D$8:$D$14*0.95)+SUMPRODUCT((Projects!$G$8:$G$14="Yes")*(84=Projects!$C$8:$C$14+Projects!$D$8:$D$14-1)*Projects!$B$8:$B$14*Assumptions!$B$10*0.05)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$8:$G$14="Yes")*(84&gt;=Projects!$C$8:$C$14)*(84&lt;Projects!$C$8:$C$14+Projects!$D$8:$D$14)*Projects!$B$8:$B$14*Assumptions!$B$12/Projects!$D$8:$D$14*0.95)+SUMPRODUCT((Projects!$G$8:$G$14="Yes")*(84=Projects!$C$8:$C$14+Projects!$D$8:$D$14-1)*Projects!$B$8:$B$14*Assumptions!$B$12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+0,Actuals!CK8)</f>
        <v/>
      </c>
      <c r="CK10" s="392">
        <f>IF(ISBLANK(Actuals!CL8),0+SUMPRODUCT((Projects!$G$8:$G$14="Yes")*(85&gt;=Projects!$C$8:$C$14)*(85&lt;Projects!$C$8:$C$14+Projects!$D$8:$D$14)*Projects!$B$8:$B$14*Assumptions!$B$10/Projects!$D$8:$D$14*0.95)+SUMPRODUCT((Projects!$G$8:$G$14="Yes")*(85=Projects!$C$8:$C$14+Projects!$D$8:$D$14-1)*Projects!$B$8:$B$14*Assumptions!$B$10*0.05)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$8:$G$14="Yes")*(85&gt;=Projects!$C$8:$C$14)*(85&lt;Projects!$C$8:$C$14+Projects!$D$8:$D$14)*Projects!$B$8:$B$14*Assumptions!$B$12/Projects!$D$8:$D$14*0.95)+SUMPRODUCT((Projects!$G$8:$G$14="Yes")*(85=Projects!$C$8:$C$14+Projects!$D$8:$D$14-1)*Projects!$B$8:$B$14*Assumptions!$B$12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+0,Actuals!CL8)</f>
        <v/>
      </c>
      <c r="CL10" s="392">
        <f>IF(ISBLANK(Actuals!CM8),0+SUMPRODUCT((Projects!$G$8:$G$14="Yes")*(86&gt;=Projects!$C$8:$C$14)*(86&lt;Projects!$C$8:$C$14+Projects!$D$8:$D$14)*Projects!$B$8:$B$14*Assumptions!$B$10/Projects!$D$8:$D$14*0.95)+SUMPRODUCT((Projects!$G$8:$G$14="Yes")*(86=Projects!$C$8:$C$14+Projects!$D$8:$D$14-1)*Projects!$B$8:$B$14*Assumptions!$B$10*0.05)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$8:$G$14="Yes")*(86&gt;=Projects!$C$8:$C$14)*(86&lt;Projects!$C$8:$C$14+Projects!$D$8:$D$14)*Projects!$B$8:$B$14*Assumptions!$B$12/Projects!$D$8:$D$14*0.95)+SUMPRODUCT((Projects!$G$8:$G$14="Yes")*(86=Projects!$C$8:$C$14+Projects!$D$8:$D$14-1)*Projects!$B$8:$B$14*Assumptions!$B$12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+0,Actuals!CM8)</f>
        <v/>
      </c>
      <c r="CM10" s="392">
        <f>IF(ISBLANK(Actuals!CN8),0+SUMPRODUCT((Projects!$G$8:$G$14="Yes")*(87&gt;=Projects!$C$8:$C$14)*(87&lt;Projects!$C$8:$C$14+Projects!$D$8:$D$14)*Projects!$B$8:$B$14*Assumptions!$B$10/Projects!$D$8:$D$14*0.95)+SUMPRODUCT((Projects!$G$8:$G$14="Yes")*(87=Projects!$C$8:$C$14+Projects!$D$8:$D$14-1)*Projects!$B$8:$B$14*Assumptions!$B$10*0.05)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$8:$G$14="Yes")*(87&gt;=Projects!$C$8:$C$14)*(87&lt;Projects!$C$8:$C$14+Projects!$D$8:$D$14)*Projects!$B$8:$B$14*Assumptions!$B$12/Projects!$D$8:$D$14*0.95)+SUMPRODUCT((Projects!$G$8:$G$14="Yes")*(87=Projects!$C$8:$C$14+Projects!$D$8:$D$14-1)*Projects!$B$8:$B$14*Assumptions!$B$12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+0,Actuals!CN8)</f>
        <v/>
      </c>
      <c r="CN10" s="392">
        <f>IF(ISBLANK(Actuals!CO8),0+SUMPRODUCT((Projects!$G$8:$G$14="Yes")*(88&gt;=Projects!$C$8:$C$14)*(88&lt;Projects!$C$8:$C$14+Projects!$D$8:$D$14)*Projects!$B$8:$B$14*Assumptions!$B$10/Projects!$D$8:$D$14*0.95)+SUMPRODUCT((Projects!$G$8:$G$14="Yes")*(88=Projects!$C$8:$C$14+Projects!$D$8:$D$14-1)*Projects!$B$8:$B$14*Assumptions!$B$10*0.05)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$8:$G$14="Yes")*(88&gt;=Projects!$C$8:$C$14)*(88&lt;Projects!$C$8:$C$14+Projects!$D$8:$D$14)*Projects!$B$8:$B$14*Assumptions!$B$12/Projects!$D$8:$D$14*0.95)+SUMPRODUCT((Projects!$G$8:$G$14="Yes")*(88=Projects!$C$8:$C$14+Projects!$D$8:$D$14-1)*Projects!$B$8:$B$14*Assumptions!$B$12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+0,Actuals!CO8)</f>
        <v/>
      </c>
      <c r="CO10" s="392">
        <f>IF(ISBLANK(Actuals!CP8),0+SUMPRODUCT((Projects!$G$8:$G$14="Yes")*(89&gt;=Projects!$C$8:$C$14)*(89&lt;Projects!$C$8:$C$14+Projects!$D$8:$D$14)*Projects!$B$8:$B$14*Assumptions!$B$10/Projects!$D$8:$D$14*0.95)+SUMPRODUCT((Projects!$G$8:$G$14="Yes")*(89=Projects!$C$8:$C$14+Projects!$D$8:$D$14-1)*Projects!$B$8:$B$14*Assumptions!$B$10*0.05)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$8:$G$14="Yes")*(89&gt;=Projects!$C$8:$C$14)*(89&lt;Projects!$C$8:$C$14+Projects!$D$8:$D$14)*Projects!$B$8:$B$14*Assumptions!$B$12/Projects!$D$8:$D$14*0.95)+SUMPRODUCT((Projects!$G$8:$G$14="Yes")*(89=Projects!$C$8:$C$14+Projects!$D$8:$D$14-1)*Projects!$B$8:$B$14*Assumptions!$B$12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+0,Actuals!CP8)</f>
        <v/>
      </c>
      <c r="CP10" s="392">
        <f>IF(ISBLANK(Actuals!CQ8),0+SUMPRODUCT((Projects!$G$8:$G$14="Yes")*(90&gt;=Projects!$C$8:$C$14)*(90&lt;Projects!$C$8:$C$14+Projects!$D$8:$D$14)*Projects!$B$8:$B$14*Assumptions!$B$10/Projects!$D$8:$D$14*0.95)+SUMPRODUCT((Projects!$G$8:$G$14="Yes")*(90=Projects!$C$8:$C$14+Projects!$D$8:$D$14-1)*Projects!$B$8:$B$14*Assumptions!$B$10*0.05)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$8:$G$14="Yes")*(90&gt;=Projects!$C$8:$C$14)*(90&lt;Projects!$C$8:$C$14+Projects!$D$8:$D$14)*Projects!$B$8:$B$14*Assumptions!$B$12/Projects!$D$8:$D$14*0.95)+SUMPRODUCT((Projects!$G$8:$G$14="Yes")*(90=Projects!$C$8:$C$14+Projects!$D$8:$D$14-1)*Projects!$B$8:$B$14*Assumptions!$B$12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+0,Actuals!CQ8)</f>
        <v/>
      </c>
      <c r="CQ10" s="392">
        <f>IF(ISBLANK(Actuals!CR8),0+SUMPRODUCT((Projects!$G$8:$G$14="Yes")*(91&gt;=Projects!$C$8:$C$14)*(91&lt;Projects!$C$8:$C$14+Projects!$D$8:$D$14)*Projects!$B$8:$B$14*Assumptions!$B$10/Projects!$D$8:$D$14*0.95)+SUMPRODUCT((Projects!$G$8:$G$14="Yes")*(91=Projects!$C$8:$C$14+Projects!$D$8:$D$14-1)*Projects!$B$8:$B$14*Assumptions!$B$10*0.05)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$8:$G$14="Yes")*(91&gt;=Projects!$C$8:$C$14)*(91&lt;Projects!$C$8:$C$14+Projects!$D$8:$D$14)*Projects!$B$8:$B$14*Assumptions!$B$12/Projects!$D$8:$D$14*0.95)+SUMPRODUCT((Projects!$G$8:$G$14="Yes")*(91=Projects!$C$8:$C$14+Projects!$D$8:$D$14-1)*Projects!$B$8:$B$14*Assumptions!$B$12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+0,Actuals!CR8)</f>
        <v/>
      </c>
      <c r="CR10" s="392">
        <f>IF(ISBLANK(Actuals!CS8),0+SUMPRODUCT((Projects!$G$8:$G$14="Yes")*(92&gt;=Projects!$C$8:$C$14)*(92&lt;Projects!$C$8:$C$14+Projects!$D$8:$D$14)*Projects!$B$8:$B$14*Assumptions!$B$10/Projects!$D$8:$D$14*0.95)+SUMPRODUCT((Projects!$G$8:$G$14="Yes")*(92=Projects!$C$8:$C$14+Projects!$D$8:$D$14-1)*Projects!$B$8:$B$14*Assumptions!$B$10*0.05)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$8:$G$14="Yes")*(92&gt;=Projects!$C$8:$C$14)*(92&lt;Projects!$C$8:$C$14+Projects!$D$8:$D$14)*Projects!$B$8:$B$14*Assumptions!$B$12/Projects!$D$8:$D$14*0.95)+SUMPRODUCT((Projects!$G$8:$G$14="Yes")*(92=Projects!$C$8:$C$14+Projects!$D$8:$D$14-1)*Projects!$B$8:$B$14*Assumptions!$B$12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+0,Actuals!CS8)</f>
        <v/>
      </c>
      <c r="CS10" s="392">
        <f>IF(ISBLANK(Actuals!CT8),0+SUMPRODUCT((Projects!$G$8:$G$14="Yes")*(93&gt;=Projects!$C$8:$C$14)*(93&lt;Projects!$C$8:$C$14+Projects!$D$8:$D$14)*Projects!$B$8:$B$14*Assumptions!$B$10/Projects!$D$8:$D$14*0.95)+SUMPRODUCT((Projects!$G$8:$G$14="Yes")*(93=Projects!$C$8:$C$14+Projects!$D$8:$D$14-1)*Projects!$B$8:$B$14*Assumptions!$B$10*0.05)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$8:$G$14="Yes")*(93&gt;=Projects!$C$8:$C$14)*(93&lt;Projects!$C$8:$C$14+Projects!$D$8:$D$14)*Projects!$B$8:$B$14*Assumptions!$B$12/Projects!$D$8:$D$14*0.95)+SUMPRODUCT((Projects!$G$8:$G$14="Yes")*(93=Projects!$C$8:$C$14+Projects!$D$8:$D$14-1)*Projects!$B$8:$B$14*Assumptions!$B$12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+0,Actuals!CT8)</f>
        <v/>
      </c>
      <c r="CT10" s="392">
        <f>IF(ISBLANK(Actuals!CU8),0+SUMPRODUCT((Projects!$G$8:$G$14="Yes")*(94&gt;=Projects!$C$8:$C$14)*(94&lt;Projects!$C$8:$C$14+Projects!$D$8:$D$14)*Projects!$B$8:$B$14*Assumptions!$B$10/Projects!$D$8:$D$14*0.95)+SUMPRODUCT((Projects!$G$8:$G$14="Yes")*(94=Projects!$C$8:$C$14+Projects!$D$8:$D$14-1)*Projects!$B$8:$B$14*Assumptions!$B$10*0.05)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$8:$G$14="Yes")*(94&gt;=Projects!$C$8:$C$14)*(94&lt;Projects!$C$8:$C$14+Projects!$D$8:$D$14)*Projects!$B$8:$B$14*Assumptions!$B$12/Projects!$D$8:$D$14*0.95)+SUMPRODUCT((Projects!$G$8:$G$14="Yes")*(94=Projects!$C$8:$C$14+Projects!$D$8:$D$14-1)*Projects!$B$8:$B$14*Assumptions!$B$12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+0,Actuals!CU8)</f>
        <v/>
      </c>
      <c r="CU10" s="392">
        <f>IF(ISBLANK(Actuals!CV8),0+SUMPRODUCT((Projects!$G$8:$G$14="Yes")*(95&gt;=Projects!$C$8:$C$14)*(95&lt;Projects!$C$8:$C$14+Projects!$D$8:$D$14)*Projects!$B$8:$B$14*Assumptions!$B$10/Projects!$D$8:$D$14*0.95)+SUMPRODUCT((Projects!$G$8:$G$14="Yes")*(95=Projects!$C$8:$C$14+Projects!$D$8:$D$14-1)*Projects!$B$8:$B$14*Assumptions!$B$10*0.05)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$8:$G$14="Yes")*(95&gt;=Projects!$C$8:$C$14)*(95&lt;Projects!$C$8:$C$14+Projects!$D$8:$D$14)*Projects!$B$8:$B$14*Assumptions!$B$12/Projects!$D$8:$D$14*0.95)+SUMPRODUCT((Projects!$G$8:$G$14="Yes")*(95=Projects!$C$8:$C$14+Projects!$D$8:$D$14-1)*Projects!$B$8:$B$14*Assumptions!$B$12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+0,Actuals!CV8)</f>
        <v/>
      </c>
      <c r="CV10" s="392">
        <f>IF(ISBLANK(Actuals!CW8),0+SUMPRODUCT((Projects!$G$8:$G$14="Yes")*(96&gt;=Projects!$C$8:$C$14)*(96&lt;Projects!$C$8:$C$14+Projects!$D$8:$D$14)*Projects!$B$8:$B$14*Assumptions!$B$10/Projects!$D$8:$D$14*0.95)+SUMPRODUCT((Projects!$G$8:$G$14="Yes")*(96=Projects!$C$8:$C$14+Projects!$D$8:$D$14-1)*Projects!$B$8:$B$14*Assumptions!$B$10*0.05)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$8:$G$14="Yes")*(96&gt;=Projects!$C$8:$C$14)*(96&lt;Projects!$C$8:$C$14+Projects!$D$8:$D$14)*Projects!$B$8:$B$14*Assumptions!$B$12/Projects!$D$8:$D$14*0.95)+SUMPRODUCT((Projects!$G$8:$G$14="Yes")*(96=Projects!$C$8:$C$14+Projects!$D$8:$D$14-1)*Projects!$B$8:$B$14*Assumptions!$B$12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+0,Actuals!CW8)</f>
        <v/>
      </c>
      <c r="CW10" s="392">
        <f>IF(ISBLANK(Actuals!CX8),0+SUMPRODUCT((Projects!$G$8:$G$14="Yes")*(97&gt;=Projects!$C$8:$C$14)*(97&lt;Projects!$C$8:$C$14+Projects!$D$8:$D$14)*Projects!$B$8:$B$14*Assumptions!$B$10/Projects!$D$8:$D$14*0.95)+SUMPRODUCT((Projects!$G$8:$G$14="Yes")*(97=Projects!$C$8:$C$14+Projects!$D$8:$D$14-1)*Projects!$B$8:$B$14*Assumptions!$B$10*0.05)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$8:$G$14="Yes")*(97&gt;=Projects!$C$8:$C$14)*(97&lt;Projects!$C$8:$C$14+Projects!$D$8:$D$14)*Projects!$B$8:$B$14*Assumptions!$B$12/Projects!$D$8:$D$14*0.95)+SUMPRODUCT((Projects!$G$8:$G$14="Yes")*(97=Projects!$C$8:$C$14+Projects!$D$8:$D$14-1)*Projects!$B$8:$B$14*Assumptions!$B$12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+0,Actuals!CX8)</f>
        <v/>
      </c>
      <c r="CX10" s="392">
        <f>IF(ISBLANK(Actuals!CY8),0+SUMPRODUCT((Projects!$G$8:$G$14="Yes")*(98&gt;=Projects!$C$8:$C$14)*(98&lt;Projects!$C$8:$C$14+Projects!$D$8:$D$14)*Projects!$B$8:$B$14*Assumptions!$B$10/Projects!$D$8:$D$14*0.95)+SUMPRODUCT((Projects!$G$8:$G$14="Yes")*(98=Projects!$C$8:$C$14+Projects!$D$8:$D$14-1)*Projects!$B$8:$B$14*Assumptions!$B$10*0.05)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$8:$G$14="Yes")*(98&gt;=Projects!$C$8:$C$14)*(98&lt;Projects!$C$8:$C$14+Projects!$D$8:$D$14)*Projects!$B$8:$B$14*Assumptions!$B$12/Projects!$D$8:$D$14*0.95)+SUMPRODUCT((Projects!$G$8:$G$14="Yes")*(98=Projects!$C$8:$C$14+Projects!$D$8:$D$14-1)*Projects!$B$8:$B$14*Assumptions!$B$12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+0,Actuals!CY8)</f>
        <v/>
      </c>
      <c r="CY10" s="392">
        <f>IF(ISBLANK(Actuals!CZ8),0+SUMPRODUCT((Projects!$G$8:$G$14="Yes")*(99&gt;=Projects!$C$8:$C$14)*(99&lt;Projects!$C$8:$C$14+Projects!$D$8:$D$14)*Projects!$B$8:$B$14*Assumptions!$B$10/Projects!$D$8:$D$14*0.95)+SUMPRODUCT((Projects!$G$8:$G$14="Yes")*(99=Projects!$C$8:$C$14+Projects!$D$8:$D$14-1)*Projects!$B$8:$B$14*Assumptions!$B$10*0.05)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$8:$G$14="Yes")*(99&gt;=Projects!$C$8:$C$14)*(99&lt;Projects!$C$8:$C$14+Projects!$D$8:$D$14)*Projects!$B$8:$B$14*Assumptions!$B$12/Projects!$D$8:$D$14*0.95)+SUMPRODUCT((Projects!$G$8:$G$14="Yes")*(99=Projects!$C$8:$C$14+Projects!$D$8:$D$14-1)*Projects!$B$8:$B$14*Assumptions!$B$12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+0,Actuals!CZ8)</f>
        <v/>
      </c>
      <c r="CZ10" s="392">
        <f>IF(ISBLANK(Actuals!DA8),0+SUMPRODUCT((Projects!$G$8:$G$14="Yes")*(100&gt;=Projects!$C$8:$C$14)*(100&lt;Projects!$C$8:$C$14+Projects!$D$8:$D$14)*Projects!$B$8:$B$14*Assumptions!$B$10/Projects!$D$8:$D$14*0.95)+SUMPRODUCT((Projects!$G$8:$G$14="Yes")*(100=Projects!$C$8:$C$14+Projects!$D$8:$D$14-1)*Projects!$B$8:$B$14*Assumptions!$B$10*0.05)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$8:$G$14="Yes")*(100&gt;=Projects!$C$8:$C$14)*(100&lt;Projects!$C$8:$C$14+Projects!$D$8:$D$14)*Projects!$B$8:$B$14*Assumptions!$B$12/Projects!$D$8:$D$14*0.95)+SUMPRODUCT((Projects!$G$8:$G$14="Yes")*(100=Projects!$C$8:$C$14+Projects!$D$8:$D$14-1)*Projects!$B$8:$B$14*Assumptions!$B$12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+0,Actuals!DA8)</f>
        <v/>
      </c>
      <c r="DA10" s="392">
        <f>IF(ISBLANK(Actuals!DB8),0+SUMPRODUCT((Projects!$G$8:$G$14="Yes")*(101&gt;=Projects!$C$8:$C$14)*(101&lt;Projects!$C$8:$C$14+Projects!$D$8:$D$14)*Projects!$B$8:$B$14*Assumptions!$B$10/Projects!$D$8:$D$14*0.95)+SUMPRODUCT((Projects!$G$8:$G$14="Yes")*(101=Projects!$C$8:$C$14+Projects!$D$8:$D$14-1)*Projects!$B$8:$B$14*Assumptions!$B$10*0.05)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$8:$G$14="Yes")*(101&gt;=Projects!$C$8:$C$14)*(101&lt;Projects!$C$8:$C$14+Projects!$D$8:$D$14)*Projects!$B$8:$B$14*Assumptions!$B$12/Projects!$D$8:$D$14*0.95)+SUMPRODUCT((Projects!$G$8:$G$14="Yes")*(101=Projects!$C$8:$C$14+Projects!$D$8:$D$14-1)*Projects!$B$8:$B$14*Assumptions!$B$12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+0,Actuals!DB8)</f>
        <v/>
      </c>
      <c r="DB10" s="392">
        <f>IF(ISBLANK(Actuals!DC8),0+SUMPRODUCT((Projects!$G$8:$G$14="Yes")*(102&gt;=Projects!$C$8:$C$14)*(102&lt;Projects!$C$8:$C$14+Projects!$D$8:$D$14)*Projects!$B$8:$B$14*Assumptions!$B$10/Projects!$D$8:$D$14*0.95)+SUMPRODUCT((Projects!$G$8:$G$14="Yes")*(102=Projects!$C$8:$C$14+Projects!$D$8:$D$14-1)*Projects!$B$8:$B$14*Assumptions!$B$10*0.05)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$8:$G$14="Yes")*(102&gt;=Projects!$C$8:$C$14)*(102&lt;Projects!$C$8:$C$14+Projects!$D$8:$D$14)*Projects!$B$8:$B$14*Assumptions!$B$12/Projects!$D$8:$D$14*0.95)+SUMPRODUCT((Projects!$G$8:$G$14="Yes")*(102=Projects!$C$8:$C$14+Projects!$D$8:$D$14-1)*Projects!$B$8:$B$14*Assumptions!$B$12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+0,Actuals!DC8)</f>
        <v/>
      </c>
      <c r="DC10" s="392">
        <f>IF(ISBLANK(Actuals!DD8),0+SUMPRODUCT((Projects!$G$8:$G$14="Yes")*(103&gt;=Projects!$C$8:$C$14)*(103&lt;Projects!$C$8:$C$14+Projects!$D$8:$D$14)*Projects!$B$8:$B$14*Assumptions!$B$10/Projects!$D$8:$D$14*0.95)+SUMPRODUCT((Projects!$G$8:$G$14="Yes")*(103=Projects!$C$8:$C$14+Projects!$D$8:$D$14-1)*Projects!$B$8:$B$14*Assumptions!$B$10*0.05)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$8:$G$14="Yes")*(103&gt;=Projects!$C$8:$C$14)*(103&lt;Projects!$C$8:$C$14+Projects!$D$8:$D$14)*Projects!$B$8:$B$14*Assumptions!$B$12/Projects!$D$8:$D$14*0.95)+SUMPRODUCT((Projects!$G$8:$G$14="Yes")*(103=Projects!$C$8:$C$14+Projects!$D$8:$D$14-1)*Projects!$B$8:$B$14*Assumptions!$B$12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+0,Actuals!DD8)</f>
        <v/>
      </c>
      <c r="DD10" s="392">
        <f>IF(ISBLANK(Actuals!DE8),0+SUMPRODUCT((Projects!$G$8:$G$14="Yes")*(104&gt;=Projects!$C$8:$C$14)*(104&lt;Projects!$C$8:$C$14+Projects!$D$8:$D$14)*Projects!$B$8:$B$14*Assumptions!$B$10/Projects!$D$8:$D$14*0.95)+SUMPRODUCT((Projects!$G$8:$G$14="Yes")*(104=Projects!$C$8:$C$14+Projects!$D$8:$D$14-1)*Projects!$B$8:$B$14*Assumptions!$B$10*0.05)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$8:$G$14="Yes")*(104&gt;=Projects!$C$8:$C$14)*(104&lt;Projects!$C$8:$C$14+Projects!$D$8:$D$14)*Projects!$B$8:$B$14*Assumptions!$B$12/Projects!$D$8:$D$14*0.95)+SUMPRODUCT((Projects!$G$8:$G$14="Yes")*(104=Projects!$C$8:$C$14+Projects!$D$8:$D$14-1)*Projects!$B$8:$B$14*Assumptions!$B$12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+0,Actuals!DE8)</f>
        <v/>
      </c>
      <c r="DE10" s="392">
        <f>IF(ISBLANK(Actuals!DF8),0+SUMPRODUCT((Projects!$G$8:$G$14="Yes")*(105&gt;=Projects!$C$8:$C$14)*(105&lt;Projects!$C$8:$C$14+Projects!$D$8:$D$14)*Projects!$B$8:$B$14*Assumptions!$B$10/Projects!$D$8:$D$14*0.95)+SUMPRODUCT((Projects!$G$8:$G$14="Yes")*(105=Projects!$C$8:$C$14+Projects!$D$8:$D$14-1)*Projects!$B$8:$B$14*Assumptions!$B$10*0.05)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$8:$G$14="Yes")*(105&gt;=Projects!$C$8:$C$14)*(105&lt;Projects!$C$8:$C$14+Projects!$D$8:$D$14)*Projects!$B$8:$B$14*Assumptions!$B$12/Projects!$D$8:$D$14*0.95)+SUMPRODUCT((Projects!$G$8:$G$14="Yes")*(105=Projects!$C$8:$C$14+Projects!$D$8:$D$14-1)*Projects!$B$8:$B$14*Assumptions!$B$12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+0,Actuals!DF8)</f>
        <v/>
      </c>
    </row>
    <row r="11" ht="15" customFormat="1" customHeight="1" s="380">
      <c r="A11" s="397" t="inlineStr">
        <is>
          <t>GC Fee Income</t>
        </is>
      </c>
      <c r="B11" s="392">
        <f>IF(ISBLANK(Actuals!C10),0,Actuals!C10)</f>
        <v/>
      </c>
      <c r="C11" s="392">
        <f>IF(ISBLANK(Actuals!D10),0,Actuals!D10)</f>
        <v/>
      </c>
      <c r="D11" s="392">
        <f>IF(ISBLANK(Actuals!E10),0,Actuals!E10)</f>
        <v/>
      </c>
      <c r="E11" s="392">
        <f>IF(ISBLANK(Actuals!F10),SUMPRODUCT((Projects!$G$2:$G$14="Yes")*(1&gt;=Projects!$C$2:$C$14)*(1&lt;Projects!$C$2:$C$14+Projects!$D$2:$D$14)*Projects!$B$2:$B$14*Assumptions!$B$11/Projects!$D$2:$D$14*0.95)+SUMPRODUCT((Projects!$G$2:$G$14="Yes")*(1=Projects!$C$2:$C$14+Projects!$D$2:$D$14-1)*Projects!$B$2:$B$14*Assumptions!$B$11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,Actuals!F10)</f>
        <v/>
      </c>
      <c r="F11" s="392">
        <f>IF(ISBLANK(Actuals!G10),291059.35*Curves!C$6/SUM(Curves!$C$6:$I$6)+890698.1*Curves!C$7/SUM(Curves!$C$7:$Q$7)+581071.09*Curves!C$8/SUM(Curves!$C$8:$P$8)+708999.51*Curves!C$9/SUM(Curves!$C$9:$P$9)+277408.54*Curves!C$4/SUM(Curves!$C$4:$T$4)+SUMPRODUCT((Projects!$G$8:$G$14="Yes")*(2&gt;=Projects!$C$8:$C$14)*(2&lt;Projects!$C$8:$C$14+Projects!$D$8:$D$14)*Projects!$B$8:$B$14*Assumptions!$B$11/Projects!$D$8:$D$14*0.95)+SUMPRODUCT((Projects!$G$8:$G$14="Yes")*(2=Projects!$C$8:$C$14+Projects!$D$8:$D$14-1)*Projects!$B$8:$B$14*Assumptions!$B$11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,Actuals!G10)</f>
        <v/>
      </c>
      <c r="G11" s="392">
        <f>IF(ISBLANK(Actuals!H10),210070.22*Curves!D$6/SUM(Curves!$E$6:$I$6)+735478.88*Curves!D$7/SUM(Curves!$E$7:$Q$7)+443593.08*Curves!D$8/SUM(Curves!$E$8:$P$8)+595501.12*Curves!D$9/SUM(Curves!$E$9:$P$9)+226689.92*Curves!D$4/SUM(Curves!$E$4:$T$4)+SUMPRODUCT((Projects!$G$8:$G$14="Yes")*(3&gt;=Projects!$C$8:$C$14)*(3&lt;Projects!$C$8:$C$14+Projects!$D$8:$D$14)*Projects!$B$8:$B$14*Assumptions!$B$11/Projects!$D$8:$D$14*0.95)+SUMPRODUCT((Projects!$G$8:$G$14="Yes")*(3=Projects!$C$8:$C$14+Projects!$D$8:$D$14-1)*Projects!$B$8:$B$14*Assumptions!$B$11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,Actuals!H10)</f>
        <v/>
      </c>
      <c r="H11" s="392">
        <f>IF(ISBLANK(Actuals!I10),210070.22*Curves!E$6/SUM(Curves!$E$6:$I$6)+735478.88*Curves!E$7/SUM(Curves!$E$7:$Q$7)+443593.08*Curves!E$8/SUM(Curves!$E$8:$P$8)+595501.12*Curves!E$9/SUM(Curves!$E$9:$P$9)+226689.92*Curves!E$4/SUM(Curves!$E$4:$T$4)+SUMPRODUCT((Projects!$G$8:$G$14="Yes")*(4&gt;=Projects!$C$8:$C$14)*(4&lt;Projects!$C$8:$C$14+Projects!$D$8:$D$14)*Projects!$B$8:$B$14*Assumptions!$B$11/Projects!$D$8:$D$14*0.95)+SUMPRODUCT((Projects!$G$8:$G$14="Yes")*(4=Projects!$C$8:$C$14+Projects!$D$8:$D$14-1)*Projects!$B$8:$B$14*Assumptions!$B$11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,Actuals!I10)</f>
        <v/>
      </c>
      <c r="I11" s="392">
        <f>IF(ISBLANK(Actuals!J10),210070.22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$11/Projects!$D$8:$D$14*0.95)+SUMPRODUCT((Projects!$G$8:$G$14="Yes")*(5=Projects!$C$8:$C$14+Projects!$D$8:$D$14-1)*Projects!$B$8:$B$14*Assumptions!$B$11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+147961.15+18690.7,Actuals!J10)</f>
        <v/>
      </c>
      <c r="J11" s="392">
        <f>IF(ISBLANK(Actuals!K10),210070.22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$11/Projects!$D$8:$D$14*0.95)+SUMPRODUCT((Projects!$G$8:$G$14="Yes")*(6=Projects!$C$8:$C$14+Projects!$D$8:$D$14-1)*Projects!$B$8:$B$14*Assumptions!$B$11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+162842.07+44385.79,Actuals!K10)</f>
        <v/>
      </c>
      <c r="K11" s="392">
        <f>IF(ISBLANK(Actuals!L10),210070.22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$11/Projects!$D$8:$D$14*0.95)+SUMPRODUCT((Projects!$G$8:$G$14="Yes")*(7=Projects!$C$8:$C$14+Projects!$D$8:$D$14-1)*Projects!$B$8:$B$14*Assumptions!$B$11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+170438.71+62344.53,Actuals!L10)</f>
        <v/>
      </c>
      <c r="L11" s="392">
        <f>IF(ISBLANK(Actuals!M10),210070.22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$11/Projects!$D$8:$D$14*0.95)+SUMPRODUCT((Projects!$G$8:$G$14="Yes")*(8=Projects!$C$8:$C$14+Projects!$D$8:$D$14-1)*Projects!$B$8:$B$14*Assumptions!$B$11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+140981.69+40527.07,Actuals!M10)</f>
        <v/>
      </c>
      <c r="M11" s="392">
        <f>IF(ISBLANK(Actuals!N10)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$11/Projects!$D$8:$D$14*0.95)+SUMPRODUCT((Projects!$G$8:$G$14="Yes")*(9=Projects!$C$8:$C$14+Projects!$D$8:$D$14-1)*Projects!$B$8:$B$14*Assumptions!$B$11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+151633.52+30372.93,Actuals!N10)</f>
        <v/>
      </c>
      <c r="N11" s="392">
        <f>IF(ISBLANK(Actuals!O10)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$11/Projects!$D$8:$D$14*0.95)+SUMPRODUCT((Projects!$G$8:$G$14="Yes")*(10=Projects!$C$8:$C$14+Projects!$D$8:$D$14-1)*Projects!$B$8:$B$14*Assumptions!$B$11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+160688.12+38694.01,Actuals!O10)</f>
        <v/>
      </c>
      <c r="O11" s="392">
        <f>IF(ISBLANK(Actuals!P10)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$11/Projects!$D$8:$D$14*0.95)+SUMPRODUCT((Projects!$G$8:$G$14="Yes")*(11=Projects!$C$8:$C$14+Projects!$D$8:$D$14-1)*Projects!$B$8:$B$14*Assumptions!$B$11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+139809.39+31302.58,Actuals!P10)</f>
        <v/>
      </c>
      <c r="P11" s="392">
        <f>IF(ISBLANK(Actuals!Q10)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$11/Projects!$D$8:$D$14*0.95)+SUMPRODUCT((Projects!$G$8:$G$14="Yes")*(12=Projects!$C$8:$C$14+Projects!$D$8:$D$14-1)*Projects!$B$8:$B$14*Assumptions!$B$11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+142239.09+37767.2,Actuals!Q10)</f>
        <v/>
      </c>
      <c r="Q11" s="392">
        <f>IF(ISBLANK(Actuals!R10)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$11/Projects!$D$8:$D$14*0.95)+SUMPRODUCT((Projects!$G$8:$G$14="Yes")*(13=Projects!$C$8:$C$14+Projects!$D$8:$D$14-1)*Projects!$B$8:$B$14*Assumptions!$B$11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+125821.33+31897.91,Actuals!R10)</f>
        <v/>
      </c>
      <c r="R11" s="392">
        <f>IF(ISBLANK(Actuals!S10)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$11/Projects!$D$8:$D$14*0.95)+SUMPRODUCT((Projects!$G$8:$G$14="Yes")*(14=Projects!$C$8:$C$14+Projects!$D$8:$D$14-1)*Projects!$B$8:$B$14*Assumptions!$B$11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+98095.58+39202.69,Actuals!S10)</f>
        <v/>
      </c>
      <c r="S11" s="392">
        <f>IF(ISBLANK(Actuals!T10)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$11/Projects!$D$8:$D$14*0.95)+SUMPRODUCT((Projects!$G$8:$G$14="Yes")*(15=Projects!$C$8:$C$14+Projects!$D$8:$D$14-1)*Projects!$B$8:$B$14*Assumptions!$B$11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+104710.45+36845.99,Actuals!T10)</f>
        <v/>
      </c>
      <c r="T11" s="392">
        <f>IF(ISBLANK(Actuals!U10),0*Curves!Q$7/SUM(Curves!$E$7:$Q$7)+0*Curves!Q$4/SUM(Curves!$E$4:$T$4)+SUMPRODUCT((Projects!$G$8:$G$14="Yes")*(16&gt;=Projects!$C$8:$C$14)*(16&lt;Projects!$C$8:$C$14+Projects!$D$8:$D$14)*Projects!$B$8:$B$14*Assumptions!$B$11/Projects!$D$8:$D$14*0.95)+SUMPRODUCT((Projects!$G$8:$G$14="Yes")*(16=Projects!$C$8:$C$14+Projects!$D$8:$D$14-1)*Projects!$B$8:$B$14*Assumptions!$B$11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+115950.51+66090.19,Actuals!U10)</f>
        <v/>
      </c>
      <c r="U11" s="392">
        <f>IF(ISBLANK(Actuals!V10),0*Curves!R$4/SUM(Curves!$E$4:$T$4)+SUMPRODUCT((Projects!$G$8:$G$14="Yes")*(17&gt;=Projects!$C$8:$C$14)*(17&lt;Projects!$C$8:$C$14+Projects!$D$8:$D$14)*Projects!$B$8:$B$14*Assumptions!$B$11/Projects!$D$8:$D$14*0.95)+SUMPRODUCT((Projects!$G$8:$G$14="Yes")*(17=Projects!$C$8:$C$14+Projects!$D$8:$D$14-1)*Projects!$B$8:$B$14*Assumptions!$B$11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+93352.59+42234.83,Actuals!V10)</f>
        <v/>
      </c>
      <c r="V11" s="392">
        <f>IF(ISBLANK(Actuals!W10),0*Curves!S$4/SUM(Curves!$E$4:$T$4)+SUMPRODUCT((Projects!$G$8:$G$14="Yes")*(18&gt;=Projects!$C$8:$C$14)*(18&lt;Projects!$C$8:$C$14+Projects!$D$8:$D$14)*Projects!$B$8:$B$14*Assumptions!$B$11/Projects!$D$8:$D$14*0.95)+SUMPRODUCT((Projects!$G$8:$G$14="Yes")*(18=Projects!$C$8:$C$14+Projects!$D$8:$D$14-1)*Projects!$B$8:$B$14*Assumptions!$B$11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+40060.13+125947.35,Actuals!W10)</f>
        <v/>
      </c>
      <c r="W11" s="392">
        <f>IF(ISBLANK(Actuals!X10),0*Curves!T$4/SUM(Curves!$E$4:$T$4)+SUMPRODUCT((Projects!$G$8:$G$14="Yes")*(19&gt;=Projects!$C$8:$C$14)*(19&lt;Projects!$C$8:$C$14+Projects!$D$8:$D$14)*Projects!$B$8:$B$14*Assumptions!$B$11/Projects!$D$8:$D$14*0.95)+SUMPRODUCT((Projects!$G$8:$G$14="Yes")*(19=Projects!$C$8:$C$14+Projects!$D$8:$D$14-1)*Projects!$B$8:$B$14*Assumptions!$B$11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+9027.54+79562.13,Actuals!X10)</f>
        <v/>
      </c>
      <c r="X11" s="392">
        <f>IF(ISBLANK(Actuals!Y10),0+SUMPRODUCT((Projects!$G$8:$G$14="Yes")*(20&gt;=Projects!$C$8:$C$14)*(20&lt;Projects!$C$8:$C$14+Projects!$D$8:$D$14)*Projects!$B$8:$B$14*Assumptions!$B$11/Projects!$D$8:$D$14*0.95)+SUMPRODUCT((Projects!$G$8:$G$14="Yes")*(20=Projects!$C$8:$C$14+Projects!$D$8:$D$14-1)*Projects!$B$8:$B$14*Assumptions!$B$11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+0+163424.9,Actuals!Y10)</f>
        <v/>
      </c>
      <c r="Y11" s="392">
        <f>IF(ISBLANK(Actuals!Z10),0+SUMPRODUCT((Projects!$G$8:$G$14="Yes")*(21&gt;=Projects!$C$8:$C$14)*(21&lt;Projects!$C$8:$C$14+Projects!$D$8:$D$14)*Projects!$B$8:$B$14*Assumptions!$B$11/Projects!$D$8:$D$14*0.95)+SUMPRODUCT((Projects!$G$8:$G$14="Yes")*(21=Projects!$C$8:$C$14+Projects!$D$8:$D$14-1)*Projects!$B$8:$B$14*Assumptions!$B$11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+0+94098.83,Actuals!Z10)</f>
        <v/>
      </c>
      <c r="Z11" s="392">
        <f>IF(ISBLANK(Actuals!AA10),0+SUMPRODUCT((Projects!$G$8:$G$14="Yes")*(22&gt;=Projects!$C$8:$C$14)*(22&lt;Projects!$C$8:$C$14+Projects!$D$8:$D$14)*Projects!$B$8:$B$14*Assumptions!$B$11/Projects!$D$8:$D$14*0.95)+SUMPRODUCT((Projects!$G$8:$G$14="Yes")*(22=Projects!$C$8:$C$14+Projects!$D$8:$D$14-1)*Projects!$B$8:$B$14*Assumptions!$B$11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+0+148247.2,Actuals!AA10)</f>
        <v/>
      </c>
      <c r="AA11" s="392">
        <f>IF(ISBLANK(Actuals!AB10),0+SUMPRODUCT((Projects!$G$8:$G$14="Yes")*(23&gt;=Projects!$C$8:$C$14)*(23&lt;Projects!$C$8:$C$14+Projects!$D$8:$D$14)*Projects!$B$8:$B$14*Assumptions!$B$11/Projects!$D$8:$D$14*0.95)+SUMPRODUCT((Projects!$G$8:$G$14="Yes")*(23=Projects!$C$8:$C$14+Projects!$D$8:$D$14-1)*Projects!$B$8:$B$14*Assumptions!$B$11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+0+123791.33,Actuals!AB10)</f>
        <v/>
      </c>
      <c r="AB11" s="392">
        <f>IF(ISBLANK(Actuals!AC10),0+SUMPRODUCT((Projects!$G$8:$G$14="Yes")*(24&gt;=Projects!$C$8:$C$14)*(24&lt;Projects!$C$8:$C$14+Projects!$D$8:$D$14)*Projects!$B$8:$B$14*Assumptions!$B$11/Projects!$D$8:$D$14*0.95)+SUMPRODUCT((Projects!$G$8:$G$14="Yes")*(24=Projects!$C$8:$C$14+Projects!$D$8:$D$14-1)*Projects!$B$8:$B$14*Assumptions!$B$11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+0+84386.88,Actuals!AC10)</f>
        <v/>
      </c>
      <c r="AC11" s="392">
        <f>IF(ISBLANK(Actuals!AD10),0+SUMPRODUCT((Projects!$G$8:$G$14="Yes")*(25&gt;=Projects!$C$8:$C$14)*(25&lt;Projects!$C$8:$C$14+Projects!$D$8:$D$14)*Projects!$B$8:$B$14*Assumptions!$B$11/Projects!$D$8:$D$14*0.95)+SUMPRODUCT((Projects!$G$8:$G$14="Yes")*(25=Projects!$C$8:$C$14+Projects!$D$8:$D$14-1)*Projects!$B$8:$B$14*Assumptions!$B$11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+0+53404.55,Actuals!AD10)</f>
        <v/>
      </c>
      <c r="AD11" s="392">
        <f>IF(ISBLANK(Actuals!AE10),0+SUMPRODUCT((Projects!$G$8:$G$14="Yes")*(26&gt;=Projects!$C$8:$C$14)*(26&lt;Projects!$C$8:$C$14+Projects!$D$8:$D$14)*Projects!$B$8:$B$14*Assumptions!$B$11/Projects!$D$8:$D$14*0.95)+SUMPRODUCT((Projects!$G$8:$G$14="Yes")*(26=Projects!$C$8:$C$14+Projects!$D$8:$D$14-1)*Projects!$B$8:$B$14*Assumptions!$B$11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+0+63240.23,Actuals!AE10)</f>
        <v/>
      </c>
      <c r="AE11" s="392">
        <f>IF(ISBLANK(Actuals!AF10),0+SUMPRODUCT((Projects!$G$8:$G$14="Yes")*(27&gt;=Projects!$C$8:$C$14)*(27&lt;Projects!$C$8:$C$14+Projects!$D$8:$D$14)*Projects!$B$8:$B$14*Assumptions!$B$11/Projects!$D$8:$D$14*0.95)+SUMPRODUCT((Projects!$G$8:$G$14="Yes")*(27=Projects!$C$8:$C$14+Projects!$D$8:$D$14-1)*Projects!$B$8:$B$14*Assumptions!$B$11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+0+59353.95,Actuals!AF10)</f>
        <v/>
      </c>
      <c r="AF11" s="392">
        <f>IF(ISBLANK(Actuals!AG10),0+SUMPRODUCT((Projects!$G$8:$G$14="Yes")*(28&gt;=Projects!$C$8:$C$14)*(28&lt;Projects!$C$8:$C$14+Projects!$D$8:$D$14)*Projects!$B$8:$B$14*Assumptions!$B$11/Projects!$D$8:$D$14*0.95)+SUMPRODUCT((Projects!$G$8:$G$14="Yes")*(28=Projects!$C$8:$C$14+Projects!$D$8:$D$14-1)*Projects!$B$8:$B$14*Assumptions!$B$11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+0+73396.98,Actuals!AG10)</f>
        <v/>
      </c>
      <c r="AG11" s="392">
        <f>IF(ISBLANK(Actuals!AH10),0+SUMPRODUCT((Projects!$G$8:$G$14="Yes")*(29&gt;=Projects!$C$8:$C$14)*(29&lt;Projects!$C$8:$C$14+Projects!$D$8:$D$14)*Projects!$B$8:$B$14*Assumptions!$B$11/Projects!$D$8:$D$14*0.95)+SUMPRODUCT((Projects!$G$8:$G$14="Yes")*(29=Projects!$C$8:$C$14+Projects!$D$8:$D$14-1)*Projects!$B$8:$B$14*Assumptions!$B$11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+0+127462.41,Actuals!AH10)</f>
        <v/>
      </c>
      <c r="AH11" s="392">
        <f>IF(ISBLANK(Actuals!AI10),0+SUMPRODUCT((Projects!$G$8:$G$14="Yes")*(30&gt;=Projects!$C$8:$C$14)*(30&lt;Projects!$C$8:$C$14+Projects!$D$8:$D$14)*Projects!$B$8:$B$14*Assumptions!$B$11/Projects!$D$8:$D$14*0.95)+SUMPRODUCT((Projects!$G$8:$G$14="Yes")*(30=Projects!$C$8:$C$14+Projects!$D$8:$D$14-1)*Projects!$B$8:$B$14*Assumptions!$B$11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+0+118293.75,Actuals!AI10)</f>
        <v/>
      </c>
      <c r="AI11" s="392">
        <f>IF(ISBLANK(Actuals!AJ10),0+SUMPRODUCT((Projects!$G$8:$G$14="Yes")*(31&gt;=Projects!$C$8:$C$14)*(31&lt;Projects!$C$8:$C$14+Projects!$D$8:$D$14)*Projects!$B$8:$B$14*Assumptions!$B$11/Projects!$D$8:$D$14*0.95)+SUMPRODUCT((Projects!$G$8:$G$14="Yes")*(31=Projects!$C$8:$C$14+Projects!$D$8:$D$14-1)*Projects!$B$8:$B$14*Assumptions!$B$11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+0+115650.8,Actuals!AJ10)</f>
        <v/>
      </c>
      <c r="AJ11" s="392">
        <f>IF(ISBLANK(Actuals!AK10),0+SUMPRODUCT((Projects!$G$8:$G$14="Yes")*(32&gt;=Projects!$C$8:$C$14)*(32&lt;Projects!$C$8:$C$14+Projects!$D$8:$D$14)*Projects!$B$8:$B$14*Assumptions!$B$11/Projects!$D$8:$D$14*0.95)+SUMPRODUCT((Projects!$G$8:$G$14="Yes")*(32=Projects!$C$8:$C$14+Projects!$D$8:$D$14-1)*Projects!$B$8:$B$14*Assumptions!$B$11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+0+63097.22,Actuals!AK10)</f>
        <v/>
      </c>
      <c r="AK11" s="392">
        <f>IF(ISBLANK(Actuals!AL10),0+SUMPRODUCT((Projects!$G$8:$G$14="Yes")*(33&gt;=Projects!$C$8:$C$14)*(33&lt;Projects!$C$8:$C$14+Projects!$D$8:$D$14)*Projects!$B$8:$B$14*Assumptions!$B$11/Projects!$D$8:$D$14*0.95)+SUMPRODUCT((Projects!$G$8:$G$14="Yes")*(33=Projects!$C$8:$C$14+Projects!$D$8:$D$14-1)*Projects!$B$8:$B$14*Assumptions!$B$11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+0+52379.49,Actuals!AL10)</f>
        <v/>
      </c>
      <c r="AL11" s="392">
        <f>IF(ISBLANK(Actuals!AM10),0+SUMPRODUCT((Projects!$G$8:$G$14="Yes")*(34&gt;=Projects!$C$8:$C$14)*(34&lt;Projects!$C$8:$C$14+Projects!$D$8:$D$14)*Projects!$B$8:$B$14*Assumptions!$B$11/Projects!$D$8:$D$14*0.95)+SUMPRODUCT((Projects!$G$8:$G$14="Yes")*(34=Projects!$C$8:$C$14+Projects!$D$8:$D$14-1)*Projects!$B$8:$B$14*Assumptions!$B$11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+0+58512.38,Actuals!AM10)</f>
        <v/>
      </c>
      <c r="AM11" s="392">
        <f>IF(ISBLANK(Actuals!AN10),0+SUMPRODUCT((Projects!$G$8:$G$14="Yes")*(35&gt;=Projects!$C$8:$C$14)*(35&lt;Projects!$C$8:$C$14+Projects!$D$8:$D$14)*Projects!$B$8:$B$14*Assumptions!$B$11/Projects!$D$8:$D$14*0.95)+SUMPRODUCT((Projects!$G$8:$G$14="Yes")*(35=Projects!$C$8:$C$14+Projects!$D$8:$D$14-1)*Projects!$B$8:$B$14*Assumptions!$B$11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+0+63604.57,Actuals!AN10)</f>
        <v/>
      </c>
      <c r="AN11" s="392">
        <f>IF(ISBLANK(Actuals!AO10),0+SUMPRODUCT((Projects!$G$8:$G$14="Yes")*(36&gt;=Projects!$C$8:$C$14)*(36&lt;Projects!$C$8:$C$14+Projects!$D$8:$D$14)*Projects!$B$8:$B$14*Assumptions!$B$11/Projects!$D$8:$D$14*0.95)+SUMPRODUCT((Projects!$G$8:$G$14="Yes")*(36=Projects!$C$8:$C$14+Projects!$D$8:$D$14-1)*Projects!$B$8:$B$14*Assumptions!$B$11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+0+17112.26,Actuals!AO10)</f>
        <v/>
      </c>
      <c r="AO11" s="392">
        <f>IF(ISBLANK(Actuals!AP10),0+SUMPRODUCT((Projects!$G$8:$G$14="Yes")*(37&gt;=Projects!$C$8:$C$14)*(37&lt;Projects!$C$8:$C$14+Projects!$D$8:$D$14)*Projects!$B$8:$B$14*Assumptions!$B$11/Projects!$D$8:$D$14*0.95)+SUMPRODUCT((Projects!$G$8:$G$14="Yes")*(37=Projects!$C$8:$C$14+Projects!$D$8:$D$14-1)*Projects!$B$8:$B$14*Assumptions!$B$11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+0,Actuals!AP10)</f>
        <v/>
      </c>
      <c r="AP11" s="392">
        <f>IF(ISBLANK(Actuals!AQ10),0+SUMPRODUCT((Projects!$G$8:$G$14="Yes")*(38&gt;=Projects!$C$8:$C$14)*(38&lt;Projects!$C$8:$C$14+Projects!$D$8:$D$14)*Projects!$B$8:$B$14*Assumptions!$B$11/Projects!$D$8:$D$14*0.95)+SUMPRODUCT((Projects!$G$8:$G$14="Yes")*(38=Projects!$C$8:$C$14+Projects!$D$8:$D$14-1)*Projects!$B$8:$B$14*Assumptions!$B$11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+0,Actuals!AQ10)</f>
        <v/>
      </c>
      <c r="AQ11" s="392">
        <f>IF(ISBLANK(Actuals!AR10),0+SUMPRODUCT((Projects!$G$8:$G$14="Yes")*(39&gt;=Projects!$C$8:$C$14)*(39&lt;Projects!$C$8:$C$14+Projects!$D$8:$D$14)*Projects!$B$8:$B$14*Assumptions!$B$11/Projects!$D$8:$D$14*0.95)+SUMPRODUCT((Projects!$G$8:$G$14="Yes")*(39=Projects!$C$8:$C$14+Projects!$D$8:$D$14-1)*Projects!$B$8:$B$14*Assumptions!$B$11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+0,Actuals!AR10)</f>
        <v/>
      </c>
      <c r="AR11" s="392">
        <f>IF(ISBLANK(Actuals!AS10),0+SUMPRODUCT((Projects!$G$8:$G$14="Yes")*(40&gt;=Projects!$C$8:$C$14)*(40&lt;Projects!$C$8:$C$14+Projects!$D$8:$D$14)*Projects!$B$8:$B$14*Assumptions!$B$11/Projects!$D$8:$D$14*0.95)+SUMPRODUCT((Projects!$G$8:$G$14="Yes")*(40=Projects!$C$8:$C$14+Projects!$D$8:$D$14-1)*Projects!$B$8:$B$14*Assumptions!$B$11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+0,Actuals!AS10)</f>
        <v/>
      </c>
      <c r="AS11" s="392">
        <f>IF(ISBLANK(Actuals!AT10),0+SUMPRODUCT((Projects!$G$8:$G$14="Yes")*(41&gt;=Projects!$C$8:$C$14)*(41&lt;Projects!$C$8:$C$14+Projects!$D$8:$D$14)*Projects!$B$8:$B$14*Assumptions!$B$11/Projects!$D$8:$D$14*0.95)+SUMPRODUCT((Projects!$G$8:$G$14="Yes")*(41=Projects!$C$8:$C$14+Projects!$D$8:$D$14-1)*Projects!$B$8:$B$14*Assumptions!$B$11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+0,Actuals!AT10)</f>
        <v/>
      </c>
      <c r="AT11" s="392">
        <f>IF(ISBLANK(Actuals!AU10),0+SUMPRODUCT((Projects!$G$8:$G$14="Yes")*(42&gt;=Projects!$C$8:$C$14)*(42&lt;Projects!$C$8:$C$14+Projects!$D$8:$D$14)*Projects!$B$8:$B$14*Assumptions!$B$11/Projects!$D$8:$D$14*0.95)+SUMPRODUCT((Projects!$G$8:$G$14="Yes")*(42=Projects!$C$8:$C$14+Projects!$D$8:$D$14-1)*Projects!$B$8:$B$14*Assumptions!$B$11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+0,Actuals!AU10)</f>
        <v/>
      </c>
      <c r="AU11" s="392">
        <f>IF(ISBLANK(Actuals!AV10),0+SUMPRODUCT((Projects!$G$8:$G$14="Yes")*(43&gt;=Projects!$C$8:$C$14)*(43&lt;Projects!$C$8:$C$14+Projects!$D$8:$D$14)*Projects!$B$8:$B$14*Assumptions!$B$11/Projects!$D$8:$D$14*0.95)+SUMPRODUCT((Projects!$G$8:$G$14="Yes")*(43=Projects!$C$8:$C$14+Projects!$D$8:$D$14-1)*Projects!$B$8:$B$14*Assumptions!$B$11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+0,Actuals!AV10)</f>
        <v/>
      </c>
      <c r="AV11" s="392">
        <f>IF(ISBLANK(Actuals!AW10),0+SUMPRODUCT((Projects!$G$8:$G$14="Yes")*(44&gt;=Projects!$C$8:$C$14)*(44&lt;Projects!$C$8:$C$14+Projects!$D$8:$D$14)*Projects!$B$8:$B$14*Assumptions!$B$11/Projects!$D$8:$D$14*0.95)+SUMPRODUCT((Projects!$G$8:$G$14="Yes")*(44=Projects!$C$8:$C$14+Projects!$D$8:$D$14-1)*Projects!$B$8:$B$14*Assumptions!$B$11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+0,Actuals!AW10)</f>
        <v/>
      </c>
      <c r="AW11" s="392">
        <f>IF(ISBLANK(Actuals!AX10),0+SUMPRODUCT((Projects!$G$8:$G$14="Yes")*(45&gt;=Projects!$C$8:$C$14)*(45&lt;Projects!$C$8:$C$14+Projects!$D$8:$D$14)*Projects!$B$8:$B$14*Assumptions!$B$11/Projects!$D$8:$D$14*0.95)+SUMPRODUCT((Projects!$G$8:$G$14="Yes")*(45=Projects!$C$8:$C$14+Projects!$D$8:$D$14-1)*Projects!$B$8:$B$14*Assumptions!$B$11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+0,Actuals!AX10)</f>
        <v/>
      </c>
      <c r="AX11" s="392">
        <f>IF(ISBLANK(Actuals!AY10),0+SUMPRODUCT((Projects!$G$8:$G$14="Yes")*(46&gt;=Projects!$C$8:$C$14)*(46&lt;Projects!$C$8:$C$14+Projects!$D$8:$D$14)*Projects!$B$8:$B$14*Assumptions!$B$11/Projects!$D$8:$D$14*0.95)+SUMPRODUCT((Projects!$G$8:$G$14="Yes")*(46=Projects!$C$8:$C$14+Projects!$D$8:$D$14-1)*Projects!$B$8:$B$14*Assumptions!$B$11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+0,Actuals!AY10)</f>
        <v/>
      </c>
      <c r="AY11" s="392">
        <f>IF(ISBLANK(Actuals!AZ10),0+SUMPRODUCT((Projects!$G$8:$G$14="Yes")*(47&gt;=Projects!$C$8:$C$14)*(47&lt;Projects!$C$8:$C$14+Projects!$D$8:$D$14)*Projects!$B$8:$B$14*Assumptions!$B$11/Projects!$D$8:$D$14*0.95)+SUMPRODUCT((Projects!$G$8:$G$14="Yes")*(47=Projects!$C$8:$C$14+Projects!$D$8:$D$14-1)*Projects!$B$8:$B$14*Assumptions!$B$11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+0,Actuals!AZ10)</f>
        <v/>
      </c>
      <c r="AZ11" s="392">
        <f>IF(ISBLANK(Actuals!BA10),0+SUMPRODUCT((Projects!$G$8:$G$14="Yes")*(48&gt;=Projects!$C$8:$C$14)*(48&lt;Projects!$C$8:$C$14+Projects!$D$8:$D$14)*Projects!$B$8:$B$14*Assumptions!$B$11/Projects!$D$8:$D$14*0.95)+SUMPRODUCT((Projects!$G$8:$G$14="Yes")*(48=Projects!$C$8:$C$14+Projects!$D$8:$D$14-1)*Projects!$B$8:$B$14*Assumptions!$B$11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+0,Actuals!BA10)</f>
        <v/>
      </c>
      <c r="BA11" s="392">
        <f>IF(ISBLANK(Actuals!BB10),0+SUMPRODUCT((Projects!$G$8:$G$14="Yes")*(49&gt;=Projects!$C$8:$C$14)*(49&lt;Projects!$C$8:$C$14+Projects!$D$8:$D$14)*Projects!$B$8:$B$14*Assumptions!$B$11/Projects!$D$8:$D$14*0.95)+SUMPRODUCT((Projects!$G$8:$G$14="Yes")*(49=Projects!$C$8:$C$14+Projects!$D$8:$D$14-1)*Projects!$B$8:$B$14*Assumptions!$B$11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+0,Actuals!BB10)</f>
        <v/>
      </c>
      <c r="BB11" s="392">
        <f>IF(ISBLANK(Actuals!BC10),0+SUMPRODUCT((Projects!$G$8:$G$14="Yes")*(50&gt;=Projects!$C$8:$C$14)*(50&lt;Projects!$C$8:$C$14+Projects!$D$8:$D$14)*Projects!$B$8:$B$14*Assumptions!$B$11/Projects!$D$8:$D$14*0.95)+SUMPRODUCT((Projects!$G$8:$G$14="Yes")*(50=Projects!$C$8:$C$14+Projects!$D$8:$D$14-1)*Projects!$B$8:$B$14*Assumptions!$B$11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+0,Actuals!BC10)</f>
        <v/>
      </c>
      <c r="BC11" s="392">
        <f>IF(ISBLANK(Actuals!BD10),0+SUMPRODUCT((Projects!$G$8:$G$14="Yes")*(51&gt;=Projects!$C$8:$C$14)*(51&lt;Projects!$C$8:$C$14+Projects!$D$8:$D$14)*Projects!$B$8:$B$14*Assumptions!$B$11/Projects!$D$8:$D$14*0.95)+SUMPRODUCT((Projects!$G$8:$G$14="Yes")*(51=Projects!$C$8:$C$14+Projects!$D$8:$D$14-1)*Projects!$B$8:$B$14*Assumptions!$B$11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+0,Actuals!BD10)</f>
        <v/>
      </c>
      <c r="BD11" s="392">
        <f>IF(ISBLANK(Actuals!BE10),0+SUMPRODUCT((Projects!$G$8:$G$14="Yes")*(52&gt;=Projects!$C$8:$C$14)*(52&lt;Projects!$C$8:$C$14+Projects!$D$8:$D$14)*Projects!$B$8:$B$14*Assumptions!$B$11/Projects!$D$8:$D$14*0.95)+SUMPRODUCT((Projects!$G$8:$G$14="Yes")*(52=Projects!$C$8:$C$14+Projects!$D$8:$D$14-1)*Projects!$B$8:$B$14*Assumptions!$B$11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+0,Actuals!BE10)</f>
        <v/>
      </c>
      <c r="BE11" s="392">
        <f>IF(ISBLANK(Actuals!BF10),0+SUMPRODUCT((Projects!$G$8:$G$14="Yes")*(53&gt;=Projects!$C$8:$C$14)*(53&lt;Projects!$C$8:$C$14+Projects!$D$8:$D$14)*Projects!$B$8:$B$14*Assumptions!$B$11/Projects!$D$8:$D$14*0.95)+SUMPRODUCT((Projects!$G$8:$G$14="Yes")*(53=Projects!$C$8:$C$14+Projects!$D$8:$D$14-1)*Projects!$B$8:$B$14*Assumptions!$B$11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+0,Actuals!BF10)</f>
        <v/>
      </c>
      <c r="BF11" s="392">
        <f>IF(ISBLANK(Actuals!BG10),0+SUMPRODUCT((Projects!$G$8:$G$14="Yes")*(54&gt;=Projects!$C$8:$C$14)*(54&lt;Projects!$C$8:$C$14+Projects!$D$8:$D$14)*Projects!$B$8:$B$14*Assumptions!$B$11/Projects!$D$8:$D$14*0.95)+SUMPRODUCT((Projects!$G$8:$G$14="Yes")*(54=Projects!$C$8:$C$14+Projects!$D$8:$D$14-1)*Projects!$B$8:$B$14*Assumptions!$B$11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+0,Actuals!BG10)</f>
        <v/>
      </c>
      <c r="BG11" s="392">
        <f>IF(ISBLANK(Actuals!BH10),0+SUMPRODUCT((Projects!$G$8:$G$14="Yes")*(55&gt;=Projects!$C$8:$C$14)*(55&lt;Projects!$C$8:$C$14+Projects!$D$8:$D$14)*Projects!$B$8:$B$14*Assumptions!$B$11/Projects!$D$8:$D$14*0.95)+SUMPRODUCT((Projects!$G$8:$G$14="Yes")*(55=Projects!$C$8:$C$14+Projects!$D$8:$D$14-1)*Projects!$B$8:$B$14*Assumptions!$B$11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+0,Actuals!BH10)</f>
        <v/>
      </c>
      <c r="BH11" s="392">
        <f>IF(ISBLANK(Actuals!BI10),0+SUMPRODUCT((Projects!$G$8:$G$14="Yes")*(56&gt;=Projects!$C$8:$C$14)*(56&lt;Projects!$C$8:$C$14+Projects!$D$8:$D$14)*Projects!$B$8:$B$14*Assumptions!$B$11/Projects!$D$8:$D$14*0.95)+SUMPRODUCT((Projects!$G$8:$G$14="Yes")*(56=Projects!$C$8:$C$14+Projects!$D$8:$D$14-1)*Projects!$B$8:$B$14*Assumptions!$B$11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+0,Actuals!BI10)</f>
        <v/>
      </c>
      <c r="BI11" s="392">
        <f>IF(ISBLANK(Actuals!BJ10),0+SUMPRODUCT((Projects!$G$8:$G$14="Yes")*(57&gt;=Projects!$C$8:$C$14)*(57&lt;Projects!$C$8:$C$14+Projects!$D$8:$D$14)*Projects!$B$8:$B$14*Assumptions!$B$11/Projects!$D$8:$D$14*0.95)+SUMPRODUCT((Projects!$G$8:$G$14="Yes")*(57=Projects!$C$8:$C$14+Projects!$D$8:$D$14-1)*Projects!$B$8:$B$14*Assumptions!$B$11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+0,Actuals!BJ10)</f>
        <v/>
      </c>
      <c r="BJ11" s="392">
        <f>IF(ISBLANK(Actuals!BK10),0+SUMPRODUCT((Projects!$G$8:$G$14="Yes")*(58&gt;=Projects!$C$8:$C$14)*(58&lt;Projects!$C$8:$C$14+Projects!$D$8:$D$14)*Projects!$B$8:$B$14*Assumptions!$B$11/Projects!$D$8:$D$14*0.95)+SUMPRODUCT((Projects!$G$8:$G$14="Yes")*(58=Projects!$C$8:$C$14+Projects!$D$8:$D$14-1)*Projects!$B$8:$B$14*Assumptions!$B$11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+0,Actuals!BK10)</f>
        <v/>
      </c>
      <c r="BK11" s="392">
        <f>IF(ISBLANK(Actuals!BL10),0+SUMPRODUCT((Projects!$G$8:$G$14="Yes")*(59&gt;=Projects!$C$8:$C$14)*(59&lt;Projects!$C$8:$C$14+Projects!$D$8:$D$14)*Projects!$B$8:$B$14*Assumptions!$B$11/Projects!$D$8:$D$14*0.95)+SUMPRODUCT((Projects!$G$8:$G$14="Yes")*(59=Projects!$C$8:$C$14+Projects!$D$8:$D$14-1)*Projects!$B$8:$B$14*Assumptions!$B$11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+0,Actuals!BL10)</f>
        <v/>
      </c>
      <c r="BL11" s="392">
        <f>IF(ISBLANK(Actuals!BM10),0+SUMPRODUCT((Projects!$G$8:$G$14="Yes")*(60&gt;=Projects!$C$8:$C$14)*(60&lt;Projects!$C$8:$C$14+Projects!$D$8:$D$14)*Projects!$B$8:$B$14*Assumptions!$B$11/Projects!$D$8:$D$14*0.95)+SUMPRODUCT((Projects!$G$8:$G$14="Yes")*(60=Projects!$C$8:$C$14+Projects!$D$8:$D$14-1)*Projects!$B$8:$B$14*Assumptions!$B$11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+0,Actuals!BM10)</f>
        <v/>
      </c>
      <c r="BM11" s="392">
        <f>IF(ISBLANK(Actuals!BN10),0+SUMPRODUCT((Projects!$G$8:$G$14="Yes")*(61&gt;=Projects!$C$8:$C$14)*(61&lt;Projects!$C$8:$C$14+Projects!$D$8:$D$14)*Projects!$B$8:$B$14*Assumptions!$B$11/Projects!$D$8:$D$14*0.95)+SUMPRODUCT((Projects!$G$8:$G$14="Yes")*(61=Projects!$C$8:$C$14+Projects!$D$8:$D$14-1)*Projects!$B$8:$B$14*Assumptions!$B$11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+0,Actuals!BN10)</f>
        <v/>
      </c>
      <c r="BN11" s="392">
        <f>IF(ISBLANK(Actuals!BO10),0+SUMPRODUCT((Projects!$G$8:$G$14="Yes")*(62&gt;=Projects!$C$8:$C$14)*(62&lt;Projects!$C$8:$C$14+Projects!$D$8:$D$14)*Projects!$B$8:$B$14*Assumptions!$B$11/Projects!$D$8:$D$14*0.95)+SUMPRODUCT((Projects!$G$8:$G$14="Yes")*(62=Projects!$C$8:$C$14+Projects!$D$8:$D$14-1)*Projects!$B$8:$B$14*Assumptions!$B$11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+0,Actuals!BO10)</f>
        <v/>
      </c>
      <c r="BO11" s="392">
        <f>IF(ISBLANK(Actuals!BP10),0+SUMPRODUCT((Projects!$G$8:$G$14="Yes")*(63&gt;=Projects!$C$8:$C$14)*(63&lt;Projects!$C$8:$C$14+Projects!$D$8:$D$14)*Projects!$B$8:$B$14*Assumptions!$B$11/Projects!$D$8:$D$14*0.95)+SUMPRODUCT((Projects!$G$8:$G$14="Yes")*(63=Projects!$C$8:$C$14+Projects!$D$8:$D$14-1)*Projects!$B$8:$B$14*Assumptions!$B$11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+0,Actuals!BP10)</f>
        <v/>
      </c>
      <c r="BP11" s="392">
        <f>IF(ISBLANK(Actuals!BQ10),0+SUMPRODUCT((Projects!$G$8:$G$14="Yes")*(64&gt;=Projects!$C$8:$C$14)*(64&lt;Projects!$C$8:$C$14+Projects!$D$8:$D$14)*Projects!$B$8:$B$14*Assumptions!$B$11/Projects!$D$8:$D$14*0.95)+SUMPRODUCT((Projects!$G$8:$G$14="Yes")*(64=Projects!$C$8:$C$14+Projects!$D$8:$D$14-1)*Projects!$B$8:$B$14*Assumptions!$B$11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+0,Actuals!BQ10)</f>
        <v/>
      </c>
      <c r="BQ11" s="392">
        <f>IF(ISBLANK(Actuals!BR10),0+SUMPRODUCT((Projects!$G$8:$G$14="Yes")*(65&gt;=Projects!$C$8:$C$14)*(65&lt;Projects!$C$8:$C$14+Projects!$D$8:$D$14)*Projects!$B$8:$B$14*Assumptions!$B$11/Projects!$D$8:$D$14*0.95)+SUMPRODUCT((Projects!$G$8:$G$14="Yes")*(65=Projects!$C$8:$C$14+Projects!$D$8:$D$14-1)*Projects!$B$8:$B$14*Assumptions!$B$11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+0,Actuals!BR10)</f>
        <v/>
      </c>
      <c r="BR11" s="392">
        <f>IF(ISBLANK(Actuals!BS10),0+SUMPRODUCT((Projects!$G$8:$G$14="Yes")*(66&gt;=Projects!$C$8:$C$14)*(66&lt;Projects!$C$8:$C$14+Projects!$D$8:$D$14)*Projects!$B$8:$B$14*Assumptions!$B$11/Projects!$D$8:$D$14*0.95)+SUMPRODUCT((Projects!$G$8:$G$14="Yes")*(66=Projects!$C$8:$C$14+Projects!$D$8:$D$14-1)*Projects!$B$8:$B$14*Assumptions!$B$11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+0,Actuals!BS10)</f>
        <v/>
      </c>
      <c r="BS11" s="392">
        <f>IF(ISBLANK(Actuals!BT10),0+SUMPRODUCT((Projects!$G$8:$G$14="Yes")*(67&gt;=Projects!$C$8:$C$14)*(67&lt;Projects!$C$8:$C$14+Projects!$D$8:$D$14)*Projects!$B$8:$B$14*Assumptions!$B$11/Projects!$D$8:$D$14*0.95)+SUMPRODUCT((Projects!$G$8:$G$14="Yes")*(67=Projects!$C$8:$C$14+Projects!$D$8:$D$14-1)*Projects!$B$8:$B$14*Assumptions!$B$11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+0,Actuals!BT10)</f>
        <v/>
      </c>
      <c r="BT11" s="392">
        <f>IF(ISBLANK(Actuals!BU10),0+SUMPRODUCT((Projects!$G$8:$G$14="Yes")*(68&gt;=Projects!$C$8:$C$14)*(68&lt;Projects!$C$8:$C$14+Projects!$D$8:$D$14)*Projects!$B$8:$B$14*Assumptions!$B$11/Projects!$D$8:$D$14*0.95)+SUMPRODUCT((Projects!$G$8:$G$14="Yes")*(68=Projects!$C$8:$C$14+Projects!$D$8:$D$14-1)*Projects!$B$8:$B$14*Assumptions!$B$11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+0,Actuals!BU10)</f>
        <v/>
      </c>
      <c r="BU11" s="392">
        <f>IF(ISBLANK(Actuals!BV10),0+SUMPRODUCT((Projects!$G$8:$G$14="Yes")*(69&gt;=Projects!$C$8:$C$14)*(69&lt;Projects!$C$8:$C$14+Projects!$D$8:$D$14)*Projects!$B$8:$B$14*Assumptions!$B$11/Projects!$D$8:$D$14*0.95)+SUMPRODUCT((Projects!$G$8:$G$14="Yes")*(69=Projects!$C$8:$C$14+Projects!$D$8:$D$14-1)*Projects!$B$8:$B$14*Assumptions!$B$11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+0,Actuals!BV10)</f>
        <v/>
      </c>
      <c r="BV11" s="392">
        <f>IF(ISBLANK(Actuals!BW10),0+SUMPRODUCT((Projects!$G$8:$G$14="Yes")*(70&gt;=Projects!$C$8:$C$14)*(70&lt;Projects!$C$8:$C$14+Projects!$D$8:$D$14)*Projects!$B$8:$B$14*Assumptions!$B$11/Projects!$D$8:$D$14*0.95)+SUMPRODUCT((Projects!$G$8:$G$14="Yes")*(70=Projects!$C$8:$C$14+Projects!$D$8:$D$14-1)*Projects!$B$8:$B$14*Assumptions!$B$11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+0,Actuals!BW10)</f>
        <v/>
      </c>
      <c r="BW11" s="392">
        <f>IF(ISBLANK(Actuals!BX10),0+SUMPRODUCT((Projects!$G$8:$G$14="Yes")*(71&gt;=Projects!$C$8:$C$14)*(71&lt;Projects!$C$8:$C$14+Projects!$D$8:$D$14)*Projects!$B$8:$B$14*Assumptions!$B$11/Projects!$D$8:$D$14*0.95)+SUMPRODUCT((Projects!$G$8:$G$14="Yes")*(71=Projects!$C$8:$C$14+Projects!$D$8:$D$14-1)*Projects!$B$8:$B$14*Assumptions!$B$11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+0,Actuals!BX10)</f>
        <v/>
      </c>
      <c r="BX11" s="392">
        <f>IF(ISBLANK(Actuals!BY10),0+SUMPRODUCT((Projects!$G$8:$G$14="Yes")*(72&gt;=Projects!$C$8:$C$14)*(72&lt;Projects!$C$8:$C$14+Projects!$D$8:$D$14)*Projects!$B$8:$B$14*Assumptions!$B$11/Projects!$D$8:$D$14*0.95)+SUMPRODUCT((Projects!$G$8:$G$14="Yes")*(72=Projects!$C$8:$C$14+Projects!$D$8:$D$14-1)*Projects!$B$8:$B$14*Assumptions!$B$11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+0,Actuals!BY10)</f>
        <v/>
      </c>
      <c r="BY11" s="392">
        <f>IF(ISBLANK(Actuals!BZ10),0+SUMPRODUCT((Projects!$G$8:$G$14="Yes")*(73&gt;=Projects!$C$8:$C$14)*(73&lt;Projects!$C$8:$C$14+Projects!$D$8:$D$14)*Projects!$B$8:$B$14*Assumptions!$B$11/Projects!$D$8:$D$14*0.95)+SUMPRODUCT((Projects!$G$8:$G$14="Yes")*(73=Projects!$C$8:$C$14+Projects!$D$8:$D$14-1)*Projects!$B$8:$B$14*Assumptions!$B$11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+0,Actuals!BZ10)</f>
        <v/>
      </c>
      <c r="BZ11" s="392">
        <f>IF(ISBLANK(Actuals!CA10),0+SUMPRODUCT((Projects!$G$8:$G$14="Yes")*(74&gt;=Projects!$C$8:$C$14)*(74&lt;Projects!$C$8:$C$14+Projects!$D$8:$D$14)*Projects!$B$8:$B$14*Assumptions!$B$11/Projects!$D$8:$D$14*0.95)+SUMPRODUCT((Projects!$G$8:$G$14="Yes")*(74=Projects!$C$8:$C$14+Projects!$D$8:$D$14-1)*Projects!$B$8:$B$14*Assumptions!$B$11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+0,Actuals!CA10)</f>
        <v/>
      </c>
      <c r="CA11" s="392">
        <f>IF(ISBLANK(Actuals!CB10),0+SUMPRODUCT((Projects!$G$8:$G$14="Yes")*(75&gt;=Projects!$C$8:$C$14)*(75&lt;Projects!$C$8:$C$14+Projects!$D$8:$D$14)*Projects!$B$8:$B$14*Assumptions!$B$11/Projects!$D$8:$D$14*0.95)+SUMPRODUCT((Projects!$G$8:$G$14="Yes")*(75=Projects!$C$8:$C$14+Projects!$D$8:$D$14-1)*Projects!$B$8:$B$14*Assumptions!$B$11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+0,Actuals!CB10)</f>
        <v/>
      </c>
      <c r="CB11" s="392">
        <f>IF(ISBLANK(Actuals!CC10),0+SUMPRODUCT((Projects!$G$8:$G$14="Yes")*(76&gt;=Projects!$C$8:$C$14)*(76&lt;Projects!$C$8:$C$14+Projects!$D$8:$D$14)*Projects!$B$8:$B$14*Assumptions!$B$11/Projects!$D$8:$D$14*0.95)+SUMPRODUCT((Projects!$G$8:$G$14="Yes")*(76=Projects!$C$8:$C$14+Projects!$D$8:$D$14-1)*Projects!$B$8:$B$14*Assumptions!$B$11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+0,Actuals!CC10)</f>
        <v/>
      </c>
      <c r="CC11" s="392">
        <f>IF(ISBLANK(Actuals!CD10),0+SUMPRODUCT((Projects!$G$8:$G$14="Yes")*(77&gt;=Projects!$C$8:$C$14)*(77&lt;Projects!$C$8:$C$14+Projects!$D$8:$D$14)*Projects!$B$8:$B$14*Assumptions!$B$11/Projects!$D$8:$D$14*0.95)+SUMPRODUCT((Projects!$G$8:$G$14="Yes")*(77=Projects!$C$8:$C$14+Projects!$D$8:$D$14-1)*Projects!$B$8:$B$14*Assumptions!$B$11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+0,Actuals!CD10)</f>
        <v/>
      </c>
      <c r="CD11" s="392">
        <f>IF(ISBLANK(Actuals!CE10),0+SUMPRODUCT((Projects!$G$8:$G$14="Yes")*(78&gt;=Projects!$C$8:$C$14)*(78&lt;Projects!$C$8:$C$14+Projects!$D$8:$D$14)*Projects!$B$8:$B$14*Assumptions!$B$11/Projects!$D$8:$D$14*0.95)+SUMPRODUCT((Projects!$G$8:$G$14="Yes")*(78=Projects!$C$8:$C$14+Projects!$D$8:$D$14-1)*Projects!$B$8:$B$14*Assumptions!$B$11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+0,Actuals!CE10)</f>
        <v/>
      </c>
      <c r="CE11" s="392">
        <f>IF(ISBLANK(Actuals!CF10),0+SUMPRODUCT((Projects!$G$8:$G$14="Yes")*(79&gt;=Projects!$C$8:$C$14)*(79&lt;Projects!$C$8:$C$14+Projects!$D$8:$D$14)*Projects!$B$8:$B$14*Assumptions!$B$11/Projects!$D$8:$D$14*0.95)+SUMPRODUCT((Projects!$G$8:$G$14="Yes")*(79=Projects!$C$8:$C$14+Projects!$D$8:$D$14-1)*Projects!$B$8:$B$14*Assumptions!$B$11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+0,Actuals!CF10)</f>
        <v/>
      </c>
      <c r="CF11" s="392">
        <f>IF(ISBLANK(Actuals!CG10),0+SUMPRODUCT((Projects!$G$8:$G$14="Yes")*(80&gt;=Projects!$C$8:$C$14)*(80&lt;Projects!$C$8:$C$14+Projects!$D$8:$D$14)*Projects!$B$8:$B$14*Assumptions!$B$11/Projects!$D$8:$D$14*0.95)+SUMPRODUCT((Projects!$G$8:$G$14="Yes")*(80=Projects!$C$8:$C$14+Projects!$D$8:$D$14-1)*Projects!$B$8:$B$14*Assumptions!$B$11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+0,Actuals!CG10)</f>
        <v/>
      </c>
      <c r="CG11" s="392">
        <f>IF(ISBLANK(Actuals!CH10),0+SUMPRODUCT((Projects!$G$8:$G$14="Yes")*(81&gt;=Projects!$C$8:$C$14)*(81&lt;Projects!$C$8:$C$14+Projects!$D$8:$D$14)*Projects!$B$8:$B$14*Assumptions!$B$11/Projects!$D$8:$D$14*0.95)+SUMPRODUCT((Projects!$G$8:$G$14="Yes")*(81=Projects!$C$8:$C$14+Projects!$D$8:$D$14-1)*Projects!$B$8:$B$14*Assumptions!$B$11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+0,Actuals!CH10)</f>
        <v/>
      </c>
      <c r="CH11" s="392">
        <f>IF(ISBLANK(Actuals!CI10),0+SUMPRODUCT((Projects!$G$8:$G$14="Yes")*(82&gt;=Projects!$C$8:$C$14)*(82&lt;Projects!$C$8:$C$14+Projects!$D$8:$D$14)*Projects!$B$8:$B$14*Assumptions!$B$11/Projects!$D$8:$D$14*0.95)+SUMPRODUCT((Projects!$G$8:$G$14="Yes")*(82=Projects!$C$8:$C$14+Projects!$D$8:$D$14-1)*Projects!$B$8:$B$14*Assumptions!$B$11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+0,Actuals!CI10)</f>
        <v/>
      </c>
      <c r="CI11" s="392">
        <f>IF(ISBLANK(Actuals!CJ10),0+SUMPRODUCT((Projects!$G$8:$G$14="Yes")*(83&gt;=Projects!$C$8:$C$14)*(83&lt;Projects!$C$8:$C$14+Projects!$D$8:$D$14)*Projects!$B$8:$B$14*Assumptions!$B$11/Projects!$D$8:$D$14*0.95)+SUMPRODUCT((Projects!$G$8:$G$14="Yes")*(83=Projects!$C$8:$C$14+Projects!$D$8:$D$14-1)*Projects!$B$8:$B$14*Assumptions!$B$11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+0,Actuals!CJ10)</f>
        <v/>
      </c>
      <c r="CJ11" s="392">
        <f>IF(ISBLANK(Actuals!CK10),0+SUMPRODUCT((Projects!$G$8:$G$14="Yes")*(84&gt;=Projects!$C$8:$C$14)*(84&lt;Projects!$C$8:$C$14+Projects!$D$8:$D$14)*Projects!$B$8:$B$14*Assumptions!$B$11/Projects!$D$8:$D$14*0.95)+SUMPRODUCT((Projects!$G$8:$G$14="Yes")*(84=Projects!$C$8:$C$14+Projects!$D$8:$D$14-1)*Projects!$B$8:$B$14*Assumptions!$B$11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+0,Actuals!CK10)</f>
        <v/>
      </c>
      <c r="CK11" s="392">
        <f>IF(ISBLANK(Actuals!CL10),0+SUMPRODUCT((Projects!$G$8:$G$14="Yes")*(85&gt;=Projects!$C$8:$C$14)*(85&lt;Projects!$C$8:$C$14+Projects!$D$8:$D$14)*Projects!$B$8:$B$14*Assumptions!$B$11/Projects!$D$8:$D$14*0.95)+SUMPRODUCT((Projects!$G$8:$G$14="Yes")*(85=Projects!$C$8:$C$14+Projects!$D$8:$D$14-1)*Projects!$B$8:$B$14*Assumptions!$B$11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+0,Actuals!CL10)</f>
        <v/>
      </c>
      <c r="CL11" s="392">
        <f>IF(ISBLANK(Actuals!CM10),0+SUMPRODUCT((Projects!$G$8:$G$14="Yes")*(86&gt;=Projects!$C$8:$C$14)*(86&lt;Projects!$C$8:$C$14+Projects!$D$8:$D$14)*Projects!$B$8:$B$14*Assumptions!$B$11/Projects!$D$8:$D$14*0.95)+SUMPRODUCT((Projects!$G$8:$G$14="Yes")*(86=Projects!$C$8:$C$14+Projects!$D$8:$D$14-1)*Projects!$B$8:$B$14*Assumptions!$B$11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+0,Actuals!CM10)</f>
        <v/>
      </c>
      <c r="CM11" s="392">
        <f>IF(ISBLANK(Actuals!CN10),0+SUMPRODUCT((Projects!$G$8:$G$14="Yes")*(87&gt;=Projects!$C$8:$C$14)*(87&lt;Projects!$C$8:$C$14+Projects!$D$8:$D$14)*Projects!$B$8:$B$14*Assumptions!$B$11/Projects!$D$8:$D$14*0.95)+SUMPRODUCT((Projects!$G$8:$G$14="Yes")*(87=Projects!$C$8:$C$14+Projects!$D$8:$D$14-1)*Projects!$B$8:$B$14*Assumptions!$B$11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+0,Actuals!CN10)</f>
        <v/>
      </c>
      <c r="CN11" s="392">
        <f>IF(ISBLANK(Actuals!CO10),0+SUMPRODUCT((Projects!$G$8:$G$14="Yes")*(88&gt;=Projects!$C$8:$C$14)*(88&lt;Projects!$C$8:$C$14+Projects!$D$8:$D$14)*Projects!$B$8:$B$14*Assumptions!$B$11/Projects!$D$8:$D$14*0.95)+SUMPRODUCT((Projects!$G$8:$G$14="Yes")*(88=Projects!$C$8:$C$14+Projects!$D$8:$D$14-1)*Projects!$B$8:$B$14*Assumptions!$B$11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+0,Actuals!CO10)</f>
        <v/>
      </c>
      <c r="CO11" s="392">
        <f>IF(ISBLANK(Actuals!CP10),0+SUMPRODUCT((Projects!$G$8:$G$14="Yes")*(89&gt;=Projects!$C$8:$C$14)*(89&lt;Projects!$C$8:$C$14+Projects!$D$8:$D$14)*Projects!$B$8:$B$14*Assumptions!$B$11/Projects!$D$8:$D$14*0.95)+SUMPRODUCT((Projects!$G$8:$G$14="Yes")*(89=Projects!$C$8:$C$14+Projects!$D$8:$D$14-1)*Projects!$B$8:$B$14*Assumptions!$B$11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+0,Actuals!CP10)</f>
        <v/>
      </c>
      <c r="CP11" s="392">
        <f>IF(ISBLANK(Actuals!CQ10),0+SUMPRODUCT((Projects!$G$8:$G$14="Yes")*(90&gt;=Projects!$C$8:$C$14)*(90&lt;Projects!$C$8:$C$14+Projects!$D$8:$D$14)*Projects!$B$8:$B$14*Assumptions!$B$11/Projects!$D$8:$D$14*0.95)+SUMPRODUCT((Projects!$G$8:$G$14="Yes")*(90=Projects!$C$8:$C$14+Projects!$D$8:$D$14-1)*Projects!$B$8:$B$14*Assumptions!$B$11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+0,Actuals!CQ10)</f>
        <v/>
      </c>
      <c r="CQ11" s="392">
        <f>IF(ISBLANK(Actuals!CR10),0+SUMPRODUCT((Projects!$G$8:$G$14="Yes")*(91&gt;=Projects!$C$8:$C$14)*(91&lt;Projects!$C$8:$C$14+Projects!$D$8:$D$14)*Projects!$B$8:$B$14*Assumptions!$B$11/Projects!$D$8:$D$14*0.95)+SUMPRODUCT((Projects!$G$8:$G$14="Yes")*(91=Projects!$C$8:$C$14+Projects!$D$8:$D$14-1)*Projects!$B$8:$B$14*Assumptions!$B$11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+0,Actuals!CR10)</f>
        <v/>
      </c>
      <c r="CR11" s="392">
        <f>IF(ISBLANK(Actuals!CS10),0+SUMPRODUCT((Projects!$G$8:$G$14="Yes")*(92&gt;=Projects!$C$8:$C$14)*(92&lt;Projects!$C$8:$C$14+Projects!$D$8:$D$14)*Projects!$B$8:$B$14*Assumptions!$B$11/Projects!$D$8:$D$14*0.95)+SUMPRODUCT((Projects!$G$8:$G$14="Yes")*(92=Projects!$C$8:$C$14+Projects!$D$8:$D$14-1)*Projects!$B$8:$B$14*Assumptions!$B$11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+0,Actuals!CS10)</f>
        <v/>
      </c>
      <c r="CS11" s="392">
        <f>IF(ISBLANK(Actuals!CT10),0+SUMPRODUCT((Projects!$G$8:$G$14="Yes")*(93&gt;=Projects!$C$8:$C$14)*(93&lt;Projects!$C$8:$C$14+Projects!$D$8:$D$14)*Projects!$B$8:$B$14*Assumptions!$B$11/Projects!$D$8:$D$14*0.95)+SUMPRODUCT((Projects!$G$8:$G$14="Yes")*(93=Projects!$C$8:$C$14+Projects!$D$8:$D$14-1)*Projects!$B$8:$B$14*Assumptions!$B$11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+0,Actuals!CT10)</f>
        <v/>
      </c>
      <c r="CT11" s="392">
        <f>IF(ISBLANK(Actuals!CU10),0+SUMPRODUCT((Projects!$G$8:$G$14="Yes")*(94&gt;=Projects!$C$8:$C$14)*(94&lt;Projects!$C$8:$C$14+Projects!$D$8:$D$14)*Projects!$B$8:$B$14*Assumptions!$B$11/Projects!$D$8:$D$14*0.95)+SUMPRODUCT((Projects!$G$8:$G$14="Yes")*(94=Projects!$C$8:$C$14+Projects!$D$8:$D$14-1)*Projects!$B$8:$B$14*Assumptions!$B$11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+0,Actuals!CU10)</f>
        <v/>
      </c>
      <c r="CU11" s="392">
        <f>IF(ISBLANK(Actuals!CV10),0+SUMPRODUCT((Projects!$G$8:$G$14="Yes")*(95&gt;=Projects!$C$8:$C$14)*(95&lt;Projects!$C$8:$C$14+Projects!$D$8:$D$14)*Projects!$B$8:$B$14*Assumptions!$B$11/Projects!$D$8:$D$14*0.95)+SUMPRODUCT((Projects!$G$8:$G$14="Yes")*(95=Projects!$C$8:$C$14+Projects!$D$8:$D$14-1)*Projects!$B$8:$B$14*Assumptions!$B$11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+0,Actuals!CV10)</f>
        <v/>
      </c>
      <c r="CV11" s="392">
        <f>IF(ISBLANK(Actuals!CW10),0+SUMPRODUCT((Projects!$G$8:$G$14="Yes")*(96&gt;=Projects!$C$8:$C$14)*(96&lt;Projects!$C$8:$C$14+Projects!$D$8:$D$14)*Projects!$B$8:$B$14*Assumptions!$B$11/Projects!$D$8:$D$14*0.95)+SUMPRODUCT((Projects!$G$8:$G$14="Yes")*(96=Projects!$C$8:$C$14+Projects!$D$8:$D$14-1)*Projects!$B$8:$B$14*Assumptions!$B$11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+0,Actuals!CW10)</f>
        <v/>
      </c>
      <c r="CW11" s="392">
        <f>IF(ISBLANK(Actuals!CX10),0+SUMPRODUCT((Projects!$G$8:$G$14="Yes")*(97&gt;=Projects!$C$8:$C$14)*(97&lt;Projects!$C$8:$C$14+Projects!$D$8:$D$14)*Projects!$B$8:$B$14*Assumptions!$B$11/Projects!$D$8:$D$14*0.95)+SUMPRODUCT((Projects!$G$8:$G$14="Yes")*(97=Projects!$C$8:$C$14+Projects!$D$8:$D$14-1)*Projects!$B$8:$B$14*Assumptions!$B$11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+0,Actuals!CX10)</f>
        <v/>
      </c>
      <c r="CX11" s="392">
        <f>IF(ISBLANK(Actuals!CY10),0+SUMPRODUCT((Projects!$G$8:$G$14="Yes")*(98&gt;=Projects!$C$8:$C$14)*(98&lt;Projects!$C$8:$C$14+Projects!$D$8:$D$14)*Projects!$B$8:$B$14*Assumptions!$B$11/Projects!$D$8:$D$14*0.95)+SUMPRODUCT((Projects!$G$8:$G$14="Yes")*(98=Projects!$C$8:$C$14+Projects!$D$8:$D$14-1)*Projects!$B$8:$B$14*Assumptions!$B$11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+0,Actuals!CY10)</f>
        <v/>
      </c>
      <c r="CY11" s="392">
        <f>IF(ISBLANK(Actuals!CZ10),0+SUMPRODUCT((Projects!$G$8:$G$14="Yes")*(99&gt;=Projects!$C$8:$C$14)*(99&lt;Projects!$C$8:$C$14+Projects!$D$8:$D$14)*Projects!$B$8:$B$14*Assumptions!$B$11/Projects!$D$8:$D$14*0.95)+SUMPRODUCT((Projects!$G$8:$G$14="Yes")*(99=Projects!$C$8:$C$14+Projects!$D$8:$D$14-1)*Projects!$B$8:$B$14*Assumptions!$B$11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+0,Actuals!CZ10)</f>
        <v/>
      </c>
      <c r="CZ11" s="392">
        <f>IF(ISBLANK(Actuals!DA10),0+SUMPRODUCT((Projects!$G$8:$G$14="Yes")*(100&gt;=Projects!$C$8:$C$14)*(100&lt;Projects!$C$8:$C$14+Projects!$D$8:$D$14)*Projects!$B$8:$B$14*Assumptions!$B$11/Projects!$D$8:$D$14*0.95)+SUMPRODUCT((Projects!$G$8:$G$14="Yes")*(100=Projects!$C$8:$C$14+Projects!$D$8:$D$14-1)*Projects!$B$8:$B$14*Assumptions!$B$11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+0,Actuals!DA10)</f>
        <v/>
      </c>
      <c r="DA11" s="392">
        <f>IF(ISBLANK(Actuals!DB10),0+SUMPRODUCT((Projects!$G$8:$G$14="Yes")*(101&gt;=Projects!$C$8:$C$14)*(101&lt;Projects!$C$8:$C$14+Projects!$D$8:$D$14)*Projects!$B$8:$B$14*Assumptions!$B$11/Projects!$D$8:$D$14*0.95)+SUMPRODUCT((Projects!$G$8:$G$14="Yes")*(101=Projects!$C$8:$C$14+Projects!$D$8:$D$14-1)*Projects!$B$8:$B$14*Assumptions!$B$11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+0,Actuals!DB10)</f>
        <v/>
      </c>
      <c r="DB11" s="392">
        <f>IF(ISBLANK(Actuals!DC10),0+SUMPRODUCT((Projects!$G$8:$G$14="Yes")*(102&gt;=Projects!$C$8:$C$14)*(102&lt;Projects!$C$8:$C$14+Projects!$D$8:$D$14)*Projects!$B$8:$B$14*Assumptions!$B$11/Projects!$D$8:$D$14*0.95)+SUMPRODUCT((Projects!$G$8:$G$14="Yes")*(102=Projects!$C$8:$C$14+Projects!$D$8:$D$14-1)*Projects!$B$8:$B$14*Assumptions!$B$11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+0,Actuals!DC10)</f>
        <v/>
      </c>
      <c r="DC11" s="392">
        <f>IF(ISBLANK(Actuals!DD10),0+SUMPRODUCT((Projects!$G$8:$G$14="Yes")*(103&gt;=Projects!$C$8:$C$14)*(103&lt;Projects!$C$8:$C$14+Projects!$D$8:$D$14)*Projects!$B$8:$B$14*Assumptions!$B$11/Projects!$D$8:$D$14*0.95)+SUMPRODUCT((Projects!$G$8:$G$14="Yes")*(103=Projects!$C$8:$C$14+Projects!$D$8:$D$14-1)*Projects!$B$8:$B$14*Assumptions!$B$11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+0,Actuals!DD10)</f>
        <v/>
      </c>
      <c r="DD11" s="392">
        <f>IF(ISBLANK(Actuals!DE10),0+SUMPRODUCT((Projects!$G$8:$G$14="Yes")*(104&gt;=Projects!$C$8:$C$14)*(104&lt;Projects!$C$8:$C$14+Projects!$D$8:$D$14)*Projects!$B$8:$B$14*Assumptions!$B$11/Projects!$D$8:$D$14*0.95)+SUMPRODUCT((Projects!$G$8:$G$14="Yes")*(104=Projects!$C$8:$C$14+Projects!$D$8:$D$14-1)*Projects!$B$8:$B$14*Assumptions!$B$11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+0,Actuals!DE10)</f>
        <v/>
      </c>
      <c r="DE11" s="392">
        <f>IF(ISBLANK(Actuals!DF10),0+SUMPRODUCT((Projects!$G$8:$G$14="Yes")*(105&gt;=Projects!$C$8:$C$14)*(105&lt;Projects!$C$8:$C$14+Projects!$D$8:$D$14)*Projects!$B$8:$B$14*Assumptions!$B$11/Projects!$D$8:$D$14*0.95)+SUMPRODUCT((Projects!$G$8:$G$14="Yes")*(105=Projects!$C$8:$C$14+Projects!$D$8:$D$14-1)*Projects!$B$8:$B$14*Assumptions!$B$11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+0,Actuals!DF10)</f>
        <v/>
      </c>
    </row>
    <row r="12" ht="15" customFormat="1" customHeight="1" s="380">
      <c r="A12" s="406" t="inlineStr">
        <is>
          <t>Trades and Site Cost Billing</t>
        </is>
      </c>
      <c r="B12" s="399" t="n"/>
      <c r="C12" s="399" t="n"/>
      <c r="D12" s="399" t="n"/>
      <c r="E12" s="399" t="n"/>
      <c r="F12" s="399" t="n"/>
      <c r="G12" s="399" t="n"/>
      <c r="H12" s="399" t="n"/>
      <c r="I12" s="399" t="n"/>
      <c r="J12" s="399" t="n"/>
      <c r="K12" s="399" t="n"/>
      <c r="L12" s="399" t="n"/>
      <c r="M12" s="399" t="n"/>
      <c r="N12" s="399" t="n"/>
      <c r="O12" s="399" t="n"/>
      <c r="P12" s="399" t="n"/>
      <c r="Q12" s="399" t="n"/>
      <c r="R12" s="399" t="n"/>
      <c r="S12" s="399" t="n"/>
      <c r="T12" s="399" t="n"/>
      <c r="U12" s="399" t="n"/>
      <c r="V12" s="399" t="n"/>
      <c r="W12" s="399" t="n"/>
      <c r="X12" s="399" t="n"/>
      <c r="Y12" s="399" t="n"/>
      <c r="Z12" s="399" t="n"/>
      <c r="AA12" s="399" t="n"/>
      <c r="AB12" s="399" t="n"/>
      <c r="AC12" s="399" t="n"/>
      <c r="AD12" s="399" t="n"/>
      <c r="AE12" s="399" t="n"/>
      <c r="AF12" s="399" t="n"/>
      <c r="AG12" s="399" t="n"/>
      <c r="AH12" s="399" t="n"/>
      <c r="AI12" s="399" t="n"/>
      <c r="AJ12" s="399" t="n"/>
      <c r="AK12" s="399" t="n"/>
      <c r="AL12" s="399" t="n"/>
      <c r="AM12" s="399" t="n"/>
      <c r="AN12" s="399" t="n"/>
      <c r="AO12" s="399" t="n"/>
      <c r="AP12" s="399" t="n"/>
      <c r="AQ12" s="399" t="n"/>
      <c r="AR12" s="399" t="n"/>
      <c r="AS12" s="399" t="n"/>
      <c r="AT12" s="399" t="n"/>
      <c r="AU12" s="399" t="n"/>
      <c r="AV12" s="399" t="n"/>
      <c r="AW12" s="399" t="n"/>
      <c r="AX12" s="399" t="n"/>
      <c r="AY12" s="399" t="n"/>
      <c r="AZ12" s="399" t="n"/>
      <c r="BA12" s="399" t="n"/>
      <c r="BB12" s="399" t="n"/>
      <c r="BC12" s="399" t="n"/>
      <c r="BD12" s="399" t="n"/>
      <c r="BE12" s="399" t="n"/>
      <c r="BF12" s="399" t="n"/>
      <c r="BG12" s="399" t="n"/>
      <c r="BH12" s="399" t="n"/>
      <c r="BI12" s="399" t="n"/>
      <c r="BJ12" s="399" t="n"/>
      <c r="BK12" s="399" t="n"/>
      <c r="BL12" s="399" t="n"/>
      <c r="BM12" s="399" t="n"/>
      <c r="BN12" s="399" t="n"/>
      <c r="BO12" s="399" t="n"/>
      <c r="BP12" s="399" t="n"/>
      <c r="BQ12" s="399" t="n"/>
      <c r="BR12" s="399" t="n"/>
      <c r="BS12" s="399" t="n"/>
      <c r="BT12" s="399" t="n"/>
      <c r="BU12" s="399" t="n"/>
      <c r="BV12" s="399" t="n"/>
      <c r="BW12" s="399" t="n"/>
      <c r="BX12" s="399" t="n"/>
      <c r="BY12" s="399" t="n"/>
      <c r="BZ12" s="399" t="n"/>
      <c r="CA12" s="399" t="n"/>
      <c r="CB12" s="399" t="n"/>
      <c r="CC12" s="399" t="n"/>
      <c r="CD12" s="399" t="n"/>
      <c r="CE12" s="399" t="n"/>
      <c r="CF12" s="399" t="n"/>
      <c r="CG12" s="399" t="n"/>
      <c r="CH12" s="399" t="n"/>
      <c r="CI12" s="399" t="n"/>
      <c r="CJ12" s="399" t="n"/>
      <c r="CK12" s="399" t="n"/>
      <c r="CL12" s="399" t="n"/>
      <c r="CM12" s="399" t="n"/>
      <c r="CN12" s="399" t="n"/>
      <c r="CO12" s="399" t="n"/>
      <c r="CP12" s="399" t="n"/>
      <c r="CQ12" s="399" t="n"/>
      <c r="CR12" s="399" t="n"/>
      <c r="CS12" s="399" t="n"/>
      <c r="CT12" s="399" t="n"/>
      <c r="CU12" s="399" t="n"/>
      <c r="CV12" s="399" t="n"/>
      <c r="CW12" s="399" t="n"/>
      <c r="CX12" s="399" t="n"/>
      <c r="CY12" s="399" t="n"/>
      <c r="CZ12" s="399" t="n"/>
      <c r="DA12" s="399" t="n"/>
      <c r="DB12" s="399" t="n"/>
      <c r="DC12" s="399" t="n"/>
      <c r="DD12" s="399" t="n"/>
      <c r="DE12" s="399" t="n"/>
    </row>
    <row r="13" hidden="1" outlineLevel="1" ht="15" customFormat="1" customHeight="1" s="380">
      <c r="A13" s="407" t="inlineStr">
        <is>
          <t>Crenshaw</t>
        </is>
      </c>
      <c r="B13" s="399" t="n">
        <v>392800.48</v>
      </c>
      <c r="C13" s="399" t="n">
        <v>636911.23</v>
      </c>
      <c r="D13" s="399" t="n">
        <v>648749.35</v>
      </c>
      <c r="E13" s="399" t="n">
        <v>704050.62</v>
      </c>
      <c r="F13" s="399" t="n">
        <v>711605.75</v>
      </c>
      <c r="G13" s="399" t="n">
        <v>887472.42</v>
      </c>
      <c r="H13" s="399" t="n">
        <v>1089049.37</v>
      </c>
      <c r="I13" s="399">
        <f>4190687.77*Curves!F$6/SUM(Curves!$E$6:$I$6)</f>
        <v/>
      </c>
      <c r="J13" s="399">
        <f>4190687.77*Curves!G$6/SUM(Curves!$E$6:$I$6)</f>
        <v/>
      </c>
      <c r="K13" s="399">
        <f>4190687.77*Curves!H$6/SUM(Curves!$E$6:$I$6)</f>
        <v/>
      </c>
      <c r="L13" s="399">
        <f>4190687.77*Curves!I$6/SUM(Curves!$E$6:$I$6)</f>
        <v/>
      </c>
      <c r="M13" s="399">
        <f>IF(AND(Projects!$G$2="Yes",M$3&gt;=Projects!$C$2,M$3&lt;Projects!$C$2+Projects!$D$2),Projects!$B$2*INDEX(Curves!$B$6:$AR$6,1,M$3-Projects!$C$2+1),0)-IF(AND(Projects!$G$2="Yes",M$3&gt;=Projects!$C$2,M$3&lt;Projects!$C$2+Projects!$D$2),Projects!$B$2*(Assumptions!$B$10+Assumptions!$B$11+Assumptions!$B$12)/Projects!$D$2*0.95,0)-IF(AND(Projects!$G$2="Yes",M$3=Projects!$C$2+Projects!$D$2-1),Projects!$B$2*(Assumptions!$B$10+Assumptions!$B$11+Assumptions!$B$12)*0.05,0)</f>
        <v/>
      </c>
      <c r="N13" s="399">
        <f>IF(AND(Projects!$G$2="Yes",N$3&gt;=Projects!$C$2,N$3&lt;Projects!$C$2+Projects!$D$2),Projects!$B$2*INDEX(Curves!$B$6:$AR$6,1,N$3-Projects!$C$2+1),0)-IF(AND(Projects!$G$2="Yes",N$3&gt;=Projects!$C$2,N$3&lt;Projects!$C$2+Projects!$D$2),Projects!$B$2*(Assumptions!$B$10+Assumptions!$B$11+Assumptions!$B$12)/Projects!$D$2*0.95,0)-IF(AND(Projects!$G$2="Yes",N$3=Projects!$C$2+Projects!$D$2-1),Projects!$B$2*(Assumptions!$B$10+Assumptions!$B$11+Assumptions!$B$12)*0.05,0)</f>
        <v/>
      </c>
      <c r="O13" s="399">
        <f>IF(AND(Projects!$G$2="Yes",O$3&gt;=Projects!$C$2,O$3&lt;Projects!$C$2+Projects!$D$2),Projects!$B$2*INDEX(Curves!$B$6:$AR$6,1,O$3-Projects!$C$2+1),0)-IF(AND(Projects!$G$2="Yes",O$3&gt;=Projects!$C$2,O$3&lt;Projects!$C$2+Projects!$D$2),Projects!$B$2*(Assumptions!$B$10+Assumptions!$B$11+Assumptions!$B$12)/Projects!$D$2*0.95,0)-IF(AND(Projects!$G$2="Yes",O$3=Projects!$C$2+Projects!$D$2-1),Projects!$B$2*(Assumptions!$B$10+Assumptions!$B$11+Assumptions!$B$12)*0.05,0)</f>
        <v/>
      </c>
      <c r="P13" s="399">
        <f>IF(AND(Projects!$G$2="Yes",P$3&gt;=Projects!$C$2,P$3&lt;Projects!$C$2+Projects!$D$2),Projects!$B$2*INDEX(Curves!$B$6:$AR$6,1,P$3-Projects!$C$2+1),0)-IF(AND(Projects!$G$2="Yes",P$3&gt;=Projects!$C$2,P$3&lt;Projects!$C$2+Projects!$D$2),Projects!$B$2*(Assumptions!$B$10+Assumptions!$B$11+Assumptions!$B$12)/Projects!$D$2*0.95,0)-IF(AND(Projects!$G$2="Yes",P$3=Projects!$C$2+Projects!$D$2-1),Projects!$B$2*(Assumptions!$B$10+Assumptions!$B$11+Assumptions!$B$12)*0.05,0)</f>
        <v/>
      </c>
      <c r="Q13" s="399">
        <f>IF(AND(Projects!$G$2="Yes",Q$3&gt;=Projects!$C$2,Q$3&lt;Projects!$C$2+Projects!$D$2),Projects!$B$2*INDEX(Curves!$B$6:$AR$6,1,Q$3-Projects!$C$2+1),0)-IF(AND(Projects!$G$2="Yes",Q$3&gt;=Projects!$C$2,Q$3&lt;Projects!$C$2+Projects!$D$2),Projects!$B$2*(Assumptions!$B$10+Assumptions!$B$11+Assumptions!$B$12)/Projects!$D$2*0.95,0)-IF(AND(Projects!$G$2="Yes",Q$3=Projects!$C$2+Projects!$D$2-1),Projects!$B$2*(Assumptions!$B$10+Assumptions!$B$11+Assumptions!$B$12)*0.05,0)</f>
        <v/>
      </c>
      <c r="R13" s="399">
        <f>IF(AND(Projects!$G$2="Yes",R$3&gt;=Projects!$C$2,R$3&lt;Projects!$C$2+Projects!$D$2),Projects!$B$2*INDEX(Curves!$B$6:$AR$6,1,R$3-Projects!$C$2+1),0)-IF(AND(Projects!$G$2="Yes",R$3&gt;=Projects!$C$2,R$3&lt;Projects!$C$2+Projects!$D$2),Projects!$B$2*(Assumptions!$B$10+Assumptions!$B$11+Assumptions!$B$12)/Projects!$D$2*0.95,0)-IF(AND(Projects!$G$2="Yes",R$3=Projects!$C$2+Projects!$D$2-1),Projects!$B$2*(Assumptions!$B$10+Assumptions!$B$11+Assumptions!$B$12)*0.05,0)</f>
        <v/>
      </c>
      <c r="S13" s="399">
        <f>IF(AND(Projects!$G$2="Yes",S$3&gt;=Projects!$C$2,S$3&lt;Projects!$C$2+Projects!$D$2),Projects!$B$2*INDEX(Curves!$B$6:$AR$6,1,S$3-Projects!$C$2+1),0)-IF(AND(Projects!$G$2="Yes",S$3&gt;=Projects!$C$2,S$3&lt;Projects!$C$2+Projects!$D$2),Projects!$B$2*(Assumptions!$B$10+Assumptions!$B$11+Assumptions!$B$12)/Projects!$D$2*0.95,0)-IF(AND(Projects!$G$2="Yes",S$3=Projects!$C$2+Projects!$D$2-1),Projects!$B$2*(Assumptions!$B$10+Assumptions!$B$11+Assumptions!$B$12)*0.05,0)</f>
        <v/>
      </c>
      <c r="T13" s="399">
        <f>IF(AND(Projects!$G$2="Yes",T$3&gt;=Projects!$C$2,T$3&lt;Projects!$C$2+Projects!$D$2),Projects!$B$2*INDEX(Curves!$B$6:$AR$6,1,T$3-Projects!$C$2+1),0)-IF(AND(Projects!$G$2="Yes",T$3&gt;=Projects!$C$2,T$3&lt;Projects!$C$2+Projects!$D$2),Projects!$B$2*(Assumptions!$B$10+Assumptions!$B$11+Assumptions!$B$12)/Projects!$D$2*0.95,0)-IF(AND(Projects!$G$2="Yes",T$3=Projects!$C$2+Projects!$D$2-1),Projects!$B$2*(Assumptions!$B$10+Assumptions!$B$11+Assumptions!$B$12)*0.05,0)</f>
        <v/>
      </c>
      <c r="U13" s="399">
        <f>IF(AND(Projects!$G$2="Yes",U$3&gt;=Projects!$C$2,U$3&lt;Projects!$C$2+Projects!$D$2),Projects!$B$2*INDEX(Curves!$B$6:$AR$6,1,U$3-Projects!$C$2+1),0)-IF(AND(Projects!$G$2="Yes",U$3&gt;=Projects!$C$2,U$3&lt;Projects!$C$2+Projects!$D$2),Projects!$B$2*(Assumptions!$B$10+Assumptions!$B$11+Assumptions!$B$12)/Projects!$D$2*0.95,0)-IF(AND(Projects!$G$2="Yes",U$3=Projects!$C$2+Projects!$D$2-1),Projects!$B$2*(Assumptions!$B$10+Assumptions!$B$11+Assumptions!$B$12)*0.05,0)</f>
        <v/>
      </c>
      <c r="V13" s="399">
        <f>IF(AND(Projects!$G$2="Yes",V$3&gt;=Projects!$C$2,V$3&lt;Projects!$C$2+Projects!$D$2),Projects!$B$2*INDEX(Curves!$B$6:$AR$6,1,V$3-Projects!$C$2+1),0)-IF(AND(Projects!$G$2="Yes",V$3&gt;=Projects!$C$2,V$3&lt;Projects!$C$2+Projects!$D$2),Projects!$B$2*(Assumptions!$B$10+Assumptions!$B$11+Assumptions!$B$12)/Projects!$D$2*0.95,0)-IF(AND(Projects!$G$2="Yes",V$3=Projects!$C$2+Projects!$D$2-1),Projects!$B$2*(Assumptions!$B$10+Assumptions!$B$11+Assumptions!$B$12)*0.05,0)</f>
        <v/>
      </c>
      <c r="W13" s="399">
        <f>IF(AND(Projects!$G$2="Yes",W$3&gt;=Projects!$C$2,W$3&lt;Projects!$C$2+Projects!$D$2),Projects!$B$2*INDEX(Curves!$B$6:$AR$6,1,W$3-Projects!$C$2+1),0)-IF(AND(Projects!$G$2="Yes",W$3&gt;=Projects!$C$2,W$3&lt;Projects!$C$2+Projects!$D$2),Projects!$B$2*(Assumptions!$B$10+Assumptions!$B$11+Assumptions!$B$12)/Projects!$D$2*0.95,0)-IF(AND(Projects!$G$2="Yes",W$3=Projects!$C$2+Projects!$D$2-1),Projects!$B$2*(Assumptions!$B$10+Assumptions!$B$11+Assumptions!$B$12)*0.05,0)</f>
        <v/>
      </c>
      <c r="X13" s="399">
        <f>IF(AND(Projects!$G$2="Yes",X$3&gt;=Projects!$C$2,X$3&lt;Projects!$C$2+Projects!$D$2),Projects!$B$2*INDEX(Curves!$B$6:$AR$6,1,X$3-Projects!$C$2+1),0)-IF(AND(Projects!$G$2="Yes",X$3&gt;=Projects!$C$2,X$3&lt;Projects!$C$2+Projects!$D$2),Projects!$B$2*(Assumptions!$B$10+Assumptions!$B$11+Assumptions!$B$12)/Projects!$D$2*0.95,0)-IF(AND(Projects!$G$2="Yes",X$3=Projects!$C$2+Projects!$D$2-1),Projects!$B$2*(Assumptions!$B$10+Assumptions!$B$11+Assumptions!$B$12)*0.05,0)</f>
        <v/>
      </c>
      <c r="Y13" s="399">
        <f>IF(AND(Projects!$G$2="Yes",Y$3&gt;=Projects!$C$2,Y$3&lt;Projects!$C$2+Projects!$D$2),Projects!$B$2*INDEX(Curves!$B$6:$AR$6,1,Y$3-Projects!$C$2+1),0)-IF(AND(Projects!$G$2="Yes",Y$3&gt;=Projects!$C$2,Y$3&lt;Projects!$C$2+Projects!$D$2),Projects!$B$2*(Assumptions!$B$10+Assumptions!$B$11+Assumptions!$B$12)/Projects!$D$2*0.95,0)-IF(AND(Projects!$G$2="Yes",Y$3=Projects!$C$2+Projects!$D$2-1),Projects!$B$2*(Assumptions!$B$10+Assumptions!$B$11+Assumptions!$B$12)*0.05,0)</f>
        <v/>
      </c>
      <c r="Z13" s="399">
        <f>IF(AND(Projects!$G$2="Yes",Z$3&gt;=Projects!$C$2,Z$3&lt;Projects!$C$2+Projects!$D$2),Projects!$B$2*INDEX(Curves!$B$6:$AR$6,1,Z$3-Projects!$C$2+1),0)-IF(AND(Projects!$G$2="Yes",Z$3&gt;=Projects!$C$2,Z$3&lt;Projects!$C$2+Projects!$D$2),Projects!$B$2*(Assumptions!$B$10+Assumptions!$B$11+Assumptions!$B$12)/Projects!$D$2*0.95,0)-IF(AND(Projects!$G$2="Yes",Z$3=Projects!$C$2+Projects!$D$2-1),Projects!$B$2*(Assumptions!$B$10+Assumptions!$B$11+Assumptions!$B$12)*0.05,0)</f>
        <v/>
      </c>
      <c r="AA13" s="399">
        <f>IF(AND(Projects!$G$2="Yes",AA$3&gt;=Projects!$C$2,AA$3&lt;Projects!$C$2+Projects!$D$2),Projects!$B$2*INDEX(Curves!$B$6:$AR$6,1,AA$3-Projects!$C$2+1),0)-IF(AND(Projects!$G$2="Yes",AA$3&gt;=Projects!$C$2,AA$3&lt;Projects!$C$2+Projects!$D$2),Projects!$B$2*(Assumptions!$B$10+Assumptions!$B$11+Assumptions!$B$12)/Projects!$D$2*0.95,0)-IF(AND(Projects!$G$2="Yes",AA$3=Projects!$C$2+Projects!$D$2-1),Projects!$B$2*(Assumptions!$B$10+Assumptions!$B$11+Assumptions!$B$12)*0.05,0)</f>
        <v/>
      </c>
      <c r="AB13" s="399">
        <f>IF(AND(Projects!$G$2="Yes",AB$3&gt;=Projects!$C$2,AB$3&lt;Projects!$C$2+Projects!$D$2),Projects!$B$2*INDEX(Curves!$B$6:$AR$6,1,AB$3-Projects!$C$2+1),0)-IF(AND(Projects!$G$2="Yes",AB$3&gt;=Projects!$C$2,AB$3&lt;Projects!$C$2+Projects!$D$2),Projects!$B$2*(Assumptions!$B$10+Assumptions!$B$11+Assumptions!$B$12)/Projects!$D$2*0.95,0)-IF(AND(Projects!$G$2="Yes",AB$3=Projects!$C$2+Projects!$D$2-1),Projects!$B$2*(Assumptions!$B$10+Assumptions!$B$11+Assumptions!$B$12)*0.05,0)</f>
        <v/>
      </c>
      <c r="AC13" s="399">
        <f>IF(AND(Projects!$G$2="Yes",AC$3&gt;=Projects!$C$2,AC$3&lt;Projects!$C$2+Projects!$D$2),Projects!$B$2*INDEX(Curves!$B$6:$AR$6,1,AC$3-Projects!$C$2+1),0)-IF(AND(Projects!$G$2="Yes",AC$3&gt;=Projects!$C$2,AC$3&lt;Projects!$C$2+Projects!$D$2),Projects!$B$2*(Assumptions!$B$10+Assumptions!$B$11+Assumptions!$B$12)/Projects!$D$2*0.95,0)-IF(AND(Projects!$G$2="Yes",AC$3=Projects!$C$2+Projects!$D$2-1),Projects!$B$2*(Assumptions!$B$10+Assumptions!$B$11+Assumptions!$B$12)*0.05,0)</f>
        <v/>
      </c>
      <c r="AD13" s="399">
        <f>IF(AND(Projects!$G$2="Yes",AD$3&gt;=Projects!$C$2,AD$3&lt;Projects!$C$2+Projects!$D$2),Projects!$B$2*INDEX(Curves!$B$6:$AR$6,1,AD$3-Projects!$C$2+1),0)-IF(AND(Projects!$G$2="Yes",AD$3&gt;=Projects!$C$2,AD$3&lt;Projects!$C$2+Projects!$D$2),Projects!$B$2*(Assumptions!$B$10+Assumptions!$B$11+Assumptions!$B$12)/Projects!$D$2*0.95,0)-IF(AND(Projects!$G$2="Yes",AD$3=Projects!$C$2+Projects!$D$2-1),Projects!$B$2*(Assumptions!$B$10+Assumptions!$B$11+Assumptions!$B$12)*0.05,0)</f>
        <v/>
      </c>
      <c r="AE13" s="399">
        <f>IF(AND(Projects!$G$2="Yes",AE$3&gt;=Projects!$C$2,AE$3&lt;Projects!$C$2+Projects!$D$2),Projects!$B$2*INDEX(Curves!$B$6:$AR$6,1,AE$3-Projects!$C$2+1),0)-IF(AND(Projects!$G$2="Yes",AE$3&gt;=Projects!$C$2,AE$3&lt;Projects!$C$2+Projects!$D$2),Projects!$B$2*(Assumptions!$B$10+Assumptions!$B$11+Assumptions!$B$12)/Projects!$D$2*0.95,0)-IF(AND(Projects!$G$2="Yes",AE$3=Projects!$C$2+Projects!$D$2-1),Projects!$B$2*(Assumptions!$B$10+Assumptions!$B$11+Assumptions!$B$12)*0.05,0)</f>
        <v/>
      </c>
      <c r="AF13" s="399">
        <f>IF(AND(Projects!$G$2="Yes",AF$3&gt;=Projects!$C$2,AF$3&lt;Projects!$C$2+Projects!$D$2),Projects!$B$2*INDEX(Curves!$B$6:$AR$6,1,AF$3-Projects!$C$2+1),0)-IF(AND(Projects!$G$2="Yes",AF$3&gt;=Projects!$C$2,AF$3&lt;Projects!$C$2+Projects!$D$2),Projects!$B$2*(Assumptions!$B$10+Assumptions!$B$11+Assumptions!$B$12)/Projects!$D$2*0.95,0)-IF(AND(Projects!$G$2="Yes",AF$3=Projects!$C$2+Projects!$D$2-1),Projects!$B$2*(Assumptions!$B$10+Assumptions!$B$11+Assumptions!$B$12)*0.05,0)</f>
        <v/>
      </c>
      <c r="AG13" s="399">
        <f>IF(AND(Projects!$G$2="Yes",AG$3&gt;=Projects!$C$2,AG$3&lt;Projects!$C$2+Projects!$D$2),Projects!$B$2*INDEX(Curves!$B$6:$AR$6,1,AG$3-Projects!$C$2+1),0)-IF(AND(Projects!$G$2="Yes",AG$3&gt;=Projects!$C$2,AG$3&lt;Projects!$C$2+Projects!$D$2),Projects!$B$2*(Assumptions!$B$10+Assumptions!$B$11+Assumptions!$B$12)/Projects!$D$2*0.95,0)-IF(AND(Projects!$G$2="Yes",AG$3=Projects!$C$2+Projects!$D$2-1),Projects!$B$2*(Assumptions!$B$10+Assumptions!$B$11+Assumptions!$B$12)*0.05,0)</f>
        <v/>
      </c>
      <c r="AH13" s="399">
        <f>IF(AND(Projects!$G$2="Yes",AH$3&gt;=Projects!$C$2,AH$3&lt;Projects!$C$2+Projects!$D$2),Projects!$B$2*INDEX(Curves!$B$6:$AR$6,1,AH$3-Projects!$C$2+1),0)-IF(AND(Projects!$G$2="Yes",AH$3&gt;=Projects!$C$2,AH$3&lt;Projects!$C$2+Projects!$D$2),Projects!$B$2*(Assumptions!$B$10+Assumptions!$B$11+Assumptions!$B$12)/Projects!$D$2*0.95,0)-IF(AND(Projects!$G$2="Yes",AH$3=Projects!$C$2+Projects!$D$2-1),Projects!$B$2*(Assumptions!$B$10+Assumptions!$B$11+Assumptions!$B$12)*0.05,0)</f>
        <v/>
      </c>
      <c r="AI13" s="399">
        <f>IF(AND(Projects!$G$2="Yes",AI$3&gt;=Projects!$C$2,AI$3&lt;Projects!$C$2+Projects!$D$2),Projects!$B$2*INDEX(Curves!$B$6:$AR$6,1,AI$3-Projects!$C$2+1),0)-IF(AND(Projects!$G$2="Yes",AI$3&gt;=Projects!$C$2,AI$3&lt;Projects!$C$2+Projects!$D$2),Projects!$B$2*(Assumptions!$B$10+Assumptions!$B$11+Assumptions!$B$12)/Projects!$D$2*0.95,0)-IF(AND(Projects!$G$2="Yes",AI$3=Projects!$C$2+Projects!$D$2-1),Projects!$B$2*(Assumptions!$B$10+Assumptions!$B$11+Assumptions!$B$12)*0.05,0)</f>
        <v/>
      </c>
      <c r="AJ13" s="399">
        <f>IF(AND(Projects!$G$2="Yes",AJ$3&gt;=Projects!$C$2,AJ$3&lt;Projects!$C$2+Projects!$D$2),Projects!$B$2*INDEX(Curves!$B$6:$AR$6,1,AJ$3-Projects!$C$2+1),0)-IF(AND(Projects!$G$2="Yes",AJ$3&gt;=Projects!$C$2,AJ$3&lt;Projects!$C$2+Projects!$D$2),Projects!$B$2*(Assumptions!$B$10+Assumptions!$B$11+Assumptions!$B$12)/Projects!$D$2*0.95,0)-IF(AND(Projects!$G$2="Yes",AJ$3=Projects!$C$2+Projects!$D$2-1),Projects!$B$2*(Assumptions!$B$10+Assumptions!$B$11+Assumptions!$B$12)*0.05,0)</f>
        <v/>
      </c>
      <c r="AK13" s="399">
        <f>IF(AND(Projects!$G$2="Yes",AK$3&gt;=Projects!$C$2,AK$3&lt;Projects!$C$2+Projects!$D$2),Projects!$B$2*INDEX(Curves!$B$6:$AR$6,1,AK$3-Projects!$C$2+1),0)-IF(AND(Projects!$G$2="Yes",AK$3&gt;=Projects!$C$2,AK$3&lt;Projects!$C$2+Projects!$D$2),Projects!$B$2*(Assumptions!$B$10+Assumptions!$B$11+Assumptions!$B$12)/Projects!$D$2*0.95,0)-IF(AND(Projects!$G$2="Yes",AK$3=Projects!$C$2+Projects!$D$2-1),Projects!$B$2*(Assumptions!$B$10+Assumptions!$B$11+Assumptions!$B$12)*0.05,0)</f>
        <v/>
      </c>
      <c r="AL13" s="399">
        <f>IF(AND(Projects!$G$2="Yes",AL$3&gt;=Projects!$C$2,AL$3&lt;Projects!$C$2+Projects!$D$2),Projects!$B$2*INDEX(Curves!$B$6:$AR$6,1,AL$3-Projects!$C$2+1),0)-IF(AND(Projects!$G$2="Yes",AL$3&gt;=Projects!$C$2,AL$3&lt;Projects!$C$2+Projects!$D$2),Projects!$B$2*(Assumptions!$B$10+Assumptions!$B$11+Assumptions!$B$12)/Projects!$D$2*0.95,0)-IF(AND(Projects!$G$2="Yes",AL$3=Projects!$C$2+Projects!$D$2-1),Projects!$B$2*(Assumptions!$B$10+Assumptions!$B$11+Assumptions!$B$12)*0.05,0)</f>
        <v/>
      </c>
      <c r="AM13" s="399">
        <f>IF(AND(Projects!$G$2="Yes",AM$3&gt;=Projects!$C$2,AM$3&lt;Projects!$C$2+Projects!$D$2),Projects!$B$2*INDEX(Curves!$B$6:$AR$6,1,AM$3-Projects!$C$2+1),0)-IF(AND(Projects!$G$2="Yes",AM$3&gt;=Projects!$C$2,AM$3&lt;Projects!$C$2+Projects!$D$2),Projects!$B$2*(Assumptions!$B$10+Assumptions!$B$11+Assumptions!$B$12)/Projects!$D$2*0.95,0)-IF(AND(Projects!$G$2="Yes",AM$3=Projects!$C$2+Projects!$D$2-1),Projects!$B$2*(Assumptions!$B$10+Assumptions!$B$11+Assumptions!$B$12)*0.05,0)</f>
        <v/>
      </c>
      <c r="AN13" s="399">
        <f>IF(AND(Projects!$G$2="Yes",AN$3&gt;=Projects!$C$2,AN$3&lt;Projects!$C$2+Projects!$D$2),Projects!$B$2*INDEX(Curves!$B$6:$AR$6,1,AN$3-Projects!$C$2+1),0)-IF(AND(Projects!$G$2="Yes",AN$3&gt;=Projects!$C$2,AN$3&lt;Projects!$C$2+Projects!$D$2),Projects!$B$2*(Assumptions!$B$10+Assumptions!$B$11+Assumptions!$B$12)/Projects!$D$2*0.95,0)-IF(AND(Projects!$G$2="Yes",AN$3=Projects!$C$2+Projects!$D$2-1),Projects!$B$2*(Assumptions!$B$10+Assumptions!$B$11+Assumptions!$B$12)*0.05,0)</f>
        <v/>
      </c>
      <c r="AO13" s="399">
        <f>IF(AND(Projects!$G$2="Yes",AO$3&gt;=Projects!$C$2,AO$3&lt;Projects!$C$2+Projects!$D$2),Projects!$B$2*INDEX(Curves!$B$6:$AR$6,1,AO$3-Projects!$C$2+1),0)-IF(AND(Projects!$G$2="Yes",AO$3&gt;=Projects!$C$2,AO$3&lt;Projects!$C$2+Projects!$D$2),Projects!$B$2*(Assumptions!$B$10+Assumptions!$B$11+Assumptions!$B$12)/Projects!$D$2*0.95,0)-IF(AND(Projects!$G$2="Yes",AO$3=Projects!$C$2+Projects!$D$2-1),Projects!$B$2*(Assumptions!$B$10+Assumptions!$B$11+Assumptions!$B$12)*0.05,0)</f>
        <v/>
      </c>
      <c r="AP13" s="399">
        <f>IF(AND(Projects!$G$2="Yes",AP$3&gt;=Projects!$C$2,AP$3&lt;Projects!$C$2+Projects!$D$2),Projects!$B$2*INDEX(Curves!$B$6:$AR$6,1,AP$3-Projects!$C$2+1),0)-IF(AND(Projects!$G$2="Yes",AP$3&gt;=Projects!$C$2,AP$3&lt;Projects!$C$2+Projects!$D$2),Projects!$B$2*(Assumptions!$B$10+Assumptions!$B$11+Assumptions!$B$12)/Projects!$D$2*0.95,0)-IF(AND(Projects!$G$2="Yes",AP$3=Projects!$C$2+Projects!$D$2-1),Projects!$B$2*(Assumptions!$B$10+Assumptions!$B$11+Assumptions!$B$12)*0.05,0)</f>
        <v/>
      </c>
      <c r="AQ13" s="399">
        <f>IF(AND(Projects!$G$2="Yes",AQ$3&gt;=Projects!$C$2,AQ$3&lt;Projects!$C$2+Projects!$D$2),Projects!$B$2*INDEX(Curves!$B$6:$AR$6,1,AQ$3-Projects!$C$2+1),0)-IF(AND(Projects!$G$2="Yes",AQ$3&gt;=Projects!$C$2,AQ$3&lt;Projects!$C$2+Projects!$D$2),Projects!$B$2*(Assumptions!$B$10+Assumptions!$B$11+Assumptions!$B$12)/Projects!$D$2*0.95,0)-IF(AND(Projects!$G$2="Yes",AQ$3=Projects!$C$2+Projects!$D$2-1),Projects!$B$2*(Assumptions!$B$10+Assumptions!$B$11+Assumptions!$B$12)*0.05,0)</f>
        <v/>
      </c>
      <c r="AR13" s="399">
        <f>IF(AND(Projects!$G$2="Yes",AR$3&gt;=Projects!$C$2,AR$3&lt;Projects!$C$2+Projects!$D$2),Projects!$B$2*INDEX(Curves!$B$6:$AR$6,1,AR$3-Projects!$C$2+1),0)-IF(AND(Projects!$G$2="Yes",AR$3&gt;=Projects!$C$2,AR$3&lt;Projects!$C$2+Projects!$D$2),Projects!$B$2*(Assumptions!$B$10+Assumptions!$B$11+Assumptions!$B$12)/Projects!$D$2*0.95,0)-IF(AND(Projects!$G$2="Yes",AR$3=Projects!$C$2+Projects!$D$2-1),Projects!$B$2*(Assumptions!$B$10+Assumptions!$B$11+Assumptions!$B$12)*0.05,0)</f>
        <v/>
      </c>
      <c r="AS13" s="399">
        <f>IF(AND(Projects!$G$2="Yes",AS$3&gt;=Projects!$C$2,AS$3&lt;Projects!$C$2+Projects!$D$2),Projects!$B$2*INDEX(Curves!$B$6:$AR$6,1,AS$3-Projects!$C$2+1),0)-IF(AND(Projects!$G$2="Yes",AS$3&gt;=Projects!$C$2,AS$3&lt;Projects!$C$2+Projects!$D$2),Projects!$B$2*(Assumptions!$B$10+Assumptions!$B$11+Assumptions!$B$12)/Projects!$D$2*0.95,0)-IF(AND(Projects!$G$2="Yes",AS$3=Projects!$C$2+Projects!$D$2-1),Projects!$B$2*(Assumptions!$B$10+Assumptions!$B$11+Assumptions!$B$12)*0.05,0)</f>
        <v/>
      </c>
      <c r="AT13" s="399">
        <f>IF(AND(Projects!$G$2="Yes",AT$3&gt;=Projects!$C$2,AT$3&lt;Projects!$C$2+Projects!$D$2),Projects!$B$2*INDEX(Curves!$B$6:$AR$6,1,AT$3-Projects!$C$2+1),0)-IF(AND(Projects!$G$2="Yes",AT$3&gt;=Projects!$C$2,AT$3&lt;Projects!$C$2+Projects!$D$2),Projects!$B$2*(Assumptions!$B$10+Assumptions!$B$11+Assumptions!$B$12)/Projects!$D$2*0.95,0)-IF(AND(Projects!$G$2="Yes",AT$3=Projects!$C$2+Projects!$D$2-1),Projects!$B$2*(Assumptions!$B$10+Assumptions!$B$11+Assumptions!$B$12)*0.05,0)</f>
        <v/>
      </c>
      <c r="AU13" s="399">
        <f>IF(AND(Projects!$G$2="Yes",AU$3&gt;=Projects!$C$2,AU$3&lt;Projects!$C$2+Projects!$D$2),Projects!$B$2*INDEX(Curves!$B$6:$AR$6,1,AU$3-Projects!$C$2+1),0)-IF(AND(Projects!$G$2="Yes",AU$3&gt;=Projects!$C$2,AU$3&lt;Projects!$C$2+Projects!$D$2),Projects!$B$2*(Assumptions!$B$10+Assumptions!$B$11+Assumptions!$B$12)/Projects!$D$2*0.95,0)-IF(AND(Projects!$G$2="Yes",AU$3=Projects!$C$2+Projects!$D$2-1),Projects!$B$2*(Assumptions!$B$10+Assumptions!$B$11+Assumptions!$B$12)*0.05,0)</f>
        <v/>
      </c>
      <c r="AV13" s="399">
        <f>IF(AND(Projects!$G$2="Yes",AV$3&gt;=Projects!$C$2,AV$3&lt;Projects!$C$2+Projects!$D$2),Projects!$B$2*INDEX(Curves!$B$6:$AR$6,1,AV$3-Projects!$C$2+1),0)-IF(AND(Projects!$G$2="Yes",AV$3&gt;=Projects!$C$2,AV$3&lt;Projects!$C$2+Projects!$D$2),Projects!$B$2*(Assumptions!$B$10+Assumptions!$B$11+Assumptions!$B$12)/Projects!$D$2*0.95,0)-IF(AND(Projects!$G$2="Yes",AV$3=Projects!$C$2+Projects!$D$2-1),Projects!$B$2*(Assumptions!$B$10+Assumptions!$B$11+Assumptions!$B$12)*0.05,0)</f>
        <v/>
      </c>
      <c r="AW13" s="399">
        <f>IF(AND(Projects!$G$2="Yes",AW$3&gt;=Projects!$C$2,AW$3&lt;Projects!$C$2+Projects!$D$2),Projects!$B$2*INDEX(Curves!$B$6:$AR$6,1,AW$3-Projects!$C$2+1),0)-IF(AND(Projects!$G$2="Yes",AW$3&gt;=Projects!$C$2,AW$3&lt;Projects!$C$2+Projects!$D$2),Projects!$B$2*(Assumptions!$B$10+Assumptions!$B$11+Assumptions!$B$12)/Projects!$D$2*0.95,0)-IF(AND(Projects!$G$2="Yes",AW$3=Projects!$C$2+Projects!$D$2-1),Projects!$B$2*(Assumptions!$B$10+Assumptions!$B$11+Assumptions!$B$12)*0.05,0)</f>
        <v/>
      </c>
      <c r="AX13" s="399">
        <f>IF(AND(Projects!$G$2="Yes",AX$3&gt;=Projects!$C$2,AX$3&lt;Projects!$C$2+Projects!$D$2),Projects!$B$2*INDEX(Curves!$B$6:$AR$6,1,AX$3-Projects!$C$2+1),0)-IF(AND(Projects!$G$2="Yes",AX$3&gt;=Projects!$C$2,AX$3&lt;Projects!$C$2+Projects!$D$2),Projects!$B$2*(Assumptions!$B$10+Assumptions!$B$11+Assumptions!$B$12)/Projects!$D$2*0.95,0)-IF(AND(Projects!$G$2="Yes",AX$3=Projects!$C$2+Projects!$D$2-1),Projects!$B$2*(Assumptions!$B$10+Assumptions!$B$11+Assumptions!$B$12)*0.05,0)</f>
        <v/>
      </c>
      <c r="AY13" s="399">
        <f>IF(AND(Projects!$G$2="Yes",AY$3&gt;=Projects!$C$2,AY$3&lt;Projects!$C$2+Projects!$D$2),Projects!$B$2*INDEX(Curves!$B$6:$AR$6,1,AY$3-Projects!$C$2+1),0)-IF(AND(Projects!$G$2="Yes",AY$3&gt;=Projects!$C$2,AY$3&lt;Projects!$C$2+Projects!$D$2),Projects!$B$2*(Assumptions!$B$10+Assumptions!$B$11+Assumptions!$B$12)/Projects!$D$2*0.95,0)-IF(AND(Projects!$G$2="Yes",AY$3=Projects!$C$2+Projects!$D$2-1),Projects!$B$2*(Assumptions!$B$10+Assumptions!$B$11+Assumptions!$B$12)*0.05,0)</f>
        <v/>
      </c>
      <c r="AZ13" s="399">
        <f>IF(AND(Projects!$G$2="Yes",AZ$3&gt;=Projects!$C$2,AZ$3&lt;Projects!$C$2+Projects!$D$2),Projects!$B$2*INDEX(Curves!$B$6:$AR$6,1,AZ$3-Projects!$C$2+1),0)-IF(AND(Projects!$G$2="Yes",AZ$3&gt;=Projects!$C$2,AZ$3&lt;Projects!$C$2+Projects!$D$2),Projects!$B$2*(Assumptions!$B$10+Assumptions!$B$11+Assumptions!$B$12)/Projects!$D$2*0.95,0)-IF(AND(Projects!$G$2="Yes",AZ$3=Projects!$C$2+Projects!$D$2-1),Projects!$B$2*(Assumptions!$B$10+Assumptions!$B$11+Assumptions!$B$12)*0.05,0)</f>
        <v/>
      </c>
      <c r="BA13" s="399">
        <f>IF(AND(Projects!$G$2="Yes",BA$3&gt;=Projects!$C$2,BA$3&lt;Projects!$C$2+Projects!$D$2),Projects!$B$2*INDEX(Curves!$B$6:$AR$6,1,BA$3-Projects!$C$2+1),0)-IF(AND(Projects!$G$2="Yes",BA$3&gt;=Projects!$C$2,BA$3&lt;Projects!$C$2+Projects!$D$2),Projects!$B$2*(Assumptions!$B$10+Assumptions!$B$11+Assumptions!$B$12)/Projects!$D$2*0.95,0)-IF(AND(Projects!$G$2="Yes",BA$3=Projects!$C$2+Projects!$D$2-1),Projects!$B$2*(Assumptions!$B$10+Assumptions!$B$11+Assumptions!$B$12)*0.05,0)</f>
        <v/>
      </c>
      <c r="BB13" s="399">
        <f>IF(AND(Projects!$G$2="Yes",BB$3&gt;=Projects!$C$2,BB$3&lt;Projects!$C$2+Projects!$D$2),Projects!$B$2*INDEX(Curves!$B$6:$AR$6,1,BB$3-Projects!$C$2+1),0)-IF(AND(Projects!$G$2="Yes",BB$3&gt;=Projects!$C$2,BB$3&lt;Projects!$C$2+Projects!$D$2),Projects!$B$2*(Assumptions!$B$10+Assumptions!$B$11+Assumptions!$B$12)/Projects!$D$2*0.95,0)-IF(AND(Projects!$G$2="Yes",BB$3=Projects!$C$2+Projects!$D$2-1),Projects!$B$2*(Assumptions!$B$10+Assumptions!$B$11+Assumptions!$B$12)*0.05,0)</f>
        <v/>
      </c>
      <c r="BC13" s="399">
        <f>IF(AND(Projects!$G$2="Yes",BC$3&gt;=Projects!$C$2,BC$3&lt;Projects!$C$2+Projects!$D$2),Projects!$B$2*INDEX(Curves!$B$6:$AR$6,1,BC$3-Projects!$C$2+1),0)-IF(AND(Projects!$G$2="Yes",BC$3&gt;=Projects!$C$2,BC$3&lt;Projects!$C$2+Projects!$D$2),Projects!$B$2*(Assumptions!$B$10+Assumptions!$B$11+Assumptions!$B$12)/Projects!$D$2*0.95,0)-IF(AND(Projects!$G$2="Yes",BC$3=Projects!$C$2+Projects!$D$2-1),Projects!$B$2*(Assumptions!$B$10+Assumptions!$B$11+Assumptions!$B$12)*0.05,0)</f>
        <v/>
      </c>
      <c r="BD13" s="399">
        <f>IF(AND(Projects!$G$2="Yes",BD$3&gt;=Projects!$C$2,BD$3&lt;Projects!$C$2+Projects!$D$2),Projects!$B$2*INDEX(Curves!$B$6:$AR$6,1,BD$3-Projects!$C$2+1),0)-IF(AND(Projects!$G$2="Yes",BD$3&gt;=Projects!$C$2,BD$3&lt;Projects!$C$2+Projects!$D$2),Projects!$B$2*(Assumptions!$B$10+Assumptions!$B$11+Assumptions!$B$12)/Projects!$D$2*0.95,0)-IF(AND(Projects!$G$2="Yes",BD$3=Projects!$C$2+Projects!$D$2-1),Projects!$B$2*(Assumptions!$B$10+Assumptions!$B$11+Assumptions!$B$12)*0.05,0)</f>
        <v/>
      </c>
      <c r="BE13" s="399">
        <f>IF(AND(Projects!$G$2="Yes",BE$3&gt;=Projects!$C$2,BE$3&lt;Projects!$C$2+Projects!$D$2),Projects!$B$2*INDEX(Curves!$B$6:$AR$6,1,BE$3-Projects!$C$2+1),0)-IF(AND(Projects!$G$2="Yes",BE$3&gt;=Projects!$C$2,BE$3&lt;Projects!$C$2+Projects!$D$2),Projects!$B$2*(Assumptions!$B$10+Assumptions!$B$11+Assumptions!$B$12)/Projects!$D$2*0.95,0)-IF(AND(Projects!$G$2="Yes",BE$3=Projects!$C$2+Projects!$D$2-1),Projects!$B$2*(Assumptions!$B$10+Assumptions!$B$11+Assumptions!$B$12)*0.05,0)</f>
        <v/>
      </c>
      <c r="BF13" s="399">
        <f>IF(AND(Projects!$G$2="Yes",BF$3&gt;=Projects!$C$2,BF$3&lt;Projects!$C$2+Projects!$D$2),Projects!$B$2*INDEX(Curves!$B$6:$AR$6,1,BF$3-Projects!$C$2+1),0)-IF(AND(Projects!$G$2="Yes",BF$3&gt;=Projects!$C$2,BF$3&lt;Projects!$C$2+Projects!$D$2),Projects!$B$2*(Assumptions!$B$10+Assumptions!$B$11+Assumptions!$B$12)/Projects!$D$2*0.95,0)-IF(AND(Projects!$G$2="Yes",BF$3=Projects!$C$2+Projects!$D$2-1),Projects!$B$2*(Assumptions!$B$10+Assumptions!$B$11+Assumptions!$B$12)*0.05,0)</f>
        <v/>
      </c>
      <c r="BG13" s="399">
        <f>IF(AND(Projects!$G$2="Yes",BG$3&gt;=Projects!$C$2,BG$3&lt;Projects!$C$2+Projects!$D$2),Projects!$B$2*INDEX(Curves!$B$6:$AR$6,1,BG$3-Projects!$C$2+1),0)-IF(AND(Projects!$G$2="Yes",BG$3&gt;=Projects!$C$2,BG$3&lt;Projects!$C$2+Projects!$D$2),Projects!$B$2*(Assumptions!$B$10+Assumptions!$B$11+Assumptions!$B$12)/Projects!$D$2*0.95,0)-IF(AND(Projects!$G$2="Yes",BG$3=Projects!$C$2+Projects!$D$2-1),Projects!$B$2*(Assumptions!$B$10+Assumptions!$B$11+Assumptions!$B$12)*0.05,0)</f>
        <v/>
      </c>
      <c r="BH13" s="399">
        <f>IF(AND(Projects!$G$2="Yes",BH$3&gt;=Projects!$C$2,BH$3&lt;Projects!$C$2+Projects!$D$2),Projects!$B$2*INDEX(Curves!$B$6:$AR$6,1,BH$3-Projects!$C$2+1),0)-IF(AND(Projects!$G$2="Yes",BH$3&gt;=Projects!$C$2,BH$3&lt;Projects!$C$2+Projects!$D$2),Projects!$B$2*(Assumptions!$B$10+Assumptions!$B$11+Assumptions!$B$12)/Projects!$D$2*0.95,0)-IF(AND(Projects!$G$2="Yes",BH$3=Projects!$C$2+Projects!$D$2-1),Projects!$B$2*(Assumptions!$B$10+Assumptions!$B$11+Assumptions!$B$12)*0.05,0)</f>
        <v/>
      </c>
      <c r="BI13" s="399">
        <f>IF(AND(Projects!$G$2="Yes",BI$3&gt;=Projects!$C$2,BI$3&lt;Projects!$C$2+Projects!$D$2),Projects!$B$2*INDEX(Curves!$B$6:$AR$6,1,BI$3-Projects!$C$2+1),0)-IF(AND(Projects!$G$2="Yes",BI$3&gt;=Projects!$C$2,BI$3&lt;Projects!$C$2+Projects!$D$2),Projects!$B$2*(Assumptions!$B$10+Assumptions!$B$11+Assumptions!$B$12)/Projects!$D$2*0.95,0)-IF(AND(Projects!$G$2="Yes",BI$3=Projects!$C$2+Projects!$D$2-1),Projects!$B$2*(Assumptions!$B$10+Assumptions!$B$11+Assumptions!$B$12)*0.05,0)</f>
        <v/>
      </c>
      <c r="BJ13" s="399">
        <f>IF(AND(Projects!$G$2="Yes",BJ$3&gt;=Projects!$C$2,BJ$3&lt;Projects!$C$2+Projects!$D$2),Projects!$B$2*INDEX(Curves!$B$6:$AR$6,1,BJ$3-Projects!$C$2+1),0)-IF(AND(Projects!$G$2="Yes",BJ$3&gt;=Projects!$C$2,BJ$3&lt;Projects!$C$2+Projects!$D$2),Projects!$B$2*(Assumptions!$B$10+Assumptions!$B$11+Assumptions!$B$12)/Projects!$D$2*0.95,0)-IF(AND(Projects!$G$2="Yes",BJ$3=Projects!$C$2+Projects!$D$2-1),Projects!$B$2*(Assumptions!$B$10+Assumptions!$B$11+Assumptions!$B$12)*0.05,0)</f>
        <v/>
      </c>
      <c r="BK13" s="399">
        <f>IF(AND(Projects!$G$2="Yes",BK$3&gt;=Projects!$C$2,BK$3&lt;Projects!$C$2+Projects!$D$2),Projects!$B$2*INDEX(Curves!$B$6:$AR$6,1,BK$3-Projects!$C$2+1),0)-IF(AND(Projects!$G$2="Yes",BK$3&gt;=Projects!$C$2,BK$3&lt;Projects!$C$2+Projects!$D$2),Projects!$B$2*(Assumptions!$B$10+Assumptions!$B$11+Assumptions!$B$12)/Projects!$D$2*0.95,0)-IF(AND(Projects!$G$2="Yes",BK$3=Projects!$C$2+Projects!$D$2-1),Projects!$B$2*(Assumptions!$B$10+Assumptions!$B$11+Assumptions!$B$12)*0.05,0)</f>
        <v/>
      </c>
      <c r="BL13" s="399">
        <f>IF(AND(Projects!$G$2="Yes",BL$3&gt;=Projects!$C$2,BL$3&lt;Projects!$C$2+Projects!$D$2),Projects!$B$2*INDEX(Curves!$B$6:$AR$6,1,BL$3-Projects!$C$2+1),0)-IF(AND(Projects!$G$2="Yes",BL$3&gt;=Projects!$C$2,BL$3&lt;Projects!$C$2+Projects!$D$2),Projects!$B$2*(Assumptions!$B$10+Assumptions!$B$11+Assumptions!$B$12)/Projects!$D$2*0.95,0)-IF(AND(Projects!$G$2="Yes",BL$3=Projects!$C$2+Projects!$D$2-1),Projects!$B$2*(Assumptions!$B$10+Assumptions!$B$11+Assumptions!$B$12)*0.05,0)</f>
        <v/>
      </c>
      <c r="BM13" s="399">
        <f>IF(AND(Projects!$G$2="Yes",BM$3&gt;=Projects!$C$2,BM$3&lt;Projects!$C$2+Projects!$D$2),Projects!$B$2*INDEX(Curves!$B$6:$AR$6,1,BM$3-Projects!$C$2+1),0)-IF(AND(Projects!$G$2="Yes",BM$3&gt;=Projects!$C$2,BM$3&lt;Projects!$C$2+Projects!$D$2),Projects!$B$2*(Assumptions!$B$10+Assumptions!$B$11+Assumptions!$B$12)/Projects!$D$2*0.95,0)-IF(AND(Projects!$G$2="Yes",BM$3=Projects!$C$2+Projects!$D$2-1),Projects!$B$2*(Assumptions!$B$10+Assumptions!$B$11+Assumptions!$B$12)*0.05,0)</f>
        <v/>
      </c>
      <c r="BN13" s="399">
        <f>IF(AND(Projects!$G$2="Yes",BN$3&gt;=Projects!$C$2,BN$3&lt;Projects!$C$2+Projects!$D$2),Projects!$B$2*INDEX(Curves!$B$6:$AR$6,1,BN$3-Projects!$C$2+1),0)-IF(AND(Projects!$G$2="Yes",BN$3&gt;=Projects!$C$2,BN$3&lt;Projects!$C$2+Projects!$D$2),Projects!$B$2*(Assumptions!$B$10+Assumptions!$B$11+Assumptions!$B$12)/Projects!$D$2*0.95,0)-IF(AND(Projects!$G$2="Yes",BN$3=Projects!$C$2+Projects!$D$2-1),Projects!$B$2*(Assumptions!$B$10+Assumptions!$B$11+Assumptions!$B$12)*0.05,0)</f>
        <v/>
      </c>
      <c r="BO13" s="399">
        <f>IF(AND(Projects!$G$2="Yes",BO$3&gt;=Projects!$C$2,BO$3&lt;Projects!$C$2+Projects!$D$2),Projects!$B$2*INDEX(Curves!$B$6:$AR$6,1,BO$3-Projects!$C$2+1),0)-IF(AND(Projects!$G$2="Yes",BO$3&gt;=Projects!$C$2,BO$3&lt;Projects!$C$2+Projects!$D$2),Projects!$B$2*(Assumptions!$B$10+Assumptions!$B$11+Assumptions!$B$12)/Projects!$D$2*0.95,0)-IF(AND(Projects!$G$2="Yes",BO$3=Projects!$C$2+Projects!$D$2-1),Projects!$B$2*(Assumptions!$B$10+Assumptions!$B$11+Assumptions!$B$12)*0.05,0)</f>
        <v/>
      </c>
      <c r="BP13" s="399">
        <f>IF(AND(Projects!$G$2="Yes",BP$3&gt;=Projects!$C$2,BP$3&lt;Projects!$C$2+Projects!$D$2),Projects!$B$2*INDEX(Curves!$B$6:$AR$6,1,BP$3-Projects!$C$2+1),0)-IF(AND(Projects!$G$2="Yes",BP$3&gt;=Projects!$C$2,BP$3&lt;Projects!$C$2+Projects!$D$2),Projects!$B$2*(Assumptions!$B$10+Assumptions!$B$11+Assumptions!$B$12)/Projects!$D$2*0.95,0)-IF(AND(Projects!$G$2="Yes",BP$3=Projects!$C$2+Projects!$D$2-1),Projects!$B$2*(Assumptions!$B$10+Assumptions!$B$11+Assumptions!$B$12)*0.05,0)</f>
        <v/>
      </c>
      <c r="BQ13" s="399">
        <f>IF(AND(Projects!$G$2="Yes",BQ$3&gt;=Projects!$C$2,BQ$3&lt;Projects!$C$2+Projects!$D$2),Projects!$B$2*INDEX(Curves!$B$6:$AR$6,1,BQ$3-Projects!$C$2+1),0)-IF(AND(Projects!$G$2="Yes",BQ$3&gt;=Projects!$C$2,BQ$3&lt;Projects!$C$2+Projects!$D$2),Projects!$B$2*(Assumptions!$B$10+Assumptions!$B$11+Assumptions!$B$12)/Projects!$D$2*0.95,0)-IF(AND(Projects!$G$2="Yes",BQ$3=Projects!$C$2+Projects!$D$2-1),Projects!$B$2*(Assumptions!$B$10+Assumptions!$B$11+Assumptions!$B$12)*0.05,0)</f>
        <v/>
      </c>
      <c r="BR13" s="399">
        <f>IF(AND(Projects!$G$2="Yes",BR$3&gt;=Projects!$C$2,BR$3&lt;Projects!$C$2+Projects!$D$2),Projects!$B$2*INDEX(Curves!$B$6:$AR$6,1,BR$3-Projects!$C$2+1),0)-IF(AND(Projects!$G$2="Yes",BR$3&gt;=Projects!$C$2,BR$3&lt;Projects!$C$2+Projects!$D$2),Projects!$B$2*(Assumptions!$B$10+Assumptions!$B$11+Assumptions!$B$12)/Projects!$D$2*0.95,0)-IF(AND(Projects!$G$2="Yes",BR$3=Projects!$C$2+Projects!$D$2-1),Projects!$B$2*(Assumptions!$B$10+Assumptions!$B$11+Assumptions!$B$12)*0.05,0)</f>
        <v/>
      </c>
      <c r="BS13" s="399">
        <f>IF(AND(Projects!$G$2="Yes",BS$3&gt;=Projects!$C$2,BS$3&lt;Projects!$C$2+Projects!$D$2),Projects!$B$2*INDEX(Curves!$B$6:$AR$6,1,BS$3-Projects!$C$2+1),0)-IF(AND(Projects!$G$2="Yes",BS$3&gt;=Projects!$C$2,BS$3&lt;Projects!$C$2+Projects!$D$2),Projects!$B$2*(Assumptions!$B$10+Assumptions!$B$11+Assumptions!$B$12)/Projects!$D$2*0.95,0)-IF(AND(Projects!$G$2="Yes",BS$3=Projects!$C$2+Projects!$D$2-1),Projects!$B$2*(Assumptions!$B$10+Assumptions!$B$11+Assumptions!$B$12)*0.05,0)</f>
        <v/>
      </c>
      <c r="BT13" s="399">
        <f>IF(AND(Projects!$G$2="Yes",BT$3&gt;=Projects!$C$2,BT$3&lt;Projects!$C$2+Projects!$D$2),Projects!$B$2*INDEX(Curves!$B$6:$AR$6,1,BT$3-Projects!$C$2+1),0)-IF(AND(Projects!$G$2="Yes",BT$3&gt;=Projects!$C$2,BT$3&lt;Projects!$C$2+Projects!$D$2),Projects!$B$2*(Assumptions!$B$10+Assumptions!$B$11+Assumptions!$B$12)/Projects!$D$2*0.95,0)-IF(AND(Projects!$G$2="Yes",BT$3=Projects!$C$2+Projects!$D$2-1),Projects!$B$2*(Assumptions!$B$10+Assumptions!$B$11+Assumptions!$B$12)*0.05,0)</f>
        <v/>
      </c>
      <c r="BU13" s="399">
        <f>IF(AND(Projects!$G$2="Yes",BU$3&gt;=Projects!$C$2,BU$3&lt;Projects!$C$2+Projects!$D$2),Projects!$B$2*INDEX(Curves!$B$6:$AR$6,1,BU$3-Projects!$C$2+1),0)-IF(AND(Projects!$G$2="Yes",BU$3&gt;=Projects!$C$2,BU$3&lt;Projects!$C$2+Projects!$D$2),Projects!$B$2*(Assumptions!$B$10+Assumptions!$B$11+Assumptions!$B$12)/Projects!$D$2*0.95,0)-IF(AND(Projects!$G$2="Yes",BU$3=Projects!$C$2+Projects!$D$2-1),Projects!$B$2*(Assumptions!$B$10+Assumptions!$B$11+Assumptions!$B$12)*0.05,0)</f>
        <v/>
      </c>
      <c r="BV13" s="399">
        <f>IF(AND(Projects!$G$2="Yes",BV$3&gt;=Projects!$C$2,BV$3&lt;Projects!$C$2+Projects!$D$2),Projects!$B$2*INDEX(Curves!$B$6:$AR$6,1,BV$3-Projects!$C$2+1),0)-IF(AND(Projects!$G$2="Yes",BV$3&gt;=Projects!$C$2,BV$3&lt;Projects!$C$2+Projects!$D$2),Projects!$B$2*(Assumptions!$B$10+Assumptions!$B$11+Assumptions!$B$12)/Projects!$D$2*0.95,0)-IF(AND(Projects!$G$2="Yes",BV$3=Projects!$C$2+Projects!$D$2-1),Projects!$B$2*(Assumptions!$B$10+Assumptions!$B$11+Assumptions!$B$12)*0.05,0)</f>
        <v/>
      </c>
      <c r="BW13" s="399">
        <f>IF(AND(Projects!$G$2="Yes",BW$3&gt;=Projects!$C$2,BW$3&lt;Projects!$C$2+Projects!$D$2),Projects!$B$2*INDEX(Curves!$B$6:$AR$6,1,BW$3-Projects!$C$2+1),0)-IF(AND(Projects!$G$2="Yes",BW$3&gt;=Projects!$C$2,BW$3&lt;Projects!$C$2+Projects!$D$2),Projects!$B$2*(Assumptions!$B$10+Assumptions!$B$11+Assumptions!$B$12)/Projects!$D$2*0.95,0)-IF(AND(Projects!$G$2="Yes",BW$3=Projects!$C$2+Projects!$D$2-1),Projects!$B$2*(Assumptions!$B$10+Assumptions!$B$11+Assumptions!$B$12)*0.05,0)</f>
        <v/>
      </c>
      <c r="BX13" s="399">
        <f>IF(AND(Projects!$G$2="Yes",BX$3&gt;=Projects!$C$2,BX$3&lt;Projects!$C$2+Projects!$D$2),Projects!$B$2*INDEX(Curves!$B$6:$AR$6,1,BX$3-Projects!$C$2+1),0)-IF(AND(Projects!$G$2="Yes",BX$3&gt;=Projects!$C$2,BX$3&lt;Projects!$C$2+Projects!$D$2),Projects!$B$2*(Assumptions!$B$10+Assumptions!$B$11+Assumptions!$B$12)/Projects!$D$2*0.95,0)-IF(AND(Projects!$G$2="Yes",BX$3=Projects!$C$2+Projects!$D$2-1),Projects!$B$2*(Assumptions!$B$10+Assumptions!$B$11+Assumptions!$B$12)*0.05,0)</f>
        <v/>
      </c>
      <c r="BY13" s="399">
        <f>IF(AND(Projects!$G$2="Yes",BY$3&gt;=Projects!$C$2,BY$3&lt;Projects!$C$2+Projects!$D$2),Projects!$B$2*INDEX(Curves!$B$6:$AR$6,1,BY$3-Projects!$C$2+1),0)-IF(AND(Projects!$G$2="Yes",BY$3&gt;=Projects!$C$2,BY$3&lt;Projects!$C$2+Projects!$D$2),Projects!$B$2*(Assumptions!$B$10+Assumptions!$B$11+Assumptions!$B$12)/Projects!$D$2*0.95,0)-IF(AND(Projects!$G$2="Yes",BY$3=Projects!$C$2+Projects!$D$2-1),Projects!$B$2*(Assumptions!$B$10+Assumptions!$B$11+Assumptions!$B$12)*0.05,0)</f>
        <v/>
      </c>
      <c r="BZ13" s="399">
        <f>IF(AND(Projects!$G$2="Yes",BZ$3&gt;=Projects!$C$2,BZ$3&lt;Projects!$C$2+Projects!$D$2),Projects!$B$2*INDEX(Curves!$B$6:$AR$6,1,BZ$3-Projects!$C$2+1),0)-IF(AND(Projects!$G$2="Yes",BZ$3&gt;=Projects!$C$2,BZ$3&lt;Projects!$C$2+Projects!$D$2),Projects!$B$2*(Assumptions!$B$10+Assumptions!$B$11+Assumptions!$B$12)/Projects!$D$2*0.95,0)-IF(AND(Projects!$G$2="Yes",BZ$3=Projects!$C$2+Projects!$D$2-1),Projects!$B$2*(Assumptions!$B$10+Assumptions!$B$11+Assumptions!$B$12)*0.05,0)</f>
        <v/>
      </c>
      <c r="CA13" s="399">
        <f>IF(AND(Projects!$G$2="Yes",CA$3&gt;=Projects!$C$2,CA$3&lt;Projects!$C$2+Projects!$D$2),Projects!$B$2*INDEX(Curves!$B$6:$AR$6,1,CA$3-Projects!$C$2+1),0)-IF(AND(Projects!$G$2="Yes",CA$3&gt;=Projects!$C$2,CA$3&lt;Projects!$C$2+Projects!$D$2),Projects!$B$2*(Assumptions!$B$10+Assumptions!$B$11+Assumptions!$B$12)/Projects!$D$2*0.95,0)-IF(AND(Projects!$G$2="Yes",CA$3=Projects!$C$2+Projects!$D$2-1),Projects!$B$2*(Assumptions!$B$10+Assumptions!$B$11+Assumptions!$B$12)*0.05,0)</f>
        <v/>
      </c>
      <c r="CB13" s="399">
        <f>IF(AND(Projects!$G$2="Yes",CB$3&gt;=Projects!$C$2,CB$3&lt;Projects!$C$2+Projects!$D$2),Projects!$B$2*INDEX(Curves!$B$6:$AR$6,1,CB$3-Projects!$C$2+1),0)-IF(AND(Projects!$G$2="Yes",CB$3&gt;=Projects!$C$2,CB$3&lt;Projects!$C$2+Projects!$D$2),Projects!$B$2*(Assumptions!$B$10+Assumptions!$B$11+Assumptions!$B$12)/Projects!$D$2*0.95,0)-IF(AND(Projects!$G$2="Yes",CB$3=Projects!$C$2+Projects!$D$2-1),Projects!$B$2*(Assumptions!$B$10+Assumptions!$B$11+Assumptions!$B$12)*0.05,0)</f>
        <v/>
      </c>
      <c r="CC13" s="399">
        <f>IF(AND(Projects!$G$2="Yes",CC$3&gt;=Projects!$C$2,CC$3&lt;Projects!$C$2+Projects!$D$2),Projects!$B$2*INDEX(Curves!$B$6:$AR$6,1,CC$3-Projects!$C$2+1),0)-IF(AND(Projects!$G$2="Yes",CC$3&gt;=Projects!$C$2,CC$3&lt;Projects!$C$2+Projects!$D$2),Projects!$B$2*(Assumptions!$B$10+Assumptions!$B$11+Assumptions!$B$12)/Projects!$D$2*0.95,0)-IF(AND(Projects!$G$2="Yes",CC$3=Projects!$C$2+Projects!$D$2-1),Projects!$B$2*(Assumptions!$B$10+Assumptions!$B$11+Assumptions!$B$12)*0.05,0)</f>
        <v/>
      </c>
      <c r="CD13" s="399">
        <f>IF(AND(Projects!$G$2="Yes",CD$3&gt;=Projects!$C$2,CD$3&lt;Projects!$C$2+Projects!$D$2),Projects!$B$2*INDEX(Curves!$B$6:$AR$6,1,CD$3-Projects!$C$2+1),0)-IF(AND(Projects!$G$2="Yes",CD$3&gt;=Projects!$C$2,CD$3&lt;Projects!$C$2+Projects!$D$2),Projects!$B$2*(Assumptions!$B$10+Assumptions!$B$11+Assumptions!$B$12)/Projects!$D$2*0.95,0)-IF(AND(Projects!$G$2="Yes",CD$3=Projects!$C$2+Projects!$D$2-1),Projects!$B$2*(Assumptions!$B$10+Assumptions!$B$11+Assumptions!$B$12)*0.05,0)</f>
        <v/>
      </c>
      <c r="CE13" s="399">
        <f>IF(AND(Projects!$G$2="Yes",CE$3&gt;=Projects!$C$2,CE$3&lt;Projects!$C$2+Projects!$D$2),Projects!$B$2*INDEX(Curves!$B$6:$AR$6,1,CE$3-Projects!$C$2+1),0)-IF(AND(Projects!$G$2="Yes",CE$3&gt;=Projects!$C$2,CE$3&lt;Projects!$C$2+Projects!$D$2),Projects!$B$2*(Assumptions!$B$10+Assumptions!$B$11+Assumptions!$B$12)/Projects!$D$2*0.95,0)-IF(AND(Projects!$G$2="Yes",CE$3=Projects!$C$2+Projects!$D$2-1),Projects!$B$2*(Assumptions!$B$10+Assumptions!$B$11+Assumptions!$B$12)*0.05,0)</f>
        <v/>
      </c>
      <c r="CF13" s="399">
        <f>IF(AND(Projects!$G$2="Yes",CF$3&gt;=Projects!$C$2,CF$3&lt;Projects!$C$2+Projects!$D$2),Projects!$B$2*INDEX(Curves!$B$6:$AR$6,1,CF$3-Projects!$C$2+1),0)-IF(AND(Projects!$G$2="Yes",CF$3&gt;=Projects!$C$2,CF$3&lt;Projects!$C$2+Projects!$D$2),Projects!$B$2*(Assumptions!$B$10+Assumptions!$B$11+Assumptions!$B$12)/Projects!$D$2*0.95,0)-IF(AND(Projects!$G$2="Yes",CF$3=Projects!$C$2+Projects!$D$2-1),Projects!$B$2*(Assumptions!$B$10+Assumptions!$B$11+Assumptions!$B$12)*0.05,0)</f>
        <v/>
      </c>
      <c r="CG13" s="399">
        <f>IF(AND(Projects!$G$2="Yes",CG$3&gt;=Projects!$C$2,CG$3&lt;Projects!$C$2+Projects!$D$2),Projects!$B$2*INDEX(Curves!$B$6:$AR$6,1,CG$3-Projects!$C$2+1),0)-IF(AND(Projects!$G$2="Yes",CG$3&gt;=Projects!$C$2,CG$3&lt;Projects!$C$2+Projects!$D$2),Projects!$B$2*(Assumptions!$B$10+Assumptions!$B$11+Assumptions!$B$12)/Projects!$D$2*0.95,0)-IF(AND(Projects!$G$2="Yes",CG$3=Projects!$C$2+Projects!$D$2-1),Projects!$B$2*(Assumptions!$B$10+Assumptions!$B$11+Assumptions!$B$12)*0.05,0)</f>
        <v/>
      </c>
      <c r="CH13" s="399">
        <f>IF(AND(Projects!$G$2="Yes",CH$3&gt;=Projects!$C$2,CH$3&lt;Projects!$C$2+Projects!$D$2),Projects!$B$2*INDEX(Curves!$B$6:$AR$6,1,CH$3-Projects!$C$2+1),0)-IF(AND(Projects!$G$2="Yes",CH$3&gt;=Projects!$C$2,CH$3&lt;Projects!$C$2+Projects!$D$2),Projects!$B$2*(Assumptions!$B$10+Assumptions!$B$11+Assumptions!$B$12)/Projects!$D$2*0.95,0)-IF(AND(Projects!$G$2="Yes",CH$3=Projects!$C$2+Projects!$D$2-1),Projects!$B$2*(Assumptions!$B$10+Assumptions!$B$11+Assumptions!$B$12)*0.05,0)</f>
        <v/>
      </c>
      <c r="CI13" s="399">
        <f>IF(AND(Projects!$G$2="Yes",CI$3&gt;=Projects!$C$2,CI$3&lt;Projects!$C$2+Projects!$D$2),Projects!$B$2*INDEX(Curves!$B$6:$AR$6,1,CI$3-Projects!$C$2+1),0)-IF(AND(Projects!$G$2="Yes",CI$3&gt;=Projects!$C$2,CI$3&lt;Projects!$C$2+Projects!$D$2),Projects!$B$2*(Assumptions!$B$10+Assumptions!$B$11+Assumptions!$B$12)/Projects!$D$2*0.95,0)-IF(AND(Projects!$G$2="Yes",CI$3=Projects!$C$2+Projects!$D$2-1),Projects!$B$2*(Assumptions!$B$10+Assumptions!$B$11+Assumptions!$B$12)*0.05,0)</f>
        <v/>
      </c>
      <c r="CJ13" s="399">
        <f>IF(AND(Projects!$G$2="Yes",CJ$3&gt;=Projects!$C$2,CJ$3&lt;Projects!$C$2+Projects!$D$2),Projects!$B$2*INDEX(Curves!$B$6:$AR$6,1,CJ$3-Projects!$C$2+1),0)-IF(AND(Projects!$G$2="Yes",CJ$3&gt;=Projects!$C$2,CJ$3&lt;Projects!$C$2+Projects!$D$2),Projects!$B$2*(Assumptions!$B$10+Assumptions!$B$11+Assumptions!$B$12)/Projects!$D$2*0.95,0)-IF(AND(Projects!$G$2="Yes",CJ$3=Projects!$C$2+Projects!$D$2-1),Projects!$B$2*(Assumptions!$B$10+Assumptions!$B$11+Assumptions!$B$12)*0.05,0)</f>
        <v/>
      </c>
      <c r="CK13" s="399">
        <f>IF(AND(Projects!$G$2="Yes",CK$3&gt;=Projects!$C$2,CK$3&lt;Projects!$C$2+Projects!$D$2),Projects!$B$2*INDEX(Curves!$B$6:$AR$6,1,CK$3-Projects!$C$2+1),0)-IF(AND(Projects!$G$2="Yes",CK$3&gt;=Projects!$C$2,CK$3&lt;Projects!$C$2+Projects!$D$2),Projects!$B$2*(Assumptions!$B$10+Assumptions!$B$11+Assumptions!$B$12)/Projects!$D$2*0.95,0)-IF(AND(Projects!$G$2="Yes",CK$3=Projects!$C$2+Projects!$D$2-1),Projects!$B$2*(Assumptions!$B$10+Assumptions!$B$11+Assumptions!$B$12)*0.05,0)</f>
        <v/>
      </c>
      <c r="CL13" s="399">
        <f>IF(AND(Projects!$G$2="Yes",CL$3&gt;=Projects!$C$2,CL$3&lt;Projects!$C$2+Projects!$D$2),Projects!$B$2*INDEX(Curves!$B$6:$AR$6,1,CL$3-Projects!$C$2+1),0)-IF(AND(Projects!$G$2="Yes",CL$3&gt;=Projects!$C$2,CL$3&lt;Projects!$C$2+Projects!$D$2),Projects!$B$2*(Assumptions!$B$10+Assumptions!$B$11+Assumptions!$B$12)/Projects!$D$2*0.95,0)-IF(AND(Projects!$G$2="Yes",CL$3=Projects!$C$2+Projects!$D$2-1),Projects!$B$2*(Assumptions!$B$10+Assumptions!$B$11+Assumptions!$B$12)*0.05,0)</f>
        <v/>
      </c>
      <c r="CM13" s="399">
        <f>IF(AND(Projects!$G$2="Yes",CM$3&gt;=Projects!$C$2,CM$3&lt;Projects!$C$2+Projects!$D$2),Projects!$B$2*INDEX(Curves!$B$6:$AR$6,1,CM$3-Projects!$C$2+1),0)-IF(AND(Projects!$G$2="Yes",CM$3&gt;=Projects!$C$2,CM$3&lt;Projects!$C$2+Projects!$D$2),Projects!$B$2*(Assumptions!$B$10+Assumptions!$B$11+Assumptions!$B$12)/Projects!$D$2*0.95,0)-IF(AND(Projects!$G$2="Yes",CM$3=Projects!$C$2+Projects!$D$2-1),Projects!$B$2*(Assumptions!$B$10+Assumptions!$B$11+Assumptions!$B$12)*0.05,0)</f>
        <v/>
      </c>
      <c r="CN13" s="399">
        <f>IF(AND(Projects!$G$2="Yes",CN$3&gt;=Projects!$C$2,CN$3&lt;Projects!$C$2+Projects!$D$2),Projects!$B$2*INDEX(Curves!$B$6:$AR$6,1,CN$3-Projects!$C$2+1),0)-IF(AND(Projects!$G$2="Yes",CN$3&gt;=Projects!$C$2,CN$3&lt;Projects!$C$2+Projects!$D$2),Projects!$B$2*(Assumptions!$B$10+Assumptions!$B$11+Assumptions!$B$12)/Projects!$D$2*0.95,0)-IF(AND(Projects!$G$2="Yes",CN$3=Projects!$C$2+Projects!$D$2-1),Projects!$B$2*(Assumptions!$B$10+Assumptions!$B$11+Assumptions!$B$12)*0.05,0)</f>
        <v/>
      </c>
      <c r="CO13" s="399">
        <f>IF(AND(Projects!$G$2="Yes",CO$3&gt;=Projects!$C$2,CO$3&lt;Projects!$C$2+Projects!$D$2),Projects!$B$2*INDEX(Curves!$B$6:$AR$6,1,CO$3-Projects!$C$2+1),0)-IF(AND(Projects!$G$2="Yes",CO$3&gt;=Projects!$C$2,CO$3&lt;Projects!$C$2+Projects!$D$2),Projects!$B$2*(Assumptions!$B$10+Assumptions!$B$11+Assumptions!$B$12)/Projects!$D$2*0.95,0)-IF(AND(Projects!$G$2="Yes",CO$3=Projects!$C$2+Projects!$D$2-1),Projects!$B$2*(Assumptions!$B$10+Assumptions!$B$11+Assumptions!$B$12)*0.05,0)</f>
        <v/>
      </c>
      <c r="CP13" s="399">
        <f>IF(AND(Projects!$G$2="Yes",CP$3&gt;=Projects!$C$2,CP$3&lt;Projects!$C$2+Projects!$D$2),Projects!$B$2*INDEX(Curves!$B$6:$AR$6,1,CP$3-Projects!$C$2+1),0)-IF(AND(Projects!$G$2="Yes",CP$3&gt;=Projects!$C$2,CP$3&lt;Projects!$C$2+Projects!$D$2),Projects!$B$2*(Assumptions!$B$10+Assumptions!$B$11+Assumptions!$B$12)/Projects!$D$2*0.95,0)-IF(AND(Projects!$G$2="Yes",CP$3=Projects!$C$2+Projects!$D$2-1),Projects!$B$2*(Assumptions!$B$10+Assumptions!$B$11+Assumptions!$B$12)*0.05,0)</f>
        <v/>
      </c>
      <c r="CQ13" s="399">
        <f>IF(AND(Projects!$G$2="Yes",CQ$3&gt;=Projects!$C$2,CQ$3&lt;Projects!$C$2+Projects!$D$2),Projects!$B$2*INDEX(Curves!$B$6:$AR$6,1,CQ$3-Projects!$C$2+1),0)-IF(AND(Projects!$G$2="Yes",CQ$3&gt;=Projects!$C$2,CQ$3&lt;Projects!$C$2+Projects!$D$2),Projects!$B$2*(Assumptions!$B$10+Assumptions!$B$11+Assumptions!$B$12)/Projects!$D$2*0.95,0)-IF(AND(Projects!$G$2="Yes",CQ$3=Projects!$C$2+Projects!$D$2-1),Projects!$B$2*(Assumptions!$B$10+Assumptions!$B$11+Assumptions!$B$12)*0.05,0)</f>
        <v/>
      </c>
      <c r="CR13" s="399">
        <f>IF(AND(Projects!$G$2="Yes",CR$3&gt;=Projects!$C$2,CR$3&lt;Projects!$C$2+Projects!$D$2),Projects!$B$2*INDEX(Curves!$B$6:$AR$6,1,CR$3-Projects!$C$2+1),0)-IF(AND(Projects!$G$2="Yes",CR$3&gt;=Projects!$C$2,CR$3&lt;Projects!$C$2+Projects!$D$2),Projects!$B$2*(Assumptions!$B$10+Assumptions!$B$11+Assumptions!$B$12)/Projects!$D$2*0.95,0)-IF(AND(Projects!$G$2="Yes",CR$3=Projects!$C$2+Projects!$D$2-1),Projects!$B$2*(Assumptions!$B$10+Assumptions!$B$11+Assumptions!$B$12)*0.05,0)</f>
        <v/>
      </c>
      <c r="CS13" s="399">
        <f>IF(AND(Projects!$G$2="Yes",CS$3&gt;=Projects!$C$2,CS$3&lt;Projects!$C$2+Projects!$D$2),Projects!$B$2*INDEX(Curves!$B$6:$AR$6,1,CS$3-Projects!$C$2+1),0)-IF(AND(Projects!$G$2="Yes",CS$3&gt;=Projects!$C$2,CS$3&lt;Projects!$C$2+Projects!$D$2),Projects!$B$2*(Assumptions!$B$10+Assumptions!$B$11+Assumptions!$B$12)/Projects!$D$2*0.95,0)-IF(AND(Projects!$G$2="Yes",CS$3=Projects!$C$2+Projects!$D$2-1),Projects!$B$2*(Assumptions!$B$10+Assumptions!$B$11+Assumptions!$B$12)*0.05,0)</f>
        <v/>
      </c>
      <c r="CT13" s="399">
        <f>IF(AND(Projects!$G$2="Yes",CT$3&gt;=Projects!$C$2,CT$3&lt;Projects!$C$2+Projects!$D$2),Projects!$B$2*INDEX(Curves!$B$6:$AR$6,1,CT$3-Projects!$C$2+1),0)-IF(AND(Projects!$G$2="Yes",CT$3&gt;=Projects!$C$2,CT$3&lt;Projects!$C$2+Projects!$D$2),Projects!$B$2*(Assumptions!$B$10+Assumptions!$B$11+Assumptions!$B$12)/Projects!$D$2*0.95,0)-IF(AND(Projects!$G$2="Yes",CT$3=Projects!$C$2+Projects!$D$2-1),Projects!$B$2*(Assumptions!$B$10+Assumptions!$B$11+Assumptions!$B$12)*0.05,0)</f>
        <v/>
      </c>
      <c r="CU13" s="399">
        <f>IF(AND(Projects!$G$2="Yes",CU$3&gt;=Projects!$C$2,CU$3&lt;Projects!$C$2+Projects!$D$2),Projects!$B$2*INDEX(Curves!$B$6:$AR$6,1,CU$3-Projects!$C$2+1),0)-IF(AND(Projects!$G$2="Yes",CU$3&gt;=Projects!$C$2,CU$3&lt;Projects!$C$2+Projects!$D$2),Projects!$B$2*(Assumptions!$B$10+Assumptions!$B$11+Assumptions!$B$12)/Projects!$D$2*0.95,0)-IF(AND(Projects!$G$2="Yes",CU$3=Projects!$C$2+Projects!$D$2-1),Projects!$B$2*(Assumptions!$B$10+Assumptions!$B$11+Assumptions!$B$12)*0.05,0)</f>
        <v/>
      </c>
      <c r="CV13" s="399">
        <f>IF(AND(Projects!$G$2="Yes",CV$3&gt;=Projects!$C$2,CV$3&lt;Projects!$C$2+Projects!$D$2),Projects!$B$2*INDEX(Curves!$B$6:$AR$6,1,CV$3-Projects!$C$2+1),0)-IF(AND(Projects!$G$2="Yes",CV$3&gt;=Projects!$C$2,CV$3&lt;Projects!$C$2+Projects!$D$2),Projects!$B$2*(Assumptions!$B$10+Assumptions!$B$11+Assumptions!$B$12)/Projects!$D$2*0.95,0)-IF(AND(Projects!$G$2="Yes",CV$3=Projects!$C$2+Projects!$D$2-1),Projects!$B$2*(Assumptions!$B$10+Assumptions!$B$11+Assumptions!$B$12)*0.05,0)</f>
        <v/>
      </c>
      <c r="CW13" s="399">
        <f>IF(AND(Projects!$G$2="Yes",CW$3&gt;=Projects!$C$2,CW$3&lt;Projects!$C$2+Projects!$D$2),Projects!$B$2*INDEX(Curves!$B$6:$AR$6,1,CW$3-Projects!$C$2+1),0)-IF(AND(Projects!$G$2="Yes",CW$3&gt;=Projects!$C$2,CW$3&lt;Projects!$C$2+Projects!$D$2),Projects!$B$2*(Assumptions!$B$10+Assumptions!$B$11+Assumptions!$B$12)/Projects!$D$2*0.95,0)-IF(AND(Projects!$G$2="Yes",CW$3=Projects!$C$2+Projects!$D$2-1),Projects!$B$2*(Assumptions!$B$10+Assumptions!$B$11+Assumptions!$B$12)*0.05,0)</f>
        <v/>
      </c>
      <c r="CX13" s="399">
        <f>IF(AND(Projects!$G$2="Yes",CX$3&gt;=Projects!$C$2,CX$3&lt;Projects!$C$2+Projects!$D$2),Projects!$B$2*INDEX(Curves!$B$6:$AR$6,1,CX$3-Projects!$C$2+1),0)-IF(AND(Projects!$G$2="Yes",CX$3&gt;=Projects!$C$2,CX$3&lt;Projects!$C$2+Projects!$D$2),Projects!$B$2*(Assumptions!$B$10+Assumptions!$B$11+Assumptions!$B$12)/Projects!$D$2*0.95,0)-IF(AND(Projects!$G$2="Yes",CX$3=Projects!$C$2+Projects!$D$2-1),Projects!$B$2*(Assumptions!$B$10+Assumptions!$B$11+Assumptions!$B$12)*0.05,0)</f>
        <v/>
      </c>
      <c r="CY13" s="399">
        <f>IF(AND(Projects!$G$2="Yes",CY$3&gt;=Projects!$C$2,CY$3&lt;Projects!$C$2+Projects!$D$2),Projects!$B$2*INDEX(Curves!$B$6:$AR$6,1,CY$3-Projects!$C$2+1),0)-IF(AND(Projects!$G$2="Yes",CY$3&gt;=Projects!$C$2,CY$3&lt;Projects!$C$2+Projects!$D$2),Projects!$B$2*(Assumptions!$B$10+Assumptions!$B$11+Assumptions!$B$12)/Projects!$D$2*0.95,0)-IF(AND(Projects!$G$2="Yes",CY$3=Projects!$C$2+Projects!$D$2-1),Projects!$B$2*(Assumptions!$B$10+Assumptions!$B$11+Assumptions!$B$12)*0.05,0)</f>
        <v/>
      </c>
      <c r="CZ13" s="399">
        <f>IF(AND(Projects!$G$2="Yes",CZ$3&gt;=Projects!$C$2,CZ$3&lt;Projects!$C$2+Projects!$D$2),Projects!$B$2*INDEX(Curves!$B$6:$AR$6,1,CZ$3-Projects!$C$2+1),0)-IF(AND(Projects!$G$2="Yes",CZ$3&gt;=Projects!$C$2,CZ$3&lt;Projects!$C$2+Projects!$D$2),Projects!$B$2*(Assumptions!$B$10+Assumptions!$B$11+Assumptions!$B$12)/Projects!$D$2*0.95,0)-IF(AND(Projects!$G$2="Yes",CZ$3=Projects!$C$2+Projects!$D$2-1),Projects!$B$2*(Assumptions!$B$10+Assumptions!$B$11+Assumptions!$B$12)*0.05,0)</f>
        <v/>
      </c>
      <c r="DA13" s="399">
        <f>IF(AND(Projects!$G$2="Yes",DA$3&gt;=Projects!$C$2,DA$3&lt;Projects!$C$2+Projects!$D$2),Projects!$B$2*INDEX(Curves!$B$6:$AR$6,1,DA$3-Projects!$C$2+1),0)-IF(AND(Projects!$G$2="Yes",DA$3&gt;=Projects!$C$2,DA$3&lt;Projects!$C$2+Projects!$D$2),Projects!$B$2*(Assumptions!$B$10+Assumptions!$B$11+Assumptions!$B$12)/Projects!$D$2*0.95,0)-IF(AND(Projects!$G$2="Yes",DA$3=Projects!$C$2+Projects!$D$2-1),Projects!$B$2*(Assumptions!$B$10+Assumptions!$B$11+Assumptions!$B$12)*0.05,0)</f>
        <v/>
      </c>
      <c r="DB13" s="399">
        <f>IF(AND(Projects!$G$2="Yes",DB$3&gt;=Projects!$C$2,DB$3&lt;Projects!$C$2+Projects!$D$2),Projects!$B$2*INDEX(Curves!$B$6:$AR$6,1,DB$3-Projects!$C$2+1),0)-IF(AND(Projects!$G$2="Yes",DB$3&gt;=Projects!$C$2,DB$3&lt;Projects!$C$2+Projects!$D$2),Projects!$B$2*(Assumptions!$B$10+Assumptions!$B$11+Assumptions!$B$12)/Projects!$D$2*0.95,0)-IF(AND(Projects!$G$2="Yes",DB$3=Projects!$C$2+Projects!$D$2-1),Projects!$B$2*(Assumptions!$B$10+Assumptions!$B$11+Assumptions!$B$12)*0.05,0)</f>
        <v/>
      </c>
      <c r="DC13" s="399">
        <f>IF(AND(Projects!$G$2="Yes",DC$3&gt;=Projects!$C$2,DC$3&lt;Projects!$C$2+Projects!$D$2),Projects!$B$2*INDEX(Curves!$B$6:$AR$6,1,DC$3-Projects!$C$2+1),0)-IF(AND(Projects!$G$2="Yes",DC$3&gt;=Projects!$C$2,DC$3&lt;Projects!$C$2+Projects!$D$2),Projects!$B$2*(Assumptions!$B$10+Assumptions!$B$11+Assumptions!$B$12)/Projects!$D$2*0.95,0)-IF(AND(Projects!$G$2="Yes",DC$3=Projects!$C$2+Projects!$D$2-1),Projects!$B$2*(Assumptions!$B$10+Assumptions!$B$11+Assumptions!$B$12)*0.05,0)</f>
        <v/>
      </c>
      <c r="DD13" s="399">
        <f>IF(AND(Projects!$G$2="Yes",DD$3&gt;=Projects!$C$2,DD$3&lt;Projects!$C$2+Projects!$D$2),Projects!$B$2*INDEX(Curves!$B$6:$AR$6,1,DD$3-Projects!$C$2+1),0)-IF(AND(Projects!$G$2="Yes",DD$3&gt;=Projects!$C$2,DD$3&lt;Projects!$C$2+Projects!$D$2),Projects!$B$2*(Assumptions!$B$10+Assumptions!$B$11+Assumptions!$B$12)/Projects!$D$2*0.95,0)-IF(AND(Projects!$G$2="Yes",DD$3=Projects!$C$2+Projects!$D$2-1),Projects!$B$2*(Assumptions!$B$10+Assumptions!$B$11+Assumptions!$B$12)*0.05,0)</f>
        <v/>
      </c>
      <c r="DE13" s="399">
        <f>IF(AND(Projects!$G$2="Yes",DE$3&gt;=Projects!$C$2,DE$3&lt;Projects!$C$2+Projects!$D$2),Projects!$B$2*INDEX(Curves!$B$6:$AR$6,1,DE$3-Projects!$C$2+1),0)-IF(AND(Projects!$G$2="Yes",DE$3&gt;=Projects!$C$2,DE$3&lt;Projects!$C$2+Projects!$D$2),Projects!$B$2*(Assumptions!$B$10+Assumptions!$B$11+Assumptions!$B$12)/Projects!$D$2*0.95,0)-IF(AND(Projects!$G$2="Yes",DE$3=Projects!$C$2+Projects!$D$2-1),Projects!$B$2*(Assumptions!$B$10+Assumptions!$B$11+Assumptions!$B$12)*0.05,0)</f>
        <v/>
      </c>
    </row>
    <row r="14" hidden="1" outlineLevel="1" ht="15" customFormat="1" customHeight="1" s="380">
      <c r="A14" s="407" t="inlineStr">
        <is>
          <t>Ramsgate</t>
        </is>
      </c>
      <c r="B14" s="399" t="n">
        <v>607376.6</v>
      </c>
      <c r="C14" s="399" t="n">
        <v>1291217.23</v>
      </c>
      <c r="D14" s="399" t="n">
        <v>951766.47</v>
      </c>
      <c r="E14" s="399" t="n">
        <v>1237428.59</v>
      </c>
      <c r="F14" s="399" t="n">
        <v>1120082.41</v>
      </c>
      <c r="G14" s="399" t="n">
        <v>1858219.93</v>
      </c>
      <c r="H14" s="399" t="n">
        <v>1987246.69</v>
      </c>
      <c r="I14" s="399" t="n">
        <v>1263166.6</v>
      </c>
      <c r="J14" s="399" t="n">
        <v>1080865.59</v>
      </c>
      <c r="K14" s="399" t="n">
        <v>907471.96</v>
      </c>
      <c r="L14" s="399" t="n">
        <v>804175.89</v>
      </c>
      <c r="M14" s="399" t="n">
        <v>836424.9399999999</v>
      </c>
      <c r="N14" s="399" t="n">
        <v>1141488.12</v>
      </c>
      <c r="O14" s="399" t="n">
        <v>831668.03</v>
      </c>
      <c r="P14" s="399" t="n">
        <v>1111923.3</v>
      </c>
      <c r="Q14" s="399" t="n">
        <v>880988.48</v>
      </c>
      <c r="R14" s="399" t="n">
        <v>653443.66</v>
      </c>
      <c r="S14" s="399" t="n">
        <v>567093.62</v>
      </c>
      <c r="T14" s="399" t="n">
        <v>767040.45</v>
      </c>
      <c r="U14" s="399" t="n">
        <v>778438.76</v>
      </c>
      <c r="V14" s="399" t="n">
        <v>207929.38</v>
      </c>
      <c r="W14" s="399" t="n">
        <v>0</v>
      </c>
      <c r="X14" s="399" t="n">
        <v>0</v>
      </c>
      <c r="Y14" s="399" t="n">
        <v>0</v>
      </c>
      <c r="Z14" s="399" t="n">
        <v>0</v>
      </c>
      <c r="AA14" s="399" t="n">
        <v>0</v>
      </c>
      <c r="AB14" s="399" t="n">
        <v>0</v>
      </c>
      <c r="AC14" s="399" t="n">
        <v>0</v>
      </c>
      <c r="AD14" s="399" t="n">
        <v>0</v>
      </c>
      <c r="AE14" s="399" t="n">
        <v>0</v>
      </c>
      <c r="AF14" s="399" t="n">
        <v>0</v>
      </c>
      <c r="AG14" s="399" t="n">
        <v>0</v>
      </c>
      <c r="AH14" s="399" t="n">
        <v>0</v>
      </c>
      <c r="AI14" s="399" t="n">
        <v>0</v>
      </c>
      <c r="AJ14" s="399" t="n">
        <v>0</v>
      </c>
      <c r="AK14" s="399" t="n">
        <v>0</v>
      </c>
      <c r="AL14" s="399" t="n">
        <v>0</v>
      </c>
      <c r="AM14" s="399" t="n">
        <v>0</v>
      </c>
      <c r="AN14" s="399" t="n">
        <v>0</v>
      </c>
      <c r="AO14" s="399" t="n">
        <v>0</v>
      </c>
      <c r="AP14" s="399" t="n">
        <v>0</v>
      </c>
      <c r="AQ14" s="399" t="n">
        <v>0</v>
      </c>
      <c r="AR14" s="399" t="n">
        <v>0</v>
      </c>
      <c r="AS14" s="399" t="n">
        <v>0</v>
      </c>
      <c r="AT14" s="399" t="n">
        <v>0</v>
      </c>
      <c r="AU14" s="399" t="n">
        <v>0</v>
      </c>
      <c r="AV14" s="399" t="n">
        <v>0</v>
      </c>
      <c r="AW14" s="399" t="n">
        <v>0</v>
      </c>
      <c r="AX14" s="399" t="n">
        <v>0</v>
      </c>
      <c r="AY14" s="399" t="n">
        <v>0</v>
      </c>
      <c r="AZ14" s="399" t="n">
        <v>0</v>
      </c>
      <c r="BA14" s="399" t="n">
        <v>0</v>
      </c>
      <c r="BB14" s="399" t="n">
        <v>0</v>
      </c>
      <c r="BC14" s="399" t="n">
        <v>0</v>
      </c>
      <c r="BD14" s="399" t="n">
        <v>0</v>
      </c>
      <c r="BE14" s="399" t="n">
        <v>0</v>
      </c>
      <c r="BF14" s="399" t="n">
        <v>0</v>
      </c>
      <c r="BG14" s="399" t="n">
        <v>0</v>
      </c>
      <c r="BH14" s="399" t="n">
        <v>0</v>
      </c>
      <c r="BI14" s="399" t="n">
        <v>0</v>
      </c>
      <c r="BJ14" s="399" t="n">
        <v>0</v>
      </c>
      <c r="BK14" s="399" t="n">
        <v>0</v>
      </c>
      <c r="BL14" s="399" t="n">
        <v>0</v>
      </c>
      <c r="BM14" s="399" t="n">
        <v>0</v>
      </c>
      <c r="BN14" s="399" t="n">
        <v>0</v>
      </c>
      <c r="BO14" s="399" t="n">
        <v>0</v>
      </c>
      <c r="BP14" s="399" t="n">
        <v>0</v>
      </c>
      <c r="BQ14" s="399" t="n">
        <v>0</v>
      </c>
      <c r="BR14" s="399" t="n">
        <v>0</v>
      </c>
      <c r="BS14" s="399" t="n">
        <v>0</v>
      </c>
      <c r="BT14" s="399" t="n">
        <v>0</v>
      </c>
      <c r="BU14" s="399" t="n">
        <v>0</v>
      </c>
      <c r="BV14" s="399" t="n">
        <v>0</v>
      </c>
      <c r="BW14" s="399" t="n">
        <v>0</v>
      </c>
      <c r="BX14" s="399" t="n">
        <v>0</v>
      </c>
      <c r="BY14" s="399" t="n">
        <v>0</v>
      </c>
      <c r="BZ14" s="399" t="n">
        <v>0</v>
      </c>
      <c r="CA14" s="399" t="n">
        <v>0</v>
      </c>
      <c r="CB14" s="399" t="n">
        <v>0</v>
      </c>
      <c r="CC14" s="399" t="n">
        <v>0</v>
      </c>
      <c r="CD14" s="399" t="n">
        <v>0</v>
      </c>
      <c r="CE14" s="399" t="n">
        <v>0</v>
      </c>
      <c r="CF14" s="399" t="n">
        <v>0</v>
      </c>
      <c r="CG14" s="399" t="n">
        <v>0</v>
      </c>
      <c r="CH14" s="399" t="n">
        <v>0</v>
      </c>
      <c r="CI14" s="399" t="n">
        <v>0</v>
      </c>
      <c r="CJ14" s="399" t="n">
        <v>0</v>
      </c>
      <c r="CK14" s="399" t="n">
        <v>0</v>
      </c>
      <c r="CL14" s="399" t="n">
        <v>0</v>
      </c>
      <c r="CM14" s="399" t="n">
        <v>0</v>
      </c>
      <c r="CN14" s="399" t="n">
        <v>0</v>
      </c>
      <c r="CO14" s="399" t="n">
        <v>0</v>
      </c>
      <c r="CP14" s="399" t="n">
        <v>0</v>
      </c>
      <c r="CQ14" s="399" t="n">
        <v>0</v>
      </c>
      <c r="CR14" s="399" t="n">
        <v>0</v>
      </c>
      <c r="CS14" s="399" t="n">
        <v>0</v>
      </c>
      <c r="CT14" s="399" t="n">
        <v>0</v>
      </c>
      <c r="CU14" s="399" t="n">
        <v>0</v>
      </c>
      <c r="CV14" s="399" t="n">
        <v>0</v>
      </c>
      <c r="CW14" s="399" t="n">
        <v>0</v>
      </c>
      <c r="CX14" s="399" t="n">
        <v>0</v>
      </c>
      <c r="CY14" s="399" t="n">
        <v>0</v>
      </c>
      <c r="CZ14" s="399" t="n">
        <v>0</v>
      </c>
      <c r="DA14" s="399" t="n">
        <v>0</v>
      </c>
      <c r="DB14" s="399" t="n">
        <v>0</v>
      </c>
      <c r="DC14" s="399" t="n">
        <v>0</v>
      </c>
      <c r="DD14" s="399" t="n">
        <v>0</v>
      </c>
      <c r="DE14" s="399" t="n">
        <v>0</v>
      </c>
    </row>
    <row r="15" hidden="1" outlineLevel="1" ht="15" customFormat="1" customHeight="1" s="380">
      <c r="A15" s="407" t="inlineStr">
        <is>
          <t>Califa</t>
        </is>
      </c>
      <c r="B15" s="399" t="n">
        <v>144989.08</v>
      </c>
      <c r="C15" s="399" t="n">
        <v>518671.92</v>
      </c>
      <c r="D15" s="399" t="n">
        <v>287093.58</v>
      </c>
      <c r="E15" s="399" t="n">
        <v>571051.61</v>
      </c>
      <c r="F15" s="399" t="n">
        <v>1099379.66</v>
      </c>
      <c r="G15" s="399" t="n">
        <v>1315355.15</v>
      </c>
      <c r="H15" s="399" t="n">
        <v>603209.04</v>
      </c>
      <c r="I15" s="399" t="n">
        <v>585183.21</v>
      </c>
      <c r="J15" s="399" t="n">
        <v>603963.38</v>
      </c>
      <c r="K15" s="399" t="n">
        <v>563091.62</v>
      </c>
      <c r="L15" s="399" t="n">
        <v>629318.73</v>
      </c>
      <c r="M15" s="399" t="n">
        <v>751734.58</v>
      </c>
      <c r="N15" s="399" t="n">
        <v>674668.79</v>
      </c>
      <c r="O15" s="399" t="n">
        <v>615694.04</v>
      </c>
      <c r="P15" s="399" t="n">
        <v>694084.67</v>
      </c>
      <c r="Q15" s="399" t="n">
        <v>723252.22</v>
      </c>
      <c r="R15" s="399" t="n">
        <v>594153.61</v>
      </c>
      <c r="S15" s="399" t="n">
        <v>377468.25</v>
      </c>
      <c r="T15" s="399" t="n">
        <v>189218.1</v>
      </c>
      <c r="U15" s="399" t="n">
        <v>144619.25</v>
      </c>
      <c r="V15" s="399" t="n">
        <v>0</v>
      </c>
      <c r="W15" s="399" t="n">
        <v>0</v>
      </c>
      <c r="X15" s="399" t="n">
        <v>0</v>
      </c>
      <c r="Y15" s="399" t="n">
        <v>0</v>
      </c>
      <c r="Z15" s="399" t="n">
        <v>0</v>
      </c>
      <c r="AA15" s="399" t="n">
        <v>0</v>
      </c>
      <c r="AB15" s="399" t="n">
        <v>0</v>
      </c>
      <c r="AC15" s="399" t="n">
        <v>0</v>
      </c>
      <c r="AD15" s="399" t="n">
        <v>0</v>
      </c>
      <c r="AE15" s="399" t="n">
        <v>0</v>
      </c>
      <c r="AF15" s="399" t="n">
        <v>0</v>
      </c>
      <c r="AG15" s="399" t="n">
        <v>0</v>
      </c>
      <c r="AH15" s="399" t="n">
        <v>0</v>
      </c>
      <c r="AI15" s="399" t="n">
        <v>0</v>
      </c>
      <c r="AJ15" s="399" t="n">
        <v>0</v>
      </c>
      <c r="AK15" s="399" t="n">
        <v>0</v>
      </c>
      <c r="AL15" s="399" t="n">
        <v>0</v>
      </c>
      <c r="AM15" s="399" t="n">
        <v>0</v>
      </c>
      <c r="AN15" s="399" t="n">
        <v>0</v>
      </c>
      <c r="AO15" s="399" t="n">
        <v>0</v>
      </c>
      <c r="AP15" s="399" t="n">
        <v>0</v>
      </c>
      <c r="AQ15" s="399" t="n">
        <v>0</v>
      </c>
      <c r="AR15" s="399" t="n">
        <v>0</v>
      </c>
      <c r="AS15" s="399" t="n">
        <v>0</v>
      </c>
      <c r="AT15" s="399" t="n">
        <v>0</v>
      </c>
      <c r="AU15" s="399" t="n">
        <v>0</v>
      </c>
      <c r="AV15" s="399" t="n">
        <v>0</v>
      </c>
      <c r="AW15" s="399" t="n">
        <v>0</v>
      </c>
      <c r="AX15" s="399" t="n">
        <v>0</v>
      </c>
      <c r="AY15" s="399" t="n">
        <v>0</v>
      </c>
      <c r="AZ15" s="399" t="n">
        <v>0</v>
      </c>
      <c r="BA15" s="399" t="n">
        <v>0</v>
      </c>
      <c r="BB15" s="399" t="n">
        <v>0</v>
      </c>
      <c r="BC15" s="399" t="n">
        <v>0</v>
      </c>
      <c r="BD15" s="399" t="n">
        <v>0</v>
      </c>
      <c r="BE15" s="399" t="n">
        <v>0</v>
      </c>
      <c r="BF15" s="399" t="n">
        <v>0</v>
      </c>
      <c r="BG15" s="399" t="n">
        <v>0</v>
      </c>
      <c r="BH15" s="399" t="n">
        <v>0</v>
      </c>
      <c r="BI15" s="399" t="n">
        <v>0</v>
      </c>
      <c r="BJ15" s="399" t="n">
        <v>0</v>
      </c>
      <c r="BK15" s="399" t="n">
        <v>0</v>
      </c>
      <c r="BL15" s="399" t="n">
        <v>0</v>
      </c>
      <c r="BM15" s="399" t="n">
        <v>0</v>
      </c>
      <c r="BN15" s="399" t="n">
        <v>0</v>
      </c>
      <c r="BO15" s="399" t="n">
        <v>0</v>
      </c>
      <c r="BP15" s="399" t="n">
        <v>0</v>
      </c>
      <c r="BQ15" s="399" t="n">
        <v>0</v>
      </c>
      <c r="BR15" s="399" t="n">
        <v>0</v>
      </c>
      <c r="BS15" s="399" t="n">
        <v>0</v>
      </c>
      <c r="BT15" s="399" t="n">
        <v>0</v>
      </c>
      <c r="BU15" s="399" t="n">
        <v>0</v>
      </c>
      <c r="BV15" s="399" t="n">
        <v>0</v>
      </c>
      <c r="BW15" s="399" t="n">
        <v>0</v>
      </c>
      <c r="BX15" s="399" t="n">
        <v>0</v>
      </c>
      <c r="BY15" s="399" t="n">
        <v>0</v>
      </c>
      <c r="BZ15" s="399" t="n">
        <v>0</v>
      </c>
      <c r="CA15" s="399" t="n">
        <v>0</v>
      </c>
      <c r="CB15" s="399" t="n">
        <v>0</v>
      </c>
      <c r="CC15" s="399" t="n">
        <v>0</v>
      </c>
      <c r="CD15" s="399" t="n">
        <v>0</v>
      </c>
      <c r="CE15" s="399" t="n">
        <v>0</v>
      </c>
      <c r="CF15" s="399" t="n">
        <v>0</v>
      </c>
      <c r="CG15" s="399" t="n">
        <v>0</v>
      </c>
      <c r="CH15" s="399" t="n">
        <v>0</v>
      </c>
      <c r="CI15" s="399" t="n">
        <v>0</v>
      </c>
      <c r="CJ15" s="399" t="n">
        <v>0</v>
      </c>
      <c r="CK15" s="399" t="n">
        <v>0</v>
      </c>
      <c r="CL15" s="399" t="n">
        <v>0</v>
      </c>
      <c r="CM15" s="399" t="n">
        <v>0</v>
      </c>
      <c r="CN15" s="399" t="n">
        <v>0</v>
      </c>
      <c r="CO15" s="399" t="n">
        <v>0</v>
      </c>
      <c r="CP15" s="399" t="n">
        <v>0</v>
      </c>
      <c r="CQ15" s="399" t="n">
        <v>0</v>
      </c>
      <c r="CR15" s="399" t="n">
        <v>0</v>
      </c>
      <c r="CS15" s="399" t="n">
        <v>0</v>
      </c>
      <c r="CT15" s="399" t="n">
        <v>0</v>
      </c>
      <c r="CU15" s="399" t="n">
        <v>0</v>
      </c>
      <c r="CV15" s="399" t="n">
        <v>0</v>
      </c>
      <c r="CW15" s="399" t="n">
        <v>0</v>
      </c>
      <c r="CX15" s="399" t="n">
        <v>0</v>
      </c>
      <c r="CY15" s="399" t="n">
        <v>0</v>
      </c>
      <c r="CZ15" s="399" t="n">
        <v>0</v>
      </c>
      <c r="DA15" s="399" t="n">
        <v>0</v>
      </c>
      <c r="DB15" s="399" t="n">
        <v>0</v>
      </c>
      <c r="DC15" s="399" t="n">
        <v>0</v>
      </c>
      <c r="DD15" s="399" t="n">
        <v>0</v>
      </c>
      <c r="DE15" s="399" t="n">
        <v>0</v>
      </c>
    </row>
    <row r="16" hidden="1" outlineLevel="1" ht="15" customFormat="1" customHeight="1" s="380">
      <c r="A16" s="407" t="inlineStr">
        <is>
          <t>Whipple</t>
        </is>
      </c>
      <c r="B16" s="399" t="n">
        <v>96887.03</v>
      </c>
      <c r="C16" s="399" t="n">
        <v>107170.8</v>
      </c>
      <c r="D16" s="399" t="n">
        <v>229126.73</v>
      </c>
      <c r="E16" s="399" t="n">
        <v>577813.6</v>
      </c>
      <c r="F16" s="399" t="n">
        <v>785971.45</v>
      </c>
      <c r="G16" s="399" t="n">
        <v>1198349.29</v>
      </c>
      <c r="H16" s="399" t="n">
        <v>1191447.65</v>
      </c>
      <c r="I16" s="399" t="n">
        <v>449453.34</v>
      </c>
      <c r="J16" s="399" t="n">
        <v>925546.41</v>
      </c>
      <c r="K16" s="399" t="n">
        <v>821980.0600000001</v>
      </c>
      <c r="L16" s="399" t="n">
        <v>619146.84</v>
      </c>
      <c r="M16" s="399" t="n">
        <v>715421.53</v>
      </c>
      <c r="N16" s="399" t="n">
        <v>653231.72</v>
      </c>
      <c r="O16" s="399" t="n">
        <v>619153.15</v>
      </c>
      <c r="P16" s="399" t="n">
        <v>560550.8100000001</v>
      </c>
      <c r="Q16" s="399" t="n">
        <v>440306.1</v>
      </c>
      <c r="R16" s="399" t="n">
        <v>351742.71</v>
      </c>
      <c r="S16" s="399" t="n">
        <v>752314.78</v>
      </c>
      <c r="T16" s="399" t="n">
        <v>1002553.11</v>
      </c>
      <c r="U16" s="399" t="n">
        <v>674532.85</v>
      </c>
      <c r="V16" s="399" t="n">
        <v>436351.83</v>
      </c>
      <c r="W16" s="399" t="n">
        <v>158637.93</v>
      </c>
      <c r="X16" s="399" t="n">
        <v>0</v>
      </c>
      <c r="Y16" s="399" t="n">
        <v>0</v>
      </c>
      <c r="Z16" s="399" t="n">
        <v>0</v>
      </c>
      <c r="AA16" s="399" t="n">
        <v>0</v>
      </c>
      <c r="AB16" s="399" t="n">
        <v>0</v>
      </c>
      <c r="AC16" s="399" t="n">
        <v>0</v>
      </c>
      <c r="AD16" s="399" t="n">
        <v>0</v>
      </c>
      <c r="AE16" s="399" t="n">
        <v>0</v>
      </c>
      <c r="AF16" s="399" t="n">
        <v>0</v>
      </c>
      <c r="AG16" s="399" t="n">
        <v>0</v>
      </c>
      <c r="AH16" s="399" t="n">
        <v>0</v>
      </c>
      <c r="AI16" s="399" t="n">
        <v>0</v>
      </c>
      <c r="AJ16" s="399" t="n">
        <v>0</v>
      </c>
      <c r="AK16" s="399" t="n">
        <v>0</v>
      </c>
      <c r="AL16" s="399" t="n">
        <v>0</v>
      </c>
      <c r="AM16" s="399" t="n">
        <v>0</v>
      </c>
      <c r="AN16" s="399" t="n">
        <v>0</v>
      </c>
      <c r="AO16" s="399" t="n">
        <v>0</v>
      </c>
      <c r="AP16" s="399" t="n">
        <v>0</v>
      </c>
      <c r="AQ16" s="399" t="n">
        <v>0</v>
      </c>
      <c r="AR16" s="399" t="n">
        <v>0</v>
      </c>
      <c r="AS16" s="399" t="n">
        <v>0</v>
      </c>
      <c r="AT16" s="399" t="n">
        <v>0</v>
      </c>
      <c r="AU16" s="399" t="n">
        <v>0</v>
      </c>
      <c r="AV16" s="399" t="n">
        <v>0</v>
      </c>
      <c r="AW16" s="399" t="n">
        <v>0</v>
      </c>
      <c r="AX16" s="399" t="n">
        <v>0</v>
      </c>
      <c r="AY16" s="399" t="n">
        <v>0</v>
      </c>
      <c r="AZ16" s="399" t="n">
        <v>0</v>
      </c>
      <c r="BA16" s="399" t="n">
        <v>0</v>
      </c>
      <c r="BB16" s="399" t="n">
        <v>0</v>
      </c>
      <c r="BC16" s="399" t="n">
        <v>0</v>
      </c>
      <c r="BD16" s="399" t="n">
        <v>0</v>
      </c>
      <c r="BE16" s="399" t="n">
        <v>0</v>
      </c>
      <c r="BF16" s="399" t="n">
        <v>0</v>
      </c>
      <c r="BG16" s="399" t="n">
        <v>0</v>
      </c>
      <c r="BH16" s="399" t="n">
        <v>0</v>
      </c>
      <c r="BI16" s="399" t="n">
        <v>0</v>
      </c>
      <c r="BJ16" s="399" t="n">
        <v>0</v>
      </c>
      <c r="BK16" s="399" t="n">
        <v>0</v>
      </c>
      <c r="BL16" s="399" t="n">
        <v>0</v>
      </c>
      <c r="BM16" s="399" t="n">
        <v>0</v>
      </c>
      <c r="BN16" s="399" t="n">
        <v>0</v>
      </c>
      <c r="BO16" s="399" t="n">
        <v>0</v>
      </c>
      <c r="BP16" s="399" t="n">
        <v>0</v>
      </c>
      <c r="BQ16" s="399" t="n">
        <v>0</v>
      </c>
      <c r="BR16" s="399" t="n">
        <v>0</v>
      </c>
      <c r="BS16" s="399" t="n">
        <v>0</v>
      </c>
      <c r="BT16" s="399" t="n">
        <v>0</v>
      </c>
      <c r="BU16" s="399" t="n">
        <v>0</v>
      </c>
      <c r="BV16" s="399" t="n">
        <v>0</v>
      </c>
      <c r="BW16" s="399" t="n">
        <v>0</v>
      </c>
      <c r="BX16" s="399" t="n">
        <v>0</v>
      </c>
      <c r="BY16" s="399" t="n">
        <v>0</v>
      </c>
      <c r="BZ16" s="399" t="n">
        <v>0</v>
      </c>
      <c r="CA16" s="399" t="n">
        <v>0</v>
      </c>
      <c r="CB16" s="399" t="n">
        <v>0</v>
      </c>
      <c r="CC16" s="399" t="n">
        <v>0</v>
      </c>
      <c r="CD16" s="399" t="n">
        <v>0</v>
      </c>
      <c r="CE16" s="399" t="n">
        <v>0</v>
      </c>
      <c r="CF16" s="399" t="n">
        <v>0</v>
      </c>
      <c r="CG16" s="399" t="n">
        <v>0</v>
      </c>
      <c r="CH16" s="399" t="n">
        <v>0</v>
      </c>
      <c r="CI16" s="399" t="n">
        <v>0</v>
      </c>
      <c r="CJ16" s="399" t="n">
        <v>0</v>
      </c>
      <c r="CK16" s="399" t="n">
        <v>0</v>
      </c>
      <c r="CL16" s="399" t="n">
        <v>0</v>
      </c>
      <c r="CM16" s="399" t="n">
        <v>0</v>
      </c>
      <c r="CN16" s="399" t="n">
        <v>0</v>
      </c>
      <c r="CO16" s="399" t="n">
        <v>0</v>
      </c>
      <c r="CP16" s="399" t="n">
        <v>0</v>
      </c>
      <c r="CQ16" s="399" t="n">
        <v>0</v>
      </c>
      <c r="CR16" s="399" t="n">
        <v>0</v>
      </c>
      <c r="CS16" s="399" t="n">
        <v>0</v>
      </c>
      <c r="CT16" s="399" t="n">
        <v>0</v>
      </c>
      <c r="CU16" s="399" t="n">
        <v>0</v>
      </c>
      <c r="CV16" s="399" t="n">
        <v>0</v>
      </c>
      <c r="CW16" s="399" t="n">
        <v>0</v>
      </c>
      <c r="CX16" s="399" t="n">
        <v>0</v>
      </c>
      <c r="CY16" s="399" t="n">
        <v>0</v>
      </c>
      <c r="CZ16" s="399" t="n">
        <v>0</v>
      </c>
      <c r="DA16" s="399" t="n">
        <v>0</v>
      </c>
      <c r="DB16" s="399" t="n">
        <v>0</v>
      </c>
      <c r="DC16" s="399" t="n">
        <v>0</v>
      </c>
      <c r="DD16" s="399" t="n">
        <v>0</v>
      </c>
      <c r="DE16" s="399" t="n">
        <v>0</v>
      </c>
    </row>
    <row r="17" hidden="1" outlineLevel="1" ht="15" customFormat="1" customHeight="1" s="380">
      <c r="A17" s="407" t="inlineStr">
        <is>
          <t>Nelrose</t>
        </is>
      </c>
      <c r="B17" s="399" t="n">
        <v>0</v>
      </c>
      <c r="C17" s="399" t="n">
        <v>156463.3</v>
      </c>
      <c r="D17" s="399" t="n">
        <v>285674.3</v>
      </c>
      <c r="E17" s="399" t="n">
        <v>222415.49</v>
      </c>
      <c r="F17" s="399" t="n">
        <v>222238.96</v>
      </c>
      <c r="G17" s="399" t="n">
        <v>325125.94</v>
      </c>
      <c r="H17" s="399" t="n">
        <v>251137.32</v>
      </c>
      <c r="I17" s="399" t="n">
        <v>212355.58</v>
      </c>
      <c r="J17" s="399" t="n">
        <v>292519.05</v>
      </c>
      <c r="K17" s="399" t="n">
        <v>450328.06</v>
      </c>
      <c r="L17" s="399" t="n">
        <v>246565.55</v>
      </c>
      <c r="M17" s="399" t="n">
        <v>208840.6</v>
      </c>
      <c r="N17" s="399" t="n">
        <v>279911.11</v>
      </c>
      <c r="O17" s="399" t="n">
        <v>246649.63</v>
      </c>
      <c r="P17" s="399" t="n">
        <v>95976.7</v>
      </c>
      <c r="Q17" s="399" t="n">
        <v>110015.5</v>
      </c>
      <c r="R17" s="399" t="n">
        <v>53831.42</v>
      </c>
      <c r="S17" s="399" t="n">
        <v>15804.6</v>
      </c>
      <c r="T17" s="399" t="n">
        <v>0</v>
      </c>
      <c r="U17" s="399" t="n">
        <v>0</v>
      </c>
      <c r="V17" s="399" t="n">
        <v>0</v>
      </c>
      <c r="W17" s="399" t="n">
        <v>0</v>
      </c>
      <c r="X17" s="399" t="n">
        <v>0</v>
      </c>
      <c r="Y17" s="399" t="n">
        <v>0</v>
      </c>
      <c r="Z17" s="399" t="n">
        <v>0</v>
      </c>
      <c r="AA17" s="399" t="n">
        <v>0</v>
      </c>
      <c r="AB17" s="399" t="n">
        <v>0</v>
      </c>
      <c r="AC17" s="399" t="n">
        <v>0</v>
      </c>
      <c r="AD17" s="399" t="n">
        <v>0</v>
      </c>
      <c r="AE17" s="399" t="n">
        <v>0</v>
      </c>
      <c r="AF17" s="399" t="n">
        <v>0</v>
      </c>
      <c r="AG17" s="399" t="n">
        <v>0</v>
      </c>
      <c r="AH17" s="399" t="n">
        <v>0</v>
      </c>
      <c r="AI17" s="399" t="n">
        <v>0</v>
      </c>
      <c r="AJ17" s="399" t="n">
        <v>0</v>
      </c>
      <c r="AK17" s="399" t="n">
        <v>0</v>
      </c>
      <c r="AL17" s="399" t="n">
        <v>0</v>
      </c>
      <c r="AM17" s="399" t="n">
        <v>0</v>
      </c>
      <c r="AN17" s="399" t="n">
        <v>0</v>
      </c>
      <c r="AO17" s="399" t="n">
        <v>0</v>
      </c>
      <c r="AP17" s="399" t="n">
        <v>0</v>
      </c>
      <c r="AQ17" s="399" t="n">
        <v>0</v>
      </c>
      <c r="AR17" s="399" t="n">
        <v>0</v>
      </c>
      <c r="AS17" s="399" t="n">
        <v>0</v>
      </c>
      <c r="AT17" s="399" t="n">
        <v>0</v>
      </c>
      <c r="AU17" s="399" t="n">
        <v>0</v>
      </c>
      <c r="AV17" s="399" t="n">
        <v>0</v>
      </c>
      <c r="AW17" s="399" t="n">
        <v>0</v>
      </c>
      <c r="AX17" s="399" t="n">
        <v>0</v>
      </c>
      <c r="AY17" s="399" t="n">
        <v>0</v>
      </c>
      <c r="AZ17" s="399" t="n">
        <v>0</v>
      </c>
      <c r="BA17" s="399" t="n">
        <v>0</v>
      </c>
      <c r="BB17" s="399" t="n">
        <v>0</v>
      </c>
      <c r="BC17" s="399" t="n">
        <v>0</v>
      </c>
      <c r="BD17" s="399" t="n">
        <v>0</v>
      </c>
      <c r="BE17" s="399" t="n">
        <v>0</v>
      </c>
      <c r="BF17" s="399" t="n">
        <v>0</v>
      </c>
      <c r="BG17" s="399" t="n">
        <v>0</v>
      </c>
      <c r="BH17" s="399" t="n">
        <v>0</v>
      </c>
      <c r="BI17" s="399" t="n">
        <v>0</v>
      </c>
      <c r="BJ17" s="399" t="n">
        <v>0</v>
      </c>
      <c r="BK17" s="399" t="n">
        <v>0</v>
      </c>
      <c r="BL17" s="399" t="n">
        <v>0</v>
      </c>
      <c r="BM17" s="399" t="n">
        <v>0</v>
      </c>
      <c r="BN17" s="399" t="n">
        <v>0</v>
      </c>
      <c r="BO17" s="399" t="n">
        <v>0</v>
      </c>
      <c r="BP17" s="399" t="n">
        <v>0</v>
      </c>
      <c r="BQ17" s="399" t="n">
        <v>0</v>
      </c>
      <c r="BR17" s="399" t="n">
        <v>0</v>
      </c>
      <c r="BS17" s="399" t="n">
        <v>0</v>
      </c>
      <c r="BT17" s="399" t="n">
        <v>0</v>
      </c>
      <c r="BU17" s="399" t="n">
        <v>0</v>
      </c>
      <c r="BV17" s="399" t="n">
        <v>0</v>
      </c>
      <c r="BW17" s="399" t="n">
        <v>0</v>
      </c>
      <c r="BX17" s="399" t="n">
        <v>0</v>
      </c>
      <c r="BY17" s="399" t="n">
        <v>0</v>
      </c>
      <c r="BZ17" s="399" t="n">
        <v>0</v>
      </c>
      <c r="CA17" s="399" t="n">
        <v>0</v>
      </c>
      <c r="CB17" s="399" t="n">
        <v>0</v>
      </c>
      <c r="CC17" s="399" t="n">
        <v>0</v>
      </c>
      <c r="CD17" s="399" t="n">
        <v>0</v>
      </c>
      <c r="CE17" s="399" t="n">
        <v>0</v>
      </c>
      <c r="CF17" s="399" t="n">
        <v>0</v>
      </c>
      <c r="CG17" s="399" t="n">
        <v>0</v>
      </c>
      <c r="CH17" s="399" t="n">
        <v>0</v>
      </c>
      <c r="CI17" s="399" t="n">
        <v>0</v>
      </c>
      <c r="CJ17" s="399" t="n">
        <v>0</v>
      </c>
      <c r="CK17" s="399" t="n">
        <v>0</v>
      </c>
      <c r="CL17" s="399" t="n">
        <v>0</v>
      </c>
      <c r="CM17" s="399" t="n">
        <v>0</v>
      </c>
      <c r="CN17" s="399" t="n">
        <v>0</v>
      </c>
      <c r="CO17" s="399" t="n">
        <v>0</v>
      </c>
      <c r="CP17" s="399" t="n">
        <v>0</v>
      </c>
      <c r="CQ17" s="399" t="n">
        <v>0</v>
      </c>
      <c r="CR17" s="399" t="n">
        <v>0</v>
      </c>
      <c r="CS17" s="399" t="n">
        <v>0</v>
      </c>
      <c r="CT17" s="399" t="n">
        <v>0</v>
      </c>
      <c r="CU17" s="399" t="n">
        <v>0</v>
      </c>
      <c r="CV17" s="399" t="n">
        <v>0</v>
      </c>
      <c r="CW17" s="399" t="n">
        <v>0</v>
      </c>
      <c r="CX17" s="399" t="n">
        <v>0</v>
      </c>
      <c r="CY17" s="399" t="n">
        <v>0</v>
      </c>
      <c r="CZ17" s="399" t="n">
        <v>0</v>
      </c>
      <c r="DA17" s="399" t="n">
        <v>0</v>
      </c>
      <c r="DB17" s="399" t="n">
        <v>0</v>
      </c>
      <c r="DC17" s="399" t="n">
        <v>0</v>
      </c>
      <c r="DD17" s="399" t="n">
        <v>0</v>
      </c>
      <c r="DE17" s="399" t="n">
        <v>0</v>
      </c>
    </row>
    <row r="18" hidden="1" outlineLevel="1" ht="15" customFormat="1" customHeight="1" s="380">
      <c r="A18" s="407" t="inlineStr">
        <is>
          <t>Francis</t>
        </is>
      </c>
      <c r="B18" s="399" t="n">
        <v>0</v>
      </c>
      <c r="C18" s="399" t="n">
        <v>0</v>
      </c>
      <c r="D18" s="399" t="n">
        <v>0</v>
      </c>
      <c r="E18" s="399" t="n">
        <v>0</v>
      </c>
      <c r="F18" s="399" t="n">
        <v>0</v>
      </c>
      <c r="G18" s="399" t="n">
        <v>0</v>
      </c>
      <c r="H18" s="399" t="n">
        <v>92942</v>
      </c>
      <c r="I18" s="399" t="n">
        <v>309349.13</v>
      </c>
      <c r="J18" s="399" t="n">
        <v>734627.75</v>
      </c>
      <c r="K18" s="399" t="n">
        <v>1031862.26</v>
      </c>
      <c r="L18" s="399" t="n">
        <v>670762.14</v>
      </c>
      <c r="M18" s="399" t="n">
        <v>502701.41</v>
      </c>
      <c r="N18" s="399" t="n">
        <v>640423.23</v>
      </c>
      <c r="O18" s="399" t="n">
        <v>518087.99</v>
      </c>
      <c r="P18" s="399" t="n">
        <v>625083.61</v>
      </c>
      <c r="Q18" s="399" t="n">
        <v>527941.35</v>
      </c>
      <c r="R18" s="399" t="n">
        <v>648842.42</v>
      </c>
      <c r="S18" s="399" t="n">
        <v>609836.71</v>
      </c>
      <c r="T18" s="399" t="n">
        <v>1093856.58</v>
      </c>
      <c r="U18" s="399" t="n">
        <v>699027.38</v>
      </c>
      <c r="V18" s="399" t="n">
        <v>2084550.48</v>
      </c>
      <c r="W18" s="399" t="n">
        <v>1316830.2</v>
      </c>
      <c r="X18" s="399" t="n">
        <v>2704840.19</v>
      </c>
      <c r="Y18" s="399" t="n">
        <v>1557426.69</v>
      </c>
      <c r="Z18" s="399" t="n">
        <v>2453634.53</v>
      </c>
      <c r="AA18" s="399" t="n">
        <v>2048866.16</v>
      </c>
      <c r="AB18" s="399" t="n">
        <v>1396684.5</v>
      </c>
      <c r="AC18" s="399" t="n">
        <v>883896.92</v>
      </c>
      <c r="AD18" s="399" t="n">
        <v>1046686.92</v>
      </c>
      <c r="AE18" s="399" t="n">
        <v>982365.21</v>
      </c>
      <c r="AF18" s="399" t="n">
        <v>1214791.02</v>
      </c>
      <c r="AG18" s="399" t="n">
        <v>2109626.22</v>
      </c>
      <c r="AH18" s="399" t="n">
        <v>1957875.93</v>
      </c>
      <c r="AI18" s="399" t="n">
        <v>1914132.66</v>
      </c>
      <c r="AJ18" s="399" t="n">
        <v>1044319.92</v>
      </c>
      <c r="AK18" s="399" t="n">
        <v>866931.3</v>
      </c>
      <c r="AL18" s="399" t="n">
        <v>968436.51</v>
      </c>
      <c r="AM18" s="399" t="n">
        <v>1052717.22</v>
      </c>
      <c r="AN18" s="399" t="n">
        <v>283224.47</v>
      </c>
      <c r="AO18" s="399" t="n">
        <v>0</v>
      </c>
      <c r="AP18" s="399" t="n">
        <v>0</v>
      </c>
      <c r="AQ18" s="399" t="n">
        <v>0</v>
      </c>
      <c r="AR18" s="399" t="n">
        <v>0</v>
      </c>
      <c r="AS18" s="399" t="n">
        <v>0</v>
      </c>
      <c r="AT18" s="399" t="n">
        <v>0</v>
      </c>
      <c r="AU18" s="399" t="n">
        <v>0</v>
      </c>
      <c r="AV18" s="399" t="n">
        <v>0</v>
      </c>
      <c r="AW18" s="399" t="n">
        <v>0</v>
      </c>
      <c r="AX18" s="399" t="n">
        <v>0</v>
      </c>
      <c r="AY18" s="399" t="n">
        <v>0</v>
      </c>
      <c r="AZ18" s="399" t="n">
        <v>0</v>
      </c>
      <c r="BA18" s="399" t="n">
        <v>0</v>
      </c>
      <c r="BB18" s="399" t="n">
        <v>0</v>
      </c>
      <c r="BC18" s="399" t="n">
        <v>0</v>
      </c>
      <c r="BD18" s="399" t="n">
        <v>0</v>
      </c>
      <c r="BE18" s="399" t="n">
        <v>0</v>
      </c>
      <c r="BF18" s="399" t="n">
        <v>0</v>
      </c>
      <c r="BG18" s="399" t="n">
        <v>0</v>
      </c>
      <c r="BH18" s="399" t="n">
        <v>0</v>
      </c>
      <c r="BI18" s="399" t="n">
        <v>0</v>
      </c>
      <c r="BJ18" s="399" t="n">
        <v>0</v>
      </c>
      <c r="BK18" s="399" t="n">
        <v>0</v>
      </c>
      <c r="BL18" s="399" t="n">
        <v>0</v>
      </c>
      <c r="BM18" s="399" t="n">
        <v>0</v>
      </c>
      <c r="BN18" s="399" t="n">
        <v>0</v>
      </c>
      <c r="BO18" s="399" t="n">
        <v>0</v>
      </c>
      <c r="BP18" s="399" t="n">
        <v>0</v>
      </c>
      <c r="BQ18" s="399" t="n">
        <v>0</v>
      </c>
      <c r="BR18" s="399" t="n">
        <v>0</v>
      </c>
      <c r="BS18" s="399" t="n">
        <v>0</v>
      </c>
      <c r="BT18" s="399" t="n">
        <v>0</v>
      </c>
      <c r="BU18" s="399" t="n">
        <v>0</v>
      </c>
      <c r="BV18" s="399" t="n">
        <v>0</v>
      </c>
      <c r="BW18" s="399" t="n">
        <v>0</v>
      </c>
      <c r="BX18" s="399" t="n">
        <v>0</v>
      </c>
      <c r="BY18" s="399" t="n">
        <v>0</v>
      </c>
      <c r="BZ18" s="399" t="n">
        <v>0</v>
      </c>
      <c r="CA18" s="399" t="n">
        <v>0</v>
      </c>
      <c r="CB18" s="399" t="n">
        <v>0</v>
      </c>
      <c r="CC18" s="399" t="n">
        <v>0</v>
      </c>
      <c r="CD18" s="399" t="n">
        <v>0</v>
      </c>
      <c r="CE18" s="399" t="n">
        <v>0</v>
      </c>
      <c r="CF18" s="399" t="n">
        <v>0</v>
      </c>
      <c r="CG18" s="399" t="n">
        <v>0</v>
      </c>
      <c r="CH18" s="399" t="n">
        <v>0</v>
      </c>
      <c r="CI18" s="399" t="n">
        <v>0</v>
      </c>
      <c r="CJ18" s="399" t="n">
        <v>0</v>
      </c>
      <c r="CK18" s="399" t="n">
        <v>0</v>
      </c>
      <c r="CL18" s="399" t="n">
        <v>0</v>
      </c>
      <c r="CM18" s="399" t="n">
        <v>0</v>
      </c>
      <c r="CN18" s="399" t="n">
        <v>0</v>
      </c>
      <c r="CO18" s="399" t="n">
        <v>0</v>
      </c>
      <c r="CP18" s="399" t="n">
        <v>0</v>
      </c>
      <c r="CQ18" s="399" t="n">
        <v>0</v>
      </c>
      <c r="CR18" s="399" t="n">
        <v>0</v>
      </c>
      <c r="CS18" s="399" t="n">
        <v>0</v>
      </c>
      <c r="CT18" s="399" t="n">
        <v>0</v>
      </c>
      <c r="CU18" s="399" t="n">
        <v>0</v>
      </c>
      <c r="CV18" s="399" t="n">
        <v>0</v>
      </c>
      <c r="CW18" s="399" t="n">
        <v>0</v>
      </c>
      <c r="CX18" s="399" t="n">
        <v>0</v>
      </c>
      <c r="CY18" s="399" t="n">
        <v>0</v>
      </c>
      <c r="CZ18" s="399" t="n">
        <v>0</v>
      </c>
      <c r="DA18" s="399" t="n">
        <v>0</v>
      </c>
      <c r="DB18" s="399" t="n">
        <v>0</v>
      </c>
      <c r="DC18" s="399" t="n">
        <v>0</v>
      </c>
      <c r="DD18" s="399" t="n">
        <v>0</v>
      </c>
      <c r="DE18" s="399" t="n">
        <v>0</v>
      </c>
    </row>
    <row r="19" hidden="1" outlineLevel="1" ht="15" customFormat="1" customHeight="1" s="380">
      <c r="A19" s="407" t="inlineStr">
        <is>
          <t>Lexington</t>
        </is>
      </c>
      <c r="B19" s="399" t="n">
        <v>0</v>
      </c>
      <c r="C19" s="399" t="n">
        <v>0</v>
      </c>
      <c r="D19" s="399" t="n">
        <v>0</v>
      </c>
      <c r="E19" s="399" t="n">
        <v>0</v>
      </c>
      <c r="F19" s="399">
        <f>IF(AND(Projects!$G$8="Yes",F$3&gt;=Projects!$C$8,F$3&lt;Projects!$C$8+Projects!$D$8),Projects!$B$8*INDEX(Curves!$B$4:$AR$4,1,F$3-Projects!$C$8+1),0)-IF(AND(Projects!$G$8="Yes",F$3&gt;=Projects!$C$8,F$3&lt;Projects!$C$8+Projects!$D$8),Projects!$B$8*(Assumptions!$B$10+Assumptions!$B$11+Assumptions!$B$12)/Projects!$D$8*0.95,0)-IF(AND(Projects!$G$8="Yes",F$3=Projects!$C$8+Projects!$D$8-1),Projects!$B$8*(Assumptions!$B$10+Assumptions!$B$11+Assumptions!$B$12)*0.05,0)</f>
        <v/>
      </c>
      <c r="G19" s="399">
        <f>IF(AND(Projects!$G$8="Yes",G$3&gt;=Projects!$C$8,G$3&lt;Projects!$C$8+Projects!$D$8),Projects!$B$8*INDEX(Curves!$B$4:$AR$4,1,G$3-Projects!$C$8+1),0)-IF(AND(Projects!$G$8="Yes",G$3&gt;=Projects!$C$8,G$3&lt;Projects!$C$8+Projects!$D$8),Projects!$B$8*(Assumptions!$B$10+Assumptions!$B$11+Assumptions!$B$12)/Projects!$D$8*0.95,0)-IF(AND(Projects!$G$8="Yes",G$3=Projects!$C$8+Projects!$D$8-1),Projects!$B$8*(Assumptions!$B$10+Assumptions!$B$11+Assumptions!$B$12)*0.05,0)</f>
        <v/>
      </c>
      <c r="H19" s="399">
        <f>IF(AND(Projects!$G$8="Yes",H$3&gt;=Projects!$C$8,H$3&lt;Projects!$C$8+Projects!$D$8),Projects!$B$8*INDEX(Curves!$B$4:$AR$4,1,H$3-Projects!$C$8+1),0)-IF(AND(Projects!$G$8="Yes",H$3&gt;=Projects!$C$8,H$3&lt;Projects!$C$8+Projects!$D$8),Projects!$B$8*(Assumptions!$B$10+Assumptions!$B$11+Assumptions!$B$12)/Projects!$D$8*0.95,0)-IF(AND(Projects!$G$8="Yes",H$3=Projects!$C$8+Projects!$D$8-1),Projects!$B$8*(Assumptions!$B$10+Assumptions!$B$11+Assumptions!$B$12)*0.05,0)</f>
        <v/>
      </c>
      <c r="I19" s="399">
        <f>IF(AND(Projects!$G$8="Yes",I$3&gt;=Projects!$C$8,I$3&lt;Projects!$C$8+Projects!$D$8),Projects!$B$8*INDEX(Curves!$B$4:$AR$4,1,I$3-Projects!$C$8+1),0)-IF(AND(Projects!$G$8="Yes",I$3&gt;=Projects!$C$8,I$3&lt;Projects!$C$8+Projects!$D$8),Projects!$B$8*(Assumptions!$B$10+Assumptions!$B$11+Assumptions!$B$12)/Projects!$D$8*0.95,0)-IF(AND(Projects!$G$8="Yes",I$3=Projects!$C$8+Projects!$D$8-1),Projects!$B$8*(Assumptions!$B$10+Assumptions!$B$11+Assumptions!$B$12)*0.05,0)</f>
        <v/>
      </c>
      <c r="J19" s="399">
        <f>IF(AND(Projects!$G$8="Yes",J$3&gt;=Projects!$C$8,J$3&lt;Projects!$C$8+Projects!$D$8),Projects!$B$8*INDEX(Curves!$B$4:$AR$4,1,J$3-Projects!$C$8+1),0)-IF(AND(Projects!$G$8="Yes",J$3&gt;=Projects!$C$8,J$3&lt;Projects!$C$8+Projects!$D$8),Projects!$B$8*(Assumptions!$B$10+Assumptions!$B$11+Assumptions!$B$12)/Projects!$D$8*0.95,0)-IF(AND(Projects!$G$8="Yes",J$3=Projects!$C$8+Projects!$D$8-1),Projects!$B$8*(Assumptions!$B$10+Assumptions!$B$11+Assumptions!$B$12)*0.05,0)</f>
        <v/>
      </c>
      <c r="K19" s="399">
        <f>IF(AND(Projects!$G$8="Yes",K$3&gt;=Projects!$C$8,K$3&lt;Projects!$C$8+Projects!$D$8),Projects!$B$8*INDEX(Curves!$B$4:$AR$4,1,K$3-Projects!$C$8+1),0)-IF(AND(Projects!$G$8="Yes",K$3&gt;=Projects!$C$8,K$3&lt;Projects!$C$8+Projects!$D$8),Projects!$B$8*(Assumptions!$B$10+Assumptions!$B$11+Assumptions!$B$12)/Projects!$D$8*0.95,0)-IF(AND(Projects!$G$8="Yes",K$3=Projects!$C$8+Projects!$D$8-1),Projects!$B$8*(Assumptions!$B$10+Assumptions!$B$11+Assumptions!$B$12)*0.05,0)</f>
        <v/>
      </c>
      <c r="L19" s="399">
        <f>IF(AND(Projects!$G$8="Yes",L$3&gt;=Projects!$C$8,L$3&lt;Projects!$C$8+Projects!$D$8),Projects!$B$8*INDEX(Curves!$B$4:$AR$4,1,L$3-Projects!$C$8+1),0)-IF(AND(Projects!$G$8="Yes",L$3&gt;=Projects!$C$8,L$3&lt;Projects!$C$8+Projects!$D$8),Projects!$B$8*(Assumptions!$B$10+Assumptions!$B$11+Assumptions!$B$12)/Projects!$D$8*0.95,0)-IF(AND(Projects!$G$8="Yes",L$3=Projects!$C$8+Projects!$D$8-1),Projects!$B$8*(Assumptions!$B$10+Assumptions!$B$11+Assumptions!$B$12)*0.05,0)</f>
        <v/>
      </c>
      <c r="M19" s="399">
        <f>IF(AND(Projects!$G$8="Yes",M$3&gt;=Projects!$C$8,M$3&lt;Projects!$C$8+Projects!$D$8),Projects!$B$8*INDEX(Curves!$B$4:$AR$4,1,M$3-Projects!$C$8+1),0)-IF(AND(Projects!$G$8="Yes",M$3&gt;=Projects!$C$8,M$3&lt;Projects!$C$8+Projects!$D$8),Projects!$B$8*(Assumptions!$B$10+Assumptions!$B$11+Assumptions!$B$12)/Projects!$D$8*0.95,0)-IF(AND(Projects!$G$8="Yes",M$3=Projects!$C$8+Projects!$D$8-1),Projects!$B$8*(Assumptions!$B$10+Assumptions!$B$11+Assumptions!$B$12)*0.05,0)</f>
        <v/>
      </c>
      <c r="N19" s="399">
        <f>IF(AND(Projects!$G$8="Yes",N$3&gt;=Projects!$C$8,N$3&lt;Projects!$C$8+Projects!$D$8),Projects!$B$8*INDEX(Curves!$B$4:$AR$4,1,N$3-Projects!$C$8+1),0)-IF(AND(Projects!$G$8="Yes",N$3&gt;=Projects!$C$8,N$3&lt;Projects!$C$8+Projects!$D$8),Projects!$B$8*(Assumptions!$B$10+Assumptions!$B$11+Assumptions!$B$12)/Projects!$D$8*0.95,0)-IF(AND(Projects!$G$8="Yes",N$3=Projects!$C$8+Projects!$D$8-1),Projects!$B$8*(Assumptions!$B$10+Assumptions!$B$11+Assumptions!$B$12)*0.05,0)</f>
        <v/>
      </c>
      <c r="O19" s="399">
        <f>IF(AND(Projects!$G$8="Yes",O$3&gt;=Projects!$C$8,O$3&lt;Projects!$C$8+Projects!$D$8),Projects!$B$8*INDEX(Curves!$B$4:$AR$4,1,O$3-Projects!$C$8+1),0)-IF(AND(Projects!$G$8="Yes",O$3&gt;=Projects!$C$8,O$3&lt;Projects!$C$8+Projects!$D$8),Projects!$B$8*(Assumptions!$B$10+Assumptions!$B$11+Assumptions!$B$12)/Projects!$D$8*0.95,0)-IF(AND(Projects!$G$8="Yes",O$3=Projects!$C$8+Projects!$D$8-1),Projects!$B$8*(Assumptions!$B$10+Assumptions!$B$11+Assumptions!$B$12)*0.05,0)</f>
        <v/>
      </c>
      <c r="P19" s="399">
        <f>IF(AND(Projects!$G$8="Yes",P$3&gt;=Projects!$C$8,P$3&lt;Projects!$C$8+Projects!$D$8),Projects!$B$8*INDEX(Curves!$B$4:$AR$4,1,P$3-Projects!$C$8+1),0)-IF(AND(Projects!$G$8="Yes",P$3&gt;=Projects!$C$8,P$3&lt;Projects!$C$8+Projects!$D$8),Projects!$B$8*(Assumptions!$B$10+Assumptions!$B$11+Assumptions!$B$12)/Projects!$D$8*0.95,0)-IF(AND(Projects!$G$8="Yes",P$3=Projects!$C$8+Projects!$D$8-1),Projects!$B$8*(Assumptions!$B$10+Assumptions!$B$11+Assumptions!$B$12)*0.05,0)</f>
        <v/>
      </c>
      <c r="Q19" s="399">
        <f>IF(AND(Projects!$G$8="Yes",Q$3&gt;=Projects!$C$8,Q$3&lt;Projects!$C$8+Projects!$D$8),Projects!$B$8*INDEX(Curves!$B$4:$AR$4,1,Q$3-Projects!$C$8+1),0)-IF(AND(Projects!$G$8="Yes",Q$3&gt;=Projects!$C$8,Q$3&lt;Projects!$C$8+Projects!$D$8),Projects!$B$8*(Assumptions!$B$10+Assumptions!$B$11+Assumptions!$B$12)/Projects!$D$8*0.95,0)-IF(AND(Projects!$G$8="Yes",Q$3=Projects!$C$8+Projects!$D$8-1),Projects!$B$8*(Assumptions!$B$10+Assumptions!$B$11+Assumptions!$B$12)*0.05,0)</f>
        <v/>
      </c>
      <c r="R19" s="399">
        <f>IF(AND(Projects!$G$8="Yes",R$3&gt;=Projects!$C$8,R$3&lt;Projects!$C$8+Projects!$D$8),Projects!$B$8*INDEX(Curves!$B$4:$AR$4,1,R$3-Projects!$C$8+1),0)-IF(AND(Projects!$G$8="Yes",R$3&gt;=Projects!$C$8,R$3&lt;Projects!$C$8+Projects!$D$8),Projects!$B$8*(Assumptions!$B$10+Assumptions!$B$11+Assumptions!$B$12)/Projects!$D$8*0.95,0)-IF(AND(Projects!$G$8="Yes",R$3=Projects!$C$8+Projects!$D$8-1),Projects!$B$8*(Assumptions!$B$10+Assumptions!$B$11+Assumptions!$B$12)*0.05,0)</f>
        <v/>
      </c>
      <c r="S19" s="399">
        <f>IF(AND(Projects!$G$8="Yes",S$3&gt;=Projects!$C$8,S$3&lt;Projects!$C$8+Projects!$D$8),Projects!$B$8*INDEX(Curves!$B$4:$AR$4,1,S$3-Projects!$C$8+1),0)-IF(AND(Projects!$G$8="Yes",S$3&gt;=Projects!$C$8,S$3&lt;Projects!$C$8+Projects!$D$8),Projects!$B$8*(Assumptions!$B$10+Assumptions!$B$11+Assumptions!$B$12)/Projects!$D$8*0.95,0)-IF(AND(Projects!$G$8="Yes",S$3=Projects!$C$8+Projects!$D$8-1),Projects!$B$8*(Assumptions!$B$10+Assumptions!$B$11+Assumptions!$B$12)*0.05,0)</f>
        <v/>
      </c>
      <c r="T19" s="399">
        <f>IF(AND(Projects!$G$8="Yes",T$3&gt;=Projects!$C$8,T$3&lt;Projects!$C$8+Projects!$D$8),Projects!$B$8*INDEX(Curves!$B$4:$AR$4,1,T$3-Projects!$C$8+1),0)-IF(AND(Projects!$G$8="Yes",T$3&gt;=Projects!$C$8,T$3&lt;Projects!$C$8+Projects!$D$8),Projects!$B$8*(Assumptions!$B$10+Assumptions!$B$11+Assumptions!$B$12)/Projects!$D$8*0.95,0)-IF(AND(Projects!$G$8="Yes",T$3=Projects!$C$8+Projects!$D$8-1),Projects!$B$8*(Assumptions!$B$10+Assumptions!$B$11+Assumptions!$B$12)*0.05,0)</f>
        <v/>
      </c>
      <c r="U19" s="399">
        <f>IF(AND(Projects!$G$8="Yes",U$3&gt;=Projects!$C$8,U$3&lt;Projects!$C$8+Projects!$D$8),Projects!$B$8*INDEX(Curves!$B$4:$AR$4,1,U$3-Projects!$C$8+1),0)-IF(AND(Projects!$G$8="Yes",U$3&gt;=Projects!$C$8,U$3&lt;Projects!$C$8+Projects!$D$8),Projects!$B$8*(Assumptions!$B$10+Assumptions!$B$11+Assumptions!$B$12)/Projects!$D$8*0.95,0)-IF(AND(Projects!$G$8="Yes",U$3=Projects!$C$8+Projects!$D$8-1),Projects!$B$8*(Assumptions!$B$10+Assumptions!$B$11+Assumptions!$B$12)*0.05,0)</f>
        <v/>
      </c>
      <c r="V19" s="399">
        <f>IF(AND(Projects!$G$8="Yes",V$3&gt;=Projects!$C$8,V$3&lt;Projects!$C$8+Projects!$D$8),Projects!$B$8*INDEX(Curves!$B$4:$AR$4,1,V$3-Projects!$C$8+1),0)-IF(AND(Projects!$G$8="Yes",V$3&gt;=Projects!$C$8,V$3&lt;Projects!$C$8+Projects!$D$8),Projects!$B$8*(Assumptions!$B$10+Assumptions!$B$11+Assumptions!$B$12)/Projects!$D$8*0.95,0)-IF(AND(Projects!$G$8="Yes",V$3=Projects!$C$8+Projects!$D$8-1),Projects!$B$8*(Assumptions!$B$10+Assumptions!$B$11+Assumptions!$B$12)*0.05,0)</f>
        <v/>
      </c>
      <c r="W19" s="399">
        <f>IF(AND(Projects!$G$8="Yes",W$3&gt;=Projects!$C$8,W$3&lt;Projects!$C$8+Projects!$D$8),Projects!$B$8*INDEX(Curves!$B$4:$AR$4,1,W$3-Projects!$C$8+1),0)-IF(AND(Projects!$G$8="Yes",W$3&gt;=Projects!$C$8,W$3&lt;Projects!$C$8+Projects!$D$8),Projects!$B$8*(Assumptions!$B$10+Assumptions!$B$11+Assumptions!$B$12)/Projects!$D$8*0.95,0)-IF(AND(Projects!$G$8="Yes",W$3=Projects!$C$8+Projects!$D$8-1),Projects!$B$8*(Assumptions!$B$10+Assumptions!$B$11+Assumptions!$B$12)*0.05,0)</f>
        <v/>
      </c>
      <c r="X19" s="399">
        <f>IF(AND(Projects!$G$8="Yes",X$3&gt;=Projects!$C$8,X$3&lt;Projects!$C$8+Projects!$D$8),Projects!$B$8*INDEX(Curves!$B$4:$AR$4,1,X$3-Projects!$C$8+1),0)-IF(AND(Projects!$G$8="Yes",X$3&gt;=Projects!$C$8,X$3&lt;Projects!$C$8+Projects!$D$8),Projects!$B$8*(Assumptions!$B$10+Assumptions!$B$11+Assumptions!$B$12)/Projects!$D$8*0.95,0)-IF(AND(Projects!$G$8="Yes",X$3=Projects!$C$8+Projects!$D$8-1),Projects!$B$8*(Assumptions!$B$10+Assumptions!$B$11+Assumptions!$B$12)*0.05,0)</f>
        <v/>
      </c>
      <c r="Y19" s="399">
        <f>IF(AND(Projects!$G$8="Yes",Y$3&gt;=Projects!$C$8,Y$3&lt;Projects!$C$8+Projects!$D$8),Projects!$B$8*INDEX(Curves!$B$4:$AR$4,1,Y$3-Projects!$C$8+1),0)-IF(AND(Projects!$G$8="Yes",Y$3&gt;=Projects!$C$8,Y$3&lt;Projects!$C$8+Projects!$D$8),Projects!$B$8*(Assumptions!$B$10+Assumptions!$B$11+Assumptions!$B$12)/Projects!$D$8*0.95,0)-IF(AND(Projects!$G$8="Yes",Y$3=Projects!$C$8+Projects!$D$8-1),Projects!$B$8*(Assumptions!$B$10+Assumptions!$B$11+Assumptions!$B$12)*0.05,0)</f>
        <v/>
      </c>
      <c r="Z19" s="399">
        <f>IF(AND(Projects!$G$8="Yes",Z$3&gt;=Projects!$C$8,Z$3&lt;Projects!$C$8+Projects!$D$8),Projects!$B$8*INDEX(Curves!$B$4:$AR$4,1,Z$3-Projects!$C$8+1),0)-IF(AND(Projects!$G$8="Yes",Z$3&gt;=Projects!$C$8,Z$3&lt;Projects!$C$8+Projects!$D$8),Projects!$B$8*(Assumptions!$B$10+Assumptions!$B$11+Assumptions!$B$12)/Projects!$D$8*0.95,0)-IF(AND(Projects!$G$8="Yes",Z$3=Projects!$C$8+Projects!$D$8-1),Projects!$B$8*(Assumptions!$B$10+Assumptions!$B$11+Assumptions!$B$12)*0.05,0)</f>
        <v/>
      </c>
      <c r="AA19" s="399">
        <f>IF(AND(Projects!$G$8="Yes",AA$3&gt;=Projects!$C$8,AA$3&lt;Projects!$C$8+Projects!$D$8),Projects!$B$8*INDEX(Curves!$B$4:$AR$4,1,AA$3-Projects!$C$8+1),0)-IF(AND(Projects!$G$8="Yes",AA$3&gt;=Projects!$C$8,AA$3&lt;Projects!$C$8+Projects!$D$8),Projects!$B$8*(Assumptions!$B$10+Assumptions!$B$11+Assumptions!$B$12)/Projects!$D$8*0.95,0)-IF(AND(Projects!$G$8="Yes",AA$3=Projects!$C$8+Projects!$D$8-1),Projects!$B$8*(Assumptions!$B$10+Assumptions!$B$11+Assumptions!$B$12)*0.05,0)</f>
        <v/>
      </c>
      <c r="AB19" s="399">
        <f>IF(AND(Projects!$G$8="Yes",AB$3&gt;=Projects!$C$8,AB$3&lt;Projects!$C$8+Projects!$D$8),Projects!$B$8*INDEX(Curves!$B$4:$AR$4,1,AB$3-Projects!$C$8+1),0)-IF(AND(Projects!$G$8="Yes",AB$3&gt;=Projects!$C$8,AB$3&lt;Projects!$C$8+Projects!$D$8),Projects!$B$8*(Assumptions!$B$10+Assumptions!$B$11+Assumptions!$B$12)/Projects!$D$8*0.95,0)-IF(AND(Projects!$G$8="Yes",AB$3=Projects!$C$8+Projects!$D$8-1),Projects!$B$8*(Assumptions!$B$10+Assumptions!$B$11+Assumptions!$B$12)*0.05,0)</f>
        <v/>
      </c>
      <c r="AC19" s="399">
        <f>IF(AND(Projects!$G$8="Yes",AC$3&gt;=Projects!$C$8,AC$3&lt;Projects!$C$8+Projects!$D$8),Projects!$B$8*INDEX(Curves!$B$4:$AR$4,1,AC$3-Projects!$C$8+1),0)-IF(AND(Projects!$G$8="Yes",AC$3&gt;=Projects!$C$8,AC$3&lt;Projects!$C$8+Projects!$D$8),Projects!$B$8*(Assumptions!$B$10+Assumptions!$B$11+Assumptions!$B$12)/Projects!$D$8*0.95,0)-IF(AND(Projects!$G$8="Yes",AC$3=Projects!$C$8+Projects!$D$8-1),Projects!$B$8*(Assumptions!$B$10+Assumptions!$B$11+Assumptions!$B$12)*0.05,0)</f>
        <v/>
      </c>
      <c r="AD19" s="399">
        <f>IF(AND(Projects!$G$8="Yes",AD$3&gt;=Projects!$C$8,AD$3&lt;Projects!$C$8+Projects!$D$8),Projects!$B$8*INDEX(Curves!$B$4:$AR$4,1,AD$3-Projects!$C$8+1),0)-IF(AND(Projects!$G$8="Yes",AD$3&gt;=Projects!$C$8,AD$3&lt;Projects!$C$8+Projects!$D$8),Projects!$B$8*(Assumptions!$B$10+Assumptions!$B$11+Assumptions!$B$12)/Projects!$D$8*0.95,0)-IF(AND(Projects!$G$8="Yes",AD$3=Projects!$C$8+Projects!$D$8-1),Projects!$B$8*(Assumptions!$B$10+Assumptions!$B$11+Assumptions!$B$12)*0.05,0)</f>
        <v/>
      </c>
      <c r="AE19" s="399">
        <f>IF(AND(Projects!$G$8="Yes",AE$3&gt;=Projects!$C$8,AE$3&lt;Projects!$C$8+Projects!$D$8),Projects!$B$8*INDEX(Curves!$B$4:$AR$4,1,AE$3-Projects!$C$8+1),0)-IF(AND(Projects!$G$8="Yes",AE$3&gt;=Projects!$C$8,AE$3&lt;Projects!$C$8+Projects!$D$8),Projects!$B$8*(Assumptions!$B$10+Assumptions!$B$11+Assumptions!$B$12)/Projects!$D$8*0.95,0)-IF(AND(Projects!$G$8="Yes",AE$3=Projects!$C$8+Projects!$D$8-1),Projects!$B$8*(Assumptions!$B$10+Assumptions!$B$11+Assumptions!$B$12)*0.05,0)</f>
        <v/>
      </c>
      <c r="AF19" s="399">
        <f>IF(AND(Projects!$G$8="Yes",AF$3&gt;=Projects!$C$8,AF$3&lt;Projects!$C$8+Projects!$D$8),Projects!$B$8*INDEX(Curves!$B$4:$AR$4,1,AF$3-Projects!$C$8+1),0)-IF(AND(Projects!$G$8="Yes",AF$3&gt;=Projects!$C$8,AF$3&lt;Projects!$C$8+Projects!$D$8),Projects!$B$8*(Assumptions!$B$10+Assumptions!$B$11+Assumptions!$B$12)/Projects!$D$8*0.95,0)-IF(AND(Projects!$G$8="Yes",AF$3=Projects!$C$8+Projects!$D$8-1),Projects!$B$8*(Assumptions!$B$10+Assumptions!$B$11+Assumptions!$B$12)*0.05,0)</f>
        <v/>
      </c>
      <c r="AG19" s="399">
        <f>IF(AND(Projects!$G$8="Yes",AG$3&gt;=Projects!$C$8,AG$3&lt;Projects!$C$8+Projects!$D$8),Projects!$B$8*INDEX(Curves!$B$4:$AR$4,1,AG$3-Projects!$C$8+1),0)-IF(AND(Projects!$G$8="Yes",AG$3&gt;=Projects!$C$8,AG$3&lt;Projects!$C$8+Projects!$D$8),Projects!$B$8*(Assumptions!$B$10+Assumptions!$B$11+Assumptions!$B$12)/Projects!$D$8*0.95,0)-IF(AND(Projects!$G$8="Yes",AG$3=Projects!$C$8+Projects!$D$8-1),Projects!$B$8*(Assumptions!$B$10+Assumptions!$B$11+Assumptions!$B$12)*0.05,0)</f>
        <v/>
      </c>
      <c r="AH19" s="399">
        <f>IF(AND(Projects!$G$8="Yes",AH$3&gt;=Projects!$C$8,AH$3&lt;Projects!$C$8+Projects!$D$8),Projects!$B$8*INDEX(Curves!$B$4:$AR$4,1,AH$3-Projects!$C$8+1),0)-IF(AND(Projects!$G$8="Yes",AH$3&gt;=Projects!$C$8,AH$3&lt;Projects!$C$8+Projects!$D$8),Projects!$B$8*(Assumptions!$B$10+Assumptions!$B$11+Assumptions!$B$12)/Projects!$D$8*0.95,0)-IF(AND(Projects!$G$8="Yes",AH$3=Projects!$C$8+Projects!$D$8-1),Projects!$B$8*(Assumptions!$B$10+Assumptions!$B$11+Assumptions!$B$12)*0.05,0)</f>
        <v/>
      </c>
      <c r="AI19" s="399">
        <f>IF(AND(Projects!$G$8="Yes",AI$3&gt;=Projects!$C$8,AI$3&lt;Projects!$C$8+Projects!$D$8),Projects!$B$8*INDEX(Curves!$B$4:$AR$4,1,AI$3-Projects!$C$8+1),0)-IF(AND(Projects!$G$8="Yes",AI$3&gt;=Projects!$C$8,AI$3&lt;Projects!$C$8+Projects!$D$8),Projects!$B$8*(Assumptions!$B$10+Assumptions!$B$11+Assumptions!$B$12)/Projects!$D$8*0.95,0)-IF(AND(Projects!$G$8="Yes",AI$3=Projects!$C$8+Projects!$D$8-1),Projects!$B$8*(Assumptions!$B$10+Assumptions!$B$11+Assumptions!$B$12)*0.05,0)</f>
        <v/>
      </c>
      <c r="AJ19" s="399">
        <f>IF(AND(Projects!$G$8="Yes",AJ$3&gt;=Projects!$C$8,AJ$3&lt;Projects!$C$8+Projects!$D$8),Projects!$B$8*INDEX(Curves!$B$4:$AR$4,1,AJ$3-Projects!$C$8+1),0)-IF(AND(Projects!$G$8="Yes",AJ$3&gt;=Projects!$C$8,AJ$3&lt;Projects!$C$8+Projects!$D$8),Projects!$B$8*(Assumptions!$B$10+Assumptions!$B$11+Assumptions!$B$12)/Projects!$D$8*0.95,0)-IF(AND(Projects!$G$8="Yes",AJ$3=Projects!$C$8+Projects!$D$8-1),Projects!$B$8*(Assumptions!$B$10+Assumptions!$B$11+Assumptions!$B$12)*0.05,0)</f>
        <v/>
      </c>
      <c r="AK19" s="399">
        <f>IF(AND(Projects!$G$8="Yes",AK$3&gt;=Projects!$C$8,AK$3&lt;Projects!$C$8+Projects!$D$8),Projects!$B$8*INDEX(Curves!$B$4:$AR$4,1,AK$3-Projects!$C$8+1),0)-IF(AND(Projects!$G$8="Yes",AK$3&gt;=Projects!$C$8,AK$3&lt;Projects!$C$8+Projects!$D$8),Projects!$B$8*(Assumptions!$B$10+Assumptions!$B$11+Assumptions!$B$12)/Projects!$D$8*0.95,0)-IF(AND(Projects!$G$8="Yes",AK$3=Projects!$C$8+Projects!$D$8-1),Projects!$B$8*(Assumptions!$B$10+Assumptions!$B$11+Assumptions!$B$12)*0.05,0)</f>
        <v/>
      </c>
      <c r="AL19" s="399">
        <f>IF(AND(Projects!$G$8="Yes",AL$3&gt;=Projects!$C$8,AL$3&lt;Projects!$C$8+Projects!$D$8),Projects!$B$8*INDEX(Curves!$B$4:$AR$4,1,AL$3-Projects!$C$8+1),0)-IF(AND(Projects!$G$8="Yes",AL$3&gt;=Projects!$C$8,AL$3&lt;Projects!$C$8+Projects!$D$8),Projects!$B$8*(Assumptions!$B$10+Assumptions!$B$11+Assumptions!$B$12)/Projects!$D$8*0.95,0)-IF(AND(Projects!$G$8="Yes",AL$3=Projects!$C$8+Projects!$D$8-1),Projects!$B$8*(Assumptions!$B$10+Assumptions!$B$11+Assumptions!$B$12)*0.05,0)</f>
        <v/>
      </c>
      <c r="AM19" s="399">
        <f>IF(AND(Projects!$G$8="Yes",AM$3&gt;=Projects!$C$8,AM$3&lt;Projects!$C$8+Projects!$D$8),Projects!$B$8*INDEX(Curves!$B$4:$AR$4,1,AM$3-Projects!$C$8+1),0)-IF(AND(Projects!$G$8="Yes",AM$3&gt;=Projects!$C$8,AM$3&lt;Projects!$C$8+Projects!$D$8),Projects!$B$8*(Assumptions!$B$10+Assumptions!$B$11+Assumptions!$B$12)/Projects!$D$8*0.95,0)-IF(AND(Projects!$G$8="Yes",AM$3=Projects!$C$8+Projects!$D$8-1),Projects!$B$8*(Assumptions!$B$10+Assumptions!$B$11+Assumptions!$B$12)*0.05,0)</f>
        <v/>
      </c>
      <c r="AN19" s="399">
        <f>IF(AND(Projects!$G$8="Yes",AN$3&gt;=Projects!$C$8,AN$3&lt;Projects!$C$8+Projects!$D$8),Projects!$B$8*INDEX(Curves!$B$4:$AR$4,1,AN$3-Projects!$C$8+1),0)-IF(AND(Projects!$G$8="Yes",AN$3&gt;=Projects!$C$8,AN$3&lt;Projects!$C$8+Projects!$D$8),Projects!$B$8*(Assumptions!$B$10+Assumptions!$B$11+Assumptions!$B$12)/Projects!$D$8*0.95,0)-IF(AND(Projects!$G$8="Yes",AN$3=Projects!$C$8+Projects!$D$8-1),Projects!$B$8*(Assumptions!$B$10+Assumptions!$B$11+Assumptions!$B$12)*0.05,0)</f>
        <v/>
      </c>
      <c r="AO19" s="399">
        <f>IF(AND(Projects!$G$8="Yes",AO$3&gt;=Projects!$C$8,AO$3&lt;Projects!$C$8+Projects!$D$8),Projects!$B$8*INDEX(Curves!$B$4:$AR$4,1,AO$3-Projects!$C$8+1),0)-IF(AND(Projects!$G$8="Yes",AO$3&gt;=Projects!$C$8,AO$3&lt;Projects!$C$8+Projects!$D$8),Projects!$B$8*(Assumptions!$B$10+Assumptions!$B$11+Assumptions!$B$12)/Projects!$D$8*0.95,0)-IF(AND(Projects!$G$8="Yes",AO$3=Projects!$C$8+Projects!$D$8-1),Projects!$B$8*(Assumptions!$B$10+Assumptions!$B$11+Assumptions!$B$12)*0.05,0)</f>
        <v/>
      </c>
      <c r="AP19" s="399">
        <f>IF(AND(Projects!$G$8="Yes",AP$3&gt;=Projects!$C$8,AP$3&lt;Projects!$C$8+Projects!$D$8),Projects!$B$8*INDEX(Curves!$B$4:$AR$4,1,AP$3-Projects!$C$8+1),0)-IF(AND(Projects!$G$8="Yes",AP$3&gt;=Projects!$C$8,AP$3&lt;Projects!$C$8+Projects!$D$8),Projects!$B$8*(Assumptions!$B$10+Assumptions!$B$11+Assumptions!$B$12)/Projects!$D$8*0.95,0)-IF(AND(Projects!$G$8="Yes",AP$3=Projects!$C$8+Projects!$D$8-1),Projects!$B$8*(Assumptions!$B$10+Assumptions!$B$11+Assumptions!$B$12)*0.05,0)</f>
        <v/>
      </c>
      <c r="AQ19" s="399">
        <f>IF(AND(Projects!$G$8="Yes",AQ$3&gt;=Projects!$C$8,AQ$3&lt;Projects!$C$8+Projects!$D$8),Projects!$B$8*INDEX(Curves!$B$4:$AR$4,1,AQ$3-Projects!$C$8+1),0)-IF(AND(Projects!$G$8="Yes",AQ$3&gt;=Projects!$C$8,AQ$3&lt;Projects!$C$8+Projects!$D$8),Projects!$B$8*(Assumptions!$B$10+Assumptions!$B$11+Assumptions!$B$12)/Projects!$D$8*0.95,0)-IF(AND(Projects!$G$8="Yes",AQ$3=Projects!$C$8+Projects!$D$8-1),Projects!$B$8*(Assumptions!$B$10+Assumptions!$B$11+Assumptions!$B$12)*0.05,0)</f>
        <v/>
      </c>
      <c r="AR19" s="399">
        <f>IF(AND(Projects!$G$8="Yes",AR$3&gt;=Projects!$C$8,AR$3&lt;Projects!$C$8+Projects!$D$8),Projects!$B$8*INDEX(Curves!$B$4:$AR$4,1,AR$3-Projects!$C$8+1),0)-IF(AND(Projects!$G$8="Yes",AR$3&gt;=Projects!$C$8,AR$3&lt;Projects!$C$8+Projects!$D$8),Projects!$B$8*(Assumptions!$B$10+Assumptions!$B$11+Assumptions!$B$12)/Projects!$D$8*0.95,0)-IF(AND(Projects!$G$8="Yes",AR$3=Projects!$C$8+Projects!$D$8-1),Projects!$B$8*(Assumptions!$B$10+Assumptions!$B$11+Assumptions!$B$12)*0.05,0)</f>
        <v/>
      </c>
      <c r="AS19" s="399">
        <f>IF(AND(Projects!$G$8="Yes",AS$3&gt;=Projects!$C$8,AS$3&lt;Projects!$C$8+Projects!$D$8),Projects!$B$8*INDEX(Curves!$B$4:$AR$4,1,AS$3-Projects!$C$8+1),0)-IF(AND(Projects!$G$8="Yes",AS$3&gt;=Projects!$C$8,AS$3&lt;Projects!$C$8+Projects!$D$8),Projects!$B$8*(Assumptions!$B$10+Assumptions!$B$11+Assumptions!$B$12)/Projects!$D$8*0.95,0)-IF(AND(Projects!$G$8="Yes",AS$3=Projects!$C$8+Projects!$D$8-1),Projects!$B$8*(Assumptions!$B$10+Assumptions!$B$11+Assumptions!$B$12)*0.05,0)</f>
        <v/>
      </c>
      <c r="AT19" s="399">
        <f>IF(AND(Projects!$G$8="Yes",AT$3&gt;=Projects!$C$8,AT$3&lt;Projects!$C$8+Projects!$D$8),Projects!$B$8*INDEX(Curves!$B$4:$AR$4,1,AT$3-Projects!$C$8+1),0)-IF(AND(Projects!$G$8="Yes",AT$3&gt;=Projects!$C$8,AT$3&lt;Projects!$C$8+Projects!$D$8),Projects!$B$8*(Assumptions!$B$10+Assumptions!$B$11+Assumptions!$B$12)/Projects!$D$8*0.95,0)-IF(AND(Projects!$G$8="Yes",AT$3=Projects!$C$8+Projects!$D$8-1),Projects!$B$8*(Assumptions!$B$10+Assumptions!$B$11+Assumptions!$B$12)*0.05,0)</f>
        <v/>
      </c>
      <c r="AU19" s="399">
        <f>IF(AND(Projects!$G$8="Yes",AU$3&gt;=Projects!$C$8,AU$3&lt;Projects!$C$8+Projects!$D$8),Projects!$B$8*INDEX(Curves!$B$4:$AR$4,1,AU$3-Projects!$C$8+1),0)-IF(AND(Projects!$G$8="Yes",AU$3&gt;=Projects!$C$8,AU$3&lt;Projects!$C$8+Projects!$D$8),Projects!$B$8*(Assumptions!$B$10+Assumptions!$B$11+Assumptions!$B$12)/Projects!$D$8*0.95,0)-IF(AND(Projects!$G$8="Yes",AU$3=Projects!$C$8+Projects!$D$8-1),Projects!$B$8*(Assumptions!$B$10+Assumptions!$B$11+Assumptions!$B$12)*0.05,0)</f>
        <v/>
      </c>
      <c r="AV19" s="399">
        <f>IF(AND(Projects!$G$8="Yes",AV$3&gt;=Projects!$C$8,AV$3&lt;Projects!$C$8+Projects!$D$8),Projects!$B$8*INDEX(Curves!$B$4:$AR$4,1,AV$3-Projects!$C$8+1),0)-IF(AND(Projects!$G$8="Yes",AV$3&gt;=Projects!$C$8,AV$3&lt;Projects!$C$8+Projects!$D$8),Projects!$B$8*(Assumptions!$B$10+Assumptions!$B$11+Assumptions!$B$12)/Projects!$D$8*0.95,0)-IF(AND(Projects!$G$8="Yes",AV$3=Projects!$C$8+Projects!$D$8-1),Projects!$B$8*(Assumptions!$B$10+Assumptions!$B$11+Assumptions!$B$12)*0.05,0)</f>
        <v/>
      </c>
      <c r="AW19" s="399">
        <f>IF(AND(Projects!$G$8="Yes",AW$3&gt;=Projects!$C$8,AW$3&lt;Projects!$C$8+Projects!$D$8),Projects!$B$8*INDEX(Curves!$B$4:$AR$4,1,AW$3-Projects!$C$8+1),0)-IF(AND(Projects!$G$8="Yes",AW$3&gt;=Projects!$C$8,AW$3&lt;Projects!$C$8+Projects!$D$8),Projects!$B$8*(Assumptions!$B$10+Assumptions!$B$11+Assumptions!$B$12)/Projects!$D$8*0.95,0)-IF(AND(Projects!$G$8="Yes",AW$3=Projects!$C$8+Projects!$D$8-1),Projects!$B$8*(Assumptions!$B$10+Assumptions!$B$11+Assumptions!$B$12)*0.05,0)</f>
        <v/>
      </c>
      <c r="AX19" s="399">
        <f>IF(AND(Projects!$G$8="Yes",AX$3&gt;=Projects!$C$8,AX$3&lt;Projects!$C$8+Projects!$D$8),Projects!$B$8*INDEX(Curves!$B$4:$AR$4,1,AX$3-Projects!$C$8+1),0)-IF(AND(Projects!$G$8="Yes",AX$3&gt;=Projects!$C$8,AX$3&lt;Projects!$C$8+Projects!$D$8),Projects!$B$8*(Assumptions!$B$10+Assumptions!$B$11+Assumptions!$B$12)/Projects!$D$8*0.95,0)-IF(AND(Projects!$G$8="Yes",AX$3=Projects!$C$8+Projects!$D$8-1),Projects!$B$8*(Assumptions!$B$10+Assumptions!$B$11+Assumptions!$B$12)*0.05,0)</f>
        <v/>
      </c>
      <c r="AY19" s="399">
        <f>IF(AND(Projects!$G$8="Yes",AY$3&gt;=Projects!$C$8,AY$3&lt;Projects!$C$8+Projects!$D$8),Projects!$B$8*INDEX(Curves!$B$4:$AR$4,1,AY$3-Projects!$C$8+1),0)-IF(AND(Projects!$G$8="Yes",AY$3&gt;=Projects!$C$8,AY$3&lt;Projects!$C$8+Projects!$D$8),Projects!$B$8*(Assumptions!$B$10+Assumptions!$B$11+Assumptions!$B$12)/Projects!$D$8*0.95,0)-IF(AND(Projects!$G$8="Yes",AY$3=Projects!$C$8+Projects!$D$8-1),Projects!$B$8*(Assumptions!$B$10+Assumptions!$B$11+Assumptions!$B$12)*0.05,0)</f>
        <v/>
      </c>
      <c r="AZ19" s="399">
        <f>IF(AND(Projects!$G$8="Yes",AZ$3&gt;=Projects!$C$8,AZ$3&lt;Projects!$C$8+Projects!$D$8),Projects!$B$8*INDEX(Curves!$B$4:$AR$4,1,AZ$3-Projects!$C$8+1),0)-IF(AND(Projects!$G$8="Yes",AZ$3&gt;=Projects!$C$8,AZ$3&lt;Projects!$C$8+Projects!$D$8),Projects!$B$8*(Assumptions!$B$10+Assumptions!$B$11+Assumptions!$B$12)/Projects!$D$8*0.95,0)-IF(AND(Projects!$G$8="Yes",AZ$3=Projects!$C$8+Projects!$D$8-1),Projects!$B$8*(Assumptions!$B$10+Assumptions!$B$11+Assumptions!$B$12)*0.05,0)</f>
        <v/>
      </c>
      <c r="BA19" s="399">
        <f>IF(AND(Projects!$G$8="Yes",BA$3&gt;=Projects!$C$8,BA$3&lt;Projects!$C$8+Projects!$D$8),Projects!$B$8*INDEX(Curves!$B$4:$AR$4,1,BA$3-Projects!$C$8+1),0)-IF(AND(Projects!$G$8="Yes",BA$3&gt;=Projects!$C$8,BA$3&lt;Projects!$C$8+Projects!$D$8),Projects!$B$8*(Assumptions!$B$10+Assumptions!$B$11+Assumptions!$B$12)/Projects!$D$8*0.95,0)-IF(AND(Projects!$G$8="Yes",BA$3=Projects!$C$8+Projects!$D$8-1),Projects!$B$8*(Assumptions!$B$10+Assumptions!$B$11+Assumptions!$B$12)*0.05,0)</f>
        <v/>
      </c>
      <c r="BB19" s="399">
        <f>IF(AND(Projects!$G$8="Yes",BB$3&gt;=Projects!$C$8,BB$3&lt;Projects!$C$8+Projects!$D$8),Projects!$B$8*INDEX(Curves!$B$4:$AR$4,1,BB$3-Projects!$C$8+1),0)-IF(AND(Projects!$G$8="Yes",BB$3&gt;=Projects!$C$8,BB$3&lt;Projects!$C$8+Projects!$D$8),Projects!$B$8*(Assumptions!$B$10+Assumptions!$B$11+Assumptions!$B$12)/Projects!$D$8*0.95,0)-IF(AND(Projects!$G$8="Yes",BB$3=Projects!$C$8+Projects!$D$8-1),Projects!$B$8*(Assumptions!$B$10+Assumptions!$B$11+Assumptions!$B$12)*0.05,0)</f>
        <v/>
      </c>
      <c r="BC19" s="399">
        <f>IF(AND(Projects!$G$8="Yes",BC$3&gt;=Projects!$C$8,BC$3&lt;Projects!$C$8+Projects!$D$8),Projects!$B$8*INDEX(Curves!$B$4:$AR$4,1,BC$3-Projects!$C$8+1),0)-IF(AND(Projects!$G$8="Yes",BC$3&gt;=Projects!$C$8,BC$3&lt;Projects!$C$8+Projects!$D$8),Projects!$B$8*(Assumptions!$B$10+Assumptions!$B$11+Assumptions!$B$12)/Projects!$D$8*0.95,0)-IF(AND(Projects!$G$8="Yes",BC$3=Projects!$C$8+Projects!$D$8-1),Projects!$B$8*(Assumptions!$B$10+Assumptions!$B$11+Assumptions!$B$12)*0.05,0)</f>
        <v/>
      </c>
      <c r="BD19" s="399">
        <f>IF(AND(Projects!$G$8="Yes",BD$3&gt;=Projects!$C$8,BD$3&lt;Projects!$C$8+Projects!$D$8),Projects!$B$8*INDEX(Curves!$B$4:$AR$4,1,BD$3-Projects!$C$8+1),0)-IF(AND(Projects!$G$8="Yes",BD$3&gt;=Projects!$C$8,BD$3&lt;Projects!$C$8+Projects!$D$8),Projects!$B$8*(Assumptions!$B$10+Assumptions!$B$11+Assumptions!$B$12)/Projects!$D$8*0.95,0)-IF(AND(Projects!$G$8="Yes",BD$3=Projects!$C$8+Projects!$D$8-1),Projects!$B$8*(Assumptions!$B$10+Assumptions!$B$11+Assumptions!$B$12)*0.05,0)</f>
        <v/>
      </c>
      <c r="BE19" s="399">
        <f>IF(AND(Projects!$G$8="Yes",BE$3&gt;=Projects!$C$8,BE$3&lt;Projects!$C$8+Projects!$D$8),Projects!$B$8*INDEX(Curves!$B$4:$AR$4,1,BE$3-Projects!$C$8+1),0)-IF(AND(Projects!$G$8="Yes",BE$3&gt;=Projects!$C$8,BE$3&lt;Projects!$C$8+Projects!$D$8),Projects!$B$8*(Assumptions!$B$10+Assumptions!$B$11+Assumptions!$B$12)/Projects!$D$8*0.95,0)-IF(AND(Projects!$G$8="Yes",BE$3=Projects!$C$8+Projects!$D$8-1),Projects!$B$8*(Assumptions!$B$10+Assumptions!$B$11+Assumptions!$B$12)*0.05,0)</f>
        <v/>
      </c>
      <c r="BF19" s="399">
        <f>IF(AND(Projects!$G$8="Yes",BF$3&gt;=Projects!$C$8,BF$3&lt;Projects!$C$8+Projects!$D$8),Projects!$B$8*INDEX(Curves!$B$4:$AR$4,1,BF$3-Projects!$C$8+1),0)-IF(AND(Projects!$G$8="Yes",BF$3&gt;=Projects!$C$8,BF$3&lt;Projects!$C$8+Projects!$D$8),Projects!$B$8*(Assumptions!$B$10+Assumptions!$B$11+Assumptions!$B$12)/Projects!$D$8*0.95,0)-IF(AND(Projects!$G$8="Yes",BF$3=Projects!$C$8+Projects!$D$8-1),Projects!$B$8*(Assumptions!$B$10+Assumptions!$B$11+Assumptions!$B$12)*0.05,0)</f>
        <v/>
      </c>
      <c r="BG19" s="399">
        <f>IF(AND(Projects!$G$8="Yes",BG$3&gt;=Projects!$C$8,BG$3&lt;Projects!$C$8+Projects!$D$8),Projects!$B$8*INDEX(Curves!$B$4:$AR$4,1,BG$3-Projects!$C$8+1),0)-IF(AND(Projects!$G$8="Yes",BG$3&gt;=Projects!$C$8,BG$3&lt;Projects!$C$8+Projects!$D$8),Projects!$B$8*(Assumptions!$B$10+Assumptions!$B$11+Assumptions!$B$12)/Projects!$D$8*0.95,0)-IF(AND(Projects!$G$8="Yes",BG$3=Projects!$C$8+Projects!$D$8-1),Projects!$B$8*(Assumptions!$B$10+Assumptions!$B$11+Assumptions!$B$12)*0.05,0)</f>
        <v/>
      </c>
      <c r="BH19" s="399">
        <f>IF(AND(Projects!$G$8="Yes",BH$3&gt;=Projects!$C$8,BH$3&lt;Projects!$C$8+Projects!$D$8),Projects!$B$8*INDEX(Curves!$B$4:$AR$4,1,BH$3-Projects!$C$8+1),0)-IF(AND(Projects!$G$8="Yes",BH$3&gt;=Projects!$C$8,BH$3&lt;Projects!$C$8+Projects!$D$8),Projects!$B$8*(Assumptions!$B$10+Assumptions!$B$11+Assumptions!$B$12)/Projects!$D$8*0.95,0)-IF(AND(Projects!$G$8="Yes",BH$3=Projects!$C$8+Projects!$D$8-1),Projects!$B$8*(Assumptions!$B$10+Assumptions!$B$11+Assumptions!$B$12)*0.05,0)</f>
        <v/>
      </c>
      <c r="BI19" s="399">
        <f>IF(AND(Projects!$G$8="Yes",BI$3&gt;=Projects!$C$8,BI$3&lt;Projects!$C$8+Projects!$D$8),Projects!$B$8*INDEX(Curves!$B$4:$AR$4,1,BI$3-Projects!$C$8+1),0)-IF(AND(Projects!$G$8="Yes",BI$3&gt;=Projects!$C$8,BI$3&lt;Projects!$C$8+Projects!$D$8),Projects!$B$8*(Assumptions!$B$10+Assumptions!$B$11+Assumptions!$B$12)/Projects!$D$8*0.95,0)-IF(AND(Projects!$G$8="Yes",BI$3=Projects!$C$8+Projects!$D$8-1),Projects!$B$8*(Assumptions!$B$10+Assumptions!$B$11+Assumptions!$B$12)*0.05,0)</f>
        <v/>
      </c>
      <c r="BJ19" s="399">
        <f>IF(AND(Projects!$G$8="Yes",BJ$3&gt;=Projects!$C$8,BJ$3&lt;Projects!$C$8+Projects!$D$8),Projects!$B$8*INDEX(Curves!$B$4:$AR$4,1,BJ$3-Projects!$C$8+1),0)-IF(AND(Projects!$G$8="Yes",BJ$3&gt;=Projects!$C$8,BJ$3&lt;Projects!$C$8+Projects!$D$8),Projects!$B$8*(Assumptions!$B$10+Assumptions!$B$11+Assumptions!$B$12)/Projects!$D$8*0.95,0)-IF(AND(Projects!$G$8="Yes",BJ$3=Projects!$C$8+Projects!$D$8-1),Projects!$B$8*(Assumptions!$B$10+Assumptions!$B$11+Assumptions!$B$12)*0.05,0)</f>
        <v/>
      </c>
      <c r="BK19" s="399">
        <f>IF(AND(Projects!$G$8="Yes",BK$3&gt;=Projects!$C$8,BK$3&lt;Projects!$C$8+Projects!$D$8),Projects!$B$8*INDEX(Curves!$B$4:$AR$4,1,BK$3-Projects!$C$8+1),0)-IF(AND(Projects!$G$8="Yes",BK$3&gt;=Projects!$C$8,BK$3&lt;Projects!$C$8+Projects!$D$8),Projects!$B$8*(Assumptions!$B$10+Assumptions!$B$11+Assumptions!$B$12)/Projects!$D$8*0.95,0)-IF(AND(Projects!$G$8="Yes",BK$3=Projects!$C$8+Projects!$D$8-1),Projects!$B$8*(Assumptions!$B$10+Assumptions!$B$11+Assumptions!$B$12)*0.05,0)</f>
        <v/>
      </c>
      <c r="BL19" s="399">
        <f>IF(AND(Projects!$G$8="Yes",BL$3&gt;=Projects!$C$8,BL$3&lt;Projects!$C$8+Projects!$D$8),Projects!$B$8*INDEX(Curves!$B$4:$AR$4,1,BL$3-Projects!$C$8+1),0)-IF(AND(Projects!$G$8="Yes",BL$3&gt;=Projects!$C$8,BL$3&lt;Projects!$C$8+Projects!$D$8),Projects!$B$8*(Assumptions!$B$10+Assumptions!$B$11+Assumptions!$B$12)/Projects!$D$8*0.95,0)-IF(AND(Projects!$G$8="Yes",BL$3=Projects!$C$8+Projects!$D$8-1),Projects!$B$8*(Assumptions!$B$10+Assumptions!$B$11+Assumptions!$B$12)*0.05,0)</f>
        <v/>
      </c>
      <c r="BM19" s="399">
        <f>IF(AND(Projects!$G$8="Yes",BM$3&gt;=Projects!$C$8,BM$3&lt;Projects!$C$8+Projects!$D$8),Projects!$B$8*INDEX(Curves!$B$4:$AR$4,1,BM$3-Projects!$C$8+1),0)-IF(AND(Projects!$G$8="Yes",BM$3&gt;=Projects!$C$8,BM$3&lt;Projects!$C$8+Projects!$D$8),Projects!$B$8*(Assumptions!$B$10+Assumptions!$B$11+Assumptions!$B$12)/Projects!$D$8*0.95,0)-IF(AND(Projects!$G$8="Yes",BM$3=Projects!$C$8+Projects!$D$8-1),Projects!$B$8*(Assumptions!$B$10+Assumptions!$B$11+Assumptions!$B$12)*0.05,0)</f>
        <v/>
      </c>
      <c r="BN19" s="399">
        <f>IF(AND(Projects!$G$8="Yes",BN$3&gt;=Projects!$C$8,BN$3&lt;Projects!$C$8+Projects!$D$8),Projects!$B$8*INDEX(Curves!$B$4:$AR$4,1,BN$3-Projects!$C$8+1),0)-IF(AND(Projects!$G$8="Yes",BN$3&gt;=Projects!$C$8,BN$3&lt;Projects!$C$8+Projects!$D$8),Projects!$B$8*(Assumptions!$B$10+Assumptions!$B$11+Assumptions!$B$12)/Projects!$D$8*0.95,0)-IF(AND(Projects!$G$8="Yes",BN$3=Projects!$C$8+Projects!$D$8-1),Projects!$B$8*(Assumptions!$B$10+Assumptions!$B$11+Assumptions!$B$12)*0.05,0)</f>
        <v/>
      </c>
      <c r="BO19" s="399">
        <f>IF(AND(Projects!$G$8="Yes",BO$3&gt;=Projects!$C$8,BO$3&lt;Projects!$C$8+Projects!$D$8),Projects!$B$8*INDEX(Curves!$B$4:$AR$4,1,BO$3-Projects!$C$8+1),0)-IF(AND(Projects!$G$8="Yes",BO$3&gt;=Projects!$C$8,BO$3&lt;Projects!$C$8+Projects!$D$8),Projects!$B$8*(Assumptions!$B$10+Assumptions!$B$11+Assumptions!$B$12)/Projects!$D$8*0.95,0)-IF(AND(Projects!$G$8="Yes",BO$3=Projects!$C$8+Projects!$D$8-1),Projects!$B$8*(Assumptions!$B$10+Assumptions!$B$11+Assumptions!$B$12)*0.05,0)</f>
        <v/>
      </c>
      <c r="BP19" s="399">
        <f>IF(AND(Projects!$G$8="Yes",BP$3&gt;=Projects!$C$8,BP$3&lt;Projects!$C$8+Projects!$D$8),Projects!$B$8*INDEX(Curves!$B$4:$AR$4,1,BP$3-Projects!$C$8+1),0)-IF(AND(Projects!$G$8="Yes",BP$3&gt;=Projects!$C$8,BP$3&lt;Projects!$C$8+Projects!$D$8),Projects!$B$8*(Assumptions!$B$10+Assumptions!$B$11+Assumptions!$B$12)/Projects!$D$8*0.95,0)-IF(AND(Projects!$G$8="Yes",BP$3=Projects!$C$8+Projects!$D$8-1),Projects!$B$8*(Assumptions!$B$10+Assumptions!$B$11+Assumptions!$B$12)*0.05,0)</f>
        <v/>
      </c>
      <c r="BQ19" s="399">
        <f>IF(AND(Projects!$G$8="Yes",BQ$3&gt;=Projects!$C$8,BQ$3&lt;Projects!$C$8+Projects!$D$8),Projects!$B$8*INDEX(Curves!$B$4:$AR$4,1,BQ$3-Projects!$C$8+1),0)-IF(AND(Projects!$G$8="Yes",BQ$3&gt;=Projects!$C$8,BQ$3&lt;Projects!$C$8+Projects!$D$8),Projects!$B$8*(Assumptions!$B$10+Assumptions!$B$11+Assumptions!$B$12)/Projects!$D$8*0.95,0)-IF(AND(Projects!$G$8="Yes",BQ$3=Projects!$C$8+Projects!$D$8-1),Projects!$B$8*(Assumptions!$B$10+Assumptions!$B$11+Assumptions!$B$12)*0.05,0)</f>
        <v/>
      </c>
      <c r="BR19" s="399">
        <f>IF(AND(Projects!$G$8="Yes",BR$3&gt;=Projects!$C$8,BR$3&lt;Projects!$C$8+Projects!$D$8),Projects!$B$8*INDEX(Curves!$B$4:$AR$4,1,BR$3-Projects!$C$8+1),0)-IF(AND(Projects!$G$8="Yes",BR$3&gt;=Projects!$C$8,BR$3&lt;Projects!$C$8+Projects!$D$8),Projects!$B$8*(Assumptions!$B$10+Assumptions!$B$11+Assumptions!$B$12)/Projects!$D$8*0.95,0)-IF(AND(Projects!$G$8="Yes",BR$3=Projects!$C$8+Projects!$D$8-1),Projects!$B$8*(Assumptions!$B$10+Assumptions!$B$11+Assumptions!$B$12)*0.05,0)</f>
        <v/>
      </c>
      <c r="BS19" s="399">
        <f>IF(AND(Projects!$G$8="Yes",BS$3&gt;=Projects!$C$8,BS$3&lt;Projects!$C$8+Projects!$D$8),Projects!$B$8*INDEX(Curves!$B$4:$AR$4,1,BS$3-Projects!$C$8+1),0)-IF(AND(Projects!$G$8="Yes",BS$3&gt;=Projects!$C$8,BS$3&lt;Projects!$C$8+Projects!$D$8),Projects!$B$8*(Assumptions!$B$10+Assumptions!$B$11+Assumptions!$B$12)/Projects!$D$8*0.95,0)-IF(AND(Projects!$G$8="Yes",BS$3=Projects!$C$8+Projects!$D$8-1),Projects!$B$8*(Assumptions!$B$10+Assumptions!$B$11+Assumptions!$B$12)*0.05,0)</f>
        <v/>
      </c>
      <c r="BT19" s="399">
        <f>IF(AND(Projects!$G$8="Yes",BT$3&gt;=Projects!$C$8,BT$3&lt;Projects!$C$8+Projects!$D$8),Projects!$B$8*INDEX(Curves!$B$4:$AR$4,1,BT$3-Projects!$C$8+1),0)-IF(AND(Projects!$G$8="Yes",BT$3&gt;=Projects!$C$8,BT$3&lt;Projects!$C$8+Projects!$D$8),Projects!$B$8*(Assumptions!$B$10+Assumptions!$B$11+Assumptions!$B$12)/Projects!$D$8*0.95,0)-IF(AND(Projects!$G$8="Yes",BT$3=Projects!$C$8+Projects!$D$8-1),Projects!$B$8*(Assumptions!$B$10+Assumptions!$B$11+Assumptions!$B$12)*0.05,0)</f>
        <v/>
      </c>
      <c r="BU19" s="399">
        <f>IF(AND(Projects!$G$8="Yes",BU$3&gt;=Projects!$C$8,BU$3&lt;Projects!$C$8+Projects!$D$8),Projects!$B$8*INDEX(Curves!$B$4:$AR$4,1,BU$3-Projects!$C$8+1),0)-IF(AND(Projects!$G$8="Yes",BU$3&gt;=Projects!$C$8,BU$3&lt;Projects!$C$8+Projects!$D$8),Projects!$B$8*(Assumptions!$B$10+Assumptions!$B$11+Assumptions!$B$12)/Projects!$D$8*0.95,0)-IF(AND(Projects!$G$8="Yes",BU$3=Projects!$C$8+Projects!$D$8-1),Projects!$B$8*(Assumptions!$B$10+Assumptions!$B$11+Assumptions!$B$12)*0.05,0)</f>
        <v/>
      </c>
      <c r="BV19" s="399">
        <f>IF(AND(Projects!$G$8="Yes",BV$3&gt;=Projects!$C$8,BV$3&lt;Projects!$C$8+Projects!$D$8),Projects!$B$8*INDEX(Curves!$B$4:$AR$4,1,BV$3-Projects!$C$8+1),0)-IF(AND(Projects!$G$8="Yes",BV$3&gt;=Projects!$C$8,BV$3&lt;Projects!$C$8+Projects!$D$8),Projects!$B$8*(Assumptions!$B$10+Assumptions!$B$11+Assumptions!$B$12)/Projects!$D$8*0.95,0)-IF(AND(Projects!$G$8="Yes",BV$3=Projects!$C$8+Projects!$D$8-1),Projects!$B$8*(Assumptions!$B$10+Assumptions!$B$11+Assumptions!$B$12)*0.05,0)</f>
        <v/>
      </c>
      <c r="BW19" s="399">
        <f>IF(AND(Projects!$G$8="Yes",BW$3&gt;=Projects!$C$8,BW$3&lt;Projects!$C$8+Projects!$D$8),Projects!$B$8*INDEX(Curves!$B$4:$AR$4,1,BW$3-Projects!$C$8+1),0)-IF(AND(Projects!$G$8="Yes",BW$3&gt;=Projects!$C$8,BW$3&lt;Projects!$C$8+Projects!$D$8),Projects!$B$8*(Assumptions!$B$10+Assumptions!$B$11+Assumptions!$B$12)/Projects!$D$8*0.95,0)-IF(AND(Projects!$G$8="Yes",BW$3=Projects!$C$8+Projects!$D$8-1),Projects!$B$8*(Assumptions!$B$10+Assumptions!$B$11+Assumptions!$B$12)*0.05,0)</f>
        <v/>
      </c>
      <c r="BX19" s="399">
        <f>IF(AND(Projects!$G$8="Yes",BX$3&gt;=Projects!$C$8,BX$3&lt;Projects!$C$8+Projects!$D$8),Projects!$B$8*INDEX(Curves!$B$4:$AR$4,1,BX$3-Projects!$C$8+1),0)-IF(AND(Projects!$G$8="Yes",BX$3&gt;=Projects!$C$8,BX$3&lt;Projects!$C$8+Projects!$D$8),Projects!$B$8*(Assumptions!$B$10+Assumptions!$B$11+Assumptions!$B$12)/Projects!$D$8*0.95,0)-IF(AND(Projects!$G$8="Yes",BX$3=Projects!$C$8+Projects!$D$8-1),Projects!$B$8*(Assumptions!$B$10+Assumptions!$B$11+Assumptions!$B$12)*0.05,0)</f>
        <v/>
      </c>
      <c r="BY19" s="399">
        <f>IF(AND(Projects!$G$8="Yes",BY$3&gt;=Projects!$C$8,BY$3&lt;Projects!$C$8+Projects!$D$8),Projects!$B$8*INDEX(Curves!$B$4:$AR$4,1,BY$3-Projects!$C$8+1),0)-IF(AND(Projects!$G$8="Yes",BY$3&gt;=Projects!$C$8,BY$3&lt;Projects!$C$8+Projects!$D$8),Projects!$B$8*(Assumptions!$B$10+Assumptions!$B$11+Assumptions!$B$12)/Projects!$D$8*0.95,0)-IF(AND(Projects!$G$8="Yes",BY$3=Projects!$C$8+Projects!$D$8-1),Projects!$B$8*(Assumptions!$B$10+Assumptions!$B$11+Assumptions!$B$12)*0.05,0)</f>
        <v/>
      </c>
      <c r="BZ19" s="399">
        <f>IF(AND(Projects!$G$8="Yes",BZ$3&gt;=Projects!$C$8,BZ$3&lt;Projects!$C$8+Projects!$D$8),Projects!$B$8*INDEX(Curves!$B$4:$AR$4,1,BZ$3-Projects!$C$8+1),0)-IF(AND(Projects!$G$8="Yes",BZ$3&gt;=Projects!$C$8,BZ$3&lt;Projects!$C$8+Projects!$D$8),Projects!$B$8*(Assumptions!$B$10+Assumptions!$B$11+Assumptions!$B$12)/Projects!$D$8*0.95,0)-IF(AND(Projects!$G$8="Yes",BZ$3=Projects!$C$8+Projects!$D$8-1),Projects!$B$8*(Assumptions!$B$10+Assumptions!$B$11+Assumptions!$B$12)*0.05,0)</f>
        <v/>
      </c>
      <c r="CA19" s="399">
        <f>IF(AND(Projects!$G$8="Yes",CA$3&gt;=Projects!$C$8,CA$3&lt;Projects!$C$8+Projects!$D$8),Projects!$B$8*INDEX(Curves!$B$4:$AR$4,1,CA$3-Projects!$C$8+1),0)-IF(AND(Projects!$G$8="Yes",CA$3&gt;=Projects!$C$8,CA$3&lt;Projects!$C$8+Projects!$D$8),Projects!$B$8*(Assumptions!$B$10+Assumptions!$B$11+Assumptions!$B$12)/Projects!$D$8*0.95,0)-IF(AND(Projects!$G$8="Yes",CA$3=Projects!$C$8+Projects!$D$8-1),Projects!$B$8*(Assumptions!$B$10+Assumptions!$B$11+Assumptions!$B$12)*0.05,0)</f>
        <v/>
      </c>
      <c r="CB19" s="399">
        <f>IF(AND(Projects!$G$8="Yes",CB$3&gt;=Projects!$C$8,CB$3&lt;Projects!$C$8+Projects!$D$8),Projects!$B$8*INDEX(Curves!$B$4:$AR$4,1,CB$3-Projects!$C$8+1),0)-IF(AND(Projects!$G$8="Yes",CB$3&gt;=Projects!$C$8,CB$3&lt;Projects!$C$8+Projects!$D$8),Projects!$B$8*(Assumptions!$B$10+Assumptions!$B$11+Assumptions!$B$12)/Projects!$D$8*0.95,0)-IF(AND(Projects!$G$8="Yes",CB$3=Projects!$C$8+Projects!$D$8-1),Projects!$B$8*(Assumptions!$B$10+Assumptions!$B$11+Assumptions!$B$12)*0.05,0)</f>
        <v/>
      </c>
      <c r="CC19" s="399">
        <f>IF(AND(Projects!$G$8="Yes",CC$3&gt;=Projects!$C$8,CC$3&lt;Projects!$C$8+Projects!$D$8),Projects!$B$8*INDEX(Curves!$B$4:$AR$4,1,CC$3-Projects!$C$8+1),0)-IF(AND(Projects!$G$8="Yes",CC$3&gt;=Projects!$C$8,CC$3&lt;Projects!$C$8+Projects!$D$8),Projects!$B$8*(Assumptions!$B$10+Assumptions!$B$11+Assumptions!$B$12)/Projects!$D$8*0.95,0)-IF(AND(Projects!$G$8="Yes",CC$3=Projects!$C$8+Projects!$D$8-1),Projects!$B$8*(Assumptions!$B$10+Assumptions!$B$11+Assumptions!$B$12)*0.05,0)</f>
        <v/>
      </c>
      <c r="CD19" s="399">
        <f>IF(AND(Projects!$G$8="Yes",CD$3&gt;=Projects!$C$8,CD$3&lt;Projects!$C$8+Projects!$D$8),Projects!$B$8*INDEX(Curves!$B$4:$AR$4,1,CD$3-Projects!$C$8+1),0)-IF(AND(Projects!$G$8="Yes",CD$3&gt;=Projects!$C$8,CD$3&lt;Projects!$C$8+Projects!$D$8),Projects!$B$8*(Assumptions!$B$10+Assumptions!$B$11+Assumptions!$B$12)/Projects!$D$8*0.95,0)-IF(AND(Projects!$G$8="Yes",CD$3=Projects!$C$8+Projects!$D$8-1),Projects!$B$8*(Assumptions!$B$10+Assumptions!$B$11+Assumptions!$B$12)*0.05,0)</f>
        <v/>
      </c>
      <c r="CE19" s="399">
        <f>IF(AND(Projects!$G$8="Yes",CE$3&gt;=Projects!$C$8,CE$3&lt;Projects!$C$8+Projects!$D$8),Projects!$B$8*INDEX(Curves!$B$4:$AR$4,1,CE$3-Projects!$C$8+1),0)-IF(AND(Projects!$G$8="Yes",CE$3&gt;=Projects!$C$8,CE$3&lt;Projects!$C$8+Projects!$D$8),Projects!$B$8*(Assumptions!$B$10+Assumptions!$B$11+Assumptions!$B$12)/Projects!$D$8*0.95,0)-IF(AND(Projects!$G$8="Yes",CE$3=Projects!$C$8+Projects!$D$8-1),Projects!$B$8*(Assumptions!$B$10+Assumptions!$B$11+Assumptions!$B$12)*0.05,0)</f>
        <v/>
      </c>
      <c r="CF19" s="399">
        <f>IF(AND(Projects!$G$8="Yes",CF$3&gt;=Projects!$C$8,CF$3&lt;Projects!$C$8+Projects!$D$8),Projects!$B$8*INDEX(Curves!$B$4:$AR$4,1,CF$3-Projects!$C$8+1),0)-IF(AND(Projects!$G$8="Yes",CF$3&gt;=Projects!$C$8,CF$3&lt;Projects!$C$8+Projects!$D$8),Projects!$B$8*(Assumptions!$B$10+Assumptions!$B$11+Assumptions!$B$12)/Projects!$D$8*0.95,0)-IF(AND(Projects!$G$8="Yes",CF$3=Projects!$C$8+Projects!$D$8-1),Projects!$B$8*(Assumptions!$B$10+Assumptions!$B$11+Assumptions!$B$12)*0.05,0)</f>
        <v/>
      </c>
      <c r="CG19" s="399">
        <f>IF(AND(Projects!$G$8="Yes",CG$3&gt;=Projects!$C$8,CG$3&lt;Projects!$C$8+Projects!$D$8),Projects!$B$8*INDEX(Curves!$B$4:$AR$4,1,CG$3-Projects!$C$8+1),0)-IF(AND(Projects!$G$8="Yes",CG$3&gt;=Projects!$C$8,CG$3&lt;Projects!$C$8+Projects!$D$8),Projects!$B$8*(Assumptions!$B$10+Assumptions!$B$11+Assumptions!$B$12)/Projects!$D$8*0.95,0)-IF(AND(Projects!$G$8="Yes",CG$3=Projects!$C$8+Projects!$D$8-1),Projects!$B$8*(Assumptions!$B$10+Assumptions!$B$11+Assumptions!$B$12)*0.05,0)</f>
        <v/>
      </c>
      <c r="CH19" s="399">
        <f>IF(AND(Projects!$G$8="Yes",CH$3&gt;=Projects!$C$8,CH$3&lt;Projects!$C$8+Projects!$D$8),Projects!$B$8*INDEX(Curves!$B$4:$AR$4,1,CH$3-Projects!$C$8+1),0)-IF(AND(Projects!$G$8="Yes",CH$3&gt;=Projects!$C$8,CH$3&lt;Projects!$C$8+Projects!$D$8),Projects!$B$8*(Assumptions!$B$10+Assumptions!$B$11+Assumptions!$B$12)/Projects!$D$8*0.95,0)-IF(AND(Projects!$G$8="Yes",CH$3=Projects!$C$8+Projects!$D$8-1),Projects!$B$8*(Assumptions!$B$10+Assumptions!$B$11+Assumptions!$B$12)*0.05,0)</f>
        <v/>
      </c>
      <c r="CI19" s="399">
        <f>IF(AND(Projects!$G$8="Yes",CI$3&gt;=Projects!$C$8,CI$3&lt;Projects!$C$8+Projects!$D$8),Projects!$B$8*INDEX(Curves!$B$4:$AR$4,1,CI$3-Projects!$C$8+1),0)-IF(AND(Projects!$G$8="Yes",CI$3&gt;=Projects!$C$8,CI$3&lt;Projects!$C$8+Projects!$D$8),Projects!$B$8*(Assumptions!$B$10+Assumptions!$B$11+Assumptions!$B$12)/Projects!$D$8*0.95,0)-IF(AND(Projects!$G$8="Yes",CI$3=Projects!$C$8+Projects!$D$8-1),Projects!$B$8*(Assumptions!$B$10+Assumptions!$B$11+Assumptions!$B$12)*0.05,0)</f>
        <v/>
      </c>
      <c r="CJ19" s="399">
        <f>IF(AND(Projects!$G$8="Yes",CJ$3&gt;=Projects!$C$8,CJ$3&lt;Projects!$C$8+Projects!$D$8),Projects!$B$8*INDEX(Curves!$B$4:$AR$4,1,CJ$3-Projects!$C$8+1),0)-IF(AND(Projects!$G$8="Yes",CJ$3&gt;=Projects!$C$8,CJ$3&lt;Projects!$C$8+Projects!$D$8),Projects!$B$8*(Assumptions!$B$10+Assumptions!$B$11+Assumptions!$B$12)/Projects!$D$8*0.95,0)-IF(AND(Projects!$G$8="Yes",CJ$3=Projects!$C$8+Projects!$D$8-1),Projects!$B$8*(Assumptions!$B$10+Assumptions!$B$11+Assumptions!$B$12)*0.05,0)</f>
        <v/>
      </c>
      <c r="CK19" s="399">
        <f>IF(AND(Projects!$G$8="Yes",CK$3&gt;=Projects!$C$8,CK$3&lt;Projects!$C$8+Projects!$D$8),Projects!$B$8*INDEX(Curves!$B$4:$AR$4,1,CK$3-Projects!$C$8+1),0)-IF(AND(Projects!$G$8="Yes",CK$3&gt;=Projects!$C$8,CK$3&lt;Projects!$C$8+Projects!$D$8),Projects!$B$8*(Assumptions!$B$10+Assumptions!$B$11+Assumptions!$B$12)/Projects!$D$8*0.95,0)-IF(AND(Projects!$G$8="Yes",CK$3=Projects!$C$8+Projects!$D$8-1),Projects!$B$8*(Assumptions!$B$10+Assumptions!$B$11+Assumptions!$B$12)*0.05,0)</f>
        <v/>
      </c>
      <c r="CL19" s="399">
        <f>IF(AND(Projects!$G$8="Yes",CL$3&gt;=Projects!$C$8,CL$3&lt;Projects!$C$8+Projects!$D$8),Projects!$B$8*INDEX(Curves!$B$4:$AR$4,1,CL$3-Projects!$C$8+1),0)-IF(AND(Projects!$G$8="Yes",CL$3&gt;=Projects!$C$8,CL$3&lt;Projects!$C$8+Projects!$D$8),Projects!$B$8*(Assumptions!$B$10+Assumptions!$B$11+Assumptions!$B$12)/Projects!$D$8*0.95,0)-IF(AND(Projects!$G$8="Yes",CL$3=Projects!$C$8+Projects!$D$8-1),Projects!$B$8*(Assumptions!$B$10+Assumptions!$B$11+Assumptions!$B$12)*0.05,0)</f>
        <v/>
      </c>
      <c r="CM19" s="399">
        <f>IF(AND(Projects!$G$8="Yes",CM$3&gt;=Projects!$C$8,CM$3&lt;Projects!$C$8+Projects!$D$8),Projects!$B$8*INDEX(Curves!$B$4:$AR$4,1,CM$3-Projects!$C$8+1),0)-IF(AND(Projects!$G$8="Yes",CM$3&gt;=Projects!$C$8,CM$3&lt;Projects!$C$8+Projects!$D$8),Projects!$B$8*(Assumptions!$B$10+Assumptions!$B$11+Assumptions!$B$12)/Projects!$D$8*0.95,0)-IF(AND(Projects!$G$8="Yes",CM$3=Projects!$C$8+Projects!$D$8-1),Projects!$B$8*(Assumptions!$B$10+Assumptions!$B$11+Assumptions!$B$12)*0.05,0)</f>
        <v/>
      </c>
      <c r="CN19" s="399">
        <f>IF(AND(Projects!$G$8="Yes",CN$3&gt;=Projects!$C$8,CN$3&lt;Projects!$C$8+Projects!$D$8),Projects!$B$8*INDEX(Curves!$B$4:$AR$4,1,CN$3-Projects!$C$8+1),0)-IF(AND(Projects!$G$8="Yes",CN$3&gt;=Projects!$C$8,CN$3&lt;Projects!$C$8+Projects!$D$8),Projects!$B$8*(Assumptions!$B$10+Assumptions!$B$11+Assumptions!$B$12)/Projects!$D$8*0.95,0)-IF(AND(Projects!$G$8="Yes",CN$3=Projects!$C$8+Projects!$D$8-1),Projects!$B$8*(Assumptions!$B$10+Assumptions!$B$11+Assumptions!$B$12)*0.05,0)</f>
        <v/>
      </c>
      <c r="CO19" s="399">
        <f>IF(AND(Projects!$G$8="Yes",CO$3&gt;=Projects!$C$8,CO$3&lt;Projects!$C$8+Projects!$D$8),Projects!$B$8*INDEX(Curves!$B$4:$AR$4,1,CO$3-Projects!$C$8+1),0)-IF(AND(Projects!$G$8="Yes",CO$3&gt;=Projects!$C$8,CO$3&lt;Projects!$C$8+Projects!$D$8),Projects!$B$8*(Assumptions!$B$10+Assumptions!$B$11+Assumptions!$B$12)/Projects!$D$8*0.95,0)-IF(AND(Projects!$G$8="Yes",CO$3=Projects!$C$8+Projects!$D$8-1),Projects!$B$8*(Assumptions!$B$10+Assumptions!$B$11+Assumptions!$B$12)*0.05,0)</f>
        <v/>
      </c>
      <c r="CP19" s="399">
        <f>IF(AND(Projects!$G$8="Yes",CP$3&gt;=Projects!$C$8,CP$3&lt;Projects!$C$8+Projects!$D$8),Projects!$B$8*INDEX(Curves!$B$4:$AR$4,1,CP$3-Projects!$C$8+1),0)-IF(AND(Projects!$G$8="Yes",CP$3&gt;=Projects!$C$8,CP$3&lt;Projects!$C$8+Projects!$D$8),Projects!$B$8*(Assumptions!$B$10+Assumptions!$B$11+Assumptions!$B$12)/Projects!$D$8*0.95,0)-IF(AND(Projects!$G$8="Yes",CP$3=Projects!$C$8+Projects!$D$8-1),Projects!$B$8*(Assumptions!$B$10+Assumptions!$B$11+Assumptions!$B$12)*0.05,0)</f>
        <v/>
      </c>
      <c r="CQ19" s="399">
        <f>IF(AND(Projects!$G$8="Yes",CQ$3&gt;=Projects!$C$8,CQ$3&lt;Projects!$C$8+Projects!$D$8),Projects!$B$8*INDEX(Curves!$B$4:$AR$4,1,CQ$3-Projects!$C$8+1),0)-IF(AND(Projects!$G$8="Yes",CQ$3&gt;=Projects!$C$8,CQ$3&lt;Projects!$C$8+Projects!$D$8),Projects!$B$8*(Assumptions!$B$10+Assumptions!$B$11+Assumptions!$B$12)/Projects!$D$8*0.95,0)-IF(AND(Projects!$G$8="Yes",CQ$3=Projects!$C$8+Projects!$D$8-1),Projects!$B$8*(Assumptions!$B$10+Assumptions!$B$11+Assumptions!$B$12)*0.05,0)</f>
        <v/>
      </c>
      <c r="CR19" s="399">
        <f>IF(AND(Projects!$G$8="Yes",CR$3&gt;=Projects!$C$8,CR$3&lt;Projects!$C$8+Projects!$D$8),Projects!$B$8*INDEX(Curves!$B$4:$AR$4,1,CR$3-Projects!$C$8+1),0)-IF(AND(Projects!$G$8="Yes",CR$3&gt;=Projects!$C$8,CR$3&lt;Projects!$C$8+Projects!$D$8),Projects!$B$8*(Assumptions!$B$10+Assumptions!$B$11+Assumptions!$B$12)/Projects!$D$8*0.95,0)-IF(AND(Projects!$G$8="Yes",CR$3=Projects!$C$8+Projects!$D$8-1),Projects!$B$8*(Assumptions!$B$10+Assumptions!$B$11+Assumptions!$B$12)*0.05,0)</f>
        <v/>
      </c>
      <c r="CS19" s="399">
        <f>IF(AND(Projects!$G$8="Yes",CS$3&gt;=Projects!$C$8,CS$3&lt;Projects!$C$8+Projects!$D$8),Projects!$B$8*INDEX(Curves!$B$4:$AR$4,1,CS$3-Projects!$C$8+1),0)-IF(AND(Projects!$G$8="Yes",CS$3&gt;=Projects!$C$8,CS$3&lt;Projects!$C$8+Projects!$D$8),Projects!$B$8*(Assumptions!$B$10+Assumptions!$B$11+Assumptions!$B$12)/Projects!$D$8*0.95,0)-IF(AND(Projects!$G$8="Yes",CS$3=Projects!$C$8+Projects!$D$8-1),Projects!$B$8*(Assumptions!$B$10+Assumptions!$B$11+Assumptions!$B$12)*0.05,0)</f>
        <v/>
      </c>
      <c r="CT19" s="399">
        <f>IF(AND(Projects!$G$8="Yes",CT$3&gt;=Projects!$C$8,CT$3&lt;Projects!$C$8+Projects!$D$8),Projects!$B$8*INDEX(Curves!$B$4:$AR$4,1,CT$3-Projects!$C$8+1),0)-IF(AND(Projects!$G$8="Yes",CT$3&gt;=Projects!$C$8,CT$3&lt;Projects!$C$8+Projects!$D$8),Projects!$B$8*(Assumptions!$B$10+Assumptions!$B$11+Assumptions!$B$12)/Projects!$D$8*0.95,0)-IF(AND(Projects!$G$8="Yes",CT$3=Projects!$C$8+Projects!$D$8-1),Projects!$B$8*(Assumptions!$B$10+Assumptions!$B$11+Assumptions!$B$12)*0.05,0)</f>
        <v/>
      </c>
      <c r="CU19" s="399">
        <f>IF(AND(Projects!$G$8="Yes",CU$3&gt;=Projects!$C$8,CU$3&lt;Projects!$C$8+Projects!$D$8),Projects!$B$8*INDEX(Curves!$B$4:$AR$4,1,CU$3-Projects!$C$8+1),0)-IF(AND(Projects!$G$8="Yes",CU$3&gt;=Projects!$C$8,CU$3&lt;Projects!$C$8+Projects!$D$8),Projects!$B$8*(Assumptions!$B$10+Assumptions!$B$11+Assumptions!$B$12)/Projects!$D$8*0.95,0)-IF(AND(Projects!$G$8="Yes",CU$3=Projects!$C$8+Projects!$D$8-1),Projects!$B$8*(Assumptions!$B$10+Assumptions!$B$11+Assumptions!$B$12)*0.05,0)</f>
        <v/>
      </c>
      <c r="CV19" s="399">
        <f>IF(AND(Projects!$G$8="Yes",CV$3&gt;=Projects!$C$8,CV$3&lt;Projects!$C$8+Projects!$D$8),Projects!$B$8*INDEX(Curves!$B$4:$AR$4,1,CV$3-Projects!$C$8+1),0)-IF(AND(Projects!$G$8="Yes",CV$3&gt;=Projects!$C$8,CV$3&lt;Projects!$C$8+Projects!$D$8),Projects!$B$8*(Assumptions!$B$10+Assumptions!$B$11+Assumptions!$B$12)/Projects!$D$8*0.95,0)-IF(AND(Projects!$G$8="Yes",CV$3=Projects!$C$8+Projects!$D$8-1),Projects!$B$8*(Assumptions!$B$10+Assumptions!$B$11+Assumptions!$B$12)*0.05,0)</f>
        <v/>
      </c>
      <c r="CW19" s="399">
        <f>IF(AND(Projects!$G$8="Yes",CW$3&gt;=Projects!$C$8,CW$3&lt;Projects!$C$8+Projects!$D$8),Projects!$B$8*INDEX(Curves!$B$4:$AR$4,1,CW$3-Projects!$C$8+1),0)-IF(AND(Projects!$G$8="Yes",CW$3&gt;=Projects!$C$8,CW$3&lt;Projects!$C$8+Projects!$D$8),Projects!$B$8*(Assumptions!$B$10+Assumptions!$B$11+Assumptions!$B$12)/Projects!$D$8*0.95,0)-IF(AND(Projects!$G$8="Yes",CW$3=Projects!$C$8+Projects!$D$8-1),Projects!$B$8*(Assumptions!$B$10+Assumptions!$B$11+Assumptions!$B$12)*0.05,0)</f>
        <v/>
      </c>
      <c r="CX19" s="399">
        <f>IF(AND(Projects!$G$8="Yes",CX$3&gt;=Projects!$C$8,CX$3&lt;Projects!$C$8+Projects!$D$8),Projects!$B$8*INDEX(Curves!$B$4:$AR$4,1,CX$3-Projects!$C$8+1),0)-IF(AND(Projects!$G$8="Yes",CX$3&gt;=Projects!$C$8,CX$3&lt;Projects!$C$8+Projects!$D$8),Projects!$B$8*(Assumptions!$B$10+Assumptions!$B$11+Assumptions!$B$12)/Projects!$D$8*0.95,0)-IF(AND(Projects!$G$8="Yes",CX$3=Projects!$C$8+Projects!$D$8-1),Projects!$B$8*(Assumptions!$B$10+Assumptions!$B$11+Assumptions!$B$12)*0.05,0)</f>
        <v/>
      </c>
      <c r="CY19" s="399">
        <f>IF(AND(Projects!$G$8="Yes",CY$3&gt;=Projects!$C$8,CY$3&lt;Projects!$C$8+Projects!$D$8),Projects!$B$8*INDEX(Curves!$B$4:$AR$4,1,CY$3-Projects!$C$8+1),0)-IF(AND(Projects!$G$8="Yes",CY$3&gt;=Projects!$C$8,CY$3&lt;Projects!$C$8+Projects!$D$8),Projects!$B$8*(Assumptions!$B$10+Assumptions!$B$11+Assumptions!$B$12)/Projects!$D$8*0.95,0)-IF(AND(Projects!$G$8="Yes",CY$3=Projects!$C$8+Projects!$D$8-1),Projects!$B$8*(Assumptions!$B$10+Assumptions!$B$11+Assumptions!$B$12)*0.05,0)</f>
        <v/>
      </c>
      <c r="CZ19" s="399">
        <f>IF(AND(Projects!$G$8="Yes",CZ$3&gt;=Projects!$C$8,CZ$3&lt;Projects!$C$8+Projects!$D$8),Projects!$B$8*INDEX(Curves!$B$4:$AR$4,1,CZ$3-Projects!$C$8+1),0)-IF(AND(Projects!$G$8="Yes",CZ$3&gt;=Projects!$C$8,CZ$3&lt;Projects!$C$8+Projects!$D$8),Projects!$B$8*(Assumptions!$B$10+Assumptions!$B$11+Assumptions!$B$12)/Projects!$D$8*0.95,0)-IF(AND(Projects!$G$8="Yes",CZ$3=Projects!$C$8+Projects!$D$8-1),Projects!$B$8*(Assumptions!$B$10+Assumptions!$B$11+Assumptions!$B$12)*0.05,0)</f>
        <v/>
      </c>
      <c r="DA19" s="399">
        <f>IF(AND(Projects!$G$8="Yes",DA$3&gt;=Projects!$C$8,DA$3&lt;Projects!$C$8+Projects!$D$8),Projects!$B$8*INDEX(Curves!$B$4:$AR$4,1,DA$3-Projects!$C$8+1),0)-IF(AND(Projects!$G$8="Yes",DA$3&gt;=Projects!$C$8,DA$3&lt;Projects!$C$8+Projects!$D$8),Projects!$B$8*(Assumptions!$B$10+Assumptions!$B$11+Assumptions!$B$12)/Projects!$D$8*0.95,0)-IF(AND(Projects!$G$8="Yes",DA$3=Projects!$C$8+Projects!$D$8-1),Projects!$B$8*(Assumptions!$B$10+Assumptions!$B$11+Assumptions!$B$12)*0.05,0)</f>
        <v/>
      </c>
      <c r="DB19" s="399">
        <f>IF(AND(Projects!$G$8="Yes",DB$3&gt;=Projects!$C$8,DB$3&lt;Projects!$C$8+Projects!$D$8),Projects!$B$8*INDEX(Curves!$B$4:$AR$4,1,DB$3-Projects!$C$8+1),0)-IF(AND(Projects!$G$8="Yes",DB$3&gt;=Projects!$C$8,DB$3&lt;Projects!$C$8+Projects!$D$8),Projects!$B$8*(Assumptions!$B$10+Assumptions!$B$11+Assumptions!$B$12)/Projects!$D$8*0.95,0)-IF(AND(Projects!$G$8="Yes",DB$3=Projects!$C$8+Projects!$D$8-1),Projects!$B$8*(Assumptions!$B$10+Assumptions!$B$11+Assumptions!$B$12)*0.05,0)</f>
        <v/>
      </c>
      <c r="DC19" s="399">
        <f>IF(AND(Projects!$G$8="Yes",DC$3&gt;=Projects!$C$8,DC$3&lt;Projects!$C$8+Projects!$D$8),Projects!$B$8*INDEX(Curves!$B$4:$AR$4,1,DC$3-Projects!$C$8+1),0)-IF(AND(Projects!$G$8="Yes",DC$3&gt;=Projects!$C$8,DC$3&lt;Projects!$C$8+Projects!$D$8),Projects!$B$8*(Assumptions!$B$10+Assumptions!$B$11+Assumptions!$B$12)/Projects!$D$8*0.95,0)-IF(AND(Projects!$G$8="Yes",DC$3=Projects!$C$8+Projects!$D$8-1),Projects!$B$8*(Assumptions!$B$10+Assumptions!$B$11+Assumptions!$B$12)*0.05,0)</f>
        <v/>
      </c>
      <c r="DD19" s="399">
        <f>IF(AND(Projects!$G$8="Yes",DD$3&gt;=Projects!$C$8,DD$3&lt;Projects!$C$8+Projects!$D$8),Projects!$B$8*INDEX(Curves!$B$4:$AR$4,1,DD$3-Projects!$C$8+1),0)-IF(AND(Projects!$G$8="Yes",DD$3&gt;=Projects!$C$8,DD$3&lt;Projects!$C$8+Projects!$D$8),Projects!$B$8*(Assumptions!$B$10+Assumptions!$B$11+Assumptions!$B$12)/Projects!$D$8*0.95,0)-IF(AND(Projects!$G$8="Yes",DD$3=Projects!$C$8+Projects!$D$8-1),Projects!$B$8*(Assumptions!$B$10+Assumptions!$B$11+Assumptions!$B$12)*0.05,0)</f>
        <v/>
      </c>
      <c r="DE19" s="399">
        <f>IF(AND(Projects!$G$8="Yes",DE$3&gt;=Projects!$C$8,DE$3&lt;Projects!$C$8+Projects!$D$8),Projects!$B$8*INDEX(Curves!$B$4:$AR$4,1,DE$3-Projects!$C$8+1),0)-IF(AND(Projects!$G$8="Yes",DE$3&gt;=Projects!$C$8,DE$3&lt;Projects!$C$8+Projects!$D$8),Projects!$B$8*(Assumptions!$B$10+Assumptions!$B$11+Assumptions!$B$12)/Projects!$D$8*0.95,0)-IF(AND(Projects!$G$8="Yes",DE$3=Projects!$C$8+Projects!$D$8-1),Projects!$B$8*(Assumptions!$B$10+Assumptions!$B$11+Assumptions!$B$12)*0.05,0)</f>
        <v/>
      </c>
    </row>
    <row r="20" hidden="1" outlineLevel="1" ht="15" customFormat="1" customHeight="1" s="380">
      <c r="A20" s="407" t="inlineStr">
        <is>
          <t>Denny</t>
        </is>
      </c>
      <c r="B20" s="399" t="n">
        <v>0</v>
      </c>
      <c r="C20" s="399" t="n">
        <v>0</v>
      </c>
      <c r="D20" s="399" t="n">
        <v>0</v>
      </c>
      <c r="E20" s="399" t="n">
        <v>0</v>
      </c>
      <c r="F20" s="399">
        <f>IF(AND(Projects!$G$9="Yes",F$3&gt;=Projects!$C$9,F$3&lt;Projects!$C$9+Projects!$D$9),Projects!$B$9*INDEX(Curves!$B$2:$AR$2,1,F$3-Projects!$C$9+1),0)-IF(AND(Projects!$G$9="Yes",F$3&gt;=Projects!$C$9,F$3&lt;Projects!$C$9+Projects!$D$9),Projects!$B$9*(Assumptions!$B$10+Assumptions!$B$11+Assumptions!$B$12)/Projects!$D$9*0.95,0)-IF(AND(Projects!$G$9="Yes",F$3=Projects!$C$9+Projects!$D$9-1),Projects!$B$9*(Assumptions!$B$10+Assumptions!$B$11+Assumptions!$B$12)*0.05,0)</f>
        <v/>
      </c>
      <c r="G20" s="399">
        <f>IF(AND(Projects!$G$9="Yes",G$3&gt;=Projects!$C$9,G$3&lt;Projects!$C$9+Projects!$D$9),Projects!$B$9*INDEX(Curves!$B$2:$AR$2,1,G$3-Projects!$C$9+1),0)-IF(AND(Projects!$G$9="Yes",G$3&gt;=Projects!$C$9,G$3&lt;Projects!$C$9+Projects!$D$9),Projects!$B$9*(Assumptions!$B$10+Assumptions!$B$11+Assumptions!$B$12)/Projects!$D$9*0.95,0)-IF(AND(Projects!$G$9="Yes",G$3=Projects!$C$9+Projects!$D$9-1),Projects!$B$9*(Assumptions!$B$10+Assumptions!$B$11+Assumptions!$B$12)*0.05,0)</f>
        <v/>
      </c>
      <c r="H20" s="399">
        <f>IF(AND(Projects!$G$9="Yes",H$3&gt;=Projects!$C$9,H$3&lt;Projects!$C$9+Projects!$D$9),Projects!$B$9*INDEX(Curves!$B$2:$AR$2,1,H$3-Projects!$C$9+1),0)-IF(AND(Projects!$G$9="Yes",H$3&gt;=Projects!$C$9,H$3&lt;Projects!$C$9+Projects!$D$9),Projects!$B$9*(Assumptions!$B$10+Assumptions!$B$11+Assumptions!$B$12)/Projects!$D$9*0.95,0)-IF(AND(Projects!$G$9="Yes",H$3=Projects!$C$9+Projects!$D$9-1),Projects!$B$9*(Assumptions!$B$10+Assumptions!$B$11+Assumptions!$B$12)*0.05,0)</f>
        <v/>
      </c>
      <c r="I20" s="399">
        <f>IF(AND(Projects!$G$9="Yes",I$3&gt;=Projects!$C$9,I$3&lt;Projects!$C$9+Projects!$D$9),Projects!$B$9*INDEX(Curves!$B$2:$AR$2,1,I$3-Projects!$C$9+1),0)-IF(AND(Projects!$G$9="Yes",I$3&gt;=Projects!$C$9,I$3&lt;Projects!$C$9+Projects!$D$9),Projects!$B$9*(Assumptions!$B$10+Assumptions!$B$11+Assumptions!$B$12)/Projects!$D$9*0.95,0)-IF(AND(Projects!$G$9="Yes",I$3=Projects!$C$9+Projects!$D$9-1),Projects!$B$9*(Assumptions!$B$10+Assumptions!$B$11+Assumptions!$B$12)*0.05,0)</f>
        <v/>
      </c>
      <c r="J20" s="399">
        <f>IF(AND(Projects!$G$9="Yes",J$3&gt;=Projects!$C$9,J$3&lt;Projects!$C$9+Projects!$D$9),Projects!$B$9*INDEX(Curves!$B$2:$AR$2,1,J$3-Projects!$C$9+1),0)-IF(AND(Projects!$G$9="Yes",J$3&gt;=Projects!$C$9,J$3&lt;Projects!$C$9+Projects!$D$9),Projects!$B$9*(Assumptions!$B$10+Assumptions!$B$11+Assumptions!$B$12)/Projects!$D$9*0.95,0)-IF(AND(Projects!$G$9="Yes",J$3=Projects!$C$9+Projects!$D$9-1),Projects!$B$9*(Assumptions!$B$10+Assumptions!$B$11+Assumptions!$B$12)*0.05,0)</f>
        <v/>
      </c>
      <c r="K20" s="399">
        <f>IF(AND(Projects!$G$9="Yes",K$3&gt;=Projects!$C$9,K$3&lt;Projects!$C$9+Projects!$D$9),Projects!$B$9*INDEX(Curves!$B$2:$AR$2,1,K$3-Projects!$C$9+1),0)-IF(AND(Projects!$G$9="Yes",K$3&gt;=Projects!$C$9,K$3&lt;Projects!$C$9+Projects!$D$9),Projects!$B$9*(Assumptions!$B$10+Assumptions!$B$11+Assumptions!$B$12)/Projects!$D$9*0.95,0)-IF(AND(Projects!$G$9="Yes",K$3=Projects!$C$9+Projects!$D$9-1),Projects!$B$9*(Assumptions!$B$10+Assumptions!$B$11+Assumptions!$B$12)*0.05,0)</f>
        <v/>
      </c>
      <c r="L20" s="399">
        <f>IF(AND(Projects!$G$9="Yes",L$3&gt;=Projects!$C$9,L$3&lt;Projects!$C$9+Projects!$D$9),Projects!$B$9*INDEX(Curves!$B$2:$AR$2,1,L$3-Projects!$C$9+1),0)-IF(AND(Projects!$G$9="Yes",L$3&gt;=Projects!$C$9,L$3&lt;Projects!$C$9+Projects!$D$9),Projects!$B$9*(Assumptions!$B$10+Assumptions!$B$11+Assumptions!$B$12)/Projects!$D$9*0.95,0)-IF(AND(Projects!$G$9="Yes",L$3=Projects!$C$9+Projects!$D$9-1),Projects!$B$9*(Assumptions!$B$10+Assumptions!$B$11+Assumptions!$B$12)*0.05,0)</f>
        <v/>
      </c>
      <c r="M20" s="399">
        <f>IF(AND(Projects!$G$9="Yes",M$3&gt;=Projects!$C$9,M$3&lt;Projects!$C$9+Projects!$D$9),Projects!$B$9*INDEX(Curves!$B$2:$AR$2,1,M$3-Projects!$C$9+1),0)-IF(AND(Projects!$G$9="Yes",M$3&gt;=Projects!$C$9,M$3&lt;Projects!$C$9+Projects!$D$9),Projects!$B$9*(Assumptions!$B$10+Assumptions!$B$11+Assumptions!$B$12)/Projects!$D$9*0.95,0)-IF(AND(Projects!$G$9="Yes",M$3=Projects!$C$9+Projects!$D$9-1),Projects!$B$9*(Assumptions!$B$10+Assumptions!$B$11+Assumptions!$B$12)*0.05,0)</f>
        <v/>
      </c>
      <c r="N20" s="399">
        <f>IF(AND(Projects!$G$9="Yes",N$3&gt;=Projects!$C$9,N$3&lt;Projects!$C$9+Projects!$D$9),Projects!$B$9*INDEX(Curves!$B$2:$AR$2,1,N$3-Projects!$C$9+1),0)-IF(AND(Projects!$G$9="Yes",N$3&gt;=Projects!$C$9,N$3&lt;Projects!$C$9+Projects!$D$9),Projects!$B$9*(Assumptions!$B$10+Assumptions!$B$11+Assumptions!$B$12)/Projects!$D$9*0.95,0)-IF(AND(Projects!$G$9="Yes",N$3=Projects!$C$9+Projects!$D$9-1),Projects!$B$9*(Assumptions!$B$10+Assumptions!$B$11+Assumptions!$B$12)*0.05,0)</f>
        <v/>
      </c>
      <c r="O20" s="399">
        <f>IF(AND(Projects!$G$9="Yes",O$3&gt;=Projects!$C$9,O$3&lt;Projects!$C$9+Projects!$D$9),Projects!$B$9*INDEX(Curves!$B$2:$AR$2,1,O$3-Projects!$C$9+1),0)-IF(AND(Projects!$G$9="Yes",O$3&gt;=Projects!$C$9,O$3&lt;Projects!$C$9+Projects!$D$9),Projects!$B$9*(Assumptions!$B$10+Assumptions!$B$11+Assumptions!$B$12)/Projects!$D$9*0.95,0)-IF(AND(Projects!$G$9="Yes",O$3=Projects!$C$9+Projects!$D$9-1),Projects!$B$9*(Assumptions!$B$10+Assumptions!$B$11+Assumptions!$B$12)*0.05,0)</f>
        <v/>
      </c>
      <c r="P20" s="399">
        <f>IF(AND(Projects!$G$9="Yes",P$3&gt;=Projects!$C$9,P$3&lt;Projects!$C$9+Projects!$D$9),Projects!$B$9*INDEX(Curves!$B$2:$AR$2,1,P$3-Projects!$C$9+1),0)-IF(AND(Projects!$G$9="Yes",P$3&gt;=Projects!$C$9,P$3&lt;Projects!$C$9+Projects!$D$9),Projects!$B$9*(Assumptions!$B$10+Assumptions!$B$11+Assumptions!$B$12)/Projects!$D$9*0.95,0)-IF(AND(Projects!$G$9="Yes",P$3=Projects!$C$9+Projects!$D$9-1),Projects!$B$9*(Assumptions!$B$10+Assumptions!$B$11+Assumptions!$B$12)*0.05,0)</f>
        <v/>
      </c>
      <c r="Q20" s="399">
        <f>IF(AND(Projects!$G$9="Yes",Q$3&gt;=Projects!$C$9,Q$3&lt;Projects!$C$9+Projects!$D$9),Projects!$B$9*INDEX(Curves!$B$2:$AR$2,1,Q$3-Projects!$C$9+1),0)-IF(AND(Projects!$G$9="Yes",Q$3&gt;=Projects!$C$9,Q$3&lt;Projects!$C$9+Projects!$D$9),Projects!$B$9*(Assumptions!$B$10+Assumptions!$B$11+Assumptions!$B$12)/Projects!$D$9*0.95,0)-IF(AND(Projects!$G$9="Yes",Q$3=Projects!$C$9+Projects!$D$9-1),Projects!$B$9*(Assumptions!$B$10+Assumptions!$B$11+Assumptions!$B$12)*0.05,0)</f>
        <v/>
      </c>
      <c r="R20" s="399">
        <f>IF(AND(Projects!$G$9="Yes",R$3&gt;=Projects!$C$9,R$3&lt;Projects!$C$9+Projects!$D$9),Projects!$B$9*INDEX(Curves!$B$2:$AR$2,1,R$3-Projects!$C$9+1),0)-IF(AND(Projects!$G$9="Yes",R$3&gt;=Projects!$C$9,R$3&lt;Projects!$C$9+Projects!$D$9),Projects!$B$9*(Assumptions!$B$10+Assumptions!$B$11+Assumptions!$B$12)/Projects!$D$9*0.95,0)-IF(AND(Projects!$G$9="Yes",R$3=Projects!$C$9+Projects!$D$9-1),Projects!$B$9*(Assumptions!$B$10+Assumptions!$B$11+Assumptions!$B$12)*0.05,0)</f>
        <v/>
      </c>
      <c r="S20" s="399">
        <f>IF(AND(Projects!$G$9="Yes",S$3&gt;=Projects!$C$9,S$3&lt;Projects!$C$9+Projects!$D$9),Projects!$B$9*INDEX(Curves!$B$2:$AR$2,1,S$3-Projects!$C$9+1),0)-IF(AND(Projects!$G$9="Yes",S$3&gt;=Projects!$C$9,S$3&lt;Projects!$C$9+Projects!$D$9),Projects!$B$9*(Assumptions!$B$10+Assumptions!$B$11+Assumptions!$B$12)/Projects!$D$9*0.95,0)-IF(AND(Projects!$G$9="Yes",S$3=Projects!$C$9+Projects!$D$9-1),Projects!$B$9*(Assumptions!$B$10+Assumptions!$B$11+Assumptions!$B$12)*0.05,0)</f>
        <v/>
      </c>
      <c r="T20" s="399">
        <f>IF(AND(Projects!$G$9="Yes",T$3&gt;=Projects!$C$9,T$3&lt;Projects!$C$9+Projects!$D$9),Projects!$B$9*INDEX(Curves!$B$2:$AR$2,1,T$3-Projects!$C$9+1),0)-IF(AND(Projects!$G$9="Yes",T$3&gt;=Projects!$C$9,T$3&lt;Projects!$C$9+Projects!$D$9),Projects!$B$9*(Assumptions!$B$10+Assumptions!$B$11+Assumptions!$B$12)/Projects!$D$9*0.95,0)-IF(AND(Projects!$G$9="Yes",T$3=Projects!$C$9+Projects!$D$9-1),Projects!$B$9*(Assumptions!$B$10+Assumptions!$B$11+Assumptions!$B$12)*0.05,0)</f>
        <v/>
      </c>
      <c r="U20" s="399">
        <f>IF(AND(Projects!$G$9="Yes",U$3&gt;=Projects!$C$9,U$3&lt;Projects!$C$9+Projects!$D$9),Projects!$B$9*INDEX(Curves!$B$2:$AR$2,1,U$3-Projects!$C$9+1),0)-IF(AND(Projects!$G$9="Yes",U$3&gt;=Projects!$C$9,U$3&lt;Projects!$C$9+Projects!$D$9),Projects!$B$9*(Assumptions!$B$10+Assumptions!$B$11+Assumptions!$B$12)/Projects!$D$9*0.95,0)-IF(AND(Projects!$G$9="Yes",U$3=Projects!$C$9+Projects!$D$9-1),Projects!$B$9*(Assumptions!$B$10+Assumptions!$B$11+Assumptions!$B$12)*0.05,0)</f>
        <v/>
      </c>
      <c r="V20" s="399">
        <f>IF(AND(Projects!$G$9="Yes",V$3&gt;=Projects!$C$9,V$3&lt;Projects!$C$9+Projects!$D$9),Projects!$B$9*INDEX(Curves!$B$2:$AR$2,1,V$3-Projects!$C$9+1),0)-IF(AND(Projects!$G$9="Yes",V$3&gt;=Projects!$C$9,V$3&lt;Projects!$C$9+Projects!$D$9),Projects!$B$9*(Assumptions!$B$10+Assumptions!$B$11+Assumptions!$B$12)/Projects!$D$9*0.95,0)-IF(AND(Projects!$G$9="Yes",V$3=Projects!$C$9+Projects!$D$9-1),Projects!$B$9*(Assumptions!$B$10+Assumptions!$B$11+Assumptions!$B$12)*0.05,0)</f>
        <v/>
      </c>
      <c r="W20" s="399">
        <f>IF(AND(Projects!$G$9="Yes",W$3&gt;=Projects!$C$9,W$3&lt;Projects!$C$9+Projects!$D$9),Projects!$B$9*INDEX(Curves!$B$2:$AR$2,1,W$3-Projects!$C$9+1),0)-IF(AND(Projects!$G$9="Yes",W$3&gt;=Projects!$C$9,W$3&lt;Projects!$C$9+Projects!$D$9),Projects!$B$9*(Assumptions!$B$10+Assumptions!$B$11+Assumptions!$B$12)/Projects!$D$9*0.95,0)-IF(AND(Projects!$G$9="Yes",W$3=Projects!$C$9+Projects!$D$9-1),Projects!$B$9*(Assumptions!$B$10+Assumptions!$B$11+Assumptions!$B$12)*0.05,0)</f>
        <v/>
      </c>
      <c r="X20" s="399">
        <f>IF(AND(Projects!$G$9="Yes",X$3&gt;=Projects!$C$9,X$3&lt;Projects!$C$9+Projects!$D$9),Projects!$B$9*INDEX(Curves!$B$2:$AR$2,1,X$3-Projects!$C$9+1),0)-IF(AND(Projects!$G$9="Yes",X$3&gt;=Projects!$C$9,X$3&lt;Projects!$C$9+Projects!$D$9),Projects!$B$9*(Assumptions!$B$10+Assumptions!$B$11+Assumptions!$B$12)/Projects!$D$9*0.95,0)-IF(AND(Projects!$G$9="Yes",X$3=Projects!$C$9+Projects!$D$9-1),Projects!$B$9*(Assumptions!$B$10+Assumptions!$B$11+Assumptions!$B$12)*0.05,0)</f>
        <v/>
      </c>
      <c r="Y20" s="399">
        <f>IF(AND(Projects!$G$9="Yes",Y$3&gt;=Projects!$C$9,Y$3&lt;Projects!$C$9+Projects!$D$9),Projects!$B$9*INDEX(Curves!$B$2:$AR$2,1,Y$3-Projects!$C$9+1),0)-IF(AND(Projects!$G$9="Yes",Y$3&gt;=Projects!$C$9,Y$3&lt;Projects!$C$9+Projects!$D$9),Projects!$B$9*(Assumptions!$B$10+Assumptions!$B$11+Assumptions!$B$12)/Projects!$D$9*0.95,0)-IF(AND(Projects!$G$9="Yes",Y$3=Projects!$C$9+Projects!$D$9-1),Projects!$B$9*(Assumptions!$B$10+Assumptions!$B$11+Assumptions!$B$12)*0.05,0)</f>
        <v/>
      </c>
      <c r="Z20" s="399">
        <f>IF(AND(Projects!$G$9="Yes",Z$3&gt;=Projects!$C$9,Z$3&lt;Projects!$C$9+Projects!$D$9),Projects!$B$9*INDEX(Curves!$B$2:$AR$2,1,Z$3-Projects!$C$9+1),0)-IF(AND(Projects!$G$9="Yes",Z$3&gt;=Projects!$C$9,Z$3&lt;Projects!$C$9+Projects!$D$9),Projects!$B$9*(Assumptions!$B$10+Assumptions!$B$11+Assumptions!$B$12)/Projects!$D$9*0.95,0)-IF(AND(Projects!$G$9="Yes",Z$3=Projects!$C$9+Projects!$D$9-1),Projects!$B$9*(Assumptions!$B$10+Assumptions!$B$11+Assumptions!$B$12)*0.05,0)</f>
        <v/>
      </c>
      <c r="AA20" s="399">
        <f>IF(AND(Projects!$G$9="Yes",AA$3&gt;=Projects!$C$9,AA$3&lt;Projects!$C$9+Projects!$D$9),Projects!$B$9*INDEX(Curves!$B$2:$AR$2,1,AA$3-Projects!$C$9+1),0)-IF(AND(Projects!$G$9="Yes",AA$3&gt;=Projects!$C$9,AA$3&lt;Projects!$C$9+Projects!$D$9),Projects!$B$9*(Assumptions!$B$10+Assumptions!$B$11+Assumptions!$B$12)/Projects!$D$9*0.95,0)-IF(AND(Projects!$G$9="Yes",AA$3=Projects!$C$9+Projects!$D$9-1),Projects!$B$9*(Assumptions!$B$10+Assumptions!$B$11+Assumptions!$B$12)*0.05,0)</f>
        <v/>
      </c>
      <c r="AB20" s="399">
        <f>IF(AND(Projects!$G$9="Yes",AB$3&gt;=Projects!$C$9,AB$3&lt;Projects!$C$9+Projects!$D$9),Projects!$B$9*INDEX(Curves!$B$2:$AR$2,1,AB$3-Projects!$C$9+1),0)-IF(AND(Projects!$G$9="Yes",AB$3&gt;=Projects!$C$9,AB$3&lt;Projects!$C$9+Projects!$D$9),Projects!$B$9*(Assumptions!$B$10+Assumptions!$B$11+Assumptions!$B$12)/Projects!$D$9*0.95,0)-IF(AND(Projects!$G$9="Yes",AB$3=Projects!$C$9+Projects!$D$9-1),Projects!$B$9*(Assumptions!$B$10+Assumptions!$B$11+Assumptions!$B$12)*0.05,0)</f>
        <v/>
      </c>
      <c r="AC20" s="399">
        <f>IF(AND(Projects!$G$9="Yes",AC$3&gt;=Projects!$C$9,AC$3&lt;Projects!$C$9+Projects!$D$9),Projects!$B$9*INDEX(Curves!$B$2:$AR$2,1,AC$3-Projects!$C$9+1),0)-IF(AND(Projects!$G$9="Yes",AC$3&gt;=Projects!$C$9,AC$3&lt;Projects!$C$9+Projects!$D$9),Projects!$B$9*(Assumptions!$B$10+Assumptions!$B$11+Assumptions!$B$12)/Projects!$D$9*0.95,0)-IF(AND(Projects!$G$9="Yes",AC$3=Projects!$C$9+Projects!$D$9-1),Projects!$B$9*(Assumptions!$B$10+Assumptions!$B$11+Assumptions!$B$12)*0.05,0)</f>
        <v/>
      </c>
      <c r="AD20" s="399">
        <f>IF(AND(Projects!$G$9="Yes",AD$3&gt;=Projects!$C$9,AD$3&lt;Projects!$C$9+Projects!$D$9),Projects!$B$9*INDEX(Curves!$B$2:$AR$2,1,AD$3-Projects!$C$9+1),0)-IF(AND(Projects!$G$9="Yes",AD$3&gt;=Projects!$C$9,AD$3&lt;Projects!$C$9+Projects!$D$9),Projects!$B$9*(Assumptions!$B$10+Assumptions!$B$11+Assumptions!$B$12)/Projects!$D$9*0.95,0)-IF(AND(Projects!$G$9="Yes",AD$3=Projects!$C$9+Projects!$D$9-1),Projects!$B$9*(Assumptions!$B$10+Assumptions!$B$11+Assumptions!$B$12)*0.05,0)</f>
        <v/>
      </c>
      <c r="AE20" s="399">
        <f>IF(AND(Projects!$G$9="Yes",AE$3&gt;=Projects!$C$9,AE$3&lt;Projects!$C$9+Projects!$D$9),Projects!$B$9*INDEX(Curves!$B$2:$AR$2,1,AE$3-Projects!$C$9+1),0)-IF(AND(Projects!$G$9="Yes",AE$3&gt;=Projects!$C$9,AE$3&lt;Projects!$C$9+Projects!$D$9),Projects!$B$9*(Assumptions!$B$10+Assumptions!$B$11+Assumptions!$B$12)/Projects!$D$9*0.95,0)-IF(AND(Projects!$G$9="Yes",AE$3=Projects!$C$9+Projects!$D$9-1),Projects!$B$9*(Assumptions!$B$10+Assumptions!$B$11+Assumptions!$B$12)*0.05,0)</f>
        <v/>
      </c>
      <c r="AF20" s="399">
        <f>IF(AND(Projects!$G$9="Yes",AF$3&gt;=Projects!$C$9,AF$3&lt;Projects!$C$9+Projects!$D$9),Projects!$B$9*INDEX(Curves!$B$2:$AR$2,1,AF$3-Projects!$C$9+1),0)-IF(AND(Projects!$G$9="Yes",AF$3&gt;=Projects!$C$9,AF$3&lt;Projects!$C$9+Projects!$D$9),Projects!$B$9*(Assumptions!$B$10+Assumptions!$B$11+Assumptions!$B$12)/Projects!$D$9*0.95,0)-IF(AND(Projects!$G$9="Yes",AF$3=Projects!$C$9+Projects!$D$9-1),Projects!$B$9*(Assumptions!$B$10+Assumptions!$B$11+Assumptions!$B$12)*0.05,0)</f>
        <v/>
      </c>
      <c r="AG20" s="399">
        <f>IF(AND(Projects!$G$9="Yes",AG$3&gt;=Projects!$C$9,AG$3&lt;Projects!$C$9+Projects!$D$9),Projects!$B$9*INDEX(Curves!$B$2:$AR$2,1,AG$3-Projects!$C$9+1),0)-IF(AND(Projects!$G$9="Yes",AG$3&gt;=Projects!$C$9,AG$3&lt;Projects!$C$9+Projects!$D$9),Projects!$B$9*(Assumptions!$B$10+Assumptions!$B$11+Assumptions!$B$12)/Projects!$D$9*0.95,0)-IF(AND(Projects!$G$9="Yes",AG$3=Projects!$C$9+Projects!$D$9-1),Projects!$B$9*(Assumptions!$B$10+Assumptions!$B$11+Assumptions!$B$12)*0.05,0)</f>
        <v/>
      </c>
      <c r="AH20" s="399">
        <f>IF(AND(Projects!$G$9="Yes",AH$3&gt;=Projects!$C$9,AH$3&lt;Projects!$C$9+Projects!$D$9),Projects!$B$9*INDEX(Curves!$B$2:$AR$2,1,AH$3-Projects!$C$9+1),0)-IF(AND(Projects!$G$9="Yes",AH$3&gt;=Projects!$C$9,AH$3&lt;Projects!$C$9+Projects!$D$9),Projects!$B$9*(Assumptions!$B$10+Assumptions!$B$11+Assumptions!$B$12)/Projects!$D$9*0.95,0)-IF(AND(Projects!$G$9="Yes",AH$3=Projects!$C$9+Projects!$D$9-1),Projects!$B$9*(Assumptions!$B$10+Assumptions!$B$11+Assumptions!$B$12)*0.05,0)</f>
        <v/>
      </c>
      <c r="AI20" s="399">
        <f>IF(AND(Projects!$G$9="Yes",AI$3&gt;=Projects!$C$9,AI$3&lt;Projects!$C$9+Projects!$D$9),Projects!$B$9*INDEX(Curves!$B$2:$AR$2,1,AI$3-Projects!$C$9+1),0)-IF(AND(Projects!$G$9="Yes",AI$3&gt;=Projects!$C$9,AI$3&lt;Projects!$C$9+Projects!$D$9),Projects!$B$9*(Assumptions!$B$10+Assumptions!$B$11+Assumptions!$B$12)/Projects!$D$9*0.95,0)-IF(AND(Projects!$G$9="Yes",AI$3=Projects!$C$9+Projects!$D$9-1),Projects!$B$9*(Assumptions!$B$10+Assumptions!$B$11+Assumptions!$B$12)*0.05,0)</f>
        <v/>
      </c>
      <c r="AJ20" s="399">
        <f>IF(AND(Projects!$G$9="Yes",AJ$3&gt;=Projects!$C$9,AJ$3&lt;Projects!$C$9+Projects!$D$9),Projects!$B$9*INDEX(Curves!$B$2:$AR$2,1,AJ$3-Projects!$C$9+1),0)-IF(AND(Projects!$G$9="Yes",AJ$3&gt;=Projects!$C$9,AJ$3&lt;Projects!$C$9+Projects!$D$9),Projects!$B$9*(Assumptions!$B$10+Assumptions!$B$11+Assumptions!$B$12)/Projects!$D$9*0.95,0)-IF(AND(Projects!$G$9="Yes",AJ$3=Projects!$C$9+Projects!$D$9-1),Projects!$B$9*(Assumptions!$B$10+Assumptions!$B$11+Assumptions!$B$12)*0.05,0)</f>
        <v/>
      </c>
      <c r="AK20" s="399">
        <f>IF(AND(Projects!$G$9="Yes",AK$3&gt;=Projects!$C$9,AK$3&lt;Projects!$C$9+Projects!$D$9),Projects!$B$9*INDEX(Curves!$B$2:$AR$2,1,AK$3-Projects!$C$9+1),0)-IF(AND(Projects!$G$9="Yes",AK$3&gt;=Projects!$C$9,AK$3&lt;Projects!$C$9+Projects!$D$9),Projects!$B$9*(Assumptions!$B$10+Assumptions!$B$11+Assumptions!$B$12)/Projects!$D$9*0.95,0)-IF(AND(Projects!$G$9="Yes",AK$3=Projects!$C$9+Projects!$D$9-1),Projects!$B$9*(Assumptions!$B$10+Assumptions!$B$11+Assumptions!$B$12)*0.05,0)</f>
        <v/>
      </c>
      <c r="AL20" s="399">
        <f>IF(AND(Projects!$G$9="Yes",AL$3&gt;=Projects!$C$9,AL$3&lt;Projects!$C$9+Projects!$D$9),Projects!$B$9*INDEX(Curves!$B$2:$AR$2,1,AL$3-Projects!$C$9+1),0)-IF(AND(Projects!$G$9="Yes",AL$3&gt;=Projects!$C$9,AL$3&lt;Projects!$C$9+Projects!$D$9),Projects!$B$9*(Assumptions!$B$10+Assumptions!$B$11+Assumptions!$B$12)/Projects!$D$9*0.95,0)-IF(AND(Projects!$G$9="Yes",AL$3=Projects!$C$9+Projects!$D$9-1),Projects!$B$9*(Assumptions!$B$10+Assumptions!$B$11+Assumptions!$B$12)*0.05,0)</f>
        <v/>
      </c>
      <c r="AM20" s="399">
        <f>IF(AND(Projects!$G$9="Yes",AM$3&gt;=Projects!$C$9,AM$3&lt;Projects!$C$9+Projects!$D$9),Projects!$B$9*INDEX(Curves!$B$2:$AR$2,1,AM$3-Projects!$C$9+1),0)-IF(AND(Projects!$G$9="Yes",AM$3&gt;=Projects!$C$9,AM$3&lt;Projects!$C$9+Projects!$D$9),Projects!$B$9*(Assumptions!$B$10+Assumptions!$B$11+Assumptions!$B$12)/Projects!$D$9*0.95,0)-IF(AND(Projects!$G$9="Yes",AM$3=Projects!$C$9+Projects!$D$9-1),Projects!$B$9*(Assumptions!$B$10+Assumptions!$B$11+Assumptions!$B$12)*0.05,0)</f>
        <v/>
      </c>
      <c r="AN20" s="399">
        <f>IF(AND(Projects!$G$9="Yes",AN$3&gt;=Projects!$C$9,AN$3&lt;Projects!$C$9+Projects!$D$9),Projects!$B$9*INDEX(Curves!$B$2:$AR$2,1,AN$3-Projects!$C$9+1),0)-IF(AND(Projects!$G$9="Yes",AN$3&gt;=Projects!$C$9,AN$3&lt;Projects!$C$9+Projects!$D$9),Projects!$B$9*(Assumptions!$B$10+Assumptions!$B$11+Assumptions!$B$12)/Projects!$D$9*0.95,0)-IF(AND(Projects!$G$9="Yes",AN$3=Projects!$C$9+Projects!$D$9-1),Projects!$B$9*(Assumptions!$B$10+Assumptions!$B$11+Assumptions!$B$12)*0.05,0)</f>
        <v/>
      </c>
      <c r="AO20" s="399">
        <f>IF(AND(Projects!$G$9="Yes",AO$3&gt;=Projects!$C$9,AO$3&lt;Projects!$C$9+Projects!$D$9),Projects!$B$9*INDEX(Curves!$B$2:$AR$2,1,AO$3-Projects!$C$9+1),0)-IF(AND(Projects!$G$9="Yes",AO$3&gt;=Projects!$C$9,AO$3&lt;Projects!$C$9+Projects!$D$9),Projects!$B$9*(Assumptions!$B$10+Assumptions!$B$11+Assumptions!$B$12)/Projects!$D$9*0.95,0)-IF(AND(Projects!$G$9="Yes",AO$3=Projects!$C$9+Projects!$D$9-1),Projects!$B$9*(Assumptions!$B$10+Assumptions!$B$11+Assumptions!$B$12)*0.05,0)</f>
        <v/>
      </c>
      <c r="AP20" s="399">
        <f>IF(AND(Projects!$G$9="Yes",AP$3&gt;=Projects!$C$9,AP$3&lt;Projects!$C$9+Projects!$D$9),Projects!$B$9*INDEX(Curves!$B$2:$AR$2,1,AP$3-Projects!$C$9+1),0)-IF(AND(Projects!$G$9="Yes",AP$3&gt;=Projects!$C$9,AP$3&lt;Projects!$C$9+Projects!$D$9),Projects!$B$9*(Assumptions!$B$10+Assumptions!$B$11+Assumptions!$B$12)/Projects!$D$9*0.95,0)-IF(AND(Projects!$G$9="Yes",AP$3=Projects!$C$9+Projects!$D$9-1),Projects!$B$9*(Assumptions!$B$10+Assumptions!$B$11+Assumptions!$B$12)*0.05,0)</f>
        <v/>
      </c>
      <c r="AQ20" s="399">
        <f>IF(AND(Projects!$G$9="Yes",AQ$3&gt;=Projects!$C$9,AQ$3&lt;Projects!$C$9+Projects!$D$9),Projects!$B$9*INDEX(Curves!$B$2:$AR$2,1,AQ$3-Projects!$C$9+1),0)-IF(AND(Projects!$G$9="Yes",AQ$3&gt;=Projects!$C$9,AQ$3&lt;Projects!$C$9+Projects!$D$9),Projects!$B$9*(Assumptions!$B$10+Assumptions!$B$11+Assumptions!$B$12)/Projects!$D$9*0.95,0)-IF(AND(Projects!$G$9="Yes",AQ$3=Projects!$C$9+Projects!$D$9-1),Projects!$B$9*(Assumptions!$B$10+Assumptions!$B$11+Assumptions!$B$12)*0.05,0)</f>
        <v/>
      </c>
      <c r="AR20" s="399">
        <f>IF(AND(Projects!$G$9="Yes",AR$3&gt;=Projects!$C$9,AR$3&lt;Projects!$C$9+Projects!$D$9),Projects!$B$9*INDEX(Curves!$B$2:$AR$2,1,AR$3-Projects!$C$9+1),0)-IF(AND(Projects!$G$9="Yes",AR$3&gt;=Projects!$C$9,AR$3&lt;Projects!$C$9+Projects!$D$9),Projects!$B$9*(Assumptions!$B$10+Assumptions!$B$11+Assumptions!$B$12)/Projects!$D$9*0.95,0)-IF(AND(Projects!$G$9="Yes",AR$3=Projects!$C$9+Projects!$D$9-1),Projects!$B$9*(Assumptions!$B$10+Assumptions!$B$11+Assumptions!$B$12)*0.05,0)</f>
        <v/>
      </c>
      <c r="AS20" s="399">
        <f>IF(AND(Projects!$G$9="Yes",AS$3&gt;=Projects!$C$9,AS$3&lt;Projects!$C$9+Projects!$D$9),Projects!$B$9*INDEX(Curves!$B$2:$AR$2,1,AS$3-Projects!$C$9+1),0)-IF(AND(Projects!$G$9="Yes",AS$3&gt;=Projects!$C$9,AS$3&lt;Projects!$C$9+Projects!$D$9),Projects!$B$9*(Assumptions!$B$10+Assumptions!$B$11+Assumptions!$B$12)/Projects!$D$9*0.95,0)-IF(AND(Projects!$G$9="Yes",AS$3=Projects!$C$9+Projects!$D$9-1),Projects!$B$9*(Assumptions!$B$10+Assumptions!$B$11+Assumptions!$B$12)*0.05,0)</f>
        <v/>
      </c>
      <c r="AT20" s="399">
        <f>IF(AND(Projects!$G$9="Yes",AT$3&gt;=Projects!$C$9,AT$3&lt;Projects!$C$9+Projects!$D$9),Projects!$B$9*INDEX(Curves!$B$2:$AR$2,1,AT$3-Projects!$C$9+1),0)-IF(AND(Projects!$G$9="Yes",AT$3&gt;=Projects!$C$9,AT$3&lt;Projects!$C$9+Projects!$D$9),Projects!$B$9*(Assumptions!$B$10+Assumptions!$B$11+Assumptions!$B$12)/Projects!$D$9*0.95,0)-IF(AND(Projects!$G$9="Yes",AT$3=Projects!$C$9+Projects!$D$9-1),Projects!$B$9*(Assumptions!$B$10+Assumptions!$B$11+Assumptions!$B$12)*0.05,0)</f>
        <v/>
      </c>
      <c r="AU20" s="399">
        <f>IF(AND(Projects!$G$9="Yes",AU$3&gt;=Projects!$C$9,AU$3&lt;Projects!$C$9+Projects!$D$9),Projects!$B$9*INDEX(Curves!$B$2:$AR$2,1,AU$3-Projects!$C$9+1),0)-IF(AND(Projects!$G$9="Yes",AU$3&gt;=Projects!$C$9,AU$3&lt;Projects!$C$9+Projects!$D$9),Projects!$B$9*(Assumptions!$B$10+Assumptions!$B$11+Assumptions!$B$12)/Projects!$D$9*0.95,0)-IF(AND(Projects!$G$9="Yes",AU$3=Projects!$C$9+Projects!$D$9-1),Projects!$B$9*(Assumptions!$B$10+Assumptions!$B$11+Assumptions!$B$12)*0.05,0)</f>
        <v/>
      </c>
      <c r="AV20" s="399">
        <f>IF(AND(Projects!$G$9="Yes",AV$3&gt;=Projects!$C$9,AV$3&lt;Projects!$C$9+Projects!$D$9),Projects!$B$9*INDEX(Curves!$B$2:$AR$2,1,AV$3-Projects!$C$9+1),0)-IF(AND(Projects!$G$9="Yes",AV$3&gt;=Projects!$C$9,AV$3&lt;Projects!$C$9+Projects!$D$9),Projects!$B$9*(Assumptions!$B$10+Assumptions!$B$11+Assumptions!$B$12)/Projects!$D$9*0.95,0)-IF(AND(Projects!$G$9="Yes",AV$3=Projects!$C$9+Projects!$D$9-1),Projects!$B$9*(Assumptions!$B$10+Assumptions!$B$11+Assumptions!$B$12)*0.05,0)</f>
        <v/>
      </c>
      <c r="AW20" s="399">
        <f>IF(AND(Projects!$G$9="Yes",AW$3&gt;=Projects!$C$9,AW$3&lt;Projects!$C$9+Projects!$D$9),Projects!$B$9*INDEX(Curves!$B$2:$AR$2,1,AW$3-Projects!$C$9+1),0)-IF(AND(Projects!$G$9="Yes",AW$3&gt;=Projects!$C$9,AW$3&lt;Projects!$C$9+Projects!$D$9),Projects!$B$9*(Assumptions!$B$10+Assumptions!$B$11+Assumptions!$B$12)/Projects!$D$9*0.95,0)-IF(AND(Projects!$G$9="Yes",AW$3=Projects!$C$9+Projects!$D$9-1),Projects!$B$9*(Assumptions!$B$10+Assumptions!$B$11+Assumptions!$B$12)*0.05,0)</f>
        <v/>
      </c>
      <c r="AX20" s="399">
        <f>IF(AND(Projects!$G$9="Yes",AX$3&gt;=Projects!$C$9,AX$3&lt;Projects!$C$9+Projects!$D$9),Projects!$B$9*INDEX(Curves!$B$2:$AR$2,1,AX$3-Projects!$C$9+1),0)-IF(AND(Projects!$G$9="Yes",AX$3&gt;=Projects!$C$9,AX$3&lt;Projects!$C$9+Projects!$D$9),Projects!$B$9*(Assumptions!$B$10+Assumptions!$B$11+Assumptions!$B$12)/Projects!$D$9*0.95,0)-IF(AND(Projects!$G$9="Yes",AX$3=Projects!$C$9+Projects!$D$9-1),Projects!$B$9*(Assumptions!$B$10+Assumptions!$B$11+Assumptions!$B$12)*0.05,0)</f>
        <v/>
      </c>
      <c r="AY20" s="399">
        <f>IF(AND(Projects!$G$9="Yes",AY$3&gt;=Projects!$C$9,AY$3&lt;Projects!$C$9+Projects!$D$9),Projects!$B$9*INDEX(Curves!$B$2:$AR$2,1,AY$3-Projects!$C$9+1),0)-IF(AND(Projects!$G$9="Yes",AY$3&gt;=Projects!$C$9,AY$3&lt;Projects!$C$9+Projects!$D$9),Projects!$B$9*(Assumptions!$B$10+Assumptions!$B$11+Assumptions!$B$12)/Projects!$D$9*0.95,0)-IF(AND(Projects!$G$9="Yes",AY$3=Projects!$C$9+Projects!$D$9-1),Projects!$B$9*(Assumptions!$B$10+Assumptions!$B$11+Assumptions!$B$12)*0.05,0)</f>
        <v/>
      </c>
      <c r="AZ20" s="399">
        <f>IF(AND(Projects!$G$9="Yes",AZ$3&gt;=Projects!$C$9,AZ$3&lt;Projects!$C$9+Projects!$D$9),Projects!$B$9*INDEX(Curves!$B$2:$AR$2,1,AZ$3-Projects!$C$9+1),0)-IF(AND(Projects!$G$9="Yes",AZ$3&gt;=Projects!$C$9,AZ$3&lt;Projects!$C$9+Projects!$D$9),Projects!$B$9*(Assumptions!$B$10+Assumptions!$B$11+Assumptions!$B$12)/Projects!$D$9*0.95,0)-IF(AND(Projects!$G$9="Yes",AZ$3=Projects!$C$9+Projects!$D$9-1),Projects!$B$9*(Assumptions!$B$10+Assumptions!$B$11+Assumptions!$B$12)*0.05,0)</f>
        <v/>
      </c>
      <c r="BA20" s="399">
        <f>IF(AND(Projects!$G$9="Yes",BA$3&gt;=Projects!$C$9,BA$3&lt;Projects!$C$9+Projects!$D$9),Projects!$B$9*INDEX(Curves!$B$2:$AR$2,1,BA$3-Projects!$C$9+1),0)-IF(AND(Projects!$G$9="Yes",BA$3&gt;=Projects!$C$9,BA$3&lt;Projects!$C$9+Projects!$D$9),Projects!$B$9*(Assumptions!$B$10+Assumptions!$B$11+Assumptions!$B$12)/Projects!$D$9*0.95,0)-IF(AND(Projects!$G$9="Yes",BA$3=Projects!$C$9+Projects!$D$9-1),Projects!$B$9*(Assumptions!$B$10+Assumptions!$B$11+Assumptions!$B$12)*0.05,0)</f>
        <v/>
      </c>
      <c r="BB20" s="399">
        <f>IF(AND(Projects!$G$9="Yes",BB$3&gt;=Projects!$C$9,BB$3&lt;Projects!$C$9+Projects!$D$9),Projects!$B$9*INDEX(Curves!$B$2:$AR$2,1,BB$3-Projects!$C$9+1),0)-IF(AND(Projects!$G$9="Yes",BB$3&gt;=Projects!$C$9,BB$3&lt;Projects!$C$9+Projects!$D$9),Projects!$B$9*(Assumptions!$B$10+Assumptions!$B$11+Assumptions!$B$12)/Projects!$D$9*0.95,0)-IF(AND(Projects!$G$9="Yes",BB$3=Projects!$C$9+Projects!$D$9-1),Projects!$B$9*(Assumptions!$B$10+Assumptions!$B$11+Assumptions!$B$12)*0.05,0)</f>
        <v/>
      </c>
      <c r="BC20" s="399">
        <f>IF(AND(Projects!$G$9="Yes",BC$3&gt;=Projects!$C$9,BC$3&lt;Projects!$C$9+Projects!$D$9),Projects!$B$9*INDEX(Curves!$B$2:$AR$2,1,BC$3-Projects!$C$9+1),0)-IF(AND(Projects!$G$9="Yes",BC$3&gt;=Projects!$C$9,BC$3&lt;Projects!$C$9+Projects!$D$9),Projects!$B$9*(Assumptions!$B$10+Assumptions!$B$11+Assumptions!$B$12)/Projects!$D$9*0.95,0)-IF(AND(Projects!$G$9="Yes",BC$3=Projects!$C$9+Projects!$D$9-1),Projects!$B$9*(Assumptions!$B$10+Assumptions!$B$11+Assumptions!$B$12)*0.05,0)</f>
        <v/>
      </c>
      <c r="BD20" s="399">
        <f>IF(AND(Projects!$G$9="Yes",BD$3&gt;=Projects!$C$9,BD$3&lt;Projects!$C$9+Projects!$D$9),Projects!$B$9*INDEX(Curves!$B$2:$AR$2,1,BD$3-Projects!$C$9+1),0)-IF(AND(Projects!$G$9="Yes",BD$3&gt;=Projects!$C$9,BD$3&lt;Projects!$C$9+Projects!$D$9),Projects!$B$9*(Assumptions!$B$10+Assumptions!$B$11+Assumptions!$B$12)/Projects!$D$9*0.95,0)-IF(AND(Projects!$G$9="Yes",BD$3=Projects!$C$9+Projects!$D$9-1),Projects!$B$9*(Assumptions!$B$10+Assumptions!$B$11+Assumptions!$B$12)*0.05,0)</f>
        <v/>
      </c>
      <c r="BE20" s="399">
        <f>IF(AND(Projects!$G$9="Yes",BE$3&gt;=Projects!$C$9,BE$3&lt;Projects!$C$9+Projects!$D$9),Projects!$B$9*INDEX(Curves!$B$2:$AR$2,1,BE$3-Projects!$C$9+1),0)-IF(AND(Projects!$G$9="Yes",BE$3&gt;=Projects!$C$9,BE$3&lt;Projects!$C$9+Projects!$D$9),Projects!$B$9*(Assumptions!$B$10+Assumptions!$B$11+Assumptions!$B$12)/Projects!$D$9*0.95,0)-IF(AND(Projects!$G$9="Yes",BE$3=Projects!$C$9+Projects!$D$9-1),Projects!$B$9*(Assumptions!$B$10+Assumptions!$B$11+Assumptions!$B$12)*0.05,0)</f>
        <v/>
      </c>
      <c r="BF20" s="399">
        <f>IF(AND(Projects!$G$9="Yes",BF$3&gt;=Projects!$C$9,BF$3&lt;Projects!$C$9+Projects!$D$9),Projects!$B$9*INDEX(Curves!$B$2:$AR$2,1,BF$3-Projects!$C$9+1),0)-IF(AND(Projects!$G$9="Yes",BF$3&gt;=Projects!$C$9,BF$3&lt;Projects!$C$9+Projects!$D$9),Projects!$B$9*(Assumptions!$B$10+Assumptions!$B$11+Assumptions!$B$12)/Projects!$D$9*0.95,0)-IF(AND(Projects!$G$9="Yes",BF$3=Projects!$C$9+Projects!$D$9-1),Projects!$B$9*(Assumptions!$B$10+Assumptions!$B$11+Assumptions!$B$12)*0.05,0)</f>
        <v/>
      </c>
      <c r="BG20" s="399">
        <f>IF(AND(Projects!$G$9="Yes",BG$3&gt;=Projects!$C$9,BG$3&lt;Projects!$C$9+Projects!$D$9),Projects!$B$9*INDEX(Curves!$B$2:$AR$2,1,BG$3-Projects!$C$9+1),0)-IF(AND(Projects!$G$9="Yes",BG$3&gt;=Projects!$C$9,BG$3&lt;Projects!$C$9+Projects!$D$9),Projects!$B$9*(Assumptions!$B$10+Assumptions!$B$11+Assumptions!$B$12)/Projects!$D$9*0.95,0)-IF(AND(Projects!$G$9="Yes",BG$3=Projects!$C$9+Projects!$D$9-1),Projects!$B$9*(Assumptions!$B$10+Assumptions!$B$11+Assumptions!$B$12)*0.05,0)</f>
        <v/>
      </c>
      <c r="BH20" s="399">
        <f>IF(AND(Projects!$G$9="Yes",BH$3&gt;=Projects!$C$9,BH$3&lt;Projects!$C$9+Projects!$D$9),Projects!$B$9*INDEX(Curves!$B$2:$AR$2,1,BH$3-Projects!$C$9+1),0)-IF(AND(Projects!$G$9="Yes",BH$3&gt;=Projects!$C$9,BH$3&lt;Projects!$C$9+Projects!$D$9),Projects!$B$9*(Assumptions!$B$10+Assumptions!$B$11+Assumptions!$B$12)/Projects!$D$9*0.95,0)-IF(AND(Projects!$G$9="Yes",BH$3=Projects!$C$9+Projects!$D$9-1),Projects!$B$9*(Assumptions!$B$10+Assumptions!$B$11+Assumptions!$B$12)*0.05,0)</f>
        <v/>
      </c>
      <c r="BI20" s="399">
        <f>IF(AND(Projects!$G$9="Yes",BI$3&gt;=Projects!$C$9,BI$3&lt;Projects!$C$9+Projects!$D$9),Projects!$B$9*INDEX(Curves!$B$2:$AR$2,1,BI$3-Projects!$C$9+1),0)-IF(AND(Projects!$G$9="Yes",BI$3&gt;=Projects!$C$9,BI$3&lt;Projects!$C$9+Projects!$D$9),Projects!$B$9*(Assumptions!$B$10+Assumptions!$B$11+Assumptions!$B$12)/Projects!$D$9*0.95,0)-IF(AND(Projects!$G$9="Yes",BI$3=Projects!$C$9+Projects!$D$9-1),Projects!$B$9*(Assumptions!$B$10+Assumptions!$B$11+Assumptions!$B$12)*0.05,0)</f>
        <v/>
      </c>
      <c r="BJ20" s="399">
        <f>IF(AND(Projects!$G$9="Yes",BJ$3&gt;=Projects!$C$9,BJ$3&lt;Projects!$C$9+Projects!$D$9),Projects!$B$9*INDEX(Curves!$B$2:$AR$2,1,BJ$3-Projects!$C$9+1),0)-IF(AND(Projects!$G$9="Yes",BJ$3&gt;=Projects!$C$9,BJ$3&lt;Projects!$C$9+Projects!$D$9),Projects!$B$9*(Assumptions!$B$10+Assumptions!$B$11+Assumptions!$B$12)/Projects!$D$9*0.95,0)-IF(AND(Projects!$G$9="Yes",BJ$3=Projects!$C$9+Projects!$D$9-1),Projects!$B$9*(Assumptions!$B$10+Assumptions!$B$11+Assumptions!$B$12)*0.05,0)</f>
        <v/>
      </c>
      <c r="BK20" s="399">
        <f>IF(AND(Projects!$G$9="Yes",BK$3&gt;=Projects!$C$9,BK$3&lt;Projects!$C$9+Projects!$D$9),Projects!$B$9*INDEX(Curves!$B$2:$AR$2,1,BK$3-Projects!$C$9+1),0)-IF(AND(Projects!$G$9="Yes",BK$3&gt;=Projects!$C$9,BK$3&lt;Projects!$C$9+Projects!$D$9),Projects!$B$9*(Assumptions!$B$10+Assumptions!$B$11+Assumptions!$B$12)/Projects!$D$9*0.95,0)-IF(AND(Projects!$G$9="Yes",BK$3=Projects!$C$9+Projects!$D$9-1),Projects!$B$9*(Assumptions!$B$10+Assumptions!$B$11+Assumptions!$B$12)*0.05,0)</f>
        <v/>
      </c>
      <c r="BL20" s="399">
        <f>IF(AND(Projects!$G$9="Yes",BL$3&gt;=Projects!$C$9,BL$3&lt;Projects!$C$9+Projects!$D$9),Projects!$B$9*INDEX(Curves!$B$2:$AR$2,1,BL$3-Projects!$C$9+1),0)-IF(AND(Projects!$G$9="Yes",BL$3&gt;=Projects!$C$9,BL$3&lt;Projects!$C$9+Projects!$D$9),Projects!$B$9*(Assumptions!$B$10+Assumptions!$B$11+Assumptions!$B$12)/Projects!$D$9*0.95,0)-IF(AND(Projects!$G$9="Yes",BL$3=Projects!$C$9+Projects!$D$9-1),Projects!$B$9*(Assumptions!$B$10+Assumptions!$B$11+Assumptions!$B$12)*0.05,0)</f>
        <v/>
      </c>
      <c r="BM20" s="399">
        <f>IF(AND(Projects!$G$9="Yes",BM$3&gt;=Projects!$C$9,BM$3&lt;Projects!$C$9+Projects!$D$9),Projects!$B$9*INDEX(Curves!$B$2:$AR$2,1,BM$3-Projects!$C$9+1),0)-IF(AND(Projects!$G$9="Yes",BM$3&gt;=Projects!$C$9,BM$3&lt;Projects!$C$9+Projects!$D$9),Projects!$B$9*(Assumptions!$B$10+Assumptions!$B$11+Assumptions!$B$12)/Projects!$D$9*0.95,0)-IF(AND(Projects!$G$9="Yes",BM$3=Projects!$C$9+Projects!$D$9-1),Projects!$B$9*(Assumptions!$B$10+Assumptions!$B$11+Assumptions!$B$12)*0.05,0)</f>
        <v/>
      </c>
      <c r="BN20" s="399">
        <f>IF(AND(Projects!$G$9="Yes",BN$3&gt;=Projects!$C$9,BN$3&lt;Projects!$C$9+Projects!$D$9),Projects!$B$9*INDEX(Curves!$B$2:$AR$2,1,BN$3-Projects!$C$9+1),0)-IF(AND(Projects!$G$9="Yes",BN$3&gt;=Projects!$C$9,BN$3&lt;Projects!$C$9+Projects!$D$9),Projects!$B$9*(Assumptions!$B$10+Assumptions!$B$11+Assumptions!$B$12)/Projects!$D$9*0.95,0)-IF(AND(Projects!$G$9="Yes",BN$3=Projects!$C$9+Projects!$D$9-1),Projects!$B$9*(Assumptions!$B$10+Assumptions!$B$11+Assumptions!$B$12)*0.05,0)</f>
        <v/>
      </c>
      <c r="BO20" s="399">
        <f>IF(AND(Projects!$G$9="Yes",BO$3&gt;=Projects!$C$9,BO$3&lt;Projects!$C$9+Projects!$D$9),Projects!$B$9*INDEX(Curves!$B$2:$AR$2,1,BO$3-Projects!$C$9+1),0)-IF(AND(Projects!$G$9="Yes",BO$3&gt;=Projects!$C$9,BO$3&lt;Projects!$C$9+Projects!$D$9),Projects!$B$9*(Assumptions!$B$10+Assumptions!$B$11+Assumptions!$B$12)/Projects!$D$9*0.95,0)-IF(AND(Projects!$G$9="Yes",BO$3=Projects!$C$9+Projects!$D$9-1),Projects!$B$9*(Assumptions!$B$10+Assumptions!$B$11+Assumptions!$B$12)*0.05,0)</f>
        <v/>
      </c>
      <c r="BP20" s="399">
        <f>IF(AND(Projects!$G$9="Yes",BP$3&gt;=Projects!$C$9,BP$3&lt;Projects!$C$9+Projects!$D$9),Projects!$B$9*INDEX(Curves!$B$2:$AR$2,1,BP$3-Projects!$C$9+1),0)-IF(AND(Projects!$G$9="Yes",BP$3&gt;=Projects!$C$9,BP$3&lt;Projects!$C$9+Projects!$D$9),Projects!$B$9*(Assumptions!$B$10+Assumptions!$B$11+Assumptions!$B$12)/Projects!$D$9*0.95,0)-IF(AND(Projects!$G$9="Yes",BP$3=Projects!$C$9+Projects!$D$9-1),Projects!$B$9*(Assumptions!$B$10+Assumptions!$B$11+Assumptions!$B$12)*0.05,0)</f>
        <v/>
      </c>
      <c r="BQ20" s="399">
        <f>IF(AND(Projects!$G$9="Yes",BQ$3&gt;=Projects!$C$9,BQ$3&lt;Projects!$C$9+Projects!$D$9),Projects!$B$9*INDEX(Curves!$B$2:$AR$2,1,BQ$3-Projects!$C$9+1),0)-IF(AND(Projects!$G$9="Yes",BQ$3&gt;=Projects!$C$9,BQ$3&lt;Projects!$C$9+Projects!$D$9),Projects!$B$9*(Assumptions!$B$10+Assumptions!$B$11+Assumptions!$B$12)/Projects!$D$9*0.95,0)-IF(AND(Projects!$G$9="Yes",BQ$3=Projects!$C$9+Projects!$D$9-1),Projects!$B$9*(Assumptions!$B$10+Assumptions!$B$11+Assumptions!$B$12)*0.05,0)</f>
        <v/>
      </c>
      <c r="BR20" s="399">
        <f>IF(AND(Projects!$G$9="Yes",BR$3&gt;=Projects!$C$9,BR$3&lt;Projects!$C$9+Projects!$D$9),Projects!$B$9*INDEX(Curves!$B$2:$AR$2,1,BR$3-Projects!$C$9+1),0)-IF(AND(Projects!$G$9="Yes",BR$3&gt;=Projects!$C$9,BR$3&lt;Projects!$C$9+Projects!$D$9),Projects!$B$9*(Assumptions!$B$10+Assumptions!$B$11+Assumptions!$B$12)/Projects!$D$9*0.95,0)-IF(AND(Projects!$G$9="Yes",BR$3=Projects!$C$9+Projects!$D$9-1),Projects!$B$9*(Assumptions!$B$10+Assumptions!$B$11+Assumptions!$B$12)*0.05,0)</f>
        <v/>
      </c>
      <c r="BS20" s="399">
        <f>IF(AND(Projects!$G$9="Yes",BS$3&gt;=Projects!$C$9,BS$3&lt;Projects!$C$9+Projects!$D$9),Projects!$B$9*INDEX(Curves!$B$2:$AR$2,1,BS$3-Projects!$C$9+1),0)-IF(AND(Projects!$G$9="Yes",BS$3&gt;=Projects!$C$9,BS$3&lt;Projects!$C$9+Projects!$D$9),Projects!$B$9*(Assumptions!$B$10+Assumptions!$B$11+Assumptions!$B$12)/Projects!$D$9*0.95,0)-IF(AND(Projects!$G$9="Yes",BS$3=Projects!$C$9+Projects!$D$9-1),Projects!$B$9*(Assumptions!$B$10+Assumptions!$B$11+Assumptions!$B$12)*0.05,0)</f>
        <v/>
      </c>
      <c r="BT20" s="399">
        <f>IF(AND(Projects!$G$9="Yes",BT$3&gt;=Projects!$C$9,BT$3&lt;Projects!$C$9+Projects!$D$9),Projects!$B$9*INDEX(Curves!$B$2:$AR$2,1,BT$3-Projects!$C$9+1),0)-IF(AND(Projects!$G$9="Yes",BT$3&gt;=Projects!$C$9,BT$3&lt;Projects!$C$9+Projects!$D$9),Projects!$B$9*(Assumptions!$B$10+Assumptions!$B$11+Assumptions!$B$12)/Projects!$D$9*0.95,0)-IF(AND(Projects!$G$9="Yes",BT$3=Projects!$C$9+Projects!$D$9-1),Projects!$B$9*(Assumptions!$B$10+Assumptions!$B$11+Assumptions!$B$12)*0.05,0)</f>
        <v/>
      </c>
      <c r="BU20" s="399">
        <f>IF(AND(Projects!$G$9="Yes",BU$3&gt;=Projects!$C$9,BU$3&lt;Projects!$C$9+Projects!$D$9),Projects!$B$9*INDEX(Curves!$B$2:$AR$2,1,BU$3-Projects!$C$9+1),0)-IF(AND(Projects!$G$9="Yes",BU$3&gt;=Projects!$C$9,BU$3&lt;Projects!$C$9+Projects!$D$9),Projects!$B$9*(Assumptions!$B$10+Assumptions!$B$11+Assumptions!$B$12)/Projects!$D$9*0.95,0)-IF(AND(Projects!$G$9="Yes",BU$3=Projects!$C$9+Projects!$D$9-1),Projects!$B$9*(Assumptions!$B$10+Assumptions!$B$11+Assumptions!$B$12)*0.05,0)</f>
        <v/>
      </c>
      <c r="BV20" s="399">
        <f>IF(AND(Projects!$G$9="Yes",BV$3&gt;=Projects!$C$9,BV$3&lt;Projects!$C$9+Projects!$D$9),Projects!$B$9*INDEX(Curves!$B$2:$AR$2,1,BV$3-Projects!$C$9+1),0)-IF(AND(Projects!$G$9="Yes",BV$3&gt;=Projects!$C$9,BV$3&lt;Projects!$C$9+Projects!$D$9),Projects!$B$9*(Assumptions!$B$10+Assumptions!$B$11+Assumptions!$B$12)/Projects!$D$9*0.95,0)-IF(AND(Projects!$G$9="Yes",BV$3=Projects!$C$9+Projects!$D$9-1),Projects!$B$9*(Assumptions!$B$10+Assumptions!$B$11+Assumptions!$B$12)*0.05,0)</f>
        <v/>
      </c>
      <c r="BW20" s="399">
        <f>IF(AND(Projects!$G$9="Yes",BW$3&gt;=Projects!$C$9,BW$3&lt;Projects!$C$9+Projects!$D$9),Projects!$B$9*INDEX(Curves!$B$2:$AR$2,1,BW$3-Projects!$C$9+1),0)-IF(AND(Projects!$G$9="Yes",BW$3&gt;=Projects!$C$9,BW$3&lt;Projects!$C$9+Projects!$D$9),Projects!$B$9*(Assumptions!$B$10+Assumptions!$B$11+Assumptions!$B$12)/Projects!$D$9*0.95,0)-IF(AND(Projects!$G$9="Yes",BW$3=Projects!$C$9+Projects!$D$9-1),Projects!$B$9*(Assumptions!$B$10+Assumptions!$B$11+Assumptions!$B$12)*0.05,0)</f>
        <v/>
      </c>
      <c r="BX20" s="399">
        <f>IF(AND(Projects!$G$9="Yes",BX$3&gt;=Projects!$C$9,BX$3&lt;Projects!$C$9+Projects!$D$9),Projects!$B$9*INDEX(Curves!$B$2:$AR$2,1,BX$3-Projects!$C$9+1),0)-IF(AND(Projects!$G$9="Yes",BX$3&gt;=Projects!$C$9,BX$3&lt;Projects!$C$9+Projects!$D$9),Projects!$B$9*(Assumptions!$B$10+Assumptions!$B$11+Assumptions!$B$12)/Projects!$D$9*0.95,0)-IF(AND(Projects!$G$9="Yes",BX$3=Projects!$C$9+Projects!$D$9-1),Projects!$B$9*(Assumptions!$B$10+Assumptions!$B$11+Assumptions!$B$12)*0.05,0)</f>
        <v/>
      </c>
      <c r="BY20" s="399">
        <f>IF(AND(Projects!$G$9="Yes",BY$3&gt;=Projects!$C$9,BY$3&lt;Projects!$C$9+Projects!$D$9),Projects!$B$9*INDEX(Curves!$B$2:$AR$2,1,BY$3-Projects!$C$9+1),0)-IF(AND(Projects!$G$9="Yes",BY$3&gt;=Projects!$C$9,BY$3&lt;Projects!$C$9+Projects!$D$9),Projects!$B$9*(Assumptions!$B$10+Assumptions!$B$11+Assumptions!$B$12)/Projects!$D$9*0.95,0)-IF(AND(Projects!$G$9="Yes",BY$3=Projects!$C$9+Projects!$D$9-1),Projects!$B$9*(Assumptions!$B$10+Assumptions!$B$11+Assumptions!$B$12)*0.05,0)</f>
        <v/>
      </c>
      <c r="BZ20" s="399">
        <f>IF(AND(Projects!$G$9="Yes",BZ$3&gt;=Projects!$C$9,BZ$3&lt;Projects!$C$9+Projects!$D$9),Projects!$B$9*INDEX(Curves!$B$2:$AR$2,1,BZ$3-Projects!$C$9+1),0)-IF(AND(Projects!$G$9="Yes",BZ$3&gt;=Projects!$C$9,BZ$3&lt;Projects!$C$9+Projects!$D$9),Projects!$B$9*(Assumptions!$B$10+Assumptions!$B$11+Assumptions!$B$12)/Projects!$D$9*0.95,0)-IF(AND(Projects!$G$9="Yes",BZ$3=Projects!$C$9+Projects!$D$9-1),Projects!$B$9*(Assumptions!$B$10+Assumptions!$B$11+Assumptions!$B$12)*0.05,0)</f>
        <v/>
      </c>
      <c r="CA20" s="399">
        <f>IF(AND(Projects!$G$9="Yes",CA$3&gt;=Projects!$C$9,CA$3&lt;Projects!$C$9+Projects!$D$9),Projects!$B$9*INDEX(Curves!$B$2:$AR$2,1,CA$3-Projects!$C$9+1),0)-IF(AND(Projects!$G$9="Yes",CA$3&gt;=Projects!$C$9,CA$3&lt;Projects!$C$9+Projects!$D$9),Projects!$B$9*(Assumptions!$B$10+Assumptions!$B$11+Assumptions!$B$12)/Projects!$D$9*0.95,0)-IF(AND(Projects!$G$9="Yes",CA$3=Projects!$C$9+Projects!$D$9-1),Projects!$B$9*(Assumptions!$B$10+Assumptions!$B$11+Assumptions!$B$12)*0.05,0)</f>
        <v/>
      </c>
      <c r="CB20" s="399">
        <f>IF(AND(Projects!$G$9="Yes",CB$3&gt;=Projects!$C$9,CB$3&lt;Projects!$C$9+Projects!$D$9),Projects!$B$9*INDEX(Curves!$B$2:$AR$2,1,CB$3-Projects!$C$9+1),0)-IF(AND(Projects!$G$9="Yes",CB$3&gt;=Projects!$C$9,CB$3&lt;Projects!$C$9+Projects!$D$9),Projects!$B$9*(Assumptions!$B$10+Assumptions!$B$11+Assumptions!$B$12)/Projects!$D$9*0.95,0)-IF(AND(Projects!$G$9="Yes",CB$3=Projects!$C$9+Projects!$D$9-1),Projects!$B$9*(Assumptions!$B$10+Assumptions!$B$11+Assumptions!$B$12)*0.05,0)</f>
        <v/>
      </c>
      <c r="CC20" s="399">
        <f>IF(AND(Projects!$G$9="Yes",CC$3&gt;=Projects!$C$9,CC$3&lt;Projects!$C$9+Projects!$D$9),Projects!$B$9*INDEX(Curves!$B$2:$AR$2,1,CC$3-Projects!$C$9+1),0)-IF(AND(Projects!$G$9="Yes",CC$3&gt;=Projects!$C$9,CC$3&lt;Projects!$C$9+Projects!$D$9),Projects!$B$9*(Assumptions!$B$10+Assumptions!$B$11+Assumptions!$B$12)/Projects!$D$9*0.95,0)-IF(AND(Projects!$G$9="Yes",CC$3=Projects!$C$9+Projects!$D$9-1),Projects!$B$9*(Assumptions!$B$10+Assumptions!$B$11+Assumptions!$B$12)*0.05,0)</f>
        <v/>
      </c>
      <c r="CD20" s="399">
        <f>IF(AND(Projects!$G$9="Yes",CD$3&gt;=Projects!$C$9,CD$3&lt;Projects!$C$9+Projects!$D$9),Projects!$B$9*INDEX(Curves!$B$2:$AR$2,1,CD$3-Projects!$C$9+1),0)-IF(AND(Projects!$G$9="Yes",CD$3&gt;=Projects!$C$9,CD$3&lt;Projects!$C$9+Projects!$D$9),Projects!$B$9*(Assumptions!$B$10+Assumptions!$B$11+Assumptions!$B$12)/Projects!$D$9*0.95,0)-IF(AND(Projects!$G$9="Yes",CD$3=Projects!$C$9+Projects!$D$9-1),Projects!$B$9*(Assumptions!$B$10+Assumptions!$B$11+Assumptions!$B$12)*0.05,0)</f>
        <v/>
      </c>
      <c r="CE20" s="399">
        <f>IF(AND(Projects!$G$9="Yes",CE$3&gt;=Projects!$C$9,CE$3&lt;Projects!$C$9+Projects!$D$9),Projects!$B$9*INDEX(Curves!$B$2:$AR$2,1,CE$3-Projects!$C$9+1),0)-IF(AND(Projects!$G$9="Yes",CE$3&gt;=Projects!$C$9,CE$3&lt;Projects!$C$9+Projects!$D$9),Projects!$B$9*(Assumptions!$B$10+Assumptions!$B$11+Assumptions!$B$12)/Projects!$D$9*0.95,0)-IF(AND(Projects!$G$9="Yes",CE$3=Projects!$C$9+Projects!$D$9-1),Projects!$B$9*(Assumptions!$B$10+Assumptions!$B$11+Assumptions!$B$12)*0.05,0)</f>
        <v/>
      </c>
      <c r="CF20" s="399">
        <f>IF(AND(Projects!$G$9="Yes",CF$3&gt;=Projects!$C$9,CF$3&lt;Projects!$C$9+Projects!$D$9),Projects!$B$9*INDEX(Curves!$B$2:$AR$2,1,CF$3-Projects!$C$9+1),0)-IF(AND(Projects!$G$9="Yes",CF$3&gt;=Projects!$C$9,CF$3&lt;Projects!$C$9+Projects!$D$9),Projects!$B$9*(Assumptions!$B$10+Assumptions!$B$11+Assumptions!$B$12)/Projects!$D$9*0.95,0)-IF(AND(Projects!$G$9="Yes",CF$3=Projects!$C$9+Projects!$D$9-1),Projects!$B$9*(Assumptions!$B$10+Assumptions!$B$11+Assumptions!$B$12)*0.05,0)</f>
        <v/>
      </c>
      <c r="CG20" s="399">
        <f>IF(AND(Projects!$G$9="Yes",CG$3&gt;=Projects!$C$9,CG$3&lt;Projects!$C$9+Projects!$D$9),Projects!$B$9*INDEX(Curves!$B$2:$AR$2,1,CG$3-Projects!$C$9+1),0)-IF(AND(Projects!$G$9="Yes",CG$3&gt;=Projects!$C$9,CG$3&lt;Projects!$C$9+Projects!$D$9),Projects!$B$9*(Assumptions!$B$10+Assumptions!$B$11+Assumptions!$B$12)/Projects!$D$9*0.95,0)-IF(AND(Projects!$G$9="Yes",CG$3=Projects!$C$9+Projects!$D$9-1),Projects!$B$9*(Assumptions!$B$10+Assumptions!$B$11+Assumptions!$B$12)*0.05,0)</f>
        <v/>
      </c>
      <c r="CH20" s="399">
        <f>IF(AND(Projects!$G$9="Yes",CH$3&gt;=Projects!$C$9,CH$3&lt;Projects!$C$9+Projects!$D$9),Projects!$B$9*INDEX(Curves!$B$2:$AR$2,1,CH$3-Projects!$C$9+1),0)-IF(AND(Projects!$G$9="Yes",CH$3&gt;=Projects!$C$9,CH$3&lt;Projects!$C$9+Projects!$D$9),Projects!$B$9*(Assumptions!$B$10+Assumptions!$B$11+Assumptions!$B$12)/Projects!$D$9*0.95,0)-IF(AND(Projects!$G$9="Yes",CH$3=Projects!$C$9+Projects!$D$9-1),Projects!$B$9*(Assumptions!$B$10+Assumptions!$B$11+Assumptions!$B$12)*0.05,0)</f>
        <v/>
      </c>
      <c r="CI20" s="399">
        <f>IF(AND(Projects!$G$9="Yes",CI$3&gt;=Projects!$C$9,CI$3&lt;Projects!$C$9+Projects!$D$9),Projects!$B$9*INDEX(Curves!$B$2:$AR$2,1,CI$3-Projects!$C$9+1),0)-IF(AND(Projects!$G$9="Yes",CI$3&gt;=Projects!$C$9,CI$3&lt;Projects!$C$9+Projects!$D$9),Projects!$B$9*(Assumptions!$B$10+Assumptions!$B$11+Assumptions!$B$12)/Projects!$D$9*0.95,0)-IF(AND(Projects!$G$9="Yes",CI$3=Projects!$C$9+Projects!$D$9-1),Projects!$B$9*(Assumptions!$B$10+Assumptions!$B$11+Assumptions!$B$12)*0.05,0)</f>
        <v/>
      </c>
      <c r="CJ20" s="399">
        <f>IF(AND(Projects!$G$9="Yes",CJ$3&gt;=Projects!$C$9,CJ$3&lt;Projects!$C$9+Projects!$D$9),Projects!$B$9*INDEX(Curves!$B$2:$AR$2,1,CJ$3-Projects!$C$9+1),0)-IF(AND(Projects!$G$9="Yes",CJ$3&gt;=Projects!$C$9,CJ$3&lt;Projects!$C$9+Projects!$D$9),Projects!$B$9*(Assumptions!$B$10+Assumptions!$B$11+Assumptions!$B$12)/Projects!$D$9*0.95,0)-IF(AND(Projects!$G$9="Yes",CJ$3=Projects!$C$9+Projects!$D$9-1),Projects!$B$9*(Assumptions!$B$10+Assumptions!$B$11+Assumptions!$B$12)*0.05,0)</f>
        <v/>
      </c>
      <c r="CK20" s="399">
        <f>IF(AND(Projects!$G$9="Yes",CK$3&gt;=Projects!$C$9,CK$3&lt;Projects!$C$9+Projects!$D$9),Projects!$B$9*INDEX(Curves!$B$2:$AR$2,1,CK$3-Projects!$C$9+1),0)-IF(AND(Projects!$G$9="Yes",CK$3&gt;=Projects!$C$9,CK$3&lt;Projects!$C$9+Projects!$D$9),Projects!$B$9*(Assumptions!$B$10+Assumptions!$B$11+Assumptions!$B$12)/Projects!$D$9*0.95,0)-IF(AND(Projects!$G$9="Yes",CK$3=Projects!$C$9+Projects!$D$9-1),Projects!$B$9*(Assumptions!$B$10+Assumptions!$B$11+Assumptions!$B$12)*0.05,0)</f>
        <v/>
      </c>
      <c r="CL20" s="399">
        <f>IF(AND(Projects!$G$9="Yes",CL$3&gt;=Projects!$C$9,CL$3&lt;Projects!$C$9+Projects!$D$9),Projects!$B$9*INDEX(Curves!$B$2:$AR$2,1,CL$3-Projects!$C$9+1),0)-IF(AND(Projects!$G$9="Yes",CL$3&gt;=Projects!$C$9,CL$3&lt;Projects!$C$9+Projects!$D$9),Projects!$B$9*(Assumptions!$B$10+Assumptions!$B$11+Assumptions!$B$12)/Projects!$D$9*0.95,0)-IF(AND(Projects!$G$9="Yes",CL$3=Projects!$C$9+Projects!$D$9-1),Projects!$B$9*(Assumptions!$B$10+Assumptions!$B$11+Assumptions!$B$12)*0.05,0)</f>
        <v/>
      </c>
      <c r="CM20" s="399">
        <f>IF(AND(Projects!$G$9="Yes",CM$3&gt;=Projects!$C$9,CM$3&lt;Projects!$C$9+Projects!$D$9),Projects!$B$9*INDEX(Curves!$B$2:$AR$2,1,CM$3-Projects!$C$9+1),0)-IF(AND(Projects!$G$9="Yes",CM$3&gt;=Projects!$C$9,CM$3&lt;Projects!$C$9+Projects!$D$9),Projects!$B$9*(Assumptions!$B$10+Assumptions!$B$11+Assumptions!$B$12)/Projects!$D$9*0.95,0)-IF(AND(Projects!$G$9="Yes",CM$3=Projects!$C$9+Projects!$D$9-1),Projects!$B$9*(Assumptions!$B$10+Assumptions!$B$11+Assumptions!$B$12)*0.05,0)</f>
        <v/>
      </c>
      <c r="CN20" s="399">
        <f>IF(AND(Projects!$G$9="Yes",CN$3&gt;=Projects!$C$9,CN$3&lt;Projects!$C$9+Projects!$D$9),Projects!$B$9*INDEX(Curves!$B$2:$AR$2,1,CN$3-Projects!$C$9+1),0)-IF(AND(Projects!$G$9="Yes",CN$3&gt;=Projects!$C$9,CN$3&lt;Projects!$C$9+Projects!$D$9),Projects!$B$9*(Assumptions!$B$10+Assumptions!$B$11+Assumptions!$B$12)/Projects!$D$9*0.95,0)-IF(AND(Projects!$G$9="Yes",CN$3=Projects!$C$9+Projects!$D$9-1),Projects!$B$9*(Assumptions!$B$10+Assumptions!$B$11+Assumptions!$B$12)*0.05,0)</f>
        <v/>
      </c>
      <c r="CO20" s="399">
        <f>IF(AND(Projects!$G$9="Yes",CO$3&gt;=Projects!$C$9,CO$3&lt;Projects!$C$9+Projects!$D$9),Projects!$B$9*INDEX(Curves!$B$2:$AR$2,1,CO$3-Projects!$C$9+1),0)-IF(AND(Projects!$G$9="Yes",CO$3&gt;=Projects!$C$9,CO$3&lt;Projects!$C$9+Projects!$D$9),Projects!$B$9*(Assumptions!$B$10+Assumptions!$B$11+Assumptions!$B$12)/Projects!$D$9*0.95,0)-IF(AND(Projects!$G$9="Yes",CO$3=Projects!$C$9+Projects!$D$9-1),Projects!$B$9*(Assumptions!$B$10+Assumptions!$B$11+Assumptions!$B$12)*0.05,0)</f>
        <v/>
      </c>
      <c r="CP20" s="399">
        <f>IF(AND(Projects!$G$9="Yes",CP$3&gt;=Projects!$C$9,CP$3&lt;Projects!$C$9+Projects!$D$9),Projects!$B$9*INDEX(Curves!$B$2:$AR$2,1,CP$3-Projects!$C$9+1),0)-IF(AND(Projects!$G$9="Yes",CP$3&gt;=Projects!$C$9,CP$3&lt;Projects!$C$9+Projects!$D$9),Projects!$B$9*(Assumptions!$B$10+Assumptions!$B$11+Assumptions!$B$12)/Projects!$D$9*0.95,0)-IF(AND(Projects!$G$9="Yes",CP$3=Projects!$C$9+Projects!$D$9-1),Projects!$B$9*(Assumptions!$B$10+Assumptions!$B$11+Assumptions!$B$12)*0.05,0)</f>
        <v/>
      </c>
      <c r="CQ20" s="399">
        <f>IF(AND(Projects!$G$9="Yes",CQ$3&gt;=Projects!$C$9,CQ$3&lt;Projects!$C$9+Projects!$D$9),Projects!$B$9*INDEX(Curves!$B$2:$AR$2,1,CQ$3-Projects!$C$9+1),0)-IF(AND(Projects!$G$9="Yes",CQ$3&gt;=Projects!$C$9,CQ$3&lt;Projects!$C$9+Projects!$D$9),Projects!$B$9*(Assumptions!$B$10+Assumptions!$B$11+Assumptions!$B$12)/Projects!$D$9*0.95,0)-IF(AND(Projects!$G$9="Yes",CQ$3=Projects!$C$9+Projects!$D$9-1),Projects!$B$9*(Assumptions!$B$10+Assumptions!$B$11+Assumptions!$B$12)*0.05,0)</f>
        <v/>
      </c>
      <c r="CR20" s="399">
        <f>IF(AND(Projects!$G$9="Yes",CR$3&gt;=Projects!$C$9,CR$3&lt;Projects!$C$9+Projects!$D$9),Projects!$B$9*INDEX(Curves!$B$2:$AR$2,1,CR$3-Projects!$C$9+1),0)-IF(AND(Projects!$G$9="Yes",CR$3&gt;=Projects!$C$9,CR$3&lt;Projects!$C$9+Projects!$D$9),Projects!$B$9*(Assumptions!$B$10+Assumptions!$B$11+Assumptions!$B$12)/Projects!$D$9*0.95,0)-IF(AND(Projects!$G$9="Yes",CR$3=Projects!$C$9+Projects!$D$9-1),Projects!$B$9*(Assumptions!$B$10+Assumptions!$B$11+Assumptions!$B$12)*0.05,0)</f>
        <v/>
      </c>
      <c r="CS20" s="399">
        <f>IF(AND(Projects!$G$9="Yes",CS$3&gt;=Projects!$C$9,CS$3&lt;Projects!$C$9+Projects!$D$9),Projects!$B$9*INDEX(Curves!$B$2:$AR$2,1,CS$3-Projects!$C$9+1),0)-IF(AND(Projects!$G$9="Yes",CS$3&gt;=Projects!$C$9,CS$3&lt;Projects!$C$9+Projects!$D$9),Projects!$B$9*(Assumptions!$B$10+Assumptions!$B$11+Assumptions!$B$12)/Projects!$D$9*0.95,0)-IF(AND(Projects!$G$9="Yes",CS$3=Projects!$C$9+Projects!$D$9-1),Projects!$B$9*(Assumptions!$B$10+Assumptions!$B$11+Assumptions!$B$12)*0.05,0)</f>
        <v/>
      </c>
      <c r="CT20" s="399">
        <f>IF(AND(Projects!$G$9="Yes",CT$3&gt;=Projects!$C$9,CT$3&lt;Projects!$C$9+Projects!$D$9),Projects!$B$9*INDEX(Curves!$B$2:$AR$2,1,CT$3-Projects!$C$9+1),0)-IF(AND(Projects!$G$9="Yes",CT$3&gt;=Projects!$C$9,CT$3&lt;Projects!$C$9+Projects!$D$9),Projects!$B$9*(Assumptions!$B$10+Assumptions!$B$11+Assumptions!$B$12)/Projects!$D$9*0.95,0)-IF(AND(Projects!$G$9="Yes",CT$3=Projects!$C$9+Projects!$D$9-1),Projects!$B$9*(Assumptions!$B$10+Assumptions!$B$11+Assumptions!$B$12)*0.05,0)</f>
        <v/>
      </c>
      <c r="CU20" s="399">
        <f>IF(AND(Projects!$G$9="Yes",CU$3&gt;=Projects!$C$9,CU$3&lt;Projects!$C$9+Projects!$D$9),Projects!$B$9*INDEX(Curves!$B$2:$AR$2,1,CU$3-Projects!$C$9+1),0)-IF(AND(Projects!$G$9="Yes",CU$3&gt;=Projects!$C$9,CU$3&lt;Projects!$C$9+Projects!$D$9),Projects!$B$9*(Assumptions!$B$10+Assumptions!$B$11+Assumptions!$B$12)/Projects!$D$9*0.95,0)-IF(AND(Projects!$G$9="Yes",CU$3=Projects!$C$9+Projects!$D$9-1),Projects!$B$9*(Assumptions!$B$10+Assumptions!$B$11+Assumptions!$B$12)*0.05,0)</f>
        <v/>
      </c>
      <c r="CV20" s="399">
        <f>IF(AND(Projects!$G$9="Yes",CV$3&gt;=Projects!$C$9,CV$3&lt;Projects!$C$9+Projects!$D$9),Projects!$B$9*INDEX(Curves!$B$2:$AR$2,1,CV$3-Projects!$C$9+1),0)-IF(AND(Projects!$G$9="Yes",CV$3&gt;=Projects!$C$9,CV$3&lt;Projects!$C$9+Projects!$D$9),Projects!$B$9*(Assumptions!$B$10+Assumptions!$B$11+Assumptions!$B$12)/Projects!$D$9*0.95,0)-IF(AND(Projects!$G$9="Yes",CV$3=Projects!$C$9+Projects!$D$9-1),Projects!$B$9*(Assumptions!$B$10+Assumptions!$B$11+Assumptions!$B$12)*0.05,0)</f>
        <v/>
      </c>
      <c r="CW20" s="399">
        <f>IF(AND(Projects!$G$9="Yes",CW$3&gt;=Projects!$C$9,CW$3&lt;Projects!$C$9+Projects!$D$9),Projects!$B$9*INDEX(Curves!$B$2:$AR$2,1,CW$3-Projects!$C$9+1),0)-IF(AND(Projects!$G$9="Yes",CW$3&gt;=Projects!$C$9,CW$3&lt;Projects!$C$9+Projects!$D$9),Projects!$B$9*(Assumptions!$B$10+Assumptions!$B$11+Assumptions!$B$12)/Projects!$D$9*0.95,0)-IF(AND(Projects!$G$9="Yes",CW$3=Projects!$C$9+Projects!$D$9-1),Projects!$B$9*(Assumptions!$B$10+Assumptions!$B$11+Assumptions!$B$12)*0.05,0)</f>
        <v/>
      </c>
      <c r="CX20" s="399">
        <f>IF(AND(Projects!$G$9="Yes",CX$3&gt;=Projects!$C$9,CX$3&lt;Projects!$C$9+Projects!$D$9),Projects!$B$9*INDEX(Curves!$B$2:$AR$2,1,CX$3-Projects!$C$9+1),0)-IF(AND(Projects!$G$9="Yes",CX$3&gt;=Projects!$C$9,CX$3&lt;Projects!$C$9+Projects!$D$9),Projects!$B$9*(Assumptions!$B$10+Assumptions!$B$11+Assumptions!$B$12)/Projects!$D$9*0.95,0)-IF(AND(Projects!$G$9="Yes",CX$3=Projects!$C$9+Projects!$D$9-1),Projects!$B$9*(Assumptions!$B$10+Assumptions!$B$11+Assumptions!$B$12)*0.05,0)</f>
        <v/>
      </c>
      <c r="CY20" s="399">
        <f>IF(AND(Projects!$G$9="Yes",CY$3&gt;=Projects!$C$9,CY$3&lt;Projects!$C$9+Projects!$D$9),Projects!$B$9*INDEX(Curves!$B$2:$AR$2,1,CY$3-Projects!$C$9+1),0)-IF(AND(Projects!$G$9="Yes",CY$3&gt;=Projects!$C$9,CY$3&lt;Projects!$C$9+Projects!$D$9),Projects!$B$9*(Assumptions!$B$10+Assumptions!$B$11+Assumptions!$B$12)/Projects!$D$9*0.95,0)-IF(AND(Projects!$G$9="Yes",CY$3=Projects!$C$9+Projects!$D$9-1),Projects!$B$9*(Assumptions!$B$10+Assumptions!$B$11+Assumptions!$B$12)*0.05,0)</f>
        <v/>
      </c>
      <c r="CZ20" s="399">
        <f>IF(AND(Projects!$G$9="Yes",CZ$3&gt;=Projects!$C$9,CZ$3&lt;Projects!$C$9+Projects!$D$9),Projects!$B$9*INDEX(Curves!$B$2:$AR$2,1,CZ$3-Projects!$C$9+1),0)-IF(AND(Projects!$G$9="Yes",CZ$3&gt;=Projects!$C$9,CZ$3&lt;Projects!$C$9+Projects!$D$9),Projects!$B$9*(Assumptions!$B$10+Assumptions!$B$11+Assumptions!$B$12)/Projects!$D$9*0.95,0)-IF(AND(Projects!$G$9="Yes",CZ$3=Projects!$C$9+Projects!$D$9-1),Projects!$B$9*(Assumptions!$B$10+Assumptions!$B$11+Assumptions!$B$12)*0.05,0)</f>
        <v/>
      </c>
      <c r="DA20" s="399">
        <f>IF(AND(Projects!$G$9="Yes",DA$3&gt;=Projects!$C$9,DA$3&lt;Projects!$C$9+Projects!$D$9),Projects!$B$9*INDEX(Curves!$B$2:$AR$2,1,DA$3-Projects!$C$9+1),0)-IF(AND(Projects!$G$9="Yes",DA$3&gt;=Projects!$C$9,DA$3&lt;Projects!$C$9+Projects!$D$9),Projects!$B$9*(Assumptions!$B$10+Assumptions!$B$11+Assumptions!$B$12)/Projects!$D$9*0.95,0)-IF(AND(Projects!$G$9="Yes",DA$3=Projects!$C$9+Projects!$D$9-1),Projects!$B$9*(Assumptions!$B$10+Assumptions!$B$11+Assumptions!$B$12)*0.05,0)</f>
        <v/>
      </c>
      <c r="DB20" s="399">
        <f>IF(AND(Projects!$G$9="Yes",DB$3&gt;=Projects!$C$9,DB$3&lt;Projects!$C$9+Projects!$D$9),Projects!$B$9*INDEX(Curves!$B$2:$AR$2,1,DB$3-Projects!$C$9+1),0)-IF(AND(Projects!$G$9="Yes",DB$3&gt;=Projects!$C$9,DB$3&lt;Projects!$C$9+Projects!$D$9),Projects!$B$9*(Assumptions!$B$10+Assumptions!$B$11+Assumptions!$B$12)/Projects!$D$9*0.95,0)-IF(AND(Projects!$G$9="Yes",DB$3=Projects!$C$9+Projects!$D$9-1),Projects!$B$9*(Assumptions!$B$10+Assumptions!$B$11+Assumptions!$B$12)*0.05,0)</f>
        <v/>
      </c>
      <c r="DC20" s="399">
        <f>IF(AND(Projects!$G$9="Yes",DC$3&gt;=Projects!$C$9,DC$3&lt;Projects!$C$9+Projects!$D$9),Projects!$B$9*INDEX(Curves!$B$2:$AR$2,1,DC$3-Projects!$C$9+1),0)-IF(AND(Projects!$G$9="Yes",DC$3&gt;=Projects!$C$9,DC$3&lt;Projects!$C$9+Projects!$D$9),Projects!$B$9*(Assumptions!$B$10+Assumptions!$B$11+Assumptions!$B$12)/Projects!$D$9*0.95,0)-IF(AND(Projects!$G$9="Yes",DC$3=Projects!$C$9+Projects!$D$9-1),Projects!$B$9*(Assumptions!$B$10+Assumptions!$B$11+Assumptions!$B$12)*0.05,0)</f>
        <v/>
      </c>
      <c r="DD20" s="399">
        <f>IF(AND(Projects!$G$9="Yes",DD$3&gt;=Projects!$C$9,DD$3&lt;Projects!$C$9+Projects!$D$9),Projects!$B$9*INDEX(Curves!$B$2:$AR$2,1,DD$3-Projects!$C$9+1),0)-IF(AND(Projects!$G$9="Yes",DD$3&gt;=Projects!$C$9,DD$3&lt;Projects!$C$9+Projects!$D$9),Projects!$B$9*(Assumptions!$B$10+Assumptions!$B$11+Assumptions!$B$12)/Projects!$D$9*0.95,0)-IF(AND(Projects!$G$9="Yes",DD$3=Projects!$C$9+Projects!$D$9-1),Projects!$B$9*(Assumptions!$B$10+Assumptions!$B$11+Assumptions!$B$12)*0.05,0)</f>
        <v/>
      </c>
      <c r="DE20" s="399">
        <f>IF(AND(Projects!$G$9="Yes",DE$3&gt;=Projects!$C$9,DE$3&lt;Projects!$C$9+Projects!$D$9),Projects!$B$9*INDEX(Curves!$B$2:$AR$2,1,DE$3-Projects!$C$9+1),0)-IF(AND(Projects!$G$9="Yes",DE$3&gt;=Projects!$C$9,DE$3&lt;Projects!$C$9+Projects!$D$9),Projects!$B$9*(Assumptions!$B$10+Assumptions!$B$11+Assumptions!$B$12)/Projects!$D$9*0.95,0)-IF(AND(Projects!$G$9="Yes",DE$3=Projects!$C$9+Projects!$D$9-1),Projects!$B$9*(Assumptions!$B$10+Assumptions!$B$11+Assumptions!$B$12)*0.05,0)</f>
        <v/>
      </c>
    </row>
    <row r="21" hidden="1" outlineLevel="1" ht="15" customFormat="1" customHeight="1" s="380">
      <c r="A21" s="407" t="inlineStr">
        <is>
          <t>Acama</t>
        </is>
      </c>
      <c r="B21" s="399" t="n">
        <v>0</v>
      </c>
      <c r="C21" s="399" t="n">
        <v>0</v>
      </c>
      <c r="D21" s="399" t="n">
        <v>0</v>
      </c>
      <c r="E21" s="399" t="n">
        <v>0</v>
      </c>
      <c r="F21" s="399">
        <f>IF(AND(Projects!$G$10="Yes",F$3&gt;=Projects!$C$10,F$3&lt;Projects!$C$10+Projects!$D$10),Projects!$B$10*INDEX(Curves!$B$3:$AR$3,1,F$3-Projects!$C$10+1),0)-IF(AND(Projects!$G$10="Yes",F$3&gt;=Projects!$C$10,F$3&lt;Projects!$C$10+Projects!$D$10),Projects!$B$10*(Assumptions!$B$10+Assumptions!$B$11+Assumptions!$B$12)/Projects!$D$10*0.95,0)-IF(AND(Projects!$G$10="Yes",F$3=Projects!$C$10+Projects!$D$10-1),Projects!$B$10*(Assumptions!$B$10+Assumptions!$B$11+Assumptions!$B$12)*0.05,0)</f>
        <v/>
      </c>
      <c r="G21" s="399">
        <f>IF(AND(Projects!$G$10="Yes",G$3&gt;=Projects!$C$10,G$3&lt;Projects!$C$10+Projects!$D$10),Projects!$B$10*INDEX(Curves!$B$3:$AR$3,1,G$3-Projects!$C$10+1),0)-IF(AND(Projects!$G$10="Yes",G$3&gt;=Projects!$C$10,G$3&lt;Projects!$C$10+Projects!$D$10),Projects!$B$10*(Assumptions!$B$10+Assumptions!$B$11+Assumptions!$B$12)/Projects!$D$10*0.95,0)-IF(AND(Projects!$G$10="Yes",G$3=Projects!$C$10+Projects!$D$10-1),Projects!$B$10*(Assumptions!$B$10+Assumptions!$B$11+Assumptions!$B$12)*0.05,0)</f>
        <v/>
      </c>
      <c r="H21" s="399">
        <f>IF(AND(Projects!$G$10="Yes",H$3&gt;=Projects!$C$10,H$3&lt;Projects!$C$10+Projects!$D$10),Projects!$B$10*INDEX(Curves!$B$3:$AR$3,1,H$3-Projects!$C$10+1),0)-IF(AND(Projects!$G$10="Yes",H$3&gt;=Projects!$C$10,H$3&lt;Projects!$C$10+Projects!$D$10),Projects!$B$10*(Assumptions!$B$10+Assumptions!$B$11+Assumptions!$B$12)/Projects!$D$10*0.95,0)-IF(AND(Projects!$G$10="Yes",H$3=Projects!$C$10+Projects!$D$10-1),Projects!$B$10*(Assumptions!$B$10+Assumptions!$B$11+Assumptions!$B$12)*0.05,0)</f>
        <v/>
      </c>
      <c r="I21" s="399">
        <f>IF(AND(Projects!$G$10="Yes",I$3&gt;=Projects!$C$10,I$3&lt;Projects!$C$10+Projects!$D$10),Projects!$B$10*INDEX(Curves!$B$3:$AR$3,1,I$3-Projects!$C$10+1),0)-IF(AND(Projects!$G$10="Yes",I$3&gt;=Projects!$C$10,I$3&lt;Projects!$C$10+Projects!$D$10),Projects!$B$10*(Assumptions!$B$10+Assumptions!$B$11+Assumptions!$B$12)/Projects!$D$10*0.95,0)-IF(AND(Projects!$G$10="Yes",I$3=Projects!$C$10+Projects!$D$10-1),Projects!$B$10*(Assumptions!$B$10+Assumptions!$B$11+Assumptions!$B$12)*0.05,0)</f>
        <v/>
      </c>
      <c r="J21" s="399">
        <f>IF(AND(Projects!$G$10="Yes",J$3&gt;=Projects!$C$10,J$3&lt;Projects!$C$10+Projects!$D$10),Projects!$B$10*INDEX(Curves!$B$3:$AR$3,1,J$3-Projects!$C$10+1),0)-IF(AND(Projects!$G$10="Yes",J$3&gt;=Projects!$C$10,J$3&lt;Projects!$C$10+Projects!$D$10),Projects!$B$10*(Assumptions!$B$10+Assumptions!$B$11+Assumptions!$B$12)/Projects!$D$10*0.95,0)-IF(AND(Projects!$G$10="Yes",J$3=Projects!$C$10+Projects!$D$10-1),Projects!$B$10*(Assumptions!$B$10+Assumptions!$B$11+Assumptions!$B$12)*0.05,0)</f>
        <v/>
      </c>
      <c r="K21" s="399">
        <f>IF(AND(Projects!$G$10="Yes",K$3&gt;=Projects!$C$10,K$3&lt;Projects!$C$10+Projects!$D$10),Projects!$B$10*INDEX(Curves!$B$3:$AR$3,1,K$3-Projects!$C$10+1),0)-IF(AND(Projects!$G$10="Yes",K$3&gt;=Projects!$C$10,K$3&lt;Projects!$C$10+Projects!$D$10),Projects!$B$10*(Assumptions!$B$10+Assumptions!$B$11+Assumptions!$B$12)/Projects!$D$10*0.95,0)-IF(AND(Projects!$G$10="Yes",K$3=Projects!$C$10+Projects!$D$10-1),Projects!$B$10*(Assumptions!$B$10+Assumptions!$B$11+Assumptions!$B$12)*0.05,0)</f>
        <v/>
      </c>
      <c r="L21" s="399">
        <f>IF(AND(Projects!$G$10="Yes",L$3&gt;=Projects!$C$10,L$3&lt;Projects!$C$10+Projects!$D$10),Projects!$B$10*INDEX(Curves!$B$3:$AR$3,1,L$3-Projects!$C$10+1),0)-IF(AND(Projects!$G$10="Yes",L$3&gt;=Projects!$C$10,L$3&lt;Projects!$C$10+Projects!$D$10),Projects!$B$10*(Assumptions!$B$10+Assumptions!$B$11+Assumptions!$B$12)/Projects!$D$10*0.95,0)-IF(AND(Projects!$G$10="Yes",L$3=Projects!$C$10+Projects!$D$10-1),Projects!$B$10*(Assumptions!$B$10+Assumptions!$B$11+Assumptions!$B$12)*0.05,0)</f>
        <v/>
      </c>
      <c r="M21" s="399">
        <f>IF(AND(Projects!$G$10="Yes",M$3&gt;=Projects!$C$10,M$3&lt;Projects!$C$10+Projects!$D$10),Projects!$B$10*INDEX(Curves!$B$3:$AR$3,1,M$3-Projects!$C$10+1),0)-IF(AND(Projects!$G$10="Yes",M$3&gt;=Projects!$C$10,M$3&lt;Projects!$C$10+Projects!$D$10),Projects!$B$10*(Assumptions!$B$10+Assumptions!$B$11+Assumptions!$B$12)/Projects!$D$10*0.95,0)-IF(AND(Projects!$G$10="Yes",M$3=Projects!$C$10+Projects!$D$10-1),Projects!$B$10*(Assumptions!$B$10+Assumptions!$B$11+Assumptions!$B$12)*0.05,0)</f>
        <v/>
      </c>
      <c r="N21" s="399">
        <f>IF(AND(Projects!$G$10="Yes",N$3&gt;=Projects!$C$10,N$3&lt;Projects!$C$10+Projects!$D$10),Projects!$B$10*INDEX(Curves!$B$3:$AR$3,1,N$3-Projects!$C$10+1),0)-IF(AND(Projects!$G$10="Yes",N$3&gt;=Projects!$C$10,N$3&lt;Projects!$C$10+Projects!$D$10),Projects!$B$10*(Assumptions!$B$10+Assumptions!$B$11+Assumptions!$B$12)/Projects!$D$10*0.95,0)-IF(AND(Projects!$G$10="Yes",N$3=Projects!$C$10+Projects!$D$10-1),Projects!$B$10*(Assumptions!$B$10+Assumptions!$B$11+Assumptions!$B$12)*0.05,0)</f>
        <v/>
      </c>
      <c r="O21" s="399">
        <f>IF(AND(Projects!$G$10="Yes",O$3&gt;=Projects!$C$10,O$3&lt;Projects!$C$10+Projects!$D$10),Projects!$B$10*INDEX(Curves!$B$3:$AR$3,1,O$3-Projects!$C$10+1),0)-IF(AND(Projects!$G$10="Yes",O$3&gt;=Projects!$C$10,O$3&lt;Projects!$C$10+Projects!$D$10),Projects!$B$10*(Assumptions!$B$10+Assumptions!$B$11+Assumptions!$B$12)/Projects!$D$10*0.95,0)-IF(AND(Projects!$G$10="Yes",O$3=Projects!$C$10+Projects!$D$10-1),Projects!$B$10*(Assumptions!$B$10+Assumptions!$B$11+Assumptions!$B$12)*0.05,0)</f>
        <v/>
      </c>
      <c r="P21" s="399">
        <f>IF(AND(Projects!$G$10="Yes",P$3&gt;=Projects!$C$10,P$3&lt;Projects!$C$10+Projects!$D$10),Projects!$B$10*INDEX(Curves!$B$3:$AR$3,1,P$3-Projects!$C$10+1),0)-IF(AND(Projects!$G$10="Yes",P$3&gt;=Projects!$C$10,P$3&lt;Projects!$C$10+Projects!$D$10),Projects!$B$10*(Assumptions!$B$10+Assumptions!$B$11+Assumptions!$B$12)/Projects!$D$10*0.95,0)-IF(AND(Projects!$G$10="Yes",P$3=Projects!$C$10+Projects!$D$10-1),Projects!$B$10*(Assumptions!$B$10+Assumptions!$B$11+Assumptions!$B$12)*0.05,0)</f>
        <v/>
      </c>
      <c r="Q21" s="399">
        <f>IF(AND(Projects!$G$10="Yes",Q$3&gt;=Projects!$C$10,Q$3&lt;Projects!$C$10+Projects!$D$10),Projects!$B$10*INDEX(Curves!$B$3:$AR$3,1,Q$3-Projects!$C$10+1),0)-IF(AND(Projects!$G$10="Yes",Q$3&gt;=Projects!$C$10,Q$3&lt;Projects!$C$10+Projects!$D$10),Projects!$B$10*(Assumptions!$B$10+Assumptions!$B$11+Assumptions!$B$12)/Projects!$D$10*0.95,0)-IF(AND(Projects!$G$10="Yes",Q$3=Projects!$C$10+Projects!$D$10-1),Projects!$B$10*(Assumptions!$B$10+Assumptions!$B$11+Assumptions!$B$12)*0.05,0)</f>
        <v/>
      </c>
      <c r="R21" s="399">
        <f>IF(AND(Projects!$G$10="Yes",R$3&gt;=Projects!$C$10,R$3&lt;Projects!$C$10+Projects!$D$10),Projects!$B$10*INDEX(Curves!$B$3:$AR$3,1,R$3-Projects!$C$10+1),0)-IF(AND(Projects!$G$10="Yes",R$3&gt;=Projects!$C$10,R$3&lt;Projects!$C$10+Projects!$D$10),Projects!$B$10*(Assumptions!$B$10+Assumptions!$B$11+Assumptions!$B$12)/Projects!$D$10*0.95,0)-IF(AND(Projects!$G$10="Yes",R$3=Projects!$C$10+Projects!$D$10-1),Projects!$B$10*(Assumptions!$B$10+Assumptions!$B$11+Assumptions!$B$12)*0.05,0)</f>
        <v/>
      </c>
      <c r="S21" s="399">
        <f>IF(AND(Projects!$G$10="Yes",S$3&gt;=Projects!$C$10,S$3&lt;Projects!$C$10+Projects!$D$10),Projects!$B$10*INDEX(Curves!$B$3:$AR$3,1,S$3-Projects!$C$10+1),0)-IF(AND(Projects!$G$10="Yes",S$3&gt;=Projects!$C$10,S$3&lt;Projects!$C$10+Projects!$D$10),Projects!$B$10*(Assumptions!$B$10+Assumptions!$B$11+Assumptions!$B$12)/Projects!$D$10*0.95,0)-IF(AND(Projects!$G$10="Yes",S$3=Projects!$C$10+Projects!$D$10-1),Projects!$B$10*(Assumptions!$B$10+Assumptions!$B$11+Assumptions!$B$12)*0.05,0)</f>
        <v/>
      </c>
      <c r="T21" s="399">
        <f>IF(AND(Projects!$G$10="Yes",T$3&gt;=Projects!$C$10,T$3&lt;Projects!$C$10+Projects!$D$10),Projects!$B$10*INDEX(Curves!$B$3:$AR$3,1,T$3-Projects!$C$10+1),0)-IF(AND(Projects!$G$10="Yes",T$3&gt;=Projects!$C$10,T$3&lt;Projects!$C$10+Projects!$D$10),Projects!$B$10*(Assumptions!$B$10+Assumptions!$B$11+Assumptions!$B$12)/Projects!$D$10*0.95,0)-IF(AND(Projects!$G$10="Yes",T$3=Projects!$C$10+Projects!$D$10-1),Projects!$B$10*(Assumptions!$B$10+Assumptions!$B$11+Assumptions!$B$12)*0.05,0)</f>
        <v/>
      </c>
      <c r="U21" s="399">
        <f>IF(AND(Projects!$G$10="Yes",U$3&gt;=Projects!$C$10,U$3&lt;Projects!$C$10+Projects!$D$10),Projects!$B$10*INDEX(Curves!$B$3:$AR$3,1,U$3-Projects!$C$10+1),0)-IF(AND(Projects!$G$10="Yes",U$3&gt;=Projects!$C$10,U$3&lt;Projects!$C$10+Projects!$D$10),Projects!$B$10*(Assumptions!$B$10+Assumptions!$B$11+Assumptions!$B$12)/Projects!$D$10*0.95,0)-IF(AND(Projects!$G$10="Yes",U$3=Projects!$C$10+Projects!$D$10-1),Projects!$B$10*(Assumptions!$B$10+Assumptions!$B$11+Assumptions!$B$12)*0.05,0)</f>
        <v/>
      </c>
      <c r="V21" s="399">
        <f>IF(AND(Projects!$G$10="Yes",V$3&gt;=Projects!$C$10,V$3&lt;Projects!$C$10+Projects!$D$10),Projects!$B$10*INDEX(Curves!$B$3:$AR$3,1,V$3-Projects!$C$10+1),0)-IF(AND(Projects!$G$10="Yes",V$3&gt;=Projects!$C$10,V$3&lt;Projects!$C$10+Projects!$D$10),Projects!$B$10*(Assumptions!$B$10+Assumptions!$B$11+Assumptions!$B$12)/Projects!$D$10*0.95,0)-IF(AND(Projects!$G$10="Yes",V$3=Projects!$C$10+Projects!$D$10-1),Projects!$B$10*(Assumptions!$B$10+Assumptions!$B$11+Assumptions!$B$12)*0.05,0)</f>
        <v/>
      </c>
      <c r="W21" s="399">
        <f>IF(AND(Projects!$G$10="Yes",W$3&gt;=Projects!$C$10,W$3&lt;Projects!$C$10+Projects!$D$10),Projects!$B$10*INDEX(Curves!$B$3:$AR$3,1,W$3-Projects!$C$10+1),0)-IF(AND(Projects!$G$10="Yes",W$3&gt;=Projects!$C$10,W$3&lt;Projects!$C$10+Projects!$D$10),Projects!$B$10*(Assumptions!$B$10+Assumptions!$B$11+Assumptions!$B$12)/Projects!$D$10*0.95,0)-IF(AND(Projects!$G$10="Yes",W$3=Projects!$C$10+Projects!$D$10-1),Projects!$B$10*(Assumptions!$B$10+Assumptions!$B$11+Assumptions!$B$12)*0.05,0)</f>
        <v/>
      </c>
      <c r="X21" s="399">
        <f>IF(AND(Projects!$G$10="Yes",X$3&gt;=Projects!$C$10,X$3&lt;Projects!$C$10+Projects!$D$10),Projects!$B$10*INDEX(Curves!$B$3:$AR$3,1,X$3-Projects!$C$10+1),0)-IF(AND(Projects!$G$10="Yes",X$3&gt;=Projects!$C$10,X$3&lt;Projects!$C$10+Projects!$D$10),Projects!$B$10*(Assumptions!$B$10+Assumptions!$B$11+Assumptions!$B$12)/Projects!$D$10*0.95,0)-IF(AND(Projects!$G$10="Yes",X$3=Projects!$C$10+Projects!$D$10-1),Projects!$B$10*(Assumptions!$B$10+Assumptions!$B$11+Assumptions!$B$12)*0.05,0)</f>
        <v/>
      </c>
      <c r="Y21" s="399">
        <f>IF(AND(Projects!$G$10="Yes",Y$3&gt;=Projects!$C$10,Y$3&lt;Projects!$C$10+Projects!$D$10),Projects!$B$10*INDEX(Curves!$B$3:$AR$3,1,Y$3-Projects!$C$10+1),0)-IF(AND(Projects!$G$10="Yes",Y$3&gt;=Projects!$C$10,Y$3&lt;Projects!$C$10+Projects!$D$10),Projects!$B$10*(Assumptions!$B$10+Assumptions!$B$11+Assumptions!$B$12)/Projects!$D$10*0.95,0)-IF(AND(Projects!$G$10="Yes",Y$3=Projects!$C$10+Projects!$D$10-1),Projects!$B$10*(Assumptions!$B$10+Assumptions!$B$11+Assumptions!$B$12)*0.05,0)</f>
        <v/>
      </c>
      <c r="Z21" s="399">
        <f>IF(AND(Projects!$G$10="Yes",Z$3&gt;=Projects!$C$10,Z$3&lt;Projects!$C$10+Projects!$D$10),Projects!$B$10*INDEX(Curves!$B$3:$AR$3,1,Z$3-Projects!$C$10+1),0)-IF(AND(Projects!$G$10="Yes",Z$3&gt;=Projects!$C$10,Z$3&lt;Projects!$C$10+Projects!$D$10),Projects!$B$10*(Assumptions!$B$10+Assumptions!$B$11+Assumptions!$B$12)/Projects!$D$10*0.95,0)-IF(AND(Projects!$G$10="Yes",Z$3=Projects!$C$10+Projects!$D$10-1),Projects!$B$10*(Assumptions!$B$10+Assumptions!$B$11+Assumptions!$B$12)*0.05,0)</f>
        <v/>
      </c>
      <c r="AA21" s="399">
        <f>IF(AND(Projects!$G$10="Yes",AA$3&gt;=Projects!$C$10,AA$3&lt;Projects!$C$10+Projects!$D$10),Projects!$B$10*INDEX(Curves!$B$3:$AR$3,1,AA$3-Projects!$C$10+1),0)-IF(AND(Projects!$G$10="Yes",AA$3&gt;=Projects!$C$10,AA$3&lt;Projects!$C$10+Projects!$D$10),Projects!$B$10*(Assumptions!$B$10+Assumptions!$B$11+Assumptions!$B$12)/Projects!$D$10*0.95,0)-IF(AND(Projects!$G$10="Yes",AA$3=Projects!$C$10+Projects!$D$10-1),Projects!$B$10*(Assumptions!$B$10+Assumptions!$B$11+Assumptions!$B$12)*0.05,0)</f>
        <v/>
      </c>
      <c r="AB21" s="399">
        <f>IF(AND(Projects!$G$10="Yes",AB$3&gt;=Projects!$C$10,AB$3&lt;Projects!$C$10+Projects!$D$10),Projects!$B$10*INDEX(Curves!$B$3:$AR$3,1,AB$3-Projects!$C$10+1),0)-IF(AND(Projects!$G$10="Yes",AB$3&gt;=Projects!$C$10,AB$3&lt;Projects!$C$10+Projects!$D$10),Projects!$B$10*(Assumptions!$B$10+Assumptions!$B$11+Assumptions!$B$12)/Projects!$D$10*0.95,0)-IF(AND(Projects!$G$10="Yes",AB$3=Projects!$C$10+Projects!$D$10-1),Projects!$B$10*(Assumptions!$B$10+Assumptions!$B$11+Assumptions!$B$12)*0.05,0)</f>
        <v/>
      </c>
      <c r="AC21" s="399">
        <f>IF(AND(Projects!$G$10="Yes",AC$3&gt;=Projects!$C$10,AC$3&lt;Projects!$C$10+Projects!$D$10),Projects!$B$10*INDEX(Curves!$B$3:$AR$3,1,AC$3-Projects!$C$10+1),0)-IF(AND(Projects!$G$10="Yes",AC$3&gt;=Projects!$C$10,AC$3&lt;Projects!$C$10+Projects!$D$10),Projects!$B$10*(Assumptions!$B$10+Assumptions!$B$11+Assumptions!$B$12)/Projects!$D$10*0.95,0)-IF(AND(Projects!$G$10="Yes",AC$3=Projects!$C$10+Projects!$D$10-1),Projects!$B$10*(Assumptions!$B$10+Assumptions!$B$11+Assumptions!$B$12)*0.05,0)</f>
        <v/>
      </c>
      <c r="AD21" s="399">
        <f>IF(AND(Projects!$G$10="Yes",AD$3&gt;=Projects!$C$10,AD$3&lt;Projects!$C$10+Projects!$D$10),Projects!$B$10*INDEX(Curves!$B$3:$AR$3,1,AD$3-Projects!$C$10+1),0)-IF(AND(Projects!$G$10="Yes",AD$3&gt;=Projects!$C$10,AD$3&lt;Projects!$C$10+Projects!$D$10),Projects!$B$10*(Assumptions!$B$10+Assumptions!$B$11+Assumptions!$B$12)/Projects!$D$10*0.95,0)-IF(AND(Projects!$G$10="Yes",AD$3=Projects!$C$10+Projects!$D$10-1),Projects!$B$10*(Assumptions!$B$10+Assumptions!$B$11+Assumptions!$B$12)*0.05,0)</f>
        <v/>
      </c>
      <c r="AE21" s="399">
        <f>IF(AND(Projects!$G$10="Yes",AE$3&gt;=Projects!$C$10,AE$3&lt;Projects!$C$10+Projects!$D$10),Projects!$B$10*INDEX(Curves!$B$3:$AR$3,1,AE$3-Projects!$C$10+1),0)-IF(AND(Projects!$G$10="Yes",AE$3&gt;=Projects!$C$10,AE$3&lt;Projects!$C$10+Projects!$D$10),Projects!$B$10*(Assumptions!$B$10+Assumptions!$B$11+Assumptions!$B$12)/Projects!$D$10*0.95,0)-IF(AND(Projects!$G$10="Yes",AE$3=Projects!$C$10+Projects!$D$10-1),Projects!$B$10*(Assumptions!$B$10+Assumptions!$B$11+Assumptions!$B$12)*0.05,0)</f>
        <v/>
      </c>
      <c r="AF21" s="399">
        <f>IF(AND(Projects!$G$10="Yes",AF$3&gt;=Projects!$C$10,AF$3&lt;Projects!$C$10+Projects!$D$10),Projects!$B$10*INDEX(Curves!$B$3:$AR$3,1,AF$3-Projects!$C$10+1),0)-IF(AND(Projects!$G$10="Yes",AF$3&gt;=Projects!$C$10,AF$3&lt;Projects!$C$10+Projects!$D$10),Projects!$B$10*(Assumptions!$B$10+Assumptions!$B$11+Assumptions!$B$12)/Projects!$D$10*0.95,0)-IF(AND(Projects!$G$10="Yes",AF$3=Projects!$C$10+Projects!$D$10-1),Projects!$B$10*(Assumptions!$B$10+Assumptions!$B$11+Assumptions!$B$12)*0.05,0)</f>
        <v/>
      </c>
      <c r="AG21" s="399">
        <f>IF(AND(Projects!$G$10="Yes",AG$3&gt;=Projects!$C$10,AG$3&lt;Projects!$C$10+Projects!$D$10),Projects!$B$10*INDEX(Curves!$B$3:$AR$3,1,AG$3-Projects!$C$10+1),0)-IF(AND(Projects!$G$10="Yes",AG$3&gt;=Projects!$C$10,AG$3&lt;Projects!$C$10+Projects!$D$10),Projects!$B$10*(Assumptions!$B$10+Assumptions!$B$11+Assumptions!$B$12)/Projects!$D$10*0.95,0)-IF(AND(Projects!$G$10="Yes",AG$3=Projects!$C$10+Projects!$D$10-1),Projects!$B$10*(Assumptions!$B$10+Assumptions!$B$11+Assumptions!$B$12)*0.05,0)</f>
        <v/>
      </c>
      <c r="AH21" s="399">
        <f>IF(AND(Projects!$G$10="Yes",AH$3&gt;=Projects!$C$10,AH$3&lt;Projects!$C$10+Projects!$D$10),Projects!$B$10*INDEX(Curves!$B$3:$AR$3,1,AH$3-Projects!$C$10+1),0)-IF(AND(Projects!$G$10="Yes",AH$3&gt;=Projects!$C$10,AH$3&lt;Projects!$C$10+Projects!$D$10),Projects!$B$10*(Assumptions!$B$10+Assumptions!$B$11+Assumptions!$B$12)/Projects!$D$10*0.95,0)-IF(AND(Projects!$G$10="Yes",AH$3=Projects!$C$10+Projects!$D$10-1),Projects!$B$10*(Assumptions!$B$10+Assumptions!$B$11+Assumptions!$B$12)*0.05,0)</f>
        <v/>
      </c>
      <c r="AI21" s="399">
        <f>IF(AND(Projects!$G$10="Yes",AI$3&gt;=Projects!$C$10,AI$3&lt;Projects!$C$10+Projects!$D$10),Projects!$B$10*INDEX(Curves!$B$3:$AR$3,1,AI$3-Projects!$C$10+1),0)-IF(AND(Projects!$G$10="Yes",AI$3&gt;=Projects!$C$10,AI$3&lt;Projects!$C$10+Projects!$D$10),Projects!$B$10*(Assumptions!$B$10+Assumptions!$B$11+Assumptions!$B$12)/Projects!$D$10*0.95,0)-IF(AND(Projects!$G$10="Yes",AI$3=Projects!$C$10+Projects!$D$10-1),Projects!$B$10*(Assumptions!$B$10+Assumptions!$B$11+Assumptions!$B$12)*0.05,0)</f>
        <v/>
      </c>
      <c r="AJ21" s="399">
        <f>IF(AND(Projects!$G$10="Yes",AJ$3&gt;=Projects!$C$10,AJ$3&lt;Projects!$C$10+Projects!$D$10),Projects!$B$10*INDEX(Curves!$B$3:$AR$3,1,AJ$3-Projects!$C$10+1),0)-IF(AND(Projects!$G$10="Yes",AJ$3&gt;=Projects!$C$10,AJ$3&lt;Projects!$C$10+Projects!$D$10),Projects!$B$10*(Assumptions!$B$10+Assumptions!$B$11+Assumptions!$B$12)/Projects!$D$10*0.95,0)-IF(AND(Projects!$G$10="Yes",AJ$3=Projects!$C$10+Projects!$D$10-1),Projects!$B$10*(Assumptions!$B$10+Assumptions!$B$11+Assumptions!$B$12)*0.05,0)</f>
        <v/>
      </c>
      <c r="AK21" s="399">
        <f>IF(AND(Projects!$G$10="Yes",AK$3&gt;=Projects!$C$10,AK$3&lt;Projects!$C$10+Projects!$D$10),Projects!$B$10*INDEX(Curves!$B$3:$AR$3,1,AK$3-Projects!$C$10+1),0)-IF(AND(Projects!$G$10="Yes",AK$3&gt;=Projects!$C$10,AK$3&lt;Projects!$C$10+Projects!$D$10),Projects!$B$10*(Assumptions!$B$10+Assumptions!$B$11+Assumptions!$B$12)/Projects!$D$10*0.95,0)-IF(AND(Projects!$G$10="Yes",AK$3=Projects!$C$10+Projects!$D$10-1),Projects!$B$10*(Assumptions!$B$10+Assumptions!$B$11+Assumptions!$B$12)*0.05,0)</f>
        <v/>
      </c>
      <c r="AL21" s="399">
        <f>IF(AND(Projects!$G$10="Yes",AL$3&gt;=Projects!$C$10,AL$3&lt;Projects!$C$10+Projects!$D$10),Projects!$B$10*INDEX(Curves!$B$3:$AR$3,1,AL$3-Projects!$C$10+1),0)-IF(AND(Projects!$G$10="Yes",AL$3&gt;=Projects!$C$10,AL$3&lt;Projects!$C$10+Projects!$D$10),Projects!$B$10*(Assumptions!$B$10+Assumptions!$B$11+Assumptions!$B$12)/Projects!$D$10*0.95,0)-IF(AND(Projects!$G$10="Yes",AL$3=Projects!$C$10+Projects!$D$10-1),Projects!$B$10*(Assumptions!$B$10+Assumptions!$B$11+Assumptions!$B$12)*0.05,0)</f>
        <v/>
      </c>
      <c r="AM21" s="399">
        <f>IF(AND(Projects!$G$10="Yes",AM$3&gt;=Projects!$C$10,AM$3&lt;Projects!$C$10+Projects!$D$10),Projects!$B$10*INDEX(Curves!$B$3:$AR$3,1,AM$3-Projects!$C$10+1),0)-IF(AND(Projects!$G$10="Yes",AM$3&gt;=Projects!$C$10,AM$3&lt;Projects!$C$10+Projects!$D$10),Projects!$B$10*(Assumptions!$B$10+Assumptions!$B$11+Assumptions!$B$12)/Projects!$D$10*0.95,0)-IF(AND(Projects!$G$10="Yes",AM$3=Projects!$C$10+Projects!$D$10-1),Projects!$B$10*(Assumptions!$B$10+Assumptions!$B$11+Assumptions!$B$12)*0.05,0)</f>
        <v/>
      </c>
      <c r="AN21" s="399">
        <f>IF(AND(Projects!$G$10="Yes",AN$3&gt;=Projects!$C$10,AN$3&lt;Projects!$C$10+Projects!$D$10),Projects!$B$10*INDEX(Curves!$B$3:$AR$3,1,AN$3-Projects!$C$10+1),0)-IF(AND(Projects!$G$10="Yes",AN$3&gt;=Projects!$C$10,AN$3&lt;Projects!$C$10+Projects!$D$10),Projects!$B$10*(Assumptions!$B$10+Assumptions!$B$11+Assumptions!$B$12)/Projects!$D$10*0.95,0)-IF(AND(Projects!$G$10="Yes",AN$3=Projects!$C$10+Projects!$D$10-1),Projects!$B$10*(Assumptions!$B$10+Assumptions!$B$11+Assumptions!$B$12)*0.05,0)</f>
        <v/>
      </c>
      <c r="AO21" s="399">
        <f>IF(AND(Projects!$G$10="Yes",AO$3&gt;=Projects!$C$10,AO$3&lt;Projects!$C$10+Projects!$D$10),Projects!$B$10*INDEX(Curves!$B$3:$AR$3,1,AO$3-Projects!$C$10+1),0)-IF(AND(Projects!$G$10="Yes",AO$3&gt;=Projects!$C$10,AO$3&lt;Projects!$C$10+Projects!$D$10),Projects!$B$10*(Assumptions!$B$10+Assumptions!$B$11+Assumptions!$B$12)/Projects!$D$10*0.95,0)-IF(AND(Projects!$G$10="Yes",AO$3=Projects!$C$10+Projects!$D$10-1),Projects!$B$10*(Assumptions!$B$10+Assumptions!$B$11+Assumptions!$B$12)*0.05,0)</f>
        <v/>
      </c>
      <c r="AP21" s="399">
        <f>IF(AND(Projects!$G$10="Yes",AP$3&gt;=Projects!$C$10,AP$3&lt;Projects!$C$10+Projects!$D$10),Projects!$B$10*INDEX(Curves!$B$3:$AR$3,1,AP$3-Projects!$C$10+1),0)-IF(AND(Projects!$G$10="Yes",AP$3&gt;=Projects!$C$10,AP$3&lt;Projects!$C$10+Projects!$D$10),Projects!$B$10*(Assumptions!$B$10+Assumptions!$B$11+Assumptions!$B$12)/Projects!$D$10*0.95,0)-IF(AND(Projects!$G$10="Yes",AP$3=Projects!$C$10+Projects!$D$10-1),Projects!$B$10*(Assumptions!$B$10+Assumptions!$B$11+Assumptions!$B$12)*0.05,0)</f>
        <v/>
      </c>
      <c r="AQ21" s="399">
        <f>IF(AND(Projects!$G$10="Yes",AQ$3&gt;=Projects!$C$10,AQ$3&lt;Projects!$C$10+Projects!$D$10),Projects!$B$10*INDEX(Curves!$B$3:$AR$3,1,AQ$3-Projects!$C$10+1),0)-IF(AND(Projects!$G$10="Yes",AQ$3&gt;=Projects!$C$10,AQ$3&lt;Projects!$C$10+Projects!$D$10),Projects!$B$10*(Assumptions!$B$10+Assumptions!$B$11+Assumptions!$B$12)/Projects!$D$10*0.95,0)-IF(AND(Projects!$G$10="Yes",AQ$3=Projects!$C$10+Projects!$D$10-1),Projects!$B$10*(Assumptions!$B$10+Assumptions!$B$11+Assumptions!$B$12)*0.05,0)</f>
        <v/>
      </c>
      <c r="AR21" s="399">
        <f>IF(AND(Projects!$G$10="Yes",AR$3&gt;=Projects!$C$10,AR$3&lt;Projects!$C$10+Projects!$D$10),Projects!$B$10*INDEX(Curves!$B$3:$AR$3,1,AR$3-Projects!$C$10+1),0)-IF(AND(Projects!$G$10="Yes",AR$3&gt;=Projects!$C$10,AR$3&lt;Projects!$C$10+Projects!$D$10),Projects!$B$10*(Assumptions!$B$10+Assumptions!$B$11+Assumptions!$B$12)/Projects!$D$10*0.95,0)-IF(AND(Projects!$G$10="Yes",AR$3=Projects!$C$10+Projects!$D$10-1),Projects!$B$10*(Assumptions!$B$10+Assumptions!$B$11+Assumptions!$B$12)*0.05,0)</f>
        <v/>
      </c>
      <c r="AS21" s="399">
        <f>IF(AND(Projects!$G$10="Yes",AS$3&gt;=Projects!$C$10,AS$3&lt;Projects!$C$10+Projects!$D$10),Projects!$B$10*INDEX(Curves!$B$3:$AR$3,1,AS$3-Projects!$C$10+1),0)-IF(AND(Projects!$G$10="Yes",AS$3&gt;=Projects!$C$10,AS$3&lt;Projects!$C$10+Projects!$D$10),Projects!$B$10*(Assumptions!$B$10+Assumptions!$B$11+Assumptions!$B$12)/Projects!$D$10*0.95,0)-IF(AND(Projects!$G$10="Yes",AS$3=Projects!$C$10+Projects!$D$10-1),Projects!$B$10*(Assumptions!$B$10+Assumptions!$B$11+Assumptions!$B$12)*0.05,0)</f>
        <v/>
      </c>
      <c r="AT21" s="399">
        <f>IF(AND(Projects!$G$10="Yes",AT$3&gt;=Projects!$C$10,AT$3&lt;Projects!$C$10+Projects!$D$10),Projects!$B$10*INDEX(Curves!$B$3:$AR$3,1,AT$3-Projects!$C$10+1),0)-IF(AND(Projects!$G$10="Yes",AT$3&gt;=Projects!$C$10,AT$3&lt;Projects!$C$10+Projects!$D$10),Projects!$B$10*(Assumptions!$B$10+Assumptions!$B$11+Assumptions!$B$12)/Projects!$D$10*0.95,0)-IF(AND(Projects!$G$10="Yes",AT$3=Projects!$C$10+Projects!$D$10-1),Projects!$B$10*(Assumptions!$B$10+Assumptions!$B$11+Assumptions!$B$12)*0.05,0)</f>
        <v/>
      </c>
      <c r="AU21" s="399">
        <f>IF(AND(Projects!$G$10="Yes",AU$3&gt;=Projects!$C$10,AU$3&lt;Projects!$C$10+Projects!$D$10),Projects!$B$10*INDEX(Curves!$B$3:$AR$3,1,AU$3-Projects!$C$10+1),0)-IF(AND(Projects!$G$10="Yes",AU$3&gt;=Projects!$C$10,AU$3&lt;Projects!$C$10+Projects!$D$10),Projects!$B$10*(Assumptions!$B$10+Assumptions!$B$11+Assumptions!$B$12)/Projects!$D$10*0.95,0)-IF(AND(Projects!$G$10="Yes",AU$3=Projects!$C$10+Projects!$D$10-1),Projects!$B$10*(Assumptions!$B$10+Assumptions!$B$11+Assumptions!$B$12)*0.05,0)</f>
        <v/>
      </c>
      <c r="AV21" s="399">
        <f>IF(AND(Projects!$G$10="Yes",AV$3&gt;=Projects!$C$10,AV$3&lt;Projects!$C$10+Projects!$D$10),Projects!$B$10*INDEX(Curves!$B$3:$AR$3,1,AV$3-Projects!$C$10+1),0)-IF(AND(Projects!$G$10="Yes",AV$3&gt;=Projects!$C$10,AV$3&lt;Projects!$C$10+Projects!$D$10),Projects!$B$10*(Assumptions!$B$10+Assumptions!$B$11+Assumptions!$B$12)/Projects!$D$10*0.95,0)-IF(AND(Projects!$G$10="Yes",AV$3=Projects!$C$10+Projects!$D$10-1),Projects!$B$10*(Assumptions!$B$10+Assumptions!$B$11+Assumptions!$B$12)*0.05,0)</f>
        <v/>
      </c>
      <c r="AW21" s="399">
        <f>IF(AND(Projects!$G$10="Yes",AW$3&gt;=Projects!$C$10,AW$3&lt;Projects!$C$10+Projects!$D$10),Projects!$B$10*INDEX(Curves!$B$3:$AR$3,1,AW$3-Projects!$C$10+1),0)-IF(AND(Projects!$G$10="Yes",AW$3&gt;=Projects!$C$10,AW$3&lt;Projects!$C$10+Projects!$D$10),Projects!$B$10*(Assumptions!$B$10+Assumptions!$B$11+Assumptions!$B$12)/Projects!$D$10*0.95,0)-IF(AND(Projects!$G$10="Yes",AW$3=Projects!$C$10+Projects!$D$10-1),Projects!$B$10*(Assumptions!$B$10+Assumptions!$B$11+Assumptions!$B$12)*0.05,0)</f>
        <v/>
      </c>
      <c r="AX21" s="399">
        <f>IF(AND(Projects!$G$10="Yes",AX$3&gt;=Projects!$C$10,AX$3&lt;Projects!$C$10+Projects!$D$10),Projects!$B$10*INDEX(Curves!$B$3:$AR$3,1,AX$3-Projects!$C$10+1),0)-IF(AND(Projects!$G$10="Yes",AX$3&gt;=Projects!$C$10,AX$3&lt;Projects!$C$10+Projects!$D$10),Projects!$B$10*(Assumptions!$B$10+Assumptions!$B$11+Assumptions!$B$12)/Projects!$D$10*0.95,0)-IF(AND(Projects!$G$10="Yes",AX$3=Projects!$C$10+Projects!$D$10-1),Projects!$B$10*(Assumptions!$B$10+Assumptions!$B$11+Assumptions!$B$12)*0.05,0)</f>
        <v/>
      </c>
      <c r="AY21" s="399">
        <f>IF(AND(Projects!$G$10="Yes",AY$3&gt;=Projects!$C$10,AY$3&lt;Projects!$C$10+Projects!$D$10),Projects!$B$10*INDEX(Curves!$B$3:$AR$3,1,AY$3-Projects!$C$10+1),0)-IF(AND(Projects!$G$10="Yes",AY$3&gt;=Projects!$C$10,AY$3&lt;Projects!$C$10+Projects!$D$10),Projects!$B$10*(Assumptions!$B$10+Assumptions!$B$11+Assumptions!$B$12)/Projects!$D$10*0.95,0)-IF(AND(Projects!$G$10="Yes",AY$3=Projects!$C$10+Projects!$D$10-1),Projects!$B$10*(Assumptions!$B$10+Assumptions!$B$11+Assumptions!$B$12)*0.05,0)</f>
        <v/>
      </c>
      <c r="AZ21" s="399">
        <f>IF(AND(Projects!$G$10="Yes",AZ$3&gt;=Projects!$C$10,AZ$3&lt;Projects!$C$10+Projects!$D$10),Projects!$B$10*INDEX(Curves!$B$3:$AR$3,1,AZ$3-Projects!$C$10+1),0)-IF(AND(Projects!$G$10="Yes",AZ$3&gt;=Projects!$C$10,AZ$3&lt;Projects!$C$10+Projects!$D$10),Projects!$B$10*(Assumptions!$B$10+Assumptions!$B$11+Assumptions!$B$12)/Projects!$D$10*0.95,0)-IF(AND(Projects!$G$10="Yes",AZ$3=Projects!$C$10+Projects!$D$10-1),Projects!$B$10*(Assumptions!$B$10+Assumptions!$B$11+Assumptions!$B$12)*0.05,0)</f>
        <v/>
      </c>
      <c r="BA21" s="399">
        <f>IF(AND(Projects!$G$10="Yes",BA$3&gt;=Projects!$C$10,BA$3&lt;Projects!$C$10+Projects!$D$10),Projects!$B$10*INDEX(Curves!$B$3:$AR$3,1,BA$3-Projects!$C$10+1),0)-IF(AND(Projects!$G$10="Yes",BA$3&gt;=Projects!$C$10,BA$3&lt;Projects!$C$10+Projects!$D$10),Projects!$B$10*(Assumptions!$B$10+Assumptions!$B$11+Assumptions!$B$12)/Projects!$D$10*0.95,0)-IF(AND(Projects!$G$10="Yes",BA$3=Projects!$C$10+Projects!$D$10-1),Projects!$B$10*(Assumptions!$B$10+Assumptions!$B$11+Assumptions!$B$12)*0.05,0)</f>
        <v/>
      </c>
      <c r="BB21" s="399">
        <f>IF(AND(Projects!$G$10="Yes",BB$3&gt;=Projects!$C$10,BB$3&lt;Projects!$C$10+Projects!$D$10),Projects!$B$10*INDEX(Curves!$B$3:$AR$3,1,BB$3-Projects!$C$10+1),0)-IF(AND(Projects!$G$10="Yes",BB$3&gt;=Projects!$C$10,BB$3&lt;Projects!$C$10+Projects!$D$10),Projects!$B$10*(Assumptions!$B$10+Assumptions!$B$11+Assumptions!$B$12)/Projects!$D$10*0.95,0)-IF(AND(Projects!$G$10="Yes",BB$3=Projects!$C$10+Projects!$D$10-1),Projects!$B$10*(Assumptions!$B$10+Assumptions!$B$11+Assumptions!$B$12)*0.05,0)</f>
        <v/>
      </c>
      <c r="BC21" s="399">
        <f>IF(AND(Projects!$G$10="Yes",BC$3&gt;=Projects!$C$10,BC$3&lt;Projects!$C$10+Projects!$D$10),Projects!$B$10*INDEX(Curves!$B$3:$AR$3,1,BC$3-Projects!$C$10+1),0)-IF(AND(Projects!$G$10="Yes",BC$3&gt;=Projects!$C$10,BC$3&lt;Projects!$C$10+Projects!$D$10),Projects!$B$10*(Assumptions!$B$10+Assumptions!$B$11+Assumptions!$B$12)/Projects!$D$10*0.95,0)-IF(AND(Projects!$G$10="Yes",BC$3=Projects!$C$10+Projects!$D$10-1),Projects!$B$10*(Assumptions!$B$10+Assumptions!$B$11+Assumptions!$B$12)*0.05,0)</f>
        <v/>
      </c>
      <c r="BD21" s="399">
        <f>IF(AND(Projects!$G$10="Yes",BD$3&gt;=Projects!$C$10,BD$3&lt;Projects!$C$10+Projects!$D$10),Projects!$B$10*INDEX(Curves!$B$3:$AR$3,1,BD$3-Projects!$C$10+1),0)-IF(AND(Projects!$G$10="Yes",BD$3&gt;=Projects!$C$10,BD$3&lt;Projects!$C$10+Projects!$D$10),Projects!$B$10*(Assumptions!$B$10+Assumptions!$B$11+Assumptions!$B$12)/Projects!$D$10*0.95,0)-IF(AND(Projects!$G$10="Yes",BD$3=Projects!$C$10+Projects!$D$10-1),Projects!$B$10*(Assumptions!$B$10+Assumptions!$B$11+Assumptions!$B$12)*0.05,0)</f>
        <v/>
      </c>
      <c r="BE21" s="399">
        <f>IF(AND(Projects!$G$10="Yes",BE$3&gt;=Projects!$C$10,BE$3&lt;Projects!$C$10+Projects!$D$10),Projects!$B$10*INDEX(Curves!$B$3:$AR$3,1,BE$3-Projects!$C$10+1),0)-IF(AND(Projects!$G$10="Yes",BE$3&gt;=Projects!$C$10,BE$3&lt;Projects!$C$10+Projects!$D$10),Projects!$B$10*(Assumptions!$B$10+Assumptions!$B$11+Assumptions!$B$12)/Projects!$D$10*0.95,0)-IF(AND(Projects!$G$10="Yes",BE$3=Projects!$C$10+Projects!$D$10-1),Projects!$B$10*(Assumptions!$B$10+Assumptions!$B$11+Assumptions!$B$12)*0.05,0)</f>
        <v/>
      </c>
      <c r="BF21" s="399">
        <f>IF(AND(Projects!$G$10="Yes",BF$3&gt;=Projects!$C$10,BF$3&lt;Projects!$C$10+Projects!$D$10),Projects!$B$10*INDEX(Curves!$B$3:$AR$3,1,BF$3-Projects!$C$10+1),0)-IF(AND(Projects!$G$10="Yes",BF$3&gt;=Projects!$C$10,BF$3&lt;Projects!$C$10+Projects!$D$10),Projects!$B$10*(Assumptions!$B$10+Assumptions!$B$11+Assumptions!$B$12)/Projects!$D$10*0.95,0)-IF(AND(Projects!$G$10="Yes",BF$3=Projects!$C$10+Projects!$D$10-1),Projects!$B$10*(Assumptions!$B$10+Assumptions!$B$11+Assumptions!$B$12)*0.05,0)</f>
        <v/>
      </c>
      <c r="BG21" s="399">
        <f>IF(AND(Projects!$G$10="Yes",BG$3&gt;=Projects!$C$10,BG$3&lt;Projects!$C$10+Projects!$D$10),Projects!$B$10*INDEX(Curves!$B$3:$AR$3,1,BG$3-Projects!$C$10+1),0)-IF(AND(Projects!$G$10="Yes",BG$3&gt;=Projects!$C$10,BG$3&lt;Projects!$C$10+Projects!$D$10),Projects!$B$10*(Assumptions!$B$10+Assumptions!$B$11+Assumptions!$B$12)/Projects!$D$10*0.95,0)-IF(AND(Projects!$G$10="Yes",BG$3=Projects!$C$10+Projects!$D$10-1),Projects!$B$10*(Assumptions!$B$10+Assumptions!$B$11+Assumptions!$B$12)*0.05,0)</f>
        <v/>
      </c>
      <c r="BH21" s="399">
        <f>IF(AND(Projects!$G$10="Yes",BH$3&gt;=Projects!$C$10,BH$3&lt;Projects!$C$10+Projects!$D$10),Projects!$B$10*INDEX(Curves!$B$3:$AR$3,1,BH$3-Projects!$C$10+1),0)-IF(AND(Projects!$G$10="Yes",BH$3&gt;=Projects!$C$10,BH$3&lt;Projects!$C$10+Projects!$D$10),Projects!$B$10*(Assumptions!$B$10+Assumptions!$B$11+Assumptions!$B$12)/Projects!$D$10*0.95,0)-IF(AND(Projects!$G$10="Yes",BH$3=Projects!$C$10+Projects!$D$10-1),Projects!$B$10*(Assumptions!$B$10+Assumptions!$B$11+Assumptions!$B$12)*0.05,0)</f>
        <v/>
      </c>
      <c r="BI21" s="399">
        <f>IF(AND(Projects!$G$10="Yes",BI$3&gt;=Projects!$C$10,BI$3&lt;Projects!$C$10+Projects!$D$10),Projects!$B$10*INDEX(Curves!$B$3:$AR$3,1,BI$3-Projects!$C$10+1),0)-IF(AND(Projects!$G$10="Yes",BI$3&gt;=Projects!$C$10,BI$3&lt;Projects!$C$10+Projects!$D$10),Projects!$B$10*(Assumptions!$B$10+Assumptions!$B$11+Assumptions!$B$12)/Projects!$D$10*0.95,0)-IF(AND(Projects!$G$10="Yes",BI$3=Projects!$C$10+Projects!$D$10-1),Projects!$B$10*(Assumptions!$B$10+Assumptions!$B$11+Assumptions!$B$12)*0.05,0)</f>
        <v/>
      </c>
      <c r="BJ21" s="399">
        <f>IF(AND(Projects!$G$10="Yes",BJ$3&gt;=Projects!$C$10,BJ$3&lt;Projects!$C$10+Projects!$D$10),Projects!$B$10*INDEX(Curves!$B$3:$AR$3,1,BJ$3-Projects!$C$10+1),0)-IF(AND(Projects!$G$10="Yes",BJ$3&gt;=Projects!$C$10,BJ$3&lt;Projects!$C$10+Projects!$D$10),Projects!$B$10*(Assumptions!$B$10+Assumptions!$B$11+Assumptions!$B$12)/Projects!$D$10*0.95,0)-IF(AND(Projects!$G$10="Yes",BJ$3=Projects!$C$10+Projects!$D$10-1),Projects!$B$10*(Assumptions!$B$10+Assumptions!$B$11+Assumptions!$B$12)*0.05,0)</f>
        <v/>
      </c>
      <c r="BK21" s="399">
        <f>IF(AND(Projects!$G$10="Yes",BK$3&gt;=Projects!$C$10,BK$3&lt;Projects!$C$10+Projects!$D$10),Projects!$B$10*INDEX(Curves!$B$3:$AR$3,1,BK$3-Projects!$C$10+1),0)-IF(AND(Projects!$G$10="Yes",BK$3&gt;=Projects!$C$10,BK$3&lt;Projects!$C$10+Projects!$D$10),Projects!$B$10*(Assumptions!$B$10+Assumptions!$B$11+Assumptions!$B$12)/Projects!$D$10*0.95,0)-IF(AND(Projects!$G$10="Yes",BK$3=Projects!$C$10+Projects!$D$10-1),Projects!$B$10*(Assumptions!$B$10+Assumptions!$B$11+Assumptions!$B$12)*0.05,0)</f>
        <v/>
      </c>
      <c r="BL21" s="399">
        <f>IF(AND(Projects!$G$10="Yes",BL$3&gt;=Projects!$C$10,BL$3&lt;Projects!$C$10+Projects!$D$10),Projects!$B$10*INDEX(Curves!$B$3:$AR$3,1,BL$3-Projects!$C$10+1),0)-IF(AND(Projects!$G$10="Yes",BL$3&gt;=Projects!$C$10,BL$3&lt;Projects!$C$10+Projects!$D$10),Projects!$B$10*(Assumptions!$B$10+Assumptions!$B$11+Assumptions!$B$12)/Projects!$D$10*0.95,0)-IF(AND(Projects!$G$10="Yes",BL$3=Projects!$C$10+Projects!$D$10-1),Projects!$B$10*(Assumptions!$B$10+Assumptions!$B$11+Assumptions!$B$12)*0.05,0)</f>
        <v/>
      </c>
      <c r="BM21" s="399">
        <f>IF(AND(Projects!$G$10="Yes",BM$3&gt;=Projects!$C$10,BM$3&lt;Projects!$C$10+Projects!$D$10),Projects!$B$10*INDEX(Curves!$B$3:$AR$3,1,BM$3-Projects!$C$10+1),0)-IF(AND(Projects!$G$10="Yes",BM$3&gt;=Projects!$C$10,BM$3&lt;Projects!$C$10+Projects!$D$10),Projects!$B$10*(Assumptions!$B$10+Assumptions!$B$11+Assumptions!$B$12)/Projects!$D$10*0.95,0)-IF(AND(Projects!$G$10="Yes",BM$3=Projects!$C$10+Projects!$D$10-1),Projects!$B$10*(Assumptions!$B$10+Assumptions!$B$11+Assumptions!$B$12)*0.05,0)</f>
        <v/>
      </c>
      <c r="BN21" s="399">
        <f>IF(AND(Projects!$G$10="Yes",BN$3&gt;=Projects!$C$10,BN$3&lt;Projects!$C$10+Projects!$D$10),Projects!$B$10*INDEX(Curves!$B$3:$AR$3,1,BN$3-Projects!$C$10+1),0)-IF(AND(Projects!$G$10="Yes",BN$3&gt;=Projects!$C$10,BN$3&lt;Projects!$C$10+Projects!$D$10),Projects!$B$10*(Assumptions!$B$10+Assumptions!$B$11+Assumptions!$B$12)/Projects!$D$10*0.95,0)-IF(AND(Projects!$G$10="Yes",BN$3=Projects!$C$10+Projects!$D$10-1),Projects!$B$10*(Assumptions!$B$10+Assumptions!$B$11+Assumptions!$B$12)*0.05,0)</f>
        <v/>
      </c>
      <c r="BO21" s="399">
        <f>IF(AND(Projects!$G$10="Yes",BO$3&gt;=Projects!$C$10,BO$3&lt;Projects!$C$10+Projects!$D$10),Projects!$B$10*INDEX(Curves!$B$3:$AR$3,1,BO$3-Projects!$C$10+1),0)-IF(AND(Projects!$G$10="Yes",BO$3&gt;=Projects!$C$10,BO$3&lt;Projects!$C$10+Projects!$D$10),Projects!$B$10*(Assumptions!$B$10+Assumptions!$B$11+Assumptions!$B$12)/Projects!$D$10*0.95,0)-IF(AND(Projects!$G$10="Yes",BO$3=Projects!$C$10+Projects!$D$10-1),Projects!$B$10*(Assumptions!$B$10+Assumptions!$B$11+Assumptions!$B$12)*0.05,0)</f>
        <v/>
      </c>
      <c r="BP21" s="399">
        <f>IF(AND(Projects!$G$10="Yes",BP$3&gt;=Projects!$C$10,BP$3&lt;Projects!$C$10+Projects!$D$10),Projects!$B$10*INDEX(Curves!$B$3:$AR$3,1,BP$3-Projects!$C$10+1),0)-IF(AND(Projects!$G$10="Yes",BP$3&gt;=Projects!$C$10,BP$3&lt;Projects!$C$10+Projects!$D$10),Projects!$B$10*(Assumptions!$B$10+Assumptions!$B$11+Assumptions!$B$12)/Projects!$D$10*0.95,0)-IF(AND(Projects!$G$10="Yes",BP$3=Projects!$C$10+Projects!$D$10-1),Projects!$B$10*(Assumptions!$B$10+Assumptions!$B$11+Assumptions!$B$12)*0.05,0)</f>
        <v/>
      </c>
      <c r="BQ21" s="399">
        <f>IF(AND(Projects!$G$10="Yes",BQ$3&gt;=Projects!$C$10,BQ$3&lt;Projects!$C$10+Projects!$D$10),Projects!$B$10*INDEX(Curves!$B$3:$AR$3,1,BQ$3-Projects!$C$10+1),0)-IF(AND(Projects!$G$10="Yes",BQ$3&gt;=Projects!$C$10,BQ$3&lt;Projects!$C$10+Projects!$D$10),Projects!$B$10*(Assumptions!$B$10+Assumptions!$B$11+Assumptions!$B$12)/Projects!$D$10*0.95,0)-IF(AND(Projects!$G$10="Yes",BQ$3=Projects!$C$10+Projects!$D$10-1),Projects!$B$10*(Assumptions!$B$10+Assumptions!$B$11+Assumptions!$B$12)*0.05,0)</f>
        <v/>
      </c>
      <c r="BR21" s="399">
        <f>IF(AND(Projects!$G$10="Yes",BR$3&gt;=Projects!$C$10,BR$3&lt;Projects!$C$10+Projects!$D$10),Projects!$B$10*INDEX(Curves!$B$3:$AR$3,1,BR$3-Projects!$C$10+1),0)-IF(AND(Projects!$G$10="Yes",BR$3&gt;=Projects!$C$10,BR$3&lt;Projects!$C$10+Projects!$D$10),Projects!$B$10*(Assumptions!$B$10+Assumptions!$B$11+Assumptions!$B$12)/Projects!$D$10*0.95,0)-IF(AND(Projects!$G$10="Yes",BR$3=Projects!$C$10+Projects!$D$10-1),Projects!$B$10*(Assumptions!$B$10+Assumptions!$B$11+Assumptions!$B$12)*0.05,0)</f>
        <v/>
      </c>
      <c r="BS21" s="399">
        <f>IF(AND(Projects!$G$10="Yes",BS$3&gt;=Projects!$C$10,BS$3&lt;Projects!$C$10+Projects!$D$10),Projects!$B$10*INDEX(Curves!$B$3:$AR$3,1,BS$3-Projects!$C$10+1),0)-IF(AND(Projects!$G$10="Yes",BS$3&gt;=Projects!$C$10,BS$3&lt;Projects!$C$10+Projects!$D$10),Projects!$B$10*(Assumptions!$B$10+Assumptions!$B$11+Assumptions!$B$12)/Projects!$D$10*0.95,0)-IF(AND(Projects!$G$10="Yes",BS$3=Projects!$C$10+Projects!$D$10-1),Projects!$B$10*(Assumptions!$B$10+Assumptions!$B$11+Assumptions!$B$12)*0.05,0)</f>
        <v/>
      </c>
      <c r="BT21" s="399">
        <f>IF(AND(Projects!$G$10="Yes",BT$3&gt;=Projects!$C$10,BT$3&lt;Projects!$C$10+Projects!$D$10),Projects!$B$10*INDEX(Curves!$B$3:$AR$3,1,BT$3-Projects!$C$10+1),0)-IF(AND(Projects!$G$10="Yes",BT$3&gt;=Projects!$C$10,BT$3&lt;Projects!$C$10+Projects!$D$10),Projects!$B$10*(Assumptions!$B$10+Assumptions!$B$11+Assumptions!$B$12)/Projects!$D$10*0.95,0)-IF(AND(Projects!$G$10="Yes",BT$3=Projects!$C$10+Projects!$D$10-1),Projects!$B$10*(Assumptions!$B$10+Assumptions!$B$11+Assumptions!$B$12)*0.05,0)</f>
        <v/>
      </c>
      <c r="BU21" s="399">
        <f>IF(AND(Projects!$G$10="Yes",BU$3&gt;=Projects!$C$10,BU$3&lt;Projects!$C$10+Projects!$D$10),Projects!$B$10*INDEX(Curves!$B$3:$AR$3,1,BU$3-Projects!$C$10+1),0)-IF(AND(Projects!$G$10="Yes",BU$3&gt;=Projects!$C$10,BU$3&lt;Projects!$C$10+Projects!$D$10),Projects!$B$10*(Assumptions!$B$10+Assumptions!$B$11+Assumptions!$B$12)/Projects!$D$10*0.95,0)-IF(AND(Projects!$G$10="Yes",BU$3=Projects!$C$10+Projects!$D$10-1),Projects!$B$10*(Assumptions!$B$10+Assumptions!$B$11+Assumptions!$B$12)*0.05,0)</f>
        <v/>
      </c>
      <c r="BV21" s="399">
        <f>IF(AND(Projects!$G$10="Yes",BV$3&gt;=Projects!$C$10,BV$3&lt;Projects!$C$10+Projects!$D$10),Projects!$B$10*INDEX(Curves!$B$3:$AR$3,1,BV$3-Projects!$C$10+1),0)-IF(AND(Projects!$G$10="Yes",BV$3&gt;=Projects!$C$10,BV$3&lt;Projects!$C$10+Projects!$D$10),Projects!$B$10*(Assumptions!$B$10+Assumptions!$B$11+Assumptions!$B$12)/Projects!$D$10*0.95,0)-IF(AND(Projects!$G$10="Yes",BV$3=Projects!$C$10+Projects!$D$10-1),Projects!$B$10*(Assumptions!$B$10+Assumptions!$B$11+Assumptions!$B$12)*0.05,0)</f>
        <v/>
      </c>
      <c r="BW21" s="399">
        <f>IF(AND(Projects!$G$10="Yes",BW$3&gt;=Projects!$C$10,BW$3&lt;Projects!$C$10+Projects!$D$10),Projects!$B$10*INDEX(Curves!$B$3:$AR$3,1,BW$3-Projects!$C$10+1),0)-IF(AND(Projects!$G$10="Yes",BW$3&gt;=Projects!$C$10,BW$3&lt;Projects!$C$10+Projects!$D$10),Projects!$B$10*(Assumptions!$B$10+Assumptions!$B$11+Assumptions!$B$12)/Projects!$D$10*0.95,0)-IF(AND(Projects!$G$10="Yes",BW$3=Projects!$C$10+Projects!$D$10-1),Projects!$B$10*(Assumptions!$B$10+Assumptions!$B$11+Assumptions!$B$12)*0.05,0)</f>
        <v/>
      </c>
      <c r="BX21" s="399">
        <f>IF(AND(Projects!$G$10="Yes",BX$3&gt;=Projects!$C$10,BX$3&lt;Projects!$C$10+Projects!$D$10),Projects!$B$10*INDEX(Curves!$B$3:$AR$3,1,BX$3-Projects!$C$10+1),0)-IF(AND(Projects!$G$10="Yes",BX$3&gt;=Projects!$C$10,BX$3&lt;Projects!$C$10+Projects!$D$10),Projects!$B$10*(Assumptions!$B$10+Assumptions!$B$11+Assumptions!$B$12)/Projects!$D$10*0.95,0)-IF(AND(Projects!$G$10="Yes",BX$3=Projects!$C$10+Projects!$D$10-1),Projects!$B$10*(Assumptions!$B$10+Assumptions!$B$11+Assumptions!$B$12)*0.05,0)</f>
        <v/>
      </c>
      <c r="BY21" s="399">
        <f>IF(AND(Projects!$G$10="Yes",BY$3&gt;=Projects!$C$10,BY$3&lt;Projects!$C$10+Projects!$D$10),Projects!$B$10*INDEX(Curves!$B$3:$AR$3,1,BY$3-Projects!$C$10+1),0)-IF(AND(Projects!$G$10="Yes",BY$3&gt;=Projects!$C$10,BY$3&lt;Projects!$C$10+Projects!$D$10),Projects!$B$10*(Assumptions!$B$10+Assumptions!$B$11+Assumptions!$B$12)/Projects!$D$10*0.95,0)-IF(AND(Projects!$G$10="Yes",BY$3=Projects!$C$10+Projects!$D$10-1),Projects!$B$10*(Assumptions!$B$10+Assumptions!$B$11+Assumptions!$B$12)*0.05,0)</f>
        <v/>
      </c>
      <c r="BZ21" s="399">
        <f>IF(AND(Projects!$G$10="Yes",BZ$3&gt;=Projects!$C$10,BZ$3&lt;Projects!$C$10+Projects!$D$10),Projects!$B$10*INDEX(Curves!$B$3:$AR$3,1,BZ$3-Projects!$C$10+1),0)-IF(AND(Projects!$G$10="Yes",BZ$3&gt;=Projects!$C$10,BZ$3&lt;Projects!$C$10+Projects!$D$10),Projects!$B$10*(Assumptions!$B$10+Assumptions!$B$11+Assumptions!$B$12)/Projects!$D$10*0.95,0)-IF(AND(Projects!$G$10="Yes",BZ$3=Projects!$C$10+Projects!$D$10-1),Projects!$B$10*(Assumptions!$B$10+Assumptions!$B$11+Assumptions!$B$12)*0.05,0)</f>
        <v/>
      </c>
      <c r="CA21" s="399">
        <f>IF(AND(Projects!$G$10="Yes",CA$3&gt;=Projects!$C$10,CA$3&lt;Projects!$C$10+Projects!$D$10),Projects!$B$10*INDEX(Curves!$B$3:$AR$3,1,CA$3-Projects!$C$10+1),0)-IF(AND(Projects!$G$10="Yes",CA$3&gt;=Projects!$C$10,CA$3&lt;Projects!$C$10+Projects!$D$10),Projects!$B$10*(Assumptions!$B$10+Assumptions!$B$11+Assumptions!$B$12)/Projects!$D$10*0.95,0)-IF(AND(Projects!$G$10="Yes",CA$3=Projects!$C$10+Projects!$D$10-1),Projects!$B$10*(Assumptions!$B$10+Assumptions!$B$11+Assumptions!$B$12)*0.05,0)</f>
        <v/>
      </c>
      <c r="CB21" s="399">
        <f>IF(AND(Projects!$G$10="Yes",CB$3&gt;=Projects!$C$10,CB$3&lt;Projects!$C$10+Projects!$D$10),Projects!$B$10*INDEX(Curves!$B$3:$AR$3,1,CB$3-Projects!$C$10+1),0)-IF(AND(Projects!$G$10="Yes",CB$3&gt;=Projects!$C$10,CB$3&lt;Projects!$C$10+Projects!$D$10),Projects!$B$10*(Assumptions!$B$10+Assumptions!$B$11+Assumptions!$B$12)/Projects!$D$10*0.95,0)-IF(AND(Projects!$G$10="Yes",CB$3=Projects!$C$10+Projects!$D$10-1),Projects!$B$10*(Assumptions!$B$10+Assumptions!$B$11+Assumptions!$B$12)*0.05,0)</f>
        <v/>
      </c>
      <c r="CC21" s="399">
        <f>IF(AND(Projects!$G$10="Yes",CC$3&gt;=Projects!$C$10,CC$3&lt;Projects!$C$10+Projects!$D$10),Projects!$B$10*INDEX(Curves!$B$3:$AR$3,1,CC$3-Projects!$C$10+1),0)-IF(AND(Projects!$G$10="Yes",CC$3&gt;=Projects!$C$10,CC$3&lt;Projects!$C$10+Projects!$D$10),Projects!$B$10*(Assumptions!$B$10+Assumptions!$B$11+Assumptions!$B$12)/Projects!$D$10*0.95,0)-IF(AND(Projects!$G$10="Yes",CC$3=Projects!$C$10+Projects!$D$10-1),Projects!$B$10*(Assumptions!$B$10+Assumptions!$B$11+Assumptions!$B$12)*0.05,0)</f>
        <v/>
      </c>
      <c r="CD21" s="399">
        <f>IF(AND(Projects!$G$10="Yes",CD$3&gt;=Projects!$C$10,CD$3&lt;Projects!$C$10+Projects!$D$10),Projects!$B$10*INDEX(Curves!$B$3:$AR$3,1,CD$3-Projects!$C$10+1),0)-IF(AND(Projects!$G$10="Yes",CD$3&gt;=Projects!$C$10,CD$3&lt;Projects!$C$10+Projects!$D$10),Projects!$B$10*(Assumptions!$B$10+Assumptions!$B$11+Assumptions!$B$12)/Projects!$D$10*0.95,0)-IF(AND(Projects!$G$10="Yes",CD$3=Projects!$C$10+Projects!$D$10-1),Projects!$B$10*(Assumptions!$B$10+Assumptions!$B$11+Assumptions!$B$12)*0.05,0)</f>
        <v/>
      </c>
      <c r="CE21" s="399">
        <f>IF(AND(Projects!$G$10="Yes",CE$3&gt;=Projects!$C$10,CE$3&lt;Projects!$C$10+Projects!$D$10),Projects!$B$10*INDEX(Curves!$B$3:$AR$3,1,CE$3-Projects!$C$10+1),0)-IF(AND(Projects!$G$10="Yes",CE$3&gt;=Projects!$C$10,CE$3&lt;Projects!$C$10+Projects!$D$10),Projects!$B$10*(Assumptions!$B$10+Assumptions!$B$11+Assumptions!$B$12)/Projects!$D$10*0.95,0)-IF(AND(Projects!$G$10="Yes",CE$3=Projects!$C$10+Projects!$D$10-1),Projects!$B$10*(Assumptions!$B$10+Assumptions!$B$11+Assumptions!$B$12)*0.05,0)</f>
        <v/>
      </c>
      <c r="CF21" s="399">
        <f>IF(AND(Projects!$G$10="Yes",CF$3&gt;=Projects!$C$10,CF$3&lt;Projects!$C$10+Projects!$D$10),Projects!$B$10*INDEX(Curves!$B$3:$AR$3,1,CF$3-Projects!$C$10+1),0)-IF(AND(Projects!$G$10="Yes",CF$3&gt;=Projects!$C$10,CF$3&lt;Projects!$C$10+Projects!$D$10),Projects!$B$10*(Assumptions!$B$10+Assumptions!$B$11+Assumptions!$B$12)/Projects!$D$10*0.95,0)-IF(AND(Projects!$G$10="Yes",CF$3=Projects!$C$10+Projects!$D$10-1),Projects!$B$10*(Assumptions!$B$10+Assumptions!$B$11+Assumptions!$B$12)*0.05,0)</f>
        <v/>
      </c>
      <c r="CG21" s="399">
        <f>IF(AND(Projects!$G$10="Yes",CG$3&gt;=Projects!$C$10,CG$3&lt;Projects!$C$10+Projects!$D$10),Projects!$B$10*INDEX(Curves!$B$3:$AR$3,1,CG$3-Projects!$C$10+1),0)-IF(AND(Projects!$G$10="Yes",CG$3&gt;=Projects!$C$10,CG$3&lt;Projects!$C$10+Projects!$D$10),Projects!$B$10*(Assumptions!$B$10+Assumptions!$B$11+Assumptions!$B$12)/Projects!$D$10*0.95,0)-IF(AND(Projects!$G$10="Yes",CG$3=Projects!$C$10+Projects!$D$10-1),Projects!$B$10*(Assumptions!$B$10+Assumptions!$B$11+Assumptions!$B$12)*0.05,0)</f>
        <v/>
      </c>
      <c r="CH21" s="399">
        <f>IF(AND(Projects!$G$10="Yes",CH$3&gt;=Projects!$C$10,CH$3&lt;Projects!$C$10+Projects!$D$10),Projects!$B$10*INDEX(Curves!$B$3:$AR$3,1,CH$3-Projects!$C$10+1),0)-IF(AND(Projects!$G$10="Yes",CH$3&gt;=Projects!$C$10,CH$3&lt;Projects!$C$10+Projects!$D$10),Projects!$B$10*(Assumptions!$B$10+Assumptions!$B$11+Assumptions!$B$12)/Projects!$D$10*0.95,0)-IF(AND(Projects!$G$10="Yes",CH$3=Projects!$C$10+Projects!$D$10-1),Projects!$B$10*(Assumptions!$B$10+Assumptions!$B$11+Assumptions!$B$12)*0.05,0)</f>
        <v/>
      </c>
      <c r="CI21" s="399">
        <f>IF(AND(Projects!$G$10="Yes",CI$3&gt;=Projects!$C$10,CI$3&lt;Projects!$C$10+Projects!$D$10),Projects!$B$10*INDEX(Curves!$B$3:$AR$3,1,CI$3-Projects!$C$10+1),0)-IF(AND(Projects!$G$10="Yes",CI$3&gt;=Projects!$C$10,CI$3&lt;Projects!$C$10+Projects!$D$10),Projects!$B$10*(Assumptions!$B$10+Assumptions!$B$11+Assumptions!$B$12)/Projects!$D$10*0.95,0)-IF(AND(Projects!$G$10="Yes",CI$3=Projects!$C$10+Projects!$D$10-1),Projects!$B$10*(Assumptions!$B$10+Assumptions!$B$11+Assumptions!$B$12)*0.05,0)</f>
        <v/>
      </c>
      <c r="CJ21" s="399">
        <f>IF(AND(Projects!$G$10="Yes",CJ$3&gt;=Projects!$C$10,CJ$3&lt;Projects!$C$10+Projects!$D$10),Projects!$B$10*INDEX(Curves!$B$3:$AR$3,1,CJ$3-Projects!$C$10+1),0)-IF(AND(Projects!$G$10="Yes",CJ$3&gt;=Projects!$C$10,CJ$3&lt;Projects!$C$10+Projects!$D$10),Projects!$B$10*(Assumptions!$B$10+Assumptions!$B$11+Assumptions!$B$12)/Projects!$D$10*0.95,0)-IF(AND(Projects!$G$10="Yes",CJ$3=Projects!$C$10+Projects!$D$10-1),Projects!$B$10*(Assumptions!$B$10+Assumptions!$B$11+Assumptions!$B$12)*0.05,0)</f>
        <v/>
      </c>
      <c r="CK21" s="399">
        <f>IF(AND(Projects!$G$10="Yes",CK$3&gt;=Projects!$C$10,CK$3&lt;Projects!$C$10+Projects!$D$10),Projects!$B$10*INDEX(Curves!$B$3:$AR$3,1,CK$3-Projects!$C$10+1),0)-IF(AND(Projects!$G$10="Yes",CK$3&gt;=Projects!$C$10,CK$3&lt;Projects!$C$10+Projects!$D$10),Projects!$B$10*(Assumptions!$B$10+Assumptions!$B$11+Assumptions!$B$12)/Projects!$D$10*0.95,0)-IF(AND(Projects!$G$10="Yes",CK$3=Projects!$C$10+Projects!$D$10-1),Projects!$B$10*(Assumptions!$B$10+Assumptions!$B$11+Assumptions!$B$12)*0.05,0)</f>
        <v/>
      </c>
      <c r="CL21" s="399">
        <f>IF(AND(Projects!$G$10="Yes",CL$3&gt;=Projects!$C$10,CL$3&lt;Projects!$C$10+Projects!$D$10),Projects!$B$10*INDEX(Curves!$B$3:$AR$3,1,CL$3-Projects!$C$10+1),0)-IF(AND(Projects!$G$10="Yes",CL$3&gt;=Projects!$C$10,CL$3&lt;Projects!$C$10+Projects!$D$10),Projects!$B$10*(Assumptions!$B$10+Assumptions!$B$11+Assumptions!$B$12)/Projects!$D$10*0.95,0)-IF(AND(Projects!$G$10="Yes",CL$3=Projects!$C$10+Projects!$D$10-1),Projects!$B$10*(Assumptions!$B$10+Assumptions!$B$11+Assumptions!$B$12)*0.05,0)</f>
        <v/>
      </c>
      <c r="CM21" s="399">
        <f>IF(AND(Projects!$G$10="Yes",CM$3&gt;=Projects!$C$10,CM$3&lt;Projects!$C$10+Projects!$D$10),Projects!$B$10*INDEX(Curves!$B$3:$AR$3,1,CM$3-Projects!$C$10+1),0)-IF(AND(Projects!$G$10="Yes",CM$3&gt;=Projects!$C$10,CM$3&lt;Projects!$C$10+Projects!$D$10),Projects!$B$10*(Assumptions!$B$10+Assumptions!$B$11+Assumptions!$B$12)/Projects!$D$10*0.95,0)-IF(AND(Projects!$G$10="Yes",CM$3=Projects!$C$10+Projects!$D$10-1),Projects!$B$10*(Assumptions!$B$10+Assumptions!$B$11+Assumptions!$B$12)*0.05,0)</f>
        <v/>
      </c>
      <c r="CN21" s="399">
        <f>IF(AND(Projects!$G$10="Yes",CN$3&gt;=Projects!$C$10,CN$3&lt;Projects!$C$10+Projects!$D$10),Projects!$B$10*INDEX(Curves!$B$3:$AR$3,1,CN$3-Projects!$C$10+1),0)-IF(AND(Projects!$G$10="Yes",CN$3&gt;=Projects!$C$10,CN$3&lt;Projects!$C$10+Projects!$D$10),Projects!$B$10*(Assumptions!$B$10+Assumptions!$B$11+Assumptions!$B$12)/Projects!$D$10*0.95,0)-IF(AND(Projects!$G$10="Yes",CN$3=Projects!$C$10+Projects!$D$10-1),Projects!$B$10*(Assumptions!$B$10+Assumptions!$B$11+Assumptions!$B$12)*0.05,0)</f>
        <v/>
      </c>
      <c r="CO21" s="399">
        <f>IF(AND(Projects!$G$10="Yes",CO$3&gt;=Projects!$C$10,CO$3&lt;Projects!$C$10+Projects!$D$10),Projects!$B$10*INDEX(Curves!$B$3:$AR$3,1,CO$3-Projects!$C$10+1),0)-IF(AND(Projects!$G$10="Yes",CO$3&gt;=Projects!$C$10,CO$3&lt;Projects!$C$10+Projects!$D$10),Projects!$B$10*(Assumptions!$B$10+Assumptions!$B$11+Assumptions!$B$12)/Projects!$D$10*0.95,0)-IF(AND(Projects!$G$10="Yes",CO$3=Projects!$C$10+Projects!$D$10-1),Projects!$B$10*(Assumptions!$B$10+Assumptions!$B$11+Assumptions!$B$12)*0.05,0)</f>
        <v/>
      </c>
      <c r="CP21" s="399">
        <f>IF(AND(Projects!$G$10="Yes",CP$3&gt;=Projects!$C$10,CP$3&lt;Projects!$C$10+Projects!$D$10),Projects!$B$10*INDEX(Curves!$B$3:$AR$3,1,CP$3-Projects!$C$10+1),0)-IF(AND(Projects!$G$10="Yes",CP$3&gt;=Projects!$C$10,CP$3&lt;Projects!$C$10+Projects!$D$10),Projects!$B$10*(Assumptions!$B$10+Assumptions!$B$11+Assumptions!$B$12)/Projects!$D$10*0.95,0)-IF(AND(Projects!$G$10="Yes",CP$3=Projects!$C$10+Projects!$D$10-1),Projects!$B$10*(Assumptions!$B$10+Assumptions!$B$11+Assumptions!$B$12)*0.05,0)</f>
        <v/>
      </c>
      <c r="CQ21" s="399">
        <f>IF(AND(Projects!$G$10="Yes",CQ$3&gt;=Projects!$C$10,CQ$3&lt;Projects!$C$10+Projects!$D$10),Projects!$B$10*INDEX(Curves!$B$3:$AR$3,1,CQ$3-Projects!$C$10+1),0)-IF(AND(Projects!$G$10="Yes",CQ$3&gt;=Projects!$C$10,CQ$3&lt;Projects!$C$10+Projects!$D$10),Projects!$B$10*(Assumptions!$B$10+Assumptions!$B$11+Assumptions!$B$12)/Projects!$D$10*0.95,0)-IF(AND(Projects!$G$10="Yes",CQ$3=Projects!$C$10+Projects!$D$10-1),Projects!$B$10*(Assumptions!$B$10+Assumptions!$B$11+Assumptions!$B$12)*0.05,0)</f>
        <v/>
      </c>
      <c r="CR21" s="399">
        <f>IF(AND(Projects!$G$10="Yes",CR$3&gt;=Projects!$C$10,CR$3&lt;Projects!$C$10+Projects!$D$10),Projects!$B$10*INDEX(Curves!$B$3:$AR$3,1,CR$3-Projects!$C$10+1),0)-IF(AND(Projects!$G$10="Yes",CR$3&gt;=Projects!$C$10,CR$3&lt;Projects!$C$10+Projects!$D$10),Projects!$B$10*(Assumptions!$B$10+Assumptions!$B$11+Assumptions!$B$12)/Projects!$D$10*0.95,0)-IF(AND(Projects!$G$10="Yes",CR$3=Projects!$C$10+Projects!$D$10-1),Projects!$B$10*(Assumptions!$B$10+Assumptions!$B$11+Assumptions!$B$12)*0.05,0)</f>
        <v/>
      </c>
      <c r="CS21" s="399">
        <f>IF(AND(Projects!$G$10="Yes",CS$3&gt;=Projects!$C$10,CS$3&lt;Projects!$C$10+Projects!$D$10),Projects!$B$10*INDEX(Curves!$B$3:$AR$3,1,CS$3-Projects!$C$10+1),0)-IF(AND(Projects!$G$10="Yes",CS$3&gt;=Projects!$C$10,CS$3&lt;Projects!$C$10+Projects!$D$10),Projects!$B$10*(Assumptions!$B$10+Assumptions!$B$11+Assumptions!$B$12)/Projects!$D$10*0.95,0)-IF(AND(Projects!$G$10="Yes",CS$3=Projects!$C$10+Projects!$D$10-1),Projects!$B$10*(Assumptions!$B$10+Assumptions!$B$11+Assumptions!$B$12)*0.05,0)</f>
        <v/>
      </c>
      <c r="CT21" s="399">
        <f>IF(AND(Projects!$G$10="Yes",CT$3&gt;=Projects!$C$10,CT$3&lt;Projects!$C$10+Projects!$D$10),Projects!$B$10*INDEX(Curves!$B$3:$AR$3,1,CT$3-Projects!$C$10+1),0)-IF(AND(Projects!$G$10="Yes",CT$3&gt;=Projects!$C$10,CT$3&lt;Projects!$C$10+Projects!$D$10),Projects!$B$10*(Assumptions!$B$10+Assumptions!$B$11+Assumptions!$B$12)/Projects!$D$10*0.95,0)-IF(AND(Projects!$G$10="Yes",CT$3=Projects!$C$10+Projects!$D$10-1),Projects!$B$10*(Assumptions!$B$10+Assumptions!$B$11+Assumptions!$B$12)*0.05,0)</f>
        <v/>
      </c>
      <c r="CU21" s="399">
        <f>IF(AND(Projects!$G$10="Yes",CU$3&gt;=Projects!$C$10,CU$3&lt;Projects!$C$10+Projects!$D$10),Projects!$B$10*INDEX(Curves!$B$3:$AR$3,1,CU$3-Projects!$C$10+1),0)-IF(AND(Projects!$G$10="Yes",CU$3&gt;=Projects!$C$10,CU$3&lt;Projects!$C$10+Projects!$D$10),Projects!$B$10*(Assumptions!$B$10+Assumptions!$B$11+Assumptions!$B$12)/Projects!$D$10*0.95,0)-IF(AND(Projects!$G$10="Yes",CU$3=Projects!$C$10+Projects!$D$10-1),Projects!$B$10*(Assumptions!$B$10+Assumptions!$B$11+Assumptions!$B$12)*0.05,0)</f>
        <v/>
      </c>
      <c r="CV21" s="399">
        <f>IF(AND(Projects!$G$10="Yes",CV$3&gt;=Projects!$C$10,CV$3&lt;Projects!$C$10+Projects!$D$10),Projects!$B$10*INDEX(Curves!$B$3:$AR$3,1,CV$3-Projects!$C$10+1),0)-IF(AND(Projects!$G$10="Yes",CV$3&gt;=Projects!$C$10,CV$3&lt;Projects!$C$10+Projects!$D$10),Projects!$B$10*(Assumptions!$B$10+Assumptions!$B$11+Assumptions!$B$12)/Projects!$D$10*0.95,0)-IF(AND(Projects!$G$10="Yes",CV$3=Projects!$C$10+Projects!$D$10-1),Projects!$B$10*(Assumptions!$B$10+Assumptions!$B$11+Assumptions!$B$12)*0.05,0)</f>
        <v/>
      </c>
      <c r="CW21" s="399">
        <f>IF(AND(Projects!$G$10="Yes",CW$3&gt;=Projects!$C$10,CW$3&lt;Projects!$C$10+Projects!$D$10),Projects!$B$10*INDEX(Curves!$B$3:$AR$3,1,CW$3-Projects!$C$10+1),0)-IF(AND(Projects!$G$10="Yes",CW$3&gt;=Projects!$C$10,CW$3&lt;Projects!$C$10+Projects!$D$10),Projects!$B$10*(Assumptions!$B$10+Assumptions!$B$11+Assumptions!$B$12)/Projects!$D$10*0.95,0)-IF(AND(Projects!$G$10="Yes",CW$3=Projects!$C$10+Projects!$D$10-1),Projects!$B$10*(Assumptions!$B$10+Assumptions!$B$11+Assumptions!$B$12)*0.05,0)</f>
        <v/>
      </c>
      <c r="CX21" s="399">
        <f>IF(AND(Projects!$G$10="Yes",CX$3&gt;=Projects!$C$10,CX$3&lt;Projects!$C$10+Projects!$D$10),Projects!$B$10*INDEX(Curves!$B$3:$AR$3,1,CX$3-Projects!$C$10+1),0)-IF(AND(Projects!$G$10="Yes",CX$3&gt;=Projects!$C$10,CX$3&lt;Projects!$C$10+Projects!$D$10),Projects!$B$10*(Assumptions!$B$10+Assumptions!$B$11+Assumptions!$B$12)/Projects!$D$10*0.95,0)-IF(AND(Projects!$G$10="Yes",CX$3=Projects!$C$10+Projects!$D$10-1),Projects!$B$10*(Assumptions!$B$10+Assumptions!$B$11+Assumptions!$B$12)*0.05,0)</f>
        <v/>
      </c>
      <c r="CY21" s="399">
        <f>IF(AND(Projects!$G$10="Yes",CY$3&gt;=Projects!$C$10,CY$3&lt;Projects!$C$10+Projects!$D$10),Projects!$B$10*INDEX(Curves!$B$3:$AR$3,1,CY$3-Projects!$C$10+1),0)-IF(AND(Projects!$G$10="Yes",CY$3&gt;=Projects!$C$10,CY$3&lt;Projects!$C$10+Projects!$D$10),Projects!$B$10*(Assumptions!$B$10+Assumptions!$B$11+Assumptions!$B$12)/Projects!$D$10*0.95,0)-IF(AND(Projects!$G$10="Yes",CY$3=Projects!$C$10+Projects!$D$10-1),Projects!$B$10*(Assumptions!$B$10+Assumptions!$B$11+Assumptions!$B$12)*0.05,0)</f>
        <v/>
      </c>
      <c r="CZ21" s="399">
        <f>IF(AND(Projects!$G$10="Yes",CZ$3&gt;=Projects!$C$10,CZ$3&lt;Projects!$C$10+Projects!$D$10),Projects!$B$10*INDEX(Curves!$B$3:$AR$3,1,CZ$3-Projects!$C$10+1),0)-IF(AND(Projects!$G$10="Yes",CZ$3&gt;=Projects!$C$10,CZ$3&lt;Projects!$C$10+Projects!$D$10),Projects!$B$10*(Assumptions!$B$10+Assumptions!$B$11+Assumptions!$B$12)/Projects!$D$10*0.95,0)-IF(AND(Projects!$G$10="Yes",CZ$3=Projects!$C$10+Projects!$D$10-1),Projects!$B$10*(Assumptions!$B$10+Assumptions!$B$11+Assumptions!$B$12)*0.05,0)</f>
        <v/>
      </c>
      <c r="DA21" s="399">
        <f>IF(AND(Projects!$G$10="Yes",DA$3&gt;=Projects!$C$10,DA$3&lt;Projects!$C$10+Projects!$D$10),Projects!$B$10*INDEX(Curves!$B$3:$AR$3,1,DA$3-Projects!$C$10+1),0)-IF(AND(Projects!$G$10="Yes",DA$3&gt;=Projects!$C$10,DA$3&lt;Projects!$C$10+Projects!$D$10),Projects!$B$10*(Assumptions!$B$10+Assumptions!$B$11+Assumptions!$B$12)/Projects!$D$10*0.95,0)-IF(AND(Projects!$G$10="Yes",DA$3=Projects!$C$10+Projects!$D$10-1),Projects!$B$10*(Assumptions!$B$10+Assumptions!$B$11+Assumptions!$B$12)*0.05,0)</f>
        <v/>
      </c>
      <c r="DB21" s="399">
        <f>IF(AND(Projects!$G$10="Yes",DB$3&gt;=Projects!$C$10,DB$3&lt;Projects!$C$10+Projects!$D$10),Projects!$B$10*INDEX(Curves!$B$3:$AR$3,1,DB$3-Projects!$C$10+1),0)-IF(AND(Projects!$G$10="Yes",DB$3&gt;=Projects!$C$10,DB$3&lt;Projects!$C$10+Projects!$D$10),Projects!$B$10*(Assumptions!$B$10+Assumptions!$B$11+Assumptions!$B$12)/Projects!$D$10*0.95,0)-IF(AND(Projects!$G$10="Yes",DB$3=Projects!$C$10+Projects!$D$10-1),Projects!$B$10*(Assumptions!$B$10+Assumptions!$B$11+Assumptions!$B$12)*0.05,0)</f>
        <v/>
      </c>
      <c r="DC21" s="399">
        <f>IF(AND(Projects!$G$10="Yes",DC$3&gt;=Projects!$C$10,DC$3&lt;Projects!$C$10+Projects!$D$10),Projects!$B$10*INDEX(Curves!$B$3:$AR$3,1,DC$3-Projects!$C$10+1),0)-IF(AND(Projects!$G$10="Yes",DC$3&gt;=Projects!$C$10,DC$3&lt;Projects!$C$10+Projects!$D$10),Projects!$B$10*(Assumptions!$B$10+Assumptions!$B$11+Assumptions!$B$12)/Projects!$D$10*0.95,0)-IF(AND(Projects!$G$10="Yes",DC$3=Projects!$C$10+Projects!$D$10-1),Projects!$B$10*(Assumptions!$B$10+Assumptions!$B$11+Assumptions!$B$12)*0.05,0)</f>
        <v/>
      </c>
      <c r="DD21" s="399">
        <f>IF(AND(Projects!$G$10="Yes",DD$3&gt;=Projects!$C$10,DD$3&lt;Projects!$C$10+Projects!$D$10),Projects!$B$10*INDEX(Curves!$B$3:$AR$3,1,DD$3-Projects!$C$10+1),0)-IF(AND(Projects!$G$10="Yes",DD$3&gt;=Projects!$C$10,DD$3&lt;Projects!$C$10+Projects!$D$10),Projects!$B$10*(Assumptions!$B$10+Assumptions!$B$11+Assumptions!$B$12)/Projects!$D$10*0.95,0)-IF(AND(Projects!$G$10="Yes",DD$3=Projects!$C$10+Projects!$D$10-1),Projects!$B$10*(Assumptions!$B$10+Assumptions!$B$11+Assumptions!$B$12)*0.05,0)</f>
        <v/>
      </c>
      <c r="DE21" s="399">
        <f>IF(AND(Projects!$G$10="Yes",DE$3&gt;=Projects!$C$10,DE$3&lt;Projects!$C$10+Projects!$D$10),Projects!$B$10*INDEX(Curves!$B$3:$AR$3,1,DE$3-Projects!$C$10+1),0)-IF(AND(Projects!$G$10="Yes",DE$3&gt;=Projects!$C$10,DE$3&lt;Projects!$C$10+Projects!$D$10),Projects!$B$10*(Assumptions!$B$10+Assumptions!$B$11+Assumptions!$B$12)/Projects!$D$10*0.95,0)-IF(AND(Projects!$G$10="Yes",DE$3=Projects!$C$10+Projects!$D$10-1),Projects!$B$10*(Assumptions!$B$10+Assumptions!$B$11+Assumptions!$B$12)*0.05,0)</f>
        <v/>
      </c>
    </row>
    <row r="22" hidden="1" outlineLevel="1" ht="15" customFormat="1" customHeight="1" s="380">
      <c r="A22" s="407" t="inlineStr">
        <is>
          <t>Klump</t>
        </is>
      </c>
      <c r="B22" s="399" t="n">
        <v>0</v>
      </c>
      <c r="C22" s="399" t="n">
        <v>0</v>
      </c>
      <c r="D22" s="399" t="n">
        <v>0</v>
      </c>
      <c r="E22" s="399" t="n">
        <v>0</v>
      </c>
      <c r="F22" s="399">
        <f>IF(AND(Projects!$G$11="Yes",F$3&gt;=Projects!$C$11,F$3&lt;Projects!$C$11+Projects!$D$11),Projects!$B$11*INDEX(Curves!$B$4:$AR$4,1,F$3-Projects!$C$11+1),0)-IF(AND(Projects!$G$11="Yes",F$3&gt;=Projects!$C$11,F$3&lt;Projects!$C$11+Projects!$D$11),Projects!$B$11*(Assumptions!$B$10+Assumptions!$B$11+Assumptions!$B$12)/Projects!$D$11*0.95,0)-IF(AND(Projects!$G$11="Yes",F$3=Projects!$C$11+Projects!$D$11-1),Projects!$B$11*(Assumptions!$B$10+Assumptions!$B$11+Assumptions!$B$12)*0.05,0)</f>
        <v/>
      </c>
      <c r="G22" s="399">
        <f>IF(AND(Projects!$G$11="Yes",G$3&gt;=Projects!$C$11,G$3&lt;Projects!$C$11+Projects!$D$11),Projects!$B$11*INDEX(Curves!$B$4:$AR$4,1,G$3-Projects!$C$11+1),0)-IF(AND(Projects!$G$11="Yes",G$3&gt;=Projects!$C$11,G$3&lt;Projects!$C$11+Projects!$D$11),Projects!$B$11*(Assumptions!$B$10+Assumptions!$B$11+Assumptions!$B$12)/Projects!$D$11*0.95,0)-IF(AND(Projects!$G$11="Yes",G$3=Projects!$C$11+Projects!$D$11-1),Projects!$B$11*(Assumptions!$B$10+Assumptions!$B$11+Assumptions!$B$12)*0.05,0)</f>
        <v/>
      </c>
      <c r="H22" s="399">
        <f>IF(AND(Projects!$G$11="Yes",H$3&gt;=Projects!$C$11,H$3&lt;Projects!$C$11+Projects!$D$11),Projects!$B$11*INDEX(Curves!$B$4:$AR$4,1,H$3-Projects!$C$11+1),0)-IF(AND(Projects!$G$11="Yes",H$3&gt;=Projects!$C$11,H$3&lt;Projects!$C$11+Projects!$D$11),Projects!$B$11*(Assumptions!$B$10+Assumptions!$B$11+Assumptions!$B$12)/Projects!$D$11*0.95,0)-IF(AND(Projects!$G$11="Yes",H$3=Projects!$C$11+Projects!$D$11-1),Projects!$B$11*(Assumptions!$B$10+Assumptions!$B$11+Assumptions!$B$12)*0.05,0)</f>
        <v/>
      </c>
      <c r="I22" s="399">
        <f>IF(AND(Projects!$G$11="Yes",I$3&gt;=Projects!$C$11,I$3&lt;Projects!$C$11+Projects!$D$11),Projects!$B$11*INDEX(Curves!$B$4:$AR$4,1,I$3-Projects!$C$11+1),0)-IF(AND(Projects!$G$11="Yes",I$3&gt;=Projects!$C$11,I$3&lt;Projects!$C$11+Projects!$D$11),Projects!$B$11*(Assumptions!$B$10+Assumptions!$B$11+Assumptions!$B$12)/Projects!$D$11*0.95,0)-IF(AND(Projects!$G$11="Yes",I$3=Projects!$C$11+Projects!$D$11-1),Projects!$B$11*(Assumptions!$B$10+Assumptions!$B$11+Assumptions!$B$12)*0.05,0)</f>
        <v/>
      </c>
      <c r="J22" s="399">
        <f>IF(AND(Projects!$G$11="Yes",J$3&gt;=Projects!$C$11,J$3&lt;Projects!$C$11+Projects!$D$11),Projects!$B$11*INDEX(Curves!$B$4:$AR$4,1,J$3-Projects!$C$11+1),0)-IF(AND(Projects!$G$11="Yes",J$3&gt;=Projects!$C$11,J$3&lt;Projects!$C$11+Projects!$D$11),Projects!$B$11*(Assumptions!$B$10+Assumptions!$B$11+Assumptions!$B$12)/Projects!$D$11*0.95,0)-IF(AND(Projects!$G$11="Yes",J$3=Projects!$C$11+Projects!$D$11-1),Projects!$B$11*(Assumptions!$B$10+Assumptions!$B$11+Assumptions!$B$12)*0.05,0)</f>
        <v/>
      </c>
      <c r="K22" s="399">
        <f>IF(AND(Projects!$G$11="Yes",K$3&gt;=Projects!$C$11,K$3&lt;Projects!$C$11+Projects!$D$11),Projects!$B$11*INDEX(Curves!$B$4:$AR$4,1,K$3-Projects!$C$11+1),0)-IF(AND(Projects!$G$11="Yes",K$3&gt;=Projects!$C$11,K$3&lt;Projects!$C$11+Projects!$D$11),Projects!$B$11*(Assumptions!$B$10+Assumptions!$B$11+Assumptions!$B$12)/Projects!$D$11*0.95,0)-IF(AND(Projects!$G$11="Yes",K$3=Projects!$C$11+Projects!$D$11-1),Projects!$B$11*(Assumptions!$B$10+Assumptions!$B$11+Assumptions!$B$12)*0.05,0)</f>
        <v/>
      </c>
      <c r="L22" s="399">
        <f>IF(AND(Projects!$G$11="Yes",L$3&gt;=Projects!$C$11,L$3&lt;Projects!$C$11+Projects!$D$11),Projects!$B$11*INDEX(Curves!$B$4:$AR$4,1,L$3-Projects!$C$11+1),0)-IF(AND(Projects!$G$11="Yes",L$3&gt;=Projects!$C$11,L$3&lt;Projects!$C$11+Projects!$D$11),Projects!$B$11*(Assumptions!$B$10+Assumptions!$B$11+Assumptions!$B$12)/Projects!$D$11*0.95,0)-IF(AND(Projects!$G$11="Yes",L$3=Projects!$C$11+Projects!$D$11-1),Projects!$B$11*(Assumptions!$B$10+Assumptions!$B$11+Assumptions!$B$12)*0.05,0)</f>
        <v/>
      </c>
      <c r="M22" s="399">
        <f>IF(AND(Projects!$G$11="Yes",M$3&gt;=Projects!$C$11,M$3&lt;Projects!$C$11+Projects!$D$11),Projects!$B$11*INDEX(Curves!$B$4:$AR$4,1,M$3-Projects!$C$11+1),0)-IF(AND(Projects!$G$11="Yes",M$3&gt;=Projects!$C$11,M$3&lt;Projects!$C$11+Projects!$D$11),Projects!$B$11*(Assumptions!$B$10+Assumptions!$B$11+Assumptions!$B$12)/Projects!$D$11*0.95,0)-IF(AND(Projects!$G$11="Yes",M$3=Projects!$C$11+Projects!$D$11-1),Projects!$B$11*(Assumptions!$B$10+Assumptions!$B$11+Assumptions!$B$12)*0.05,0)</f>
        <v/>
      </c>
      <c r="N22" s="399">
        <f>IF(AND(Projects!$G$11="Yes",N$3&gt;=Projects!$C$11,N$3&lt;Projects!$C$11+Projects!$D$11),Projects!$B$11*INDEX(Curves!$B$4:$AR$4,1,N$3-Projects!$C$11+1),0)-IF(AND(Projects!$G$11="Yes",N$3&gt;=Projects!$C$11,N$3&lt;Projects!$C$11+Projects!$D$11),Projects!$B$11*(Assumptions!$B$10+Assumptions!$B$11+Assumptions!$B$12)/Projects!$D$11*0.95,0)-IF(AND(Projects!$G$11="Yes",N$3=Projects!$C$11+Projects!$D$11-1),Projects!$B$11*(Assumptions!$B$10+Assumptions!$B$11+Assumptions!$B$12)*0.05,0)</f>
        <v/>
      </c>
      <c r="O22" s="399">
        <f>IF(AND(Projects!$G$11="Yes",O$3&gt;=Projects!$C$11,O$3&lt;Projects!$C$11+Projects!$D$11),Projects!$B$11*INDEX(Curves!$B$4:$AR$4,1,O$3-Projects!$C$11+1),0)-IF(AND(Projects!$G$11="Yes",O$3&gt;=Projects!$C$11,O$3&lt;Projects!$C$11+Projects!$D$11),Projects!$B$11*(Assumptions!$B$10+Assumptions!$B$11+Assumptions!$B$12)/Projects!$D$11*0.95,0)-IF(AND(Projects!$G$11="Yes",O$3=Projects!$C$11+Projects!$D$11-1),Projects!$B$11*(Assumptions!$B$10+Assumptions!$B$11+Assumptions!$B$12)*0.05,0)</f>
        <v/>
      </c>
      <c r="P22" s="399">
        <f>IF(AND(Projects!$G$11="Yes",P$3&gt;=Projects!$C$11,P$3&lt;Projects!$C$11+Projects!$D$11),Projects!$B$11*INDEX(Curves!$B$4:$AR$4,1,P$3-Projects!$C$11+1),0)-IF(AND(Projects!$G$11="Yes",P$3&gt;=Projects!$C$11,P$3&lt;Projects!$C$11+Projects!$D$11),Projects!$B$11*(Assumptions!$B$10+Assumptions!$B$11+Assumptions!$B$12)/Projects!$D$11*0.95,0)-IF(AND(Projects!$G$11="Yes",P$3=Projects!$C$11+Projects!$D$11-1),Projects!$B$11*(Assumptions!$B$10+Assumptions!$B$11+Assumptions!$B$12)*0.05,0)</f>
        <v/>
      </c>
      <c r="Q22" s="399">
        <f>IF(AND(Projects!$G$11="Yes",Q$3&gt;=Projects!$C$11,Q$3&lt;Projects!$C$11+Projects!$D$11),Projects!$B$11*INDEX(Curves!$B$4:$AR$4,1,Q$3-Projects!$C$11+1),0)-IF(AND(Projects!$G$11="Yes",Q$3&gt;=Projects!$C$11,Q$3&lt;Projects!$C$11+Projects!$D$11),Projects!$B$11*(Assumptions!$B$10+Assumptions!$B$11+Assumptions!$B$12)/Projects!$D$11*0.95,0)-IF(AND(Projects!$G$11="Yes",Q$3=Projects!$C$11+Projects!$D$11-1),Projects!$B$11*(Assumptions!$B$10+Assumptions!$B$11+Assumptions!$B$12)*0.05,0)</f>
        <v/>
      </c>
      <c r="R22" s="399">
        <f>IF(AND(Projects!$G$11="Yes",R$3&gt;=Projects!$C$11,R$3&lt;Projects!$C$11+Projects!$D$11),Projects!$B$11*INDEX(Curves!$B$4:$AR$4,1,R$3-Projects!$C$11+1),0)-IF(AND(Projects!$G$11="Yes",R$3&gt;=Projects!$C$11,R$3&lt;Projects!$C$11+Projects!$D$11),Projects!$B$11*(Assumptions!$B$10+Assumptions!$B$11+Assumptions!$B$12)/Projects!$D$11*0.95,0)-IF(AND(Projects!$G$11="Yes",R$3=Projects!$C$11+Projects!$D$11-1),Projects!$B$11*(Assumptions!$B$10+Assumptions!$B$11+Assumptions!$B$12)*0.05,0)</f>
        <v/>
      </c>
      <c r="S22" s="399">
        <f>IF(AND(Projects!$G$11="Yes",S$3&gt;=Projects!$C$11,S$3&lt;Projects!$C$11+Projects!$D$11),Projects!$B$11*INDEX(Curves!$B$4:$AR$4,1,S$3-Projects!$C$11+1),0)-IF(AND(Projects!$G$11="Yes",S$3&gt;=Projects!$C$11,S$3&lt;Projects!$C$11+Projects!$D$11),Projects!$B$11*(Assumptions!$B$10+Assumptions!$B$11+Assumptions!$B$12)/Projects!$D$11*0.95,0)-IF(AND(Projects!$G$11="Yes",S$3=Projects!$C$11+Projects!$D$11-1),Projects!$B$11*(Assumptions!$B$10+Assumptions!$B$11+Assumptions!$B$12)*0.05,0)</f>
        <v/>
      </c>
      <c r="T22" s="399">
        <f>IF(AND(Projects!$G$11="Yes",T$3&gt;=Projects!$C$11,T$3&lt;Projects!$C$11+Projects!$D$11),Projects!$B$11*INDEX(Curves!$B$4:$AR$4,1,T$3-Projects!$C$11+1),0)-IF(AND(Projects!$G$11="Yes",T$3&gt;=Projects!$C$11,T$3&lt;Projects!$C$11+Projects!$D$11),Projects!$B$11*(Assumptions!$B$10+Assumptions!$B$11+Assumptions!$B$12)/Projects!$D$11*0.95,0)-IF(AND(Projects!$G$11="Yes",T$3=Projects!$C$11+Projects!$D$11-1),Projects!$B$11*(Assumptions!$B$10+Assumptions!$B$11+Assumptions!$B$12)*0.05,0)</f>
        <v/>
      </c>
      <c r="U22" s="399">
        <f>IF(AND(Projects!$G$11="Yes",U$3&gt;=Projects!$C$11,U$3&lt;Projects!$C$11+Projects!$D$11),Projects!$B$11*INDEX(Curves!$B$4:$AR$4,1,U$3-Projects!$C$11+1),0)-IF(AND(Projects!$G$11="Yes",U$3&gt;=Projects!$C$11,U$3&lt;Projects!$C$11+Projects!$D$11),Projects!$B$11*(Assumptions!$B$10+Assumptions!$B$11+Assumptions!$B$12)/Projects!$D$11*0.95,0)-IF(AND(Projects!$G$11="Yes",U$3=Projects!$C$11+Projects!$D$11-1),Projects!$B$11*(Assumptions!$B$10+Assumptions!$B$11+Assumptions!$B$12)*0.05,0)</f>
        <v/>
      </c>
      <c r="V22" s="399">
        <f>IF(AND(Projects!$G$11="Yes",V$3&gt;=Projects!$C$11,V$3&lt;Projects!$C$11+Projects!$D$11),Projects!$B$11*INDEX(Curves!$B$4:$AR$4,1,V$3-Projects!$C$11+1),0)-IF(AND(Projects!$G$11="Yes",V$3&gt;=Projects!$C$11,V$3&lt;Projects!$C$11+Projects!$D$11),Projects!$B$11*(Assumptions!$B$10+Assumptions!$B$11+Assumptions!$B$12)/Projects!$D$11*0.95,0)-IF(AND(Projects!$G$11="Yes",V$3=Projects!$C$11+Projects!$D$11-1),Projects!$B$11*(Assumptions!$B$10+Assumptions!$B$11+Assumptions!$B$12)*0.05,0)</f>
        <v/>
      </c>
      <c r="W22" s="399">
        <f>IF(AND(Projects!$G$11="Yes",W$3&gt;=Projects!$C$11,W$3&lt;Projects!$C$11+Projects!$D$11),Projects!$B$11*INDEX(Curves!$B$4:$AR$4,1,W$3-Projects!$C$11+1),0)-IF(AND(Projects!$G$11="Yes",W$3&gt;=Projects!$C$11,W$3&lt;Projects!$C$11+Projects!$D$11),Projects!$B$11*(Assumptions!$B$10+Assumptions!$B$11+Assumptions!$B$12)/Projects!$D$11*0.95,0)-IF(AND(Projects!$G$11="Yes",W$3=Projects!$C$11+Projects!$D$11-1),Projects!$B$11*(Assumptions!$B$10+Assumptions!$B$11+Assumptions!$B$12)*0.05,0)</f>
        <v/>
      </c>
      <c r="X22" s="399">
        <f>IF(AND(Projects!$G$11="Yes",X$3&gt;=Projects!$C$11,X$3&lt;Projects!$C$11+Projects!$D$11),Projects!$B$11*INDEX(Curves!$B$4:$AR$4,1,X$3-Projects!$C$11+1),0)-IF(AND(Projects!$G$11="Yes",X$3&gt;=Projects!$C$11,X$3&lt;Projects!$C$11+Projects!$D$11),Projects!$B$11*(Assumptions!$B$10+Assumptions!$B$11+Assumptions!$B$12)/Projects!$D$11*0.95,0)-IF(AND(Projects!$G$11="Yes",X$3=Projects!$C$11+Projects!$D$11-1),Projects!$B$11*(Assumptions!$B$10+Assumptions!$B$11+Assumptions!$B$12)*0.05,0)</f>
        <v/>
      </c>
      <c r="Y22" s="399">
        <f>IF(AND(Projects!$G$11="Yes",Y$3&gt;=Projects!$C$11,Y$3&lt;Projects!$C$11+Projects!$D$11),Projects!$B$11*INDEX(Curves!$B$4:$AR$4,1,Y$3-Projects!$C$11+1),0)-IF(AND(Projects!$G$11="Yes",Y$3&gt;=Projects!$C$11,Y$3&lt;Projects!$C$11+Projects!$D$11),Projects!$B$11*(Assumptions!$B$10+Assumptions!$B$11+Assumptions!$B$12)/Projects!$D$11*0.95,0)-IF(AND(Projects!$G$11="Yes",Y$3=Projects!$C$11+Projects!$D$11-1),Projects!$B$11*(Assumptions!$B$10+Assumptions!$B$11+Assumptions!$B$12)*0.05,0)</f>
        <v/>
      </c>
      <c r="Z22" s="399">
        <f>IF(AND(Projects!$G$11="Yes",Z$3&gt;=Projects!$C$11,Z$3&lt;Projects!$C$11+Projects!$D$11),Projects!$B$11*INDEX(Curves!$B$4:$AR$4,1,Z$3-Projects!$C$11+1),0)-IF(AND(Projects!$G$11="Yes",Z$3&gt;=Projects!$C$11,Z$3&lt;Projects!$C$11+Projects!$D$11),Projects!$B$11*(Assumptions!$B$10+Assumptions!$B$11+Assumptions!$B$12)/Projects!$D$11*0.95,0)-IF(AND(Projects!$G$11="Yes",Z$3=Projects!$C$11+Projects!$D$11-1),Projects!$B$11*(Assumptions!$B$10+Assumptions!$B$11+Assumptions!$B$12)*0.05,0)</f>
        <v/>
      </c>
      <c r="AA22" s="399">
        <f>IF(AND(Projects!$G$11="Yes",AA$3&gt;=Projects!$C$11,AA$3&lt;Projects!$C$11+Projects!$D$11),Projects!$B$11*INDEX(Curves!$B$4:$AR$4,1,AA$3-Projects!$C$11+1),0)-IF(AND(Projects!$G$11="Yes",AA$3&gt;=Projects!$C$11,AA$3&lt;Projects!$C$11+Projects!$D$11),Projects!$B$11*(Assumptions!$B$10+Assumptions!$B$11+Assumptions!$B$12)/Projects!$D$11*0.95,0)-IF(AND(Projects!$G$11="Yes",AA$3=Projects!$C$11+Projects!$D$11-1),Projects!$B$11*(Assumptions!$B$10+Assumptions!$B$11+Assumptions!$B$12)*0.05,0)</f>
        <v/>
      </c>
      <c r="AB22" s="399">
        <f>IF(AND(Projects!$G$11="Yes",AB$3&gt;=Projects!$C$11,AB$3&lt;Projects!$C$11+Projects!$D$11),Projects!$B$11*INDEX(Curves!$B$4:$AR$4,1,AB$3-Projects!$C$11+1),0)-IF(AND(Projects!$G$11="Yes",AB$3&gt;=Projects!$C$11,AB$3&lt;Projects!$C$11+Projects!$D$11),Projects!$B$11*(Assumptions!$B$10+Assumptions!$B$11+Assumptions!$B$12)/Projects!$D$11*0.95,0)-IF(AND(Projects!$G$11="Yes",AB$3=Projects!$C$11+Projects!$D$11-1),Projects!$B$11*(Assumptions!$B$10+Assumptions!$B$11+Assumptions!$B$12)*0.05,0)</f>
        <v/>
      </c>
      <c r="AC22" s="399">
        <f>IF(AND(Projects!$G$11="Yes",AC$3&gt;=Projects!$C$11,AC$3&lt;Projects!$C$11+Projects!$D$11),Projects!$B$11*INDEX(Curves!$B$4:$AR$4,1,AC$3-Projects!$C$11+1),0)-IF(AND(Projects!$G$11="Yes",AC$3&gt;=Projects!$C$11,AC$3&lt;Projects!$C$11+Projects!$D$11),Projects!$B$11*(Assumptions!$B$10+Assumptions!$B$11+Assumptions!$B$12)/Projects!$D$11*0.95,0)-IF(AND(Projects!$G$11="Yes",AC$3=Projects!$C$11+Projects!$D$11-1),Projects!$B$11*(Assumptions!$B$10+Assumptions!$B$11+Assumptions!$B$12)*0.05,0)</f>
        <v/>
      </c>
      <c r="AD22" s="399">
        <f>IF(AND(Projects!$G$11="Yes",AD$3&gt;=Projects!$C$11,AD$3&lt;Projects!$C$11+Projects!$D$11),Projects!$B$11*INDEX(Curves!$B$4:$AR$4,1,AD$3-Projects!$C$11+1),0)-IF(AND(Projects!$G$11="Yes",AD$3&gt;=Projects!$C$11,AD$3&lt;Projects!$C$11+Projects!$D$11),Projects!$B$11*(Assumptions!$B$10+Assumptions!$B$11+Assumptions!$B$12)/Projects!$D$11*0.95,0)-IF(AND(Projects!$G$11="Yes",AD$3=Projects!$C$11+Projects!$D$11-1),Projects!$B$11*(Assumptions!$B$10+Assumptions!$B$11+Assumptions!$B$12)*0.05,0)</f>
        <v/>
      </c>
      <c r="AE22" s="399">
        <f>IF(AND(Projects!$G$11="Yes",AE$3&gt;=Projects!$C$11,AE$3&lt;Projects!$C$11+Projects!$D$11),Projects!$B$11*INDEX(Curves!$B$4:$AR$4,1,AE$3-Projects!$C$11+1),0)-IF(AND(Projects!$G$11="Yes",AE$3&gt;=Projects!$C$11,AE$3&lt;Projects!$C$11+Projects!$D$11),Projects!$B$11*(Assumptions!$B$10+Assumptions!$B$11+Assumptions!$B$12)/Projects!$D$11*0.95,0)-IF(AND(Projects!$G$11="Yes",AE$3=Projects!$C$11+Projects!$D$11-1),Projects!$B$11*(Assumptions!$B$10+Assumptions!$B$11+Assumptions!$B$12)*0.05,0)</f>
        <v/>
      </c>
      <c r="AF22" s="399">
        <f>IF(AND(Projects!$G$11="Yes",AF$3&gt;=Projects!$C$11,AF$3&lt;Projects!$C$11+Projects!$D$11),Projects!$B$11*INDEX(Curves!$B$4:$AR$4,1,AF$3-Projects!$C$11+1),0)-IF(AND(Projects!$G$11="Yes",AF$3&gt;=Projects!$C$11,AF$3&lt;Projects!$C$11+Projects!$D$11),Projects!$B$11*(Assumptions!$B$10+Assumptions!$B$11+Assumptions!$B$12)/Projects!$D$11*0.95,0)-IF(AND(Projects!$G$11="Yes",AF$3=Projects!$C$11+Projects!$D$11-1),Projects!$B$11*(Assumptions!$B$10+Assumptions!$B$11+Assumptions!$B$12)*0.05,0)</f>
        <v/>
      </c>
      <c r="AG22" s="399">
        <f>IF(AND(Projects!$G$11="Yes",AG$3&gt;=Projects!$C$11,AG$3&lt;Projects!$C$11+Projects!$D$11),Projects!$B$11*INDEX(Curves!$B$4:$AR$4,1,AG$3-Projects!$C$11+1),0)-IF(AND(Projects!$G$11="Yes",AG$3&gt;=Projects!$C$11,AG$3&lt;Projects!$C$11+Projects!$D$11),Projects!$B$11*(Assumptions!$B$10+Assumptions!$B$11+Assumptions!$B$12)/Projects!$D$11*0.95,0)-IF(AND(Projects!$G$11="Yes",AG$3=Projects!$C$11+Projects!$D$11-1),Projects!$B$11*(Assumptions!$B$10+Assumptions!$B$11+Assumptions!$B$12)*0.05,0)</f>
        <v/>
      </c>
      <c r="AH22" s="399">
        <f>IF(AND(Projects!$G$11="Yes",AH$3&gt;=Projects!$C$11,AH$3&lt;Projects!$C$11+Projects!$D$11),Projects!$B$11*INDEX(Curves!$B$4:$AR$4,1,AH$3-Projects!$C$11+1),0)-IF(AND(Projects!$G$11="Yes",AH$3&gt;=Projects!$C$11,AH$3&lt;Projects!$C$11+Projects!$D$11),Projects!$B$11*(Assumptions!$B$10+Assumptions!$B$11+Assumptions!$B$12)/Projects!$D$11*0.95,0)-IF(AND(Projects!$G$11="Yes",AH$3=Projects!$C$11+Projects!$D$11-1),Projects!$B$11*(Assumptions!$B$10+Assumptions!$B$11+Assumptions!$B$12)*0.05,0)</f>
        <v/>
      </c>
      <c r="AI22" s="399">
        <f>IF(AND(Projects!$G$11="Yes",AI$3&gt;=Projects!$C$11,AI$3&lt;Projects!$C$11+Projects!$D$11),Projects!$B$11*INDEX(Curves!$B$4:$AR$4,1,AI$3-Projects!$C$11+1),0)-IF(AND(Projects!$G$11="Yes",AI$3&gt;=Projects!$C$11,AI$3&lt;Projects!$C$11+Projects!$D$11),Projects!$B$11*(Assumptions!$B$10+Assumptions!$B$11+Assumptions!$B$12)/Projects!$D$11*0.95,0)-IF(AND(Projects!$G$11="Yes",AI$3=Projects!$C$11+Projects!$D$11-1),Projects!$B$11*(Assumptions!$B$10+Assumptions!$B$11+Assumptions!$B$12)*0.05,0)</f>
        <v/>
      </c>
      <c r="AJ22" s="399">
        <f>IF(AND(Projects!$G$11="Yes",AJ$3&gt;=Projects!$C$11,AJ$3&lt;Projects!$C$11+Projects!$D$11),Projects!$B$11*INDEX(Curves!$B$4:$AR$4,1,AJ$3-Projects!$C$11+1),0)-IF(AND(Projects!$G$11="Yes",AJ$3&gt;=Projects!$C$11,AJ$3&lt;Projects!$C$11+Projects!$D$11),Projects!$B$11*(Assumptions!$B$10+Assumptions!$B$11+Assumptions!$B$12)/Projects!$D$11*0.95,0)-IF(AND(Projects!$G$11="Yes",AJ$3=Projects!$C$11+Projects!$D$11-1),Projects!$B$11*(Assumptions!$B$10+Assumptions!$B$11+Assumptions!$B$12)*0.05,0)</f>
        <v/>
      </c>
      <c r="AK22" s="399">
        <f>IF(AND(Projects!$G$11="Yes",AK$3&gt;=Projects!$C$11,AK$3&lt;Projects!$C$11+Projects!$D$11),Projects!$B$11*INDEX(Curves!$B$4:$AR$4,1,AK$3-Projects!$C$11+1),0)-IF(AND(Projects!$G$11="Yes",AK$3&gt;=Projects!$C$11,AK$3&lt;Projects!$C$11+Projects!$D$11),Projects!$B$11*(Assumptions!$B$10+Assumptions!$B$11+Assumptions!$B$12)/Projects!$D$11*0.95,0)-IF(AND(Projects!$G$11="Yes",AK$3=Projects!$C$11+Projects!$D$11-1),Projects!$B$11*(Assumptions!$B$10+Assumptions!$B$11+Assumptions!$B$12)*0.05,0)</f>
        <v/>
      </c>
      <c r="AL22" s="399">
        <f>IF(AND(Projects!$G$11="Yes",AL$3&gt;=Projects!$C$11,AL$3&lt;Projects!$C$11+Projects!$D$11),Projects!$B$11*INDEX(Curves!$B$4:$AR$4,1,AL$3-Projects!$C$11+1),0)-IF(AND(Projects!$G$11="Yes",AL$3&gt;=Projects!$C$11,AL$3&lt;Projects!$C$11+Projects!$D$11),Projects!$B$11*(Assumptions!$B$10+Assumptions!$B$11+Assumptions!$B$12)/Projects!$D$11*0.95,0)-IF(AND(Projects!$G$11="Yes",AL$3=Projects!$C$11+Projects!$D$11-1),Projects!$B$11*(Assumptions!$B$10+Assumptions!$B$11+Assumptions!$B$12)*0.05,0)</f>
        <v/>
      </c>
      <c r="AM22" s="399">
        <f>IF(AND(Projects!$G$11="Yes",AM$3&gt;=Projects!$C$11,AM$3&lt;Projects!$C$11+Projects!$D$11),Projects!$B$11*INDEX(Curves!$B$4:$AR$4,1,AM$3-Projects!$C$11+1),0)-IF(AND(Projects!$G$11="Yes",AM$3&gt;=Projects!$C$11,AM$3&lt;Projects!$C$11+Projects!$D$11),Projects!$B$11*(Assumptions!$B$10+Assumptions!$B$11+Assumptions!$B$12)/Projects!$D$11*0.95,0)-IF(AND(Projects!$G$11="Yes",AM$3=Projects!$C$11+Projects!$D$11-1),Projects!$B$11*(Assumptions!$B$10+Assumptions!$B$11+Assumptions!$B$12)*0.05,0)</f>
        <v/>
      </c>
      <c r="AN22" s="399">
        <f>IF(AND(Projects!$G$11="Yes",AN$3&gt;=Projects!$C$11,AN$3&lt;Projects!$C$11+Projects!$D$11),Projects!$B$11*INDEX(Curves!$B$4:$AR$4,1,AN$3-Projects!$C$11+1),0)-IF(AND(Projects!$G$11="Yes",AN$3&gt;=Projects!$C$11,AN$3&lt;Projects!$C$11+Projects!$D$11),Projects!$B$11*(Assumptions!$B$10+Assumptions!$B$11+Assumptions!$B$12)/Projects!$D$11*0.95,0)-IF(AND(Projects!$G$11="Yes",AN$3=Projects!$C$11+Projects!$D$11-1),Projects!$B$11*(Assumptions!$B$10+Assumptions!$B$11+Assumptions!$B$12)*0.05,0)</f>
        <v/>
      </c>
      <c r="AO22" s="399">
        <f>IF(AND(Projects!$G$11="Yes",AO$3&gt;=Projects!$C$11,AO$3&lt;Projects!$C$11+Projects!$D$11),Projects!$B$11*INDEX(Curves!$B$4:$AR$4,1,AO$3-Projects!$C$11+1),0)-IF(AND(Projects!$G$11="Yes",AO$3&gt;=Projects!$C$11,AO$3&lt;Projects!$C$11+Projects!$D$11),Projects!$B$11*(Assumptions!$B$10+Assumptions!$B$11+Assumptions!$B$12)/Projects!$D$11*0.95,0)-IF(AND(Projects!$G$11="Yes",AO$3=Projects!$C$11+Projects!$D$11-1),Projects!$B$11*(Assumptions!$B$10+Assumptions!$B$11+Assumptions!$B$12)*0.05,0)</f>
        <v/>
      </c>
      <c r="AP22" s="399">
        <f>IF(AND(Projects!$G$11="Yes",AP$3&gt;=Projects!$C$11,AP$3&lt;Projects!$C$11+Projects!$D$11),Projects!$B$11*INDEX(Curves!$B$4:$AR$4,1,AP$3-Projects!$C$11+1),0)-IF(AND(Projects!$G$11="Yes",AP$3&gt;=Projects!$C$11,AP$3&lt;Projects!$C$11+Projects!$D$11),Projects!$B$11*(Assumptions!$B$10+Assumptions!$B$11+Assumptions!$B$12)/Projects!$D$11*0.95,0)-IF(AND(Projects!$G$11="Yes",AP$3=Projects!$C$11+Projects!$D$11-1),Projects!$B$11*(Assumptions!$B$10+Assumptions!$B$11+Assumptions!$B$12)*0.05,0)</f>
        <v/>
      </c>
      <c r="AQ22" s="399">
        <f>IF(AND(Projects!$G$11="Yes",AQ$3&gt;=Projects!$C$11,AQ$3&lt;Projects!$C$11+Projects!$D$11),Projects!$B$11*INDEX(Curves!$B$4:$AR$4,1,AQ$3-Projects!$C$11+1),0)-IF(AND(Projects!$G$11="Yes",AQ$3&gt;=Projects!$C$11,AQ$3&lt;Projects!$C$11+Projects!$D$11),Projects!$B$11*(Assumptions!$B$10+Assumptions!$B$11+Assumptions!$B$12)/Projects!$D$11*0.95,0)-IF(AND(Projects!$G$11="Yes",AQ$3=Projects!$C$11+Projects!$D$11-1),Projects!$B$11*(Assumptions!$B$10+Assumptions!$B$11+Assumptions!$B$12)*0.05,0)</f>
        <v/>
      </c>
      <c r="AR22" s="399">
        <f>IF(AND(Projects!$G$11="Yes",AR$3&gt;=Projects!$C$11,AR$3&lt;Projects!$C$11+Projects!$D$11),Projects!$B$11*INDEX(Curves!$B$4:$AR$4,1,AR$3-Projects!$C$11+1),0)-IF(AND(Projects!$G$11="Yes",AR$3&gt;=Projects!$C$11,AR$3&lt;Projects!$C$11+Projects!$D$11),Projects!$B$11*(Assumptions!$B$10+Assumptions!$B$11+Assumptions!$B$12)/Projects!$D$11*0.95,0)-IF(AND(Projects!$G$11="Yes",AR$3=Projects!$C$11+Projects!$D$11-1),Projects!$B$11*(Assumptions!$B$10+Assumptions!$B$11+Assumptions!$B$12)*0.05,0)</f>
        <v/>
      </c>
      <c r="AS22" s="399">
        <f>IF(AND(Projects!$G$11="Yes",AS$3&gt;=Projects!$C$11,AS$3&lt;Projects!$C$11+Projects!$D$11),Projects!$B$11*INDEX(Curves!$B$4:$AR$4,1,AS$3-Projects!$C$11+1),0)-IF(AND(Projects!$G$11="Yes",AS$3&gt;=Projects!$C$11,AS$3&lt;Projects!$C$11+Projects!$D$11),Projects!$B$11*(Assumptions!$B$10+Assumptions!$B$11+Assumptions!$B$12)/Projects!$D$11*0.95,0)-IF(AND(Projects!$G$11="Yes",AS$3=Projects!$C$11+Projects!$D$11-1),Projects!$B$11*(Assumptions!$B$10+Assumptions!$B$11+Assumptions!$B$12)*0.05,0)</f>
        <v/>
      </c>
      <c r="AT22" s="399">
        <f>IF(AND(Projects!$G$11="Yes",AT$3&gt;=Projects!$C$11,AT$3&lt;Projects!$C$11+Projects!$D$11),Projects!$B$11*INDEX(Curves!$B$4:$AR$4,1,AT$3-Projects!$C$11+1),0)-IF(AND(Projects!$G$11="Yes",AT$3&gt;=Projects!$C$11,AT$3&lt;Projects!$C$11+Projects!$D$11),Projects!$B$11*(Assumptions!$B$10+Assumptions!$B$11+Assumptions!$B$12)/Projects!$D$11*0.95,0)-IF(AND(Projects!$G$11="Yes",AT$3=Projects!$C$11+Projects!$D$11-1),Projects!$B$11*(Assumptions!$B$10+Assumptions!$B$11+Assumptions!$B$12)*0.05,0)</f>
        <v/>
      </c>
      <c r="AU22" s="399">
        <f>IF(AND(Projects!$G$11="Yes",AU$3&gt;=Projects!$C$11,AU$3&lt;Projects!$C$11+Projects!$D$11),Projects!$B$11*INDEX(Curves!$B$4:$AR$4,1,AU$3-Projects!$C$11+1),0)-IF(AND(Projects!$G$11="Yes",AU$3&gt;=Projects!$C$11,AU$3&lt;Projects!$C$11+Projects!$D$11),Projects!$B$11*(Assumptions!$B$10+Assumptions!$B$11+Assumptions!$B$12)/Projects!$D$11*0.95,0)-IF(AND(Projects!$G$11="Yes",AU$3=Projects!$C$11+Projects!$D$11-1),Projects!$B$11*(Assumptions!$B$10+Assumptions!$B$11+Assumptions!$B$12)*0.05,0)</f>
        <v/>
      </c>
      <c r="AV22" s="399">
        <f>IF(AND(Projects!$G$11="Yes",AV$3&gt;=Projects!$C$11,AV$3&lt;Projects!$C$11+Projects!$D$11),Projects!$B$11*INDEX(Curves!$B$4:$AR$4,1,AV$3-Projects!$C$11+1),0)-IF(AND(Projects!$G$11="Yes",AV$3&gt;=Projects!$C$11,AV$3&lt;Projects!$C$11+Projects!$D$11),Projects!$B$11*(Assumptions!$B$10+Assumptions!$B$11+Assumptions!$B$12)/Projects!$D$11*0.95,0)-IF(AND(Projects!$G$11="Yes",AV$3=Projects!$C$11+Projects!$D$11-1),Projects!$B$11*(Assumptions!$B$10+Assumptions!$B$11+Assumptions!$B$12)*0.05,0)</f>
        <v/>
      </c>
      <c r="AW22" s="399">
        <f>IF(AND(Projects!$G$11="Yes",AW$3&gt;=Projects!$C$11,AW$3&lt;Projects!$C$11+Projects!$D$11),Projects!$B$11*INDEX(Curves!$B$4:$AR$4,1,AW$3-Projects!$C$11+1),0)-IF(AND(Projects!$G$11="Yes",AW$3&gt;=Projects!$C$11,AW$3&lt;Projects!$C$11+Projects!$D$11),Projects!$B$11*(Assumptions!$B$10+Assumptions!$B$11+Assumptions!$B$12)/Projects!$D$11*0.95,0)-IF(AND(Projects!$G$11="Yes",AW$3=Projects!$C$11+Projects!$D$11-1),Projects!$B$11*(Assumptions!$B$10+Assumptions!$B$11+Assumptions!$B$12)*0.05,0)</f>
        <v/>
      </c>
      <c r="AX22" s="399">
        <f>IF(AND(Projects!$G$11="Yes",AX$3&gt;=Projects!$C$11,AX$3&lt;Projects!$C$11+Projects!$D$11),Projects!$B$11*INDEX(Curves!$B$4:$AR$4,1,AX$3-Projects!$C$11+1),0)-IF(AND(Projects!$G$11="Yes",AX$3&gt;=Projects!$C$11,AX$3&lt;Projects!$C$11+Projects!$D$11),Projects!$B$11*(Assumptions!$B$10+Assumptions!$B$11+Assumptions!$B$12)/Projects!$D$11*0.95,0)-IF(AND(Projects!$G$11="Yes",AX$3=Projects!$C$11+Projects!$D$11-1),Projects!$B$11*(Assumptions!$B$10+Assumptions!$B$11+Assumptions!$B$12)*0.05,0)</f>
        <v/>
      </c>
      <c r="AY22" s="399">
        <f>IF(AND(Projects!$G$11="Yes",AY$3&gt;=Projects!$C$11,AY$3&lt;Projects!$C$11+Projects!$D$11),Projects!$B$11*INDEX(Curves!$B$4:$AR$4,1,AY$3-Projects!$C$11+1),0)-IF(AND(Projects!$G$11="Yes",AY$3&gt;=Projects!$C$11,AY$3&lt;Projects!$C$11+Projects!$D$11),Projects!$B$11*(Assumptions!$B$10+Assumptions!$B$11+Assumptions!$B$12)/Projects!$D$11*0.95,0)-IF(AND(Projects!$G$11="Yes",AY$3=Projects!$C$11+Projects!$D$11-1),Projects!$B$11*(Assumptions!$B$10+Assumptions!$B$11+Assumptions!$B$12)*0.05,0)</f>
        <v/>
      </c>
      <c r="AZ22" s="399">
        <f>IF(AND(Projects!$G$11="Yes",AZ$3&gt;=Projects!$C$11,AZ$3&lt;Projects!$C$11+Projects!$D$11),Projects!$B$11*INDEX(Curves!$B$4:$AR$4,1,AZ$3-Projects!$C$11+1),0)-IF(AND(Projects!$G$11="Yes",AZ$3&gt;=Projects!$C$11,AZ$3&lt;Projects!$C$11+Projects!$D$11),Projects!$B$11*(Assumptions!$B$10+Assumptions!$B$11+Assumptions!$B$12)/Projects!$D$11*0.95,0)-IF(AND(Projects!$G$11="Yes",AZ$3=Projects!$C$11+Projects!$D$11-1),Projects!$B$11*(Assumptions!$B$10+Assumptions!$B$11+Assumptions!$B$12)*0.05,0)</f>
        <v/>
      </c>
      <c r="BA22" s="399">
        <f>IF(AND(Projects!$G$11="Yes",BA$3&gt;=Projects!$C$11,BA$3&lt;Projects!$C$11+Projects!$D$11),Projects!$B$11*INDEX(Curves!$B$4:$AR$4,1,BA$3-Projects!$C$11+1),0)-IF(AND(Projects!$G$11="Yes",BA$3&gt;=Projects!$C$11,BA$3&lt;Projects!$C$11+Projects!$D$11),Projects!$B$11*(Assumptions!$B$10+Assumptions!$B$11+Assumptions!$B$12)/Projects!$D$11*0.95,0)-IF(AND(Projects!$G$11="Yes",BA$3=Projects!$C$11+Projects!$D$11-1),Projects!$B$11*(Assumptions!$B$10+Assumptions!$B$11+Assumptions!$B$12)*0.05,0)</f>
        <v/>
      </c>
      <c r="BB22" s="399">
        <f>IF(AND(Projects!$G$11="Yes",BB$3&gt;=Projects!$C$11,BB$3&lt;Projects!$C$11+Projects!$D$11),Projects!$B$11*INDEX(Curves!$B$4:$AR$4,1,BB$3-Projects!$C$11+1),0)-IF(AND(Projects!$G$11="Yes",BB$3&gt;=Projects!$C$11,BB$3&lt;Projects!$C$11+Projects!$D$11),Projects!$B$11*(Assumptions!$B$10+Assumptions!$B$11+Assumptions!$B$12)/Projects!$D$11*0.95,0)-IF(AND(Projects!$G$11="Yes",BB$3=Projects!$C$11+Projects!$D$11-1),Projects!$B$11*(Assumptions!$B$10+Assumptions!$B$11+Assumptions!$B$12)*0.05,0)</f>
        <v/>
      </c>
      <c r="BC22" s="399">
        <f>IF(AND(Projects!$G$11="Yes",BC$3&gt;=Projects!$C$11,BC$3&lt;Projects!$C$11+Projects!$D$11),Projects!$B$11*INDEX(Curves!$B$4:$AR$4,1,BC$3-Projects!$C$11+1),0)-IF(AND(Projects!$G$11="Yes",BC$3&gt;=Projects!$C$11,BC$3&lt;Projects!$C$11+Projects!$D$11),Projects!$B$11*(Assumptions!$B$10+Assumptions!$B$11+Assumptions!$B$12)/Projects!$D$11*0.95,0)-IF(AND(Projects!$G$11="Yes",BC$3=Projects!$C$11+Projects!$D$11-1),Projects!$B$11*(Assumptions!$B$10+Assumptions!$B$11+Assumptions!$B$12)*0.05,0)</f>
        <v/>
      </c>
      <c r="BD22" s="399">
        <f>IF(AND(Projects!$G$11="Yes",BD$3&gt;=Projects!$C$11,BD$3&lt;Projects!$C$11+Projects!$D$11),Projects!$B$11*INDEX(Curves!$B$4:$AR$4,1,BD$3-Projects!$C$11+1),0)-IF(AND(Projects!$G$11="Yes",BD$3&gt;=Projects!$C$11,BD$3&lt;Projects!$C$11+Projects!$D$11),Projects!$B$11*(Assumptions!$B$10+Assumptions!$B$11+Assumptions!$B$12)/Projects!$D$11*0.95,0)-IF(AND(Projects!$G$11="Yes",BD$3=Projects!$C$11+Projects!$D$11-1),Projects!$B$11*(Assumptions!$B$10+Assumptions!$B$11+Assumptions!$B$12)*0.05,0)</f>
        <v/>
      </c>
      <c r="BE22" s="399">
        <f>IF(AND(Projects!$G$11="Yes",BE$3&gt;=Projects!$C$11,BE$3&lt;Projects!$C$11+Projects!$D$11),Projects!$B$11*INDEX(Curves!$B$4:$AR$4,1,BE$3-Projects!$C$11+1),0)-IF(AND(Projects!$G$11="Yes",BE$3&gt;=Projects!$C$11,BE$3&lt;Projects!$C$11+Projects!$D$11),Projects!$B$11*(Assumptions!$B$10+Assumptions!$B$11+Assumptions!$B$12)/Projects!$D$11*0.95,0)-IF(AND(Projects!$G$11="Yes",BE$3=Projects!$C$11+Projects!$D$11-1),Projects!$B$11*(Assumptions!$B$10+Assumptions!$B$11+Assumptions!$B$12)*0.05,0)</f>
        <v/>
      </c>
      <c r="BF22" s="399">
        <f>IF(AND(Projects!$G$11="Yes",BF$3&gt;=Projects!$C$11,BF$3&lt;Projects!$C$11+Projects!$D$11),Projects!$B$11*INDEX(Curves!$B$4:$AR$4,1,BF$3-Projects!$C$11+1),0)-IF(AND(Projects!$G$11="Yes",BF$3&gt;=Projects!$C$11,BF$3&lt;Projects!$C$11+Projects!$D$11),Projects!$B$11*(Assumptions!$B$10+Assumptions!$B$11+Assumptions!$B$12)/Projects!$D$11*0.95,0)-IF(AND(Projects!$G$11="Yes",BF$3=Projects!$C$11+Projects!$D$11-1),Projects!$B$11*(Assumptions!$B$10+Assumptions!$B$11+Assumptions!$B$12)*0.05,0)</f>
        <v/>
      </c>
      <c r="BG22" s="399">
        <f>IF(AND(Projects!$G$11="Yes",BG$3&gt;=Projects!$C$11,BG$3&lt;Projects!$C$11+Projects!$D$11),Projects!$B$11*INDEX(Curves!$B$4:$AR$4,1,BG$3-Projects!$C$11+1),0)-IF(AND(Projects!$G$11="Yes",BG$3&gt;=Projects!$C$11,BG$3&lt;Projects!$C$11+Projects!$D$11),Projects!$B$11*(Assumptions!$B$10+Assumptions!$B$11+Assumptions!$B$12)/Projects!$D$11*0.95,0)-IF(AND(Projects!$G$11="Yes",BG$3=Projects!$C$11+Projects!$D$11-1),Projects!$B$11*(Assumptions!$B$10+Assumptions!$B$11+Assumptions!$B$12)*0.05,0)</f>
        <v/>
      </c>
      <c r="BH22" s="399">
        <f>IF(AND(Projects!$G$11="Yes",BH$3&gt;=Projects!$C$11,BH$3&lt;Projects!$C$11+Projects!$D$11),Projects!$B$11*INDEX(Curves!$B$4:$AR$4,1,BH$3-Projects!$C$11+1),0)-IF(AND(Projects!$G$11="Yes",BH$3&gt;=Projects!$C$11,BH$3&lt;Projects!$C$11+Projects!$D$11),Projects!$B$11*(Assumptions!$B$10+Assumptions!$B$11+Assumptions!$B$12)/Projects!$D$11*0.95,0)-IF(AND(Projects!$G$11="Yes",BH$3=Projects!$C$11+Projects!$D$11-1),Projects!$B$11*(Assumptions!$B$10+Assumptions!$B$11+Assumptions!$B$12)*0.05,0)</f>
        <v/>
      </c>
      <c r="BI22" s="399">
        <f>IF(AND(Projects!$G$11="Yes",BI$3&gt;=Projects!$C$11,BI$3&lt;Projects!$C$11+Projects!$D$11),Projects!$B$11*INDEX(Curves!$B$4:$AR$4,1,BI$3-Projects!$C$11+1),0)-IF(AND(Projects!$G$11="Yes",BI$3&gt;=Projects!$C$11,BI$3&lt;Projects!$C$11+Projects!$D$11),Projects!$B$11*(Assumptions!$B$10+Assumptions!$B$11+Assumptions!$B$12)/Projects!$D$11*0.95,0)-IF(AND(Projects!$G$11="Yes",BI$3=Projects!$C$11+Projects!$D$11-1),Projects!$B$11*(Assumptions!$B$10+Assumptions!$B$11+Assumptions!$B$12)*0.05,0)</f>
        <v/>
      </c>
      <c r="BJ22" s="399">
        <f>IF(AND(Projects!$G$11="Yes",BJ$3&gt;=Projects!$C$11,BJ$3&lt;Projects!$C$11+Projects!$D$11),Projects!$B$11*INDEX(Curves!$B$4:$AR$4,1,BJ$3-Projects!$C$11+1),0)-IF(AND(Projects!$G$11="Yes",BJ$3&gt;=Projects!$C$11,BJ$3&lt;Projects!$C$11+Projects!$D$11),Projects!$B$11*(Assumptions!$B$10+Assumptions!$B$11+Assumptions!$B$12)/Projects!$D$11*0.95,0)-IF(AND(Projects!$G$11="Yes",BJ$3=Projects!$C$11+Projects!$D$11-1),Projects!$B$11*(Assumptions!$B$10+Assumptions!$B$11+Assumptions!$B$12)*0.05,0)</f>
        <v/>
      </c>
      <c r="BK22" s="399">
        <f>IF(AND(Projects!$G$11="Yes",BK$3&gt;=Projects!$C$11,BK$3&lt;Projects!$C$11+Projects!$D$11),Projects!$B$11*INDEX(Curves!$B$4:$AR$4,1,BK$3-Projects!$C$11+1),0)-IF(AND(Projects!$G$11="Yes",BK$3&gt;=Projects!$C$11,BK$3&lt;Projects!$C$11+Projects!$D$11),Projects!$B$11*(Assumptions!$B$10+Assumptions!$B$11+Assumptions!$B$12)/Projects!$D$11*0.95,0)-IF(AND(Projects!$G$11="Yes",BK$3=Projects!$C$11+Projects!$D$11-1),Projects!$B$11*(Assumptions!$B$10+Assumptions!$B$11+Assumptions!$B$12)*0.05,0)</f>
        <v/>
      </c>
      <c r="BL22" s="399">
        <f>IF(AND(Projects!$G$11="Yes",BL$3&gt;=Projects!$C$11,BL$3&lt;Projects!$C$11+Projects!$D$11),Projects!$B$11*INDEX(Curves!$B$4:$AR$4,1,BL$3-Projects!$C$11+1),0)-IF(AND(Projects!$G$11="Yes",BL$3&gt;=Projects!$C$11,BL$3&lt;Projects!$C$11+Projects!$D$11),Projects!$B$11*(Assumptions!$B$10+Assumptions!$B$11+Assumptions!$B$12)/Projects!$D$11*0.95,0)-IF(AND(Projects!$G$11="Yes",BL$3=Projects!$C$11+Projects!$D$11-1),Projects!$B$11*(Assumptions!$B$10+Assumptions!$B$11+Assumptions!$B$12)*0.05,0)</f>
        <v/>
      </c>
      <c r="BM22" s="399">
        <f>IF(AND(Projects!$G$11="Yes",BM$3&gt;=Projects!$C$11,BM$3&lt;Projects!$C$11+Projects!$D$11),Projects!$B$11*INDEX(Curves!$B$4:$AR$4,1,BM$3-Projects!$C$11+1),0)-IF(AND(Projects!$G$11="Yes",BM$3&gt;=Projects!$C$11,BM$3&lt;Projects!$C$11+Projects!$D$11),Projects!$B$11*(Assumptions!$B$10+Assumptions!$B$11+Assumptions!$B$12)/Projects!$D$11*0.95,0)-IF(AND(Projects!$G$11="Yes",BM$3=Projects!$C$11+Projects!$D$11-1),Projects!$B$11*(Assumptions!$B$10+Assumptions!$B$11+Assumptions!$B$12)*0.05,0)</f>
        <v/>
      </c>
      <c r="BN22" s="399">
        <f>IF(AND(Projects!$G$11="Yes",BN$3&gt;=Projects!$C$11,BN$3&lt;Projects!$C$11+Projects!$D$11),Projects!$B$11*INDEX(Curves!$B$4:$AR$4,1,BN$3-Projects!$C$11+1),0)-IF(AND(Projects!$G$11="Yes",BN$3&gt;=Projects!$C$11,BN$3&lt;Projects!$C$11+Projects!$D$11),Projects!$B$11*(Assumptions!$B$10+Assumptions!$B$11+Assumptions!$B$12)/Projects!$D$11*0.95,0)-IF(AND(Projects!$G$11="Yes",BN$3=Projects!$C$11+Projects!$D$11-1),Projects!$B$11*(Assumptions!$B$10+Assumptions!$B$11+Assumptions!$B$12)*0.05,0)</f>
        <v/>
      </c>
      <c r="BO22" s="399">
        <f>IF(AND(Projects!$G$11="Yes",BO$3&gt;=Projects!$C$11,BO$3&lt;Projects!$C$11+Projects!$D$11),Projects!$B$11*INDEX(Curves!$B$4:$AR$4,1,BO$3-Projects!$C$11+1),0)-IF(AND(Projects!$G$11="Yes",BO$3&gt;=Projects!$C$11,BO$3&lt;Projects!$C$11+Projects!$D$11),Projects!$B$11*(Assumptions!$B$10+Assumptions!$B$11+Assumptions!$B$12)/Projects!$D$11*0.95,0)-IF(AND(Projects!$G$11="Yes",BO$3=Projects!$C$11+Projects!$D$11-1),Projects!$B$11*(Assumptions!$B$10+Assumptions!$B$11+Assumptions!$B$12)*0.05,0)</f>
        <v/>
      </c>
      <c r="BP22" s="399">
        <f>IF(AND(Projects!$G$11="Yes",BP$3&gt;=Projects!$C$11,BP$3&lt;Projects!$C$11+Projects!$D$11),Projects!$B$11*INDEX(Curves!$B$4:$AR$4,1,BP$3-Projects!$C$11+1),0)-IF(AND(Projects!$G$11="Yes",BP$3&gt;=Projects!$C$11,BP$3&lt;Projects!$C$11+Projects!$D$11),Projects!$B$11*(Assumptions!$B$10+Assumptions!$B$11+Assumptions!$B$12)/Projects!$D$11*0.95,0)-IF(AND(Projects!$G$11="Yes",BP$3=Projects!$C$11+Projects!$D$11-1),Projects!$B$11*(Assumptions!$B$10+Assumptions!$B$11+Assumptions!$B$12)*0.05,0)</f>
        <v/>
      </c>
      <c r="BQ22" s="399">
        <f>IF(AND(Projects!$G$11="Yes",BQ$3&gt;=Projects!$C$11,BQ$3&lt;Projects!$C$11+Projects!$D$11),Projects!$B$11*INDEX(Curves!$B$4:$AR$4,1,BQ$3-Projects!$C$11+1),0)-IF(AND(Projects!$G$11="Yes",BQ$3&gt;=Projects!$C$11,BQ$3&lt;Projects!$C$11+Projects!$D$11),Projects!$B$11*(Assumptions!$B$10+Assumptions!$B$11+Assumptions!$B$12)/Projects!$D$11*0.95,0)-IF(AND(Projects!$G$11="Yes",BQ$3=Projects!$C$11+Projects!$D$11-1),Projects!$B$11*(Assumptions!$B$10+Assumptions!$B$11+Assumptions!$B$12)*0.05,0)</f>
        <v/>
      </c>
      <c r="BR22" s="399">
        <f>IF(AND(Projects!$G$11="Yes",BR$3&gt;=Projects!$C$11,BR$3&lt;Projects!$C$11+Projects!$D$11),Projects!$B$11*INDEX(Curves!$B$4:$AR$4,1,BR$3-Projects!$C$11+1),0)-IF(AND(Projects!$G$11="Yes",BR$3&gt;=Projects!$C$11,BR$3&lt;Projects!$C$11+Projects!$D$11),Projects!$B$11*(Assumptions!$B$10+Assumptions!$B$11+Assumptions!$B$12)/Projects!$D$11*0.95,0)-IF(AND(Projects!$G$11="Yes",BR$3=Projects!$C$11+Projects!$D$11-1),Projects!$B$11*(Assumptions!$B$10+Assumptions!$B$11+Assumptions!$B$12)*0.05,0)</f>
        <v/>
      </c>
      <c r="BS22" s="399">
        <f>IF(AND(Projects!$G$11="Yes",BS$3&gt;=Projects!$C$11,BS$3&lt;Projects!$C$11+Projects!$D$11),Projects!$B$11*INDEX(Curves!$B$4:$AR$4,1,BS$3-Projects!$C$11+1),0)-IF(AND(Projects!$G$11="Yes",BS$3&gt;=Projects!$C$11,BS$3&lt;Projects!$C$11+Projects!$D$11),Projects!$B$11*(Assumptions!$B$10+Assumptions!$B$11+Assumptions!$B$12)/Projects!$D$11*0.95,0)-IF(AND(Projects!$G$11="Yes",BS$3=Projects!$C$11+Projects!$D$11-1),Projects!$B$11*(Assumptions!$B$10+Assumptions!$B$11+Assumptions!$B$12)*0.05,0)</f>
        <v/>
      </c>
      <c r="BT22" s="399">
        <f>IF(AND(Projects!$G$11="Yes",BT$3&gt;=Projects!$C$11,BT$3&lt;Projects!$C$11+Projects!$D$11),Projects!$B$11*INDEX(Curves!$B$4:$AR$4,1,BT$3-Projects!$C$11+1),0)-IF(AND(Projects!$G$11="Yes",BT$3&gt;=Projects!$C$11,BT$3&lt;Projects!$C$11+Projects!$D$11),Projects!$B$11*(Assumptions!$B$10+Assumptions!$B$11+Assumptions!$B$12)/Projects!$D$11*0.95,0)-IF(AND(Projects!$G$11="Yes",BT$3=Projects!$C$11+Projects!$D$11-1),Projects!$B$11*(Assumptions!$B$10+Assumptions!$B$11+Assumptions!$B$12)*0.05,0)</f>
        <v/>
      </c>
      <c r="BU22" s="399">
        <f>IF(AND(Projects!$G$11="Yes",BU$3&gt;=Projects!$C$11,BU$3&lt;Projects!$C$11+Projects!$D$11),Projects!$B$11*INDEX(Curves!$B$4:$AR$4,1,BU$3-Projects!$C$11+1),0)-IF(AND(Projects!$G$11="Yes",BU$3&gt;=Projects!$C$11,BU$3&lt;Projects!$C$11+Projects!$D$11),Projects!$B$11*(Assumptions!$B$10+Assumptions!$B$11+Assumptions!$B$12)/Projects!$D$11*0.95,0)-IF(AND(Projects!$G$11="Yes",BU$3=Projects!$C$11+Projects!$D$11-1),Projects!$B$11*(Assumptions!$B$10+Assumptions!$B$11+Assumptions!$B$12)*0.05,0)</f>
        <v/>
      </c>
      <c r="BV22" s="399">
        <f>IF(AND(Projects!$G$11="Yes",BV$3&gt;=Projects!$C$11,BV$3&lt;Projects!$C$11+Projects!$D$11),Projects!$B$11*INDEX(Curves!$B$4:$AR$4,1,BV$3-Projects!$C$11+1),0)-IF(AND(Projects!$G$11="Yes",BV$3&gt;=Projects!$C$11,BV$3&lt;Projects!$C$11+Projects!$D$11),Projects!$B$11*(Assumptions!$B$10+Assumptions!$B$11+Assumptions!$B$12)/Projects!$D$11*0.95,0)-IF(AND(Projects!$G$11="Yes",BV$3=Projects!$C$11+Projects!$D$11-1),Projects!$B$11*(Assumptions!$B$10+Assumptions!$B$11+Assumptions!$B$12)*0.05,0)</f>
        <v/>
      </c>
      <c r="BW22" s="399">
        <f>IF(AND(Projects!$G$11="Yes",BW$3&gt;=Projects!$C$11,BW$3&lt;Projects!$C$11+Projects!$D$11),Projects!$B$11*INDEX(Curves!$B$4:$AR$4,1,BW$3-Projects!$C$11+1),0)-IF(AND(Projects!$G$11="Yes",BW$3&gt;=Projects!$C$11,BW$3&lt;Projects!$C$11+Projects!$D$11),Projects!$B$11*(Assumptions!$B$10+Assumptions!$B$11+Assumptions!$B$12)/Projects!$D$11*0.95,0)-IF(AND(Projects!$G$11="Yes",BW$3=Projects!$C$11+Projects!$D$11-1),Projects!$B$11*(Assumptions!$B$10+Assumptions!$B$11+Assumptions!$B$12)*0.05,0)</f>
        <v/>
      </c>
      <c r="BX22" s="399">
        <f>IF(AND(Projects!$G$11="Yes",BX$3&gt;=Projects!$C$11,BX$3&lt;Projects!$C$11+Projects!$D$11),Projects!$B$11*INDEX(Curves!$B$4:$AR$4,1,BX$3-Projects!$C$11+1),0)-IF(AND(Projects!$G$11="Yes",BX$3&gt;=Projects!$C$11,BX$3&lt;Projects!$C$11+Projects!$D$11),Projects!$B$11*(Assumptions!$B$10+Assumptions!$B$11+Assumptions!$B$12)/Projects!$D$11*0.95,0)-IF(AND(Projects!$G$11="Yes",BX$3=Projects!$C$11+Projects!$D$11-1),Projects!$B$11*(Assumptions!$B$10+Assumptions!$B$11+Assumptions!$B$12)*0.05,0)</f>
        <v/>
      </c>
      <c r="BY22" s="399">
        <f>IF(AND(Projects!$G$11="Yes",BY$3&gt;=Projects!$C$11,BY$3&lt;Projects!$C$11+Projects!$D$11),Projects!$B$11*INDEX(Curves!$B$4:$AR$4,1,BY$3-Projects!$C$11+1),0)-IF(AND(Projects!$G$11="Yes",BY$3&gt;=Projects!$C$11,BY$3&lt;Projects!$C$11+Projects!$D$11),Projects!$B$11*(Assumptions!$B$10+Assumptions!$B$11+Assumptions!$B$12)/Projects!$D$11*0.95,0)-IF(AND(Projects!$G$11="Yes",BY$3=Projects!$C$11+Projects!$D$11-1),Projects!$B$11*(Assumptions!$B$10+Assumptions!$B$11+Assumptions!$B$12)*0.05,0)</f>
        <v/>
      </c>
      <c r="BZ22" s="399">
        <f>IF(AND(Projects!$G$11="Yes",BZ$3&gt;=Projects!$C$11,BZ$3&lt;Projects!$C$11+Projects!$D$11),Projects!$B$11*INDEX(Curves!$B$4:$AR$4,1,BZ$3-Projects!$C$11+1),0)-IF(AND(Projects!$G$11="Yes",BZ$3&gt;=Projects!$C$11,BZ$3&lt;Projects!$C$11+Projects!$D$11),Projects!$B$11*(Assumptions!$B$10+Assumptions!$B$11+Assumptions!$B$12)/Projects!$D$11*0.95,0)-IF(AND(Projects!$G$11="Yes",BZ$3=Projects!$C$11+Projects!$D$11-1),Projects!$B$11*(Assumptions!$B$10+Assumptions!$B$11+Assumptions!$B$12)*0.05,0)</f>
        <v/>
      </c>
      <c r="CA22" s="399">
        <f>IF(AND(Projects!$G$11="Yes",CA$3&gt;=Projects!$C$11,CA$3&lt;Projects!$C$11+Projects!$D$11),Projects!$B$11*INDEX(Curves!$B$4:$AR$4,1,CA$3-Projects!$C$11+1),0)-IF(AND(Projects!$G$11="Yes",CA$3&gt;=Projects!$C$11,CA$3&lt;Projects!$C$11+Projects!$D$11),Projects!$B$11*(Assumptions!$B$10+Assumptions!$B$11+Assumptions!$B$12)/Projects!$D$11*0.95,0)-IF(AND(Projects!$G$11="Yes",CA$3=Projects!$C$11+Projects!$D$11-1),Projects!$B$11*(Assumptions!$B$10+Assumptions!$B$11+Assumptions!$B$12)*0.05,0)</f>
        <v/>
      </c>
      <c r="CB22" s="399">
        <f>IF(AND(Projects!$G$11="Yes",CB$3&gt;=Projects!$C$11,CB$3&lt;Projects!$C$11+Projects!$D$11),Projects!$B$11*INDEX(Curves!$B$4:$AR$4,1,CB$3-Projects!$C$11+1),0)-IF(AND(Projects!$G$11="Yes",CB$3&gt;=Projects!$C$11,CB$3&lt;Projects!$C$11+Projects!$D$11),Projects!$B$11*(Assumptions!$B$10+Assumptions!$B$11+Assumptions!$B$12)/Projects!$D$11*0.95,0)-IF(AND(Projects!$G$11="Yes",CB$3=Projects!$C$11+Projects!$D$11-1),Projects!$B$11*(Assumptions!$B$10+Assumptions!$B$11+Assumptions!$B$12)*0.05,0)</f>
        <v/>
      </c>
      <c r="CC22" s="399">
        <f>IF(AND(Projects!$G$11="Yes",CC$3&gt;=Projects!$C$11,CC$3&lt;Projects!$C$11+Projects!$D$11),Projects!$B$11*INDEX(Curves!$B$4:$AR$4,1,CC$3-Projects!$C$11+1),0)-IF(AND(Projects!$G$11="Yes",CC$3&gt;=Projects!$C$11,CC$3&lt;Projects!$C$11+Projects!$D$11),Projects!$B$11*(Assumptions!$B$10+Assumptions!$B$11+Assumptions!$B$12)/Projects!$D$11*0.95,0)-IF(AND(Projects!$G$11="Yes",CC$3=Projects!$C$11+Projects!$D$11-1),Projects!$B$11*(Assumptions!$B$10+Assumptions!$B$11+Assumptions!$B$12)*0.05,0)</f>
        <v/>
      </c>
      <c r="CD22" s="399">
        <f>IF(AND(Projects!$G$11="Yes",CD$3&gt;=Projects!$C$11,CD$3&lt;Projects!$C$11+Projects!$D$11),Projects!$B$11*INDEX(Curves!$B$4:$AR$4,1,CD$3-Projects!$C$11+1),0)-IF(AND(Projects!$G$11="Yes",CD$3&gt;=Projects!$C$11,CD$3&lt;Projects!$C$11+Projects!$D$11),Projects!$B$11*(Assumptions!$B$10+Assumptions!$B$11+Assumptions!$B$12)/Projects!$D$11*0.95,0)-IF(AND(Projects!$G$11="Yes",CD$3=Projects!$C$11+Projects!$D$11-1),Projects!$B$11*(Assumptions!$B$10+Assumptions!$B$11+Assumptions!$B$12)*0.05,0)</f>
        <v/>
      </c>
      <c r="CE22" s="399">
        <f>IF(AND(Projects!$G$11="Yes",CE$3&gt;=Projects!$C$11,CE$3&lt;Projects!$C$11+Projects!$D$11),Projects!$B$11*INDEX(Curves!$B$4:$AR$4,1,CE$3-Projects!$C$11+1),0)-IF(AND(Projects!$G$11="Yes",CE$3&gt;=Projects!$C$11,CE$3&lt;Projects!$C$11+Projects!$D$11),Projects!$B$11*(Assumptions!$B$10+Assumptions!$B$11+Assumptions!$B$12)/Projects!$D$11*0.95,0)-IF(AND(Projects!$G$11="Yes",CE$3=Projects!$C$11+Projects!$D$11-1),Projects!$B$11*(Assumptions!$B$10+Assumptions!$B$11+Assumptions!$B$12)*0.05,0)</f>
        <v/>
      </c>
      <c r="CF22" s="399">
        <f>IF(AND(Projects!$G$11="Yes",CF$3&gt;=Projects!$C$11,CF$3&lt;Projects!$C$11+Projects!$D$11),Projects!$B$11*INDEX(Curves!$B$4:$AR$4,1,CF$3-Projects!$C$11+1),0)-IF(AND(Projects!$G$11="Yes",CF$3&gt;=Projects!$C$11,CF$3&lt;Projects!$C$11+Projects!$D$11),Projects!$B$11*(Assumptions!$B$10+Assumptions!$B$11+Assumptions!$B$12)/Projects!$D$11*0.95,0)-IF(AND(Projects!$G$11="Yes",CF$3=Projects!$C$11+Projects!$D$11-1),Projects!$B$11*(Assumptions!$B$10+Assumptions!$B$11+Assumptions!$B$12)*0.05,0)</f>
        <v/>
      </c>
      <c r="CG22" s="399">
        <f>IF(AND(Projects!$G$11="Yes",CG$3&gt;=Projects!$C$11,CG$3&lt;Projects!$C$11+Projects!$D$11),Projects!$B$11*INDEX(Curves!$B$4:$AR$4,1,CG$3-Projects!$C$11+1),0)-IF(AND(Projects!$G$11="Yes",CG$3&gt;=Projects!$C$11,CG$3&lt;Projects!$C$11+Projects!$D$11),Projects!$B$11*(Assumptions!$B$10+Assumptions!$B$11+Assumptions!$B$12)/Projects!$D$11*0.95,0)-IF(AND(Projects!$G$11="Yes",CG$3=Projects!$C$11+Projects!$D$11-1),Projects!$B$11*(Assumptions!$B$10+Assumptions!$B$11+Assumptions!$B$12)*0.05,0)</f>
        <v/>
      </c>
      <c r="CH22" s="399">
        <f>IF(AND(Projects!$G$11="Yes",CH$3&gt;=Projects!$C$11,CH$3&lt;Projects!$C$11+Projects!$D$11),Projects!$B$11*INDEX(Curves!$B$4:$AR$4,1,CH$3-Projects!$C$11+1),0)-IF(AND(Projects!$G$11="Yes",CH$3&gt;=Projects!$C$11,CH$3&lt;Projects!$C$11+Projects!$D$11),Projects!$B$11*(Assumptions!$B$10+Assumptions!$B$11+Assumptions!$B$12)/Projects!$D$11*0.95,0)-IF(AND(Projects!$G$11="Yes",CH$3=Projects!$C$11+Projects!$D$11-1),Projects!$B$11*(Assumptions!$B$10+Assumptions!$B$11+Assumptions!$B$12)*0.05,0)</f>
        <v/>
      </c>
      <c r="CI22" s="399">
        <f>IF(AND(Projects!$G$11="Yes",CI$3&gt;=Projects!$C$11,CI$3&lt;Projects!$C$11+Projects!$D$11),Projects!$B$11*INDEX(Curves!$B$4:$AR$4,1,CI$3-Projects!$C$11+1),0)-IF(AND(Projects!$G$11="Yes",CI$3&gt;=Projects!$C$11,CI$3&lt;Projects!$C$11+Projects!$D$11),Projects!$B$11*(Assumptions!$B$10+Assumptions!$B$11+Assumptions!$B$12)/Projects!$D$11*0.95,0)-IF(AND(Projects!$G$11="Yes",CI$3=Projects!$C$11+Projects!$D$11-1),Projects!$B$11*(Assumptions!$B$10+Assumptions!$B$11+Assumptions!$B$12)*0.05,0)</f>
        <v/>
      </c>
      <c r="CJ22" s="399">
        <f>IF(AND(Projects!$G$11="Yes",CJ$3&gt;=Projects!$C$11,CJ$3&lt;Projects!$C$11+Projects!$D$11),Projects!$B$11*INDEX(Curves!$B$4:$AR$4,1,CJ$3-Projects!$C$11+1),0)-IF(AND(Projects!$G$11="Yes",CJ$3&gt;=Projects!$C$11,CJ$3&lt;Projects!$C$11+Projects!$D$11),Projects!$B$11*(Assumptions!$B$10+Assumptions!$B$11+Assumptions!$B$12)/Projects!$D$11*0.95,0)-IF(AND(Projects!$G$11="Yes",CJ$3=Projects!$C$11+Projects!$D$11-1),Projects!$B$11*(Assumptions!$B$10+Assumptions!$B$11+Assumptions!$B$12)*0.05,0)</f>
        <v/>
      </c>
      <c r="CK22" s="399">
        <f>IF(AND(Projects!$G$11="Yes",CK$3&gt;=Projects!$C$11,CK$3&lt;Projects!$C$11+Projects!$D$11),Projects!$B$11*INDEX(Curves!$B$4:$AR$4,1,CK$3-Projects!$C$11+1),0)-IF(AND(Projects!$G$11="Yes",CK$3&gt;=Projects!$C$11,CK$3&lt;Projects!$C$11+Projects!$D$11),Projects!$B$11*(Assumptions!$B$10+Assumptions!$B$11+Assumptions!$B$12)/Projects!$D$11*0.95,0)-IF(AND(Projects!$G$11="Yes",CK$3=Projects!$C$11+Projects!$D$11-1),Projects!$B$11*(Assumptions!$B$10+Assumptions!$B$11+Assumptions!$B$12)*0.05,0)</f>
        <v/>
      </c>
      <c r="CL22" s="399">
        <f>IF(AND(Projects!$G$11="Yes",CL$3&gt;=Projects!$C$11,CL$3&lt;Projects!$C$11+Projects!$D$11),Projects!$B$11*INDEX(Curves!$B$4:$AR$4,1,CL$3-Projects!$C$11+1),0)-IF(AND(Projects!$G$11="Yes",CL$3&gt;=Projects!$C$11,CL$3&lt;Projects!$C$11+Projects!$D$11),Projects!$B$11*(Assumptions!$B$10+Assumptions!$B$11+Assumptions!$B$12)/Projects!$D$11*0.95,0)-IF(AND(Projects!$G$11="Yes",CL$3=Projects!$C$11+Projects!$D$11-1),Projects!$B$11*(Assumptions!$B$10+Assumptions!$B$11+Assumptions!$B$12)*0.05,0)</f>
        <v/>
      </c>
      <c r="CM22" s="399">
        <f>IF(AND(Projects!$G$11="Yes",CM$3&gt;=Projects!$C$11,CM$3&lt;Projects!$C$11+Projects!$D$11),Projects!$B$11*INDEX(Curves!$B$4:$AR$4,1,CM$3-Projects!$C$11+1),0)-IF(AND(Projects!$G$11="Yes",CM$3&gt;=Projects!$C$11,CM$3&lt;Projects!$C$11+Projects!$D$11),Projects!$B$11*(Assumptions!$B$10+Assumptions!$B$11+Assumptions!$B$12)/Projects!$D$11*0.95,0)-IF(AND(Projects!$G$11="Yes",CM$3=Projects!$C$11+Projects!$D$11-1),Projects!$B$11*(Assumptions!$B$10+Assumptions!$B$11+Assumptions!$B$12)*0.05,0)</f>
        <v/>
      </c>
      <c r="CN22" s="399">
        <f>IF(AND(Projects!$G$11="Yes",CN$3&gt;=Projects!$C$11,CN$3&lt;Projects!$C$11+Projects!$D$11),Projects!$B$11*INDEX(Curves!$B$4:$AR$4,1,CN$3-Projects!$C$11+1),0)-IF(AND(Projects!$G$11="Yes",CN$3&gt;=Projects!$C$11,CN$3&lt;Projects!$C$11+Projects!$D$11),Projects!$B$11*(Assumptions!$B$10+Assumptions!$B$11+Assumptions!$B$12)/Projects!$D$11*0.95,0)-IF(AND(Projects!$G$11="Yes",CN$3=Projects!$C$11+Projects!$D$11-1),Projects!$B$11*(Assumptions!$B$10+Assumptions!$B$11+Assumptions!$B$12)*0.05,0)</f>
        <v/>
      </c>
      <c r="CO22" s="399">
        <f>IF(AND(Projects!$G$11="Yes",CO$3&gt;=Projects!$C$11,CO$3&lt;Projects!$C$11+Projects!$D$11),Projects!$B$11*INDEX(Curves!$B$4:$AR$4,1,CO$3-Projects!$C$11+1),0)-IF(AND(Projects!$G$11="Yes",CO$3&gt;=Projects!$C$11,CO$3&lt;Projects!$C$11+Projects!$D$11),Projects!$B$11*(Assumptions!$B$10+Assumptions!$B$11+Assumptions!$B$12)/Projects!$D$11*0.95,0)-IF(AND(Projects!$G$11="Yes",CO$3=Projects!$C$11+Projects!$D$11-1),Projects!$B$11*(Assumptions!$B$10+Assumptions!$B$11+Assumptions!$B$12)*0.05,0)</f>
        <v/>
      </c>
      <c r="CP22" s="399">
        <f>IF(AND(Projects!$G$11="Yes",CP$3&gt;=Projects!$C$11,CP$3&lt;Projects!$C$11+Projects!$D$11),Projects!$B$11*INDEX(Curves!$B$4:$AR$4,1,CP$3-Projects!$C$11+1),0)-IF(AND(Projects!$G$11="Yes",CP$3&gt;=Projects!$C$11,CP$3&lt;Projects!$C$11+Projects!$D$11),Projects!$B$11*(Assumptions!$B$10+Assumptions!$B$11+Assumptions!$B$12)/Projects!$D$11*0.95,0)-IF(AND(Projects!$G$11="Yes",CP$3=Projects!$C$11+Projects!$D$11-1),Projects!$B$11*(Assumptions!$B$10+Assumptions!$B$11+Assumptions!$B$12)*0.05,0)</f>
        <v/>
      </c>
      <c r="CQ22" s="399">
        <f>IF(AND(Projects!$G$11="Yes",CQ$3&gt;=Projects!$C$11,CQ$3&lt;Projects!$C$11+Projects!$D$11),Projects!$B$11*INDEX(Curves!$B$4:$AR$4,1,CQ$3-Projects!$C$11+1),0)-IF(AND(Projects!$G$11="Yes",CQ$3&gt;=Projects!$C$11,CQ$3&lt;Projects!$C$11+Projects!$D$11),Projects!$B$11*(Assumptions!$B$10+Assumptions!$B$11+Assumptions!$B$12)/Projects!$D$11*0.95,0)-IF(AND(Projects!$G$11="Yes",CQ$3=Projects!$C$11+Projects!$D$11-1),Projects!$B$11*(Assumptions!$B$10+Assumptions!$B$11+Assumptions!$B$12)*0.05,0)</f>
        <v/>
      </c>
      <c r="CR22" s="399">
        <f>IF(AND(Projects!$G$11="Yes",CR$3&gt;=Projects!$C$11,CR$3&lt;Projects!$C$11+Projects!$D$11),Projects!$B$11*INDEX(Curves!$B$4:$AR$4,1,CR$3-Projects!$C$11+1),0)-IF(AND(Projects!$G$11="Yes",CR$3&gt;=Projects!$C$11,CR$3&lt;Projects!$C$11+Projects!$D$11),Projects!$B$11*(Assumptions!$B$10+Assumptions!$B$11+Assumptions!$B$12)/Projects!$D$11*0.95,0)-IF(AND(Projects!$G$11="Yes",CR$3=Projects!$C$11+Projects!$D$11-1),Projects!$B$11*(Assumptions!$B$10+Assumptions!$B$11+Assumptions!$B$12)*0.05,0)</f>
        <v/>
      </c>
      <c r="CS22" s="399">
        <f>IF(AND(Projects!$G$11="Yes",CS$3&gt;=Projects!$C$11,CS$3&lt;Projects!$C$11+Projects!$D$11),Projects!$B$11*INDEX(Curves!$B$4:$AR$4,1,CS$3-Projects!$C$11+1),0)-IF(AND(Projects!$G$11="Yes",CS$3&gt;=Projects!$C$11,CS$3&lt;Projects!$C$11+Projects!$D$11),Projects!$B$11*(Assumptions!$B$10+Assumptions!$B$11+Assumptions!$B$12)/Projects!$D$11*0.95,0)-IF(AND(Projects!$G$11="Yes",CS$3=Projects!$C$11+Projects!$D$11-1),Projects!$B$11*(Assumptions!$B$10+Assumptions!$B$11+Assumptions!$B$12)*0.05,0)</f>
        <v/>
      </c>
      <c r="CT22" s="399">
        <f>IF(AND(Projects!$G$11="Yes",CT$3&gt;=Projects!$C$11,CT$3&lt;Projects!$C$11+Projects!$D$11),Projects!$B$11*INDEX(Curves!$B$4:$AR$4,1,CT$3-Projects!$C$11+1),0)-IF(AND(Projects!$G$11="Yes",CT$3&gt;=Projects!$C$11,CT$3&lt;Projects!$C$11+Projects!$D$11),Projects!$B$11*(Assumptions!$B$10+Assumptions!$B$11+Assumptions!$B$12)/Projects!$D$11*0.95,0)-IF(AND(Projects!$G$11="Yes",CT$3=Projects!$C$11+Projects!$D$11-1),Projects!$B$11*(Assumptions!$B$10+Assumptions!$B$11+Assumptions!$B$12)*0.05,0)</f>
        <v/>
      </c>
      <c r="CU22" s="399">
        <f>IF(AND(Projects!$G$11="Yes",CU$3&gt;=Projects!$C$11,CU$3&lt;Projects!$C$11+Projects!$D$11),Projects!$B$11*INDEX(Curves!$B$4:$AR$4,1,CU$3-Projects!$C$11+1),0)-IF(AND(Projects!$G$11="Yes",CU$3&gt;=Projects!$C$11,CU$3&lt;Projects!$C$11+Projects!$D$11),Projects!$B$11*(Assumptions!$B$10+Assumptions!$B$11+Assumptions!$B$12)/Projects!$D$11*0.95,0)-IF(AND(Projects!$G$11="Yes",CU$3=Projects!$C$11+Projects!$D$11-1),Projects!$B$11*(Assumptions!$B$10+Assumptions!$B$11+Assumptions!$B$12)*0.05,0)</f>
        <v/>
      </c>
      <c r="CV22" s="399">
        <f>IF(AND(Projects!$G$11="Yes",CV$3&gt;=Projects!$C$11,CV$3&lt;Projects!$C$11+Projects!$D$11),Projects!$B$11*INDEX(Curves!$B$4:$AR$4,1,CV$3-Projects!$C$11+1),0)-IF(AND(Projects!$G$11="Yes",CV$3&gt;=Projects!$C$11,CV$3&lt;Projects!$C$11+Projects!$D$11),Projects!$B$11*(Assumptions!$B$10+Assumptions!$B$11+Assumptions!$B$12)/Projects!$D$11*0.95,0)-IF(AND(Projects!$G$11="Yes",CV$3=Projects!$C$11+Projects!$D$11-1),Projects!$B$11*(Assumptions!$B$10+Assumptions!$B$11+Assumptions!$B$12)*0.05,0)</f>
        <v/>
      </c>
      <c r="CW22" s="399">
        <f>IF(AND(Projects!$G$11="Yes",CW$3&gt;=Projects!$C$11,CW$3&lt;Projects!$C$11+Projects!$D$11),Projects!$B$11*INDEX(Curves!$B$4:$AR$4,1,CW$3-Projects!$C$11+1),0)-IF(AND(Projects!$G$11="Yes",CW$3&gt;=Projects!$C$11,CW$3&lt;Projects!$C$11+Projects!$D$11),Projects!$B$11*(Assumptions!$B$10+Assumptions!$B$11+Assumptions!$B$12)/Projects!$D$11*0.95,0)-IF(AND(Projects!$G$11="Yes",CW$3=Projects!$C$11+Projects!$D$11-1),Projects!$B$11*(Assumptions!$B$10+Assumptions!$B$11+Assumptions!$B$12)*0.05,0)</f>
        <v/>
      </c>
      <c r="CX22" s="399">
        <f>IF(AND(Projects!$G$11="Yes",CX$3&gt;=Projects!$C$11,CX$3&lt;Projects!$C$11+Projects!$D$11),Projects!$B$11*INDEX(Curves!$B$4:$AR$4,1,CX$3-Projects!$C$11+1),0)-IF(AND(Projects!$G$11="Yes",CX$3&gt;=Projects!$C$11,CX$3&lt;Projects!$C$11+Projects!$D$11),Projects!$B$11*(Assumptions!$B$10+Assumptions!$B$11+Assumptions!$B$12)/Projects!$D$11*0.95,0)-IF(AND(Projects!$G$11="Yes",CX$3=Projects!$C$11+Projects!$D$11-1),Projects!$B$11*(Assumptions!$B$10+Assumptions!$B$11+Assumptions!$B$12)*0.05,0)</f>
        <v/>
      </c>
      <c r="CY22" s="399">
        <f>IF(AND(Projects!$G$11="Yes",CY$3&gt;=Projects!$C$11,CY$3&lt;Projects!$C$11+Projects!$D$11),Projects!$B$11*INDEX(Curves!$B$4:$AR$4,1,CY$3-Projects!$C$11+1),0)-IF(AND(Projects!$G$11="Yes",CY$3&gt;=Projects!$C$11,CY$3&lt;Projects!$C$11+Projects!$D$11),Projects!$B$11*(Assumptions!$B$10+Assumptions!$B$11+Assumptions!$B$12)/Projects!$D$11*0.95,0)-IF(AND(Projects!$G$11="Yes",CY$3=Projects!$C$11+Projects!$D$11-1),Projects!$B$11*(Assumptions!$B$10+Assumptions!$B$11+Assumptions!$B$12)*0.05,0)</f>
        <v/>
      </c>
      <c r="CZ22" s="399">
        <f>IF(AND(Projects!$G$11="Yes",CZ$3&gt;=Projects!$C$11,CZ$3&lt;Projects!$C$11+Projects!$D$11),Projects!$B$11*INDEX(Curves!$B$4:$AR$4,1,CZ$3-Projects!$C$11+1),0)-IF(AND(Projects!$G$11="Yes",CZ$3&gt;=Projects!$C$11,CZ$3&lt;Projects!$C$11+Projects!$D$11),Projects!$B$11*(Assumptions!$B$10+Assumptions!$B$11+Assumptions!$B$12)/Projects!$D$11*0.95,0)-IF(AND(Projects!$G$11="Yes",CZ$3=Projects!$C$11+Projects!$D$11-1),Projects!$B$11*(Assumptions!$B$10+Assumptions!$B$11+Assumptions!$B$12)*0.05,0)</f>
        <v/>
      </c>
      <c r="DA22" s="399">
        <f>IF(AND(Projects!$G$11="Yes",DA$3&gt;=Projects!$C$11,DA$3&lt;Projects!$C$11+Projects!$D$11),Projects!$B$11*INDEX(Curves!$B$4:$AR$4,1,DA$3-Projects!$C$11+1),0)-IF(AND(Projects!$G$11="Yes",DA$3&gt;=Projects!$C$11,DA$3&lt;Projects!$C$11+Projects!$D$11),Projects!$B$11*(Assumptions!$B$10+Assumptions!$B$11+Assumptions!$B$12)/Projects!$D$11*0.95,0)-IF(AND(Projects!$G$11="Yes",DA$3=Projects!$C$11+Projects!$D$11-1),Projects!$B$11*(Assumptions!$B$10+Assumptions!$B$11+Assumptions!$B$12)*0.05,0)</f>
        <v/>
      </c>
      <c r="DB22" s="399">
        <f>IF(AND(Projects!$G$11="Yes",DB$3&gt;=Projects!$C$11,DB$3&lt;Projects!$C$11+Projects!$D$11),Projects!$B$11*INDEX(Curves!$B$4:$AR$4,1,DB$3-Projects!$C$11+1),0)-IF(AND(Projects!$G$11="Yes",DB$3&gt;=Projects!$C$11,DB$3&lt;Projects!$C$11+Projects!$D$11),Projects!$B$11*(Assumptions!$B$10+Assumptions!$B$11+Assumptions!$B$12)/Projects!$D$11*0.95,0)-IF(AND(Projects!$G$11="Yes",DB$3=Projects!$C$11+Projects!$D$11-1),Projects!$B$11*(Assumptions!$B$10+Assumptions!$B$11+Assumptions!$B$12)*0.05,0)</f>
        <v/>
      </c>
      <c r="DC22" s="399">
        <f>IF(AND(Projects!$G$11="Yes",DC$3&gt;=Projects!$C$11,DC$3&lt;Projects!$C$11+Projects!$D$11),Projects!$B$11*INDEX(Curves!$B$4:$AR$4,1,DC$3-Projects!$C$11+1),0)-IF(AND(Projects!$G$11="Yes",DC$3&gt;=Projects!$C$11,DC$3&lt;Projects!$C$11+Projects!$D$11),Projects!$B$11*(Assumptions!$B$10+Assumptions!$B$11+Assumptions!$B$12)/Projects!$D$11*0.95,0)-IF(AND(Projects!$G$11="Yes",DC$3=Projects!$C$11+Projects!$D$11-1),Projects!$B$11*(Assumptions!$B$10+Assumptions!$B$11+Assumptions!$B$12)*0.05,0)</f>
        <v/>
      </c>
      <c r="DD22" s="399">
        <f>IF(AND(Projects!$G$11="Yes",DD$3&gt;=Projects!$C$11,DD$3&lt;Projects!$C$11+Projects!$D$11),Projects!$B$11*INDEX(Curves!$B$4:$AR$4,1,DD$3-Projects!$C$11+1),0)-IF(AND(Projects!$G$11="Yes",DD$3&gt;=Projects!$C$11,DD$3&lt;Projects!$C$11+Projects!$D$11),Projects!$B$11*(Assumptions!$B$10+Assumptions!$B$11+Assumptions!$B$12)/Projects!$D$11*0.95,0)-IF(AND(Projects!$G$11="Yes",DD$3=Projects!$C$11+Projects!$D$11-1),Projects!$B$11*(Assumptions!$B$10+Assumptions!$B$11+Assumptions!$B$12)*0.05,0)</f>
        <v/>
      </c>
      <c r="DE22" s="399">
        <f>IF(AND(Projects!$G$11="Yes",DE$3&gt;=Projects!$C$11,DE$3&lt;Projects!$C$11+Projects!$D$11),Projects!$B$11*INDEX(Curves!$B$4:$AR$4,1,DE$3-Projects!$C$11+1),0)-IF(AND(Projects!$G$11="Yes",DE$3&gt;=Projects!$C$11,DE$3&lt;Projects!$C$11+Projects!$D$11),Projects!$B$11*(Assumptions!$B$10+Assumptions!$B$11+Assumptions!$B$12)/Projects!$D$11*0.95,0)-IF(AND(Projects!$G$11="Yes",DE$3=Projects!$C$11+Projects!$D$11-1),Projects!$B$11*(Assumptions!$B$10+Assumptions!$B$11+Assumptions!$B$12)*0.05,0)</f>
        <v/>
      </c>
    </row>
    <row r="23" hidden="1" outlineLevel="1" ht="15" customFormat="1" customHeight="1" s="380">
      <c r="A23" s="407" t="inlineStr">
        <is>
          <t>Scott</t>
        </is>
      </c>
      <c r="B23" s="399" t="n">
        <v>0</v>
      </c>
      <c r="C23" s="399" t="n">
        <v>0</v>
      </c>
      <c r="D23" s="399" t="n">
        <v>0</v>
      </c>
      <c r="E23" s="399" t="n">
        <v>0</v>
      </c>
      <c r="F23" s="399">
        <f>IF(AND(Projects!$G$12="Yes",F$3&gt;=Projects!$C$12,F$3&lt;Projects!$C$12+Projects!$D$12),Projects!$B$12*INDEX(Curves!$B$4:$AR$4,1,F$3-Projects!$C$12+1),0)-IF(AND(Projects!$G$12="Yes",F$3&gt;=Projects!$C$12,F$3&lt;Projects!$C$12+Projects!$D$12),Projects!$B$12*(Assumptions!$B$10+Assumptions!$B$11+Assumptions!$B$12)/Projects!$D$12*0.95,0)-IF(AND(Projects!$G$12="Yes",F$3=Projects!$C$12+Projects!$D$12-1),Projects!$B$12*(Assumptions!$B$10+Assumptions!$B$11+Assumptions!$B$12)*0.05,0)</f>
        <v/>
      </c>
      <c r="G23" s="399">
        <f>IF(AND(Projects!$G$12="Yes",G$3&gt;=Projects!$C$12,G$3&lt;Projects!$C$12+Projects!$D$12),Projects!$B$12*INDEX(Curves!$B$4:$AR$4,1,G$3-Projects!$C$12+1),0)-IF(AND(Projects!$G$12="Yes",G$3&gt;=Projects!$C$12,G$3&lt;Projects!$C$12+Projects!$D$12),Projects!$B$12*(Assumptions!$B$10+Assumptions!$B$11+Assumptions!$B$12)/Projects!$D$12*0.95,0)-IF(AND(Projects!$G$12="Yes",G$3=Projects!$C$12+Projects!$D$12-1),Projects!$B$12*(Assumptions!$B$10+Assumptions!$B$11+Assumptions!$B$12)*0.05,0)</f>
        <v/>
      </c>
      <c r="H23" s="399">
        <f>IF(AND(Projects!$G$12="Yes",H$3&gt;=Projects!$C$12,H$3&lt;Projects!$C$12+Projects!$D$12),Projects!$B$12*INDEX(Curves!$B$4:$AR$4,1,H$3-Projects!$C$12+1),0)-IF(AND(Projects!$G$12="Yes",H$3&gt;=Projects!$C$12,H$3&lt;Projects!$C$12+Projects!$D$12),Projects!$B$12*(Assumptions!$B$10+Assumptions!$B$11+Assumptions!$B$12)/Projects!$D$12*0.95,0)-IF(AND(Projects!$G$12="Yes",H$3=Projects!$C$12+Projects!$D$12-1),Projects!$B$12*(Assumptions!$B$10+Assumptions!$B$11+Assumptions!$B$12)*0.05,0)</f>
        <v/>
      </c>
      <c r="I23" s="399">
        <f>IF(AND(Projects!$G$12="Yes",I$3&gt;=Projects!$C$12,I$3&lt;Projects!$C$12+Projects!$D$12),Projects!$B$12*INDEX(Curves!$B$4:$AR$4,1,I$3-Projects!$C$12+1),0)-IF(AND(Projects!$G$12="Yes",I$3&gt;=Projects!$C$12,I$3&lt;Projects!$C$12+Projects!$D$12),Projects!$B$12*(Assumptions!$B$10+Assumptions!$B$11+Assumptions!$B$12)/Projects!$D$12*0.95,0)-IF(AND(Projects!$G$12="Yes",I$3=Projects!$C$12+Projects!$D$12-1),Projects!$B$12*(Assumptions!$B$10+Assumptions!$B$11+Assumptions!$B$12)*0.05,0)</f>
        <v/>
      </c>
      <c r="J23" s="399">
        <f>IF(AND(Projects!$G$12="Yes",J$3&gt;=Projects!$C$12,J$3&lt;Projects!$C$12+Projects!$D$12),Projects!$B$12*INDEX(Curves!$B$4:$AR$4,1,J$3-Projects!$C$12+1),0)-IF(AND(Projects!$G$12="Yes",J$3&gt;=Projects!$C$12,J$3&lt;Projects!$C$12+Projects!$D$12),Projects!$B$12*(Assumptions!$B$10+Assumptions!$B$11+Assumptions!$B$12)/Projects!$D$12*0.95,0)-IF(AND(Projects!$G$12="Yes",J$3=Projects!$C$12+Projects!$D$12-1),Projects!$B$12*(Assumptions!$B$10+Assumptions!$B$11+Assumptions!$B$12)*0.05,0)</f>
        <v/>
      </c>
      <c r="K23" s="399">
        <f>IF(AND(Projects!$G$12="Yes",K$3&gt;=Projects!$C$12,K$3&lt;Projects!$C$12+Projects!$D$12),Projects!$B$12*INDEX(Curves!$B$4:$AR$4,1,K$3-Projects!$C$12+1),0)-IF(AND(Projects!$G$12="Yes",K$3&gt;=Projects!$C$12,K$3&lt;Projects!$C$12+Projects!$D$12),Projects!$B$12*(Assumptions!$B$10+Assumptions!$B$11+Assumptions!$B$12)/Projects!$D$12*0.95,0)-IF(AND(Projects!$G$12="Yes",K$3=Projects!$C$12+Projects!$D$12-1),Projects!$B$12*(Assumptions!$B$10+Assumptions!$B$11+Assumptions!$B$12)*0.05,0)</f>
        <v/>
      </c>
      <c r="L23" s="399">
        <f>IF(AND(Projects!$G$12="Yes",L$3&gt;=Projects!$C$12,L$3&lt;Projects!$C$12+Projects!$D$12),Projects!$B$12*INDEX(Curves!$B$4:$AR$4,1,L$3-Projects!$C$12+1),0)-IF(AND(Projects!$G$12="Yes",L$3&gt;=Projects!$C$12,L$3&lt;Projects!$C$12+Projects!$D$12),Projects!$B$12*(Assumptions!$B$10+Assumptions!$B$11+Assumptions!$B$12)/Projects!$D$12*0.95,0)-IF(AND(Projects!$G$12="Yes",L$3=Projects!$C$12+Projects!$D$12-1),Projects!$B$12*(Assumptions!$B$10+Assumptions!$B$11+Assumptions!$B$12)*0.05,0)</f>
        <v/>
      </c>
      <c r="M23" s="399">
        <f>IF(AND(Projects!$G$12="Yes",M$3&gt;=Projects!$C$12,M$3&lt;Projects!$C$12+Projects!$D$12),Projects!$B$12*INDEX(Curves!$B$4:$AR$4,1,M$3-Projects!$C$12+1),0)-IF(AND(Projects!$G$12="Yes",M$3&gt;=Projects!$C$12,M$3&lt;Projects!$C$12+Projects!$D$12),Projects!$B$12*(Assumptions!$B$10+Assumptions!$B$11+Assumptions!$B$12)/Projects!$D$12*0.95,0)-IF(AND(Projects!$G$12="Yes",M$3=Projects!$C$12+Projects!$D$12-1),Projects!$B$12*(Assumptions!$B$10+Assumptions!$B$11+Assumptions!$B$12)*0.05,0)</f>
        <v/>
      </c>
      <c r="N23" s="399">
        <f>IF(AND(Projects!$G$12="Yes",N$3&gt;=Projects!$C$12,N$3&lt;Projects!$C$12+Projects!$D$12),Projects!$B$12*INDEX(Curves!$B$4:$AR$4,1,N$3-Projects!$C$12+1),0)-IF(AND(Projects!$G$12="Yes",N$3&gt;=Projects!$C$12,N$3&lt;Projects!$C$12+Projects!$D$12),Projects!$B$12*(Assumptions!$B$10+Assumptions!$B$11+Assumptions!$B$12)/Projects!$D$12*0.95,0)-IF(AND(Projects!$G$12="Yes",N$3=Projects!$C$12+Projects!$D$12-1),Projects!$B$12*(Assumptions!$B$10+Assumptions!$B$11+Assumptions!$B$12)*0.05,0)</f>
        <v/>
      </c>
      <c r="O23" s="399">
        <f>IF(AND(Projects!$G$12="Yes",O$3&gt;=Projects!$C$12,O$3&lt;Projects!$C$12+Projects!$D$12),Projects!$B$12*INDEX(Curves!$B$4:$AR$4,1,O$3-Projects!$C$12+1),0)-IF(AND(Projects!$G$12="Yes",O$3&gt;=Projects!$C$12,O$3&lt;Projects!$C$12+Projects!$D$12),Projects!$B$12*(Assumptions!$B$10+Assumptions!$B$11+Assumptions!$B$12)/Projects!$D$12*0.95,0)-IF(AND(Projects!$G$12="Yes",O$3=Projects!$C$12+Projects!$D$12-1),Projects!$B$12*(Assumptions!$B$10+Assumptions!$B$11+Assumptions!$B$12)*0.05,0)</f>
        <v/>
      </c>
      <c r="P23" s="399">
        <f>IF(AND(Projects!$G$12="Yes",P$3&gt;=Projects!$C$12,P$3&lt;Projects!$C$12+Projects!$D$12),Projects!$B$12*INDEX(Curves!$B$4:$AR$4,1,P$3-Projects!$C$12+1),0)-IF(AND(Projects!$G$12="Yes",P$3&gt;=Projects!$C$12,P$3&lt;Projects!$C$12+Projects!$D$12),Projects!$B$12*(Assumptions!$B$10+Assumptions!$B$11+Assumptions!$B$12)/Projects!$D$12*0.95,0)-IF(AND(Projects!$G$12="Yes",P$3=Projects!$C$12+Projects!$D$12-1),Projects!$B$12*(Assumptions!$B$10+Assumptions!$B$11+Assumptions!$B$12)*0.05,0)</f>
        <v/>
      </c>
      <c r="Q23" s="399">
        <f>IF(AND(Projects!$G$12="Yes",Q$3&gt;=Projects!$C$12,Q$3&lt;Projects!$C$12+Projects!$D$12),Projects!$B$12*INDEX(Curves!$B$4:$AR$4,1,Q$3-Projects!$C$12+1),0)-IF(AND(Projects!$G$12="Yes",Q$3&gt;=Projects!$C$12,Q$3&lt;Projects!$C$12+Projects!$D$12),Projects!$B$12*(Assumptions!$B$10+Assumptions!$B$11+Assumptions!$B$12)/Projects!$D$12*0.95,0)-IF(AND(Projects!$G$12="Yes",Q$3=Projects!$C$12+Projects!$D$12-1),Projects!$B$12*(Assumptions!$B$10+Assumptions!$B$11+Assumptions!$B$12)*0.05,0)</f>
        <v/>
      </c>
      <c r="R23" s="399">
        <f>IF(AND(Projects!$G$12="Yes",R$3&gt;=Projects!$C$12,R$3&lt;Projects!$C$12+Projects!$D$12),Projects!$B$12*INDEX(Curves!$B$4:$AR$4,1,R$3-Projects!$C$12+1),0)-IF(AND(Projects!$G$12="Yes",R$3&gt;=Projects!$C$12,R$3&lt;Projects!$C$12+Projects!$D$12),Projects!$B$12*(Assumptions!$B$10+Assumptions!$B$11+Assumptions!$B$12)/Projects!$D$12*0.95,0)-IF(AND(Projects!$G$12="Yes",R$3=Projects!$C$12+Projects!$D$12-1),Projects!$B$12*(Assumptions!$B$10+Assumptions!$B$11+Assumptions!$B$12)*0.05,0)</f>
        <v/>
      </c>
      <c r="S23" s="399">
        <f>IF(AND(Projects!$G$12="Yes",S$3&gt;=Projects!$C$12,S$3&lt;Projects!$C$12+Projects!$D$12),Projects!$B$12*INDEX(Curves!$B$4:$AR$4,1,S$3-Projects!$C$12+1),0)-IF(AND(Projects!$G$12="Yes",S$3&gt;=Projects!$C$12,S$3&lt;Projects!$C$12+Projects!$D$12),Projects!$B$12*(Assumptions!$B$10+Assumptions!$B$11+Assumptions!$B$12)/Projects!$D$12*0.95,0)-IF(AND(Projects!$G$12="Yes",S$3=Projects!$C$12+Projects!$D$12-1),Projects!$B$12*(Assumptions!$B$10+Assumptions!$B$11+Assumptions!$B$12)*0.05,0)</f>
        <v/>
      </c>
      <c r="T23" s="399">
        <f>IF(AND(Projects!$G$12="Yes",T$3&gt;=Projects!$C$12,T$3&lt;Projects!$C$12+Projects!$D$12),Projects!$B$12*INDEX(Curves!$B$4:$AR$4,1,T$3-Projects!$C$12+1),0)-IF(AND(Projects!$G$12="Yes",T$3&gt;=Projects!$C$12,T$3&lt;Projects!$C$12+Projects!$D$12),Projects!$B$12*(Assumptions!$B$10+Assumptions!$B$11+Assumptions!$B$12)/Projects!$D$12*0.95,0)-IF(AND(Projects!$G$12="Yes",T$3=Projects!$C$12+Projects!$D$12-1),Projects!$B$12*(Assumptions!$B$10+Assumptions!$B$11+Assumptions!$B$12)*0.05,0)</f>
        <v/>
      </c>
      <c r="U23" s="399">
        <f>IF(AND(Projects!$G$12="Yes",U$3&gt;=Projects!$C$12,U$3&lt;Projects!$C$12+Projects!$D$12),Projects!$B$12*INDEX(Curves!$B$4:$AR$4,1,U$3-Projects!$C$12+1),0)-IF(AND(Projects!$G$12="Yes",U$3&gt;=Projects!$C$12,U$3&lt;Projects!$C$12+Projects!$D$12),Projects!$B$12*(Assumptions!$B$10+Assumptions!$B$11+Assumptions!$B$12)/Projects!$D$12*0.95,0)-IF(AND(Projects!$G$12="Yes",U$3=Projects!$C$12+Projects!$D$12-1),Projects!$B$12*(Assumptions!$B$10+Assumptions!$B$11+Assumptions!$B$12)*0.05,0)</f>
        <v/>
      </c>
      <c r="V23" s="399">
        <f>IF(AND(Projects!$G$12="Yes",V$3&gt;=Projects!$C$12,V$3&lt;Projects!$C$12+Projects!$D$12),Projects!$B$12*INDEX(Curves!$B$4:$AR$4,1,V$3-Projects!$C$12+1),0)-IF(AND(Projects!$G$12="Yes",V$3&gt;=Projects!$C$12,V$3&lt;Projects!$C$12+Projects!$D$12),Projects!$B$12*(Assumptions!$B$10+Assumptions!$B$11+Assumptions!$B$12)/Projects!$D$12*0.95,0)-IF(AND(Projects!$G$12="Yes",V$3=Projects!$C$12+Projects!$D$12-1),Projects!$B$12*(Assumptions!$B$10+Assumptions!$B$11+Assumptions!$B$12)*0.05,0)</f>
        <v/>
      </c>
      <c r="W23" s="399">
        <f>IF(AND(Projects!$G$12="Yes",W$3&gt;=Projects!$C$12,W$3&lt;Projects!$C$12+Projects!$D$12),Projects!$B$12*INDEX(Curves!$B$4:$AR$4,1,W$3-Projects!$C$12+1),0)-IF(AND(Projects!$G$12="Yes",W$3&gt;=Projects!$C$12,W$3&lt;Projects!$C$12+Projects!$D$12),Projects!$B$12*(Assumptions!$B$10+Assumptions!$B$11+Assumptions!$B$12)/Projects!$D$12*0.95,0)-IF(AND(Projects!$G$12="Yes",W$3=Projects!$C$12+Projects!$D$12-1),Projects!$B$12*(Assumptions!$B$10+Assumptions!$B$11+Assumptions!$B$12)*0.05,0)</f>
        <v/>
      </c>
      <c r="X23" s="399">
        <f>IF(AND(Projects!$G$12="Yes",X$3&gt;=Projects!$C$12,X$3&lt;Projects!$C$12+Projects!$D$12),Projects!$B$12*INDEX(Curves!$B$4:$AR$4,1,X$3-Projects!$C$12+1),0)-IF(AND(Projects!$G$12="Yes",X$3&gt;=Projects!$C$12,X$3&lt;Projects!$C$12+Projects!$D$12),Projects!$B$12*(Assumptions!$B$10+Assumptions!$B$11+Assumptions!$B$12)/Projects!$D$12*0.95,0)-IF(AND(Projects!$G$12="Yes",X$3=Projects!$C$12+Projects!$D$12-1),Projects!$B$12*(Assumptions!$B$10+Assumptions!$B$11+Assumptions!$B$12)*0.05,0)</f>
        <v/>
      </c>
      <c r="Y23" s="399">
        <f>IF(AND(Projects!$G$12="Yes",Y$3&gt;=Projects!$C$12,Y$3&lt;Projects!$C$12+Projects!$D$12),Projects!$B$12*INDEX(Curves!$B$4:$AR$4,1,Y$3-Projects!$C$12+1),0)-IF(AND(Projects!$G$12="Yes",Y$3&gt;=Projects!$C$12,Y$3&lt;Projects!$C$12+Projects!$D$12),Projects!$B$12*(Assumptions!$B$10+Assumptions!$B$11+Assumptions!$B$12)/Projects!$D$12*0.95,0)-IF(AND(Projects!$G$12="Yes",Y$3=Projects!$C$12+Projects!$D$12-1),Projects!$B$12*(Assumptions!$B$10+Assumptions!$B$11+Assumptions!$B$12)*0.05,0)</f>
        <v/>
      </c>
      <c r="Z23" s="399">
        <f>IF(AND(Projects!$G$12="Yes",Z$3&gt;=Projects!$C$12,Z$3&lt;Projects!$C$12+Projects!$D$12),Projects!$B$12*INDEX(Curves!$B$4:$AR$4,1,Z$3-Projects!$C$12+1),0)-IF(AND(Projects!$G$12="Yes",Z$3&gt;=Projects!$C$12,Z$3&lt;Projects!$C$12+Projects!$D$12),Projects!$B$12*(Assumptions!$B$10+Assumptions!$B$11+Assumptions!$B$12)/Projects!$D$12*0.95,0)-IF(AND(Projects!$G$12="Yes",Z$3=Projects!$C$12+Projects!$D$12-1),Projects!$B$12*(Assumptions!$B$10+Assumptions!$B$11+Assumptions!$B$12)*0.05,0)</f>
        <v/>
      </c>
      <c r="AA23" s="399">
        <f>IF(AND(Projects!$G$12="Yes",AA$3&gt;=Projects!$C$12,AA$3&lt;Projects!$C$12+Projects!$D$12),Projects!$B$12*INDEX(Curves!$B$4:$AR$4,1,AA$3-Projects!$C$12+1),0)-IF(AND(Projects!$G$12="Yes",AA$3&gt;=Projects!$C$12,AA$3&lt;Projects!$C$12+Projects!$D$12),Projects!$B$12*(Assumptions!$B$10+Assumptions!$B$11+Assumptions!$B$12)/Projects!$D$12*0.95,0)-IF(AND(Projects!$G$12="Yes",AA$3=Projects!$C$12+Projects!$D$12-1),Projects!$B$12*(Assumptions!$B$10+Assumptions!$B$11+Assumptions!$B$12)*0.05,0)</f>
        <v/>
      </c>
      <c r="AB23" s="399">
        <f>IF(AND(Projects!$G$12="Yes",AB$3&gt;=Projects!$C$12,AB$3&lt;Projects!$C$12+Projects!$D$12),Projects!$B$12*INDEX(Curves!$B$4:$AR$4,1,AB$3-Projects!$C$12+1),0)-IF(AND(Projects!$G$12="Yes",AB$3&gt;=Projects!$C$12,AB$3&lt;Projects!$C$12+Projects!$D$12),Projects!$B$12*(Assumptions!$B$10+Assumptions!$B$11+Assumptions!$B$12)/Projects!$D$12*0.95,0)-IF(AND(Projects!$G$12="Yes",AB$3=Projects!$C$12+Projects!$D$12-1),Projects!$B$12*(Assumptions!$B$10+Assumptions!$B$11+Assumptions!$B$12)*0.05,0)</f>
        <v/>
      </c>
      <c r="AC23" s="399">
        <f>IF(AND(Projects!$G$12="Yes",AC$3&gt;=Projects!$C$12,AC$3&lt;Projects!$C$12+Projects!$D$12),Projects!$B$12*INDEX(Curves!$B$4:$AR$4,1,AC$3-Projects!$C$12+1),0)-IF(AND(Projects!$G$12="Yes",AC$3&gt;=Projects!$C$12,AC$3&lt;Projects!$C$12+Projects!$D$12),Projects!$B$12*(Assumptions!$B$10+Assumptions!$B$11+Assumptions!$B$12)/Projects!$D$12*0.95,0)-IF(AND(Projects!$G$12="Yes",AC$3=Projects!$C$12+Projects!$D$12-1),Projects!$B$12*(Assumptions!$B$10+Assumptions!$B$11+Assumptions!$B$12)*0.05,0)</f>
        <v/>
      </c>
      <c r="AD23" s="399">
        <f>IF(AND(Projects!$G$12="Yes",AD$3&gt;=Projects!$C$12,AD$3&lt;Projects!$C$12+Projects!$D$12),Projects!$B$12*INDEX(Curves!$B$4:$AR$4,1,AD$3-Projects!$C$12+1),0)-IF(AND(Projects!$G$12="Yes",AD$3&gt;=Projects!$C$12,AD$3&lt;Projects!$C$12+Projects!$D$12),Projects!$B$12*(Assumptions!$B$10+Assumptions!$B$11+Assumptions!$B$12)/Projects!$D$12*0.95,0)-IF(AND(Projects!$G$12="Yes",AD$3=Projects!$C$12+Projects!$D$12-1),Projects!$B$12*(Assumptions!$B$10+Assumptions!$B$11+Assumptions!$B$12)*0.05,0)</f>
        <v/>
      </c>
      <c r="AE23" s="399">
        <f>IF(AND(Projects!$G$12="Yes",AE$3&gt;=Projects!$C$12,AE$3&lt;Projects!$C$12+Projects!$D$12),Projects!$B$12*INDEX(Curves!$B$4:$AR$4,1,AE$3-Projects!$C$12+1),0)-IF(AND(Projects!$G$12="Yes",AE$3&gt;=Projects!$C$12,AE$3&lt;Projects!$C$12+Projects!$D$12),Projects!$B$12*(Assumptions!$B$10+Assumptions!$B$11+Assumptions!$B$12)/Projects!$D$12*0.95,0)-IF(AND(Projects!$G$12="Yes",AE$3=Projects!$C$12+Projects!$D$12-1),Projects!$B$12*(Assumptions!$B$10+Assumptions!$B$11+Assumptions!$B$12)*0.05,0)</f>
        <v/>
      </c>
      <c r="AF23" s="399">
        <f>IF(AND(Projects!$G$12="Yes",AF$3&gt;=Projects!$C$12,AF$3&lt;Projects!$C$12+Projects!$D$12),Projects!$B$12*INDEX(Curves!$B$4:$AR$4,1,AF$3-Projects!$C$12+1),0)-IF(AND(Projects!$G$12="Yes",AF$3&gt;=Projects!$C$12,AF$3&lt;Projects!$C$12+Projects!$D$12),Projects!$B$12*(Assumptions!$B$10+Assumptions!$B$11+Assumptions!$B$12)/Projects!$D$12*0.95,0)-IF(AND(Projects!$G$12="Yes",AF$3=Projects!$C$12+Projects!$D$12-1),Projects!$B$12*(Assumptions!$B$10+Assumptions!$B$11+Assumptions!$B$12)*0.05,0)</f>
        <v/>
      </c>
      <c r="AG23" s="399">
        <f>IF(AND(Projects!$G$12="Yes",AG$3&gt;=Projects!$C$12,AG$3&lt;Projects!$C$12+Projects!$D$12),Projects!$B$12*INDEX(Curves!$B$4:$AR$4,1,AG$3-Projects!$C$12+1),0)-IF(AND(Projects!$G$12="Yes",AG$3&gt;=Projects!$C$12,AG$3&lt;Projects!$C$12+Projects!$D$12),Projects!$B$12*(Assumptions!$B$10+Assumptions!$B$11+Assumptions!$B$12)/Projects!$D$12*0.95,0)-IF(AND(Projects!$G$12="Yes",AG$3=Projects!$C$12+Projects!$D$12-1),Projects!$B$12*(Assumptions!$B$10+Assumptions!$B$11+Assumptions!$B$12)*0.05,0)</f>
        <v/>
      </c>
      <c r="AH23" s="399">
        <f>IF(AND(Projects!$G$12="Yes",AH$3&gt;=Projects!$C$12,AH$3&lt;Projects!$C$12+Projects!$D$12),Projects!$B$12*INDEX(Curves!$B$4:$AR$4,1,AH$3-Projects!$C$12+1),0)-IF(AND(Projects!$G$12="Yes",AH$3&gt;=Projects!$C$12,AH$3&lt;Projects!$C$12+Projects!$D$12),Projects!$B$12*(Assumptions!$B$10+Assumptions!$B$11+Assumptions!$B$12)/Projects!$D$12*0.95,0)-IF(AND(Projects!$G$12="Yes",AH$3=Projects!$C$12+Projects!$D$12-1),Projects!$B$12*(Assumptions!$B$10+Assumptions!$B$11+Assumptions!$B$12)*0.05,0)</f>
        <v/>
      </c>
      <c r="AI23" s="399">
        <f>IF(AND(Projects!$G$12="Yes",AI$3&gt;=Projects!$C$12,AI$3&lt;Projects!$C$12+Projects!$D$12),Projects!$B$12*INDEX(Curves!$B$4:$AR$4,1,AI$3-Projects!$C$12+1),0)-IF(AND(Projects!$G$12="Yes",AI$3&gt;=Projects!$C$12,AI$3&lt;Projects!$C$12+Projects!$D$12),Projects!$B$12*(Assumptions!$B$10+Assumptions!$B$11+Assumptions!$B$12)/Projects!$D$12*0.95,0)-IF(AND(Projects!$G$12="Yes",AI$3=Projects!$C$12+Projects!$D$12-1),Projects!$B$12*(Assumptions!$B$10+Assumptions!$B$11+Assumptions!$B$12)*0.05,0)</f>
        <v/>
      </c>
      <c r="AJ23" s="399">
        <f>IF(AND(Projects!$G$12="Yes",AJ$3&gt;=Projects!$C$12,AJ$3&lt;Projects!$C$12+Projects!$D$12),Projects!$B$12*INDEX(Curves!$B$4:$AR$4,1,AJ$3-Projects!$C$12+1),0)-IF(AND(Projects!$G$12="Yes",AJ$3&gt;=Projects!$C$12,AJ$3&lt;Projects!$C$12+Projects!$D$12),Projects!$B$12*(Assumptions!$B$10+Assumptions!$B$11+Assumptions!$B$12)/Projects!$D$12*0.95,0)-IF(AND(Projects!$G$12="Yes",AJ$3=Projects!$C$12+Projects!$D$12-1),Projects!$B$12*(Assumptions!$B$10+Assumptions!$B$11+Assumptions!$B$12)*0.05,0)</f>
        <v/>
      </c>
      <c r="AK23" s="399">
        <f>IF(AND(Projects!$G$12="Yes",AK$3&gt;=Projects!$C$12,AK$3&lt;Projects!$C$12+Projects!$D$12),Projects!$B$12*INDEX(Curves!$B$4:$AR$4,1,AK$3-Projects!$C$12+1),0)-IF(AND(Projects!$G$12="Yes",AK$3&gt;=Projects!$C$12,AK$3&lt;Projects!$C$12+Projects!$D$12),Projects!$B$12*(Assumptions!$B$10+Assumptions!$B$11+Assumptions!$B$12)/Projects!$D$12*0.95,0)-IF(AND(Projects!$G$12="Yes",AK$3=Projects!$C$12+Projects!$D$12-1),Projects!$B$12*(Assumptions!$B$10+Assumptions!$B$11+Assumptions!$B$12)*0.05,0)</f>
        <v/>
      </c>
      <c r="AL23" s="399">
        <f>IF(AND(Projects!$G$12="Yes",AL$3&gt;=Projects!$C$12,AL$3&lt;Projects!$C$12+Projects!$D$12),Projects!$B$12*INDEX(Curves!$B$4:$AR$4,1,AL$3-Projects!$C$12+1),0)-IF(AND(Projects!$G$12="Yes",AL$3&gt;=Projects!$C$12,AL$3&lt;Projects!$C$12+Projects!$D$12),Projects!$B$12*(Assumptions!$B$10+Assumptions!$B$11+Assumptions!$B$12)/Projects!$D$12*0.95,0)-IF(AND(Projects!$G$12="Yes",AL$3=Projects!$C$12+Projects!$D$12-1),Projects!$B$12*(Assumptions!$B$10+Assumptions!$B$11+Assumptions!$B$12)*0.05,0)</f>
        <v/>
      </c>
      <c r="AM23" s="399">
        <f>IF(AND(Projects!$G$12="Yes",AM$3&gt;=Projects!$C$12,AM$3&lt;Projects!$C$12+Projects!$D$12),Projects!$B$12*INDEX(Curves!$B$4:$AR$4,1,AM$3-Projects!$C$12+1),0)-IF(AND(Projects!$G$12="Yes",AM$3&gt;=Projects!$C$12,AM$3&lt;Projects!$C$12+Projects!$D$12),Projects!$B$12*(Assumptions!$B$10+Assumptions!$B$11+Assumptions!$B$12)/Projects!$D$12*0.95,0)-IF(AND(Projects!$G$12="Yes",AM$3=Projects!$C$12+Projects!$D$12-1),Projects!$B$12*(Assumptions!$B$10+Assumptions!$B$11+Assumptions!$B$12)*0.05,0)</f>
        <v/>
      </c>
      <c r="AN23" s="399">
        <f>IF(AND(Projects!$G$12="Yes",AN$3&gt;=Projects!$C$12,AN$3&lt;Projects!$C$12+Projects!$D$12),Projects!$B$12*INDEX(Curves!$B$4:$AR$4,1,AN$3-Projects!$C$12+1),0)-IF(AND(Projects!$G$12="Yes",AN$3&gt;=Projects!$C$12,AN$3&lt;Projects!$C$12+Projects!$D$12),Projects!$B$12*(Assumptions!$B$10+Assumptions!$B$11+Assumptions!$B$12)/Projects!$D$12*0.95,0)-IF(AND(Projects!$G$12="Yes",AN$3=Projects!$C$12+Projects!$D$12-1),Projects!$B$12*(Assumptions!$B$10+Assumptions!$B$11+Assumptions!$B$12)*0.05,0)</f>
        <v/>
      </c>
      <c r="AO23" s="399">
        <f>IF(AND(Projects!$G$12="Yes",AO$3&gt;=Projects!$C$12,AO$3&lt;Projects!$C$12+Projects!$D$12),Projects!$B$12*INDEX(Curves!$B$4:$AR$4,1,AO$3-Projects!$C$12+1),0)-IF(AND(Projects!$G$12="Yes",AO$3&gt;=Projects!$C$12,AO$3&lt;Projects!$C$12+Projects!$D$12),Projects!$B$12*(Assumptions!$B$10+Assumptions!$B$11+Assumptions!$B$12)/Projects!$D$12*0.95,0)-IF(AND(Projects!$G$12="Yes",AO$3=Projects!$C$12+Projects!$D$12-1),Projects!$B$12*(Assumptions!$B$10+Assumptions!$B$11+Assumptions!$B$12)*0.05,0)</f>
        <v/>
      </c>
      <c r="AP23" s="399">
        <f>IF(AND(Projects!$G$12="Yes",AP$3&gt;=Projects!$C$12,AP$3&lt;Projects!$C$12+Projects!$D$12),Projects!$B$12*INDEX(Curves!$B$4:$AR$4,1,AP$3-Projects!$C$12+1),0)-IF(AND(Projects!$G$12="Yes",AP$3&gt;=Projects!$C$12,AP$3&lt;Projects!$C$12+Projects!$D$12),Projects!$B$12*(Assumptions!$B$10+Assumptions!$B$11+Assumptions!$B$12)/Projects!$D$12*0.95,0)-IF(AND(Projects!$G$12="Yes",AP$3=Projects!$C$12+Projects!$D$12-1),Projects!$B$12*(Assumptions!$B$10+Assumptions!$B$11+Assumptions!$B$12)*0.05,0)</f>
        <v/>
      </c>
      <c r="AQ23" s="399">
        <f>IF(AND(Projects!$G$12="Yes",AQ$3&gt;=Projects!$C$12,AQ$3&lt;Projects!$C$12+Projects!$D$12),Projects!$B$12*INDEX(Curves!$B$4:$AR$4,1,AQ$3-Projects!$C$12+1),0)-IF(AND(Projects!$G$12="Yes",AQ$3&gt;=Projects!$C$12,AQ$3&lt;Projects!$C$12+Projects!$D$12),Projects!$B$12*(Assumptions!$B$10+Assumptions!$B$11+Assumptions!$B$12)/Projects!$D$12*0.95,0)-IF(AND(Projects!$G$12="Yes",AQ$3=Projects!$C$12+Projects!$D$12-1),Projects!$B$12*(Assumptions!$B$10+Assumptions!$B$11+Assumptions!$B$12)*0.05,0)</f>
        <v/>
      </c>
      <c r="AR23" s="399">
        <f>IF(AND(Projects!$G$12="Yes",AR$3&gt;=Projects!$C$12,AR$3&lt;Projects!$C$12+Projects!$D$12),Projects!$B$12*INDEX(Curves!$B$4:$AR$4,1,AR$3-Projects!$C$12+1),0)-IF(AND(Projects!$G$12="Yes",AR$3&gt;=Projects!$C$12,AR$3&lt;Projects!$C$12+Projects!$D$12),Projects!$B$12*(Assumptions!$B$10+Assumptions!$B$11+Assumptions!$B$12)/Projects!$D$12*0.95,0)-IF(AND(Projects!$G$12="Yes",AR$3=Projects!$C$12+Projects!$D$12-1),Projects!$B$12*(Assumptions!$B$10+Assumptions!$B$11+Assumptions!$B$12)*0.05,0)</f>
        <v/>
      </c>
      <c r="AS23" s="399">
        <f>IF(AND(Projects!$G$12="Yes",AS$3&gt;=Projects!$C$12,AS$3&lt;Projects!$C$12+Projects!$D$12),Projects!$B$12*INDEX(Curves!$B$4:$AR$4,1,AS$3-Projects!$C$12+1),0)-IF(AND(Projects!$G$12="Yes",AS$3&gt;=Projects!$C$12,AS$3&lt;Projects!$C$12+Projects!$D$12),Projects!$B$12*(Assumptions!$B$10+Assumptions!$B$11+Assumptions!$B$12)/Projects!$D$12*0.95,0)-IF(AND(Projects!$G$12="Yes",AS$3=Projects!$C$12+Projects!$D$12-1),Projects!$B$12*(Assumptions!$B$10+Assumptions!$B$11+Assumptions!$B$12)*0.05,0)</f>
        <v/>
      </c>
      <c r="AT23" s="399">
        <f>IF(AND(Projects!$G$12="Yes",AT$3&gt;=Projects!$C$12,AT$3&lt;Projects!$C$12+Projects!$D$12),Projects!$B$12*INDEX(Curves!$B$4:$AR$4,1,AT$3-Projects!$C$12+1),0)-IF(AND(Projects!$G$12="Yes",AT$3&gt;=Projects!$C$12,AT$3&lt;Projects!$C$12+Projects!$D$12),Projects!$B$12*(Assumptions!$B$10+Assumptions!$B$11+Assumptions!$B$12)/Projects!$D$12*0.95,0)-IF(AND(Projects!$G$12="Yes",AT$3=Projects!$C$12+Projects!$D$12-1),Projects!$B$12*(Assumptions!$B$10+Assumptions!$B$11+Assumptions!$B$12)*0.05,0)</f>
        <v/>
      </c>
      <c r="AU23" s="399">
        <f>IF(AND(Projects!$G$12="Yes",AU$3&gt;=Projects!$C$12,AU$3&lt;Projects!$C$12+Projects!$D$12),Projects!$B$12*INDEX(Curves!$B$4:$AR$4,1,AU$3-Projects!$C$12+1),0)-IF(AND(Projects!$G$12="Yes",AU$3&gt;=Projects!$C$12,AU$3&lt;Projects!$C$12+Projects!$D$12),Projects!$B$12*(Assumptions!$B$10+Assumptions!$B$11+Assumptions!$B$12)/Projects!$D$12*0.95,0)-IF(AND(Projects!$G$12="Yes",AU$3=Projects!$C$12+Projects!$D$12-1),Projects!$B$12*(Assumptions!$B$10+Assumptions!$B$11+Assumptions!$B$12)*0.05,0)</f>
        <v/>
      </c>
      <c r="AV23" s="399">
        <f>IF(AND(Projects!$G$12="Yes",AV$3&gt;=Projects!$C$12,AV$3&lt;Projects!$C$12+Projects!$D$12),Projects!$B$12*INDEX(Curves!$B$4:$AR$4,1,AV$3-Projects!$C$12+1),0)-IF(AND(Projects!$G$12="Yes",AV$3&gt;=Projects!$C$12,AV$3&lt;Projects!$C$12+Projects!$D$12),Projects!$B$12*(Assumptions!$B$10+Assumptions!$B$11+Assumptions!$B$12)/Projects!$D$12*0.95,0)-IF(AND(Projects!$G$12="Yes",AV$3=Projects!$C$12+Projects!$D$12-1),Projects!$B$12*(Assumptions!$B$10+Assumptions!$B$11+Assumptions!$B$12)*0.05,0)</f>
        <v/>
      </c>
      <c r="AW23" s="399">
        <f>IF(AND(Projects!$G$12="Yes",AW$3&gt;=Projects!$C$12,AW$3&lt;Projects!$C$12+Projects!$D$12),Projects!$B$12*INDEX(Curves!$B$4:$AR$4,1,AW$3-Projects!$C$12+1),0)-IF(AND(Projects!$G$12="Yes",AW$3&gt;=Projects!$C$12,AW$3&lt;Projects!$C$12+Projects!$D$12),Projects!$B$12*(Assumptions!$B$10+Assumptions!$B$11+Assumptions!$B$12)/Projects!$D$12*0.95,0)-IF(AND(Projects!$G$12="Yes",AW$3=Projects!$C$12+Projects!$D$12-1),Projects!$B$12*(Assumptions!$B$10+Assumptions!$B$11+Assumptions!$B$12)*0.05,0)</f>
        <v/>
      </c>
      <c r="AX23" s="399">
        <f>IF(AND(Projects!$G$12="Yes",AX$3&gt;=Projects!$C$12,AX$3&lt;Projects!$C$12+Projects!$D$12),Projects!$B$12*INDEX(Curves!$B$4:$AR$4,1,AX$3-Projects!$C$12+1),0)-IF(AND(Projects!$G$12="Yes",AX$3&gt;=Projects!$C$12,AX$3&lt;Projects!$C$12+Projects!$D$12),Projects!$B$12*(Assumptions!$B$10+Assumptions!$B$11+Assumptions!$B$12)/Projects!$D$12*0.95,0)-IF(AND(Projects!$G$12="Yes",AX$3=Projects!$C$12+Projects!$D$12-1),Projects!$B$12*(Assumptions!$B$10+Assumptions!$B$11+Assumptions!$B$12)*0.05,0)</f>
        <v/>
      </c>
      <c r="AY23" s="399">
        <f>IF(AND(Projects!$G$12="Yes",AY$3&gt;=Projects!$C$12,AY$3&lt;Projects!$C$12+Projects!$D$12),Projects!$B$12*INDEX(Curves!$B$4:$AR$4,1,AY$3-Projects!$C$12+1),0)-IF(AND(Projects!$G$12="Yes",AY$3&gt;=Projects!$C$12,AY$3&lt;Projects!$C$12+Projects!$D$12),Projects!$B$12*(Assumptions!$B$10+Assumptions!$B$11+Assumptions!$B$12)/Projects!$D$12*0.95,0)-IF(AND(Projects!$G$12="Yes",AY$3=Projects!$C$12+Projects!$D$12-1),Projects!$B$12*(Assumptions!$B$10+Assumptions!$B$11+Assumptions!$B$12)*0.05,0)</f>
        <v/>
      </c>
      <c r="AZ23" s="399">
        <f>IF(AND(Projects!$G$12="Yes",AZ$3&gt;=Projects!$C$12,AZ$3&lt;Projects!$C$12+Projects!$D$12),Projects!$B$12*INDEX(Curves!$B$4:$AR$4,1,AZ$3-Projects!$C$12+1),0)-IF(AND(Projects!$G$12="Yes",AZ$3&gt;=Projects!$C$12,AZ$3&lt;Projects!$C$12+Projects!$D$12),Projects!$B$12*(Assumptions!$B$10+Assumptions!$B$11+Assumptions!$B$12)/Projects!$D$12*0.95,0)-IF(AND(Projects!$G$12="Yes",AZ$3=Projects!$C$12+Projects!$D$12-1),Projects!$B$12*(Assumptions!$B$10+Assumptions!$B$11+Assumptions!$B$12)*0.05,0)</f>
        <v/>
      </c>
      <c r="BA23" s="399">
        <f>IF(AND(Projects!$G$12="Yes",BA$3&gt;=Projects!$C$12,BA$3&lt;Projects!$C$12+Projects!$D$12),Projects!$B$12*INDEX(Curves!$B$4:$AR$4,1,BA$3-Projects!$C$12+1),0)-IF(AND(Projects!$G$12="Yes",BA$3&gt;=Projects!$C$12,BA$3&lt;Projects!$C$12+Projects!$D$12),Projects!$B$12*(Assumptions!$B$10+Assumptions!$B$11+Assumptions!$B$12)/Projects!$D$12*0.95,0)-IF(AND(Projects!$G$12="Yes",BA$3=Projects!$C$12+Projects!$D$12-1),Projects!$B$12*(Assumptions!$B$10+Assumptions!$B$11+Assumptions!$B$12)*0.05,0)</f>
        <v/>
      </c>
      <c r="BB23" s="399">
        <f>IF(AND(Projects!$G$12="Yes",BB$3&gt;=Projects!$C$12,BB$3&lt;Projects!$C$12+Projects!$D$12),Projects!$B$12*INDEX(Curves!$B$4:$AR$4,1,BB$3-Projects!$C$12+1),0)-IF(AND(Projects!$G$12="Yes",BB$3&gt;=Projects!$C$12,BB$3&lt;Projects!$C$12+Projects!$D$12),Projects!$B$12*(Assumptions!$B$10+Assumptions!$B$11+Assumptions!$B$12)/Projects!$D$12*0.95,0)-IF(AND(Projects!$G$12="Yes",BB$3=Projects!$C$12+Projects!$D$12-1),Projects!$B$12*(Assumptions!$B$10+Assumptions!$B$11+Assumptions!$B$12)*0.05,0)</f>
        <v/>
      </c>
      <c r="BC23" s="399">
        <f>IF(AND(Projects!$G$12="Yes",BC$3&gt;=Projects!$C$12,BC$3&lt;Projects!$C$12+Projects!$D$12),Projects!$B$12*INDEX(Curves!$B$4:$AR$4,1,BC$3-Projects!$C$12+1),0)-IF(AND(Projects!$G$12="Yes",BC$3&gt;=Projects!$C$12,BC$3&lt;Projects!$C$12+Projects!$D$12),Projects!$B$12*(Assumptions!$B$10+Assumptions!$B$11+Assumptions!$B$12)/Projects!$D$12*0.95,0)-IF(AND(Projects!$G$12="Yes",BC$3=Projects!$C$12+Projects!$D$12-1),Projects!$B$12*(Assumptions!$B$10+Assumptions!$B$11+Assumptions!$B$12)*0.05,0)</f>
        <v/>
      </c>
      <c r="BD23" s="399">
        <f>IF(AND(Projects!$G$12="Yes",BD$3&gt;=Projects!$C$12,BD$3&lt;Projects!$C$12+Projects!$D$12),Projects!$B$12*INDEX(Curves!$B$4:$AR$4,1,BD$3-Projects!$C$12+1),0)-IF(AND(Projects!$G$12="Yes",BD$3&gt;=Projects!$C$12,BD$3&lt;Projects!$C$12+Projects!$D$12),Projects!$B$12*(Assumptions!$B$10+Assumptions!$B$11+Assumptions!$B$12)/Projects!$D$12*0.95,0)-IF(AND(Projects!$G$12="Yes",BD$3=Projects!$C$12+Projects!$D$12-1),Projects!$B$12*(Assumptions!$B$10+Assumptions!$B$11+Assumptions!$B$12)*0.05,0)</f>
        <v/>
      </c>
      <c r="BE23" s="399">
        <f>IF(AND(Projects!$G$12="Yes",BE$3&gt;=Projects!$C$12,BE$3&lt;Projects!$C$12+Projects!$D$12),Projects!$B$12*INDEX(Curves!$B$4:$AR$4,1,BE$3-Projects!$C$12+1),0)-IF(AND(Projects!$G$12="Yes",BE$3&gt;=Projects!$C$12,BE$3&lt;Projects!$C$12+Projects!$D$12),Projects!$B$12*(Assumptions!$B$10+Assumptions!$B$11+Assumptions!$B$12)/Projects!$D$12*0.95,0)-IF(AND(Projects!$G$12="Yes",BE$3=Projects!$C$12+Projects!$D$12-1),Projects!$B$12*(Assumptions!$B$10+Assumptions!$B$11+Assumptions!$B$12)*0.05,0)</f>
        <v/>
      </c>
      <c r="BF23" s="399">
        <f>IF(AND(Projects!$G$12="Yes",BF$3&gt;=Projects!$C$12,BF$3&lt;Projects!$C$12+Projects!$D$12),Projects!$B$12*INDEX(Curves!$B$4:$AR$4,1,BF$3-Projects!$C$12+1),0)-IF(AND(Projects!$G$12="Yes",BF$3&gt;=Projects!$C$12,BF$3&lt;Projects!$C$12+Projects!$D$12),Projects!$B$12*(Assumptions!$B$10+Assumptions!$B$11+Assumptions!$B$12)/Projects!$D$12*0.95,0)-IF(AND(Projects!$G$12="Yes",BF$3=Projects!$C$12+Projects!$D$12-1),Projects!$B$12*(Assumptions!$B$10+Assumptions!$B$11+Assumptions!$B$12)*0.05,0)</f>
        <v/>
      </c>
      <c r="BG23" s="399">
        <f>IF(AND(Projects!$G$12="Yes",BG$3&gt;=Projects!$C$12,BG$3&lt;Projects!$C$12+Projects!$D$12),Projects!$B$12*INDEX(Curves!$B$4:$AR$4,1,BG$3-Projects!$C$12+1),0)-IF(AND(Projects!$G$12="Yes",BG$3&gt;=Projects!$C$12,BG$3&lt;Projects!$C$12+Projects!$D$12),Projects!$B$12*(Assumptions!$B$10+Assumptions!$B$11+Assumptions!$B$12)/Projects!$D$12*0.95,0)-IF(AND(Projects!$G$12="Yes",BG$3=Projects!$C$12+Projects!$D$12-1),Projects!$B$12*(Assumptions!$B$10+Assumptions!$B$11+Assumptions!$B$12)*0.05,0)</f>
        <v/>
      </c>
      <c r="BH23" s="399">
        <f>IF(AND(Projects!$G$12="Yes",BH$3&gt;=Projects!$C$12,BH$3&lt;Projects!$C$12+Projects!$D$12),Projects!$B$12*INDEX(Curves!$B$4:$AR$4,1,BH$3-Projects!$C$12+1),0)-IF(AND(Projects!$G$12="Yes",BH$3&gt;=Projects!$C$12,BH$3&lt;Projects!$C$12+Projects!$D$12),Projects!$B$12*(Assumptions!$B$10+Assumptions!$B$11+Assumptions!$B$12)/Projects!$D$12*0.95,0)-IF(AND(Projects!$G$12="Yes",BH$3=Projects!$C$12+Projects!$D$12-1),Projects!$B$12*(Assumptions!$B$10+Assumptions!$B$11+Assumptions!$B$12)*0.05,0)</f>
        <v/>
      </c>
      <c r="BI23" s="399">
        <f>IF(AND(Projects!$G$12="Yes",BI$3&gt;=Projects!$C$12,BI$3&lt;Projects!$C$12+Projects!$D$12),Projects!$B$12*INDEX(Curves!$B$4:$AR$4,1,BI$3-Projects!$C$12+1),0)-IF(AND(Projects!$G$12="Yes",BI$3&gt;=Projects!$C$12,BI$3&lt;Projects!$C$12+Projects!$D$12),Projects!$B$12*(Assumptions!$B$10+Assumptions!$B$11+Assumptions!$B$12)/Projects!$D$12*0.95,0)-IF(AND(Projects!$G$12="Yes",BI$3=Projects!$C$12+Projects!$D$12-1),Projects!$B$12*(Assumptions!$B$10+Assumptions!$B$11+Assumptions!$B$12)*0.05,0)</f>
        <v/>
      </c>
      <c r="BJ23" s="399">
        <f>IF(AND(Projects!$G$12="Yes",BJ$3&gt;=Projects!$C$12,BJ$3&lt;Projects!$C$12+Projects!$D$12),Projects!$B$12*INDEX(Curves!$B$4:$AR$4,1,BJ$3-Projects!$C$12+1),0)-IF(AND(Projects!$G$12="Yes",BJ$3&gt;=Projects!$C$12,BJ$3&lt;Projects!$C$12+Projects!$D$12),Projects!$B$12*(Assumptions!$B$10+Assumptions!$B$11+Assumptions!$B$12)/Projects!$D$12*0.95,0)-IF(AND(Projects!$G$12="Yes",BJ$3=Projects!$C$12+Projects!$D$12-1),Projects!$B$12*(Assumptions!$B$10+Assumptions!$B$11+Assumptions!$B$12)*0.05,0)</f>
        <v/>
      </c>
      <c r="BK23" s="399">
        <f>IF(AND(Projects!$G$12="Yes",BK$3&gt;=Projects!$C$12,BK$3&lt;Projects!$C$12+Projects!$D$12),Projects!$B$12*INDEX(Curves!$B$4:$AR$4,1,BK$3-Projects!$C$12+1),0)-IF(AND(Projects!$G$12="Yes",BK$3&gt;=Projects!$C$12,BK$3&lt;Projects!$C$12+Projects!$D$12),Projects!$B$12*(Assumptions!$B$10+Assumptions!$B$11+Assumptions!$B$12)/Projects!$D$12*0.95,0)-IF(AND(Projects!$G$12="Yes",BK$3=Projects!$C$12+Projects!$D$12-1),Projects!$B$12*(Assumptions!$B$10+Assumptions!$B$11+Assumptions!$B$12)*0.05,0)</f>
        <v/>
      </c>
      <c r="BL23" s="399">
        <f>IF(AND(Projects!$G$12="Yes",BL$3&gt;=Projects!$C$12,BL$3&lt;Projects!$C$12+Projects!$D$12),Projects!$B$12*INDEX(Curves!$B$4:$AR$4,1,BL$3-Projects!$C$12+1),0)-IF(AND(Projects!$G$12="Yes",BL$3&gt;=Projects!$C$12,BL$3&lt;Projects!$C$12+Projects!$D$12),Projects!$B$12*(Assumptions!$B$10+Assumptions!$B$11+Assumptions!$B$12)/Projects!$D$12*0.95,0)-IF(AND(Projects!$G$12="Yes",BL$3=Projects!$C$12+Projects!$D$12-1),Projects!$B$12*(Assumptions!$B$10+Assumptions!$B$11+Assumptions!$B$12)*0.05,0)</f>
        <v/>
      </c>
      <c r="BM23" s="399">
        <f>IF(AND(Projects!$G$12="Yes",BM$3&gt;=Projects!$C$12,BM$3&lt;Projects!$C$12+Projects!$D$12),Projects!$B$12*INDEX(Curves!$B$4:$AR$4,1,BM$3-Projects!$C$12+1),0)-IF(AND(Projects!$G$12="Yes",BM$3&gt;=Projects!$C$12,BM$3&lt;Projects!$C$12+Projects!$D$12),Projects!$B$12*(Assumptions!$B$10+Assumptions!$B$11+Assumptions!$B$12)/Projects!$D$12*0.95,0)-IF(AND(Projects!$G$12="Yes",BM$3=Projects!$C$12+Projects!$D$12-1),Projects!$B$12*(Assumptions!$B$10+Assumptions!$B$11+Assumptions!$B$12)*0.05,0)</f>
        <v/>
      </c>
      <c r="BN23" s="399">
        <f>IF(AND(Projects!$G$12="Yes",BN$3&gt;=Projects!$C$12,BN$3&lt;Projects!$C$12+Projects!$D$12),Projects!$B$12*INDEX(Curves!$B$4:$AR$4,1,BN$3-Projects!$C$12+1),0)-IF(AND(Projects!$G$12="Yes",BN$3&gt;=Projects!$C$12,BN$3&lt;Projects!$C$12+Projects!$D$12),Projects!$B$12*(Assumptions!$B$10+Assumptions!$B$11+Assumptions!$B$12)/Projects!$D$12*0.95,0)-IF(AND(Projects!$G$12="Yes",BN$3=Projects!$C$12+Projects!$D$12-1),Projects!$B$12*(Assumptions!$B$10+Assumptions!$B$11+Assumptions!$B$12)*0.05,0)</f>
        <v/>
      </c>
      <c r="BO23" s="399">
        <f>IF(AND(Projects!$G$12="Yes",BO$3&gt;=Projects!$C$12,BO$3&lt;Projects!$C$12+Projects!$D$12),Projects!$B$12*INDEX(Curves!$B$4:$AR$4,1,BO$3-Projects!$C$12+1),0)-IF(AND(Projects!$G$12="Yes",BO$3&gt;=Projects!$C$12,BO$3&lt;Projects!$C$12+Projects!$D$12),Projects!$B$12*(Assumptions!$B$10+Assumptions!$B$11+Assumptions!$B$12)/Projects!$D$12*0.95,0)-IF(AND(Projects!$G$12="Yes",BO$3=Projects!$C$12+Projects!$D$12-1),Projects!$B$12*(Assumptions!$B$10+Assumptions!$B$11+Assumptions!$B$12)*0.05,0)</f>
        <v/>
      </c>
      <c r="BP23" s="399">
        <f>IF(AND(Projects!$G$12="Yes",BP$3&gt;=Projects!$C$12,BP$3&lt;Projects!$C$12+Projects!$D$12),Projects!$B$12*INDEX(Curves!$B$4:$AR$4,1,BP$3-Projects!$C$12+1),0)-IF(AND(Projects!$G$12="Yes",BP$3&gt;=Projects!$C$12,BP$3&lt;Projects!$C$12+Projects!$D$12),Projects!$B$12*(Assumptions!$B$10+Assumptions!$B$11+Assumptions!$B$12)/Projects!$D$12*0.95,0)-IF(AND(Projects!$G$12="Yes",BP$3=Projects!$C$12+Projects!$D$12-1),Projects!$B$12*(Assumptions!$B$10+Assumptions!$B$11+Assumptions!$B$12)*0.05,0)</f>
        <v/>
      </c>
      <c r="BQ23" s="399">
        <f>IF(AND(Projects!$G$12="Yes",BQ$3&gt;=Projects!$C$12,BQ$3&lt;Projects!$C$12+Projects!$D$12),Projects!$B$12*INDEX(Curves!$B$4:$AR$4,1,BQ$3-Projects!$C$12+1),0)-IF(AND(Projects!$G$12="Yes",BQ$3&gt;=Projects!$C$12,BQ$3&lt;Projects!$C$12+Projects!$D$12),Projects!$B$12*(Assumptions!$B$10+Assumptions!$B$11+Assumptions!$B$12)/Projects!$D$12*0.95,0)-IF(AND(Projects!$G$12="Yes",BQ$3=Projects!$C$12+Projects!$D$12-1),Projects!$B$12*(Assumptions!$B$10+Assumptions!$B$11+Assumptions!$B$12)*0.05,0)</f>
        <v/>
      </c>
      <c r="BR23" s="399">
        <f>IF(AND(Projects!$G$12="Yes",BR$3&gt;=Projects!$C$12,BR$3&lt;Projects!$C$12+Projects!$D$12),Projects!$B$12*INDEX(Curves!$B$4:$AR$4,1,BR$3-Projects!$C$12+1),0)-IF(AND(Projects!$G$12="Yes",BR$3&gt;=Projects!$C$12,BR$3&lt;Projects!$C$12+Projects!$D$12),Projects!$B$12*(Assumptions!$B$10+Assumptions!$B$11+Assumptions!$B$12)/Projects!$D$12*0.95,0)-IF(AND(Projects!$G$12="Yes",BR$3=Projects!$C$12+Projects!$D$12-1),Projects!$B$12*(Assumptions!$B$10+Assumptions!$B$11+Assumptions!$B$12)*0.05,0)</f>
        <v/>
      </c>
      <c r="BS23" s="399">
        <f>IF(AND(Projects!$G$12="Yes",BS$3&gt;=Projects!$C$12,BS$3&lt;Projects!$C$12+Projects!$D$12),Projects!$B$12*INDEX(Curves!$B$4:$AR$4,1,BS$3-Projects!$C$12+1),0)-IF(AND(Projects!$G$12="Yes",BS$3&gt;=Projects!$C$12,BS$3&lt;Projects!$C$12+Projects!$D$12),Projects!$B$12*(Assumptions!$B$10+Assumptions!$B$11+Assumptions!$B$12)/Projects!$D$12*0.95,0)-IF(AND(Projects!$G$12="Yes",BS$3=Projects!$C$12+Projects!$D$12-1),Projects!$B$12*(Assumptions!$B$10+Assumptions!$B$11+Assumptions!$B$12)*0.05,0)</f>
        <v/>
      </c>
      <c r="BT23" s="399">
        <f>IF(AND(Projects!$G$12="Yes",BT$3&gt;=Projects!$C$12,BT$3&lt;Projects!$C$12+Projects!$D$12),Projects!$B$12*INDEX(Curves!$B$4:$AR$4,1,BT$3-Projects!$C$12+1),0)-IF(AND(Projects!$G$12="Yes",BT$3&gt;=Projects!$C$12,BT$3&lt;Projects!$C$12+Projects!$D$12),Projects!$B$12*(Assumptions!$B$10+Assumptions!$B$11+Assumptions!$B$12)/Projects!$D$12*0.95,0)-IF(AND(Projects!$G$12="Yes",BT$3=Projects!$C$12+Projects!$D$12-1),Projects!$B$12*(Assumptions!$B$10+Assumptions!$B$11+Assumptions!$B$12)*0.05,0)</f>
        <v/>
      </c>
      <c r="BU23" s="399">
        <f>IF(AND(Projects!$G$12="Yes",BU$3&gt;=Projects!$C$12,BU$3&lt;Projects!$C$12+Projects!$D$12),Projects!$B$12*INDEX(Curves!$B$4:$AR$4,1,BU$3-Projects!$C$12+1),0)-IF(AND(Projects!$G$12="Yes",BU$3&gt;=Projects!$C$12,BU$3&lt;Projects!$C$12+Projects!$D$12),Projects!$B$12*(Assumptions!$B$10+Assumptions!$B$11+Assumptions!$B$12)/Projects!$D$12*0.95,0)-IF(AND(Projects!$G$12="Yes",BU$3=Projects!$C$12+Projects!$D$12-1),Projects!$B$12*(Assumptions!$B$10+Assumptions!$B$11+Assumptions!$B$12)*0.05,0)</f>
        <v/>
      </c>
      <c r="BV23" s="399">
        <f>IF(AND(Projects!$G$12="Yes",BV$3&gt;=Projects!$C$12,BV$3&lt;Projects!$C$12+Projects!$D$12),Projects!$B$12*INDEX(Curves!$B$4:$AR$4,1,BV$3-Projects!$C$12+1),0)-IF(AND(Projects!$G$12="Yes",BV$3&gt;=Projects!$C$12,BV$3&lt;Projects!$C$12+Projects!$D$12),Projects!$B$12*(Assumptions!$B$10+Assumptions!$B$11+Assumptions!$B$12)/Projects!$D$12*0.95,0)-IF(AND(Projects!$G$12="Yes",BV$3=Projects!$C$12+Projects!$D$12-1),Projects!$B$12*(Assumptions!$B$10+Assumptions!$B$11+Assumptions!$B$12)*0.05,0)</f>
        <v/>
      </c>
      <c r="BW23" s="399">
        <f>IF(AND(Projects!$G$12="Yes",BW$3&gt;=Projects!$C$12,BW$3&lt;Projects!$C$12+Projects!$D$12),Projects!$B$12*INDEX(Curves!$B$4:$AR$4,1,BW$3-Projects!$C$12+1),0)-IF(AND(Projects!$G$12="Yes",BW$3&gt;=Projects!$C$12,BW$3&lt;Projects!$C$12+Projects!$D$12),Projects!$B$12*(Assumptions!$B$10+Assumptions!$B$11+Assumptions!$B$12)/Projects!$D$12*0.95,0)-IF(AND(Projects!$G$12="Yes",BW$3=Projects!$C$12+Projects!$D$12-1),Projects!$B$12*(Assumptions!$B$10+Assumptions!$B$11+Assumptions!$B$12)*0.05,0)</f>
        <v/>
      </c>
      <c r="BX23" s="399">
        <f>IF(AND(Projects!$G$12="Yes",BX$3&gt;=Projects!$C$12,BX$3&lt;Projects!$C$12+Projects!$D$12),Projects!$B$12*INDEX(Curves!$B$4:$AR$4,1,BX$3-Projects!$C$12+1),0)-IF(AND(Projects!$G$12="Yes",BX$3&gt;=Projects!$C$12,BX$3&lt;Projects!$C$12+Projects!$D$12),Projects!$B$12*(Assumptions!$B$10+Assumptions!$B$11+Assumptions!$B$12)/Projects!$D$12*0.95,0)-IF(AND(Projects!$G$12="Yes",BX$3=Projects!$C$12+Projects!$D$12-1),Projects!$B$12*(Assumptions!$B$10+Assumptions!$B$11+Assumptions!$B$12)*0.05,0)</f>
        <v/>
      </c>
      <c r="BY23" s="399">
        <f>IF(AND(Projects!$G$12="Yes",BY$3&gt;=Projects!$C$12,BY$3&lt;Projects!$C$12+Projects!$D$12),Projects!$B$12*INDEX(Curves!$B$4:$AR$4,1,BY$3-Projects!$C$12+1),0)-IF(AND(Projects!$G$12="Yes",BY$3&gt;=Projects!$C$12,BY$3&lt;Projects!$C$12+Projects!$D$12),Projects!$B$12*(Assumptions!$B$10+Assumptions!$B$11+Assumptions!$B$12)/Projects!$D$12*0.95,0)-IF(AND(Projects!$G$12="Yes",BY$3=Projects!$C$12+Projects!$D$12-1),Projects!$B$12*(Assumptions!$B$10+Assumptions!$B$11+Assumptions!$B$12)*0.05,0)</f>
        <v/>
      </c>
      <c r="BZ23" s="399">
        <f>IF(AND(Projects!$G$12="Yes",BZ$3&gt;=Projects!$C$12,BZ$3&lt;Projects!$C$12+Projects!$D$12),Projects!$B$12*INDEX(Curves!$B$4:$AR$4,1,BZ$3-Projects!$C$12+1),0)-IF(AND(Projects!$G$12="Yes",BZ$3&gt;=Projects!$C$12,BZ$3&lt;Projects!$C$12+Projects!$D$12),Projects!$B$12*(Assumptions!$B$10+Assumptions!$B$11+Assumptions!$B$12)/Projects!$D$12*0.95,0)-IF(AND(Projects!$G$12="Yes",BZ$3=Projects!$C$12+Projects!$D$12-1),Projects!$B$12*(Assumptions!$B$10+Assumptions!$B$11+Assumptions!$B$12)*0.05,0)</f>
        <v/>
      </c>
      <c r="CA23" s="399">
        <f>IF(AND(Projects!$G$12="Yes",CA$3&gt;=Projects!$C$12,CA$3&lt;Projects!$C$12+Projects!$D$12),Projects!$B$12*INDEX(Curves!$B$4:$AR$4,1,CA$3-Projects!$C$12+1),0)-IF(AND(Projects!$G$12="Yes",CA$3&gt;=Projects!$C$12,CA$3&lt;Projects!$C$12+Projects!$D$12),Projects!$B$12*(Assumptions!$B$10+Assumptions!$B$11+Assumptions!$B$12)/Projects!$D$12*0.95,0)-IF(AND(Projects!$G$12="Yes",CA$3=Projects!$C$12+Projects!$D$12-1),Projects!$B$12*(Assumptions!$B$10+Assumptions!$B$11+Assumptions!$B$12)*0.05,0)</f>
        <v/>
      </c>
      <c r="CB23" s="399">
        <f>IF(AND(Projects!$G$12="Yes",CB$3&gt;=Projects!$C$12,CB$3&lt;Projects!$C$12+Projects!$D$12),Projects!$B$12*INDEX(Curves!$B$4:$AR$4,1,CB$3-Projects!$C$12+1),0)-IF(AND(Projects!$G$12="Yes",CB$3&gt;=Projects!$C$12,CB$3&lt;Projects!$C$12+Projects!$D$12),Projects!$B$12*(Assumptions!$B$10+Assumptions!$B$11+Assumptions!$B$12)/Projects!$D$12*0.95,0)-IF(AND(Projects!$G$12="Yes",CB$3=Projects!$C$12+Projects!$D$12-1),Projects!$B$12*(Assumptions!$B$10+Assumptions!$B$11+Assumptions!$B$12)*0.05,0)</f>
        <v/>
      </c>
      <c r="CC23" s="399">
        <f>IF(AND(Projects!$G$12="Yes",CC$3&gt;=Projects!$C$12,CC$3&lt;Projects!$C$12+Projects!$D$12),Projects!$B$12*INDEX(Curves!$B$4:$AR$4,1,CC$3-Projects!$C$12+1),0)-IF(AND(Projects!$G$12="Yes",CC$3&gt;=Projects!$C$12,CC$3&lt;Projects!$C$12+Projects!$D$12),Projects!$B$12*(Assumptions!$B$10+Assumptions!$B$11+Assumptions!$B$12)/Projects!$D$12*0.95,0)-IF(AND(Projects!$G$12="Yes",CC$3=Projects!$C$12+Projects!$D$12-1),Projects!$B$12*(Assumptions!$B$10+Assumptions!$B$11+Assumptions!$B$12)*0.05,0)</f>
        <v/>
      </c>
      <c r="CD23" s="399">
        <f>IF(AND(Projects!$G$12="Yes",CD$3&gt;=Projects!$C$12,CD$3&lt;Projects!$C$12+Projects!$D$12),Projects!$B$12*INDEX(Curves!$B$4:$AR$4,1,CD$3-Projects!$C$12+1),0)-IF(AND(Projects!$G$12="Yes",CD$3&gt;=Projects!$C$12,CD$3&lt;Projects!$C$12+Projects!$D$12),Projects!$B$12*(Assumptions!$B$10+Assumptions!$B$11+Assumptions!$B$12)/Projects!$D$12*0.95,0)-IF(AND(Projects!$G$12="Yes",CD$3=Projects!$C$12+Projects!$D$12-1),Projects!$B$12*(Assumptions!$B$10+Assumptions!$B$11+Assumptions!$B$12)*0.05,0)</f>
        <v/>
      </c>
      <c r="CE23" s="399">
        <f>IF(AND(Projects!$G$12="Yes",CE$3&gt;=Projects!$C$12,CE$3&lt;Projects!$C$12+Projects!$D$12),Projects!$B$12*INDEX(Curves!$B$4:$AR$4,1,CE$3-Projects!$C$12+1),0)-IF(AND(Projects!$G$12="Yes",CE$3&gt;=Projects!$C$12,CE$3&lt;Projects!$C$12+Projects!$D$12),Projects!$B$12*(Assumptions!$B$10+Assumptions!$B$11+Assumptions!$B$12)/Projects!$D$12*0.95,0)-IF(AND(Projects!$G$12="Yes",CE$3=Projects!$C$12+Projects!$D$12-1),Projects!$B$12*(Assumptions!$B$10+Assumptions!$B$11+Assumptions!$B$12)*0.05,0)</f>
        <v/>
      </c>
      <c r="CF23" s="399">
        <f>IF(AND(Projects!$G$12="Yes",CF$3&gt;=Projects!$C$12,CF$3&lt;Projects!$C$12+Projects!$D$12),Projects!$B$12*INDEX(Curves!$B$4:$AR$4,1,CF$3-Projects!$C$12+1),0)-IF(AND(Projects!$G$12="Yes",CF$3&gt;=Projects!$C$12,CF$3&lt;Projects!$C$12+Projects!$D$12),Projects!$B$12*(Assumptions!$B$10+Assumptions!$B$11+Assumptions!$B$12)/Projects!$D$12*0.95,0)-IF(AND(Projects!$G$12="Yes",CF$3=Projects!$C$12+Projects!$D$12-1),Projects!$B$12*(Assumptions!$B$10+Assumptions!$B$11+Assumptions!$B$12)*0.05,0)</f>
        <v/>
      </c>
      <c r="CG23" s="399">
        <f>IF(AND(Projects!$G$12="Yes",CG$3&gt;=Projects!$C$12,CG$3&lt;Projects!$C$12+Projects!$D$12),Projects!$B$12*INDEX(Curves!$B$4:$AR$4,1,CG$3-Projects!$C$12+1),0)-IF(AND(Projects!$G$12="Yes",CG$3&gt;=Projects!$C$12,CG$3&lt;Projects!$C$12+Projects!$D$12),Projects!$B$12*(Assumptions!$B$10+Assumptions!$B$11+Assumptions!$B$12)/Projects!$D$12*0.95,0)-IF(AND(Projects!$G$12="Yes",CG$3=Projects!$C$12+Projects!$D$12-1),Projects!$B$12*(Assumptions!$B$10+Assumptions!$B$11+Assumptions!$B$12)*0.05,0)</f>
        <v/>
      </c>
      <c r="CH23" s="399">
        <f>IF(AND(Projects!$G$12="Yes",CH$3&gt;=Projects!$C$12,CH$3&lt;Projects!$C$12+Projects!$D$12),Projects!$B$12*INDEX(Curves!$B$4:$AR$4,1,CH$3-Projects!$C$12+1),0)-IF(AND(Projects!$G$12="Yes",CH$3&gt;=Projects!$C$12,CH$3&lt;Projects!$C$12+Projects!$D$12),Projects!$B$12*(Assumptions!$B$10+Assumptions!$B$11+Assumptions!$B$12)/Projects!$D$12*0.95,0)-IF(AND(Projects!$G$12="Yes",CH$3=Projects!$C$12+Projects!$D$12-1),Projects!$B$12*(Assumptions!$B$10+Assumptions!$B$11+Assumptions!$B$12)*0.05,0)</f>
        <v/>
      </c>
      <c r="CI23" s="399">
        <f>IF(AND(Projects!$G$12="Yes",CI$3&gt;=Projects!$C$12,CI$3&lt;Projects!$C$12+Projects!$D$12),Projects!$B$12*INDEX(Curves!$B$4:$AR$4,1,CI$3-Projects!$C$12+1),0)-IF(AND(Projects!$G$12="Yes",CI$3&gt;=Projects!$C$12,CI$3&lt;Projects!$C$12+Projects!$D$12),Projects!$B$12*(Assumptions!$B$10+Assumptions!$B$11+Assumptions!$B$12)/Projects!$D$12*0.95,0)-IF(AND(Projects!$G$12="Yes",CI$3=Projects!$C$12+Projects!$D$12-1),Projects!$B$12*(Assumptions!$B$10+Assumptions!$B$11+Assumptions!$B$12)*0.05,0)</f>
        <v/>
      </c>
      <c r="CJ23" s="399">
        <f>IF(AND(Projects!$G$12="Yes",CJ$3&gt;=Projects!$C$12,CJ$3&lt;Projects!$C$12+Projects!$D$12),Projects!$B$12*INDEX(Curves!$B$4:$AR$4,1,CJ$3-Projects!$C$12+1),0)-IF(AND(Projects!$G$12="Yes",CJ$3&gt;=Projects!$C$12,CJ$3&lt;Projects!$C$12+Projects!$D$12),Projects!$B$12*(Assumptions!$B$10+Assumptions!$B$11+Assumptions!$B$12)/Projects!$D$12*0.95,0)-IF(AND(Projects!$G$12="Yes",CJ$3=Projects!$C$12+Projects!$D$12-1),Projects!$B$12*(Assumptions!$B$10+Assumptions!$B$11+Assumptions!$B$12)*0.05,0)</f>
        <v/>
      </c>
      <c r="CK23" s="399">
        <f>IF(AND(Projects!$G$12="Yes",CK$3&gt;=Projects!$C$12,CK$3&lt;Projects!$C$12+Projects!$D$12),Projects!$B$12*INDEX(Curves!$B$4:$AR$4,1,CK$3-Projects!$C$12+1),0)-IF(AND(Projects!$G$12="Yes",CK$3&gt;=Projects!$C$12,CK$3&lt;Projects!$C$12+Projects!$D$12),Projects!$B$12*(Assumptions!$B$10+Assumptions!$B$11+Assumptions!$B$12)/Projects!$D$12*0.95,0)-IF(AND(Projects!$G$12="Yes",CK$3=Projects!$C$12+Projects!$D$12-1),Projects!$B$12*(Assumptions!$B$10+Assumptions!$B$11+Assumptions!$B$12)*0.05,0)</f>
        <v/>
      </c>
      <c r="CL23" s="399">
        <f>IF(AND(Projects!$G$12="Yes",CL$3&gt;=Projects!$C$12,CL$3&lt;Projects!$C$12+Projects!$D$12),Projects!$B$12*INDEX(Curves!$B$4:$AR$4,1,CL$3-Projects!$C$12+1),0)-IF(AND(Projects!$G$12="Yes",CL$3&gt;=Projects!$C$12,CL$3&lt;Projects!$C$12+Projects!$D$12),Projects!$B$12*(Assumptions!$B$10+Assumptions!$B$11+Assumptions!$B$12)/Projects!$D$12*0.95,0)-IF(AND(Projects!$G$12="Yes",CL$3=Projects!$C$12+Projects!$D$12-1),Projects!$B$12*(Assumptions!$B$10+Assumptions!$B$11+Assumptions!$B$12)*0.05,0)</f>
        <v/>
      </c>
      <c r="CM23" s="399">
        <f>IF(AND(Projects!$G$12="Yes",CM$3&gt;=Projects!$C$12,CM$3&lt;Projects!$C$12+Projects!$D$12),Projects!$B$12*INDEX(Curves!$B$4:$AR$4,1,CM$3-Projects!$C$12+1),0)-IF(AND(Projects!$G$12="Yes",CM$3&gt;=Projects!$C$12,CM$3&lt;Projects!$C$12+Projects!$D$12),Projects!$B$12*(Assumptions!$B$10+Assumptions!$B$11+Assumptions!$B$12)/Projects!$D$12*0.95,0)-IF(AND(Projects!$G$12="Yes",CM$3=Projects!$C$12+Projects!$D$12-1),Projects!$B$12*(Assumptions!$B$10+Assumptions!$B$11+Assumptions!$B$12)*0.05,0)</f>
        <v/>
      </c>
      <c r="CN23" s="399">
        <f>IF(AND(Projects!$G$12="Yes",CN$3&gt;=Projects!$C$12,CN$3&lt;Projects!$C$12+Projects!$D$12),Projects!$B$12*INDEX(Curves!$B$4:$AR$4,1,CN$3-Projects!$C$12+1),0)-IF(AND(Projects!$G$12="Yes",CN$3&gt;=Projects!$C$12,CN$3&lt;Projects!$C$12+Projects!$D$12),Projects!$B$12*(Assumptions!$B$10+Assumptions!$B$11+Assumptions!$B$12)/Projects!$D$12*0.95,0)-IF(AND(Projects!$G$12="Yes",CN$3=Projects!$C$12+Projects!$D$12-1),Projects!$B$12*(Assumptions!$B$10+Assumptions!$B$11+Assumptions!$B$12)*0.05,0)</f>
        <v/>
      </c>
      <c r="CO23" s="399">
        <f>IF(AND(Projects!$G$12="Yes",CO$3&gt;=Projects!$C$12,CO$3&lt;Projects!$C$12+Projects!$D$12),Projects!$B$12*INDEX(Curves!$B$4:$AR$4,1,CO$3-Projects!$C$12+1),0)-IF(AND(Projects!$G$12="Yes",CO$3&gt;=Projects!$C$12,CO$3&lt;Projects!$C$12+Projects!$D$12),Projects!$B$12*(Assumptions!$B$10+Assumptions!$B$11+Assumptions!$B$12)/Projects!$D$12*0.95,0)-IF(AND(Projects!$G$12="Yes",CO$3=Projects!$C$12+Projects!$D$12-1),Projects!$B$12*(Assumptions!$B$10+Assumptions!$B$11+Assumptions!$B$12)*0.05,0)</f>
        <v/>
      </c>
      <c r="CP23" s="399">
        <f>IF(AND(Projects!$G$12="Yes",CP$3&gt;=Projects!$C$12,CP$3&lt;Projects!$C$12+Projects!$D$12),Projects!$B$12*INDEX(Curves!$B$4:$AR$4,1,CP$3-Projects!$C$12+1),0)-IF(AND(Projects!$G$12="Yes",CP$3&gt;=Projects!$C$12,CP$3&lt;Projects!$C$12+Projects!$D$12),Projects!$B$12*(Assumptions!$B$10+Assumptions!$B$11+Assumptions!$B$12)/Projects!$D$12*0.95,0)-IF(AND(Projects!$G$12="Yes",CP$3=Projects!$C$12+Projects!$D$12-1),Projects!$B$12*(Assumptions!$B$10+Assumptions!$B$11+Assumptions!$B$12)*0.05,0)</f>
        <v/>
      </c>
      <c r="CQ23" s="399">
        <f>IF(AND(Projects!$G$12="Yes",CQ$3&gt;=Projects!$C$12,CQ$3&lt;Projects!$C$12+Projects!$D$12),Projects!$B$12*INDEX(Curves!$B$4:$AR$4,1,CQ$3-Projects!$C$12+1),0)-IF(AND(Projects!$G$12="Yes",CQ$3&gt;=Projects!$C$12,CQ$3&lt;Projects!$C$12+Projects!$D$12),Projects!$B$12*(Assumptions!$B$10+Assumptions!$B$11+Assumptions!$B$12)/Projects!$D$12*0.95,0)-IF(AND(Projects!$G$12="Yes",CQ$3=Projects!$C$12+Projects!$D$12-1),Projects!$B$12*(Assumptions!$B$10+Assumptions!$B$11+Assumptions!$B$12)*0.05,0)</f>
        <v/>
      </c>
      <c r="CR23" s="399">
        <f>IF(AND(Projects!$G$12="Yes",CR$3&gt;=Projects!$C$12,CR$3&lt;Projects!$C$12+Projects!$D$12),Projects!$B$12*INDEX(Curves!$B$4:$AR$4,1,CR$3-Projects!$C$12+1),0)-IF(AND(Projects!$G$12="Yes",CR$3&gt;=Projects!$C$12,CR$3&lt;Projects!$C$12+Projects!$D$12),Projects!$B$12*(Assumptions!$B$10+Assumptions!$B$11+Assumptions!$B$12)/Projects!$D$12*0.95,0)-IF(AND(Projects!$G$12="Yes",CR$3=Projects!$C$12+Projects!$D$12-1),Projects!$B$12*(Assumptions!$B$10+Assumptions!$B$11+Assumptions!$B$12)*0.05,0)</f>
        <v/>
      </c>
      <c r="CS23" s="399">
        <f>IF(AND(Projects!$G$12="Yes",CS$3&gt;=Projects!$C$12,CS$3&lt;Projects!$C$12+Projects!$D$12),Projects!$B$12*INDEX(Curves!$B$4:$AR$4,1,CS$3-Projects!$C$12+1),0)-IF(AND(Projects!$G$12="Yes",CS$3&gt;=Projects!$C$12,CS$3&lt;Projects!$C$12+Projects!$D$12),Projects!$B$12*(Assumptions!$B$10+Assumptions!$B$11+Assumptions!$B$12)/Projects!$D$12*0.95,0)-IF(AND(Projects!$G$12="Yes",CS$3=Projects!$C$12+Projects!$D$12-1),Projects!$B$12*(Assumptions!$B$10+Assumptions!$B$11+Assumptions!$B$12)*0.05,0)</f>
        <v/>
      </c>
      <c r="CT23" s="399">
        <f>IF(AND(Projects!$G$12="Yes",CT$3&gt;=Projects!$C$12,CT$3&lt;Projects!$C$12+Projects!$D$12),Projects!$B$12*INDEX(Curves!$B$4:$AR$4,1,CT$3-Projects!$C$12+1),0)-IF(AND(Projects!$G$12="Yes",CT$3&gt;=Projects!$C$12,CT$3&lt;Projects!$C$12+Projects!$D$12),Projects!$B$12*(Assumptions!$B$10+Assumptions!$B$11+Assumptions!$B$12)/Projects!$D$12*0.95,0)-IF(AND(Projects!$G$12="Yes",CT$3=Projects!$C$12+Projects!$D$12-1),Projects!$B$12*(Assumptions!$B$10+Assumptions!$B$11+Assumptions!$B$12)*0.05,0)</f>
        <v/>
      </c>
      <c r="CU23" s="399">
        <f>IF(AND(Projects!$G$12="Yes",CU$3&gt;=Projects!$C$12,CU$3&lt;Projects!$C$12+Projects!$D$12),Projects!$B$12*INDEX(Curves!$B$4:$AR$4,1,CU$3-Projects!$C$12+1),0)-IF(AND(Projects!$G$12="Yes",CU$3&gt;=Projects!$C$12,CU$3&lt;Projects!$C$12+Projects!$D$12),Projects!$B$12*(Assumptions!$B$10+Assumptions!$B$11+Assumptions!$B$12)/Projects!$D$12*0.95,0)-IF(AND(Projects!$G$12="Yes",CU$3=Projects!$C$12+Projects!$D$12-1),Projects!$B$12*(Assumptions!$B$10+Assumptions!$B$11+Assumptions!$B$12)*0.05,0)</f>
        <v/>
      </c>
      <c r="CV23" s="399">
        <f>IF(AND(Projects!$G$12="Yes",CV$3&gt;=Projects!$C$12,CV$3&lt;Projects!$C$12+Projects!$D$12),Projects!$B$12*INDEX(Curves!$B$4:$AR$4,1,CV$3-Projects!$C$12+1),0)-IF(AND(Projects!$G$12="Yes",CV$3&gt;=Projects!$C$12,CV$3&lt;Projects!$C$12+Projects!$D$12),Projects!$B$12*(Assumptions!$B$10+Assumptions!$B$11+Assumptions!$B$12)/Projects!$D$12*0.95,0)-IF(AND(Projects!$G$12="Yes",CV$3=Projects!$C$12+Projects!$D$12-1),Projects!$B$12*(Assumptions!$B$10+Assumptions!$B$11+Assumptions!$B$12)*0.05,0)</f>
        <v/>
      </c>
      <c r="CW23" s="399">
        <f>IF(AND(Projects!$G$12="Yes",CW$3&gt;=Projects!$C$12,CW$3&lt;Projects!$C$12+Projects!$D$12),Projects!$B$12*INDEX(Curves!$B$4:$AR$4,1,CW$3-Projects!$C$12+1),0)-IF(AND(Projects!$G$12="Yes",CW$3&gt;=Projects!$C$12,CW$3&lt;Projects!$C$12+Projects!$D$12),Projects!$B$12*(Assumptions!$B$10+Assumptions!$B$11+Assumptions!$B$12)/Projects!$D$12*0.95,0)-IF(AND(Projects!$G$12="Yes",CW$3=Projects!$C$12+Projects!$D$12-1),Projects!$B$12*(Assumptions!$B$10+Assumptions!$B$11+Assumptions!$B$12)*0.05,0)</f>
        <v/>
      </c>
      <c r="CX23" s="399">
        <f>IF(AND(Projects!$G$12="Yes",CX$3&gt;=Projects!$C$12,CX$3&lt;Projects!$C$12+Projects!$D$12),Projects!$B$12*INDEX(Curves!$B$4:$AR$4,1,CX$3-Projects!$C$12+1),0)-IF(AND(Projects!$G$12="Yes",CX$3&gt;=Projects!$C$12,CX$3&lt;Projects!$C$12+Projects!$D$12),Projects!$B$12*(Assumptions!$B$10+Assumptions!$B$11+Assumptions!$B$12)/Projects!$D$12*0.95,0)-IF(AND(Projects!$G$12="Yes",CX$3=Projects!$C$12+Projects!$D$12-1),Projects!$B$12*(Assumptions!$B$10+Assumptions!$B$11+Assumptions!$B$12)*0.05,0)</f>
        <v/>
      </c>
      <c r="CY23" s="399">
        <f>IF(AND(Projects!$G$12="Yes",CY$3&gt;=Projects!$C$12,CY$3&lt;Projects!$C$12+Projects!$D$12),Projects!$B$12*INDEX(Curves!$B$4:$AR$4,1,CY$3-Projects!$C$12+1),0)-IF(AND(Projects!$G$12="Yes",CY$3&gt;=Projects!$C$12,CY$3&lt;Projects!$C$12+Projects!$D$12),Projects!$B$12*(Assumptions!$B$10+Assumptions!$B$11+Assumptions!$B$12)/Projects!$D$12*0.95,0)-IF(AND(Projects!$G$12="Yes",CY$3=Projects!$C$12+Projects!$D$12-1),Projects!$B$12*(Assumptions!$B$10+Assumptions!$B$11+Assumptions!$B$12)*0.05,0)</f>
        <v/>
      </c>
      <c r="CZ23" s="399">
        <f>IF(AND(Projects!$G$12="Yes",CZ$3&gt;=Projects!$C$12,CZ$3&lt;Projects!$C$12+Projects!$D$12),Projects!$B$12*INDEX(Curves!$B$4:$AR$4,1,CZ$3-Projects!$C$12+1),0)-IF(AND(Projects!$G$12="Yes",CZ$3&gt;=Projects!$C$12,CZ$3&lt;Projects!$C$12+Projects!$D$12),Projects!$B$12*(Assumptions!$B$10+Assumptions!$B$11+Assumptions!$B$12)/Projects!$D$12*0.95,0)-IF(AND(Projects!$G$12="Yes",CZ$3=Projects!$C$12+Projects!$D$12-1),Projects!$B$12*(Assumptions!$B$10+Assumptions!$B$11+Assumptions!$B$12)*0.05,0)</f>
        <v/>
      </c>
      <c r="DA23" s="399">
        <f>IF(AND(Projects!$G$12="Yes",DA$3&gt;=Projects!$C$12,DA$3&lt;Projects!$C$12+Projects!$D$12),Projects!$B$12*INDEX(Curves!$B$4:$AR$4,1,DA$3-Projects!$C$12+1),0)-IF(AND(Projects!$G$12="Yes",DA$3&gt;=Projects!$C$12,DA$3&lt;Projects!$C$12+Projects!$D$12),Projects!$B$12*(Assumptions!$B$10+Assumptions!$B$11+Assumptions!$B$12)/Projects!$D$12*0.95,0)-IF(AND(Projects!$G$12="Yes",DA$3=Projects!$C$12+Projects!$D$12-1),Projects!$B$12*(Assumptions!$B$10+Assumptions!$B$11+Assumptions!$B$12)*0.05,0)</f>
        <v/>
      </c>
      <c r="DB23" s="399">
        <f>IF(AND(Projects!$G$12="Yes",DB$3&gt;=Projects!$C$12,DB$3&lt;Projects!$C$12+Projects!$D$12),Projects!$B$12*INDEX(Curves!$B$4:$AR$4,1,DB$3-Projects!$C$12+1),0)-IF(AND(Projects!$G$12="Yes",DB$3&gt;=Projects!$C$12,DB$3&lt;Projects!$C$12+Projects!$D$12),Projects!$B$12*(Assumptions!$B$10+Assumptions!$B$11+Assumptions!$B$12)/Projects!$D$12*0.95,0)-IF(AND(Projects!$G$12="Yes",DB$3=Projects!$C$12+Projects!$D$12-1),Projects!$B$12*(Assumptions!$B$10+Assumptions!$B$11+Assumptions!$B$12)*0.05,0)</f>
        <v/>
      </c>
      <c r="DC23" s="399">
        <f>IF(AND(Projects!$G$12="Yes",DC$3&gt;=Projects!$C$12,DC$3&lt;Projects!$C$12+Projects!$D$12),Projects!$B$12*INDEX(Curves!$B$4:$AR$4,1,DC$3-Projects!$C$12+1),0)-IF(AND(Projects!$G$12="Yes",DC$3&gt;=Projects!$C$12,DC$3&lt;Projects!$C$12+Projects!$D$12),Projects!$B$12*(Assumptions!$B$10+Assumptions!$B$11+Assumptions!$B$12)/Projects!$D$12*0.95,0)-IF(AND(Projects!$G$12="Yes",DC$3=Projects!$C$12+Projects!$D$12-1),Projects!$B$12*(Assumptions!$B$10+Assumptions!$B$11+Assumptions!$B$12)*0.05,0)</f>
        <v/>
      </c>
      <c r="DD23" s="399">
        <f>IF(AND(Projects!$G$12="Yes",DD$3&gt;=Projects!$C$12,DD$3&lt;Projects!$C$12+Projects!$D$12),Projects!$B$12*INDEX(Curves!$B$4:$AR$4,1,DD$3-Projects!$C$12+1),0)-IF(AND(Projects!$G$12="Yes",DD$3&gt;=Projects!$C$12,DD$3&lt;Projects!$C$12+Projects!$D$12),Projects!$B$12*(Assumptions!$B$10+Assumptions!$B$11+Assumptions!$B$12)/Projects!$D$12*0.95,0)-IF(AND(Projects!$G$12="Yes",DD$3=Projects!$C$12+Projects!$D$12-1),Projects!$B$12*(Assumptions!$B$10+Assumptions!$B$11+Assumptions!$B$12)*0.05,0)</f>
        <v/>
      </c>
      <c r="DE23" s="399">
        <f>IF(AND(Projects!$G$12="Yes",DE$3&gt;=Projects!$C$12,DE$3&lt;Projects!$C$12+Projects!$D$12),Projects!$B$12*INDEX(Curves!$B$4:$AR$4,1,DE$3-Projects!$C$12+1),0)-IF(AND(Projects!$G$12="Yes",DE$3&gt;=Projects!$C$12,DE$3&lt;Projects!$C$12+Projects!$D$12),Projects!$B$12*(Assumptions!$B$10+Assumptions!$B$11+Assumptions!$B$12)/Projects!$D$12*0.95,0)-IF(AND(Projects!$G$12="Yes",DE$3=Projects!$C$12+Projects!$D$12-1),Projects!$B$12*(Assumptions!$B$10+Assumptions!$B$11+Assumptions!$B$12)*0.05,0)</f>
        <v/>
      </c>
    </row>
    <row r="24" hidden="1" outlineLevel="1" ht="15" customFormat="1" customHeight="1" s="380">
      <c r="A24" s="407" t="inlineStr">
        <is>
          <t>Reseda</t>
        </is>
      </c>
      <c r="B24" s="399" t="n">
        <v>0</v>
      </c>
      <c r="C24" s="399" t="n">
        <v>0</v>
      </c>
      <c r="D24" s="399" t="n">
        <v>0</v>
      </c>
      <c r="E24" s="399" t="n">
        <v>0</v>
      </c>
      <c r="F24" s="399">
        <f>IF(AND(Projects!$G$13="Yes",F$3&gt;=Projects!$C$13,F$3&lt;Projects!$C$13+Projects!$D$13),Projects!$B$13*INDEX(Curves!$B$2:$AR$2,1,F$3-Projects!$C$13+1),0)-IF(AND(Projects!$G$13="Yes",F$3&gt;=Projects!$C$13,F$3&lt;Projects!$C$13+Projects!$D$13),Projects!$B$13*(Assumptions!$B$10+Assumptions!$B$11+Assumptions!$B$12)/Projects!$D$13*0.95,0)-IF(AND(Projects!$G$13="Yes",F$3=Projects!$C$13+Projects!$D$13-1),Projects!$B$13*(Assumptions!$B$10+Assumptions!$B$11+Assumptions!$B$12)*0.05,0)</f>
        <v/>
      </c>
      <c r="G24" s="399">
        <f>IF(AND(Projects!$G$13="Yes",G$3&gt;=Projects!$C$13,G$3&lt;Projects!$C$13+Projects!$D$13),Projects!$B$13*INDEX(Curves!$B$2:$AR$2,1,G$3-Projects!$C$13+1),0)-IF(AND(Projects!$G$13="Yes",G$3&gt;=Projects!$C$13,G$3&lt;Projects!$C$13+Projects!$D$13),Projects!$B$13*(Assumptions!$B$10+Assumptions!$B$11+Assumptions!$B$12)/Projects!$D$13*0.95,0)-IF(AND(Projects!$G$13="Yes",G$3=Projects!$C$13+Projects!$D$13-1),Projects!$B$13*(Assumptions!$B$10+Assumptions!$B$11+Assumptions!$B$12)*0.05,0)</f>
        <v/>
      </c>
      <c r="H24" s="399">
        <f>IF(AND(Projects!$G$13="Yes",H$3&gt;=Projects!$C$13,H$3&lt;Projects!$C$13+Projects!$D$13),Projects!$B$13*INDEX(Curves!$B$2:$AR$2,1,H$3-Projects!$C$13+1),0)-IF(AND(Projects!$G$13="Yes",H$3&gt;=Projects!$C$13,H$3&lt;Projects!$C$13+Projects!$D$13),Projects!$B$13*(Assumptions!$B$10+Assumptions!$B$11+Assumptions!$B$12)/Projects!$D$13*0.95,0)-IF(AND(Projects!$G$13="Yes",H$3=Projects!$C$13+Projects!$D$13-1),Projects!$B$13*(Assumptions!$B$10+Assumptions!$B$11+Assumptions!$B$12)*0.05,0)</f>
        <v/>
      </c>
      <c r="I24" s="399">
        <f>IF(AND(Projects!$G$13="Yes",I$3&gt;=Projects!$C$13,I$3&lt;Projects!$C$13+Projects!$D$13),Projects!$B$13*INDEX(Curves!$B$2:$AR$2,1,I$3-Projects!$C$13+1),0)-IF(AND(Projects!$G$13="Yes",I$3&gt;=Projects!$C$13,I$3&lt;Projects!$C$13+Projects!$D$13),Projects!$B$13*(Assumptions!$B$10+Assumptions!$B$11+Assumptions!$B$12)/Projects!$D$13*0.95,0)-IF(AND(Projects!$G$13="Yes",I$3=Projects!$C$13+Projects!$D$13-1),Projects!$B$13*(Assumptions!$B$10+Assumptions!$B$11+Assumptions!$B$12)*0.05,0)</f>
        <v/>
      </c>
      <c r="J24" s="399">
        <f>IF(AND(Projects!$G$13="Yes",J$3&gt;=Projects!$C$13,J$3&lt;Projects!$C$13+Projects!$D$13),Projects!$B$13*INDEX(Curves!$B$2:$AR$2,1,J$3-Projects!$C$13+1),0)-IF(AND(Projects!$G$13="Yes",J$3&gt;=Projects!$C$13,J$3&lt;Projects!$C$13+Projects!$D$13),Projects!$B$13*(Assumptions!$B$10+Assumptions!$B$11+Assumptions!$B$12)/Projects!$D$13*0.95,0)-IF(AND(Projects!$G$13="Yes",J$3=Projects!$C$13+Projects!$D$13-1),Projects!$B$13*(Assumptions!$B$10+Assumptions!$B$11+Assumptions!$B$12)*0.05,0)</f>
        <v/>
      </c>
      <c r="K24" s="399">
        <f>IF(AND(Projects!$G$13="Yes",K$3&gt;=Projects!$C$13,K$3&lt;Projects!$C$13+Projects!$D$13),Projects!$B$13*INDEX(Curves!$B$2:$AR$2,1,K$3-Projects!$C$13+1),0)-IF(AND(Projects!$G$13="Yes",K$3&gt;=Projects!$C$13,K$3&lt;Projects!$C$13+Projects!$D$13),Projects!$B$13*(Assumptions!$B$10+Assumptions!$B$11+Assumptions!$B$12)/Projects!$D$13*0.95,0)-IF(AND(Projects!$G$13="Yes",K$3=Projects!$C$13+Projects!$D$13-1),Projects!$B$13*(Assumptions!$B$10+Assumptions!$B$11+Assumptions!$B$12)*0.05,0)</f>
        <v/>
      </c>
      <c r="L24" s="399">
        <f>IF(AND(Projects!$G$13="Yes",L$3&gt;=Projects!$C$13,L$3&lt;Projects!$C$13+Projects!$D$13),Projects!$B$13*INDEX(Curves!$B$2:$AR$2,1,L$3-Projects!$C$13+1),0)-IF(AND(Projects!$G$13="Yes",L$3&gt;=Projects!$C$13,L$3&lt;Projects!$C$13+Projects!$D$13),Projects!$B$13*(Assumptions!$B$10+Assumptions!$B$11+Assumptions!$B$12)/Projects!$D$13*0.95,0)-IF(AND(Projects!$G$13="Yes",L$3=Projects!$C$13+Projects!$D$13-1),Projects!$B$13*(Assumptions!$B$10+Assumptions!$B$11+Assumptions!$B$12)*0.05,0)</f>
        <v/>
      </c>
      <c r="M24" s="399">
        <f>IF(AND(Projects!$G$13="Yes",M$3&gt;=Projects!$C$13,M$3&lt;Projects!$C$13+Projects!$D$13),Projects!$B$13*INDEX(Curves!$B$2:$AR$2,1,M$3-Projects!$C$13+1),0)-IF(AND(Projects!$G$13="Yes",M$3&gt;=Projects!$C$13,M$3&lt;Projects!$C$13+Projects!$D$13),Projects!$B$13*(Assumptions!$B$10+Assumptions!$B$11+Assumptions!$B$12)/Projects!$D$13*0.95,0)-IF(AND(Projects!$G$13="Yes",M$3=Projects!$C$13+Projects!$D$13-1),Projects!$B$13*(Assumptions!$B$10+Assumptions!$B$11+Assumptions!$B$12)*0.05,0)</f>
        <v/>
      </c>
      <c r="N24" s="399">
        <f>IF(AND(Projects!$G$13="Yes",N$3&gt;=Projects!$C$13,N$3&lt;Projects!$C$13+Projects!$D$13),Projects!$B$13*INDEX(Curves!$B$2:$AR$2,1,N$3-Projects!$C$13+1),0)-IF(AND(Projects!$G$13="Yes",N$3&gt;=Projects!$C$13,N$3&lt;Projects!$C$13+Projects!$D$13),Projects!$B$13*(Assumptions!$B$10+Assumptions!$B$11+Assumptions!$B$12)/Projects!$D$13*0.95,0)-IF(AND(Projects!$G$13="Yes",N$3=Projects!$C$13+Projects!$D$13-1),Projects!$B$13*(Assumptions!$B$10+Assumptions!$B$11+Assumptions!$B$12)*0.05,0)</f>
        <v/>
      </c>
      <c r="O24" s="399">
        <f>IF(AND(Projects!$G$13="Yes",O$3&gt;=Projects!$C$13,O$3&lt;Projects!$C$13+Projects!$D$13),Projects!$B$13*INDEX(Curves!$B$2:$AR$2,1,O$3-Projects!$C$13+1),0)-IF(AND(Projects!$G$13="Yes",O$3&gt;=Projects!$C$13,O$3&lt;Projects!$C$13+Projects!$D$13),Projects!$B$13*(Assumptions!$B$10+Assumptions!$B$11+Assumptions!$B$12)/Projects!$D$13*0.95,0)-IF(AND(Projects!$G$13="Yes",O$3=Projects!$C$13+Projects!$D$13-1),Projects!$B$13*(Assumptions!$B$10+Assumptions!$B$11+Assumptions!$B$12)*0.05,0)</f>
        <v/>
      </c>
      <c r="P24" s="399">
        <f>IF(AND(Projects!$G$13="Yes",P$3&gt;=Projects!$C$13,P$3&lt;Projects!$C$13+Projects!$D$13),Projects!$B$13*INDEX(Curves!$B$2:$AR$2,1,P$3-Projects!$C$13+1),0)-IF(AND(Projects!$G$13="Yes",P$3&gt;=Projects!$C$13,P$3&lt;Projects!$C$13+Projects!$D$13),Projects!$B$13*(Assumptions!$B$10+Assumptions!$B$11+Assumptions!$B$12)/Projects!$D$13*0.95,0)-IF(AND(Projects!$G$13="Yes",P$3=Projects!$C$13+Projects!$D$13-1),Projects!$B$13*(Assumptions!$B$10+Assumptions!$B$11+Assumptions!$B$12)*0.05,0)</f>
        <v/>
      </c>
      <c r="Q24" s="399">
        <f>IF(AND(Projects!$G$13="Yes",Q$3&gt;=Projects!$C$13,Q$3&lt;Projects!$C$13+Projects!$D$13),Projects!$B$13*INDEX(Curves!$B$2:$AR$2,1,Q$3-Projects!$C$13+1),0)-IF(AND(Projects!$G$13="Yes",Q$3&gt;=Projects!$C$13,Q$3&lt;Projects!$C$13+Projects!$D$13),Projects!$B$13*(Assumptions!$B$10+Assumptions!$B$11+Assumptions!$B$12)/Projects!$D$13*0.95,0)-IF(AND(Projects!$G$13="Yes",Q$3=Projects!$C$13+Projects!$D$13-1),Projects!$B$13*(Assumptions!$B$10+Assumptions!$B$11+Assumptions!$B$12)*0.05,0)</f>
        <v/>
      </c>
      <c r="R24" s="399">
        <f>IF(AND(Projects!$G$13="Yes",R$3&gt;=Projects!$C$13,R$3&lt;Projects!$C$13+Projects!$D$13),Projects!$B$13*INDEX(Curves!$B$2:$AR$2,1,R$3-Projects!$C$13+1),0)-IF(AND(Projects!$G$13="Yes",R$3&gt;=Projects!$C$13,R$3&lt;Projects!$C$13+Projects!$D$13),Projects!$B$13*(Assumptions!$B$10+Assumptions!$B$11+Assumptions!$B$12)/Projects!$D$13*0.95,0)-IF(AND(Projects!$G$13="Yes",R$3=Projects!$C$13+Projects!$D$13-1),Projects!$B$13*(Assumptions!$B$10+Assumptions!$B$11+Assumptions!$B$12)*0.05,0)</f>
        <v/>
      </c>
      <c r="S24" s="399">
        <f>IF(AND(Projects!$G$13="Yes",S$3&gt;=Projects!$C$13,S$3&lt;Projects!$C$13+Projects!$D$13),Projects!$B$13*INDEX(Curves!$B$2:$AR$2,1,S$3-Projects!$C$13+1),0)-IF(AND(Projects!$G$13="Yes",S$3&gt;=Projects!$C$13,S$3&lt;Projects!$C$13+Projects!$D$13),Projects!$B$13*(Assumptions!$B$10+Assumptions!$B$11+Assumptions!$B$12)/Projects!$D$13*0.95,0)-IF(AND(Projects!$G$13="Yes",S$3=Projects!$C$13+Projects!$D$13-1),Projects!$B$13*(Assumptions!$B$10+Assumptions!$B$11+Assumptions!$B$12)*0.05,0)</f>
        <v/>
      </c>
      <c r="T24" s="399">
        <f>IF(AND(Projects!$G$13="Yes",T$3&gt;=Projects!$C$13,T$3&lt;Projects!$C$13+Projects!$D$13),Projects!$B$13*INDEX(Curves!$B$2:$AR$2,1,T$3-Projects!$C$13+1),0)-IF(AND(Projects!$G$13="Yes",T$3&gt;=Projects!$C$13,T$3&lt;Projects!$C$13+Projects!$D$13),Projects!$B$13*(Assumptions!$B$10+Assumptions!$B$11+Assumptions!$B$12)/Projects!$D$13*0.95,0)-IF(AND(Projects!$G$13="Yes",T$3=Projects!$C$13+Projects!$D$13-1),Projects!$B$13*(Assumptions!$B$10+Assumptions!$B$11+Assumptions!$B$12)*0.05,0)</f>
        <v/>
      </c>
      <c r="U24" s="399">
        <f>IF(AND(Projects!$G$13="Yes",U$3&gt;=Projects!$C$13,U$3&lt;Projects!$C$13+Projects!$D$13),Projects!$B$13*INDEX(Curves!$B$2:$AR$2,1,U$3-Projects!$C$13+1),0)-IF(AND(Projects!$G$13="Yes",U$3&gt;=Projects!$C$13,U$3&lt;Projects!$C$13+Projects!$D$13),Projects!$B$13*(Assumptions!$B$10+Assumptions!$B$11+Assumptions!$B$12)/Projects!$D$13*0.95,0)-IF(AND(Projects!$G$13="Yes",U$3=Projects!$C$13+Projects!$D$13-1),Projects!$B$13*(Assumptions!$B$10+Assumptions!$B$11+Assumptions!$B$12)*0.05,0)</f>
        <v/>
      </c>
      <c r="V24" s="399">
        <f>IF(AND(Projects!$G$13="Yes",V$3&gt;=Projects!$C$13,V$3&lt;Projects!$C$13+Projects!$D$13),Projects!$B$13*INDEX(Curves!$B$2:$AR$2,1,V$3-Projects!$C$13+1),0)-IF(AND(Projects!$G$13="Yes",V$3&gt;=Projects!$C$13,V$3&lt;Projects!$C$13+Projects!$D$13),Projects!$B$13*(Assumptions!$B$10+Assumptions!$B$11+Assumptions!$B$12)/Projects!$D$13*0.95,0)-IF(AND(Projects!$G$13="Yes",V$3=Projects!$C$13+Projects!$D$13-1),Projects!$B$13*(Assumptions!$B$10+Assumptions!$B$11+Assumptions!$B$12)*0.05,0)</f>
        <v/>
      </c>
      <c r="W24" s="399">
        <f>IF(AND(Projects!$G$13="Yes",W$3&gt;=Projects!$C$13,W$3&lt;Projects!$C$13+Projects!$D$13),Projects!$B$13*INDEX(Curves!$B$2:$AR$2,1,W$3-Projects!$C$13+1),0)-IF(AND(Projects!$G$13="Yes",W$3&gt;=Projects!$C$13,W$3&lt;Projects!$C$13+Projects!$D$13),Projects!$B$13*(Assumptions!$B$10+Assumptions!$B$11+Assumptions!$B$12)/Projects!$D$13*0.95,0)-IF(AND(Projects!$G$13="Yes",W$3=Projects!$C$13+Projects!$D$13-1),Projects!$B$13*(Assumptions!$B$10+Assumptions!$B$11+Assumptions!$B$12)*0.05,0)</f>
        <v/>
      </c>
      <c r="X24" s="399">
        <f>IF(AND(Projects!$G$13="Yes",X$3&gt;=Projects!$C$13,X$3&lt;Projects!$C$13+Projects!$D$13),Projects!$B$13*INDEX(Curves!$B$2:$AR$2,1,X$3-Projects!$C$13+1),0)-IF(AND(Projects!$G$13="Yes",X$3&gt;=Projects!$C$13,X$3&lt;Projects!$C$13+Projects!$D$13),Projects!$B$13*(Assumptions!$B$10+Assumptions!$B$11+Assumptions!$B$12)/Projects!$D$13*0.95,0)-IF(AND(Projects!$G$13="Yes",X$3=Projects!$C$13+Projects!$D$13-1),Projects!$B$13*(Assumptions!$B$10+Assumptions!$B$11+Assumptions!$B$12)*0.05,0)</f>
        <v/>
      </c>
      <c r="Y24" s="399">
        <f>IF(AND(Projects!$G$13="Yes",Y$3&gt;=Projects!$C$13,Y$3&lt;Projects!$C$13+Projects!$D$13),Projects!$B$13*INDEX(Curves!$B$2:$AR$2,1,Y$3-Projects!$C$13+1),0)-IF(AND(Projects!$G$13="Yes",Y$3&gt;=Projects!$C$13,Y$3&lt;Projects!$C$13+Projects!$D$13),Projects!$B$13*(Assumptions!$B$10+Assumptions!$B$11+Assumptions!$B$12)/Projects!$D$13*0.95,0)-IF(AND(Projects!$G$13="Yes",Y$3=Projects!$C$13+Projects!$D$13-1),Projects!$B$13*(Assumptions!$B$10+Assumptions!$B$11+Assumptions!$B$12)*0.05,0)</f>
        <v/>
      </c>
      <c r="Z24" s="399">
        <f>IF(AND(Projects!$G$13="Yes",Z$3&gt;=Projects!$C$13,Z$3&lt;Projects!$C$13+Projects!$D$13),Projects!$B$13*INDEX(Curves!$B$2:$AR$2,1,Z$3-Projects!$C$13+1),0)-IF(AND(Projects!$G$13="Yes",Z$3&gt;=Projects!$C$13,Z$3&lt;Projects!$C$13+Projects!$D$13),Projects!$B$13*(Assumptions!$B$10+Assumptions!$B$11+Assumptions!$B$12)/Projects!$D$13*0.95,0)-IF(AND(Projects!$G$13="Yes",Z$3=Projects!$C$13+Projects!$D$13-1),Projects!$B$13*(Assumptions!$B$10+Assumptions!$B$11+Assumptions!$B$12)*0.05,0)</f>
        <v/>
      </c>
      <c r="AA24" s="399">
        <f>IF(AND(Projects!$G$13="Yes",AA$3&gt;=Projects!$C$13,AA$3&lt;Projects!$C$13+Projects!$D$13),Projects!$B$13*INDEX(Curves!$B$2:$AR$2,1,AA$3-Projects!$C$13+1),0)-IF(AND(Projects!$G$13="Yes",AA$3&gt;=Projects!$C$13,AA$3&lt;Projects!$C$13+Projects!$D$13),Projects!$B$13*(Assumptions!$B$10+Assumptions!$B$11+Assumptions!$B$12)/Projects!$D$13*0.95,0)-IF(AND(Projects!$G$13="Yes",AA$3=Projects!$C$13+Projects!$D$13-1),Projects!$B$13*(Assumptions!$B$10+Assumptions!$B$11+Assumptions!$B$12)*0.05,0)</f>
        <v/>
      </c>
      <c r="AB24" s="399">
        <f>IF(AND(Projects!$G$13="Yes",AB$3&gt;=Projects!$C$13,AB$3&lt;Projects!$C$13+Projects!$D$13),Projects!$B$13*INDEX(Curves!$B$2:$AR$2,1,AB$3-Projects!$C$13+1),0)-IF(AND(Projects!$G$13="Yes",AB$3&gt;=Projects!$C$13,AB$3&lt;Projects!$C$13+Projects!$D$13),Projects!$B$13*(Assumptions!$B$10+Assumptions!$B$11+Assumptions!$B$12)/Projects!$D$13*0.95,0)-IF(AND(Projects!$G$13="Yes",AB$3=Projects!$C$13+Projects!$D$13-1),Projects!$B$13*(Assumptions!$B$10+Assumptions!$B$11+Assumptions!$B$12)*0.05,0)</f>
        <v/>
      </c>
      <c r="AC24" s="399">
        <f>IF(AND(Projects!$G$13="Yes",AC$3&gt;=Projects!$C$13,AC$3&lt;Projects!$C$13+Projects!$D$13),Projects!$B$13*INDEX(Curves!$B$2:$AR$2,1,AC$3-Projects!$C$13+1),0)-IF(AND(Projects!$G$13="Yes",AC$3&gt;=Projects!$C$13,AC$3&lt;Projects!$C$13+Projects!$D$13),Projects!$B$13*(Assumptions!$B$10+Assumptions!$B$11+Assumptions!$B$12)/Projects!$D$13*0.95,0)-IF(AND(Projects!$G$13="Yes",AC$3=Projects!$C$13+Projects!$D$13-1),Projects!$B$13*(Assumptions!$B$10+Assumptions!$B$11+Assumptions!$B$12)*0.05,0)</f>
        <v/>
      </c>
      <c r="AD24" s="399">
        <f>IF(AND(Projects!$G$13="Yes",AD$3&gt;=Projects!$C$13,AD$3&lt;Projects!$C$13+Projects!$D$13),Projects!$B$13*INDEX(Curves!$B$2:$AR$2,1,AD$3-Projects!$C$13+1),0)-IF(AND(Projects!$G$13="Yes",AD$3&gt;=Projects!$C$13,AD$3&lt;Projects!$C$13+Projects!$D$13),Projects!$B$13*(Assumptions!$B$10+Assumptions!$B$11+Assumptions!$B$12)/Projects!$D$13*0.95,0)-IF(AND(Projects!$G$13="Yes",AD$3=Projects!$C$13+Projects!$D$13-1),Projects!$B$13*(Assumptions!$B$10+Assumptions!$B$11+Assumptions!$B$12)*0.05,0)</f>
        <v/>
      </c>
      <c r="AE24" s="399">
        <f>IF(AND(Projects!$G$13="Yes",AE$3&gt;=Projects!$C$13,AE$3&lt;Projects!$C$13+Projects!$D$13),Projects!$B$13*INDEX(Curves!$B$2:$AR$2,1,AE$3-Projects!$C$13+1),0)-IF(AND(Projects!$G$13="Yes",AE$3&gt;=Projects!$C$13,AE$3&lt;Projects!$C$13+Projects!$D$13),Projects!$B$13*(Assumptions!$B$10+Assumptions!$B$11+Assumptions!$B$12)/Projects!$D$13*0.95,0)-IF(AND(Projects!$G$13="Yes",AE$3=Projects!$C$13+Projects!$D$13-1),Projects!$B$13*(Assumptions!$B$10+Assumptions!$B$11+Assumptions!$B$12)*0.05,0)</f>
        <v/>
      </c>
      <c r="AF24" s="399">
        <f>IF(AND(Projects!$G$13="Yes",AF$3&gt;=Projects!$C$13,AF$3&lt;Projects!$C$13+Projects!$D$13),Projects!$B$13*INDEX(Curves!$B$2:$AR$2,1,AF$3-Projects!$C$13+1),0)-IF(AND(Projects!$G$13="Yes",AF$3&gt;=Projects!$C$13,AF$3&lt;Projects!$C$13+Projects!$D$13),Projects!$B$13*(Assumptions!$B$10+Assumptions!$B$11+Assumptions!$B$12)/Projects!$D$13*0.95,0)-IF(AND(Projects!$G$13="Yes",AF$3=Projects!$C$13+Projects!$D$13-1),Projects!$B$13*(Assumptions!$B$10+Assumptions!$B$11+Assumptions!$B$12)*0.05,0)</f>
        <v/>
      </c>
      <c r="AG24" s="399">
        <f>IF(AND(Projects!$G$13="Yes",AG$3&gt;=Projects!$C$13,AG$3&lt;Projects!$C$13+Projects!$D$13),Projects!$B$13*INDEX(Curves!$B$2:$AR$2,1,AG$3-Projects!$C$13+1),0)-IF(AND(Projects!$G$13="Yes",AG$3&gt;=Projects!$C$13,AG$3&lt;Projects!$C$13+Projects!$D$13),Projects!$B$13*(Assumptions!$B$10+Assumptions!$B$11+Assumptions!$B$12)/Projects!$D$13*0.95,0)-IF(AND(Projects!$G$13="Yes",AG$3=Projects!$C$13+Projects!$D$13-1),Projects!$B$13*(Assumptions!$B$10+Assumptions!$B$11+Assumptions!$B$12)*0.05,0)</f>
        <v/>
      </c>
      <c r="AH24" s="399">
        <f>IF(AND(Projects!$G$13="Yes",AH$3&gt;=Projects!$C$13,AH$3&lt;Projects!$C$13+Projects!$D$13),Projects!$B$13*INDEX(Curves!$B$2:$AR$2,1,AH$3-Projects!$C$13+1),0)-IF(AND(Projects!$G$13="Yes",AH$3&gt;=Projects!$C$13,AH$3&lt;Projects!$C$13+Projects!$D$13),Projects!$B$13*(Assumptions!$B$10+Assumptions!$B$11+Assumptions!$B$12)/Projects!$D$13*0.95,0)-IF(AND(Projects!$G$13="Yes",AH$3=Projects!$C$13+Projects!$D$13-1),Projects!$B$13*(Assumptions!$B$10+Assumptions!$B$11+Assumptions!$B$12)*0.05,0)</f>
        <v/>
      </c>
      <c r="AI24" s="399">
        <f>IF(AND(Projects!$G$13="Yes",AI$3&gt;=Projects!$C$13,AI$3&lt;Projects!$C$13+Projects!$D$13),Projects!$B$13*INDEX(Curves!$B$2:$AR$2,1,AI$3-Projects!$C$13+1),0)-IF(AND(Projects!$G$13="Yes",AI$3&gt;=Projects!$C$13,AI$3&lt;Projects!$C$13+Projects!$D$13),Projects!$B$13*(Assumptions!$B$10+Assumptions!$B$11+Assumptions!$B$12)/Projects!$D$13*0.95,0)-IF(AND(Projects!$G$13="Yes",AI$3=Projects!$C$13+Projects!$D$13-1),Projects!$B$13*(Assumptions!$B$10+Assumptions!$B$11+Assumptions!$B$12)*0.05,0)</f>
        <v/>
      </c>
      <c r="AJ24" s="399">
        <f>IF(AND(Projects!$G$13="Yes",AJ$3&gt;=Projects!$C$13,AJ$3&lt;Projects!$C$13+Projects!$D$13),Projects!$B$13*INDEX(Curves!$B$2:$AR$2,1,AJ$3-Projects!$C$13+1),0)-IF(AND(Projects!$G$13="Yes",AJ$3&gt;=Projects!$C$13,AJ$3&lt;Projects!$C$13+Projects!$D$13),Projects!$B$13*(Assumptions!$B$10+Assumptions!$B$11+Assumptions!$B$12)/Projects!$D$13*0.95,0)-IF(AND(Projects!$G$13="Yes",AJ$3=Projects!$C$13+Projects!$D$13-1),Projects!$B$13*(Assumptions!$B$10+Assumptions!$B$11+Assumptions!$B$12)*0.05,0)</f>
        <v/>
      </c>
      <c r="AK24" s="399">
        <f>IF(AND(Projects!$G$13="Yes",AK$3&gt;=Projects!$C$13,AK$3&lt;Projects!$C$13+Projects!$D$13),Projects!$B$13*INDEX(Curves!$B$2:$AR$2,1,AK$3-Projects!$C$13+1),0)-IF(AND(Projects!$G$13="Yes",AK$3&gt;=Projects!$C$13,AK$3&lt;Projects!$C$13+Projects!$D$13),Projects!$B$13*(Assumptions!$B$10+Assumptions!$B$11+Assumptions!$B$12)/Projects!$D$13*0.95,0)-IF(AND(Projects!$G$13="Yes",AK$3=Projects!$C$13+Projects!$D$13-1),Projects!$B$13*(Assumptions!$B$10+Assumptions!$B$11+Assumptions!$B$12)*0.05,0)</f>
        <v/>
      </c>
      <c r="AL24" s="399">
        <f>IF(AND(Projects!$G$13="Yes",AL$3&gt;=Projects!$C$13,AL$3&lt;Projects!$C$13+Projects!$D$13),Projects!$B$13*INDEX(Curves!$B$2:$AR$2,1,AL$3-Projects!$C$13+1),0)-IF(AND(Projects!$G$13="Yes",AL$3&gt;=Projects!$C$13,AL$3&lt;Projects!$C$13+Projects!$D$13),Projects!$B$13*(Assumptions!$B$10+Assumptions!$B$11+Assumptions!$B$12)/Projects!$D$13*0.95,0)-IF(AND(Projects!$G$13="Yes",AL$3=Projects!$C$13+Projects!$D$13-1),Projects!$B$13*(Assumptions!$B$10+Assumptions!$B$11+Assumptions!$B$12)*0.05,0)</f>
        <v/>
      </c>
      <c r="AM24" s="399">
        <f>IF(AND(Projects!$G$13="Yes",AM$3&gt;=Projects!$C$13,AM$3&lt;Projects!$C$13+Projects!$D$13),Projects!$B$13*INDEX(Curves!$B$2:$AR$2,1,AM$3-Projects!$C$13+1),0)-IF(AND(Projects!$G$13="Yes",AM$3&gt;=Projects!$C$13,AM$3&lt;Projects!$C$13+Projects!$D$13),Projects!$B$13*(Assumptions!$B$10+Assumptions!$B$11+Assumptions!$B$12)/Projects!$D$13*0.95,0)-IF(AND(Projects!$G$13="Yes",AM$3=Projects!$C$13+Projects!$D$13-1),Projects!$B$13*(Assumptions!$B$10+Assumptions!$B$11+Assumptions!$B$12)*0.05,0)</f>
        <v/>
      </c>
      <c r="AN24" s="399">
        <f>IF(AND(Projects!$G$13="Yes",AN$3&gt;=Projects!$C$13,AN$3&lt;Projects!$C$13+Projects!$D$13),Projects!$B$13*INDEX(Curves!$B$2:$AR$2,1,AN$3-Projects!$C$13+1),0)-IF(AND(Projects!$G$13="Yes",AN$3&gt;=Projects!$C$13,AN$3&lt;Projects!$C$13+Projects!$D$13),Projects!$B$13*(Assumptions!$B$10+Assumptions!$B$11+Assumptions!$B$12)/Projects!$D$13*0.95,0)-IF(AND(Projects!$G$13="Yes",AN$3=Projects!$C$13+Projects!$D$13-1),Projects!$B$13*(Assumptions!$B$10+Assumptions!$B$11+Assumptions!$B$12)*0.05,0)</f>
        <v/>
      </c>
      <c r="AO24" s="399">
        <f>IF(AND(Projects!$G$13="Yes",AO$3&gt;=Projects!$C$13,AO$3&lt;Projects!$C$13+Projects!$D$13),Projects!$B$13*INDEX(Curves!$B$2:$AR$2,1,AO$3-Projects!$C$13+1),0)-IF(AND(Projects!$G$13="Yes",AO$3&gt;=Projects!$C$13,AO$3&lt;Projects!$C$13+Projects!$D$13),Projects!$B$13*(Assumptions!$B$10+Assumptions!$B$11+Assumptions!$B$12)/Projects!$D$13*0.95,0)-IF(AND(Projects!$G$13="Yes",AO$3=Projects!$C$13+Projects!$D$13-1),Projects!$B$13*(Assumptions!$B$10+Assumptions!$B$11+Assumptions!$B$12)*0.05,0)</f>
        <v/>
      </c>
      <c r="AP24" s="399">
        <f>IF(AND(Projects!$G$13="Yes",AP$3&gt;=Projects!$C$13,AP$3&lt;Projects!$C$13+Projects!$D$13),Projects!$B$13*INDEX(Curves!$B$2:$AR$2,1,AP$3-Projects!$C$13+1),0)-IF(AND(Projects!$G$13="Yes",AP$3&gt;=Projects!$C$13,AP$3&lt;Projects!$C$13+Projects!$D$13),Projects!$B$13*(Assumptions!$B$10+Assumptions!$B$11+Assumptions!$B$12)/Projects!$D$13*0.95,0)-IF(AND(Projects!$G$13="Yes",AP$3=Projects!$C$13+Projects!$D$13-1),Projects!$B$13*(Assumptions!$B$10+Assumptions!$B$11+Assumptions!$B$12)*0.05,0)</f>
        <v/>
      </c>
      <c r="AQ24" s="399">
        <f>IF(AND(Projects!$G$13="Yes",AQ$3&gt;=Projects!$C$13,AQ$3&lt;Projects!$C$13+Projects!$D$13),Projects!$B$13*INDEX(Curves!$B$2:$AR$2,1,AQ$3-Projects!$C$13+1),0)-IF(AND(Projects!$G$13="Yes",AQ$3&gt;=Projects!$C$13,AQ$3&lt;Projects!$C$13+Projects!$D$13),Projects!$B$13*(Assumptions!$B$10+Assumptions!$B$11+Assumptions!$B$12)/Projects!$D$13*0.95,0)-IF(AND(Projects!$G$13="Yes",AQ$3=Projects!$C$13+Projects!$D$13-1),Projects!$B$13*(Assumptions!$B$10+Assumptions!$B$11+Assumptions!$B$12)*0.05,0)</f>
        <v/>
      </c>
      <c r="AR24" s="399">
        <f>IF(AND(Projects!$G$13="Yes",AR$3&gt;=Projects!$C$13,AR$3&lt;Projects!$C$13+Projects!$D$13),Projects!$B$13*INDEX(Curves!$B$2:$AR$2,1,AR$3-Projects!$C$13+1),0)-IF(AND(Projects!$G$13="Yes",AR$3&gt;=Projects!$C$13,AR$3&lt;Projects!$C$13+Projects!$D$13),Projects!$B$13*(Assumptions!$B$10+Assumptions!$B$11+Assumptions!$B$12)/Projects!$D$13*0.95,0)-IF(AND(Projects!$G$13="Yes",AR$3=Projects!$C$13+Projects!$D$13-1),Projects!$B$13*(Assumptions!$B$10+Assumptions!$B$11+Assumptions!$B$12)*0.05,0)</f>
        <v/>
      </c>
      <c r="AS24" s="399">
        <f>IF(AND(Projects!$G$13="Yes",AS$3&gt;=Projects!$C$13,AS$3&lt;Projects!$C$13+Projects!$D$13),Projects!$B$13*INDEX(Curves!$B$2:$AR$2,1,AS$3-Projects!$C$13+1),0)-IF(AND(Projects!$G$13="Yes",AS$3&gt;=Projects!$C$13,AS$3&lt;Projects!$C$13+Projects!$D$13),Projects!$B$13*(Assumptions!$B$10+Assumptions!$B$11+Assumptions!$B$12)/Projects!$D$13*0.95,0)-IF(AND(Projects!$G$13="Yes",AS$3=Projects!$C$13+Projects!$D$13-1),Projects!$B$13*(Assumptions!$B$10+Assumptions!$B$11+Assumptions!$B$12)*0.05,0)</f>
        <v/>
      </c>
      <c r="AT24" s="399">
        <f>IF(AND(Projects!$G$13="Yes",AT$3&gt;=Projects!$C$13,AT$3&lt;Projects!$C$13+Projects!$D$13),Projects!$B$13*INDEX(Curves!$B$2:$AR$2,1,AT$3-Projects!$C$13+1),0)-IF(AND(Projects!$G$13="Yes",AT$3&gt;=Projects!$C$13,AT$3&lt;Projects!$C$13+Projects!$D$13),Projects!$B$13*(Assumptions!$B$10+Assumptions!$B$11+Assumptions!$B$12)/Projects!$D$13*0.95,0)-IF(AND(Projects!$G$13="Yes",AT$3=Projects!$C$13+Projects!$D$13-1),Projects!$B$13*(Assumptions!$B$10+Assumptions!$B$11+Assumptions!$B$12)*0.05,0)</f>
        <v/>
      </c>
      <c r="AU24" s="399">
        <f>IF(AND(Projects!$G$13="Yes",AU$3&gt;=Projects!$C$13,AU$3&lt;Projects!$C$13+Projects!$D$13),Projects!$B$13*INDEX(Curves!$B$2:$AR$2,1,AU$3-Projects!$C$13+1),0)-IF(AND(Projects!$G$13="Yes",AU$3&gt;=Projects!$C$13,AU$3&lt;Projects!$C$13+Projects!$D$13),Projects!$B$13*(Assumptions!$B$10+Assumptions!$B$11+Assumptions!$B$12)/Projects!$D$13*0.95,0)-IF(AND(Projects!$G$13="Yes",AU$3=Projects!$C$13+Projects!$D$13-1),Projects!$B$13*(Assumptions!$B$10+Assumptions!$B$11+Assumptions!$B$12)*0.05,0)</f>
        <v/>
      </c>
      <c r="AV24" s="399">
        <f>IF(AND(Projects!$G$13="Yes",AV$3&gt;=Projects!$C$13,AV$3&lt;Projects!$C$13+Projects!$D$13),Projects!$B$13*INDEX(Curves!$B$2:$AR$2,1,AV$3-Projects!$C$13+1),0)-IF(AND(Projects!$G$13="Yes",AV$3&gt;=Projects!$C$13,AV$3&lt;Projects!$C$13+Projects!$D$13),Projects!$B$13*(Assumptions!$B$10+Assumptions!$B$11+Assumptions!$B$12)/Projects!$D$13*0.95,0)-IF(AND(Projects!$G$13="Yes",AV$3=Projects!$C$13+Projects!$D$13-1),Projects!$B$13*(Assumptions!$B$10+Assumptions!$B$11+Assumptions!$B$12)*0.05,0)</f>
        <v/>
      </c>
      <c r="AW24" s="399">
        <f>IF(AND(Projects!$G$13="Yes",AW$3&gt;=Projects!$C$13,AW$3&lt;Projects!$C$13+Projects!$D$13),Projects!$B$13*INDEX(Curves!$B$2:$AR$2,1,AW$3-Projects!$C$13+1),0)-IF(AND(Projects!$G$13="Yes",AW$3&gt;=Projects!$C$13,AW$3&lt;Projects!$C$13+Projects!$D$13),Projects!$B$13*(Assumptions!$B$10+Assumptions!$B$11+Assumptions!$B$12)/Projects!$D$13*0.95,0)-IF(AND(Projects!$G$13="Yes",AW$3=Projects!$C$13+Projects!$D$13-1),Projects!$B$13*(Assumptions!$B$10+Assumptions!$B$11+Assumptions!$B$12)*0.05,0)</f>
        <v/>
      </c>
      <c r="AX24" s="399">
        <f>IF(AND(Projects!$G$13="Yes",AX$3&gt;=Projects!$C$13,AX$3&lt;Projects!$C$13+Projects!$D$13),Projects!$B$13*INDEX(Curves!$B$2:$AR$2,1,AX$3-Projects!$C$13+1),0)-IF(AND(Projects!$G$13="Yes",AX$3&gt;=Projects!$C$13,AX$3&lt;Projects!$C$13+Projects!$D$13),Projects!$B$13*(Assumptions!$B$10+Assumptions!$B$11+Assumptions!$B$12)/Projects!$D$13*0.95,0)-IF(AND(Projects!$G$13="Yes",AX$3=Projects!$C$13+Projects!$D$13-1),Projects!$B$13*(Assumptions!$B$10+Assumptions!$B$11+Assumptions!$B$12)*0.05,0)</f>
        <v/>
      </c>
      <c r="AY24" s="399">
        <f>IF(AND(Projects!$G$13="Yes",AY$3&gt;=Projects!$C$13,AY$3&lt;Projects!$C$13+Projects!$D$13),Projects!$B$13*INDEX(Curves!$B$2:$AR$2,1,AY$3-Projects!$C$13+1),0)-IF(AND(Projects!$G$13="Yes",AY$3&gt;=Projects!$C$13,AY$3&lt;Projects!$C$13+Projects!$D$13),Projects!$B$13*(Assumptions!$B$10+Assumptions!$B$11+Assumptions!$B$12)/Projects!$D$13*0.95,0)-IF(AND(Projects!$G$13="Yes",AY$3=Projects!$C$13+Projects!$D$13-1),Projects!$B$13*(Assumptions!$B$10+Assumptions!$B$11+Assumptions!$B$12)*0.05,0)</f>
        <v/>
      </c>
      <c r="AZ24" s="399">
        <f>IF(AND(Projects!$G$13="Yes",AZ$3&gt;=Projects!$C$13,AZ$3&lt;Projects!$C$13+Projects!$D$13),Projects!$B$13*INDEX(Curves!$B$2:$AR$2,1,AZ$3-Projects!$C$13+1),0)-IF(AND(Projects!$G$13="Yes",AZ$3&gt;=Projects!$C$13,AZ$3&lt;Projects!$C$13+Projects!$D$13),Projects!$B$13*(Assumptions!$B$10+Assumptions!$B$11+Assumptions!$B$12)/Projects!$D$13*0.95,0)-IF(AND(Projects!$G$13="Yes",AZ$3=Projects!$C$13+Projects!$D$13-1),Projects!$B$13*(Assumptions!$B$10+Assumptions!$B$11+Assumptions!$B$12)*0.05,0)</f>
        <v/>
      </c>
      <c r="BA24" s="399">
        <f>IF(AND(Projects!$G$13="Yes",BA$3&gt;=Projects!$C$13,BA$3&lt;Projects!$C$13+Projects!$D$13),Projects!$B$13*INDEX(Curves!$B$2:$AR$2,1,BA$3-Projects!$C$13+1),0)-IF(AND(Projects!$G$13="Yes",BA$3&gt;=Projects!$C$13,BA$3&lt;Projects!$C$13+Projects!$D$13),Projects!$B$13*(Assumptions!$B$10+Assumptions!$B$11+Assumptions!$B$12)/Projects!$D$13*0.95,0)-IF(AND(Projects!$G$13="Yes",BA$3=Projects!$C$13+Projects!$D$13-1),Projects!$B$13*(Assumptions!$B$10+Assumptions!$B$11+Assumptions!$B$12)*0.05,0)</f>
        <v/>
      </c>
      <c r="BB24" s="399">
        <f>IF(AND(Projects!$G$13="Yes",BB$3&gt;=Projects!$C$13,BB$3&lt;Projects!$C$13+Projects!$D$13),Projects!$B$13*INDEX(Curves!$B$2:$AR$2,1,BB$3-Projects!$C$13+1),0)-IF(AND(Projects!$G$13="Yes",BB$3&gt;=Projects!$C$13,BB$3&lt;Projects!$C$13+Projects!$D$13),Projects!$B$13*(Assumptions!$B$10+Assumptions!$B$11+Assumptions!$B$12)/Projects!$D$13*0.95,0)-IF(AND(Projects!$G$13="Yes",BB$3=Projects!$C$13+Projects!$D$13-1),Projects!$B$13*(Assumptions!$B$10+Assumptions!$B$11+Assumptions!$B$12)*0.05,0)</f>
        <v/>
      </c>
      <c r="BC24" s="399">
        <f>IF(AND(Projects!$G$13="Yes",BC$3&gt;=Projects!$C$13,BC$3&lt;Projects!$C$13+Projects!$D$13),Projects!$B$13*INDEX(Curves!$B$2:$AR$2,1,BC$3-Projects!$C$13+1),0)-IF(AND(Projects!$G$13="Yes",BC$3&gt;=Projects!$C$13,BC$3&lt;Projects!$C$13+Projects!$D$13),Projects!$B$13*(Assumptions!$B$10+Assumptions!$B$11+Assumptions!$B$12)/Projects!$D$13*0.95,0)-IF(AND(Projects!$G$13="Yes",BC$3=Projects!$C$13+Projects!$D$13-1),Projects!$B$13*(Assumptions!$B$10+Assumptions!$B$11+Assumptions!$B$12)*0.05,0)</f>
        <v/>
      </c>
      <c r="BD24" s="399">
        <f>IF(AND(Projects!$G$13="Yes",BD$3&gt;=Projects!$C$13,BD$3&lt;Projects!$C$13+Projects!$D$13),Projects!$B$13*INDEX(Curves!$B$2:$AR$2,1,BD$3-Projects!$C$13+1),0)-IF(AND(Projects!$G$13="Yes",BD$3&gt;=Projects!$C$13,BD$3&lt;Projects!$C$13+Projects!$D$13),Projects!$B$13*(Assumptions!$B$10+Assumptions!$B$11+Assumptions!$B$12)/Projects!$D$13*0.95,0)-IF(AND(Projects!$G$13="Yes",BD$3=Projects!$C$13+Projects!$D$13-1),Projects!$B$13*(Assumptions!$B$10+Assumptions!$B$11+Assumptions!$B$12)*0.05,0)</f>
        <v/>
      </c>
      <c r="BE24" s="399">
        <f>IF(AND(Projects!$G$13="Yes",BE$3&gt;=Projects!$C$13,BE$3&lt;Projects!$C$13+Projects!$D$13),Projects!$B$13*INDEX(Curves!$B$2:$AR$2,1,BE$3-Projects!$C$13+1),0)-IF(AND(Projects!$G$13="Yes",BE$3&gt;=Projects!$C$13,BE$3&lt;Projects!$C$13+Projects!$D$13),Projects!$B$13*(Assumptions!$B$10+Assumptions!$B$11+Assumptions!$B$12)/Projects!$D$13*0.95,0)-IF(AND(Projects!$G$13="Yes",BE$3=Projects!$C$13+Projects!$D$13-1),Projects!$B$13*(Assumptions!$B$10+Assumptions!$B$11+Assumptions!$B$12)*0.05,0)</f>
        <v/>
      </c>
      <c r="BF24" s="399">
        <f>IF(AND(Projects!$G$13="Yes",BF$3&gt;=Projects!$C$13,BF$3&lt;Projects!$C$13+Projects!$D$13),Projects!$B$13*INDEX(Curves!$B$2:$AR$2,1,BF$3-Projects!$C$13+1),0)-IF(AND(Projects!$G$13="Yes",BF$3&gt;=Projects!$C$13,BF$3&lt;Projects!$C$13+Projects!$D$13),Projects!$B$13*(Assumptions!$B$10+Assumptions!$B$11+Assumptions!$B$12)/Projects!$D$13*0.95,0)-IF(AND(Projects!$G$13="Yes",BF$3=Projects!$C$13+Projects!$D$13-1),Projects!$B$13*(Assumptions!$B$10+Assumptions!$B$11+Assumptions!$B$12)*0.05,0)</f>
        <v/>
      </c>
      <c r="BG24" s="399">
        <f>IF(AND(Projects!$G$13="Yes",BG$3&gt;=Projects!$C$13,BG$3&lt;Projects!$C$13+Projects!$D$13),Projects!$B$13*INDEX(Curves!$B$2:$AR$2,1,BG$3-Projects!$C$13+1),0)-IF(AND(Projects!$G$13="Yes",BG$3&gt;=Projects!$C$13,BG$3&lt;Projects!$C$13+Projects!$D$13),Projects!$B$13*(Assumptions!$B$10+Assumptions!$B$11+Assumptions!$B$12)/Projects!$D$13*0.95,0)-IF(AND(Projects!$G$13="Yes",BG$3=Projects!$C$13+Projects!$D$13-1),Projects!$B$13*(Assumptions!$B$10+Assumptions!$B$11+Assumptions!$B$12)*0.05,0)</f>
        <v/>
      </c>
      <c r="BH24" s="399">
        <f>IF(AND(Projects!$G$13="Yes",BH$3&gt;=Projects!$C$13,BH$3&lt;Projects!$C$13+Projects!$D$13),Projects!$B$13*INDEX(Curves!$B$2:$AR$2,1,BH$3-Projects!$C$13+1),0)-IF(AND(Projects!$G$13="Yes",BH$3&gt;=Projects!$C$13,BH$3&lt;Projects!$C$13+Projects!$D$13),Projects!$B$13*(Assumptions!$B$10+Assumptions!$B$11+Assumptions!$B$12)/Projects!$D$13*0.95,0)-IF(AND(Projects!$G$13="Yes",BH$3=Projects!$C$13+Projects!$D$13-1),Projects!$B$13*(Assumptions!$B$10+Assumptions!$B$11+Assumptions!$B$12)*0.05,0)</f>
        <v/>
      </c>
      <c r="BI24" s="399">
        <f>IF(AND(Projects!$G$13="Yes",BI$3&gt;=Projects!$C$13,BI$3&lt;Projects!$C$13+Projects!$D$13),Projects!$B$13*INDEX(Curves!$B$2:$AR$2,1,BI$3-Projects!$C$13+1),0)-IF(AND(Projects!$G$13="Yes",BI$3&gt;=Projects!$C$13,BI$3&lt;Projects!$C$13+Projects!$D$13),Projects!$B$13*(Assumptions!$B$10+Assumptions!$B$11+Assumptions!$B$12)/Projects!$D$13*0.95,0)-IF(AND(Projects!$G$13="Yes",BI$3=Projects!$C$13+Projects!$D$13-1),Projects!$B$13*(Assumptions!$B$10+Assumptions!$B$11+Assumptions!$B$12)*0.05,0)</f>
        <v/>
      </c>
      <c r="BJ24" s="399">
        <f>IF(AND(Projects!$G$13="Yes",BJ$3&gt;=Projects!$C$13,BJ$3&lt;Projects!$C$13+Projects!$D$13),Projects!$B$13*INDEX(Curves!$B$2:$AR$2,1,BJ$3-Projects!$C$13+1),0)-IF(AND(Projects!$G$13="Yes",BJ$3&gt;=Projects!$C$13,BJ$3&lt;Projects!$C$13+Projects!$D$13),Projects!$B$13*(Assumptions!$B$10+Assumptions!$B$11+Assumptions!$B$12)/Projects!$D$13*0.95,0)-IF(AND(Projects!$G$13="Yes",BJ$3=Projects!$C$13+Projects!$D$13-1),Projects!$B$13*(Assumptions!$B$10+Assumptions!$B$11+Assumptions!$B$12)*0.05,0)</f>
        <v/>
      </c>
      <c r="BK24" s="399">
        <f>IF(AND(Projects!$G$13="Yes",BK$3&gt;=Projects!$C$13,BK$3&lt;Projects!$C$13+Projects!$D$13),Projects!$B$13*INDEX(Curves!$B$2:$AR$2,1,BK$3-Projects!$C$13+1),0)-IF(AND(Projects!$G$13="Yes",BK$3&gt;=Projects!$C$13,BK$3&lt;Projects!$C$13+Projects!$D$13),Projects!$B$13*(Assumptions!$B$10+Assumptions!$B$11+Assumptions!$B$12)/Projects!$D$13*0.95,0)-IF(AND(Projects!$G$13="Yes",BK$3=Projects!$C$13+Projects!$D$13-1),Projects!$B$13*(Assumptions!$B$10+Assumptions!$B$11+Assumptions!$B$12)*0.05,0)</f>
        <v/>
      </c>
      <c r="BL24" s="399">
        <f>IF(AND(Projects!$G$13="Yes",BL$3&gt;=Projects!$C$13,BL$3&lt;Projects!$C$13+Projects!$D$13),Projects!$B$13*INDEX(Curves!$B$2:$AR$2,1,BL$3-Projects!$C$13+1),0)-IF(AND(Projects!$G$13="Yes",BL$3&gt;=Projects!$C$13,BL$3&lt;Projects!$C$13+Projects!$D$13),Projects!$B$13*(Assumptions!$B$10+Assumptions!$B$11+Assumptions!$B$12)/Projects!$D$13*0.95,0)-IF(AND(Projects!$G$13="Yes",BL$3=Projects!$C$13+Projects!$D$13-1),Projects!$B$13*(Assumptions!$B$10+Assumptions!$B$11+Assumptions!$B$12)*0.05,0)</f>
        <v/>
      </c>
      <c r="BM24" s="399">
        <f>IF(AND(Projects!$G$13="Yes",BM$3&gt;=Projects!$C$13,BM$3&lt;Projects!$C$13+Projects!$D$13),Projects!$B$13*INDEX(Curves!$B$2:$AR$2,1,BM$3-Projects!$C$13+1),0)-IF(AND(Projects!$G$13="Yes",BM$3&gt;=Projects!$C$13,BM$3&lt;Projects!$C$13+Projects!$D$13),Projects!$B$13*(Assumptions!$B$10+Assumptions!$B$11+Assumptions!$B$12)/Projects!$D$13*0.95,0)-IF(AND(Projects!$G$13="Yes",BM$3=Projects!$C$13+Projects!$D$13-1),Projects!$B$13*(Assumptions!$B$10+Assumptions!$B$11+Assumptions!$B$12)*0.05,0)</f>
        <v/>
      </c>
      <c r="BN24" s="399">
        <f>IF(AND(Projects!$G$13="Yes",BN$3&gt;=Projects!$C$13,BN$3&lt;Projects!$C$13+Projects!$D$13),Projects!$B$13*INDEX(Curves!$B$2:$AR$2,1,BN$3-Projects!$C$13+1),0)-IF(AND(Projects!$G$13="Yes",BN$3&gt;=Projects!$C$13,BN$3&lt;Projects!$C$13+Projects!$D$13),Projects!$B$13*(Assumptions!$B$10+Assumptions!$B$11+Assumptions!$B$12)/Projects!$D$13*0.95,0)-IF(AND(Projects!$G$13="Yes",BN$3=Projects!$C$13+Projects!$D$13-1),Projects!$B$13*(Assumptions!$B$10+Assumptions!$B$11+Assumptions!$B$12)*0.05,0)</f>
        <v/>
      </c>
      <c r="BO24" s="399">
        <f>IF(AND(Projects!$G$13="Yes",BO$3&gt;=Projects!$C$13,BO$3&lt;Projects!$C$13+Projects!$D$13),Projects!$B$13*INDEX(Curves!$B$2:$AR$2,1,BO$3-Projects!$C$13+1),0)-IF(AND(Projects!$G$13="Yes",BO$3&gt;=Projects!$C$13,BO$3&lt;Projects!$C$13+Projects!$D$13),Projects!$B$13*(Assumptions!$B$10+Assumptions!$B$11+Assumptions!$B$12)/Projects!$D$13*0.95,0)-IF(AND(Projects!$G$13="Yes",BO$3=Projects!$C$13+Projects!$D$13-1),Projects!$B$13*(Assumptions!$B$10+Assumptions!$B$11+Assumptions!$B$12)*0.05,0)</f>
        <v/>
      </c>
      <c r="BP24" s="399">
        <f>IF(AND(Projects!$G$13="Yes",BP$3&gt;=Projects!$C$13,BP$3&lt;Projects!$C$13+Projects!$D$13),Projects!$B$13*INDEX(Curves!$B$2:$AR$2,1,BP$3-Projects!$C$13+1),0)-IF(AND(Projects!$G$13="Yes",BP$3&gt;=Projects!$C$13,BP$3&lt;Projects!$C$13+Projects!$D$13),Projects!$B$13*(Assumptions!$B$10+Assumptions!$B$11+Assumptions!$B$12)/Projects!$D$13*0.95,0)-IF(AND(Projects!$G$13="Yes",BP$3=Projects!$C$13+Projects!$D$13-1),Projects!$B$13*(Assumptions!$B$10+Assumptions!$B$11+Assumptions!$B$12)*0.05,0)</f>
        <v/>
      </c>
      <c r="BQ24" s="399">
        <f>IF(AND(Projects!$G$13="Yes",BQ$3&gt;=Projects!$C$13,BQ$3&lt;Projects!$C$13+Projects!$D$13),Projects!$B$13*INDEX(Curves!$B$2:$AR$2,1,BQ$3-Projects!$C$13+1),0)-IF(AND(Projects!$G$13="Yes",BQ$3&gt;=Projects!$C$13,BQ$3&lt;Projects!$C$13+Projects!$D$13),Projects!$B$13*(Assumptions!$B$10+Assumptions!$B$11+Assumptions!$B$12)/Projects!$D$13*0.95,0)-IF(AND(Projects!$G$13="Yes",BQ$3=Projects!$C$13+Projects!$D$13-1),Projects!$B$13*(Assumptions!$B$10+Assumptions!$B$11+Assumptions!$B$12)*0.05,0)</f>
        <v/>
      </c>
      <c r="BR24" s="399">
        <f>IF(AND(Projects!$G$13="Yes",BR$3&gt;=Projects!$C$13,BR$3&lt;Projects!$C$13+Projects!$D$13),Projects!$B$13*INDEX(Curves!$B$2:$AR$2,1,BR$3-Projects!$C$13+1),0)-IF(AND(Projects!$G$13="Yes",BR$3&gt;=Projects!$C$13,BR$3&lt;Projects!$C$13+Projects!$D$13),Projects!$B$13*(Assumptions!$B$10+Assumptions!$B$11+Assumptions!$B$12)/Projects!$D$13*0.95,0)-IF(AND(Projects!$G$13="Yes",BR$3=Projects!$C$13+Projects!$D$13-1),Projects!$B$13*(Assumptions!$B$10+Assumptions!$B$11+Assumptions!$B$12)*0.05,0)</f>
        <v/>
      </c>
      <c r="BS24" s="399">
        <f>IF(AND(Projects!$G$13="Yes",BS$3&gt;=Projects!$C$13,BS$3&lt;Projects!$C$13+Projects!$D$13),Projects!$B$13*INDEX(Curves!$B$2:$AR$2,1,BS$3-Projects!$C$13+1),0)-IF(AND(Projects!$G$13="Yes",BS$3&gt;=Projects!$C$13,BS$3&lt;Projects!$C$13+Projects!$D$13),Projects!$B$13*(Assumptions!$B$10+Assumptions!$B$11+Assumptions!$B$12)/Projects!$D$13*0.95,0)-IF(AND(Projects!$G$13="Yes",BS$3=Projects!$C$13+Projects!$D$13-1),Projects!$B$13*(Assumptions!$B$10+Assumptions!$B$11+Assumptions!$B$12)*0.05,0)</f>
        <v/>
      </c>
      <c r="BT24" s="399">
        <f>IF(AND(Projects!$G$13="Yes",BT$3&gt;=Projects!$C$13,BT$3&lt;Projects!$C$13+Projects!$D$13),Projects!$B$13*INDEX(Curves!$B$2:$AR$2,1,BT$3-Projects!$C$13+1),0)-IF(AND(Projects!$G$13="Yes",BT$3&gt;=Projects!$C$13,BT$3&lt;Projects!$C$13+Projects!$D$13),Projects!$B$13*(Assumptions!$B$10+Assumptions!$B$11+Assumptions!$B$12)/Projects!$D$13*0.95,0)-IF(AND(Projects!$G$13="Yes",BT$3=Projects!$C$13+Projects!$D$13-1),Projects!$B$13*(Assumptions!$B$10+Assumptions!$B$11+Assumptions!$B$12)*0.05,0)</f>
        <v/>
      </c>
      <c r="BU24" s="399">
        <f>IF(AND(Projects!$G$13="Yes",BU$3&gt;=Projects!$C$13,BU$3&lt;Projects!$C$13+Projects!$D$13),Projects!$B$13*INDEX(Curves!$B$2:$AR$2,1,BU$3-Projects!$C$13+1),0)-IF(AND(Projects!$G$13="Yes",BU$3&gt;=Projects!$C$13,BU$3&lt;Projects!$C$13+Projects!$D$13),Projects!$B$13*(Assumptions!$B$10+Assumptions!$B$11+Assumptions!$B$12)/Projects!$D$13*0.95,0)-IF(AND(Projects!$G$13="Yes",BU$3=Projects!$C$13+Projects!$D$13-1),Projects!$B$13*(Assumptions!$B$10+Assumptions!$B$11+Assumptions!$B$12)*0.05,0)</f>
        <v/>
      </c>
      <c r="BV24" s="399">
        <f>IF(AND(Projects!$G$13="Yes",BV$3&gt;=Projects!$C$13,BV$3&lt;Projects!$C$13+Projects!$D$13),Projects!$B$13*INDEX(Curves!$B$2:$AR$2,1,BV$3-Projects!$C$13+1),0)-IF(AND(Projects!$G$13="Yes",BV$3&gt;=Projects!$C$13,BV$3&lt;Projects!$C$13+Projects!$D$13),Projects!$B$13*(Assumptions!$B$10+Assumptions!$B$11+Assumptions!$B$12)/Projects!$D$13*0.95,0)-IF(AND(Projects!$G$13="Yes",BV$3=Projects!$C$13+Projects!$D$13-1),Projects!$B$13*(Assumptions!$B$10+Assumptions!$B$11+Assumptions!$B$12)*0.05,0)</f>
        <v/>
      </c>
      <c r="BW24" s="399">
        <f>IF(AND(Projects!$G$13="Yes",BW$3&gt;=Projects!$C$13,BW$3&lt;Projects!$C$13+Projects!$D$13),Projects!$B$13*INDEX(Curves!$B$2:$AR$2,1,BW$3-Projects!$C$13+1),0)-IF(AND(Projects!$G$13="Yes",BW$3&gt;=Projects!$C$13,BW$3&lt;Projects!$C$13+Projects!$D$13),Projects!$B$13*(Assumptions!$B$10+Assumptions!$B$11+Assumptions!$B$12)/Projects!$D$13*0.95,0)-IF(AND(Projects!$G$13="Yes",BW$3=Projects!$C$13+Projects!$D$13-1),Projects!$B$13*(Assumptions!$B$10+Assumptions!$B$11+Assumptions!$B$12)*0.05,0)</f>
        <v/>
      </c>
      <c r="BX24" s="399">
        <f>IF(AND(Projects!$G$13="Yes",BX$3&gt;=Projects!$C$13,BX$3&lt;Projects!$C$13+Projects!$D$13),Projects!$B$13*INDEX(Curves!$B$2:$AR$2,1,BX$3-Projects!$C$13+1),0)-IF(AND(Projects!$G$13="Yes",BX$3&gt;=Projects!$C$13,BX$3&lt;Projects!$C$13+Projects!$D$13),Projects!$B$13*(Assumptions!$B$10+Assumptions!$B$11+Assumptions!$B$12)/Projects!$D$13*0.95,0)-IF(AND(Projects!$G$13="Yes",BX$3=Projects!$C$13+Projects!$D$13-1),Projects!$B$13*(Assumptions!$B$10+Assumptions!$B$11+Assumptions!$B$12)*0.05,0)</f>
        <v/>
      </c>
      <c r="BY24" s="399">
        <f>IF(AND(Projects!$G$13="Yes",BY$3&gt;=Projects!$C$13,BY$3&lt;Projects!$C$13+Projects!$D$13),Projects!$B$13*INDEX(Curves!$B$2:$AR$2,1,BY$3-Projects!$C$13+1),0)-IF(AND(Projects!$G$13="Yes",BY$3&gt;=Projects!$C$13,BY$3&lt;Projects!$C$13+Projects!$D$13),Projects!$B$13*(Assumptions!$B$10+Assumptions!$B$11+Assumptions!$B$12)/Projects!$D$13*0.95,0)-IF(AND(Projects!$G$13="Yes",BY$3=Projects!$C$13+Projects!$D$13-1),Projects!$B$13*(Assumptions!$B$10+Assumptions!$B$11+Assumptions!$B$12)*0.05,0)</f>
        <v/>
      </c>
      <c r="BZ24" s="399">
        <f>IF(AND(Projects!$G$13="Yes",BZ$3&gt;=Projects!$C$13,BZ$3&lt;Projects!$C$13+Projects!$D$13),Projects!$B$13*INDEX(Curves!$B$2:$AR$2,1,BZ$3-Projects!$C$13+1),0)-IF(AND(Projects!$G$13="Yes",BZ$3&gt;=Projects!$C$13,BZ$3&lt;Projects!$C$13+Projects!$D$13),Projects!$B$13*(Assumptions!$B$10+Assumptions!$B$11+Assumptions!$B$12)/Projects!$D$13*0.95,0)-IF(AND(Projects!$G$13="Yes",BZ$3=Projects!$C$13+Projects!$D$13-1),Projects!$B$13*(Assumptions!$B$10+Assumptions!$B$11+Assumptions!$B$12)*0.05,0)</f>
        <v/>
      </c>
      <c r="CA24" s="399">
        <f>IF(AND(Projects!$G$13="Yes",CA$3&gt;=Projects!$C$13,CA$3&lt;Projects!$C$13+Projects!$D$13),Projects!$B$13*INDEX(Curves!$B$2:$AR$2,1,CA$3-Projects!$C$13+1),0)-IF(AND(Projects!$G$13="Yes",CA$3&gt;=Projects!$C$13,CA$3&lt;Projects!$C$13+Projects!$D$13),Projects!$B$13*(Assumptions!$B$10+Assumptions!$B$11+Assumptions!$B$12)/Projects!$D$13*0.95,0)-IF(AND(Projects!$G$13="Yes",CA$3=Projects!$C$13+Projects!$D$13-1),Projects!$B$13*(Assumptions!$B$10+Assumptions!$B$11+Assumptions!$B$12)*0.05,0)</f>
        <v/>
      </c>
      <c r="CB24" s="399">
        <f>IF(AND(Projects!$G$13="Yes",CB$3&gt;=Projects!$C$13,CB$3&lt;Projects!$C$13+Projects!$D$13),Projects!$B$13*INDEX(Curves!$B$2:$AR$2,1,CB$3-Projects!$C$13+1),0)-IF(AND(Projects!$G$13="Yes",CB$3&gt;=Projects!$C$13,CB$3&lt;Projects!$C$13+Projects!$D$13),Projects!$B$13*(Assumptions!$B$10+Assumptions!$B$11+Assumptions!$B$12)/Projects!$D$13*0.95,0)-IF(AND(Projects!$G$13="Yes",CB$3=Projects!$C$13+Projects!$D$13-1),Projects!$B$13*(Assumptions!$B$10+Assumptions!$B$11+Assumptions!$B$12)*0.05,0)</f>
        <v/>
      </c>
      <c r="CC24" s="399">
        <f>IF(AND(Projects!$G$13="Yes",CC$3&gt;=Projects!$C$13,CC$3&lt;Projects!$C$13+Projects!$D$13),Projects!$B$13*INDEX(Curves!$B$2:$AR$2,1,CC$3-Projects!$C$13+1),0)-IF(AND(Projects!$G$13="Yes",CC$3&gt;=Projects!$C$13,CC$3&lt;Projects!$C$13+Projects!$D$13),Projects!$B$13*(Assumptions!$B$10+Assumptions!$B$11+Assumptions!$B$12)/Projects!$D$13*0.95,0)-IF(AND(Projects!$G$13="Yes",CC$3=Projects!$C$13+Projects!$D$13-1),Projects!$B$13*(Assumptions!$B$10+Assumptions!$B$11+Assumptions!$B$12)*0.05,0)</f>
        <v/>
      </c>
      <c r="CD24" s="399">
        <f>IF(AND(Projects!$G$13="Yes",CD$3&gt;=Projects!$C$13,CD$3&lt;Projects!$C$13+Projects!$D$13),Projects!$B$13*INDEX(Curves!$B$2:$AR$2,1,CD$3-Projects!$C$13+1),0)-IF(AND(Projects!$G$13="Yes",CD$3&gt;=Projects!$C$13,CD$3&lt;Projects!$C$13+Projects!$D$13),Projects!$B$13*(Assumptions!$B$10+Assumptions!$B$11+Assumptions!$B$12)/Projects!$D$13*0.95,0)-IF(AND(Projects!$G$13="Yes",CD$3=Projects!$C$13+Projects!$D$13-1),Projects!$B$13*(Assumptions!$B$10+Assumptions!$B$11+Assumptions!$B$12)*0.05,0)</f>
        <v/>
      </c>
      <c r="CE24" s="399">
        <f>IF(AND(Projects!$G$13="Yes",CE$3&gt;=Projects!$C$13,CE$3&lt;Projects!$C$13+Projects!$D$13),Projects!$B$13*INDEX(Curves!$B$2:$AR$2,1,CE$3-Projects!$C$13+1),0)-IF(AND(Projects!$G$13="Yes",CE$3&gt;=Projects!$C$13,CE$3&lt;Projects!$C$13+Projects!$D$13),Projects!$B$13*(Assumptions!$B$10+Assumptions!$B$11+Assumptions!$B$12)/Projects!$D$13*0.95,0)-IF(AND(Projects!$G$13="Yes",CE$3=Projects!$C$13+Projects!$D$13-1),Projects!$B$13*(Assumptions!$B$10+Assumptions!$B$11+Assumptions!$B$12)*0.05,0)</f>
        <v/>
      </c>
      <c r="CF24" s="399">
        <f>IF(AND(Projects!$G$13="Yes",CF$3&gt;=Projects!$C$13,CF$3&lt;Projects!$C$13+Projects!$D$13),Projects!$B$13*INDEX(Curves!$B$2:$AR$2,1,CF$3-Projects!$C$13+1),0)-IF(AND(Projects!$G$13="Yes",CF$3&gt;=Projects!$C$13,CF$3&lt;Projects!$C$13+Projects!$D$13),Projects!$B$13*(Assumptions!$B$10+Assumptions!$B$11+Assumptions!$B$12)/Projects!$D$13*0.95,0)-IF(AND(Projects!$G$13="Yes",CF$3=Projects!$C$13+Projects!$D$13-1),Projects!$B$13*(Assumptions!$B$10+Assumptions!$B$11+Assumptions!$B$12)*0.05,0)</f>
        <v/>
      </c>
      <c r="CG24" s="399">
        <f>IF(AND(Projects!$G$13="Yes",CG$3&gt;=Projects!$C$13,CG$3&lt;Projects!$C$13+Projects!$D$13),Projects!$B$13*INDEX(Curves!$B$2:$AR$2,1,CG$3-Projects!$C$13+1),0)-IF(AND(Projects!$G$13="Yes",CG$3&gt;=Projects!$C$13,CG$3&lt;Projects!$C$13+Projects!$D$13),Projects!$B$13*(Assumptions!$B$10+Assumptions!$B$11+Assumptions!$B$12)/Projects!$D$13*0.95,0)-IF(AND(Projects!$G$13="Yes",CG$3=Projects!$C$13+Projects!$D$13-1),Projects!$B$13*(Assumptions!$B$10+Assumptions!$B$11+Assumptions!$B$12)*0.05,0)</f>
        <v/>
      </c>
      <c r="CH24" s="399">
        <f>IF(AND(Projects!$G$13="Yes",CH$3&gt;=Projects!$C$13,CH$3&lt;Projects!$C$13+Projects!$D$13),Projects!$B$13*INDEX(Curves!$B$2:$AR$2,1,CH$3-Projects!$C$13+1),0)-IF(AND(Projects!$G$13="Yes",CH$3&gt;=Projects!$C$13,CH$3&lt;Projects!$C$13+Projects!$D$13),Projects!$B$13*(Assumptions!$B$10+Assumptions!$B$11+Assumptions!$B$12)/Projects!$D$13*0.95,0)-IF(AND(Projects!$G$13="Yes",CH$3=Projects!$C$13+Projects!$D$13-1),Projects!$B$13*(Assumptions!$B$10+Assumptions!$B$11+Assumptions!$B$12)*0.05,0)</f>
        <v/>
      </c>
      <c r="CI24" s="399">
        <f>IF(AND(Projects!$G$13="Yes",CI$3&gt;=Projects!$C$13,CI$3&lt;Projects!$C$13+Projects!$D$13),Projects!$B$13*INDEX(Curves!$B$2:$AR$2,1,CI$3-Projects!$C$13+1),0)-IF(AND(Projects!$G$13="Yes",CI$3&gt;=Projects!$C$13,CI$3&lt;Projects!$C$13+Projects!$D$13),Projects!$B$13*(Assumptions!$B$10+Assumptions!$B$11+Assumptions!$B$12)/Projects!$D$13*0.95,0)-IF(AND(Projects!$G$13="Yes",CI$3=Projects!$C$13+Projects!$D$13-1),Projects!$B$13*(Assumptions!$B$10+Assumptions!$B$11+Assumptions!$B$12)*0.05,0)</f>
        <v/>
      </c>
      <c r="CJ24" s="399">
        <f>IF(AND(Projects!$G$13="Yes",CJ$3&gt;=Projects!$C$13,CJ$3&lt;Projects!$C$13+Projects!$D$13),Projects!$B$13*INDEX(Curves!$B$2:$AR$2,1,CJ$3-Projects!$C$13+1),0)-IF(AND(Projects!$G$13="Yes",CJ$3&gt;=Projects!$C$13,CJ$3&lt;Projects!$C$13+Projects!$D$13),Projects!$B$13*(Assumptions!$B$10+Assumptions!$B$11+Assumptions!$B$12)/Projects!$D$13*0.95,0)-IF(AND(Projects!$G$13="Yes",CJ$3=Projects!$C$13+Projects!$D$13-1),Projects!$B$13*(Assumptions!$B$10+Assumptions!$B$11+Assumptions!$B$12)*0.05,0)</f>
        <v/>
      </c>
      <c r="CK24" s="399">
        <f>IF(AND(Projects!$G$13="Yes",CK$3&gt;=Projects!$C$13,CK$3&lt;Projects!$C$13+Projects!$D$13),Projects!$B$13*INDEX(Curves!$B$2:$AR$2,1,CK$3-Projects!$C$13+1),0)-IF(AND(Projects!$G$13="Yes",CK$3&gt;=Projects!$C$13,CK$3&lt;Projects!$C$13+Projects!$D$13),Projects!$B$13*(Assumptions!$B$10+Assumptions!$B$11+Assumptions!$B$12)/Projects!$D$13*0.95,0)-IF(AND(Projects!$G$13="Yes",CK$3=Projects!$C$13+Projects!$D$13-1),Projects!$B$13*(Assumptions!$B$10+Assumptions!$B$11+Assumptions!$B$12)*0.05,0)</f>
        <v/>
      </c>
      <c r="CL24" s="399">
        <f>IF(AND(Projects!$G$13="Yes",CL$3&gt;=Projects!$C$13,CL$3&lt;Projects!$C$13+Projects!$D$13),Projects!$B$13*INDEX(Curves!$B$2:$AR$2,1,CL$3-Projects!$C$13+1),0)-IF(AND(Projects!$G$13="Yes",CL$3&gt;=Projects!$C$13,CL$3&lt;Projects!$C$13+Projects!$D$13),Projects!$B$13*(Assumptions!$B$10+Assumptions!$B$11+Assumptions!$B$12)/Projects!$D$13*0.95,0)-IF(AND(Projects!$G$13="Yes",CL$3=Projects!$C$13+Projects!$D$13-1),Projects!$B$13*(Assumptions!$B$10+Assumptions!$B$11+Assumptions!$B$12)*0.05,0)</f>
        <v/>
      </c>
      <c r="CM24" s="399">
        <f>IF(AND(Projects!$G$13="Yes",CM$3&gt;=Projects!$C$13,CM$3&lt;Projects!$C$13+Projects!$D$13),Projects!$B$13*INDEX(Curves!$B$2:$AR$2,1,CM$3-Projects!$C$13+1),0)-IF(AND(Projects!$G$13="Yes",CM$3&gt;=Projects!$C$13,CM$3&lt;Projects!$C$13+Projects!$D$13),Projects!$B$13*(Assumptions!$B$10+Assumptions!$B$11+Assumptions!$B$12)/Projects!$D$13*0.95,0)-IF(AND(Projects!$G$13="Yes",CM$3=Projects!$C$13+Projects!$D$13-1),Projects!$B$13*(Assumptions!$B$10+Assumptions!$B$11+Assumptions!$B$12)*0.05,0)</f>
        <v/>
      </c>
      <c r="CN24" s="399">
        <f>IF(AND(Projects!$G$13="Yes",CN$3&gt;=Projects!$C$13,CN$3&lt;Projects!$C$13+Projects!$D$13),Projects!$B$13*INDEX(Curves!$B$2:$AR$2,1,CN$3-Projects!$C$13+1),0)-IF(AND(Projects!$G$13="Yes",CN$3&gt;=Projects!$C$13,CN$3&lt;Projects!$C$13+Projects!$D$13),Projects!$B$13*(Assumptions!$B$10+Assumptions!$B$11+Assumptions!$B$12)/Projects!$D$13*0.95,0)-IF(AND(Projects!$G$13="Yes",CN$3=Projects!$C$13+Projects!$D$13-1),Projects!$B$13*(Assumptions!$B$10+Assumptions!$B$11+Assumptions!$B$12)*0.05,0)</f>
        <v/>
      </c>
      <c r="CO24" s="399">
        <f>IF(AND(Projects!$G$13="Yes",CO$3&gt;=Projects!$C$13,CO$3&lt;Projects!$C$13+Projects!$D$13),Projects!$B$13*INDEX(Curves!$B$2:$AR$2,1,CO$3-Projects!$C$13+1),0)-IF(AND(Projects!$G$13="Yes",CO$3&gt;=Projects!$C$13,CO$3&lt;Projects!$C$13+Projects!$D$13),Projects!$B$13*(Assumptions!$B$10+Assumptions!$B$11+Assumptions!$B$12)/Projects!$D$13*0.95,0)-IF(AND(Projects!$G$13="Yes",CO$3=Projects!$C$13+Projects!$D$13-1),Projects!$B$13*(Assumptions!$B$10+Assumptions!$B$11+Assumptions!$B$12)*0.05,0)</f>
        <v/>
      </c>
      <c r="CP24" s="399">
        <f>IF(AND(Projects!$G$13="Yes",CP$3&gt;=Projects!$C$13,CP$3&lt;Projects!$C$13+Projects!$D$13),Projects!$B$13*INDEX(Curves!$B$2:$AR$2,1,CP$3-Projects!$C$13+1),0)-IF(AND(Projects!$G$13="Yes",CP$3&gt;=Projects!$C$13,CP$3&lt;Projects!$C$13+Projects!$D$13),Projects!$B$13*(Assumptions!$B$10+Assumptions!$B$11+Assumptions!$B$12)/Projects!$D$13*0.95,0)-IF(AND(Projects!$G$13="Yes",CP$3=Projects!$C$13+Projects!$D$13-1),Projects!$B$13*(Assumptions!$B$10+Assumptions!$B$11+Assumptions!$B$12)*0.05,0)</f>
        <v/>
      </c>
      <c r="CQ24" s="399">
        <f>IF(AND(Projects!$G$13="Yes",CQ$3&gt;=Projects!$C$13,CQ$3&lt;Projects!$C$13+Projects!$D$13),Projects!$B$13*INDEX(Curves!$B$2:$AR$2,1,CQ$3-Projects!$C$13+1),0)-IF(AND(Projects!$G$13="Yes",CQ$3&gt;=Projects!$C$13,CQ$3&lt;Projects!$C$13+Projects!$D$13),Projects!$B$13*(Assumptions!$B$10+Assumptions!$B$11+Assumptions!$B$12)/Projects!$D$13*0.95,0)-IF(AND(Projects!$G$13="Yes",CQ$3=Projects!$C$13+Projects!$D$13-1),Projects!$B$13*(Assumptions!$B$10+Assumptions!$B$11+Assumptions!$B$12)*0.05,0)</f>
        <v/>
      </c>
      <c r="CR24" s="399">
        <f>IF(AND(Projects!$G$13="Yes",CR$3&gt;=Projects!$C$13,CR$3&lt;Projects!$C$13+Projects!$D$13),Projects!$B$13*INDEX(Curves!$B$2:$AR$2,1,CR$3-Projects!$C$13+1),0)-IF(AND(Projects!$G$13="Yes",CR$3&gt;=Projects!$C$13,CR$3&lt;Projects!$C$13+Projects!$D$13),Projects!$B$13*(Assumptions!$B$10+Assumptions!$B$11+Assumptions!$B$12)/Projects!$D$13*0.95,0)-IF(AND(Projects!$G$13="Yes",CR$3=Projects!$C$13+Projects!$D$13-1),Projects!$B$13*(Assumptions!$B$10+Assumptions!$B$11+Assumptions!$B$12)*0.05,0)</f>
        <v/>
      </c>
      <c r="CS24" s="399">
        <f>IF(AND(Projects!$G$13="Yes",CS$3&gt;=Projects!$C$13,CS$3&lt;Projects!$C$13+Projects!$D$13),Projects!$B$13*INDEX(Curves!$B$2:$AR$2,1,CS$3-Projects!$C$13+1),0)-IF(AND(Projects!$G$13="Yes",CS$3&gt;=Projects!$C$13,CS$3&lt;Projects!$C$13+Projects!$D$13),Projects!$B$13*(Assumptions!$B$10+Assumptions!$B$11+Assumptions!$B$12)/Projects!$D$13*0.95,0)-IF(AND(Projects!$G$13="Yes",CS$3=Projects!$C$13+Projects!$D$13-1),Projects!$B$13*(Assumptions!$B$10+Assumptions!$B$11+Assumptions!$B$12)*0.05,0)</f>
        <v/>
      </c>
      <c r="CT24" s="399">
        <f>IF(AND(Projects!$G$13="Yes",CT$3&gt;=Projects!$C$13,CT$3&lt;Projects!$C$13+Projects!$D$13),Projects!$B$13*INDEX(Curves!$B$2:$AR$2,1,CT$3-Projects!$C$13+1),0)-IF(AND(Projects!$G$13="Yes",CT$3&gt;=Projects!$C$13,CT$3&lt;Projects!$C$13+Projects!$D$13),Projects!$B$13*(Assumptions!$B$10+Assumptions!$B$11+Assumptions!$B$12)/Projects!$D$13*0.95,0)-IF(AND(Projects!$G$13="Yes",CT$3=Projects!$C$13+Projects!$D$13-1),Projects!$B$13*(Assumptions!$B$10+Assumptions!$B$11+Assumptions!$B$12)*0.05,0)</f>
        <v/>
      </c>
      <c r="CU24" s="399">
        <f>IF(AND(Projects!$G$13="Yes",CU$3&gt;=Projects!$C$13,CU$3&lt;Projects!$C$13+Projects!$D$13),Projects!$B$13*INDEX(Curves!$B$2:$AR$2,1,CU$3-Projects!$C$13+1),0)-IF(AND(Projects!$G$13="Yes",CU$3&gt;=Projects!$C$13,CU$3&lt;Projects!$C$13+Projects!$D$13),Projects!$B$13*(Assumptions!$B$10+Assumptions!$B$11+Assumptions!$B$12)/Projects!$D$13*0.95,0)-IF(AND(Projects!$G$13="Yes",CU$3=Projects!$C$13+Projects!$D$13-1),Projects!$B$13*(Assumptions!$B$10+Assumptions!$B$11+Assumptions!$B$12)*0.05,0)</f>
        <v/>
      </c>
      <c r="CV24" s="399">
        <f>IF(AND(Projects!$G$13="Yes",CV$3&gt;=Projects!$C$13,CV$3&lt;Projects!$C$13+Projects!$D$13),Projects!$B$13*INDEX(Curves!$B$2:$AR$2,1,CV$3-Projects!$C$13+1),0)-IF(AND(Projects!$G$13="Yes",CV$3&gt;=Projects!$C$13,CV$3&lt;Projects!$C$13+Projects!$D$13),Projects!$B$13*(Assumptions!$B$10+Assumptions!$B$11+Assumptions!$B$12)/Projects!$D$13*0.95,0)-IF(AND(Projects!$G$13="Yes",CV$3=Projects!$C$13+Projects!$D$13-1),Projects!$B$13*(Assumptions!$B$10+Assumptions!$B$11+Assumptions!$B$12)*0.05,0)</f>
        <v/>
      </c>
      <c r="CW24" s="399">
        <f>IF(AND(Projects!$G$13="Yes",CW$3&gt;=Projects!$C$13,CW$3&lt;Projects!$C$13+Projects!$D$13),Projects!$B$13*INDEX(Curves!$B$2:$AR$2,1,CW$3-Projects!$C$13+1),0)-IF(AND(Projects!$G$13="Yes",CW$3&gt;=Projects!$C$13,CW$3&lt;Projects!$C$13+Projects!$D$13),Projects!$B$13*(Assumptions!$B$10+Assumptions!$B$11+Assumptions!$B$12)/Projects!$D$13*0.95,0)-IF(AND(Projects!$G$13="Yes",CW$3=Projects!$C$13+Projects!$D$13-1),Projects!$B$13*(Assumptions!$B$10+Assumptions!$B$11+Assumptions!$B$12)*0.05,0)</f>
        <v/>
      </c>
      <c r="CX24" s="399">
        <f>IF(AND(Projects!$G$13="Yes",CX$3&gt;=Projects!$C$13,CX$3&lt;Projects!$C$13+Projects!$D$13),Projects!$B$13*INDEX(Curves!$B$2:$AR$2,1,CX$3-Projects!$C$13+1),0)-IF(AND(Projects!$G$13="Yes",CX$3&gt;=Projects!$C$13,CX$3&lt;Projects!$C$13+Projects!$D$13),Projects!$B$13*(Assumptions!$B$10+Assumptions!$B$11+Assumptions!$B$12)/Projects!$D$13*0.95,0)-IF(AND(Projects!$G$13="Yes",CX$3=Projects!$C$13+Projects!$D$13-1),Projects!$B$13*(Assumptions!$B$10+Assumptions!$B$11+Assumptions!$B$12)*0.05,0)</f>
        <v/>
      </c>
      <c r="CY24" s="399">
        <f>IF(AND(Projects!$G$13="Yes",CY$3&gt;=Projects!$C$13,CY$3&lt;Projects!$C$13+Projects!$D$13),Projects!$B$13*INDEX(Curves!$B$2:$AR$2,1,CY$3-Projects!$C$13+1),0)-IF(AND(Projects!$G$13="Yes",CY$3&gt;=Projects!$C$13,CY$3&lt;Projects!$C$13+Projects!$D$13),Projects!$B$13*(Assumptions!$B$10+Assumptions!$B$11+Assumptions!$B$12)/Projects!$D$13*0.95,0)-IF(AND(Projects!$G$13="Yes",CY$3=Projects!$C$13+Projects!$D$13-1),Projects!$B$13*(Assumptions!$B$10+Assumptions!$B$11+Assumptions!$B$12)*0.05,0)</f>
        <v/>
      </c>
      <c r="CZ24" s="399">
        <f>IF(AND(Projects!$G$13="Yes",CZ$3&gt;=Projects!$C$13,CZ$3&lt;Projects!$C$13+Projects!$D$13),Projects!$B$13*INDEX(Curves!$B$2:$AR$2,1,CZ$3-Projects!$C$13+1),0)-IF(AND(Projects!$G$13="Yes",CZ$3&gt;=Projects!$C$13,CZ$3&lt;Projects!$C$13+Projects!$D$13),Projects!$B$13*(Assumptions!$B$10+Assumptions!$B$11+Assumptions!$B$12)/Projects!$D$13*0.95,0)-IF(AND(Projects!$G$13="Yes",CZ$3=Projects!$C$13+Projects!$D$13-1),Projects!$B$13*(Assumptions!$B$10+Assumptions!$B$11+Assumptions!$B$12)*0.05,0)</f>
        <v/>
      </c>
      <c r="DA24" s="399">
        <f>IF(AND(Projects!$G$13="Yes",DA$3&gt;=Projects!$C$13,DA$3&lt;Projects!$C$13+Projects!$D$13),Projects!$B$13*INDEX(Curves!$B$2:$AR$2,1,DA$3-Projects!$C$13+1),0)-IF(AND(Projects!$G$13="Yes",DA$3&gt;=Projects!$C$13,DA$3&lt;Projects!$C$13+Projects!$D$13),Projects!$B$13*(Assumptions!$B$10+Assumptions!$B$11+Assumptions!$B$12)/Projects!$D$13*0.95,0)-IF(AND(Projects!$G$13="Yes",DA$3=Projects!$C$13+Projects!$D$13-1),Projects!$B$13*(Assumptions!$B$10+Assumptions!$B$11+Assumptions!$B$12)*0.05,0)</f>
        <v/>
      </c>
      <c r="DB24" s="399">
        <f>IF(AND(Projects!$G$13="Yes",DB$3&gt;=Projects!$C$13,DB$3&lt;Projects!$C$13+Projects!$D$13),Projects!$B$13*INDEX(Curves!$B$2:$AR$2,1,DB$3-Projects!$C$13+1),0)-IF(AND(Projects!$G$13="Yes",DB$3&gt;=Projects!$C$13,DB$3&lt;Projects!$C$13+Projects!$D$13),Projects!$B$13*(Assumptions!$B$10+Assumptions!$B$11+Assumptions!$B$12)/Projects!$D$13*0.95,0)-IF(AND(Projects!$G$13="Yes",DB$3=Projects!$C$13+Projects!$D$13-1),Projects!$B$13*(Assumptions!$B$10+Assumptions!$B$11+Assumptions!$B$12)*0.05,0)</f>
        <v/>
      </c>
      <c r="DC24" s="399">
        <f>IF(AND(Projects!$G$13="Yes",DC$3&gt;=Projects!$C$13,DC$3&lt;Projects!$C$13+Projects!$D$13),Projects!$B$13*INDEX(Curves!$B$2:$AR$2,1,DC$3-Projects!$C$13+1),0)-IF(AND(Projects!$G$13="Yes",DC$3&gt;=Projects!$C$13,DC$3&lt;Projects!$C$13+Projects!$D$13),Projects!$B$13*(Assumptions!$B$10+Assumptions!$B$11+Assumptions!$B$12)/Projects!$D$13*0.95,0)-IF(AND(Projects!$G$13="Yes",DC$3=Projects!$C$13+Projects!$D$13-1),Projects!$B$13*(Assumptions!$B$10+Assumptions!$B$11+Assumptions!$B$12)*0.05,0)</f>
        <v/>
      </c>
      <c r="DD24" s="399">
        <f>IF(AND(Projects!$G$13="Yes",DD$3&gt;=Projects!$C$13,DD$3&lt;Projects!$C$13+Projects!$D$13),Projects!$B$13*INDEX(Curves!$B$2:$AR$2,1,DD$3-Projects!$C$13+1),0)-IF(AND(Projects!$G$13="Yes",DD$3&gt;=Projects!$C$13,DD$3&lt;Projects!$C$13+Projects!$D$13),Projects!$B$13*(Assumptions!$B$10+Assumptions!$B$11+Assumptions!$B$12)/Projects!$D$13*0.95,0)-IF(AND(Projects!$G$13="Yes",DD$3=Projects!$C$13+Projects!$D$13-1),Projects!$B$13*(Assumptions!$B$10+Assumptions!$B$11+Assumptions!$B$12)*0.05,0)</f>
        <v/>
      </c>
      <c r="DE24" s="399">
        <f>IF(AND(Projects!$G$13="Yes",DE$3&gt;=Projects!$C$13,DE$3&lt;Projects!$C$13+Projects!$D$13),Projects!$B$13*INDEX(Curves!$B$2:$AR$2,1,DE$3-Projects!$C$13+1),0)-IF(AND(Projects!$G$13="Yes",DE$3&gt;=Projects!$C$13,DE$3&lt;Projects!$C$13+Projects!$D$13),Projects!$B$13*(Assumptions!$B$10+Assumptions!$B$11+Assumptions!$B$12)/Projects!$D$13*0.95,0)-IF(AND(Projects!$G$13="Yes",DE$3=Projects!$C$13+Projects!$D$13-1),Projects!$B$13*(Assumptions!$B$10+Assumptions!$B$11+Assumptions!$B$12)*0.05,0)</f>
        <v/>
      </c>
    </row>
    <row r="25" hidden="1" outlineLevel="1" ht="15" customFormat="1" customHeight="1" s="380">
      <c r="A25" s="407" t="inlineStr">
        <is>
          <t>3rd St</t>
        </is>
      </c>
      <c r="B25" s="399" t="n">
        <v>0</v>
      </c>
      <c r="C25" s="399" t="n">
        <v>0</v>
      </c>
      <c r="D25" s="399" t="n">
        <v>0</v>
      </c>
      <c r="E25" s="399" t="n">
        <v>0</v>
      </c>
      <c r="F25" s="399">
        <f>IF(AND(Projects!$G$14="Yes",F$3&gt;=Projects!$C$14,F$3&lt;Projects!$C$14+Projects!$D$14),Projects!$B$14*INDEX(Curves!$B$2:$AR$2,1,F$3-Projects!$C$14+1),0)-IF(AND(Projects!$G$14="Yes",F$3&gt;=Projects!$C$14,F$3&lt;Projects!$C$14+Projects!$D$14),Projects!$B$14*(Assumptions!$B$10+Assumptions!$B$11+Assumptions!$B$12)/Projects!$D$14*0.95,0)-IF(AND(Projects!$G$14="Yes",F$3=Projects!$C$14+Projects!$D$14-1),Projects!$B$14*(Assumptions!$B$10+Assumptions!$B$11+Assumptions!$B$12)*0.05,0)</f>
        <v/>
      </c>
      <c r="G25" s="399">
        <f>IF(AND(Projects!$G$14="Yes",G$3&gt;=Projects!$C$14,G$3&lt;Projects!$C$14+Projects!$D$14),Projects!$B$14*INDEX(Curves!$B$2:$AR$2,1,G$3-Projects!$C$14+1),0)-IF(AND(Projects!$G$14="Yes",G$3&gt;=Projects!$C$14,G$3&lt;Projects!$C$14+Projects!$D$14),Projects!$B$14*(Assumptions!$B$10+Assumptions!$B$11+Assumptions!$B$12)/Projects!$D$14*0.95,0)-IF(AND(Projects!$G$14="Yes",G$3=Projects!$C$14+Projects!$D$14-1),Projects!$B$14*(Assumptions!$B$10+Assumptions!$B$11+Assumptions!$B$12)*0.05,0)</f>
        <v/>
      </c>
      <c r="H25" s="399">
        <f>IF(AND(Projects!$G$14="Yes",H$3&gt;=Projects!$C$14,H$3&lt;Projects!$C$14+Projects!$D$14),Projects!$B$14*INDEX(Curves!$B$2:$AR$2,1,H$3-Projects!$C$14+1),0)-IF(AND(Projects!$G$14="Yes",H$3&gt;=Projects!$C$14,H$3&lt;Projects!$C$14+Projects!$D$14),Projects!$B$14*(Assumptions!$B$10+Assumptions!$B$11+Assumptions!$B$12)/Projects!$D$14*0.95,0)-IF(AND(Projects!$G$14="Yes",H$3=Projects!$C$14+Projects!$D$14-1),Projects!$B$14*(Assumptions!$B$10+Assumptions!$B$11+Assumptions!$B$12)*0.05,0)</f>
        <v/>
      </c>
      <c r="I25" s="399">
        <f>IF(AND(Projects!$G$14="Yes",I$3&gt;=Projects!$C$14,I$3&lt;Projects!$C$14+Projects!$D$14),Projects!$B$14*INDEX(Curves!$B$2:$AR$2,1,I$3-Projects!$C$14+1),0)-IF(AND(Projects!$G$14="Yes",I$3&gt;=Projects!$C$14,I$3&lt;Projects!$C$14+Projects!$D$14),Projects!$B$14*(Assumptions!$B$10+Assumptions!$B$11+Assumptions!$B$12)/Projects!$D$14*0.95,0)-IF(AND(Projects!$G$14="Yes",I$3=Projects!$C$14+Projects!$D$14-1),Projects!$B$14*(Assumptions!$B$10+Assumptions!$B$11+Assumptions!$B$12)*0.05,0)</f>
        <v/>
      </c>
      <c r="J25" s="399">
        <f>IF(AND(Projects!$G$14="Yes",J$3&gt;=Projects!$C$14,J$3&lt;Projects!$C$14+Projects!$D$14),Projects!$B$14*INDEX(Curves!$B$2:$AR$2,1,J$3-Projects!$C$14+1),0)-IF(AND(Projects!$G$14="Yes",J$3&gt;=Projects!$C$14,J$3&lt;Projects!$C$14+Projects!$D$14),Projects!$B$14*(Assumptions!$B$10+Assumptions!$B$11+Assumptions!$B$12)/Projects!$D$14*0.95,0)-IF(AND(Projects!$G$14="Yes",J$3=Projects!$C$14+Projects!$D$14-1),Projects!$B$14*(Assumptions!$B$10+Assumptions!$B$11+Assumptions!$B$12)*0.05,0)</f>
        <v/>
      </c>
      <c r="K25" s="399">
        <f>IF(AND(Projects!$G$14="Yes",K$3&gt;=Projects!$C$14,K$3&lt;Projects!$C$14+Projects!$D$14),Projects!$B$14*INDEX(Curves!$B$2:$AR$2,1,K$3-Projects!$C$14+1),0)-IF(AND(Projects!$G$14="Yes",K$3&gt;=Projects!$C$14,K$3&lt;Projects!$C$14+Projects!$D$14),Projects!$B$14*(Assumptions!$B$10+Assumptions!$B$11+Assumptions!$B$12)/Projects!$D$14*0.95,0)-IF(AND(Projects!$G$14="Yes",K$3=Projects!$C$14+Projects!$D$14-1),Projects!$B$14*(Assumptions!$B$10+Assumptions!$B$11+Assumptions!$B$12)*0.05,0)</f>
        <v/>
      </c>
      <c r="L25" s="399">
        <f>IF(AND(Projects!$G$14="Yes",L$3&gt;=Projects!$C$14,L$3&lt;Projects!$C$14+Projects!$D$14),Projects!$B$14*INDEX(Curves!$B$2:$AR$2,1,L$3-Projects!$C$14+1),0)-IF(AND(Projects!$G$14="Yes",L$3&gt;=Projects!$C$14,L$3&lt;Projects!$C$14+Projects!$D$14),Projects!$B$14*(Assumptions!$B$10+Assumptions!$B$11+Assumptions!$B$12)/Projects!$D$14*0.95,0)-IF(AND(Projects!$G$14="Yes",L$3=Projects!$C$14+Projects!$D$14-1),Projects!$B$14*(Assumptions!$B$10+Assumptions!$B$11+Assumptions!$B$12)*0.05,0)</f>
        <v/>
      </c>
      <c r="M25" s="399">
        <f>IF(AND(Projects!$G$14="Yes",M$3&gt;=Projects!$C$14,M$3&lt;Projects!$C$14+Projects!$D$14),Projects!$B$14*INDEX(Curves!$B$2:$AR$2,1,M$3-Projects!$C$14+1),0)-IF(AND(Projects!$G$14="Yes",M$3&gt;=Projects!$C$14,M$3&lt;Projects!$C$14+Projects!$D$14),Projects!$B$14*(Assumptions!$B$10+Assumptions!$B$11+Assumptions!$B$12)/Projects!$D$14*0.95,0)-IF(AND(Projects!$G$14="Yes",M$3=Projects!$C$14+Projects!$D$14-1),Projects!$B$14*(Assumptions!$B$10+Assumptions!$B$11+Assumptions!$B$12)*0.05,0)</f>
        <v/>
      </c>
      <c r="N25" s="399">
        <f>IF(AND(Projects!$G$14="Yes",N$3&gt;=Projects!$C$14,N$3&lt;Projects!$C$14+Projects!$D$14),Projects!$B$14*INDEX(Curves!$B$2:$AR$2,1,N$3-Projects!$C$14+1),0)-IF(AND(Projects!$G$14="Yes",N$3&gt;=Projects!$C$14,N$3&lt;Projects!$C$14+Projects!$D$14),Projects!$B$14*(Assumptions!$B$10+Assumptions!$B$11+Assumptions!$B$12)/Projects!$D$14*0.95,0)-IF(AND(Projects!$G$14="Yes",N$3=Projects!$C$14+Projects!$D$14-1),Projects!$B$14*(Assumptions!$B$10+Assumptions!$B$11+Assumptions!$B$12)*0.05,0)</f>
        <v/>
      </c>
      <c r="O25" s="399">
        <f>IF(AND(Projects!$G$14="Yes",O$3&gt;=Projects!$C$14,O$3&lt;Projects!$C$14+Projects!$D$14),Projects!$B$14*INDEX(Curves!$B$2:$AR$2,1,O$3-Projects!$C$14+1),0)-IF(AND(Projects!$G$14="Yes",O$3&gt;=Projects!$C$14,O$3&lt;Projects!$C$14+Projects!$D$14),Projects!$B$14*(Assumptions!$B$10+Assumptions!$B$11+Assumptions!$B$12)/Projects!$D$14*0.95,0)-IF(AND(Projects!$G$14="Yes",O$3=Projects!$C$14+Projects!$D$14-1),Projects!$B$14*(Assumptions!$B$10+Assumptions!$B$11+Assumptions!$B$12)*0.05,0)</f>
        <v/>
      </c>
      <c r="P25" s="399">
        <f>IF(AND(Projects!$G$14="Yes",P$3&gt;=Projects!$C$14,P$3&lt;Projects!$C$14+Projects!$D$14),Projects!$B$14*INDEX(Curves!$B$2:$AR$2,1,P$3-Projects!$C$14+1),0)-IF(AND(Projects!$G$14="Yes",P$3&gt;=Projects!$C$14,P$3&lt;Projects!$C$14+Projects!$D$14),Projects!$B$14*(Assumptions!$B$10+Assumptions!$B$11+Assumptions!$B$12)/Projects!$D$14*0.95,0)-IF(AND(Projects!$G$14="Yes",P$3=Projects!$C$14+Projects!$D$14-1),Projects!$B$14*(Assumptions!$B$10+Assumptions!$B$11+Assumptions!$B$12)*0.05,0)</f>
        <v/>
      </c>
      <c r="Q25" s="399">
        <f>IF(AND(Projects!$G$14="Yes",Q$3&gt;=Projects!$C$14,Q$3&lt;Projects!$C$14+Projects!$D$14),Projects!$B$14*INDEX(Curves!$B$2:$AR$2,1,Q$3-Projects!$C$14+1),0)-IF(AND(Projects!$G$14="Yes",Q$3&gt;=Projects!$C$14,Q$3&lt;Projects!$C$14+Projects!$D$14),Projects!$B$14*(Assumptions!$B$10+Assumptions!$B$11+Assumptions!$B$12)/Projects!$D$14*0.95,0)-IF(AND(Projects!$G$14="Yes",Q$3=Projects!$C$14+Projects!$D$14-1),Projects!$B$14*(Assumptions!$B$10+Assumptions!$B$11+Assumptions!$B$12)*0.05,0)</f>
        <v/>
      </c>
      <c r="R25" s="399">
        <f>IF(AND(Projects!$G$14="Yes",R$3&gt;=Projects!$C$14,R$3&lt;Projects!$C$14+Projects!$D$14),Projects!$B$14*INDEX(Curves!$B$2:$AR$2,1,R$3-Projects!$C$14+1),0)-IF(AND(Projects!$G$14="Yes",R$3&gt;=Projects!$C$14,R$3&lt;Projects!$C$14+Projects!$D$14),Projects!$B$14*(Assumptions!$B$10+Assumptions!$B$11+Assumptions!$B$12)/Projects!$D$14*0.95,0)-IF(AND(Projects!$G$14="Yes",R$3=Projects!$C$14+Projects!$D$14-1),Projects!$B$14*(Assumptions!$B$10+Assumptions!$B$11+Assumptions!$B$12)*0.05,0)</f>
        <v/>
      </c>
      <c r="S25" s="399">
        <f>IF(AND(Projects!$G$14="Yes",S$3&gt;=Projects!$C$14,S$3&lt;Projects!$C$14+Projects!$D$14),Projects!$B$14*INDEX(Curves!$B$2:$AR$2,1,S$3-Projects!$C$14+1),0)-IF(AND(Projects!$G$14="Yes",S$3&gt;=Projects!$C$14,S$3&lt;Projects!$C$14+Projects!$D$14),Projects!$B$14*(Assumptions!$B$10+Assumptions!$B$11+Assumptions!$B$12)/Projects!$D$14*0.95,0)-IF(AND(Projects!$G$14="Yes",S$3=Projects!$C$14+Projects!$D$14-1),Projects!$B$14*(Assumptions!$B$10+Assumptions!$B$11+Assumptions!$B$12)*0.05,0)</f>
        <v/>
      </c>
      <c r="T25" s="399">
        <f>IF(AND(Projects!$G$14="Yes",T$3&gt;=Projects!$C$14,T$3&lt;Projects!$C$14+Projects!$D$14),Projects!$B$14*INDEX(Curves!$B$2:$AR$2,1,T$3-Projects!$C$14+1),0)-IF(AND(Projects!$G$14="Yes",T$3&gt;=Projects!$C$14,T$3&lt;Projects!$C$14+Projects!$D$14),Projects!$B$14*(Assumptions!$B$10+Assumptions!$B$11+Assumptions!$B$12)/Projects!$D$14*0.95,0)-IF(AND(Projects!$G$14="Yes",T$3=Projects!$C$14+Projects!$D$14-1),Projects!$B$14*(Assumptions!$B$10+Assumptions!$B$11+Assumptions!$B$12)*0.05,0)</f>
        <v/>
      </c>
      <c r="U25" s="399">
        <f>IF(AND(Projects!$G$14="Yes",U$3&gt;=Projects!$C$14,U$3&lt;Projects!$C$14+Projects!$D$14),Projects!$B$14*INDEX(Curves!$B$2:$AR$2,1,U$3-Projects!$C$14+1),0)-IF(AND(Projects!$G$14="Yes",U$3&gt;=Projects!$C$14,U$3&lt;Projects!$C$14+Projects!$D$14),Projects!$B$14*(Assumptions!$B$10+Assumptions!$B$11+Assumptions!$B$12)/Projects!$D$14*0.95,0)-IF(AND(Projects!$G$14="Yes",U$3=Projects!$C$14+Projects!$D$14-1),Projects!$B$14*(Assumptions!$B$10+Assumptions!$B$11+Assumptions!$B$12)*0.05,0)</f>
        <v/>
      </c>
      <c r="V25" s="399">
        <f>IF(AND(Projects!$G$14="Yes",V$3&gt;=Projects!$C$14,V$3&lt;Projects!$C$14+Projects!$D$14),Projects!$B$14*INDEX(Curves!$B$2:$AR$2,1,V$3-Projects!$C$14+1),0)-IF(AND(Projects!$G$14="Yes",V$3&gt;=Projects!$C$14,V$3&lt;Projects!$C$14+Projects!$D$14),Projects!$B$14*(Assumptions!$B$10+Assumptions!$B$11+Assumptions!$B$12)/Projects!$D$14*0.95,0)-IF(AND(Projects!$G$14="Yes",V$3=Projects!$C$14+Projects!$D$14-1),Projects!$B$14*(Assumptions!$B$10+Assumptions!$B$11+Assumptions!$B$12)*0.05,0)</f>
        <v/>
      </c>
      <c r="W25" s="399">
        <f>IF(AND(Projects!$G$14="Yes",W$3&gt;=Projects!$C$14,W$3&lt;Projects!$C$14+Projects!$D$14),Projects!$B$14*INDEX(Curves!$B$2:$AR$2,1,W$3-Projects!$C$14+1),0)-IF(AND(Projects!$G$14="Yes",W$3&gt;=Projects!$C$14,W$3&lt;Projects!$C$14+Projects!$D$14),Projects!$B$14*(Assumptions!$B$10+Assumptions!$B$11+Assumptions!$B$12)/Projects!$D$14*0.95,0)-IF(AND(Projects!$G$14="Yes",W$3=Projects!$C$14+Projects!$D$14-1),Projects!$B$14*(Assumptions!$B$10+Assumptions!$B$11+Assumptions!$B$12)*0.05,0)</f>
        <v/>
      </c>
      <c r="X25" s="399">
        <f>IF(AND(Projects!$G$14="Yes",X$3&gt;=Projects!$C$14,X$3&lt;Projects!$C$14+Projects!$D$14),Projects!$B$14*INDEX(Curves!$B$2:$AR$2,1,X$3-Projects!$C$14+1),0)-IF(AND(Projects!$G$14="Yes",X$3&gt;=Projects!$C$14,X$3&lt;Projects!$C$14+Projects!$D$14),Projects!$B$14*(Assumptions!$B$10+Assumptions!$B$11+Assumptions!$B$12)/Projects!$D$14*0.95,0)-IF(AND(Projects!$G$14="Yes",X$3=Projects!$C$14+Projects!$D$14-1),Projects!$B$14*(Assumptions!$B$10+Assumptions!$B$11+Assumptions!$B$12)*0.05,0)</f>
        <v/>
      </c>
      <c r="Y25" s="399">
        <f>IF(AND(Projects!$G$14="Yes",Y$3&gt;=Projects!$C$14,Y$3&lt;Projects!$C$14+Projects!$D$14),Projects!$B$14*INDEX(Curves!$B$2:$AR$2,1,Y$3-Projects!$C$14+1),0)-IF(AND(Projects!$G$14="Yes",Y$3&gt;=Projects!$C$14,Y$3&lt;Projects!$C$14+Projects!$D$14),Projects!$B$14*(Assumptions!$B$10+Assumptions!$B$11+Assumptions!$B$12)/Projects!$D$14*0.95,0)-IF(AND(Projects!$G$14="Yes",Y$3=Projects!$C$14+Projects!$D$14-1),Projects!$B$14*(Assumptions!$B$10+Assumptions!$B$11+Assumptions!$B$12)*0.05,0)</f>
        <v/>
      </c>
      <c r="Z25" s="399">
        <f>IF(AND(Projects!$G$14="Yes",Z$3&gt;=Projects!$C$14,Z$3&lt;Projects!$C$14+Projects!$D$14),Projects!$B$14*INDEX(Curves!$B$2:$AR$2,1,Z$3-Projects!$C$14+1),0)-IF(AND(Projects!$G$14="Yes",Z$3&gt;=Projects!$C$14,Z$3&lt;Projects!$C$14+Projects!$D$14),Projects!$B$14*(Assumptions!$B$10+Assumptions!$B$11+Assumptions!$B$12)/Projects!$D$14*0.95,0)-IF(AND(Projects!$G$14="Yes",Z$3=Projects!$C$14+Projects!$D$14-1),Projects!$B$14*(Assumptions!$B$10+Assumptions!$B$11+Assumptions!$B$12)*0.05,0)</f>
        <v/>
      </c>
      <c r="AA25" s="399">
        <f>IF(AND(Projects!$G$14="Yes",AA$3&gt;=Projects!$C$14,AA$3&lt;Projects!$C$14+Projects!$D$14),Projects!$B$14*INDEX(Curves!$B$2:$AR$2,1,AA$3-Projects!$C$14+1),0)-IF(AND(Projects!$G$14="Yes",AA$3&gt;=Projects!$C$14,AA$3&lt;Projects!$C$14+Projects!$D$14),Projects!$B$14*(Assumptions!$B$10+Assumptions!$B$11+Assumptions!$B$12)/Projects!$D$14*0.95,0)-IF(AND(Projects!$G$14="Yes",AA$3=Projects!$C$14+Projects!$D$14-1),Projects!$B$14*(Assumptions!$B$10+Assumptions!$B$11+Assumptions!$B$12)*0.05,0)</f>
        <v/>
      </c>
      <c r="AB25" s="399">
        <f>IF(AND(Projects!$G$14="Yes",AB$3&gt;=Projects!$C$14,AB$3&lt;Projects!$C$14+Projects!$D$14),Projects!$B$14*INDEX(Curves!$B$2:$AR$2,1,AB$3-Projects!$C$14+1),0)-IF(AND(Projects!$G$14="Yes",AB$3&gt;=Projects!$C$14,AB$3&lt;Projects!$C$14+Projects!$D$14),Projects!$B$14*(Assumptions!$B$10+Assumptions!$B$11+Assumptions!$B$12)/Projects!$D$14*0.95,0)-IF(AND(Projects!$G$14="Yes",AB$3=Projects!$C$14+Projects!$D$14-1),Projects!$B$14*(Assumptions!$B$10+Assumptions!$B$11+Assumptions!$B$12)*0.05,0)</f>
        <v/>
      </c>
      <c r="AC25" s="399">
        <f>IF(AND(Projects!$G$14="Yes",AC$3&gt;=Projects!$C$14,AC$3&lt;Projects!$C$14+Projects!$D$14),Projects!$B$14*INDEX(Curves!$B$2:$AR$2,1,AC$3-Projects!$C$14+1),0)-IF(AND(Projects!$G$14="Yes",AC$3&gt;=Projects!$C$14,AC$3&lt;Projects!$C$14+Projects!$D$14),Projects!$B$14*(Assumptions!$B$10+Assumptions!$B$11+Assumptions!$B$12)/Projects!$D$14*0.95,0)-IF(AND(Projects!$G$14="Yes",AC$3=Projects!$C$14+Projects!$D$14-1),Projects!$B$14*(Assumptions!$B$10+Assumptions!$B$11+Assumptions!$B$12)*0.05,0)</f>
        <v/>
      </c>
      <c r="AD25" s="399">
        <f>IF(AND(Projects!$G$14="Yes",AD$3&gt;=Projects!$C$14,AD$3&lt;Projects!$C$14+Projects!$D$14),Projects!$B$14*INDEX(Curves!$B$2:$AR$2,1,AD$3-Projects!$C$14+1),0)-IF(AND(Projects!$G$14="Yes",AD$3&gt;=Projects!$C$14,AD$3&lt;Projects!$C$14+Projects!$D$14),Projects!$B$14*(Assumptions!$B$10+Assumptions!$B$11+Assumptions!$B$12)/Projects!$D$14*0.95,0)-IF(AND(Projects!$G$14="Yes",AD$3=Projects!$C$14+Projects!$D$14-1),Projects!$B$14*(Assumptions!$B$10+Assumptions!$B$11+Assumptions!$B$12)*0.05,0)</f>
        <v/>
      </c>
      <c r="AE25" s="399">
        <f>IF(AND(Projects!$G$14="Yes",AE$3&gt;=Projects!$C$14,AE$3&lt;Projects!$C$14+Projects!$D$14),Projects!$B$14*INDEX(Curves!$B$2:$AR$2,1,AE$3-Projects!$C$14+1),0)-IF(AND(Projects!$G$14="Yes",AE$3&gt;=Projects!$C$14,AE$3&lt;Projects!$C$14+Projects!$D$14),Projects!$B$14*(Assumptions!$B$10+Assumptions!$B$11+Assumptions!$B$12)/Projects!$D$14*0.95,0)-IF(AND(Projects!$G$14="Yes",AE$3=Projects!$C$14+Projects!$D$14-1),Projects!$B$14*(Assumptions!$B$10+Assumptions!$B$11+Assumptions!$B$12)*0.05,0)</f>
        <v/>
      </c>
      <c r="AF25" s="399">
        <f>IF(AND(Projects!$G$14="Yes",AF$3&gt;=Projects!$C$14,AF$3&lt;Projects!$C$14+Projects!$D$14),Projects!$B$14*INDEX(Curves!$B$2:$AR$2,1,AF$3-Projects!$C$14+1),0)-IF(AND(Projects!$G$14="Yes",AF$3&gt;=Projects!$C$14,AF$3&lt;Projects!$C$14+Projects!$D$14),Projects!$B$14*(Assumptions!$B$10+Assumptions!$B$11+Assumptions!$B$12)/Projects!$D$14*0.95,0)-IF(AND(Projects!$G$14="Yes",AF$3=Projects!$C$14+Projects!$D$14-1),Projects!$B$14*(Assumptions!$B$10+Assumptions!$B$11+Assumptions!$B$12)*0.05,0)</f>
        <v/>
      </c>
      <c r="AG25" s="399">
        <f>IF(AND(Projects!$G$14="Yes",AG$3&gt;=Projects!$C$14,AG$3&lt;Projects!$C$14+Projects!$D$14),Projects!$B$14*INDEX(Curves!$B$2:$AR$2,1,AG$3-Projects!$C$14+1),0)-IF(AND(Projects!$G$14="Yes",AG$3&gt;=Projects!$C$14,AG$3&lt;Projects!$C$14+Projects!$D$14),Projects!$B$14*(Assumptions!$B$10+Assumptions!$B$11+Assumptions!$B$12)/Projects!$D$14*0.95,0)-IF(AND(Projects!$G$14="Yes",AG$3=Projects!$C$14+Projects!$D$14-1),Projects!$B$14*(Assumptions!$B$10+Assumptions!$B$11+Assumptions!$B$12)*0.05,0)</f>
        <v/>
      </c>
      <c r="AH25" s="399">
        <f>IF(AND(Projects!$G$14="Yes",AH$3&gt;=Projects!$C$14,AH$3&lt;Projects!$C$14+Projects!$D$14),Projects!$B$14*INDEX(Curves!$B$2:$AR$2,1,AH$3-Projects!$C$14+1),0)-IF(AND(Projects!$G$14="Yes",AH$3&gt;=Projects!$C$14,AH$3&lt;Projects!$C$14+Projects!$D$14),Projects!$B$14*(Assumptions!$B$10+Assumptions!$B$11+Assumptions!$B$12)/Projects!$D$14*0.95,0)-IF(AND(Projects!$G$14="Yes",AH$3=Projects!$C$14+Projects!$D$14-1),Projects!$B$14*(Assumptions!$B$10+Assumptions!$B$11+Assumptions!$B$12)*0.05,0)</f>
        <v/>
      </c>
      <c r="AI25" s="399">
        <f>IF(AND(Projects!$G$14="Yes",AI$3&gt;=Projects!$C$14,AI$3&lt;Projects!$C$14+Projects!$D$14),Projects!$B$14*INDEX(Curves!$B$2:$AR$2,1,AI$3-Projects!$C$14+1),0)-IF(AND(Projects!$G$14="Yes",AI$3&gt;=Projects!$C$14,AI$3&lt;Projects!$C$14+Projects!$D$14),Projects!$B$14*(Assumptions!$B$10+Assumptions!$B$11+Assumptions!$B$12)/Projects!$D$14*0.95,0)-IF(AND(Projects!$G$14="Yes",AI$3=Projects!$C$14+Projects!$D$14-1),Projects!$B$14*(Assumptions!$B$10+Assumptions!$B$11+Assumptions!$B$12)*0.05,0)</f>
        <v/>
      </c>
      <c r="AJ25" s="399">
        <f>IF(AND(Projects!$G$14="Yes",AJ$3&gt;=Projects!$C$14,AJ$3&lt;Projects!$C$14+Projects!$D$14),Projects!$B$14*INDEX(Curves!$B$2:$AR$2,1,AJ$3-Projects!$C$14+1),0)-IF(AND(Projects!$G$14="Yes",AJ$3&gt;=Projects!$C$14,AJ$3&lt;Projects!$C$14+Projects!$D$14),Projects!$B$14*(Assumptions!$B$10+Assumptions!$B$11+Assumptions!$B$12)/Projects!$D$14*0.95,0)-IF(AND(Projects!$G$14="Yes",AJ$3=Projects!$C$14+Projects!$D$14-1),Projects!$B$14*(Assumptions!$B$10+Assumptions!$B$11+Assumptions!$B$12)*0.05,0)</f>
        <v/>
      </c>
      <c r="AK25" s="399">
        <f>IF(AND(Projects!$G$14="Yes",AK$3&gt;=Projects!$C$14,AK$3&lt;Projects!$C$14+Projects!$D$14),Projects!$B$14*INDEX(Curves!$B$2:$AR$2,1,AK$3-Projects!$C$14+1),0)-IF(AND(Projects!$G$14="Yes",AK$3&gt;=Projects!$C$14,AK$3&lt;Projects!$C$14+Projects!$D$14),Projects!$B$14*(Assumptions!$B$10+Assumptions!$B$11+Assumptions!$B$12)/Projects!$D$14*0.95,0)-IF(AND(Projects!$G$14="Yes",AK$3=Projects!$C$14+Projects!$D$14-1),Projects!$B$14*(Assumptions!$B$10+Assumptions!$B$11+Assumptions!$B$12)*0.05,0)</f>
        <v/>
      </c>
      <c r="AL25" s="399">
        <f>IF(AND(Projects!$G$14="Yes",AL$3&gt;=Projects!$C$14,AL$3&lt;Projects!$C$14+Projects!$D$14),Projects!$B$14*INDEX(Curves!$B$2:$AR$2,1,AL$3-Projects!$C$14+1),0)-IF(AND(Projects!$G$14="Yes",AL$3&gt;=Projects!$C$14,AL$3&lt;Projects!$C$14+Projects!$D$14),Projects!$B$14*(Assumptions!$B$10+Assumptions!$B$11+Assumptions!$B$12)/Projects!$D$14*0.95,0)-IF(AND(Projects!$G$14="Yes",AL$3=Projects!$C$14+Projects!$D$14-1),Projects!$B$14*(Assumptions!$B$10+Assumptions!$B$11+Assumptions!$B$12)*0.05,0)</f>
        <v/>
      </c>
      <c r="AM25" s="399">
        <f>IF(AND(Projects!$G$14="Yes",AM$3&gt;=Projects!$C$14,AM$3&lt;Projects!$C$14+Projects!$D$14),Projects!$B$14*INDEX(Curves!$B$2:$AR$2,1,AM$3-Projects!$C$14+1),0)-IF(AND(Projects!$G$14="Yes",AM$3&gt;=Projects!$C$14,AM$3&lt;Projects!$C$14+Projects!$D$14),Projects!$B$14*(Assumptions!$B$10+Assumptions!$B$11+Assumptions!$B$12)/Projects!$D$14*0.95,0)-IF(AND(Projects!$G$14="Yes",AM$3=Projects!$C$14+Projects!$D$14-1),Projects!$B$14*(Assumptions!$B$10+Assumptions!$B$11+Assumptions!$B$12)*0.05,0)</f>
        <v/>
      </c>
      <c r="AN25" s="399">
        <f>IF(AND(Projects!$G$14="Yes",AN$3&gt;=Projects!$C$14,AN$3&lt;Projects!$C$14+Projects!$D$14),Projects!$B$14*INDEX(Curves!$B$2:$AR$2,1,AN$3-Projects!$C$14+1),0)-IF(AND(Projects!$G$14="Yes",AN$3&gt;=Projects!$C$14,AN$3&lt;Projects!$C$14+Projects!$D$14),Projects!$B$14*(Assumptions!$B$10+Assumptions!$B$11+Assumptions!$B$12)/Projects!$D$14*0.95,0)-IF(AND(Projects!$G$14="Yes",AN$3=Projects!$C$14+Projects!$D$14-1),Projects!$B$14*(Assumptions!$B$10+Assumptions!$B$11+Assumptions!$B$12)*0.05,0)</f>
        <v/>
      </c>
      <c r="AO25" s="399">
        <f>IF(AND(Projects!$G$14="Yes",AO$3&gt;=Projects!$C$14,AO$3&lt;Projects!$C$14+Projects!$D$14),Projects!$B$14*INDEX(Curves!$B$2:$AR$2,1,AO$3-Projects!$C$14+1),0)-IF(AND(Projects!$G$14="Yes",AO$3&gt;=Projects!$C$14,AO$3&lt;Projects!$C$14+Projects!$D$14),Projects!$B$14*(Assumptions!$B$10+Assumptions!$B$11+Assumptions!$B$12)/Projects!$D$14*0.95,0)-IF(AND(Projects!$G$14="Yes",AO$3=Projects!$C$14+Projects!$D$14-1),Projects!$B$14*(Assumptions!$B$10+Assumptions!$B$11+Assumptions!$B$12)*0.05,0)</f>
        <v/>
      </c>
      <c r="AP25" s="399">
        <f>IF(AND(Projects!$G$14="Yes",AP$3&gt;=Projects!$C$14,AP$3&lt;Projects!$C$14+Projects!$D$14),Projects!$B$14*INDEX(Curves!$B$2:$AR$2,1,AP$3-Projects!$C$14+1),0)-IF(AND(Projects!$G$14="Yes",AP$3&gt;=Projects!$C$14,AP$3&lt;Projects!$C$14+Projects!$D$14),Projects!$B$14*(Assumptions!$B$10+Assumptions!$B$11+Assumptions!$B$12)/Projects!$D$14*0.95,0)-IF(AND(Projects!$G$14="Yes",AP$3=Projects!$C$14+Projects!$D$14-1),Projects!$B$14*(Assumptions!$B$10+Assumptions!$B$11+Assumptions!$B$12)*0.05,0)</f>
        <v/>
      </c>
      <c r="AQ25" s="399">
        <f>IF(AND(Projects!$G$14="Yes",AQ$3&gt;=Projects!$C$14,AQ$3&lt;Projects!$C$14+Projects!$D$14),Projects!$B$14*INDEX(Curves!$B$2:$AR$2,1,AQ$3-Projects!$C$14+1),0)-IF(AND(Projects!$G$14="Yes",AQ$3&gt;=Projects!$C$14,AQ$3&lt;Projects!$C$14+Projects!$D$14),Projects!$B$14*(Assumptions!$B$10+Assumptions!$B$11+Assumptions!$B$12)/Projects!$D$14*0.95,0)-IF(AND(Projects!$G$14="Yes",AQ$3=Projects!$C$14+Projects!$D$14-1),Projects!$B$14*(Assumptions!$B$10+Assumptions!$B$11+Assumptions!$B$12)*0.05,0)</f>
        <v/>
      </c>
      <c r="AR25" s="399">
        <f>IF(AND(Projects!$G$14="Yes",AR$3&gt;=Projects!$C$14,AR$3&lt;Projects!$C$14+Projects!$D$14),Projects!$B$14*INDEX(Curves!$B$2:$AR$2,1,AR$3-Projects!$C$14+1),0)-IF(AND(Projects!$G$14="Yes",AR$3&gt;=Projects!$C$14,AR$3&lt;Projects!$C$14+Projects!$D$14),Projects!$B$14*(Assumptions!$B$10+Assumptions!$B$11+Assumptions!$B$12)/Projects!$D$14*0.95,0)-IF(AND(Projects!$G$14="Yes",AR$3=Projects!$C$14+Projects!$D$14-1),Projects!$B$14*(Assumptions!$B$10+Assumptions!$B$11+Assumptions!$B$12)*0.05,0)</f>
        <v/>
      </c>
      <c r="AS25" s="399">
        <f>IF(AND(Projects!$G$14="Yes",AS$3&gt;=Projects!$C$14,AS$3&lt;Projects!$C$14+Projects!$D$14),Projects!$B$14*INDEX(Curves!$B$2:$AR$2,1,AS$3-Projects!$C$14+1),0)-IF(AND(Projects!$G$14="Yes",AS$3&gt;=Projects!$C$14,AS$3&lt;Projects!$C$14+Projects!$D$14),Projects!$B$14*(Assumptions!$B$10+Assumptions!$B$11+Assumptions!$B$12)/Projects!$D$14*0.95,0)-IF(AND(Projects!$G$14="Yes",AS$3=Projects!$C$14+Projects!$D$14-1),Projects!$B$14*(Assumptions!$B$10+Assumptions!$B$11+Assumptions!$B$12)*0.05,0)</f>
        <v/>
      </c>
      <c r="AT25" s="399">
        <f>IF(AND(Projects!$G$14="Yes",AT$3&gt;=Projects!$C$14,AT$3&lt;Projects!$C$14+Projects!$D$14),Projects!$B$14*INDEX(Curves!$B$2:$AR$2,1,AT$3-Projects!$C$14+1),0)-IF(AND(Projects!$G$14="Yes",AT$3&gt;=Projects!$C$14,AT$3&lt;Projects!$C$14+Projects!$D$14),Projects!$B$14*(Assumptions!$B$10+Assumptions!$B$11+Assumptions!$B$12)/Projects!$D$14*0.95,0)-IF(AND(Projects!$G$14="Yes",AT$3=Projects!$C$14+Projects!$D$14-1),Projects!$B$14*(Assumptions!$B$10+Assumptions!$B$11+Assumptions!$B$12)*0.05,0)</f>
        <v/>
      </c>
      <c r="AU25" s="399">
        <f>IF(AND(Projects!$G$14="Yes",AU$3&gt;=Projects!$C$14,AU$3&lt;Projects!$C$14+Projects!$D$14),Projects!$B$14*INDEX(Curves!$B$2:$AR$2,1,AU$3-Projects!$C$14+1),0)-IF(AND(Projects!$G$14="Yes",AU$3&gt;=Projects!$C$14,AU$3&lt;Projects!$C$14+Projects!$D$14),Projects!$B$14*(Assumptions!$B$10+Assumptions!$B$11+Assumptions!$B$12)/Projects!$D$14*0.95,0)-IF(AND(Projects!$G$14="Yes",AU$3=Projects!$C$14+Projects!$D$14-1),Projects!$B$14*(Assumptions!$B$10+Assumptions!$B$11+Assumptions!$B$12)*0.05,0)</f>
        <v/>
      </c>
      <c r="AV25" s="399">
        <f>IF(AND(Projects!$G$14="Yes",AV$3&gt;=Projects!$C$14,AV$3&lt;Projects!$C$14+Projects!$D$14),Projects!$B$14*INDEX(Curves!$B$2:$AR$2,1,AV$3-Projects!$C$14+1),0)-IF(AND(Projects!$G$14="Yes",AV$3&gt;=Projects!$C$14,AV$3&lt;Projects!$C$14+Projects!$D$14),Projects!$B$14*(Assumptions!$B$10+Assumptions!$B$11+Assumptions!$B$12)/Projects!$D$14*0.95,0)-IF(AND(Projects!$G$14="Yes",AV$3=Projects!$C$14+Projects!$D$14-1),Projects!$B$14*(Assumptions!$B$10+Assumptions!$B$11+Assumptions!$B$12)*0.05,0)</f>
        <v/>
      </c>
      <c r="AW25" s="399">
        <f>IF(AND(Projects!$G$14="Yes",AW$3&gt;=Projects!$C$14,AW$3&lt;Projects!$C$14+Projects!$D$14),Projects!$B$14*INDEX(Curves!$B$2:$AR$2,1,AW$3-Projects!$C$14+1),0)-IF(AND(Projects!$G$14="Yes",AW$3&gt;=Projects!$C$14,AW$3&lt;Projects!$C$14+Projects!$D$14),Projects!$B$14*(Assumptions!$B$10+Assumptions!$B$11+Assumptions!$B$12)/Projects!$D$14*0.95,0)-IF(AND(Projects!$G$14="Yes",AW$3=Projects!$C$14+Projects!$D$14-1),Projects!$B$14*(Assumptions!$B$10+Assumptions!$B$11+Assumptions!$B$12)*0.05,0)</f>
        <v/>
      </c>
      <c r="AX25" s="399">
        <f>IF(AND(Projects!$G$14="Yes",AX$3&gt;=Projects!$C$14,AX$3&lt;Projects!$C$14+Projects!$D$14),Projects!$B$14*INDEX(Curves!$B$2:$AR$2,1,AX$3-Projects!$C$14+1),0)-IF(AND(Projects!$G$14="Yes",AX$3&gt;=Projects!$C$14,AX$3&lt;Projects!$C$14+Projects!$D$14),Projects!$B$14*(Assumptions!$B$10+Assumptions!$B$11+Assumptions!$B$12)/Projects!$D$14*0.95,0)-IF(AND(Projects!$G$14="Yes",AX$3=Projects!$C$14+Projects!$D$14-1),Projects!$B$14*(Assumptions!$B$10+Assumptions!$B$11+Assumptions!$B$12)*0.05,0)</f>
        <v/>
      </c>
      <c r="AY25" s="399">
        <f>IF(AND(Projects!$G$14="Yes",AY$3&gt;=Projects!$C$14,AY$3&lt;Projects!$C$14+Projects!$D$14),Projects!$B$14*INDEX(Curves!$B$2:$AR$2,1,AY$3-Projects!$C$14+1),0)-IF(AND(Projects!$G$14="Yes",AY$3&gt;=Projects!$C$14,AY$3&lt;Projects!$C$14+Projects!$D$14),Projects!$B$14*(Assumptions!$B$10+Assumptions!$B$11+Assumptions!$B$12)/Projects!$D$14*0.95,0)-IF(AND(Projects!$G$14="Yes",AY$3=Projects!$C$14+Projects!$D$14-1),Projects!$B$14*(Assumptions!$B$10+Assumptions!$B$11+Assumptions!$B$12)*0.05,0)</f>
        <v/>
      </c>
      <c r="AZ25" s="399">
        <f>IF(AND(Projects!$G$14="Yes",AZ$3&gt;=Projects!$C$14,AZ$3&lt;Projects!$C$14+Projects!$D$14),Projects!$B$14*INDEX(Curves!$B$2:$AR$2,1,AZ$3-Projects!$C$14+1),0)-IF(AND(Projects!$G$14="Yes",AZ$3&gt;=Projects!$C$14,AZ$3&lt;Projects!$C$14+Projects!$D$14),Projects!$B$14*(Assumptions!$B$10+Assumptions!$B$11+Assumptions!$B$12)/Projects!$D$14*0.95,0)-IF(AND(Projects!$G$14="Yes",AZ$3=Projects!$C$14+Projects!$D$14-1),Projects!$B$14*(Assumptions!$B$10+Assumptions!$B$11+Assumptions!$B$12)*0.05,0)</f>
        <v/>
      </c>
      <c r="BA25" s="399">
        <f>IF(AND(Projects!$G$14="Yes",BA$3&gt;=Projects!$C$14,BA$3&lt;Projects!$C$14+Projects!$D$14),Projects!$B$14*INDEX(Curves!$B$2:$AR$2,1,BA$3-Projects!$C$14+1),0)-IF(AND(Projects!$G$14="Yes",BA$3&gt;=Projects!$C$14,BA$3&lt;Projects!$C$14+Projects!$D$14),Projects!$B$14*(Assumptions!$B$10+Assumptions!$B$11+Assumptions!$B$12)/Projects!$D$14*0.95,0)-IF(AND(Projects!$G$14="Yes",BA$3=Projects!$C$14+Projects!$D$14-1),Projects!$B$14*(Assumptions!$B$10+Assumptions!$B$11+Assumptions!$B$12)*0.05,0)</f>
        <v/>
      </c>
      <c r="BB25" s="399">
        <f>IF(AND(Projects!$G$14="Yes",BB$3&gt;=Projects!$C$14,BB$3&lt;Projects!$C$14+Projects!$D$14),Projects!$B$14*INDEX(Curves!$B$2:$AR$2,1,BB$3-Projects!$C$14+1),0)-IF(AND(Projects!$G$14="Yes",BB$3&gt;=Projects!$C$14,BB$3&lt;Projects!$C$14+Projects!$D$14),Projects!$B$14*(Assumptions!$B$10+Assumptions!$B$11+Assumptions!$B$12)/Projects!$D$14*0.95,0)-IF(AND(Projects!$G$14="Yes",BB$3=Projects!$C$14+Projects!$D$14-1),Projects!$B$14*(Assumptions!$B$10+Assumptions!$B$11+Assumptions!$B$12)*0.05,0)</f>
        <v/>
      </c>
      <c r="BC25" s="399">
        <f>IF(AND(Projects!$G$14="Yes",BC$3&gt;=Projects!$C$14,BC$3&lt;Projects!$C$14+Projects!$D$14),Projects!$B$14*INDEX(Curves!$B$2:$AR$2,1,BC$3-Projects!$C$14+1),0)-IF(AND(Projects!$G$14="Yes",BC$3&gt;=Projects!$C$14,BC$3&lt;Projects!$C$14+Projects!$D$14),Projects!$B$14*(Assumptions!$B$10+Assumptions!$B$11+Assumptions!$B$12)/Projects!$D$14*0.95,0)-IF(AND(Projects!$G$14="Yes",BC$3=Projects!$C$14+Projects!$D$14-1),Projects!$B$14*(Assumptions!$B$10+Assumptions!$B$11+Assumptions!$B$12)*0.05,0)</f>
        <v/>
      </c>
      <c r="BD25" s="399">
        <f>IF(AND(Projects!$G$14="Yes",BD$3&gt;=Projects!$C$14,BD$3&lt;Projects!$C$14+Projects!$D$14),Projects!$B$14*INDEX(Curves!$B$2:$AR$2,1,BD$3-Projects!$C$14+1),0)-IF(AND(Projects!$G$14="Yes",BD$3&gt;=Projects!$C$14,BD$3&lt;Projects!$C$14+Projects!$D$14),Projects!$B$14*(Assumptions!$B$10+Assumptions!$B$11+Assumptions!$B$12)/Projects!$D$14*0.95,0)-IF(AND(Projects!$G$14="Yes",BD$3=Projects!$C$14+Projects!$D$14-1),Projects!$B$14*(Assumptions!$B$10+Assumptions!$B$11+Assumptions!$B$12)*0.05,0)</f>
        <v/>
      </c>
      <c r="BE25" s="399">
        <f>IF(AND(Projects!$G$14="Yes",BE$3&gt;=Projects!$C$14,BE$3&lt;Projects!$C$14+Projects!$D$14),Projects!$B$14*INDEX(Curves!$B$2:$AR$2,1,BE$3-Projects!$C$14+1),0)-IF(AND(Projects!$G$14="Yes",BE$3&gt;=Projects!$C$14,BE$3&lt;Projects!$C$14+Projects!$D$14),Projects!$B$14*(Assumptions!$B$10+Assumptions!$B$11+Assumptions!$B$12)/Projects!$D$14*0.95,0)-IF(AND(Projects!$G$14="Yes",BE$3=Projects!$C$14+Projects!$D$14-1),Projects!$B$14*(Assumptions!$B$10+Assumptions!$B$11+Assumptions!$B$12)*0.05,0)</f>
        <v/>
      </c>
      <c r="BF25" s="399">
        <f>IF(AND(Projects!$G$14="Yes",BF$3&gt;=Projects!$C$14,BF$3&lt;Projects!$C$14+Projects!$D$14),Projects!$B$14*INDEX(Curves!$B$2:$AR$2,1,BF$3-Projects!$C$14+1),0)-IF(AND(Projects!$G$14="Yes",BF$3&gt;=Projects!$C$14,BF$3&lt;Projects!$C$14+Projects!$D$14),Projects!$B$14*(Assumptions!$B$10+Assumptions!$B$11+Assumptions!$B$12)/Projects!$D$14*0.95,0)-IF(AND(Projects!$G$14="Yes",BF$3=Projects!$C$14+Projects!$D$14-1),Projects!$B$14*(Assumptions!$B$10+Assumptions!$B$11+Assumptions!$B$12)*0.05,0)</f>
        <v/>
      </c>
      <c r="BG25" s="399">
        <f>IF(AND(Projects!$G$14="Yes",BG$3&gt;=Projects!$C$14,BG$3&lt;Projects!$C$14+Projects!$D$14),Projects!$B$14*INDEX(Curves!$B$2:$AR$2,1,BG$3-Projects!$C$14+1),0)-IF(AND(Projects!$G$14="Yes",BG$3&gt;=Projects!$C$14,BG$3&lt;Projects!$C$14+Projects!$D$14),Projects!$B$14*(Assumptions!$B$10+Assumptions!$B$11+Assumptions!$B$12)/Projects!$D$14*0.95,0)-IF(AND(Projects!$G$14="Yes",BG$3=Projects!$C$14+Projects!$D$14-1),Projects!$B$14*(Assumptions!$B$10+Assumptions!$B$11+Assumptions!$B$12)*0.05,0)</f>
        <v/>
      </c>
      <c r="BH25" s="399">
        <f>IF(AND(Projects!$G$14="Yes",BH$3&gt;=Projects!$C$14,BH$3&lt;Projects!$C$14+Projects!$D$14),Projects!$B$14*INDEX(Curves!$B$2:$AR$2,1,BH$3-Projects!$C$14+1),0)-IF(AND(Projects!$G$14="Yes",BH$3&gt;=Projects!$C$14,BH$3&lt;Projects!$C$14+Projects!$D$14),Projects!$B$14*(Assumptions!$B$10+Assumptions!$B$11+Assumptions!$B$12)/Projects!$D$14*0.95,0)-IF(AND(Projects!$G$14="Yes",BH$3=Projects!$C$14+Projects!$D$14-1),Projects!$B$14*(Assumptions!$B$10+Assumptions!$B$11+Assumptions!$B$12)*0.05,0)</f>
        <v/>
      </c>
      <c r="BI25" s="399">
        <f>IF(AND(Projects!$G$14="Yes",BI$3&gt;=Projects!$C$14,BI$3&lt;Projects!$C$14+Projects!$D$14),Projects!$B$14*INDEX(Curves!$B$2:$AR$2,1,BI$3-Projects!$C$14+1),0)-IF(AND(Projects!$G$14="Yes",BI$3&gt;=Projects!$C$14,BI$3&lt;Projects!$C$14+Projects!$D$14),Projects!$B$14*(Assumptions!$B$10+Assumptions!$B$11+Assumptions!$B$12)/Projects!$D$14*0.95,0)-IF(AND(Projects!$G$14="Yes",BI$3=Projects!$C$14+Projects!$D$14-1),Projects!$B$14*(Assumptions!$B$10+Assumptions!$B$11+Assumptions!$B$12)*0.05,0)</f>
        <v/>
      </c>
      <c r="BJ25" s="399">
        <f>IF(AND(Projects!$G$14="Yes",BJ$3&gt;=Projects!$C$14,BJ$3&lt;Projects!$C$14+Projects!$D$14),Projects!$B$14*INDEX(Curves!$B$2:$AR$2,1,BJ$3-Projects!$C$14+1),0)-IF(AND(Projects!$G$14="Yes",BJ$3&gt;=Projects!$C$14,BJ$3&lt;Projects!$C$14+Projects!$D$14),Projects!$B$14*(Assumptions!$B$10+Assumptions!$B$11+Assumptions!$B$12)/Projects!$D$14*0.95,0)-IF(AND(Projects!$G$14="Yes",BJ$3=Projects!$C$14+Projects!$D$14-1),Projects!$B$14*(Assumptions!$B$10+Assumptions!$B$11+Assumptions!$B$12)*0.05,0)</f>
        <v/>
      </c>
      <c r="BK25" s="399">
        <f>IF(AND(Projects!$G$14="Yes",BK$3&gt;=Projects!$C$14,BK$3&lt;Projects!$C$14+Projects!$D$14),Projects!$B$14*INDEX(Curves!$B$2:$AR$2,1,BK$3-Projects!$C$14+1),0)-IF(AND(Projects!$G$14="Yes",BK$3&gt;=Projects!$C$14,BK$3&lt;Projects!$C$14+Projects!$D$14),Projects!$B$14*(Assumptions!$B$10+Assumptions!$B$11+Assumptions!$B$12)/Projects!$D$14*0.95,0)-IF(AND(Projects!$G$14="Yes",BK$3=Projects!$C$14+Projects!$D$14-1),Projects!$B$14*(Assumptions!$B$10+Assumptions!$B$11+Assumptions!$B$12)*0.05,0)</f>
        <v/>
      </c>
      <c r="BL25" s="399">
        <f>IF(AND(Projects!$G$14="Yes",BL$3&gt;=Projects!$C$14,BL$3&lt;Projects!$C$14+Projects!$D$14),Projects!$B$14*INDEX(Curves!$B$2:$AR$2,1,BL$3-Projects!$C$14+1),0)-IF(AND(Projects!$G$14="Yes",BL$3&gt;=Projects!$C$14,BL$3&lt;Projects!$C$14+Projects!$D$14),Projects!$B$14*(Assumptions!$B$10+Assumptions!$B$11+Assumptions!$B$12)/Projects!$D$14*0.95,0)-IF(AND(Projects!$G$14="Yes",BL$3=Projects!$C$14+Projects!$D$14-1),Projects!$B$14*(Assumptions!$B$10+Assumptions!$B$11+Assumptions!$B$12)*0.05,0)</f>
        <v/>
      </c>
      <c r="BM25" s="399">
        <f>IF(AND(Projects!$G$14="Yes",BM$3&gt;=Projects!$C$14,BM$3&lt;Projects!$C$14+Projects!$D$14),Projects!$B$14*INDEX(Curves!$B$2:$AR$2,1,BM$3-Projects!$C$14+1),0)-IF(AND(Projects!$G$14="Yes",BM$3&gt;=Projects!$C$14,BM$3&lt;Projects!$C$14+Projects!$D$14),Projects!$B$14*(Assumptions!$B$10+Assumptions!$B$11+Assumptions!$B$12)/Projects!$D$14*0.95,0)-IF(AND(Projects!$G$14="Yes",BM$3=Projects!$C$14+Projects!$D$14-1),Projects!$B$14*(Assumptions!$B$10+Assumptions!$B$11+Assumptions!$B$12)*0.05,0)</f>
        <v/>
      </c>
      <c r="BN25" s="399">
        <f>IF(AND(Projects!$G$14="Yes",BN$3&gt;=Projects!$C$14,BN$3&lt;Projects!$C$14+Projects!$D$14),Projects!$B$14*INDEX(Curves!$B$2:$AR$2,1,BN$3-Projects!$C$14+1),0)-IF(AND(Projects!$G$14="Yes",BN$3&gt;=Projects!$C$14,BN$3&lt;Projects!$C$14+Projects!$D$14),Projects!$B$14*(Assumptions!$B$10+Assumptions!$B$11+Assumptions!$B$12)/Projects!$D$14*0.95,0)-IF(AND(Projects!$G$14="Yes",BN$3=Projects!$C$14+Projects!$D$14-1),Projects!$B$14*(Assumptions!$B$10+Assumptions!$B$11+Assumptions!$B$12)*0.05,0)</f>
        <v/>
      </c>
      <c r="BO25" s="399">
        <f>IF(AND(Projects!$G$14="Yes",BO$3&gt;=Projects!$C$14,BO$3&lt;Projects!$C$14+Projects!$D$14),Projects!$B$14*INDEX(Curves!$B$2:$AR$2,1,BO$3-Projects!$C$14+1),0)-IF(AND(Projects!$G$14="Yes",BO$3&gt;=Projects!$C$14,BO$3&lt;Projects!$C$14+Projects!$D$14),Projects!$B$14*(Assumptions!$B$10+Assumptions!$B$11+Assumptions!$B$12)/Projects!$D$14*0.95,0)-IF(AND(Projects!$G$14="Yes",BO$3=Projects!$C$14+Projects!$D$14-1),Projects!$B$14*(Assumptions!$B$10+Assumptions!$B$11+Assumptions!$B$12)*0.05,0)</f>
        <v/>
      </c>
      <c r="BP25" s="399">
        <f>IF(AND(Projects!$G$14="Yes",BP$3&gt;=Projects!$C$14,BP$3&lt;Projects!$C$14+Projects!$D$14),Projects!$B$14*INDEX(Curves!$B$2:$AR$2,1,BP$3-Projects!$C$14+1),0)-IF(AND(Projects!$G$14="Yes",BP$3&gt;=Projects!$C$14,BP$3&lt;Projects!$C$14+Projects!$D$14),Projects!$B$14*(Assumptions!$B$10+Assumptions!$B$11+Assumptions!$B$12)/Projects!$D$14*0.95,0)-IF(AND(Projects!$G$14="Yes",BP$3=Projects!$C$14+Projects!$D$14-1),Projects!$B$14*(Assumptions!$B$10+Assumptions!$B$11+Assumptions!$B$12)*0.05,0)</f>
        <v/>
      </c>
      <c r="BQ25" s="399">
        <f>IF(AND(Projects!$G$14="Yes",BQ$3&gt;=Projects!$C$14,BQ$3&lt;Projects!$C$14+Projects!$D$14),Projects!$B$14*INDEX(Curves!$B$2:$AR$2,1,BQ$3-Projects!$C$14+1),0)-IF(AND(Projects!$G$14="Yes",BQ$3&gt;=Projects!$C$14,BQ$3&lt;Projects!$C$14+Projects!$D$14),Projects!$B$14*(Assumptions!$B$10+Assumptions!$B$11+Assumptions!$B$12)/Projects!$D$14*0.95,0)-IF(AND(Projects!$G$14="Yes",BQ$3=Projects!$C$14+Projects!$D$14-1),Projects!$B$14*(Assumptions!$B$10+Assumptions!$B$11+Assumptions!$B$12)*0.05,0)</f>
        <v/>
      </c>
      <c r="BR25" s="399">
        <f>IF(AND(Projects!$G$14="Yes",BR$3&gt;=Projects!$C$14,BR$3&lt;Projects!$C$14+Projects!$D$14),Projects!$B$14*INDEX(Curves!$B$2:$AR$2,1,BR$3-Projects!$C$14+1),0)-IF(AND(Projects!$G$14="Yes",BR$3&gt;=Projects!$C$14,BR$3&lt;Projects!$C$14+Projects!$D$14),Projects!$B$14*(Assumptions!$B$10+Assumptions!$B$11+Assumptions!$B$12)/Projects!$D$14*0.95,0)-IF(AND(Projects!$G$14="Yes",BR$3=Projects!$C$14+Projects!$D$14-1),Projects!$B$14*(Assumptions!$B$10+Assumptions!$B$11+Assumptions!$B$12)*0.05,0)</f>
        <v/>
      </c>
      <c r="BS25" s="399">
        <f>IF(AND(Projects!$G$14="Yes",BS$3&gt;=Projects!$C$14,BS$3&lt;Projects!$C$14+Projects!$D$14),Projects!$B$14*INDEX(Curves!$B$2:$AR$2,1,BS$3-Projects!$C$14+1),0)-IF(AND(Projects!$G$14="Yes",BS$3&gt;=Projects!$C$14,BS$3&lt;Projects!$C$14+Projects!$D$14),Projects!$B$14*(Assumptions!$B$10+Assumptions!$B$11+Assumptions!$B$12)/Projects!$D$14*0.95,0)-IF(AND(Projects!$G$14="Yes",BS$3=Projects!$C$14+Projects!$D$14-1),Projects!$B$14*(Assumptions!$B$10+Assumptions!$B$11+Assumptions!$B$12)*0.05,0)</f>
        <v/>
      </c>
      <c r="BT25" s="399">
        <f>IF(AND(Projects!$G$14="Yes",BT$3&gt;=Projects!$C$14,BT$3&lt;Projects!$C$14+Projects!$D$14),Projects!$B$14*INDEX(Curves!$B$2:$AR$2,1,BT$3-Projects!$C$14+1),0)-IF(AND(Projects!$G$14="Yes",BT$3&gt;=Projects!$C$14,BT$3&lt;Projects!$C$14+Projects!$D$14),Projects!$B$14*(Assumptions!$B$10+Assumptions!$B$11+Assumptions!$B$12)/Projects!$D$14*0.95,0)-IF(AND(Projects!$G$14="Yes",BT$3=Projects!$C$14+Projects!$D$14-1),Projects!$B$14*(Assumptions!$B$10+Assumptions!$B$11+Assumptions!$B$12)*0.05,0)</f>
        <v/>
      </c>
      <c r="BU25" s="399">
        <f>IF(AND(Projects!$G$14="Yes",BU$3&gt;=Projects!$C$14,BU$3&lt;Projects!$C$14+Projects!$D$14),Projects!$B$14*INDEX(Curves!$B$2:$AR$2,1,BU$3-Projects!$C$14+1),0)-IF(AND(Projects!$G$14="Yes",BU$3&gt;=Projects!$C$14,BU$3&lt;Projects!$C$14+Projects!$D$14),Projects!$B$14*(Assumptions!$B$10+Assumptions!$B$11+Assumptions!$B$12)/Projects!$D$14*0.95,0)-IF(AND(Projects!$G$14="Yes",BU$3=Projects!$C$14+Projects!$D$14-1),Projects!$B$14*(Assumptions!$B$10+Assumptions!$B$11+Assumptions!$B$12)*0.05,0)</f>
        <v/>
      </c>
      <c r="BV25" s="399">
        <f>IF(AND(Projects!$G$14="Yes",BV$3&gt;=Projects!$C$14,BV$3&lt;Projects!$C$14+Projects!$D$14),Projects!$B$14*INDEX(Curves!$B$2:$AR$2,1,BV$3-Projects!$C$14+1),0)-IF(AND(Projects!$G$14="Yes",BV$3&gt;=Projects!$C$14,BV$3&lt;Projects!$C$14+Projects!$D$14),Projects!$B$14*(Assumptions!$B$10+Assumptions!$B$11+Assumptions!$B$12)/Projects!$D$14*0.95,0)-IF(AND(Projects!$G$14="Yes",BV$3=Projects!$C$14+Projects!$D$14-1),Projects!$B$14*(Assumptions!$B$10+Assumptions!$B$11+Assumptions!$B$12)*0.05,0)</f>
        <v/>
      </c>
      <c r="BW25" s="399">
        <f>IF(AND(Projects!$G$14="Yes",BW$3&gt;=Projects!$C$14,BW$3&lt;Projects!$C$14+Projects!$D$14),Projects!$B$14*INDEX(Curves!$B$2:$AR$2,1,BW$3-Projects!$C$14+1),0)-IF(AND(Projects!$G$14="Yes",BW$3&gt;=Projects!$C$14,BW$3&lt;Projects!$C$14+Projects!$D$14),Projects!$B$14*(Assumptions!$B$10+Assumptions!$B$11+Assumptions!$B$12)/Projects!$D$14*0.95,0)-IF(AND(Projects!$G$14="Yes",BW$3=Projects!$C$14+Projects!$D$14-1),Projects!$B$14*(Assumptions!$B$10+Assumptions!$B$11+Assumptions!$B$12)*0.05,0)</f>
        <v/>
      </c>
      <c r="BX25" s="399">
        <f>IF(AND(Projects!$G$14="Yes",BX$3&gt;=Projects!$C$14,BX$3&lt;Projects!$C$14+Projects!$D$14),Projects!$B$14*INDEX(Curves!$B$2:$AR$2,1,BX$3-Projects!$C$14+1),0)-IF(AND(Projects!$G$14="Yes",BX$3&gt;=Projects!$C$14,BX$3&lt;Projects!$C$14+Projects!$D$14),Projects!$B$14*(Assumptions!$B$10+Assumptions!$B$11+Assumptions!$B$12)/Projects!$D$14*0.95,0)-IF(AND(Projects!$G$14="Yes",BX$3=Projects!$C$14+Projects!$D$14-1),Projects!$B$14*(Assumptions!$B$10+Assumptions!$B$11+Assumptions!$B$12)*0.05,0)</f>
        <v/>
      </c>
      <c r="BY25" s="399">
        <f>IF(AND(Projects!$G$14="Yes",BY$3&gt;=Projects!$C$14,BY$3&lt;Projects!$C$14+Projects!$D$14),Projects!$B$14*INDEX(Curves!$B$2:$AR$2,1,BY$3-Projects!$C$14+1),0)-IF(AND(Projects!$G$14="Yes",BY$3&gt;=Projects!$C$14,BY$3&lt;Projects!$C$14+Projects!$D$14),Projects!$B$14*(Assumptions!$B$10+Assumptions!$B$11+Assumptions!$B$12)/Projects!$D$14*0.95,0)-IF(AND(Projects!$G$14="Yes",BY$3=Projects!$C$14+Projects!$D$14-1),Projects!$B$14*(Assumptions!$B$10+Assumptions!$B$11+Assumptions!$B$12)*0.05,0)</f>
        <v/>
      </c>
      <c r="BZ25" s="399">
        <f>IF(AND(Projects!$G$14="Yes",BZ$3&gt;=Projects!$C$14,BZ$3&lt;Projects!$C$14+Projects!$D$14),Projects!$B$14*INDEX(Curves!$B$2:$AR$2,1,BZ$3-Projects!$C$14+1),0)-IF(AND(Projects!$G$14="Yes",BZ$3&gt;=Projects!$C$14,BZ$3&lt;Projects!$C$14+Projects!$D$14),Projects!$B$14*(Assumptions!$B$10+Assumptions!$B$11+Assumptions!$B$12)/Projects!$D$14*0.95,0)-IF(AND(Projects!$G$14="Yes",BZ$3=Projects!$C$14+Projects!$D$14-1),Projects!$B$14*(Assumptions!$B$10+Assumptions!$B$11+Assumptions!$B$12)*0.05,0)</f>
        <v/>
      </c>
      <c r="CA25" s="399">
        <f>IF(AND(Projects!$G$14="Yes",CA$3&gt;=Projects!$C$14,CA$3&lt;Projects!$C$14+Projects!$D$14),Projects!$B$14*INDEX(Curves!$B$2:$AR$2,1,CA$3-Projects!$C$14+1),0)-IF(AND(Projects!$G$14="Yes",CA$3&gt;=Projects!$C$14,CA$3&lt;Projects!$C$14+Projects!$D$14),Projects!$B$14*(Assumptions!$B$10+Assumptions!$B$11+Assumptions!$B$12)/Projects!$D$14*0.95,0)-IF(AND(Projects!$G$14="Yes",CA$3=Projects!$C$14+Projects!$D$14-1),Projects!$B$14*(Assumptions!$B$10+Assumptions!$B$11+Assumptions!$B$12)*0.05,0)</f>
        <v/>
      </c>
      <c r="CB25" s="399">
        <f>IF(AND(Projects!$G$14="Yes",CB$3&gt;=Projects!$C$14,CB$3&lt;Projects!$C$14+Projects!$D$14),Projects!$B$14*INDEX(Curves!$B$2:$AR$2,1,CB$3-Projects!$C$14+1),0)-IF(AND(Projects!$G$14="Yes",CB$3&gt;=Projects!$C$14,CB$3&lt;Projects!$C$14+Projects!$D$14),Projects!$B$14*(Assumptions!$B$10+Assumptions!$B$11+Assumptions!$B$12)/Projects!$D$14*0.95,0)-IF(AND(Projects!$G$14="Yes",CB$3=Projects!$C$14+Projects!$D$14-1),Projects!$B$14*(Assumptions!$B$10+Assumptions!$B$11+Assumptions!$B$12)*0.05,0)</f>
        <v/>
      </c>
      <c r="CC25" s="399">
        <f>IF(AND(Projects!$G$14="Yes",CC$3&gt;=Projects!$C$14,CC$3&lt;Projects!$C$14+Projects!$D$14),Projects!$B$14*INDEX(Curves!$B$2:$AR$2,1,CC$3-Projects!$C$14+1),0)-IF(AND(Projects!$G$14="Yes",CC$3&gt;=Projects!$C$14,CC$3&lt;Projects!$C$14+Projects!$D$14),Projects!$B$14*(Assumptions!$B$10+Assumptions!$B$11+Assumptions!$B$12)/Projects!$D$14*0.95,0)-IF(AND(Projects!$G$14="Yes",CC$3=Projects!$C$14+Projects!$D$14-1),Projects!$B$14*(Assumptions!$B$10+Assumptions!$B$11+Assumptions!$B$12)*0.05,0)</f>
        <v/>
      </c>
      <c r="CD25" s="399">
        <f>IF(AND(Projects!$G$14="Yes",CD$3&gt;=Projects!$C$14,CD$3&lt;Projects!$C$14+Projects!$D$14),Projects!$B$14*INDEX(Curves!$B$2:$AR$2,1,CD$3-Projects!$C$14+1),0)-IF(AND(Projects!$G$14="Yes",CD$3&gt;=Projects!$C$14,CD$3&lt;Projects!$C$14+Projects!$D$14),Projects!$B$14*(Assumptions!$B$10+Assumptions!$B$11+Assumptions!$B$12)/Projects!$D$14*0.95,0)-IF(AND(Projects!$G$14="Yes",CD$3=Projects!$C$14+Projects!$D$14-1),Projects!$B$14*(Assumptions!$B$10+Assumptions!$B$11+Assumptions!$B$12)*0.05,0)</f>
        <v/>
      </c>
      <c r="CE25" s="399">
        <f>IF(AND(Projects!$G$14="Yes",CE$3&gt;=Projects!$C$14,CE$3&lt;Projects!$C$14+Projects!$D$14),Projects!$B$14*INDEX(Curves!$B$2:$AR$2,1,CE$3-Projects!$C$14+1),0)-IF(AND(Projects!$G$14="Yes",CE$3&gt;=Projects!$C$14,CE$3&lt;Projects!$C$14+Projects!$D$14),Projects!$B$14*(Assumptions!$B$10+Assumptions!$B$11+Assumptions!$B$12)/Projects!$D$14*0.95,0)-IF(AND(Projects!$G$14="Yes",CE$3=Projects!$C$14+Projects!$D$14-1),Projects!$B$14*(Assumptions!$B$10+Assumptions!$B$11+Assumptions!$B$12)*0.05,0)</f>
        <v/>
      </c>
      <c r="CF25" s="399">
        <f>IF(AND(Projects!$G$14="Yes",CF$3&gt;=Projects!$C$14,CF$3&lt;Projects!$C$14+Projects!$D$14),Projects!$B$14*INDEX(Curves!$B$2:$AR$2,1,CF$3-Projects!$C$14+1),0)-IF(AND(Projects!$G$14="Yes",CF$3&gt;=Projects!$C$14,CF$3&lt;Projects!$C$14+Projects!$D$14),Projects!$B$14*(Assumptions!$B$10+Assumptions!$B$11+Assumptions!$B$12)/Projects!$D$14*0.95,0)-IF(AND(Projects!$G$14="Yes",CF$3=Projects!$C$14+Projects!$D$14-1),Projects!$B$14*(Assumptions!$B$10+Assumptions!$B$11+Assumptions!$B$12)*0.05,0)</f>
        <v/>
      </c>
      <c r="CG25" s="399">
        <f>IF(AND(Projects!$G$14="Yes",CG$3&gt;=Projects!$C$14,CG$3&lt;Projects!$C$14+Projects!$D$14),Projects!$B$14*INDEX(Curves!$B$2:$AR$2,1,CG$3-Projects!$C$14+1),0)-IF(AND(Projects!$G$14="Yes",CG$3&gt;=Projects!$C$14,CG$3&lt;Projects!$C$14+Projects!$D$14),Projects!$B$14*(Assumptions!$B$10+Assumptions!$B$11+Assumptions!$B$12)/Projects!$D$14*0.95,0)-IF(AND(Projects!$G$14="Yes",CG$3=Projects!$C$14+Projects!$D$14-1),Projects!$B$14*(Assumptions!$B$10+Assumptions!$B$11+Assumptions!$B$12)*0.05,0)</f>
        <v/>
      </c>
      <c r="CH25" s="399">
        <f>IF(AND(Projects!$G$14="Yes",CH$3&gt;=Projects!$C$14,CH$3&lt;Projects!$C$14+Projects!$D$14),Projects!$B$14*INDEX(Curves!$B$2:$AR$2,1,CH$3-Projects!$C$14+1),0)-IF(AND(Projects!$G$14="Yes",CH$3&gt;=Projects!$C$14,CH$3&lt;Projects!$C$14+Projects!$D$14),Projects!$B$14*(Assumptions!$B$10+Assumptions!$B$11+Assumptions!$B$12)/Projects!$D$14*0.95,0)-IF(AND(Projects!$G$14="Yes",CH$3=Projects!$C$14+Projects!$D$14-1),Projects!$B$14*(Assumptions!$B$10+Assumptions!$B$11+Assumptions!$B$12)*0.05,0)</f>
        <v/>
      </c>
      <c r="CI25" s="399">
        <f>IF(AND(Projects!$G$14="Yes",CI$3&gt;=Projects!$C$14,CI$3&lt;Projects!$C$14+Projects!$D$14),Projects!$B$14*INDEX(Curves!$B$2:$AR$2,1,CI$3-Projects!$C$14+1),0)-IF(AND(Projects!$G$14="Yes",CI$3&gt;=Projects!$C$14,CI$3&lt;Projects!$C$14+Projects!$D$14),Projects!$B$14*(Assumptions!$B$10+Assumptions!$B$11+Assumptions!$B$12)/Projects!$D$14*0.95,0)-IF(AND(Projects!$G$14="Yes",CI$3=Projects!$C$14+Projects!$D$14-1),Projects!$B$14*(Assumptions!$B$10+Assumptions!$B$11+Assumptions!$B$12)*0.05,0)</f>
        <v/>
      </c>
      <c r="CJ25" s="399">
        <f>IF(AND(Projects!$G$14="Yes",CJ$3&gt;=Projects!$C$14,CJ$3&lt;Projects!$C$14+Projects!$D$14),Projects!$B$14*INDEX(Curves!$B$2:$AR$2,1,CJ$3-Projects!$C$14+1),0)-IF(AND(Projects!$G$14="Yes",CJ$3&gt;=Projects!$C$14,CJ$3&lt;Projects!$C$14+Projects!$D$14),Projects!$B$14*(Assumptions!$B$10+Assumptions!$B$11+Assumptions!$B$12)/Projects!$D$14*0.95,0)-IF(AND(Projects!$G$14="Yes",CJ$3=Projects!$C$14+Projects!$D$14-1),Projects!$B$14*(Assumptions!$B$10+Assumptions!$B$11+Assumptions!$B$12)*0.05,0)</f>
        <v/>
      </c>
      <c r="CK25" s="399">
        <f>IF(AND(Projects!$G$14="Yes",CK$3&gt;=Projects!$C$14,CK$3&lt;Projects!$C$14+Projects!$D$14),Projects!$B$14*INDEX(Curves!$B$2:$AR$2,1,CK$3-Projects!$C$14+1),0)-IF(AND(Projects!$G$14="Yes",CK$3&gt;=Projects!$C$14,CK$3&lt;Projects!$C$14+Projects!$D$14),Projects!$B$14*(Assumptions!$B$10+Assumptions!$B$11+Assumptions!$B$12)/Projects!$D$14*0.95,0)-IF(AND(Projects!$G$14="Yes",CK$3=Projects!$C$14+Projects!$D$14-1),Projects!$B$14*(Assumptions!$B$10+Assumptions!$B$11+Assumptions!$B$12)*0.05,0)</f>
        <v/>
      </c>
      <c r="CL25" s="399">
        <f>IF(AND(Projects!$G$14="Yes",CL$3&gt;=Projects!$C$14,CL$3&lt;Projects!$C$14+Projects!$D$14),Projects!$B$14*INDEX(Curves!$B$2:$AR$2,1,CL$3-Projects!$C$14+1),0)-IF(AND(Projects!$G$14="Yes",CL$3&gt;=Projects!$C$14,CL$3&lt;Projects!$C$14+Projects!$D$14),Projects!$B$14*(Assumptions!$B$10+Assumptions!$B$11+Assumptions!$B$12)/Projects!$D$14*0.95,0)-IF(AND(Projects!$G$14="Yes",CL$3=Projects!$C$14+Projects!$D$14-1),Projects!$B$14*(Assumptions!$B$10+Assumptions!$B$11+Assumptions!$B$12)*0.05,0)</f>
        <v/>
      </c>
      <c r="CM25" s="399">
        <f>IF(AND(Projects!$G$14="Yes",CM$3&gt;=Projects!$C$14,CM$3&lt;Projects!$C$14+Projects!$D$14),Projects!$B$14*INDEX(Curves!$B$2:$AR$2,1,CM$3-Projects!$C$14+1),0)-IF(AND(Projects!$G$14="Yes",CM$3&gt;=Projects!$C$14,CM$3&lt;Projects!$C$14+Projects!$D$14),Projects!$B$14*(Assumptions!$B$10+Assumptions!$B$11+Assumptions!$B$12)/Projects!$D$14*0.95,0)-IF(AND(Projects!$G$14="Yes",CM$3=Projects!$C$14+Projects!$D$14-1),Projects!$B$14*(Assumptions!$B$10+Assumptions!$B$11+Assumptions!$B$12)*0.05,0)</f>
        <v/>
      </c>
      <c r="CN25" s="399">
        <f>IF(AND(Projects!$G$14="Yes",CN$3&gt;=Projects!$C$14,CN$3&lt;Projects!$C$14+Projects!$D$14),Projects!$B$14*INDEX(Curves!$B$2:$AR$2,1,CN$3-Projects!$C$14+1),0)-IF(AND(Projects!$G$14="Yes",CN$3&gt;=Projects!$C$14,CN$3&lt;Projects!$C$14+Projects!$D$14),Projects!$B$14*(Assumptions!$B$10+Assumptions!$B$11+Assumptions!$B$12)/Projects!$D$14*0.95,0)-IF(AND(Projects!$G$14="Yes",CN$3=Projects!$C$14+Projects!$D$14-1),Projects!$B$14*(Assumptions!$B$10+Assumptions!$B$11+Assumptions!$B$12)*0.05,0)</f>
        <v/>
      </c>
      <c r="CO25" s="399">
        <f>IF(AND(Projects!$G$14="Yes",CO$3&gt;=Projects!$C$14,CO$3&lt;Projects!$C$14+Projects!$D$14),Projects!$B$14*INDEX(Curves!$B$2:$AR$2,1,CO$3-Projects!$C$14+1),0)-IF(AND(Projects!$G$14="Yes",CO$3&gt;=Projects!$C$14,CO$3&lt;Projects!$C$14+Projects!$D$14),Projects!$B$14*(Assumptions!$B$10+Assumptions!$B$11+Assumptions!$B$12)/Projects!$D$14*0.95,0)-IF(AND(Projects!$G$14="Yes",CO$3=Projects!$C$14+Projects!$D$14-1),Projects!$B$14*(Assumptions!$B$10+Assumptions!$B$11+Assumptions!$B$12)*0.05,0)</f>
        <v/>
      </c>
      <c r="CP25" s="399">
        <f>IF(AND(Projects!$G$14="Yes",CP$3&gt;=Projects!$C$14,CP$3&lt;Projects!$C$14+Projects!$D$14),Projects!$B$14*INDEX(Curves!$B$2:$AR$2,1,CP$3-Projects!$C$14+1),0)-IF(AND(Projects!$G$14="Yes",CP$3&gt;=Projects!$C$14,CP$3&lt;Projects!$C$14+Projects!$D$14),Projects!$B$14*(Assumptions!$B$10+Assumptions!$B$11+Assumptions!$B$12)/Projects!$D$14*0.95,0)-IF(AND(Projects!$G$14="Yes",CP$3=Projects!$C$14+Projects!$D$14-1),Projects!$B$14*(Assumptions!$B$10+Assumptions!$B$11+Assumptions!$B$12)*0.05,0)</f>
        <v/>
      </c>
      <c r="CQ25" s="399">
        <f>IF(AND(Projects!$G$14="Yes",CQ$3&gt;=Projects!$C$14,CQ$3&lt;Projects!$C$14+Projects!$D$14),Projects!$B$14*INDEX(Curves!$B$2:$AR$2,1,CQ$3-Projects!$C$14+1),0)-IF(AND(Projects!$G$14="Yes",CQ$3&gt;=Projects!$C$14,CQ$3&lt;Projects!$C$14+Projects!$D$14),Projects!$B$14*(Assumptions!$B$10+Assumptions!$B$11+Assumptions!$B$12)/Projects!$D$14*0.95,0)-IF(AND(Projects!$G$14="Yes",CQ$3=Projects!$C$14+Projects!$D$14-1),Projects!$B$14*(Assumptions!$B$10+Assumptions!$B$11+Assumptions!$B$12)*0.05,0)</f>
        <v/>
      </c>
      <c r="CR25" s="399">
        <f>IF(AND(Projects!$G$14="Yes",CR$3&gt;=Projects!$C$14,CR$3&lt;Projects!$C$14+Projects!$D$14),Projects!$B$14*INDEX(Curves!$B$2:$AR$2,1,CR$3-Projects!$C$14+1),0)-IF(AND(Projects!$G$14="Yes",CR$3&gt;=Projects!$C$14,CR$3&lt;Projects!$C$14+Projects!$D$14),Projects!$B$14*(Assumptions!$B$10+Assumptions!$B$11+Assumptions!$B$12)/Projects!$D$14*0.95,0)-IF(AND(Projects!$G$14="Yes",CR$3=Projects!$C$14+Projects!$D$14-1),Projects!$B$14*(Assumptions!$B$10+Assumptions!$B$11+Assumptions!$B$12)*0.05,0)</f>
        <v/>
      </c>
      <c r="CS25" s="399">
        <f>IF(AND(Projects!$G$14="Yes",CS$3&gt;=Projects!$C$14,CS$3&lt;Projects!$C$14+Projects!$D$14),Projects!$B$14*INDEX(Curves!$B$2:$AR$2,1,CS$3-Projects!$C$14+1),0)-IF(AND(Projects!$G$14="Yes",CS$3&gt;=Projects!$C$14,CS$3&lt;Projects!$C$14+Projects!$D$14),Projects!$B$14*(Assumptions!$B$10+Assumptions!$B$11+Assumptions!$B$12)/Projects!$D$14*0.95,0)-IF(AND(Projects!$G$14="Yes",CS$3=Projects!$C$14+Projects!$D$14-1),Projects!$B$14*(Assumptions!$B$10+Assumptions!$B$11+Assumptions!$B$12)*0.05,0)</f>
        <v/>
      </c>
      <c r="CT25" s="399">
        <f>IF(AND(Projects!$G$14="Yes",CT$3&gt;=Projects!$C$14,CT$3&lt;Projects!$C$14+Projects!$D$14),Projects!$B$14*INDEX(Curves!$B$2:$AR$2,1,CT$3-Projects!$C$14+1),0)-IF(AND(Projects!$G$14="Yes",CT$3&gt;=Projects!$C$14,CT$3&lt;Projects!$C$14+Projects!$D$14),Projects!$B$14*(Assumptions!$B$10+Assumptions!$B$11+Assumptions!$B$12)/Projects!$D$14*0.95,0)-IF(AND(Projects!$G$14="Yes",CT$3=Projects!$C$14+Projects!$D$14-1),Projects!$B$14*(Assumptions!$B$10+Assumptions!$B$11+Assumptions!$B$12)*0.05,0)</f>
        <v/>
      </c>
      <c r="CU25" s="399">
        <f>IF(AND(Projects!$G$14="Yes",CU$3&gt;=Projects!$C$14,CU$3&lt;Projects!$C$14+Projects!$D$14),Projects!$B$14*INDEX(Curves!$B$2:$AR$2,1,CU$3-Projects!$C$14+1),0)-IF(AND(Projects!$G$14="Yes",CU$3&gt;=Projects!$C$14,CU$3&lt;Projects!$C$14+Projects!$D$14),Projects!$B$14*(Assumptions!$B$10+Assumptions!$B$11+Assumptions!$B$12)/Projects!$D$14*0.95,0)-IF(AND(Projects!$G$14="Yes",CU$3=Projects!$C$14+Projects!$D$14-1),Projects!$B$14*(Assumptions!$B$10+Assumptions!$B$11+Assumptions!$B$12)*0.05,0)</f>
        <v/>
      </c>
      <c r="CV25" s="399">
        <f>IF(AND(Projects!$G$14="Yes",CV$3&gt;=Projects!$C$14,CV$3&lt;Projects!$C$14+Projects!$D$14),Projects!$B$14*INDEX(Curves!$B$2:$AR$2,1,CV$3-Projects!$C$14+1),0)-IF(AND(Projects!$G$14="Yes",CV$3&gt;=Projects!$C$14,CV$3&lt;Projects!$C$14+Projects!$D$14),Projects!$B$14*(Assumptions!$B$10+Assumptions!$B$11+Assumptions!$B$12)/Projects!$D$14*0.95,0)-IF(AND(Projects!$G$14="Yes",CV$3=Projects!$C$14+Projects!$D$14-1),Projects!$B$14*(Assumptions!$B$10+Assumptions!$B$11+Assumptions!$B$12)*0.05,0)</f>
        <v/>
      </c>
      <c r="CW25" s="399">
        <f>IF(AND(Projects!$G$14="Yes",CW$3&gt;=Projects!$C$14,CW$3&lt;Projects!$C$14+Projects!$D$14),Projects!$B$14*INDEX(Curves!$B$2:$AR$2,1,CW$3-Projects!$C$14+1),0)-IF(AND(Projects!$G$14="Yes",CW$3&gt;=Projects!$C$14,CW$3&lt;Projects!$C$14+Projects!$D$14),Projects!$B$14*(Assumptions!$B$10+Assumptions!$B$11+Assumptions!$B$12)/Projects!$D$14*0.95,0)-IF(AND(Projects!$G$14="Yes",CW$3=Projects!$C$14+Projects!$D$14-1),Projects!$B$14*(Assumptions!$B$10+Assumptions!$B$11+Assumptions!$B$12)*0.05,0)</f>
        <v/>
      </c>
      <c r="CX25" s="399">
        <f>IF(AND(Projects!$G$14="Yes",CX$3&gt;=Projects!$C$14,CX$3&lt;Projects!$C$14+Projects!$D$14),Projects!$B$14*INDEX(Curves!$B$2:$AR$2,1,CX$3-Projects!$C$14+1),0)-IF(AND(Projects!$G$14="Yes",CX$3&gt;=Projects!$C$14,CX$3&lt;Projects!$C$14+Projects!$D$14),Projects!$B$14*(Assumptions!$B$10+Assumptions!$B$11+Assumptions!$B$12)/Projects!$D$14*0.95,0)-IF(AND(Projects!$G$14="Yes",CX$3=Projects!$C$14+Projects!$D$14-1),Projects!$B$14*(Assumptions!$B$10+Assumptions!$B$11+Assumptions!$B$12)*0.05,0)</f>
        <v/>
      </c>
      <c r="CY25" s="399">
        <f>IF(AND(Projects!$G$14="Yes",CY$3&gt;=Projects!$C$14,CY$3&lt;Projects!$C$14+Projects!$D$14),Projects!$B$14*INDEX(Curves!$B$2:$AR$2,1,CY$3-Projects!$C$14+1),0)-IF(AND(Projects!$G$14="Yes",CY$3&gt;=Projects!$C$14,CY$3&lt;Projects!$C$14+Projects!$D$14),Projects!$B$14*(Assumptions!$B$10+Assumptions!$B$11+Assumptions!$B$12)/Projects!$D$14*0.95,0)-IF(AND(Projects!$G$14="Yes",CY$3=Projects!$C$14+Projects!$D$14-1),Projects!$B$14*(Assumptions!$B$10+Assumptions!$B$11+Assumptions!$B$12)*0.05,0)</f>
        <v/>
      </c>
      <c r="CZ25" s="399">
        <f>IF(AND(Projects!$G$14="Yes",CZ$3&gt;=Projects!$C$14,CZ$3&lt;Projects!$C$14+Projects!$D$14),Projects!$B$14*INDEX(Curves!$B$2:$AR$2,1,CZ$3-Projects!$C$14+1),0)-IF(AND(Projects!$G$14="Yes",CZ$3&gt;=Projects!$C$14,CZ$3&lt;Projects!$C$14+Projects!$D$14),Projects!$B$14*(Assumptions!$B$10+Assumptions!$B$11+Assumptions!$B$12)/Projects!$D$14*0.95,0)-IF(AND(Projects!$G$14="Yes",CZ$3=Projects!$C$14+Projects!$D$14-1),Projects!$B$14*(Assumptions!$B$10+Assumptions!$B$11+Assumptions!$B$12)*0.05,0)</f>
        <v/>
      </c>
      <c r="DA25" s="399">
        <f>IF(AND(Projects!$G$14="Yes",DA$3&gt;=Projects!$C$14,DA$3&lt;Projects!$C$14+Projects!$D$14),Projects!$B$14*INDEX(Curves!$B$2:$AR$2,1,DA$3-Projects!$C$14+1),0)-IF(AND(Projects!$G$14="Yes",DA$3&gt;=Projects!$C$14,DA$3&lt;Projects!$C$14+Projects!$D$14),Projects!$B$14*(Assumptions!$B$10+Assumptions!$B$11+Assumptions!$B$12)/Projects!$D$14*0.95,0)-IF(AND(Projects!$G$14="Yes",DA$3=Projects!$C$14+Projects!$D$14-1),Projects!$B$14*(Assumptions!$B$10+Assumptions!$B$11+Assumptions!$B$12)*0.05,0)</f>
        <v/>
      </c>
      <c r="DB25" s="399">
        <f>IF(AND(Projects!$G$14="Yes",DB$3&gt;=Projects!$C$14,DB$3&lt;Projects!$C$14+Projects!$D$14),Projects!$B$14*INDEX(Curves!$B$2:$AR$2,1,DB$3-Projects!$C$14+1),0)-IF(AND(Projects!$G$14="Yes",DB$3&gt;=Projects!$C$14,DB$3&lt;Projects!$C$14+Projects!$D$14),Projects!$B$14*(Assumptions!$B$10+Assumptions!$B$11+Assumptions!$B$12)/Projects!$D$14*0.95,0)-IF(AND(Projects!$G$14="Yes",DB$3=Projects!$C$14+Projects!$D$14-1),Projects!$B$14*(Assumptions!$B$10+Assumptions!$B$11+Assumptions!$B$12)*0.05,0)</f>
        <v/>
      </c>
      <c r="DC25" s="399">
        <f>IF(AND(Projects!$G$14="Yes",DC$3&gt;=Projects!$C$14,DC$3&lt;Projects!$C$14+Projects!$D$14),Projects!$B$14*INDEX(Curves!$B$2:$AR$2,1,DC$3-Projects!$C$14+1),0)-IF(AND(Projects!$G$14="Yes",DC$3&gt;=Projects!$C$14,DC$3&lt;Projects!$C$14+Projects!$D$14),Projects!$B$14*(Assumptions!$B$10+Assumptions!$B$11+Assumptions!$B$12)/Projects!$D$14*0.95,0)-IF(AND(Projects!$G$14="Yes",DC$3=Projects!$C$14+Projects!$D$14-1),Projects!$B$14*(Assumptions!$B$10+Assumptions!$B$11+Assumptions!$B$12)*0.05,0)</f>
        <v/>
      </c>
      <c r="DD25" s="399">
        <f>IF(AND(Projects!$G$14="Yes",DD$3&gt;=Projects!$C$14,DD$3&lt;Projects!$C$14+Projects!$D$14),Projects!$B$14*INDEX(Curves!$B$2:$AR$2,1,DD$3-Projects!$C$14+1),0)-IF(AND(Projects!$G$14="Yes",DD$3&gt;=Projects!$C$14,DD$3&lt;Projects!$C$14+Projects!$D$14),Projects!$B$14*(Assumptions!$B$10+Assumptions!$B$11+Assumptions!$B$12)/Projects!$D$14*0.95,0)-IF(AND(Projects!$G$14="Yes",DD$3=Projects!$C$14+Projects!$D$14-1),Projects!$B$14*(Assumptions!$B$10+Assumptions!$B$11+Assumptions!$B$12)*0.05,0)</f>
        <v/>
      </c>
      <c r="DE25" s="399">
        <f>IF(AND(Projects!$G$14="Yes",DE$3&gt;=Projects!$C$14,DE$3&lt;Projects!$C$14+Projects!$D$14),Projects!$B$14*INDEX(Curves!$B$2:$AR$2,1,DE$3-Projects!$C$14+1),0)-IF(AND(Projects!$G$14="Yes",DE$3&gt;=Projects!$C$14,DE$3&lt;Projects!$C$14+Projects!$D$14),Projects!$B$14*(Assumptions!$B$10+Assumptions!$B$11+Assumptions!$B$12)/Projects!$D$14*0.95,0)-IF(AND(Projects!$G$14="Yes",DE$3=Projects!$C$14+Projects!$D$14-1),Projects!$B$14*(Assumptions!$B$10+Assumptions!$B$11+Assumptions!$B$12)*0.05,0)</f>
        <v/>
      </c>
    </row>
    <row r="26" hidden="1" outlineLevel="1" ht="15" customFormat="1" customHeight="1" s="380">
      <c r="A26" s="407" t="inlineStr">
        <is>
          <t>Dickens</t>
        </is>
      </c>
      <c r="B26" s="399" t="n">
        <v>0</v>
      </c>
      <c r="C26" s="399" t="n">
        <v>0</v>
      </c>
      <c r="D26" s="399" t="n">
        <v>0</v>
      </c>
      <c r="E26" s="399" t="n">
        <v>0</v>
      </c>
      <c r="F26" s="399">
        <f>IF(AND(Projects!$G$17="Yes",F$3&gt;=Projects!$C$17,F$3&lt;Projects!$C$17+Projects!$D$17),Projects!$B$17*INDEX(Curves!$B$4:$AR$4,1,F$3-Projects!$C$17+1),0)-IF(AND(Projects!$G$17="Yes",F$3&gt;=Projects!$C$17,F$3&lt;Projects!$C$17+Projects!$D$17),Projects!$B$17*(Assumptions!$B$10+Assumptions!$B$11+Assumptions!$B$12)/Projects!$D$17*0.95,0)-IF(AND(Projects!$G$17="Yes",F$3=Projects!$C$17+Projects!$D$17-1),Projects!$B$17*(Assumptions!$B$10+Assumptions!$B$11+Assumptions!$B$12)*0.05,0)</f>
        <v/>
      </c>
      <c r="G26" s="399">
        <f>IF(AND(Projects!$G$17="Yes",G$3&gt;=Projects!$C$17,G$3&lt;Projects!$C$17+Projects!$D$17),Projects!$B$17*INDEX(Curves!$B$4:$AR$4,1,G$3-Projects!$C$17+1),0)-IF(AND(Projects!$G$17="Yes",G$3&gt;=Projects!$C$17,G$3&lt;Projects!$C$17+Projects!$D$17),Projects!$B$17*(Assumptions!$B$10+Assumptions!$B$11+Assumptions!$B$12)/Projects!$D$17*0.95,0)-IF(AND(Projects!$G$17="Yes",G$3=Projects!$C$17+Projects!$D$17-1),Projects!$B$17*(Assumptions!$B$10+Assumptions!$B$11+Assumptions!$B$12)*0.05,0)</f>
        <v/>
      </c>
      <c r="H26" s="399">
        <f>IF(AND(Projects!$G$17="Yes",H$3&gt;=Projects!$C$17,H$3&lt;Projects!$C$17+Projects!$D$17),Projects!$B$17*INDEX(Curves!$B$4:$AR$4,1,H$3-Projects!$C$17+1),0)-IF(AND(Projects!$G$17="Yes",H$3&gt;=Projects!$C$17,H$3&lt;Projects!$C$17+Projects!$D$17),Projects!$B$17*(Assumptions!$B$10+Assumptions!$B$11+Assumptions!$B$12)/Projects!$D$17*0.95,0)-IF(AND(Projects!$G$17="Yes",H$3=Projects!$C$17+Projects!$D$17-1),Projects!$B$17*(Assumptions!$B$10+Assumptions!$B$11+Assumptions!$B$12)*0.05,0)</f>
        <v/>
      </c>
      <c r="I26" s="399">
        <f>IF(AND(Projects!$G$17="Yes",I$3&gt;=Projects!$C$17,I$3&lt;Projects!$C$17+Projects!$D$17),Projects!$B$17*INDEX(Curves!$B$4:$AR$4,1,I$3-Projects!$C$17+1),0)-IF(AND(Projects!$G$17="Yes",I$3&gt;=Projects!$C$17,I$3&lt;Projects!$C$17+Projects!$D$17),Projects!$B$17*(Assumptions!$B$10+Assumptions!$B$11+Assumptions!$B$12)/Projects!$D$17*0.95,0)-IF(AND(Projects!$G$17="Yes",I$3=Projects!$C$17+Projects!$D$17-1),Projects!$B$17*(Assumptions!$B$10+Assumptions!$B$11+Assumptions!$B$12)*0.05,0)</f>
        <v/>
      </c>
      <c r="J26" s="399">
        <f>IF(AND(Projects!$G$17="Yes",J$3&gt;=Projects!$C$17,J$3&lt;Projects!$C$17+Projects!$D$17),Projects!$B$17*INDEX(Curves!$B$4:$AR$4,1,J$3-Projects!$C$17+1),0)-IF(AND(Projects!$G$17="Yes",J$3&gt;=Projects!$C$17,J$3&lt;Projects!$C$17+Projects!$D$17),Projects!$B$17*(Assumptions!$B$10+Assumptions!$B$11+Assumptions!$B$12)/Projects!$D$17*0.95,0)-IF(AND(Projects!$G$17="Yes",J$3=Projects!$C$17+Projects!$D$17-1),Projects!$B$17*(Assumptions!$B$10+Assumptions!$B$11+Assumptions!$B$12)*0.05,0)</f>
        <v/>
      </c>
      <c r="K26" s="399">
        <f>IF(AND(Projects!$G$17="Yes",K$3&gt;=Projects!$C$17,K$3&lt;Projects!$C$17+Projects!$D$17),Projects!$B$17*INDEX(Curves!$B$4:$AR$4,1,K$3-Projects!$C$17+1),0)-IF(AND(Projects!$G$17="Yes",K$3&gt;=Projects!$C$17,K$3&lt;Projects!$C$17+Projects!$D$17),Projects!$B$17*(Assumptions!$B$10+Assumptions!$B$11+Assumptions!$B$12)/Projects!$D$17*0.95,0)-IF(AND(Projects!$G$17="Yes",K$3=Projects!$C$17+Projects!$D$17-1),Projects!$B$17*(Assumptions!$B$10+Assumptions!$B$11+Assumptions!$B$12)*0.05,0)</f>
        <v/>
      </c>
      <c r="L26" s="399">
        <f>IF(AND(Projects!$G$17="Yes",L$3&gt;=Projects!$C$17,L$3&lt;Projects!$C$17+Projects!$D$17),Projects!$B$17*INDEX(Curves!$B$4:$AR$4,1,L$3-Projects!$C$17+1),0)-IF(AND(Projects!$G$17="Yes",L$3&gt;=Projects!$C$17,L$3&lt;Projects!$C$17+Projects!$D$17),Projects!$B$17*(Assumptions!$B$10+Assumptions!$B$11+Assumptions!$B$12)/Projects!$D$17*0.95,0)-IF(AND(Projects!$G$17="Yes",L$3=Projects!$C$17+Projects!$D$17-1),Projects!$B$17*(Assumptions!$B$10+Assumptions!$B$11+Assumptions!$B$12)*0.05,0)</f>
        <v/>
      </c>
      <c r="M26" s="399">
        <f>IF(AND(Projects!$G$17="Yes",M$3&gt;=Projects!$C$17,M$3&lt;Projects!$C$17+Projects!$D$17),Projects!$B$17*INDEX(Curves!$B$4:$AR$4,1,M$3-Projects!$C$17+1),0)-IF(AND(Projects!$G$17="Yes",M$3&gt;=Projects!$C$17,M$3&lt;Projects!$C$17+Projects!$D$17),Projects!$B$17*(Assumptions!$B$10+Assumptions!$B$11+Assumptions!$B$12)/Projects!$D$17*0.95,0)-IF(AND(Projects!$G$17="Yes",M$3=Projects!$C$17+Projects!$D$17-1),Projects!$B$17*(Assumptions!$B$10+Assumptions!$B$11+Assumptions!$B$12)*0.05,0)</f>
        <v/>
      </c>
      <c r="N26" s="399">
        <f>IF(AND(Projects!$G$17="Yes",N$3&gt;=Projects!$C$17,N$3&lt;Projects!$C$17+Projects!$D$17),Projects!$B$17*INDEX(Curves!$B$4:$AR$4,1,N$3-Projects!$C$17+1),0)-IF(AND(Projects!$G$17="Yes",N$3&gt;=Projects!$C$17,N$3&lt;Projects!$C$17+Projects!$D$17),Projects!$B$17*(Assumptions!$B$10+Assumptions!$B$11+Assumptions!$B$12)/Projects!$D$17*0.95,0)-IF(AND(Projects!$G$17="Yes",N$3=Projects!$C$17+Projects!$D$17-1),Projects!$B$17*(Assumptions!$B$10+Assumptions!$B$11+Assumptions!$B$12)*0.05,0)</f>
        <v/>
      </c>
      <c r="O26" s="399">
        <f>IF(AND(Projects!$G$17="Yes",O$3&gt;=Projects!$C$17,O$3&lt;Projects!$C$17+Projects!$D$17),Projects!$B$17*INDEX(Curves!$B$4:$AR$4,1,O$3-Projects!$C$17+1),0)-IF(AND(Projects!$G$17="Yes",O$3&gt;=Projects!$C$17,O$3&lt;Projects!$C$17+Projects!$D$17),Projects!$B$17*(Assumptions!$B$10+Assumptions!$B$11+Assumptions!$B$12)/Projects!$D$17*0.95,0)-IF(AND(Projects!$G$17="Yes",O$3=Projects!$C$17+Projects!$D$17-1),Projects!$B$17*(Assumptions!$B$10+Assumptions!$B$11+Assumptions!$B$12)*0.05,0)</f>
        <v/>
      </c>
      <c r="P26" s="399">
        <f>IF(AND(Projects!$G$17="Yes",P$3&gt;=Projects!$C$17,P$3&lt;Projects!$C$17+Projects!$D$17),Projects!$B$17*INDEX(Curves!$B$4:$AR$4,1,P$3-Projects!$C$17+1),0)-IF(AND(Projects!$G$17="Yes",P$3&gt;=Projects!$C$17,P$3&lt;Projects!$C$17+Projects!$D$17),Projects!$B$17*(Assumptions!$B$10+Assumptions!$B$11+Assumptions!$B$12)/Projects!$D$17*0.95,0)-IF(AND(Projects!$G$17="Yes",P$3=Projects!$C$17+Projects!$D$17-1),Projects!$B$17*(Assumptions!$B$10+Assumptions!$B$11+Assumptions!$B$12)*0.05,0)</f>
        <v/>
      </c>
      <c r="Q26" s="399">
        <f>IF(AND(Projects!$G$17="Yes",Q$3&gt;=Projects!$C$17,Q$3&lt;Projects!$C$17+Projects!$D$17),Projects!$B$17*INDEX(Curves!$B$4:$AR$4,1,Q$3-Projects!$C$17+1),0)-IF(AND(Projects!$G$17="Yes",Q$3&gt;=Projects!$C$17,Q$3&lt;Projects!$C$17+Projects!$D$17),Projects!$B$17*(Assumptions!$B$10+Assumptions!$B$11+Assumptions!$B$12)/Projects!$D$17*0.95,0)-IF(AND(Projects!$G$17="Yes",Q$3=Projects!$C$17+Projects!$D$17-1),Projects!$B$17*(Assumptions!$B$10+Assumptions!$B$11+Assumptions!$B$12)*0.05,0)</f>
        <v/>
      </c>
      <c r="R26" s="399">
        <f>IF(AND(Projects!$G$17="Yes",R$3&gt;=Projects!$C$17,R$3&lt;Projects!$C$17+Projects!$D$17),Projects!$B$17*INDEX(Curves!$B$4:$AR$4,1,R$3-Projects!$C$17+1),0)-IF(AND(Projects!$G$17="Yes",R$3&gt;=Projects!$C$17,R$3&lt;Projects!$C$17+Projects!$D$17),Projects!$B$17*(Assumptions!$B$10+Assumptions!$B$11+Assumptions!$B$12)/Projects!$D$17*0.95,0)-IF(AND(Projects!$G$17="Yes",R$3=Projects!$C$17+Projects!$D$17-1),Projects!$B$17*(Assumptions!$B$10+Assumptions!$B$11+Assumptions!$B$12)*0.05,0)</f>
        <v/>
      </c>
      <c r="S26" s="399">
        <f>IF(AND(Projects!$G$17="Yes",S$3&gt;=Projects!$C$17,S$3&lt;Projects!$C$17+Projects!$D$17),Projects!$B$17*INDEX(Curves!$B$4:$AR$4,1,S$3-Projects!$C$17+1),0)-IF(AND(Projects!$G$17="Yes",S$3&gt;=Projects!$C$17,S$3&lt;Projects!$C$17+Projects!$D$17),Projects!$B$17*(Assumptions!$B$10+Assumptions!$B$11+Assumptions!$B$12)/Projects!$D$17*0.95,0)-IF(AND(Projects!$G$17="Yes",S$3=Projects!$C$17+Projects!$D$17-1),Projects!$B$17*(Assumptions!$B$10+Assumptions!$B$11+Assumptions!$B$12)*0.05,0)</f>
        <v/>
      </c>
      <c r="T26" s="399">
        <f>IF(AND(Projects!$G$17="Yes",T$3&gt;=Projects!$C$17,T$3&lt;Projects!$C$17+Projects!$D$17),Projects!$B$17*INDEX(Curves!$B$4:$AR$4,1,T$3-Projects!$C$17+1),0)-IF(AND(Projects!$G$17="Yes",T$3&gt;=Projects!$C$17,T$3&lt;Projects!$C$17+Projects!$D$17),Projects!$B$17*(Assumptions!$B$10+Assumptions!$B$11+Assumptions!$B$12)/Projects!$D$17*0.95,0)-IF(AND(Projects!$G$17="Yes",T$3=Projects!$C$17+Projects!$D$17-1),Projects!$B$17*(Assumptions!$B$10+Assumptions!$B$11+Assumptions!$B$12)*0.05,0)</f>
        <v/>
      </c>
      <c r="U26" s="399">
        <f>IF(AND(Projects!$G$17="Yes",U$3&gt;=Projects!$C$17,U$3&lt;Projects!$C$17+Projects!$D$17),Projects!$B$17*INDEX(Curves!$B$4:$AR$4,1,U$3-Projects!$C$17+1),0)-IF(AND(Projects!$G$17="Yes",U$3&gt;=Projects!$C$17,U$3&lt;Projects!$C$17+Projects!$D$17),Projects!$B$17*(Assumptions!$B$10+Assumptions!$B$11+Assumptions!$B$12)/Projects!$D$17*0.95,0)-IF(AND(Projects!$G$17="Yes",U$3=Projects!$C$17+Projects!$D$17-1),Projects!$B$17*(Assumptions!$B$10+Assumptions!$B$11+Assumptions!$B$12)*0.05,0)</f>
        <v/>
      </c>
      <c r="V26" s="399">
        <f>IF(AND(Projects!$G$17="Yes",V$3&gt;=Projects!$C$17,V$3&lt;Projects!$C$17+Projects!$D$17),Projects!$B$17*INDEX(Curves!$B$4:$AR$4,1,V$3-Projects!$C$17+1),0)-IF(AND(Projects!$G$17="Yes",V$3&gt;=Projects!$C$17,V$3&lt;Projects!$C$17+Projects!$D$17),Projects!$B$17*(Assumptions!$B$10+Assumptions!$B$11+Assumptions!$B$12)/Projects!$D$17*0.95,0)-IF(AND(Projects!$G$17="Yes",V$3=Projects!$C$17+Projects!$D$17-1),Projects!$B$17*(Assumptions!$B$10+Assumptions!$B$11+Assumptions!$B$12)*0.05,0)</f>
        <v/>
      </c>
      <c r="W26" s="399">
        <f>IF(AND(Projects!$G$17="Yes",W$3&gt;=Projects!$C$17,W$3&lt;Projects!$C$17+Projects!$D$17),Projects!$B$17*INDEX(Curves!$B$4:$AR$4,1,W$3-Projects!$C$17+1),0)-IF(AND(Projects!$G$17="Yes",W$3&gt;=Projects!$C$17,W$3&lt;Projects!$C$17+Projects!$D$17),Projects!$B$17*(Assumptions!$B$10+Assumptions!$B$11+Assumptions!$B$12)/Projects!$D$17*0.95,0)-IF(AND(Projects!$G$17="Yes",W$3=Projects!$C$17+Projects!$D$17-1),Projects!$B$17*(Assumptions!$B$10+Assumptions!$B$11+Assumptions!$B$12)*0.05,0)</f>
        <v/>
      </c>
      <c r="X26" s="399">
        <f>IF(AND(Projects!$G$17="Yes",X$3&gt;=Projects!$C$17,X$3&lt;Projects!$C$17+Projects!$D$17),Projects!$B$17*INDEX(Curves!$B$4:$AR$4,1,X$3-Projects!$C$17+1),0)-IF(AND(Projects!$G$17="Yes",X$3&gt;=Projects!$C$17,X$3&lt;Projects!$C$17+Projects!$D$17),Projects!$B$17*(Assumptions!$B$10+Assumptions!$B$11+Assumptions!$B$12)/Projects!$D$17*0.95,0)-IF(AND(Projects!$G$17="Yes",X$3=Projects!$C$17+Projects!$D$17-1),Projects!$B$17*(Assumptions!$B$10+Assumptions!$B$11+Assumptions!$B$12)*0.05,0)</f>
        <v/>
      </c>
      <c r="Y26" s="399">
        <f>IF(AND(Projects!$G$17="Yes",Y$3&gt;=Projects!$C$17,Y$3&lt;Projects!$C$17+Projects!$D$17),Projects!$B$17*INDEX(Curves!$B$4:$AR$4,1,Y$3-Projects!$C$17+1),0)-IF(AND(Projects!$G$17="Yes",Y$3&gt;=Projects!$C$17,Y$3&lt;Projects!$C$17+Projects!$D$17),Projects!$B$17*(Assumptions!$B$10+Assumptions!$B$11+Assumptions!$B$12)/Projects!$D$17*0.95,0)-IF(AND(Projects!$G$17="Yes",Y$3=Projects!$C$17+Projects!$D$17-1),Projects!$B$17*(Assumptions!$B$10+Assumptions!$B$11+Assumptions!$B$12)*0.05,0)</f>
        <v/>
      </c>
      <c r="Z26" s="399">
        <f>IF(AND(Projects!$G$17="Yes",Z$3&gt;=Projects!$C$17,Z$3&lt;Projects!$C$17+Projects!$D$17),Projects!$B$17*INDEX(Curves!$B$4:$AR$4,1,Z$3-Projects!$C$17+1),0)-IF(AND(Projects!$G$17="Yes",Z$3&gt;=Projects!$C$17,Z$3&lt;Projects!$C$17+Projects!$D$17),Projects!$B$17*(Assumptions!$B$10+Assumptions!$B$11+Assumptions!$B$12)/Projects!$D$17*0.95,0)-IF(AND(Projects!$G$17="Yes",Z$3=Projects!$C$17+Projects!$D$17-1),Projects!$B$17*(Assumptions!$B$10+Assumptions!$B$11+Assumptions!$B$12)*0.05,0)</f>
        <v/>
      </c>
      <c r="AA26" s="399">
        <f>IF(AND(Projects!$G$17="Yes",AA$3&gt;=Projects!$C$17,AA$3&lt;Projects!$C$17+Projects!$D$17),Projects!$B$17*INDEX(Curves!$B$4:$AR$4,1,AA$3-Projects!$C$17+1),0)-IF(AND(Projects!$G$17="Yes",AA$3&gt;=Projects!$C$17,AA$3&lt;Projects!$C$17+Projects!$D$17),Projects!$B$17*(Assumptions!$B$10+Assumptions!$B$11+Assumptions!$B$12)/Projects!$D$17*0.95,0)-IF(AND(Projects!$G$17="Yes",AA$3=Projects!$C$17+Projects!$D$17-1),Projects!$B$17*(Assumptions!$B$10+Assumptions!$B$11+Assumptions!$B$12)*0.05,0)</f>
        <v/>
      </c>
      <c r="AB26" s="399">
        <f>IF(AND(Projects!$G$17="Yes",AB$3&gt;=Projects!$C$17,AB$3&lt;Projects!$C$17+Projects!$D$17),Projects!$B$17*INDEX(Curves!$B$4:$AR$4,1,AB$3-Projects!$C$17+1),0)-IF(AND(Projects!$G$17="Yes",AB$3&gt;=Projects!$C$17,AB$3&lt;Projects!$C$17+Projects!$D$17),Projects!$B$17*(Assumptions!$B$10+Assumptions!$B$11+Assumptions!$B$12)/Projects!$D$17*0.95,0)-IF(AND(Projects!$G$17="Yes",AB$3=Projects!$C$17+Projects!$D$17-1),Projects!$B$17*(Assumptions!$B$10+Assumptions!$B$11+Assumptions!$B$12)*0.05,0)</f>
        <v/>
      </c>
      <c r="AC26" s="399">
        <f>IF(AND(Projects!$G$17="Yes",AC$3&gt;=Projects!$C$17,AC$3&lt;Projects!$C$17+Projects!$D$17),Projects!$B$17*INDEX(Curves!$B$4:$AR$4,1,AC$3-Projects!$C$17+1),0)-IF(AND(Projects!$G$17="Yes",AC$3&gt;=Projects!$C$17,AC$3&lt;Projects!$C$17+Projects!$D$17),Projects!$B$17*(Assumptions!$B$10+Assumptions!$B$11+Assumptions!$B$12)/Projects!$D$17*0.95,0)-IF(AND(Projects!$G$17="Yes",AC$3=Projects!$C$17+Projects!$D$17-1),Projects!$B$17*(Assumptions!$B$10+Assumptions!$B$11+Assumptions!$B$12)*0.05,0)</f>
        <v/>
      </c>
      <c r="AD26" s="399">
        <f>IF(AND(Projects!$G$17="Yes",AD$3&gt;=Projects!$C$17,AD$3&lt;Projects!$C$17+Projects!$D$17),Projects!$B$17*INDEX(Curves!$B$4:$AR$4,1,AD$3-Projects!$C$17+1),0)-IF(AND(Projects!$G$17="Yes",AD$3&gt;=Projects!$C$17,AD$3&lt;Projects!$C$17+Projects!$D$17),Projects!$B$17*(Assumptions!$B$10+Assumptions!$B$11+Assumptions!$B$12)/Projects!$D$17*0.95,0)-IF(AND(Projects!$G$17="Yes",AD$3=Projects!$C$17+Projects!$D$17-1),Projects!$B$17*(Assumptions!$B$10+Assumptions!$B$11+Assumptions!$B$12)*0.05,0)</f>
        <v/>
      </c>
      <c r="AE26" s="399">
        <f>IF(AND(Projects!$G$17="Yes",AE$3&gt;=Projects!$C$17,AE$3&lt;Projects!$C$17+Projects!$D$17),Projects!$B$17*INDEX(Curves!$B$4:$AR$4,1,AE$3-Projects!$C$17+1),0)-IF(AND(Projects!$G$17="Yes",AE$3&gt;=Projects!$C$17,AE$3&lt;Projects!$C$17+Projects!$D$17),Projects!$B$17*(Assumptions!$B$10+Assumptions!$B$11+Assumptions!$B$12)/Projects!$D$17*0.95,0)-IF(AND(Projects!$G$17="Yes",AE$3=Projects!$C$17+Projects!$D$17-1),Projects!$B$17*(Assumptions!$B$10+Assumptions!$B$11+Assumptions!$B$12)*0.05,0)</f>
        <v/>
      </c>
      <c r="AF26" s="399">
        <f>IF(AND(Projects!$G$17="Yes",AF$3&gt;=Projects!$C$17,AF$3&lt;Projects!$C$17+Projects!$D$17),Projects!$B$17*INDEX(Curves!$B$4:$AR$4,1,AF$3-Projects!$C$17+1),0)-IF(AND(Projects!$G$17="Yes",AF$3&gt;=Projects!$C$17,AF$3&lt;Projects!$C$17+Projects!$D$17),Projects!$B$17*(Assumptions!$B$10+Assumptions!$B$11+Assumptions!$B$12)/Projects!$D$17*0.95,0)-IF(AND(Projects!$G$17="Yes",AF$3=Projects!$C$17+Projects!$D$17-1),Projects!$B$17*(Assumptions!$B$10+Assumptions!$B$11+Assumptions!$B$12)*0.05,0)</f>
        <v/>
      </c>
      <c r="AG26" s="399">
        <f>IF(AND(Projects!$G$17="Yes",AG$3&gt;=Projects!$C$17,AG$3&lt;Projects!$C$17+Projects!$D$17),Projects!$B$17*INDEX(Curves!$B$4:$AR$4,1,AG$3-Projects!$C$17+1),0)-IF(AND(Projects!$G$17="Yes",AG$3&gt;=Projects!$C$17,AG$3&lt;Projects!$C$17+Projects!$D$17),Projects!$B$17*(Assumptions!$B$10+Assumptions!$B$11+Assumptions!$B$12)/Projects!$D$17*0.95,0)-IF(AND(Projects!$G$17="Yes",AG$3=Projects!$C$17+Projects!$D$17-1),Projects!$B$17*(Assumptions!$B$10+Assumptions!$B$11+Assumptions!$B$12)*0.05,0)</f>
        <v/>
      </c>
      <c r="AH26" s="399">
        <f>IF(AND(Projects!$G$17="Yes",AH$3&gt;=Projects!$C$17,AH$3&lt;Projects!$C$17+Projects!$D$17),Projects!$B$17*INDEX(Curves!$B$4:$AR$4,1,AH$3-Projects!$C$17+1),0)-IF(AND(Projects!$G$17="Yes",AH$3&gt;=Projects!$C$17,AH$3&lt;Projects!$C$17+Projects!$D$17),Projects!$B$17*(Assumptions!$B$10+Assumptions!$B$11+Assumptions!$B$12)/Projects!$D$17*0.95,0)-IF(AND(Projects!$G$17="Yes",AH$3=Projects!$C$17+Projects!$D$17-1),Projects!$B$17*(Assumptions!$B$10+Assumptions!$B$11+Assumptions!$B$12)*0.05,0)</f>
        <v/>
      </c>
      <c r="AI26" s="399">
        <f>IF(AND(Projects!$G$17="Yes",AI$3&gt;=Projects!$C$17,AI$3&lt;Projects!$C$17+Projects!$D$17),Projects!$B$17*INDEX(Curves!$B$4:$AR$4,1,AI$3-Projects!$C$17+1),0)-IF(AND(Projects!$G$17="Yes",AI$3&gt;=Projects!$C$17,AI$3&lt;Projects!$C$17+Projects!$D$17),Projects!$B$17*(Assumptions!$B$10+Assumptions!$B$11+Assumptions!$B$12)/Projects!$D$17*0.95,0)-IF(AND(Projects!$G$17="Yes",AI$3=Projects!$C$17+Projects!$D$17-1),Projects!$B$17*(Assumptions!$B$10+Assumptions!$B$11+Assumptions!$B$12)*0.05,0)</f>
        <v/>
      </c>
      <c r="AJ26" s="399">
        <f>IF(AND(Projects!$G$17="Yes",AJ$3&gt;=Projects!$C$17,AJ$3&lt;Projects!$C$17+Projects!$D$17),Projects!$B$17*INDEX(Curves!$B$4:$AR$4,1,AJ$3-Projects!$C$17+1),0)-IF(AND(Projects!$G$17="Yes",AJ$3&gt;=Projects!$C$17,AJ$3&lt;Projects!$C$17+Projects!$D$17),Projects!$B$17*(Assumptions!$B$10+Assumptions!$B$11+Assumptions!$B$12)/Projects!$D$17*0.95,0)-IF(AND(Projects!$G$17="Yes",AJ$3=Projects!$C$17+Projects!$D$17-1),Projects!$B$17*(Assumptions!$B$10+Assumptions!$B$11+Assumptions!$B$12)*0.05,0)</f>
        <v/>
      </c>
      <c r="AK26" s="399">
        <f>IF(AND(Projects!$G$17="Yes",AK$3&gt;=Projects!$C$17,AK$3&lt;Projects!$C$17+Projects!$D$17),Projects!$B$17*INDEX(Curves!$B$4:$AR$4,1,AK$3-Projects!$C$17+1),0)-IF(AND(Projects!$G$17="Yes",AK$3&gt;=Projects!$C$17,AK$3&lt;Projects!$C$17+Projects!$D$17),Projects!$B$17*(Assumptions!$B$10+Assumptions!$B$11+Assumptions!$B$12)/Projects!$D$17*0.95,0)-IF(AND(Projects!$G$17="Yes",AK$3=Projects!$C$17+Projects!$D$17-1),Projects!$B$17*(Assumptions!$B$10+Assumptions!$B$11+Assumptions!$B$12)*0.05,0)</f>
        <v/>
      </c>
      <c r="AL26" s="399">
        <f>IF(AND(Projects!$G$17="Yes",AL$3&gt;=Projects!$C$17,AL$3&lt;Projects!$C$17+Projects!$D$17),Projects!$B$17*INDEX(Curves!$B$4:$AR$4,1,AL$3-Projects!$C$17+1),0)-IF(AND(Projects!$G$17="Yes",AL$3&gt;=Projects!$C$17,AL$3&lt;Projects!$C$17+Projects!$D$17),Projects!$B$17*(Assumptions!$B$10+Assumptions!$B$11+Assumptions!$B$12)/Projects!$D$17*0.95,0)-IF(AND(Projects!$G$17="Yes",AL$3=Projects!$C$17+Projects!$D$17-1),Projects!$B$17*(Assumptions!$B$10+Assumptions!$B$11+Assumptions!$B$12)*0.05,0)</f>
        <v/>
      </c>
      <c r="AM26" s="399">
        <f>IF(AND(Projects!$G$17="Yes",AM$3&gt;=Projects!$C$17,AM$3&lt;Projects!$C$17+Projects!$D$17),Projects!$B$17*INDEX(Curves!$B$4:$AR$4,1,AM$3-Projects!$C$17+1),0)-IF(AND(Projects!$G$17="Yes",AM$3&gt;=Projects!$C$17,AM$3&lt;Projects!$C$17+Projects!$D$17),Projects!$B$17*(Assumptions!$B$10+Assumptions!$B$11+Assumptions!$B$12)/Projects!$D$17*0.95,0)-IF(AND(Projects!$G$17="Yes",AM$3=Projects!$C$17+Projects!$D$17-1),Projects!$B$17*(Assumptions!$B$10+Assumptions!$B$11+Assumptions!$B$12)*0.05,0)</f>
        <v/>
      </c>
      <c r="AN26" s="399">
        <f>IF(AND(Projects!$G$17="Yes",AN$3&gt;=Projects!$C$17,AN$3&lt;Projects!$C$17+Projects!$D$17),Projects!$B$17*INDEX(Curves!$B$4:$AR$4,1,AN$3-Projects!$C$17+1),0)-IF(AND(Projects!$G$17="Yes",AN$3&gt;=Projects!$C$17,AN$3&lt;Projects!$C$17+Projects!$D$17),Projects!$B$17*(Assumptions!$B$10+Assumptions!$B$11+Assumptions!$B$12)/Projects!$D$17*0.95,0)-IF(AND(Projects!$G$17="Yes",AN$3=Projects!$C$17+Projects!$D$17-1),Projects!$B$17*(Assumptions!$B$10+Assumptions!$B$11+Assumptions!$B$12)*0.05,0)</f>
        <v/>
      </c>
      <c r="AO26" s="399">
        <f>IF(AND(Projects!$G$17="Yes",AO$3&gt;=Projects!$C$17,AO$3&lt;Projects!$C$17+Projects!$D$17),Projects!$B$17*INDEX(Curves!$B$4:$AR$4,1,AO$3-Projects!$C$17+1),0)-IF(AND(Projects!$G$17="Yes",AO$3&gt;=Projects!$C$17,AO$3&lt;Projects!$C$17+Projects!$D$17),Projects!$B$17*(Assumptions!$B$10+Assumptions!$B$11+Assumptions!$B$12)/Projects!$D$17*0.95,0)-IF(AND(Projects!$G$17="Yes",AO$3=Projects!$C$17+Projects!$D$17-1),Projects!$B$17*(Assumptions!$B$10+Assumptions!$B$11+Assumptions!$B$12)*0.05,0)</f>
        <v/>
      </c>
      <c r="AP26" s="399">
        <f>IF(AND(Projects!$G$17="Yes",AP$3&gt;=Projects!$C$17,AP$3&lt;Projects!$C$17+Projects!$D$17),Projects!$B$17*INDEX(Curves!$B$4:$AR$4,1,AP$3-Projects!$C$17+1),0)-IF(AND(Projects!$G$17="Yes",AP$3&gt;=Projects!$C$17,AP$3&lt;Projects!$C$17+Projects!$D$17),Projects!$B$17*(Assumptions!$B$10+Assumptions!$B$11+Assumptions!$B$12)/Projects!$D$17*0.95,0)-IF(AND(Projects!$G$17="Yes",AP$3=Projects!$C$17+Projects!$D$17-1),Projects!$B$17*(Assumptions!$B$10+Assumptions!$B$11+Assumptions!$B$12)*0.05,0)</f>
        <v/>
      </c>
      <c r="AQ26" s="399">
        <f>IF(AND(Projects!$G$17="Yes",AQ$3&gt;=Projects!$C$17,AQ$3&lt;Projects!$C$17+Projects!$D$17),Projects!$B$17*INDEX(Curves!$B$4:$AR$4,1,AQ$3-Projects!$C$17+1),0)-IF(AND(Projects!$G$17="Yes",AQ$3&gt;=Projects!$C$17,AQ$3&lt;Projects!$C$17+Projects!$D$17),Projects!$B$17*(Assumptions!$B$10+Assumptions!$B$11+Assumptions!$B$12)/Projects!$D$17*0.95,0)-IF(AND(Projects!$G$17="Yes",AQ$3=Projects!$C$17+Projects!$D$17-1),Projects!$B$17*(Assumptions!$B$10+Assumptions!$B$11+Assumptions!$B$12)*0.05,0)</f>
        <v/>
      </c>
      <c r="AR26" s="399">
        <f>IF(AND(Projects!$G$17="Yes",AR$3&gt;=Projects!$C$17,AR$3&lt;Projects!$C$17+Projects!$D$17),Projects!$B$17*INDEX(Curves!$B$4:$AR$4,1,AR$3-Projects!$C$17+1),0)-IF(AND(Projects!$G$17="Yes",AR$3&gt;=Projects!$C$17,AR$3&lt;Projects!$C$17+Projects!$D$17),Projects!$B$17*(Assumptions!$B$10+Assumptions!$B$11+Assumptions!$B$12)/Projects!$D$17*0.95,0)-IF(AND(Projects!$G$17="Yes",AR$3=Projects!$C$17+Projects!$D$17-1),Projects!$B$17*(Assumptions!$B$10+Assumptions!$B$11+Assumptions!$B$12)*0.05,0)</f>
        <v/>
      </c>
      <c r="AS26" s="399">
        <f>IF(AND(Projects!$G$17="Yes",AS$3&gt;=Projects!$C$17,AS$3&lt;Projects!$C$17+Projects!$D$17),Projects!$B$17*INDEX(Curves!$B$4:$AR$4,1,AS$3-Projects!$C$17+1),0)-IF(AND(Projects!$G$17="Yes",AS$3&gt;=Projects!$C$17,AS$3&lt;Projects!$C$17+Projects!$D$17),Projects!$B$17*(Assumptions!$B$10+Assumptions!$B$11+Assumptions!$B$12)/Projects!$D$17*0.95,0)-IF(AND(Projects!$G$17="Yes",AS$3=Projects!$C$17+Projects!$D$17-1),Projects!$B$17*(Assumptions!$B$10+Assumptions!$B$11+Assumptions!$B$12)*0.05,0)</f>
        <v/>
      </c>
      <c r="AT26" s="399">
        <f>IF(AND(Projects!$G$17="Yes",AT$3&gt;=Projects!$C$17,AT$3&lt;Projects!$C$17+Projects!$D$17),Projects!$B$17*INDEX(Curves!$B$4:$AR$4,1,AT$3-Projects!$C$17+1),0)-IF(AND(Projects!$G$17="Yes",AT$3&gt;=Projects!$C$17,AT$3&lt;Projects!$C$17+Projects!$D$17),Projects!$B$17*(Assumptions!$B$10+Assumptions!$B$11+Assumptions!$B$12)/Projects!$D$17*0.95,0)-IF(AND(Projects!$G$17="Yes",AT$3=Projects!$C$17+Projects!$D$17-1),Projects!$B$17*(Assumptions!$B$10+Assumptions!$B$11+Assumptions!$B$12)*0.05,0)</f>
        <v/>
      </c>
      <c r="AU26" s="399">
        <f>IF(AND(Projects!$G$17="Yes",AU$3&gt;=Projects!$C$17,AU$3&lt;Projects!$C$17+Projects!$D$17),Projects!$B$17*INDEX(Curves!$B$4:$AR$4,1,AU$3-Projects!$C$17+1),0)-IF(AND(Projects!$G$17="Yes",AU$3&gt;=Projects!$C$17,AU$3&lt;Projects!$C$17+Projects!$D$17),Projects!$B$17*(Assumptions!$B$10+Assumptions!$B$11+Assumptions!$B$12)/Projects!$D$17*0.95,0)-IF(AND(Projects!$G$17="Yes",AU$3=Projects!$C$17+Projects!$D$17-1),Projects!$B$17*(Assumptions!$B$10+Assumptions!$B$11+Assumptions!$B$12)*0.05,0)</f>
        <v/>
      </c>
      <c r="AV26" s="399">
        <f>IF(AND(Projects!$G$17="Yes",AV$3&gt;=Projects!$C$17,AV$3&lt;Projects!$C$17+Projects!$D$17),Projects!$B$17*INDEX(Curves!$B$4:$AR$4,1,AV$3-Projects!$C$17+1),0)-IF(AND(Projects!$G$17="Yes",AV$3&gt;=Projects!$C$17,AV$3&lt;Projects!$C$17+Projects!$D$17),Projects!$B$17*(Assumptions!$B$10+Assumptions!$B$11+Assumptions!$B$12)/Projects!$D$17*0.95,0)-IF(AND(Projects!$G$17="Yes",AV$3=Projects!$C$17+Projects!$D$17-1),Projects!$B$17*(Assumptions!$B$10+Assumptions!$B$11+Assumptions!$B$12)*0.05,0)</f>
        <v/>
      </c>
      <c r="AW26" s="399">
        <f>IF(AND(Projects!$G$17="Yes",AW$3&gt;=Projects!$C$17,AW$3&lt;Projects!$C$17+Projects!$D$17),Projects!$B$17*INDEX(Curves!$B$4:$AR$4,1,AW$3-Projects!$C$17+1),0)-IF(AND(Projects!$G$17="Yes",AW$3&gt;=Projects!$C$17,AW$3&lt;Projects!$C$17+Projects!$D$17),Projects!$B$17*(Assumptions!$B$10+Assumptions!$B$11+Assumptions!$B$12)/Projects!$D$17*0.95,0)-IF(AND(Projects!$G$17="Yes",AW$3=Projects!$C$17+Projects!$D$17-1),Projects!$B$17*(Assumptions!$B$10+Assumptions!$B$11+Assumptions!$B$12)*0.05,0)</f>
        <v/>
      </c>
      <c r="AX26" s="399">
        <f>IF(AND(Projects!$G$17="Yes",AX$3&gt;=Projects!$C$17,AX$3&lt;Projects!$C$17+Projects!$D$17),Projects!$B$17*INDEX(Curves!$B$4:$AR$4,1,AX$3-Projects!$C$17+1),0)-IF(AND(Projects!$G$17="Yes",AX$3&gt;=Projects!$C$17,AX$3&lt;Projects!$C$17+Projects!$D$17),Projects!$B$17*(Assumptions!$B$10+Assumptions!$B$11+Assumptions!$B$12)/Projects!$D$17*0.95,0)-IF(AND(Projects!$G$17="Yes",AX$3=Projects!$C$17+Projects!$D$17-1),Projects!$B$17*(Assumptions!$B$10+Assumptions!$B$11+Assumptions!$B$12)*0.05,0)</f>
        <v/>
      </c>
      <c r="AY26" s="399">
        <f>IF(AND(Projects!$G$17="Yes",AY$3&gt;=Projects!$C$17,AY$3&lt;Projects!$C$17+Projects!$D$17),Projects!$B$17*INDEX(Curves!$B$4:$AR$4,1,AY$3-Projects!$C$17+1),0)-IF(AND(Projects!$G$17="Yes",AY$3&gt;=Projects!$C$17,AY$3&lt;Projects!$C$17+Projects!$D$17),Projects!$B$17*(Assumptions!$B$10+Assumptions!$B$11+Assumptions!$B$12)/Projects!$D$17*0.95,0)-IF(AND(Projects!$G$17="Yes",AY$3=Projects!$C$17+Projects!$D$17-1),Projects!$B$17*(Assumptions!$B$10+Assumptions!$B$11+Assumptions!$B$12)*0.05,0)</f>
        <v/>
      </c>
      <c r="AZ26" s="399">
        <f>IF(AND(Projects!$G$17="Yes",AZ$3&gt;=Projects!$C$17,AZ$3&lt;Projects!$C$17+Projects!$D$17),Projects!$B$17*INDEX(Curves!$B$4:$AR$4,1,AZ$3-Projects!$C$17+1),0)-IF(AND(Projects!$G$17="Yes",AZ$3&gt;=Projects!$C$17,AZ$3&lt;Projects!$C$17+Projects!$D$17),Projects!$B$17*(Assumptions!$B$10+Assumptions!$B$11+Assumptions!$B$12)/Projects!$D$17*0.95,0)-IF(AND(Projects!$G$17="Yes",AZ$3=Projects!$C$17+Projects!$D$17-1),Projects!$B$17*(Assumptions!$B$10+Assumptions!$B$11+Assumptions!$B$12)*0.05,0)</f>
        <v/>
      </c>
      <c r="BA26" s="399">
        <f>IF(AND(Projects!$G$17="Yes",BA$3&gt;=Projects!$C$17,BA$3&lt;Projects!$C$17+Projects!$D$17),Projects!$B$17*INDEX(Curves!$B$4:$AR$4,1,BA$3-Projects!$C$17+1),0)-IF(AND(Projects!$G$17="Yes",BA$3&gt;=Projects!$C$17,BA$3&lt;Projects!$C$17+Projects!$D$17),Projects!$B$17*(Assumptions!$B$10+Assumptions!$B$11+Assumptions!$B$12)/Projects!$D$17*0.95,0)-IF(AND(Projects!$G$17="Yes",BA$3=Projects!$C$17+Projects!$D$17-1),Projects!$B$17*(Assumptions!$B$10+Assumptions!$B$11+Assumptions!$B$12)*0.05,0)</f>
        <v/>
      </c>
      <c r="BB26" s="399">
        <f>IF(AND(Projects!$G$17="Yes",BB$3&gt;=Projects!$C$17,BB$3&lt;Projects!$C$17+Projects!$D$17),Projects!$B$17*INDEX(Curves!$B$4:$AR$4,1,BB$3-Projects!$C$17+1),0)-IF(AND(Projects!$G$17="Yes",BB$3&gt;=Projects!$C$17,BB$3&lt;Projects!$C$17+Projects!$D$17),Projects!$B$17*(Assumptions!$B$10+Assumptions!$B$11+Assumptions!$B$12)/Projects!$D$17*0.95,0)-IF(AND(Projects!$G$17="Yes",BB$3=Projects!$C$17+Projects!$D$17-1),Projects!$B$17*(Assumptions!$B$10+Assumptions!$B$11+Assumptions!$B$12)*0.05,0)</f>
        <v/>
      </c>
      <c r="BC26" s="399">
        <f>IF(AND(Projects!$G$17="Yes",BC$3&gt;=Projects!$C$17,BC$3&lt;Projects!$C$17+Projects!$D$17),Projects!$B$17*INDEX(Curves!$B$4:$AR$4,1,BC$3-Projects!$C$17+1),0)-IF(AND(Projects!$G$17="Yes",BC$3&gt;=Projects!$C$17,BC$3&lt;Projects!$C$17+Projects!$D$17),Projects!$B$17*(Assumptions!$B$10+Assumptions!$B$11+Assumptions!$B$12)/Projects!$D$17*0.95,0)-IF(AND(Projects!$G$17="Yes",BC$3=Projects!$C$17+Projects!$D$17-1),Projects!$B$17*(Assumptions!$B$10+Assumptions!$B$11+Assumptions!$B$12)*0.05,0)</f>
        <v/>
      </c>
      <c r="BD26" s="399">
        <f>IF(AND(Projects!$G$17="Yes",BD$3&gt;=Projects!$C$17,BD$3&lt;Projects!$C$17+Projects!$D$17),Projects!$B$17*INDEX(Curves!$B$4:$AR$4,1,BD$3-Projects!$C$17+1),0)-IF(AND(Projects!$G$17="Yes",BD$3&gt;=Projects!$C$17,BD$3&lt;Projects!$C$17+Projects!$D$17),Projects!$B$17*(Assumptions!$B$10+Assumptions!$B$11+Assumptions!$B$12)/Projects!$D$17*0.95,0)-IF(AND(Projects!$G$17="Yes",BD$3=Projects!$C$17+Projects!$D$17-1),Projects!$B$17*(Assumptions!$B$10+Assumptions!$B$11+Assumptions!$B$12)*0.05,0)</f>
        <v/>
      </c>
      <c r="BE26" s="399">
        <f>IF(AND(Projects!$G$17="Yes",BE$3&gt;=Projects!$C$17,BE$3&lt;Projects!$C$17+Projects!$D$17),Projects!$B$17*INDEX(Curves!$B$4:$AR$4,1,BE$3-Projects!$C$17+1),0)-IF(AND(Projects!$G$17="Yes",BE$3&gt;=Projects!$C$17,BE$3&lt;Projects!$C$17+Projects!$D$17),Projects!$B$17*(Assumptions!$B$10+Assumptions!$B$11+Assumptions!$B$12)/Projects!$D$17*0.95,0)-IF(AND(Projects!$G$17="Yes",BE$3=Projects!$C$17+Projects!$D$17-1),Projects!$B$17*(Assumptions!$B$10+Assumptions!$B$11+Assumptions!$B$12)*0.05,0)</f>
        <v/>
      </c>
      <c r="BF26" s="399">
        <f>IF(AND(Projects!$G$17="Yes",BF$3&gt;=Projects!$C$17,BF$3&lt;Projects!$C$17+Projects!$D$17),Projects!$B$17*INDEX(Curves!$B$4:$AR$4,1,BF$3-Projects!$C$17+1),0)-IF(AND(Projects!$G$17="Yes",BF$3&gt;=Projects!$C$17,BF$3&lt;Projects!$C$17+Projects!$D$17),Projects!$B$17*(Assumptions!$B$10+Assumptions!$B$11+Assumptions!$B$12)/Projects!$D$17*0.95,0)-IF(AND(Projects!$G$17="Yes",BF$3=Projects!$C$17+Projects!$D$17-1),Projects!$B$17*(Assumptions!$B$10+Assumptions!$B$11+Assumptions!$B$12)*0.05,0)</f>
        <v/>
      </c>
      <c r="BG26" s="399">
        <f>IF(AND(Projects!$G$17="Yes",BG$3&gt;=Projects!$C$17,BG$3&lt;Projects!$C$17+Projects!$D$17),Projects!$B$17*INDEX(Curves!$B$4:$AR$4,1,BG$3-Projects!$C$17+1),0)-IF(AND(Projects!$G$17="Yes",BG$3&gt;=Projects!$C$17,BG$3&lt;Projects!$C$17+Projects!$D$17),Projects!$B$17*(Assumptions!$B$10+Assumptions!$B$11+Assumptions!$B$12)/Projects!$D$17*0.95,0)-IF(AND(Projects!$G$17="Yes",BG$3=Projects!$C$17+Projects!$D$17-1),Projects!$B$17*(Assumptions!$B$10+Assumptions!$B$11+Assumptions!$B$12)*0.05,0)</f>
        <v/>
      </c>
      <c r="BH26" s="399">
        <f>IF(AND(Projects!$G$17="Yes",BH$3&gt;=Projects!$C$17,BH$3&lt;Projects!$C$17+Projects!$D$17),Projects!$B$17*INDEX(Curves!$B$4:$AR$4,1,BH$3-Projects!$C$17+1),0)-IF(AND(Projects!$G$17="Yes",BH$3&gt;=Projects!$C$17,BH$3&lt;Projects!$C$17+Projects!$D$17),Projects!$B$17*(Assumptions!$B$10+Assumptions!$B$11+Assumptions!$B$12)/Projects!$D$17*0.95,0)-IF(AND(Projects!$G$17="Yes",BH$3=Projects!$C$17+Projects!$D$17-1),Projects!$B$17*(Assumptions!$B$10+Assumptions!$B$11+Assumptions!$B$12)*0.05,0)</f>
        <v/>
      </c>
      <c r="BI26" s="399">
        <f>IF(AND(Projects!$G$17="Yes",BI$3&gt;=Projects!$C$17,BI$3&lt;Projects!$C$17+Projects!$D$17),Projects!$B$17*INDEX(Curves!$B$4:$AR$4,1,BI$3-Projects!$C$17+1),0)-IF(AND(Projects!$G$17="Yes",BI$3&gt;=Projects!$C$17,BI$3&lt;Projects!$C$17+Projects!$D$17),Projects!$B$17*(Assumptions!$B$10+Assumptions!$B$11+Assumptions!$B$12)/Projects!$D$17*0.95,0)-IF(AND(Projects!$G$17="Yes",BI$3=Projects!$C$17+Projects!$D$17-1),Projects!$B$17*(Assumptions!$B$10+Assumptions!$B$11+Assumptions!$B$12)*0.05,0)</f>
        <v/>
      </c>
      <c r="BJ26" s="399">
        <f>IF(AND(Projects!$G$17="Yes",BJ$3&gt;=Projects!$C$17,BJ$3&lt;Projects!$C$17+Projects!$D$17),Projects!$B$17*INDEX(Curves!$B$4:$AR$4,1,BJ$3-Projects!$C$17+1),0)-IF(AND(Projects!$G$17="Yes",BJ$3&gt;=Projects!$C$17,BJ$3&lt;Projects!$C$17+Projects!$D$17),Projects!$B$17*(Assumptions!$B$10+Assumptions!$B$11+Assumptions!$B$12)/Projects!$D$17*0.95,0)-IF(AND(Projects!$G$17="Yes",BJ$3=Projects!$C$17+Projects!$D$17-1),Projects!$B$17*(Assumptions!$B$10+Assumptions!$B$11+Assumptions!$B$12)*0.05,0)</f>
        <v/>
      </c>
      <c r="BK26" s="399">
        <f>IF(AND(Projects!$G$17="Yes",BK$3&gt;=Projects!$C$17,BK$3&lt;Projects!$C$17+Projects!$D$17),Projects!$B$17*INDEX(Curves!$B$4:$AR$4,1,BK$3-Projects!$C$17+1),0)-IF(AND(Projects!$G$17="Yes",BK$3&gt;=Projects!$C$17,BK$3&lt;Projects!$C$17+Projects!$D$17),Projects!$B$17*(Assumptions!$B$10+Assumptions!$B$11+Assumptions!$B$12)/Projects!$D$17*0.95,0)-IF(AND(Projects!$G$17="Yes",BK$3=Projects!$C$17+Projects!$D$17-1),Projects!$B$17*(Assumptions!$B$10+Assumptions!$B$11+Assumptions!$B$12)*0.05,0)</f>
        <v/>
      </c>
      <c r="BL26" s="399">
        <f>IF(AND(Projects!$G$17="Yes",BL$3&gt;=Projects!$C$17,BL$3&lt;Projects!$C$17+Projects!$D$17),Projects!$B$17*INDEX(Curves!$B$4:$AR$4,1,BL$3-Projects!$C$17+1),0)-IF(AND(Projects!$G$17="Yes",BL$3&gt;=Projects!$C$17,BL$3&lt;Projects!$C$17+Projects!$D$17),Projects!$B$17*(Assumptions!$B$10+Assumptions!$B$11+Assumptions!$B$12)/Projects!$D$17*0.95,0)-IF(AND(Projects!$G$17="Yes",BL$3=Projects!$C$17+Projects!$D$17-1),Projects!$B$17*(Assumptions!$B$10+Assumptions!$B$11+Assumptions!$B$12)*0.05,0)</f>
        <v/>
      </c>
      <c r="BM26" s="399">
        <f>IF(AND(Projects!$G$17="Yes",BM$3&gt;=Projects!$C$17,BM$3&lt;Projects!$C$17+Projects!$D$17),Projects!$B$17*INDEX(Curves!$B$4:$AR$4,1,BM$3-Projects!$C$17+1),0)-IF(AND(Projects!$G$17="Yes",BM$3&gt;=Projects!$C$17,BM$3&lt;Projects!$C$17+Projects!$D$17),Projects!$B$17*(Assumptions!$B$10+Assumptions!$B$11+Assumptions!$B$12)/Projects!$D$17*0.95,0)-IF(AND(Projects!$G$17="Yes",BM$3=Projects!$C$17+Projects!$D$17-1),Projects!$B$17*(Assumptions!$B$10+Assumptions!$B$11+Assumptions!$B$12)*0.05,0)</f>
        <v/>
      </c>
      <c r="BN26" s="399">
        <f>IF(AND(Projects!$G$17="Yes",BN$3&gt;=Projects!$C$17,BN$3&lt;Projects!$C$17+Projects!$D$17),Projects!$B$17*INDEX(Curves!$B$4:$AR$4,1,BN$3-Projects!$C$17+1),0)-IF(AND(Projects!$G$17="Yes",BN$3&gt;=Projects!$C$17,BN$3&lt;Projects!$C$17+Projects!$D$17),Projects!$B$17*(Assumptions!$B$10+Assumptions!$B$11+Assumptions!$B$12)/Projects!$D$17*0.95,0)-IF(AND(Projects!$G$17="Yes",BN$3=Projects!$C$17+Projects!$D$17-1),Projects!$B$17*(Assumptions!$B$10+Assumptions!$B$11+Assumptions!$B$12)*0.05,0)</f>
        <v/>
      </c>
      <c r="BO26" s="399">
        <f>IF(AND(Projects!$G$17="Yes",BO$3&gt;=Projects!$C$17,BO$3&lt;Projects!$C$17+Projects!$D$17),Projects!$B$17*INDEX(Curves!$B$4:$AR$4,1,BO$3-Projects!$C$17+1),0)-IF(AND(Projects!$G$17="Yes",BO$3&gt;=Projects!$C$17,BO$3&lt;Projects!$C$17+Projects!$D$17),Projects!$B$17*(Assumptions!$B$10+Assumptions!$B$11+Assumptions!$B$12)/Projects!$D$17*0.95,0)-IF(AND(Projects!$G$17="Yes",BO$3=Projects!$C$17+Projects!$D$17-1),Projects!$B$17*(Assumptions!$B$10+Assumptions!$B$11+Assumptions!$B$12)*0.05,0)</f>
        <v/>
      </c>
      <c r="BP26" s="399">
        <f>IF(AND(Projects!$G$17="Yes",BP$3&gt;=Projects!$C$17,BP$3&lt;Projects!$C$17+Projects!$D$17),Projects!$B$17*INDEX(Curves!$B$4:$AR$4,1,BP$3-Projects!$C$17+1),0)-IF(AND(Projects!$G$17="Yes",BP$3&gt;=Projects!$C$17,BP$3&lt;Projects!$C$17+Projects!$D$17),Projects!$B$17*(Assumptions!$B$10+Assumptions!$B$11+Assumptions!$B$12)/Projects!$D$17*0.95,0)-IF(AND(Projects!$G$17="Yes",BP$3=Projects!$C$17+Projects!$D$17-1),Projects!$B$17*(Assumptions!$B$10+Assumptions!$B$11+Assumptions!$B$12)*0.05,0)</f>
        <v/>
      </c>
      <c r="BQ26" s="399">
        <f>IF(AND(Projects!$G$17="Yes",BQ$3&gt;=Projects!$C$17,BQ$3&lt;Projects!$C$17+Projects!$D$17),Projects!$B$17*INDEX(Curves!$B$4:$AR$4,1,BQ$3-Projects!$C$17+1),0)-IF(AND(Projects!$G$17="Yes",BQ$3&gt;=Projects!$C$17,BQ$3&lt;Projects!$C$17+Projects!$D$17),Projects!$B$17*(Assumptions!$B$10+Assumptions!$B$11+Assumptions!$B$12)/Projects!$D$17*0.95,0)-IF(AND(Projects!$G$17="Yes",BQ$3=Projects!$C$17+Projects!$D$17-1),Projects!$B$17*(Assumptions!$B$10+Assumptions!$B$11+Assumptions!$B$12)*0.05,0)</f>
        <v/>
      </c>
      <c r="BR26" s="399">
        <f>IF(AND(Projects!$G$17="Yes",BR$3&gt;=Projects!$C$17,BR$3&lt;Projects!$C$17+Projects!$D$17),Projects!$B$17*INDEX(Curves!$B$4:$AR$4,1,BR$3-Projects!$C$17+1),0)-IF(AND(Projects!$G$17="Yes",BR$3&gt;=Projects!$C$17,BR$3&lt;Projects!$C$17+Projects!$D$17),Projects!$B$17*(Assumptions!$B$10+Assumptions!$B$11+Assumptions!$B$12)/Projects!$D$17*0.95,0)-IF(AND(Projects!$G$17="Yes",BR$3=Projects!$C$17+Projects!$D$17-1),Projects!$B$17*(Assumptions!$B$10+Assumptions!$B$11+Assumptions!$B$12)*0.05,0)</f>
        <v/>
      </c>
      <c r="BS26" s="399">
        <f>IF(AND(Projects!$G$17="Yes",BS$3&gt;=Projects!$C$17,BS$3&lt;Projects!$C$17+Projects!$D$17),Projects!$B$17*INDEX(Curves!$B$4:$AR$4,1,BS$3-Projects!$C$17+1),0)-IF(AND(Projects!$G$17="Yes",BS$3&gt;=Projects!$C$17,BS$3&lt;Projects!$C$17+Projects!$D$17),Projects!$B$17*(Assumptions!$B$10+Assumptions!$B$11+Assumptions!$B$12)/Projects!$D$17*0.95,0)-IF(AND(Projects!$G$17="Yes",BS$3=Projects!$C$17+Projects!$D$17-1),Projects!$B$17*(Assumptions!$B$10+Assumptions!$B$11+Assumptions!$B$12)*0.05,0)</f>
        <v/>
      </c>
      <c r="BT26" s="399">
        <f>IF(AND(Projects!$G$17="Yes",BT$3&gt;=Projects!$C$17,BT$3&lt;Projects!$C$17+Projects!$D$17),Projects!$B$17*INDEX(Curves!$B$4:$AR$4,1,BT$3-Projects!$C$17+1),0)-IF(AND(Projects!$G$17="Yes",BT$3&gt;=Projects!$C$17,BT$3&lt;Projects!$C$17+Projects!$D$17),Projects!$B$17*(Assumptions!$B$10+Assumptions!$B$11+Assumptions!$B$12)/Projects!$D$17*0.95,0)-IF(AND(Projects!$G$17="Yes",BT$3=Projects!$C$17+Projects!$D$17-1),Projects!$B$17*(Assumptions!$B$10+Assumptions!$B$11+Assumptions!$B$12)*0.05,0)</f>
        <v/>
      </c>
      <c r="BU26" s="399">
        <f>IF(AND(Projects!$G$17="Yes",BU$3&gt;=Projects!$C$17,BU$3&lt;Projects!$C$17+Projects!$D$17),Projects!$B$17*INDEX(Curves!$B$4:$AR$4,1,BU$3-Projects!$C$17+1),0)-IF(AND(Projects!$G$17="Yes",BU$3&gt;=Projects!$C$17,BU$3&lt;Projects!$C$17+Projects!$D$17),Projects!$B$17*(Assumptions!$B$10+Assumptions!$B$11+Assumptions!$B$12)/Projects!$D$17*0.95,0)-IF(AND(Projects!$G$17="Yes",BU$3=Projects!$C$17+Projects!$D$17-1),Projects!$B$17*(Assumptions!$B$10+Assumptions!$B$11+Assumptions!$B$12)*0.05,0)</f>
        <v/>
      </c>
      <c r="BV26" s="399">
        <f>IF(AND(Projects!$G$17="Yes",BV$3&gt;=Projects!$C$17,BV$3&lt;Projects!$C$17+Projects!$D$17),Projects!$B$17*INDEX(Curves!$B$4:$AR$4,1,BV$3-Projects!$C$17+1),0)-IF(AND(Projects!$G$17="Yes",BV$3&gt;=Projects!$C$17,BV$3&lt;Projects!$C$17+Projects!$D$17),Projects!$B$17*(Assumptions!$B$10+Assumptions!$B$11+Assumptions!$B$12)/Projects!$D$17*0.95,0)-IF(AND(Projects!$G$17="Yes",BV$3=Projects!$C$17+Projects!$D$17-1),Projects!$B$17*(Assumptions!$B$10+Assumptions!$B$11+Assumptions!$B$12)*0.05,0)</f>
        <v/>
      </c>
      <c r="BW26" s="399">
        <f>IF(AND(Projects!$G$17="Yes",BW$3&gt;=Projects!$C$17,BW$3&lt;Projects!$C$17+Projects!$D$17),Projects!$B$17*INDEX(Curves!$B$4:$AR$4,1,BW$3-Projects!$C$17+1),0)-IF(AND(Projects!$G$17="Yes",BW$3&gt;=Projects!$C$17,BW$3&lt;Projects!$C$17+Projects!$D$17),Projects!$B$17*(Assumptions!$B$10+Assumptions!$B$11+Assumptions!$B$12)/Projects!$D$17*0.95,0)-IF(AND(Projects!$G$17="Yes",BW$3=Projects!$C$17+Projects!$D$17-1),Projects!$B$17*(Assumptions!$B$10+Assumptions!$B$11+Assumptions!$B$12)*0.05,0)</f>
        <v/>
      </c>
      <c r="BX26" s="399">
        <f>IF(AND(Projects!$G$17="Yes",BX$3&gt;=Projects!$C$17,BX$3&lt;Projects!$C$17+Projects!$D$17),Projects!$B$17*INDEX(Curves!$B$4:$AR$4,1,BX$3-Projects!$C$17+1),0)-IF(AND(Projects!$G$17="Yes",BX$3&gt;=Projects!$C$17,BX$3&lt;Projects!$C$17+Projects!$D$17),Projects!$B$17*(Assumptions!$B$10+Assumptions!$B$11+Assumptions!$B$12)/Projects!$D$17*0.95,0)-IF(AND(Projects!$G$17="Yes",BX$3=Projects!$C$17+Projects!$D$17-1),Projects!$B$17*(Assumptions!$B$10+Assumptions!$B$11+Assumptions!$B$12)*0.05,0)</f>
        <v/>
      </c>
      <c r="BY26" s="399">
        <f>IF(AND(Projects!$G$17="Yes",BY$3&gt;=Projects!$C$17,BY$3&lt;Projects!$C$17+Projects!$D$17),Projects!$B$17*INDEX(Curves!$B$4:$AR$4,1,BY$3-Projects!$C$17+1),0)-IF(AND(Projects!$G$17="Yes",BY$3&gt;=Projects!$C$17,BY$3&lt;Projects!$C$17+Projects!$D$17),Projects!$B$17*(Assumptions!$B$10+Assumptions!$B$11+Assumptions!$B$12)/Projects!$D$17*0.95,0)-IF(AND(Projects!$G$17="Yes",BY$3=Projects!$C$17+Projects!$D$17-1),Projects!$B$17*(Assumptions!$B$10+Assumptions!$B$11+Assumptions!$B$12)*0.05,0)</f>
        <v/>
      </c>
      <c r="BZ26" s="399">
        <f>IF(AND(Projects!$G$17="Yes",BZ$3&gt;=Projects!$C$17,BZ$3&lt;Projects!$C$17+Projects!$D$17),Projects!$B$17*INDEX(Curves!$B$4:$AR$4,1,BZ$3-Projects!$C$17+1),0)-IF(AND(Projects!$G$17="Yes",BZ$3&gt;=Projects!$C$17,BZ$3&lt;Projects!$C$17+Projects!$D$17),Projects!$B$17*(Assumptions!$B$10+Assumptions!$B$11+Assumptions!$B$12)/Projects!$D$17*0.95,0)-IF(AND(Projects!$G$17="Yes",BZ$3=Projects!$C$17+Projects!$D$17-1),Projects!$B$17*(Assumptions!$B$10+Assumptions!$B$11+Assumptions!$B$12)*0.05,0)</f>
        <v/>
      </c>
      <c r="CA26" s="399">
        <f>IF(AND(Projects!$G$17="Yes",CA$3&gt;=Projects!$C$17,CA$3&lt;Projects!$C$17+Projects!$D$17),Projects!$B$17*INDEX(Curves!$B$4:$AR$4,1,CA$3-Projects!$C$17+1),0)-IF(AND(Projects!$G$17="Yes",CA$3&gt;=Projects!$C$17,CA$3&lt;Projects!$C$17+Projects!$D$17),Projects!$B$17*(Assumptions!$B$10+Assumptions!$B$11+Assumptions!$B$12)/Projects!$D$17*0.95,0)-IF(AND(Projects!$G$17="Yes",CA$3=Projects!$C$17+Projects!$D$17-1),Projects!$B$17*(Assumptions!$B$10+Assumptions!$B$11+Assumptions!$B$12)*0.05,0)</f>
        <v/>
      </c>
      <c r="CB26" s="399">
        <f>IF(AND(Projects!$G$17="Yes",CB$3&gt;=Projects!$C$17,CB$3&lt;Projects!$C$17+Projects!$D$17),Projects!$B$17*INDEX(Curves!$B$4:$AR$4,1,CB$3-Projects!$C$17+1),0)-IF(AND(Projects!$G$17="Yes",CB$3&gt;=Projects!$C$17,CB$3&lt;Projects!$C$17+Projects!$D$17),Projects!$B$17*(Assumptions!$B$10+Assumptions!$B$11+Assumptions!$B$12)/Projects!$D$17*0.95,0)-IF(AND(Projects!$G$17="Yes",CB$3=Projects!$C$17+Projects!$D$17-1),Projects!$B$17*(Assumptions!$B$10+Assumptions!$B$11+Assumptions!$B$12)*0.05,0)</f>
        <v/>
      </c>
      <c r="CC26" s="399">
        <f>IF(AND(Projects!$G$17="Yes",CC$3&gt;=Projects!$C$17,CC$3&lt;Projects!$C$17+Projects!$D$17),Projects!$B$17*INDEX(Curves!$B$4:$AR$4,1,CC$3-Projects!$C$17+1),0)-IF(AND(Projects!$G$17="Yes",CC$3&gt;=Projects!$C$17,CC$3&lt;Projects!$C$17+Projects!$D$17),Projects!$B$17*(Assumptions!$B$10+Assumptions!$B$11+Assumptions!$B$12)/Projects!$D$17*0.95,0)-IF(AND(Projects!$G$17="Yes",CC$3=Projects!$C$17+Projects!$D$17-1),Projects!$B$17*(Assumptions!$B$10+Assumptions!$B$11+Assumptions!$B$12)*0.05,0)</f>
        <v/>
      </c>
      <c r="CD26" s="399">
        <f>IF(AND(Projects!$G$17="Yes",CD$3&gt;=Projects!$C$17,CD$3&lt;Projects!$C$17+Projects!$D$17),Projects!$B$17*INDEX(Curves!$B$4:$AR$4,1,CD$3-Projects!$C$17+1),0)-IF(AND(Projects!$G$17="Yes",CD$3&gt;=Projects!$C$17,CD$3&lt;Projects!$C$17+Projects!$D$17),Projects!$B$17*(Assumptions!$B$10+Assumptions!$B$11+Assumptions!$B$12)/Projects!$D$17*0.95,0)-IF(AND(Projects!$G$17="Yes",CD$3=Projects!$C$17+Projects!$D$17-1),Projects!$B$17*(Assumptions!$B$10+Assumptions!$B$11+Assumptions!$B$12)*0.05,0)</f>
        <v/>
      </c>
      <c r="CE26" s="399">
        <f>IF(AND(Projects!$G$17="Yes",CE$3&gt;=Projects!$C$17,CE$3&lt;Projects!$C$17+Projects!$D$17),Projects!$B$17*INDEX(Curves!$B$4:$AR$4,1,CE$3-Projects!$C$17+1),0)-IF(AND(Projects!$G$17="Yes",CE$3&gt;=Projects!$C$17,CE$3&lt;Projects!$C$17+Projects!$D$17),Projects!$B$17*(Assumptions!$B$10+Assumptions!$B$11+Assumptions!$B$12)/Projects!$D$17*0.95,0)-IF(AND(Projects!$G$17="Yes",CE$3=Projects!$C$17+Projects!$D$17-1),Projects!$B$17*(Assumptions!$B$10+Assumptions!$B$11+Assumptions!$B$12)*0.05,0)</f>
        <v/>
      </c>
      <c r="CF26" s="399">
        <f>IF(AND(Projects!$G$17="Yes",CF$3&gt;=Projects!$C$17,CF$3&lt;Projects!$C$17+Projects!$D$17),Projects!$B$17*INDEX(Curves!$B$4:$AR$4,1,CF$3-Projects!$C$17+1),0)-IF(AND(Projects!$G$17="Yes",CF$3&gt;=Projects!$C$17,CF$3&lt;Projects!$C$17+Projects!$D$17),Projects!$B$17*(Assumptions!$B$10+Assumptions!$B$11+Assumptions!$B$12)/Projects!$D$17*0.95,0)-IF(AND(Projects!$G$17="Yes",CF$3=Projects!$C$17+Projects!$D$17-1),Projects!$B$17*(Assumptions!$B$10+Assumptions!$B$11+Assumptions!$B$12)*0.05,0)</f>
        <v/>
      </c>
      <c r="CG26" s="399">
        <f>IF(AND(Projects!$G$17="Yes",CG$3&gt;=Projects!$C$17,CG$3&lt;Projects!$C$17+Projects!$D$17),Projects!$B$17*INDEX(Curves!$B$4:$AR$4,1,CG$3-Projects!$C$17+1),0)-IF(AND(Projects!$G$17="Yes",CG$3&gt;=Projects!$C$17,CG$3&lt;Projects!$C$17+Projects!$D$17),Projects!$B$17*(Assumptions!$B$10+Assumptions!$B$11+Assumptions!$B$12)/Projects!$D$17*0.95,0)-IF(AND(Projects!$G$17="Yes",CG$3=Projects!$C$17+Projects!$D$17-1),Projects!$B$17*(Assumptions!$B$10+Assumptions!$B$11+Assumptions!$B$12)*0.05,0)</f>
        <v/>
      </c>
      <c r="CH26" s="399">
        <f>IF(AND(Projects!$G$17="Yes",CH$3&gt;=Projects!$C$17,CH$3&lt;Projects!$C$17+Projects!$D$17),Projects!$B$17*INDEX(Curves!$B$4:$AR$4,1,CH$3-Projects!$C$17+1),0)-IF(AND(Projects!$G$17="Yes",CH$3&gt;=Projects!$C$17,CH$3&lt;Projects!$C$17+Projects!$D$17),Projects!$B$17*(Assumptions!$B$10+Assumptions!$B$11+Assumptions!$B$12)/Projects!$D$17*0.95,0)-IF(AND(Projects!$G$17="Yes",CH$3=Projects!$C$17+Projects!$D$17-1),Projects!$B$17*(Assumptions!$B$10+Assumptions!$B$11+Assumptions!$B$12)*0.05,0)</f>
        <v/>
      </c>
      <c r="CI26" s="399">
        <f>IF(AND(Projects!$G$17="Yes",CI$3&gt;=Projects!$C$17,CI$3&lt;Projects!$C$17+Projects!$D$17),Projects!$B$17*INDEX(Curves!$B$4:$AR$4,1,CI$3-Projects!$C$17+1),0)-IF(AND(Projects!$G$17="Yes",CI$3&gt;=Projects!$C$17,CI$3&lt;Projects!$C$17+Projects!$D$17),Projects!$B$17*(Assumptions!$B$10+Assumptions!$B$11+Assumptions!$B$12)/Projects!$D$17*0.95,0)-IF(AND(Projects!$G$17="Yes",CI$3=Projects!$C$17+Projects!$D$17-1),Projects!$B$17*(Assumptions!$B$10+Assumptions!$B$11+Assumptions!$B$12)*0.05,0)</f>
        <v/>
      </c>
      <c r="CJ26" s="399">
        <f>IF(AND(Projects!$G$17="Yes",CJ$3&gt;=Projects!$C$17,CJ$3&lt;Projects!$C$17+Projects!$D$17),Projects!$B$17*INDEX(Curves!$B$4:$AR$4,1,CJ$3-Projects!$C$17+1),0)-IF(AND(Projects!$G$17="Yes",CJ$3&gt;=Projects!$C$17,CJ$3&lt;Projects!$C$17+Projects!$D$17),Projects!$B$17*(Assumptions!$B$10+Assumptions!$B$11+Assumptions!$B$12)/Projects!$D$17*0.95,0)-IF(AND(Projects!$G$17="Yes",CJ$3=Projects!$C$17+Projects!$D$17-1),Projects!$B$17*(Assumptions!$B$10+Assumptions!$B$11+Assumptions!$B$12)*0.05,0)</f>
        <v/>
      </c>
      <c r="CK26" s="399">
        <f>IF(AND(Projects!$G$17="Yes",CK$3&gt;=Projects!$C$17,CK$3&lt;Projects!$C$17+Projects!$D$17),Projects!$B$17*INDEX(Curves!$B$4:$AR$4,1,CK$3-Projects!$C$17+1),0)-IF(AND(Projects!$G$17="Yes",CK$3&gt;=Projects!$C$17,CK$3&lt;Projects!$C$17+Projects!$D$17),Projects!$B$17*(Assumptions!$B$10+Assumptions!$B$11+Assumptions!$B$12)/Projects!$D$17*0.95,0)-IF(AND(Projects!$G$17="Yes",CK$3=Projects!$C$17+Projects!$D$17-1),Projects!$B$17*(Assumptions!$B$10+Assumptions!$B$11+Assumptions!$B$12)*0.05,0)</f>
        <v/>
      </c>
      <c r="CL26" s="399">
        <f>IF(AND(Projects!$G$17="Yes",CL$3&gt;=Projects!$C$17,CL$3&lt;Projects!$C$17+Projects!$D$17),Projects!$B$17*INDEX(Curves!$B$4:$AR$4,1,CL$3-Projects!$C$17+1),0)-IF(AND(Projects!$G$17="Yes",CL$3&gt;=Projects!$C$17,CL$3&lt;Projects!$C$17+Projects!$D$17),Projects!$B$17*(Assumptions!$B$10+Assumptions!$B$11+Assumptions!$B$12)/Projects!$D$17*0.95,0)-IF(AND(Projects!$G$17="Yes",CL$3=Projects!$C$17+Projects!$D$17-1),Projects!$B$17*(Assumptions!$B$10+Assumptions!$B$11+Assumptions!$B$12)*0.05,0)</f>
        <v/>
      </c>
      <c r="CM26" s="399">
        <f>IF(AND(Projects!$G$17="Yes",CM$3&gt;=Projects!$C$17,CM$3&lt;Projects!$C$17+Projects!$D$17),Projects!$B$17*INDEX(Curves!$B$4:$AR$4,1,CM$3-Projects!$C$17+1),0)-IF(AND(Projects!$G$17="Yes",CM$3&gt;=Projects!$C$17,CM$3&lt;Projects!$C$17+Projects!$D$17),Projects!$B$17*(Assumptions!$B$10+Assumptions!$B$11+Assumptions!$B$12)/Projects!$D$17*0.95,0)-IF(AND(Projects!$G$17="Yes",CM$3=Projects!$C$17+Projects!$D$17-1),Projects!$B$17*(Assumptions!$B$10+Assumptions!$B$11+Assumptions!$B$12)*0.05,0)</f>
        <v/>
      </c>
      <c r="CN26" s="399">
        <f>IF(AND(Projects!$G$17="Yes",CN$3&gt;=Projects!$C$17,CN$3&lt;Projects!$C$17+Projects!$D$17),Projects!$B$17*INDEX(Curves!$B$4:$AR$4,1,CN$3-Projects!$C$17+1),0)-IF(AND(Projects!$G$17="Yes",CN$3&gt;=Projects!$C$17,CN$3&lt;Projects!$C$17+Projects!$D$17),Projects!$B$17*(Assumptions!$B$10+Assumptions!$B$11+Assumptions!$B$12)/Projects!$D$17*0.95,0)-IF(AND(Projects!$G$17="Yes",CN$3=Projects!$C$17+Projects!$D$17-1),Projects!$B$17*(Assumptions!$B$10+Assumptions!$B$11+Assumptions!$B$12)*0.05,0)</f>
        <v/>
      </c>
      <c r="CO26" s="399">
        <f>IF(AND(Projects!$G$17="Yes",CO$3&gt;=Projects!$C$17,CO$3&lt;Projects!$C$17+Projects!$D$17),Projects!$B$17*INDEX(Curves!$B$4:$AR$4,1,CO$3-Projects!$C$17+1),0)-IF(AND(Projects!$G$17="Yes",CO$3&gt;=Projects!$C$17,CO$3&lt;Projects!$C$17+Projects!$D$17),Projects!$B$17*(Assumptions!$B$10+Assumptions!$B$11+Assumptions!$B$12)/Projects!$D$17*0.95,0)-IF(AND(Projects!$G$17="Yes",CO$3=Projects!$C$17+Projects!$D$17-1),Projects!$B$17*(Assumptions!$B$10+Assumptions!$B$11+Assumptions!$B$12)*0.05,0)</f>
        <v/>
      </c>
      <c r="CP26" s="399">
        <f>IF(AND(Projects!$G$17="Yes",CP$3&gt;=Projects!$C$17,CP$3&lt;Projects!$C$17+Projects!$D$17),Projects!$B$17*INDEX(Curves!$B$4:$AR$4,1,CP$3-Projects!$C$17+1),0)-IF(AND(Projects!$G$17="Yes",CP$3&gt;=Projects!$C$17,CP$3&lt;Projects!$C$17+Projects!$D$17),Projects!$B$17*(Assumptions!$B$10+Assumptions!$B$11+Assumptions!$B$12)/Projects!$D$17*0.95,0)-IF(AND(Projects!$G$17="Yes",CP$3=Projects!$C$17+Projects!$D$17-1),Projects!$B$17*(Assumptions!$B$10+Assumptions!$B$11+Assumptions!$B$12)*0.05,0)</f>
        <v/>
      </c>
      <c r="CQ26" s="399">
        <f>IF(AND(Projects!$G$17="Yes",CQ$3&gt;=Projects!$C$17,CQ$3&lt;Projects!$C$17+Projects!$D$17),Projects!$B$17*INDEX(Curves!$B$4:$AR$4,1,CQ$3-Projects!$C$17+1),0)-IF(AND(Projects!$G$17="Yes",CQ$3&gt;=Projects!$C$17,CQ$3&lt;Projects!$C$17+Projects!$D$17),Projects!$B$17*(Assumptions!$B$10+Assumptions!$B$11+Assumptions!$B$12)/Projects!$D$17*0.95,0)-IF(AND(Projects!$G$17="Yes",CQ$3=Projects!$C$17+Projects!$D$17-1),Projects!$B$17*(Assumptions!$B$10+Assumptions!$B$11+Assumptions!$B$12)*0.05,0)</f>
        <v/>
      </c>
      <c r="CR26" s="399">
        <f>IF(AND(Projects!$G$17="Yes",CR$3&gt;=Projects!$C$17,CR$3&lt;Projects!$C$17+Projects!$D$17),Projects!$B$17*INDEX(Curves!$B$4:$AR$4,1,CR$3-Projects!$C$17+1),0)-IF(AND(Projects!$G$17="Yes",CR$3&gt;=Projects!$C$17,CR$3&lt;Projects!$C$17+Projects!$D$17),Projects!$B$17*(Assumptions!$B$10+Assumptions!$B$11+Assumptions!$B$12)/Projects!$D$17*0.95,0)-IF(AND(Projects!$G$17="Yes",CR$3=Projects!$C$17+Projects!$D$17-1),Projects!$B$17*(Assumptions!$B$10+Assumptions!$B$11+Assumptions!$B$12)*0.05,0)</f>
        <v/>
      </c>
      <c r="CS26" s="399">
        <f>IF(AND(Projects!$G$17="Yes",CS$3&gt;=Projects!$C$17,CS$3&lt;Projects!$C$17+Projects!$D$17),Projects!$B$17*INDEX(Curves!$B$4:$AR$4,1,CS$3-Projects!$C$17+1),0)-IF(AND(Projects!$G$17="Yes",CS$3&gt;=Projects!$C$17,CS$3&lt;Projects!$C$17+Projects!$D$17),Projects!$B$17*(Assumptions!$B$10+Assumptions!$B$11+Assumptions!$B$12)/Projects!$D$17*0.95,0)-IF(AND(Projects!$G$17="Yes",CS$3=Projects!$C$17+Projects!$D$17-1),Projects!$B$17*(Assumptions!$B$10+Assumptions!$B$11+Assumptions!$B$12)*0.05,0)</f>
        <v/>
      </c>
      <c r="CT26" s="399">
        <f>IF(AND(Projects!$G$17="Yes",CT$3&gt;=Projects!$C$17,CT$3&lt;Projects!$C$17+Projects!$D$17),Projects!$B$17*INDEX(Curves!$B$4:$AR$4,1,CT$3-Projects!$C$17+1),0)-IF(AND(Projects!$G$17="Yes",CT$3&gt;=Projects!$C$17,CT$3&lt;Projects!$C$17+Projects!$D$17),Projects!$B$17*(Assumptions!$B$10+Assumptions!$B$11+Assumptions!$B$12)/Projects!$D$17*0.95,0)-IF(AND(Projects!$G$17="Yes",CT$3=Projects!$C$17+Projects!$D$17-1),Projects!$B$17*(Assumptions!$B$10+Assumptions!$B$11+Assumptions!$B$12)*0.05,0)</f>
        <v/>
      </c>
      <c r="CU26" s="399">
        <f>IF(AND(Projects!$G$17="Yes",CU$3&gt;=Projects!$C$17,CU$3&lt;Projects!$C$17+Projects!$D$17),Projects!$B$17*INDEX(Curves!$B$4:$AR$4,1,CU$3-Projects!$C$17+1),0)-IF(AND(Projects!$G$17="Yes",CU$3&gt;=Projects!$C$17,CU$3&lt;Projects!$C$17+Projects!$D$17),Projects!$B$17*(Assumptions!$B$10+Assumptions!$B$11+Assumptions!$B$12)/Projects!$D$17*0.95,0)-IF(AND(Projects!$G$17="Yes",CU$3=Projects!$C$17+Projects!$D$17-1),Projects!$B$17*(Assumptions!$B$10+Assumptions!$B$11+Assumptions!$B$12)*0.05,0)</f>
        <v/>
      </c>
      <c r="CV26" s="399">
        <f>IF(AND(Projects!$G$17="Yes",CV$3&gt;=Projects!$C$17,CV$3&lt;Projects!$C$17+Projects!$D$17),Projects!$B$17*INDEX(Curves!$B$4:$AR$4,1,CV$3-Projects!$C$17+1),0)-IF(AND(Projects!$G$17="Yes",CV$3&gt;=Projects!$C$17,CV$3&lt;Projects!$C$17+Projects!$D$17),Projects!$B$17*(Assumptions!$B$10+Assumptions!$B$11+Assumptions!$B$12)/Projects!$D$17*0.95,0)-IF(AND(Projects!$G$17="Yes",CV$3=Projects!$C$17+Projects!$D$17-1),Projects!$B$17*(Assumptions!$B$10+Assumptions!$B$11+Assumptions!$B$12)*0.05,0)</f>
        <v/>
      </c>
      <c r="CW26" s="399">
        <f>IF(AND(Projects!$G$17="Yes",CW$3&gt;=Projects!$C$17,CW$3&lt;Projects!$C$17+Projects!$D$17),Projects!$B$17*INDEX(Curves!$B$4:$AR$4,1,CW$3-Projects!$C$17+1),0)-IF(AND(Projects!$G$17="Yes",CW$3&gt;=Projects!$C$17,CW$3&lt;Projects!$C$17+Projects!$D$17),Projects!$B$17*(Assumptions!$B$10+Assumptions!$B$11+Assumptions!$B$12)/Projects!$D$17*0.95,0)-IF(AND(Projects!$G$17="Yes",CW$3=Projects!$C$17+Projects!$D$17-1),Projects!$B$17*(Assumptions!$B$10+Assumptions!$B$11+Assumptions!$B$12)*0.05,0)</f>
        <v/>
      </c>
      <c r="CX26" s="399">
        <f>IF(AND(Projects!$G$17="Yes",CX$3&gt;=Projects!$C$17,CX$3&lt;Projects!$C$17+Projects!$D$17),Projects!$B$17*INDEX(Curves!$B$4:$AR$4,1,CX$3-Projects!$C$17+1),0)-IF(AND(Projects!$G$17="Yes",CX$3&gt;=Projects!$C$17,CX$3&lt;Projects!$C$17+Projects!$D$17),Projects!$B$17*(Assumptions!$B$10+Assumptions!$B$11+Assumptions!$B$12)/Projects!$D$17*0.95,0)-IF(AND(Projects!$G$17="Yes",CX$3=Projects!$C$17+Projects!$D$17-1),Projects!$B$17*(Assumptions!$B$10+Assumptions!$B$11+Assumptions!$B$12)*0.05,0)</f>
        <v/>
      </c>
      <c r="CY26" s="399">
        <f>IF(AND(Projects!$G$17="Yes",CY$3&gt;=Projects!$C$17,CY$3&lt;Projects!$C$17+Projects!$D$17),Projects!$B$17*INDEX(Curves!$B$4:$AR$4,1,CY$3-Projects!$C$17+1),0)-IF(AND(Projects!$G$17="Yes",CY$3&gt;=Projects!$C$17,CY$3&lt;Projects!$C$17+Projects!$D$17),Projects!$B$17*(Assumptions!$B$10+Assumptions!$B$11+Assumptions!$B$12)/Projects!$D$17*0.95,0)-IF(AND(Projects!$G$17="Yes",CY$3=Projects!$C$17+Projects!$D$17-1),Projects!$B$17*(Assumptions!$B$10+Assumptions!$B$11+Assumptions!$B$12)*0.05,0)</f>
        <v/>
      </c>
      <c r="CZ26" s="399">
        <f>IF(AND(Projects!$G$17="Yes",CZ$3&gt;=Projects!$C$17,CZ$3&lt;Projects!$C$17+Projects!$D$17),Projects!$B$17*INDEX(Curves!$B$4:$AR$4,1,CZ$3-Projects!$C$17+1),0)-IF(AND(Projects!$G$17="Yes",CZ$3&gt;=Projects!$C$17,CZ$3&lt;Projects!$C$17+Projects!$D$17),Projects!$B$17*(Assumptions!$B$10+Assumptions!$B$11+Assumptions!$B$12)/Projects!$D$17*0.95,0)-IF(AND(Projects!$G$17="Yes",CZ$3=Projects!$C$17+Projects!$D$17-1),Projects!$B$17*(Assumptions!$B$10+Assumptions!$B$11+Assumptions!$B$12)*0.05,0)</f>
        <v/>
      </c>
      <c r="DA26" s="399">
        <f>IF(AND(Projects!$G$17="Yes",DA$3&gt;=Projects!$C$17,DA$3&lt;Projects!$C$17+Projects!$D$17),Projects!$B$17*INDEX(Curves!$B$4:$AR$4,1,DA$3-Projects!$C$17+1),0)-IF(AND(Projects!$G$17="Yes",DA$3&gt;=Projects!$C$17,DA$3&lt;Projects!$C$17+Projects!$D$17),Projects!$B$17*(Assumptions!$B$10+Assumptions!$B$11+Assumptions!$B$12)/Projects!$D$17*0.95,0)-IF(AND(Projects!$G$17="Yes",DA$3=Projects!$C$17+Projects!$D$17-1),Projects!$B$17*(Assumptions!$B$10+Assumptions!$B$11+Assumptions!$B$12)*0.05,0)</f>
        <v/>
      </c>
      <c r="DB26" s="399">
        <f>IF(AND(Projects!$G$17="Yes",DB$3&gt;=Projects!$C$17,DB$3&lt;Projects!$C$17+Projects!$D$17),Projects!$B$17*INDEX(Curves!$B$4:$AR$4,1,DB$3-Projects!$C$17+1),0)-IF(AND(Projects!$G$17="Yes",DB$3&gt;=Projects!$C$17,DB$3&lt;Projects!$C$17+Projects!$D$17),Projects!$B$17*(Assumptions!$B$10+Assumptions!$B$11+Assumptions!$B$12)/Projects!$D$17*0.95,0)-IF(AND(Projects!$G$17="Yes",DB$3=Projects!$C$17+Projects!$D$17-1),Projects!$B$17*(Assumptions!$B$10+Assumptions!$B$11+Assumptions!$B$12)*0.05,0)</f>
        <v/>
      </c>
      <c r="DC26" s="399">
        <f>IF(AND(Projects!$G$17="Yes",DC$3&gt;=Projects!$C$17,DC$3&lt;Projects!$C$17+Projects!$D$17),Projects!$B$17*INDEX(Curves!$B$4:$AR$4,1,DC$3-Projects!$C$17+1),0)-IF(AND(Projects!$G$17="Yes",DC$3&gt;=Projects!$C$17,DC$3&lt;Projects!$C$17+Projects!$D$17),Projects!$B$17*(Assumptions!$B$10+Assumptions!$B$11+Assumptions!$B$12)/Projects!$D$17*0.95,0)-IF(AND(Projects!$G$17="Yes",DC$3=Projects!$C$17+Projects!$D$17-1),Projects!$B$17*(Assumptions!$B$10+Assumptions!$B$11+Assumptions!$B$12)*0.05,0)</f>
        <v/>
      </c>
      <c r="DD26" s="399">
        <f>IF(AND(Projects!$G$17="Yes",DD$3&gt;=Projects!$C$17,DD$3&lt;Projects!$C$17+Projects!$D$17),Projects!$B$17*INDEX(Curves!$B$4:$AR$4,1,DD$3-Projects!$C$17+1),0)-IF(AND(Projects!$G$17="Yes",DD$3&gt;=Projects!$C$17,DD$3&lt;Projects!$C$17+Projects!$D$17),Projects!$B$17*(Assumptions!$B$10+Assumptions!$B$11+Assumptions!$B$12)/Projects!$D$17*0.95,0)-IF(AND(Projects!$G$17="Yes",DD$3=Projects!$C$17+Projects!$D$17-1),Projects!$B$17*(Assumptions!$B$10+Assumptions!$B$11+Assumptions!$B$12)*0.05,0)</f>
        <v/>
      </c>
      <c r="DE26" s="399">
        <f>IF(AND(Projects!$G$17="Yes",DE$3&gt;=Projects!$C$17,DE$3&lt;Projects!$C$17+Projects!$D$17),Projects!$B$17*INDEX(Curves!$B$4:$AR$4,1,DE$3-Projects!$C$17+1),0)-IF(AND(Projects!$G$17="Yes",DE$3&gt;=Projects!$C$17,DE$3&lt;Projects!$C$17+Projects!$D$17),Projects!$B$17*(Assumptions!$B$10+Assumptions!$B$11+Assumptions!$B$12)/Projects!$D$17*0.95,0)-IF(AND(Projects!$G$17="Yes",DE$3=Projects!$C$17+Projects!$D$17-1),Projects!$B$17*(Assumptions!$B$10+Assumptions!$B$11+Assumptions!$B$12)*0.05,0)</f>
        <v/>
      </c>
    </row>
    <row r="27" hidden="1" outlineLevel="1" ht="15" customFormat="1" customHeight="1" s="380">
      <c r="A27" s="407" t="inlineStr">
        <is>
          <t>Riverton</t>
        </is>
      </c>
      <c r="B27" s="399" t="n">
        <v>0</v>
      </c>
      <c r="C27" s="399" t="n">
        <v>0</v>
      </c>
      <c r="D27" s="399" t="n">
        <v>0</v>
      </c>
      <c r="E27" s="399" t="n">
        <v>0</v>
      </c>
      <c r="F27" s="399">
        <f>IF(AND(Projects!$G$18="Yes",F$3&gt;=Projects!$C$18,F$3&lt;Projects!$C$18+Projects!$D$18),Projects!$B$18*INDEX(Curves!$B$4:$AR$4,1,F$3-Projects!$C$18+1),0)-IF(AND(Projects!$G$18="Yes",F$3&gt;=Projects!$C$18,F$3&lt;Projects!$C$18+Projects!$D$18),Projects!$B$18*(Assumptions!$B$10+Assumptions!$B$11+Assumptions!$B$12)/Projects!$D$18*0.95,0)-IF(AND(Projects!$G$18="Yes",F$3=Projects!$C$18+Projects!$D$18-1),Projects!$B$18*(Assumptions!$B$10+Assumptions!$B$11+Assumptions!$B$12)*0.05,0)</f>
        <v/>
      </c>
      <c r="G27" s="399">
        <f>IF(AND(Projects!$G$18="Yes",G$3&gt;=Projects!$C$18,G$3&lt;Projects!$C$18+Projects!$D$18),Projects!$B$18*INDEX(Curves!$B$4:$AR$4,1,G$3-Projects!$C$18+1),0)-IF(AND(Projects!$G$18="Yes",G$3&gt;=Projects!$C$18,G$3&lt;Projects!$C$18+Projects!$D$18),Projects!$B$18*(Assumptions!$B$10+Assumptions!$B$11+Assumptions!$B$12)/Projects!$D$18*0.95,0)-IF(AND(Projects!$G$18="Yes",G$3=Projects!$C$18+Projects!$D$18-1),Projects!$B$18*(Assumptions!$B$10+Assumptions!$B$11+Assumptions!$B$12)*0.05,0)</f>
        <v/>
      </c>
      <c r="H27" s="399" t="n">
        <v>143035</v>
      </c>
      <c r="I27" s="399">
        <f>IF(AND(Projects!$G$18="Yes",I$3&gt;=Projects!$C$18,I$3&lt;Projects!$C$18+Projects!$D$18),Projects!$B$18*INDEX(Curves!$B$4:$AR$4,1,I$3-Projects!$C$18+1),0)-IF(AND(Projects!$G$18="Yes",I$3&gt;=Projects!$C$18,I$3&lt;Projects!$C$18+Projects!$D$18),Projects!$B$18*(Assumptions!$B$10+Assumptions!$B$11+Assumptions!$B$12)/Projects!$D$18*0.95,0)-IF(AND(Projects!$G$18="Yes",I$3=Projects!$C$18+Projects!$D$18-1),Projects!$B$18*(Assumptions!$B$10+Assumptions!$B$11+Assumptions!$B$12)*0.05,0)</f>
        <v/>
      </c>
      <c r="J27" s="399">
        <f>IF(AND(Projects!$G$18="Yes",J$3&gt;=Projects!$C$18,J$3&lt;Projects!$C$18+Projects!$D$18),Projects!$B$18*INDEX(Curves!$B$4:$AR$4,1,J$3-Projects!$C$18+1),0)-IF(AND(Projects!$G$18="Yes",J$3&gt;=Projects!$C$18,J$3&lt;Projects!$C$18+Projects!$D$18),Projects!$B$18*(Assumptions!$B$10+Assumptions!$B$11+Assumptions!$B$12)/Projects!$D$18*0.95,0)-IF(AND(Projects!$G$18="Yes",J$3=Projects!$C$18+Projects!$D$18-1),Projects!$B$18*(Assumptions!$B$10+Assumptions!$B$11+Assumptions!$B$12)*0.05,0)</f>
        <v/>
      </c>
      <c r="K27" s="399">
        <f>IF(AND(Projects!$G$18="Yes",K$3&gt;=Projects!$C$18,K$3&lt;Projects!$C$18+Projects!$D$18),Projects!$B$18*INDEX(Curves!$B$4:$AR$4,1,K$3-Projects!$C$18+1),0)-IF(AND(Projects!$G$18="Yes",K$3&gt;=Projects!$C$18,K$3&lt;Projects!$C$18+Projects!$D$18),Projects!$B$18*(Assumptions!$B$10+Assumptions!$B$11+Assumptions!$B$12)/Projects!$D$18*0.95,0)-IF(AND(Projects!$G$18="Yes",K$3=Projects!$C$18+Projects!$D$18-1),Projects!$B$18*(Assumptions!$B$10+Assumptions!$B$11+Assumptions!$B$12)*0.05,0)</f>
        <v/>
      </c>
      <c r="L27" s="399">
        <f>IF(AND(Projects!$G$18="Yes",L$3&gt;=Projects!$C$18,L$3&lt;Projects!$C$18+Projects!$D$18),Projects!$B$18*INDEX(Curves!$B$4:$AR$4,1,L$3-Projects!$C$18+1),0)-IF(AND(Projects!$G$18="Yes",L$3&gt;=Projects!$C$18,L$3&lt;Projects!$C$18+Projects!$D$18),Projects!$B$18*(Assumptions!$B$10+Assumptions!$B$11+Assumptions!$B$12)/Projects!$D$18*0.95,0)-IF(AND(Projects!$G$18="Yes",L$3=Projects!$C$18+Projects!$D$18-1),Projects!$B$18*(Assumptions!$B$10+Assumptions!$B$11+Assumptions!$B$12)*0.05,0)</f>
        <v/>
      </c>
      <c r="M27" s="399">
        <f>IF(AND(Projects!$G$18="Yes",M$3&gt;=Projects!$C$18,M$3&lt;Projects!$C$18+Projects!$D$18),Projects!$B$18*INDEX(Curves!$B$4:$AR$4,1,M$3-Projects!$C$18+1),0)-IF(AND(Projects!$G$18="Yes",M$3&gt;=Projects!$C$18,M$3&lt;Projects!$C$18+Projects!$D$18),Projects!$B$18*(Assumptions!$B$10+Assumptions!$B$11+Assumptions!$B$12)/Projects!$D$18*0.95,0)-IF(AND(Projects!$G$18="Yes",M$3=Projects!$C$18+Projects!$D$18-1),Projects!$B$18*(Assumptions!$B$10+Assumptions!$B$11+Assumptions!$B$12)*0.05,0)</f>
        <v/>
      </c>
      <c r="N27" s="399">
        <f>IF(AND(Projects!$G$18="Yes",N$3&gt;=Projects!$C$18,N$3&lt;Projects!$C$18+Projects!$D$18),Projects!$B$18*INDEX(Curves!$B$4:$AR$4,1,N$3-Projects!$C$18+1),0)-IF(AND(Projects!$G$18="Yes",N$3&gt;=Projects!$C$18,N$3&lt;Projects!$C$18+Projects!$D$18),Projects!$B$18*(Assumptions!$B$10+Assumptions!$B$11+Assumptions!$B$12)/Projects!$D$18*0.95,0)-IF(AND(Projects!$G$18="Yes",N$3=Projects!$C$18+Projects!$D$18-1),Projects!$B$18*(Assumptions!$B$10+Assumptions!$B$11+Assumptions!$B$12)*0.05,0)</f>
        <v/>
      </c>
      <c r="O27" s="399">
        <f>IF(AND(Projects!$G$18="Yes",O$3&gt;=Projects!$C$18,O$3&lt;Projects!$C$18+Projects!$D$18),Projects!$B$18*INDEX(Curves!$B$4:$AR$4,1,O$3-Projects!$C$18+1),0)-IF(AND(Projects!$G$18="Yes",O$3&gt;=Projects!$C$18,O$3&lt;Projects!$C$18+Projects!$D$18),Projects!$B$18*(Assumptions!$B$10+Assumptions!$B$11+Assumptions!$B$12)/Projects!$D$18*0.95,0)-IF(AND(Projects!$G$18="Yes",O$3=Projects!$C$18+Projects!$D$18-1),Projects!$B$18*(Assumptions!$B$10+Assumptions!$B$11+Assumptions!$B$12)*0.05,0)</f>
        <v/>
      </c>
      <c r="P27" s="399">
        <f>IF(AND(Projects!$G$18="Yes",P$3&gt;=Projects!$C$18,P$3&lt;Projects!$C$18+Projects!$D$18),Projects!$B$18*INDEX(Curves!$B$4:$AR$4,1,P$3-Projects!$C$18+1),0)-IF(AND(Projects!$G$18="Yes",P$3&gt;=Projects!$C$18,P$3&lt;Projects!$C$18+Projects!$D$18),Projects!$B$18*(Assumptions!$B$10+Assumptions!$B$11+Assumptions!$B$12)/Projects!$D$18*0.95,0)-IF(AND(Projects!$G$18="Yes",P$3=Projects!$C$18+Projects!$D$18-1),Projects!$B$18*(Assumptions!$B$10+Assumptions!$B$11+Assumptions!$B$12)*0.05,0)</f>
        <v/>
      </c>
      <c r="Q27" s="399">
        <f>IF(AND(Projects!$G$18="Yes",Q$3&gt;=Projects!$C$18,Q$3&lt;Projects!$C$18+Projects!$D$18),Projects!$B$18*INDEX(Curves!$B$4:$AR$4,1,Q$3-Projects!$C$18+1),0)-IF(AND(Projects!$G$18="Yes",Q$3&gt;=Projects!$C$18,Q$3&lt;Projects!$C$18+Projects!$D$18),Projects!$B$18*(Assumptions!$B$10+Assumptions!$B$11+Assumptions!$B$12)/Projects!$D$18*0.95,0)-IF(AND(Projects!$G$18="Yes",Q$3=Projects!$C$18+Projects!$D$18-1),Projects!$B$18*(Assumptions!$B$10+Assumptions!$B$11+Assumptions!$B$12)*0.05,0)</f>
        <v/>
      </c>
      <c r="R27" s="399">
        <f>IF(AND(Projects!$G$18="Yes",R$3&gt;=Projects!$C$18,R$3&lt;Projects!$C$18+Projects!$D$18),Projects!$B$18*INDEX(Curves!$B$4:$AR$4,1,R$3-Projects!$C$18+1),0)-IF(AND(Projects!$G$18="Yes",R$3&gt;=Projects!$C$18,R$3&lt;Projects!$C$18+Projects!$D$18),Projects!$B$18*(Assumptions!$B$10+Assumptions!$B$11+Assumptions!$B$12)/Projects!$D$18*0.95,0)-IF(AND(Projects!$G$18="Yes",R$3=Projects!$C$18+Projects!$D$18-1),Projects!$B$18*(Assumptions!$B$10+Assumptions!$B$11+Assumptions!$B$12)*0.05,0)</f>
        <v/>
      </c>
      <c r="S27" s="399">
        <f>IF(AND(Projects!$G$18="Yes",S$3&gt;=Projects!$C$18,S$3&lt;Projects!$C$18+Projects!$D$18),Projects!$B$18*INDEX(Curves!$B$4:$AR$4,1,S$3-Projects!$C$18+1),0)-IF(AND(Projects!$G$18="Yes",S$3&gt;=Projects!$C$18,S$3&lt;Projects!$C$18+Projects!$D$18),Projects!$B$18*(Assumptions!$B$10+Assumptions!$B$11+Assumptions!$B$12)/Projects!$D$18*0.95,0)-IF(AND(Projects!$G$18="Yes",S$3=Projects!$C$18+Projects!$D$18-1),Projects!$B$18*(Assumptions!$B$10+Assumptions!$B$11+Assumptions!$B$12)*0.05,0)</f>
        <v/>
      </c>
      <c r="T27" s="399">
        <f>IF(AND(Projects!$G$18="Yes",T$3&gt;=Projects!$C$18,T$3&lt;Projects!$C$18+Projects!$D$18),Projects!$B$18*INDEX(Curves!$B$4:$AR$4,1,T$3-Projects!$C$18+1),0)-IF(AND(Projects!$G$18="Yes",T$3&gt;=Projects!$C$18,T$3&lt;Projects!$C$18+Projects!$D$18),Projects!$B$18*(Assumptions!$B$10+Assumptions!$B$11+Assumptions!$B$12)/Projects!$D$18*0.95,0)-IF(AND(Projects!$G$18="Yes",T$3=Projects!$C$18+Projects!$D$18-1),Projects!$B$18*(Assumptions!$B$10+Assumptions!$B$11+Assumptions!$B$12)*0.05,0)</f>
        <v/>
      </c>
      <c r="U27" s="399">
        <f>IF(AND(Projects!$G$18="Yes",U$3&gt;=Projects!$C$18,U$3&lt;Projects!$C$18+Projects!$D$18),Projects!$B$18*INDEX(Curves!$B$4:$AR$4,1,U$3-Projects!$C$18+1),0)-IF(AND(Projects!$G$18="Yes",U$3&gt;=Projects!$C$18,U$3&lt;Projects!$C$18+Projects!$D$18),Projects!$B$18*(Assumptions!$B$10+Assumptions!$B$11+Assumptions!$B$12)/Projects!$D$18*0.95,0)-IF(AND(Projects!$G$18="Yes",U$3=Projects!$C$18+Projects!$D$18-1),Projects!$B$18*(Assumptions!$B$10+Assumptions!$B$11+Assumptions!$B$12)*0.05,0)</f>
        <v/>
      </c>
      <c r="V27" s="399">
        <f>IF(AND(Projects!$G$18="Yes",V$3&gt;=Projects!$C$18,V$3&lt;Projects!$C$18+Projects!$D$18),Projects!$B$18*INDEX(Curves!$B$4:$AR$4,1,V$3-Projects!$C$18+1),0)-IF(AND(Projects!$G$18="Yes",V$3&gt;=Projects!$C$18,V$3&lt;Projects!$C$18+Projects!$D$18),Projects!$B$18*(Assumptions!$B$10+Assumptions!$B$11+Assumptions!$B$12)/Projects!$D$18*0.95,0)-IF(AND(Projects!$G$18="Yes",V$3=Projects!$C$18+Projects!$D$18-1),Projects!$B$18*(Assumptions!$B$10+Assumptions!$B$11+Assumptions!$B$12)*0.05,0)</f>
        <v/>
      </c>
      <c r="W27" s="399">
        <f>IF(AND(Projects!$G$18="Yes",W$3&gt;=Projects!$C$18,W$3&lt;Projects!$C$18+Projects!$D$18),Projects!$B$18*INDEX(Curves!$B$4:$AR$4,1,W$3-Projects!$C$18+1),0)-IF(AND(Projects!$G$18="Yes",W$3&gt;=Projects!$C$18,W$3&lt;Projects!$C$18+Projects!$D$18),Projects!$B$18*(Assumptions!$B$10+Assumptions!$B$11+Assumptions!$B$12)/Projects!$D$18*0.95,0)-IF(AND(Projects!$G$18="Yes",W$3=Projects!$C$18+Projects!$D$18-1),Projects!$B$18*(Assumptions!$B$10+Assumptions!$B$11+Assumptions!$B$12)*0.05,0)</f>
        <v/>
      </c>
      <c r="X27" s="399">
        <f>IF(AND(Projects!$G$18="Yes",X$3&gt;=Projects!$C$18,X$3&lt;Projects!$C$18+Projects!$D$18),Projects!$B$18*INDEX(Curves!$B$4:$AR$4,1,X$3-Projects!$C$18+1),0)-IF(AND(Projects!$G$18="Yes",X$3&gt;=Projects!$C$18,X$3&lt;Projects!$C$18+Projects!$D$18),Projects!$B$18*(Assumptions!$B$10+Assumptions!$B$11+Assumptions!$B$12)/Projects!$D$18*0.95,0)-IF(AND(Projects!$G$18="Yes",X$3=Projects!$C$18+Projects!$D$18-1),Projects!$B$18*(Assumptions!$B$10+Assumptions!$B$11+Assumptions!$B$12)*0.05,0)</f>
        <v/>
      </c>
      <c r="Y27" s="399">
        <f>IF(AND(Projects!$G$18="Yes",Y$3&gt;=Projects!$C$18,Y$3&lt;Projects!$C$18+Projects!$D$18),Projects!$B$18*INDEX(Curves!$B$4:$AR$4,1,Y$3-Projects!$C$18+1),0)-IF(AND(Projects!$G$18="Yes",Y$3&gt;=Projects!$C$18,Y$3&lt;Projects!$C$18+Projects!$D$18),Projects!$B$18*(Assumptions!$B$10+Assumptions!$B$11+Assumptions!$B$12)/Projects!$D$18*0.95,0)-IF(AND(Projects!$G$18="Yes",Y$3=Projects!$C$18+Projects!$D$18-1),Projects!$B$18*(Assumptions!$B$10+Assumptions!$B$11+Assumptions!$B$12)*0.05,0)</f>
        <v/>
      </c>
      <c r="Z27" s="399">
        <f>IF(AND(Projects!$G$18="Yes",Z$3&gt;=Projects!$C$18,Z$3&lt;Projects!$C$18+Projects!$D$18),Projects!$B$18*INDEX(Curves!$B$4:$AR$4,1,Z$3-Projects!$C$18+1),0)-IF(AND(Projects!$G$18="Yes",Z$3&gt;=Projects!$C$18,Z$3&lt;Projects!$C$18+Projects!$D$18),Projects!$B$18*(Assumptions!$B$10+Assumptions!$B$11+Assumptions!$B$12)/Projects!$D$18*0.95,0)-IF(AND(Projects!$G$18="Yes",Z$3=Projects!$C$18+Projects!$D$18-1),Projects!$B$18*(Assumptions!$B$10+Assumptions!$B$11+Assumptions!$B$12)*0.05,0)</f>
        <v/>
      </c>
      <c r="AA27" s="399">
        <f>IF(AND(Projects!$G$18="Yes",AA$3&gt;=Projects!$C$18,AA$3&lt;Projects!$C$18+Projects!$D$18),Projects!$B$18*INDEX(Curves!$B$4:$AR$4,1,AA$3-Projects!$C$18+1),0)-IF(AND(Projects!$G$18="Yes",AA$3&gt;=Projects!$C$18,AA$3&lt;Projects!$C$18+Projects!$D$18),Projects!$B$18*(Assumptions!$B$10+Assumptions!$B$11+Assumptions!$B$12)/Projects!$D$18*0.95,0)-IF(AND(Projects!$G$18="Yes",AA$3=Projects!$C$18+Projects!$D$18-1),Projects!$B$18*(Assumptions!$B$10+Assumptions!$B$11+Assumptions!$B$12)*0.05,0)</f>
        <v/>
      </c>
      <c r="AB27" s="399">
        <f>IF(AND(Projects!$G$18="Yes",AB$3&gt;=Projects!$C$18,AB$3&lt;Projects!$C$18+Projects!$D$18),Projects!$B$18*INDEX(Curves!$B$4:$AR$4,1,AB$3-Projects!$C$18+1),0)-IF(AND(Projects!$G$18="Yes",AB$3&gt;=Projects!$C$18,AB$3&lt;Projects!$C$18+Projects!$D$18),Projects!$B$18*(Assumptions!$B$10+Assumptions!$B$11+Assumptions!$B$12)/Projects!$D$18*0.95,0)-IF(AND(Projects!$G$18="Yes",AB$3=Projects!$C$18+Projects!$D$18-1),Projects!$B$18*(Assumptions!$B$10+Assumptions!$B$11+Assumptions!$B$12)*0.05,0)</f>
        <v/>
      </c>
      <c r="AC27" s="399">
        <f>IF(AND(Projects!$G$18="Yes",AC$3&gt;=Projects!$C$18,AC$3&lt;Projects!$C$18+Projects!$D$18),Projects!$B$18*INDEX(Curves!$B$4:$AR$4,1,AC$3-Projects!$C$18+1),0)-IF(AND(Projects!$G$18="Yes",AC$3&gt;=Projects!$C$18,AC$3&lt;Projects!$C$18+Projects!$D$18),Projects!$B$18*(Assumptions!$B$10+Assumptions!$B$11+Assumptions!$B$12)/Projects!$D$18*0.95,0)-IF(AND(Projects!$G$18="Yes",AC$3=Projects!$C$18+Projects!$D$18-1),Projects!$B$18*(Assumptions!$B$10+Assumptions!$B$11+Assumptions!$B$12)*0.05,0)</f>
        <v/>
      </c>
      <c r="AD27" s="399">
        <f>IF(AND(Projects!$G$18="Yes",AD$3&gt;=Projects!$C$18,AD$3&lt;Projects!$C$18+Projects!$D$18),Projects!$B$18*INDEX(Curves!$B$4:$AR$4,1,AD$3-Projects!$C$18+1),0)-IF(AND(Projects!$G$18="Yes",AD$3&gt;=Projects!$C$18,AD$3&lt;Projects!$C$18+Projects!$D$18),Projects!$B$18*(Assumptions!$B$10+Assumptions!$B$11+Assumptions!$B$12)/Projects!$D$18*0.95,0)-IF(AND(Projects!$G$18="Yes",AD$3=Projects!$C$18+Projects!$D$18-1),Projects!$B$18*(Assumptions!$B$10+Assumptions!$B$11+Assumptions!$B$12)*0.05,0)</f>
        <v/>
      </c>
      <c r="AE27" s="399">
        <f>IF(AND(Projects!$G$18="Yes",AE$3&gt;=Projects!$C$18,AE$3&lt;Projects!$C$18+Projects!$D$18),Projects!$B$18*INDEX(Curves!$B$4:$AR$4,1,AE$3-Projects!$C$18+1),0)-IF(AND(Projects!$G$18="Yes",AE$3&gt;=Projects!$C$18,AE$3&lt;Projects!$C$18+Projects!$D$18),Projects!$B$18*(Assumptions!$B$10+Assumptions!$B$11+Assumptions!$B$12)/Projects!$D$18*0.95,0)-IF(AND(Projects!$G$18="Yes",AE$3=Projects!$C$18+Projects!$D$18-1),Projects!$B$18*(Assumptions!$B$10+Assumptions!$B$11+Assumptions!$B$12)*0.05,0)</f>
        <v/>
      </c>
      <c r="AF27" s="399">
        <f>IF(AND(Projects!$G$18="Yes",AF$3&gt;=Projects!$C$18,AF$3&lt;Projects!$C$18+Projects!$D$18),Projects!$B$18*INDEX(Curves!$B$4:$AR$4,1,AF$3-Projects!$C$18+1),0)-IF(AND(Projects!$G$18="Yes",AF$3&gt;=Projects!$C$18,AF$3&lt;Projects!$C$18+Projects!$D$18),Projects!$B$18*(Assumptions!$B$10+Assumptions!$B$11+Assumptions!$B$12)/Projects!$D$18*0.95,0)-IF(AND(Projects!$G$18="Yes",AF$3=Projects!$C$18+Projects!$D$18-1),Projects!$B$18*(Assumptions!$B$10+Assumptions!$B$11+Assumptions!$B$12)*0.05,0)</f>
        <v/>
      </c>
      <c r="AG27" s="399">
        <f>IF(AND(Projects!$G$18="Yes",AG$3&gt;=Projects!$C$18,AG$3&lt;Projects!$C$18+Projects!$D$18),Projects!$B$18*INDEX(Curves!$B$4:$AR$4,1,AG$3-Projects!$C$18+1),0)-IF(AND(Projects!$G$18="Yes",AG$3&gt;=Projects!$C$18,AG$3&lt;Projects!$C$18+Projects!$D$18),Projects!$B$18*(Assumptions!$B$10+Assumptions!$B$11+Assumptions!$B$12)/Projects!$D$18*0.95,0)-IF(AND(Projects!$G$18="Yes",AG$3=Projects!$C$18+Projects!$D$18-1),Projects!$B$18*(Assumptions!$B$10+Assumptions!$B$11+Assumptions!$B$12)*0.05,0)</f>
        <v/>
      </c>
      <c r="AH27" s="399">
        <f>IF(AND(Projects!$G$18="Yes",AH$3&gt;=Projects!$C$18,AH$3&lt;Projects!$C$18+Projects!$D$18),Projects!$B$18*INDEX(Curves!$B$4:$AR$4,1,AH$3-Projects!$C$18+1),0)-IF(AND(Projects!$G$18="Yes",AH$3&gt;=Projects!$C$18,AH$3&lt;Projects!$C$18+Projects!$D$18),Projects!$B$18*(Assumptions!$B$10+Assumptions!$B$11+Assumptions!$B$12)/Projects!$D$18*0.95,0)-IF(AND(Projects!$G$18="Yes",AH$3=Projects!$C$18+Projects!$D$18-1),Projects!$B$18*(Assumptions!$B$10+Assumptions!$B$11+Assumptions!$B$12)*0.05,0)</f>
        <v/>
      </c>
      <c r="AI27" s="399">
        <f>IF(AND(Projects!$G$18="Yes",AI$3&gt;=Projects!$C$18,AI$3&lt;Projects!$C$18+Projects!$D$18),Projects!$B$18*INDEX(Curves!$B$4:$AR$4,1,AI$3-Projects!$C$18+1),0)-IF(AND(Projects!$G$18="Yes",AI$3&gt;=Projects!$C$18,AI$3&lt;Projects!$C$18+Projects!$D$18),Projects!$B$18*(Assumptions!$B$10+Assumptions!$B$11+Assumptions!$B$12)/Projects!$D$18*0.95,0)-IF(AND(Projects!$G$18="Yes",AI$3=Projects!$C$18+Projects!$D$18-1),Projects!$B$18*(Assumptions!$B$10+Assumptions!$B$11+Assumptions!$B$12)*0.05,0)</f>
        <v/>
      </c>
      <c r="AJ27" s="399">
        <f>IF(AND(Projects!$G$18="Yes",AJ$3&gt;=Projects!$C$18,AJ$3&lt;Projects!$C$18+Projects!$D$18),Projects!$B$18*INDEX(Curves!$B$4:$AR$4,1,AJ$3-Projects!$C$18+1),0)-IF(AND(Projects!$G$18="Yes",AJ$3&gt;=Projects!$C$18,AJ$3&lt;Projects!$C$18+Projects!$D$18),Projects!$B$18*(Assumptions!$B$10+Assumptions!$B$11+Assumptions!$B$12)/Projects!$D$18*0.95,0)-IF(AND(Projects!$G$18="Yes",AJ$3=Projects!$C$18+Projects!$D$18-1),Projects!$B$18*(Assumptions!$B$10+Assumptions!$B$11+Assumptions!$B$12)*0.05,0)</f>
        <v/>
      </c>
      <c r="AK27" s="399">
        <f>IF(AND(Projects!$G$18="Yes",AK$3&gt;=Projects!$C$18,AK$3&lt;Projects!$C$18+Projects!$D$18),Projects!$B$18*INDEX(Curves!$B$4:$AR$4,1,AK$3-Projects!$C$18+1),0)-IF(AND(Projects!$G$18="Yes",AK$3&gt;=Projects!$C$18,AK$3&lt;Projects!$C$18+Projects!$D$18),Projects!$B$18*(Assumptions!$B$10+Assumptions!$B$11+Assumptions!$B$12)/Projects!$D$18*0.95,0)-IF(AND(Projects!$G$18="Yes",AK$3=Projects!$C$18+Projects!$D$18-1),Projects!$B$18*(Assumptions!$B$10+Assumptions!$B$11+Assumptions!$B$12)*0.05,0)</f>
        <v/>
      </c>
      <c r="AL27" s="399">
        <f>IF(AND(Projects!$G$18="Yes",AL$3&gt;=Projects!$C$18,AL$3&lt;Projects!$C$18+Projects!$D$18),Projects!$B$18*INDEX(Curves!$B$4:$AR$4,1,AL$3-Projects!$C$18+1),0)-IF(AND(Projects!$G$18="Yes",AL$3&gt;=Projects!$C$18,AL$3&lt;Projects!$C$18+Projects!$D$18),Projects!$B$18*(Assumptions!$B$10+Assumptions!$B$11+Assumptions!$B$12)/Projects!$D$18*0.95,0)-IF(AND(Projects!$G$18="Yes",AL$3=Projects!$C$18+Projects!$D$18-1),Projects!$B$18*(Assumptions!$B$10+Assumptions!$B$11+Assumptions!$B$12)*0.05,0)</f>
        <v/>
      </c>
      <c r="AM27" s="399">
        <f>IF(AND(Projects!$G$18="Yes",AM$3&gt;=Projects!$C$18,AM$3&lt;Projects!$C$18+Projects!$D$18),Projects!$B$18*INDEX(Curves!$B$4:$AR$4,1,AM$3-Projects!$C$18+1),0)-IF(AND(Projects!$G$18="Yes",AM$3&gt;=Projects!$C$18,AM$3&lt;Projects!$C$18+Projects!$D$18),Projects!$B$18*(Assumptions!$B$10+Assumptions!$B$11+Assumptions!$B$12)/Projects!$D$18*0.95,0)-IF(AND(Projects!$G$18="Yes",AM$3=Projects!$C$18+Projects!$D$18-1),Projects!$B$18*(Assumptions!$B$10+Assumptions!$B$11+Assumptions!$B$12)*0.05,0)</f>
        <v/>
      </c>
      <c r="AN27" s="399">
        <f>IF(AND(Projects!$G$18="Yes",AN$3&gt;=Projects!$C$18,AN$3&lt;Projects!$C$18+Projects!$D$18),Projects!$B$18*INDEX(Curves!$B$4:$AR$4,1,AN$3-Projects!$C$18+1),0)-IF(AND(Projects!$G$18="Yes",AN$3&gt;=Projects!$C$18,AN$3&lt;Projects!$C$18+Projects!$D$18),Projects!$B$18*(Assumptions!$B$10+Assumptions!$B$11+Assumptions!$B$12)/Projects!$D$18*0.95,0)-IF(AND(Projects!$G$18="Yes",AN$3=Projects!$C$18+Projects!$D$18-1),Projects!$B$18*(Assumptions!$B$10+Assumptions!$B$11+Assumptions!$B$12)*0.05,0)</f>
        <v/>
      </c>
      <c r="AO27" s="399">
        <f>IF(AND(Projects!$G$18="Yes",AO$3&gt;=Projects!$C$18,AO$3&lt;Projects!$C$18+Projects!$D$18),Projects!$B$18*INDEX(Curves!$B$4:$AR$4,1,AO$3-Projects!$C$18+1),0)-IF(AND(Projects!$G$18="Yes",AO$3&gt;=Projects!$C$18,AO$3&lt;Projects!$C$18+Projects!$D$18),Projects!$B$18*(Assumptions!$B$10+Assumptions!$B$11+Assumptions!$B$12)/Projects!$D$18*0.95,0)-IF(AND(Projects!$G$18="Yes",AO$3=Projects!$C$18+Projects!$D$18-1),Projects!$B$18*(Assumptions!$B$10+Assumptions!$B$11+Assumptions!$B$12)*0.05,0)</f>
        <v/>
      </c>
      <c r="AP27" s="399">
        <f>IF(AND(Projects!$G$18="Yes",AP$3&gt;=Projects!$C$18,AP$3&lt;Projects!$C$18+Projects!$D$18),Projects!$B$18*INDEX(Curves!$B$4:$AR$4,1,AP$3-Projects!$C$18+1),0)-IF(AND(Projects!$G$18="Yes",AP$3&gt;=Projects!$C$18,AP$3&lt;Projects!$C$18+Projects!$D$18),Projects!$B$18*(Assumptions!$B$10+Assumptions!$B$11+Assumptions!$B$12)/Projects!$D$18*0.95,0)-IF(AND(Projects!$G$18="Yes",AP$3=Projects!$C$18+Projects!$D$18-1),Projects!$B$18*(Assumptions!$B$10+Assumptions!$B$11+Assumptions!$B$12)*0.05,0)</f>
        <v/>
      </c>
      <c r="AQ27" s="399">
        <f>IF(AND(Projects!$G$18="Yes",AQ$3&gt;=Projects!$C$18,AQ$3&lt;Projects!$C$18+Projects!$D$18),Projects!$B$18*INDEX(Curves!$B$4:$AR$4,1,AQ$3-Projects!$C$18+1),0)-IF(AND(Projects!$G$18="Yes",AQ$3&gt;=Projects!$C$18,AQ$3&lt;Projects!$C$18+Projects!$D$18),Projects!$B$18*(Assumptions!$B$10+Assumptions!$B$11+Assumptions!$B$12)/Projects!$D$18*0.95,0)-IF(AND(Projects!$G$18="Yes",AQ$3=Projects!$C$18+Projects!$D$18-1),Projects!$B$18*(Assumptions!$B$10+Assumptions!$B$11+Assumptions!$B$12)*0.05,0)</f>
        <v/>
      </c>
      <c r="AR27" s="399">
        <f>IF(AND(Projects!$G$18="Yes",AR$3&gt;=Projects!$C$18,AR$3&lt;Projects!$C$18+Projects!$D$18),Projects!$B$18*INDEX(Curves!$B$4:$AR$4,1,AR$3-Projects!$C$18+1),0)-IF(AND(Projects!$G$18="Yes",AR$3&gt;=Projects!$C$18,AR$3&lt;Projects!$C$18+Projects!$D$18),Projects!$B$18*(Assumptions!$B$10+Assumptions!$B$11+Assumptions!$B$12)/Projects!$D$18*0.95,0)-IF(AND(Projects!$G$18="Yes",AR$3=Projects!$C$18+Projects!$D$18-1),Projects!$B$18*(Assumptions!$B$10+Assumptions!$B$11+Assumptions!$B$12)*0.05,0)</f>
        <v/>
      </c>
      <c r="AS27" s="399">
        <f>IF(AND(Projects!$G$18="Yes",AS$3&gt;=Projects!$C$18,AS$3&lt;Projects!$C$18+Projects!$D$18),Projects!$B$18*INDEX(Curves!$B$4:$AR$4,1,AS$3-Projects!$C$18+1),0)-IF(AND(Projects!$G$18="Yes",AS$3&gt;=Projects!$C$18,AS$3&lt;Projects!$C$18+Projects!$D$18),Projects!$B$18*(Assumptions!$B$10+Assumptions!$B$11+Assumptions!$B$12)/Projects!$D$18*0.95,0)-IF(AND(Projects!$G$18="Yes",AS$3=Projects!$C$18+Projects!$D$18-1),Projects!$B$18*(Assumptions!$B$10+Assumptions!$B$11+Assumptions!$B$12)*0.05,0)</f>
        <v/>
      </c>
      <c r="AT27" s="399">
        <f>IF(AND(Projects!$G$18="Yes",AT$3&gt;=Projects!$C$18,AT$3&lt;Projects!$C$18+Projects!$D$18),Projects!$B$18*INDEX(Curves!$B$4:$AR$4,1,AT$3-Projects!$C$18+1),0)-IF(AND(Projects!$G$18="Yes",AT$3&gt;=Projects!$C$18,AT$3&lt;Projects!$C$18+Projects!$D$18),Projects!$B$18*(Assumptions!$B$10+Assumptions!$B$11+Assumptions!$B$12)/Projects!$D$18*0.95,0)-IF(AND(Projects!$G$18="Yes",AT$3=Projects!$C$18+Projects!$D$18-1),Projects!$B$18*(Assumptions!$B$10+Assumptions!$B$11+Assumptions!$B$12)*0.05,0)</f>
        <v/>
      </c>
      <c r="AU27" s="399">
        <f>IF(AND(Projects!$G$18="Yes",AU$3&gt;=Projects!$C$18,AU$3&lt;Projects!$C$18+Projects!$D$18),Projects!$B$18*INDEX(Curves!$B$4:$AR$4,1,AU$3-Projects!$C$18+1),0)-IF(AND(Projects!$G$18="Yes",AU$3&gt;=Projects!$C$18,AU$3&lt;Projects!$C$18+Projects!$D$18),Projects!$B$18*(Assumptions!$B$10+Assumptions!$B$11+Assumptions!$B$12)/Projects!$D$18*0.95,0)-IF(AND(Projects!$G$18="Yes",AU$3=Projects!$C$18+Projects!$D$18-1),Projects!$B$18*(Assumptions!$B$10+Assumptions!$B$11+Assumptions!$B$12)*0.05,0)</f>
        <v/>
      </c>
      <c r="AV27" s="399">
        <f>IF(AND(Projects!$G$18="Yes",AV$3&gt;=Projects!$C$18,AV$3&lt;Projects!$C$18+Projects!$D$18),Projects!$B$18*INDEX(Curves!$B$4:$AR$4,1,AV$3-Projects!$C$18+1),0)-IF(AND(Projects!$G$18="Yes",AV$3&gt;=Projects!$C$18,AV$3&lt;Projects!$C$18+Projects!$D$18),Projects!$B$18*(Assumptions!$B$10+Assumptions!$B$11+Assumptions!$B$12)/Projects!$D$18*0.95,0)-IF(AND(Projects!$G$18="Yes",AV$3=Projects!$C$18+Projects!$D$18-1),Projects!$B$18*(Assumptions!$B$10+Assumptions!$B$11+Assumptions!$B$12)*0.05,0)</f>
        <v/>
      </c>
      <c r="AW27" s="399">
        <f>IF(AND(Projects!$G$18="Yes",AW$3&gt;=Projects!$C$18,AW$3&lt;Projects!$C$18+Projects!$D$18),Projects!$B$18*INDEX(Curves!$B$4:$AR$4,1,AW$3-Projects!$C$18+1),0)-IF(AND(Projects!$G$18="Yes",AW$3&gt;=Projects!$C$18,AW$3&lt;Projects!$C$18+Projects!$D$18),Projects!$B$18*(Assumptions!$B$10+Assumptions!$B$11+Assumptions!$B$12)/Projects!$D$18*0.95,0)-IF(AND(Projects!$G$18="Yes",AW$3=Projects!$C$18+Projects!$D$18-1),Projects!$B$18*(Assumptions!$B$10+Assumptions!$B$11+Assumptions!$B$12)*0.05,0)</f>
        <v/>
      </c>
      <c r="AX27" s="399">
        <f>IF(AND(Projects!$G$18="Yes",AX$3&gt;=Projects!$C$18,AX$3&lt;Projects!$C$18+Projects!$D$18),Projects!$B$18*INDEX(Curves!$B$4:$AR$4,1,AX$3-Projects!$C$18+1),0)-IF(AND(Projects!$G$18="Yes",AX$3&gt;=Projects!$C$18,AX$3&lt;Projects!$C$18+Projects!$D$18),Projects!$B$18*(Assumptions!$B$10+Assumptions!$B$11+Assumptions!$B$12)/Projects!$D$18*0.95,0)-IF(AND(Projects!$G$18="Yes",AX$3=Projects!$C$18+Projects!$D$18-1),Projects!$B$18*(Assumptions!$B$10+Assumptions!$B$11+Assumptions!$B$12)*0.05,0)</f>
        <v/>
      </c>
      <c r="AY27" s="399">
        <f>IF(AND(Projects!$G$18="Yes",AY$3&gt;=Projects!$C$18,AY$3&lt;Projects!$C$18+Projects!$D$18),Projects!$B$18*INDEX(Curves!$B$4:$AR$4,1,AY$3-Projects!$C$18+1),0)-IF(AND(Projects!$G$18="Yes",AY$3&gt;=Projects!$C$18,AY$3&lt;Projects!$C$18+Projects!$D$18),Projects!$B$18*(Assumptions!$B$10+Assumptions!$B$11+Assumptions!$B$12)/Projects!$D$18*0.95,0)-IF(AND(Projects!$G$18="Yes",AY$3=Projects!$C$18+Projects!$D$18-1),Projects!$B$18*(Assumptions!$B$10+Assumptions!$B$11+Assumptions!$B$12)*0.05,0)</f>
        <v/>
      </c>
      <c r="AZ27" s="399">
        <f>IF(AND(Projects!$G$18="Yes",AZ$3&gt;=Projects!$C$18,AZ$3&lt;Projects!$C$18+Projects!$D$18),Projects!$B$18*INDEX(Curves!$B$4:$AR$4,1,AZ$3-Projects!$C$18+1),0)-IF(AND(Projects!$G$18="Yes",AZ$3&gt;=Projects!$C$18,AZ$3&lt;Projects!$C$18+Projects!$D$18),Projects!$B$18*(Assumptions!$B$10+Assumptions!$B$11+Assumptions!$B$12)/Projects!$D$18*0.95,0)-IF(AND(Projects!$G$18="Yes",AZ$3=Projects!$C$18+Projects!$D$18-1),Projects!$B$18*(Assumptions!$B$10+Assumptions!$B$11+Assumptions!$B$12)*0.05,0)</f>
        <v/>
      </c>
      <c r="BA27" s="399">
        <f>IF(AND(Projects!$G$18="Yes",BA$3&gt;=Projects!$C$18,BA$3&lt;Projects!$C$18+Projects!$D$18),Projects!$B$18*INDEX(Curves!$B$4:$AR$4,1,BA$3-Projects!$C$18+1),0)-IF(AND(Projects!$G$18="Yes",BA$3&gt;=Projects!$C$18,BA$3&lt;Projects!$C$18+Projects!$D$18),Projects!$B$18*(Assumptions!$B$10+Assumptions!$B$11+Assumptions!$B$12)/Projects!$D$18*0.95,0)-IF(AND(Projects!$G$18="Yes",BA$3=Projects!$C$18+Projects!$D$18-1),Projects!$B$18*(Assumptions!$B$10+Assumptions!$B$11+Assumptions!$B$12)*0.05,0)</f>
        <v/>
      </c>
      <c r="BB27" s="399">
        <f>IF(AND(Projects!$G$18="Yes",BB$3&gt;=Projects!$C$18,BB$3&lt;Projects!$C$18+Projects!$D$18),Projects!$B$18*INDEX(Curves!$B$4:$AR$4,1,BB$3-Projects!$C$18+1),0)-IF(AND(Projects!$G$18="Yes",BB$3&gt;=Projects!$C$18,BB$3&lt;Projects!$C$18+Projects!$D$18),Projects!$B$18*(Assumptions!$B$10+Assumptions!$B$11+Assumptions!$B$12)/Projects!$D$18*0.95,0)-IF(AND(Projects!$G$18="Yes",BB$3=Projects!$C$18+Projects!$D$18-1),Projects!$B$18*(Assumptions!$B$10+Assumptions!$B$11+Assumptions!$B$12)*0.05,0)</f>
        <v/>
      </c>
      <c r="BC27" s="399">
        <f>IF(AND(Projects!$G$18="Yes",BC$3&gt;=Projects!$C$18,BC$3&lt;Projects!$C$18+Projects!$D$18),Projects!$B$18*INDEX(Curves!$B$4:$AR$4,1,BC$3-Projects!$C$18+1),0)-IF(AND(Projects!$G$18="Yes",BC$3&gt;=Projects!$C$18,BC$3&lt;Projects!$C$18+Projects!$D$18),Projects!$B$18*(Assumptions!$B$10+Assumptions!$B$11+Assumptions!$B$12)/Projects!$D$18*0.95,0)-IF(AND(Projects!$G$18="Yes",BC$3=Projects!$C$18+Projects!$D$18-1),Projects!$B$18*(Assumptions!$B$10+Assumptions!$B$11+Assumptions!$B$12)*0.05,0)</f>
        <v/>
      </c>
      <c r="BD27" s="399">
        <f>IF(AND(Projects!$G$18="Yes",BD$3&gt;=Projects!$C$18,BD$3&lt;Projects!$C$18+Projects!$D$18),Projects!$B$18*INDEX(Curves!$B$4:$AR$4,1,BD$3-Projects!$C$18+1),0)-IF(AND(Projects!$G$18="Yes",BD$3&gt;=Projects!$C$18,BD$3&lt;Projects!$C$18+Projects!$D$18),Projects!$B$18*(Assumptions!$B$10+Assumptions!$B$11+Assumptions!$B$12)/Projects!$D$18*0.95,0)-IF(AND(Projects!$G$18="Yes",BD$3=Projects!$C$18+Projects!$D$18-1),Projects!$B$18*(Assumptions!$B$10+Assumptions!$B$11+Assumptions!$B$12)*0.05,0)</f>
        <v/>
      </c>
      <c r="BE27" s="399">
        <f>IF(AND(Projects!$G$18="Yes",BE$3&gt;=Projects!$C$18,BE$3&lt;Projects!$C$18+Projects!$D$18),Projects!$B$18*INDEX(Curves!$B$4:$AR$4,1,BE$3-Projects!$C$18+1),0)-IF(AND(Projects!$G$18="Yes",BE$3&gt;=Projects!$C$18,BE$3&lt;Projects!$C$18+Projects!$D$18),Projects!$B$18*(Assumptions!$B$10+Assumptions!$B$11+Assumptions!$B$12)/Projects!$D$18*0.95,0)-IF(AND(Projects!$G$18="Yes",BE$3=Projects!$C$18+Projects!$D$18-1),Projects!$B$18*(Assumptions!$B$10+Assumptions!$B$11+Assumptions!$B$12)*0.05,0)</f>
        <v/>
      </c>
      <c r="BF27" s="399">
        <f>IF(AND(Projects!$G$18="Yes",BF$3&gt;=Projects!$C$18,BF$3&lt;Projects!$C$18+Projects!$D$18),Projects!$B$18*INDEX(Curves!$B$4:$AR$4,1,BF$3-Projects!$C$18+1),0)-IF(AND(Projects!$G$18="Yes",BF$3&gt;=Projects!$C$18,BF$3&lt;Projects!$C$18+Projects!$D$18),Projects!$B$18*(Assumptions!$B$10+Assumptions!$B$11+Assumptions!$B$12)/Projects!$D$18*0.95,0)-IF(AND(Projects!$G$18="Yes",BF$3=Projects!$C$18+Projects!$D$18-1),Projects!$B$18*(Assumptions!$B$10+Assumptions!$B$11+Assumptions!$B$12)*0.05,0)</f>
        <v/>
      </c>
      <c r="BG27" s="399">
        <f>IF(AND(Projects!$G$18="Yes",BG$3&gt;=Projects!$C$18,BG$3&lt;Projects!$C$18+Projects!$D$18),Projects!$B$18*INDEX(Curves!$B$4:$AR$4,1,BG$3-Projects!$C$18+1),0)-IF(AND(Projects!$G$18="Yes",BG$3&gt;=Projects!$C$18,BG$3&lt;Projects!$C$18+Projects!$D$18),Projects!$B$18*(Assumptions!$B$10+Assumptions!$B$11+Assumptions!$B$12)/Projects!$D$18*0.95,0)-IF(AND(Projects!$G$18="Yes",BG$3=Projects!$C$18+Projects!$D$18-1),Projects!$B$18*(Assumptions!$B$10+Assumptions!$B$11+Assumptions!$B$12)*0.05,0)</f>
        <v/>
      </c>
      <c r="BH27" s="399">
        <f>IF(AND(Projects!$G$18="Yes",BH$3&gt;=Projects!$C$18,BH$3&lt;Projects!$C$18+Projects!$D$18),Projects!$B$18*INDEX(Curves!$B$4:$AR$4,1,BH$3-Projects!$C$18+1),0)-IF(AND(Projects!$G$18="Yes",BH$3&gt;=Projects!$C$18,BH$3&lt;Projects!$C$18+Projects!$D$18),Projects!$B$18*(Assumptions!$B$10+Assumptions!$B$11+Assumptions!$B$12)/Projects!$D$18*0.95,0)-IF(AND(Projects!$G$18="Yes",BH$3=Projects!$C$18+Projects!$D$18-1),Projects!$B$18*(Assumptions!$B$10+Assumptions!$B$11+Assumptions!$B$12)*0.05,0)</f>
        <v/>
      </c>
      <c r="BI27" s="399">
        <f>IF(AND(Projects!$G$18="Yes",BI$3&gt;=Projects!$C$18,BI$3&lt;Projects!$C$18+Projects!$D$18),Projects!$B$18*INDEX(Curves!$B$4:$AR$4,1,BI$3-Projects!$C$18+1),0)-IF(AND(Projects!$G$18="Yes",BI$3&gt;=Projects!$C$18,BI$3&lt;Projects!$C$18+Projects!$D$18),Projects!$B$18*(Assumptions!$B$10+Assumptions!$B$11+Assumptions!$B$12)/Projects!$D$18*0.95,0)-IF(AND(Projects!$G$18="Yes",BI$3=Projects!$C$18+Projects!$D$18-1),Projects!$B$18*(Assumptions!$B$10+Assumptions!$B$11+Assumptions!$B$12)*0.05,0)</f>
        <v/>
      </c>
      <c r="BJ27" s="399">
        <f>IF(AND(Projects!$G$18="Yes",BJ$3&gt;=Projects!$C$18,BJ$3&lt;Projects!$C$18+Projects!$D$18),Projects!$B$18*INDEX(Curves!$B$4:$AR$4,1,BJ$3-Projects!$C$18+1),0)-IF(AND(Projects!$G$18="Yes",BJ$3&gt;=Projects!$C$18,BJ$3&lt;Projects!$C$18+Projects!$D$18),Projects!$B$18*(Assumptions!$B$10+Assumptions!$B$11+Assumptions!$B$12)/Projects!$D$18*0.95,0)-IF(AND(Projects!$G$18="Yes",BJ$3=Projects!$C$18+Projects!$D$18-1),Projects!$B$18*(Assumptions!$B$10+Assumptions!$B$11+Assumptions!$B$12)*0.05,0)</f>
        <v/>
      </c>
      <c r="BK27" s="399">
        <f>IF(AND(Projects!$G$18="Yes",BK$3&gt;=Projects!$C$18,BK$3&lt;Projects!$C$18+Projects!$D$18),Projects!$B$18*INDEX(Curves!$B$4:$AR$4,1,BK$3-Projects!$C$18+1),0)-IF(AND(Projects!$G$18="Yes",BK$3&gt;=Projects!$C$18,BK$3&lt;Projects!$C$18+Projects!$D$18),Projects!$B$18*(Assumptions!$B$10+Assumptions!$B$11+Assumptions!$B$12)/Projects!$D$18*0.95,0)-IF(AND(Projects!$G$18="Yes",BK$3=Projects!$C$18+Projects!$D$18-1),Projects!$B$18*(Assumptions!$B$10+Assumptions!$B$11+Assumptions!$B$12)*0.05,0)</f>
        <v/>
      </c>
      <c r="BL27" s="399">
        <f>IF(AND(Projects!$G$18="Yes",BL$3&gt;=Projects!$C$18,BL$3&lt;Projects!$C$18+Projects!$D$18),Projects!$B$18*INDEX(Curves!$B$4:$AR$4,1,BL$3-Projects!$C$18+1),0)-IF(AND(Projects!$G$18="Yes",BL$3&gt;=Projects!$C$18,BL$3&lt;Projects!$C$18+Projects!$D$18),Projects!$B$18*(Assumptions!$B$10+Assumptions!$B$11+Assumptions!$B$12)/Projects!$D$18*0.95,0)-IF(AND(Projects!$G$18="Yes",BL$3=Projects!$C$18+Projects!$D$18-1),Projects!$B$18*(Assumptions!$B$10+Assumptions!$B$11+Assumptions!$B$12)*0.05,0)</f>
        <v/>
      </c>
      <c r="BM27" s="399">
        <f>IF(AND(Projects!$G$18="Yes",BM$3&gt;=Projects!$C$18,BM$3&lt;Projects!$C$18+Projects!$D$18),Projects!$B$18*INDEX(Curves!$B$4:$AR$4,1,BM$3-Projects!$C$18+1),0)-IF(AND(Projects!$G$18="Yes",BM$3&gt;=Projects!$C$18,BM$3&lt;Projects!$C$18+Projects!$D$18),Projects!$B$18*(Assumptions!$B$10+Assumptions!$B$11+Assumptions!$B$12)/Projects!$D$18*0.95,0)-IF(AND(Projects!$G$18="Yes",BM$3=Projects!$C$18+Projects!$D$18-1),Projects!$B$18*(Assumptions!$B$10+Assumptions!$B$11+Assumptions!$B$12)*0.05,0)</f>
        <v/>
      </c>
      <c r="BN27" s="399">
        <f>IF(AND(Projects!$G$18="Yes",BN$3&gt;=Projects!$C$18,BN$3&lt;Projects!$C$18+Projects!$D$18),Projects!$B$18*INDEX(Curves!$B$4:$AR$4,1,BN$3-Projects!$C$18+1),0)-IF(AND(Projects!$G$18="Yes",BN$3&gt;=Projects!$C$18,BN$3&lt;Projects!$C$18+Projects!$D$18),Projects!$B$18*(Assumptions!$B$10+Assumptions!$B$11+Assumptions!$B$12)/Projects!$D$18*0.95,0)-IF(AND(Projects!$G$18="Yes",BN$3=Projects!$C$18+Projects!$D$18-1),Projects!$B$18*(Assumptions!$B$10+Assumptions!$B$11+Assumptions!$B$12)*0.05,0)</f>
        <v/>
      </c>
      <c r="BO27" s="399">
        <f>IF(AND(Projects!$G$18="Yes",BO$3&gt;=Projects!$C$18,BO$3&lt;Projects!$C$18+Projects!$D$18),Projects!$B$18*INDEX(Curves!$B$4:$AR$4,1,BO$3-Projects!$C$18+1),0)-IF(AND(Projects!$G$18="Yes",BO$3&gt;=Projects!$C$18,BO$3&lt;Projects!$C$18+Projects!$D$18),Projects!$B$18*(Assumptions!$B$10+Assumptions!$B$11+Assumptions!$B$12)/Projects!$D$18*0.95,0)-IF(AND(Projects!$G$18="Yes",BO$3=Projects!$C$18+Projects!$D$18-1),Projects!$B$18*(Assumptions!$B$10+Assumptions!$B$11+Assumptions!$B$12)*0.05,0)</f>
        <v/>
      </c>
      <c r="BP27" s="399">
        <f>IF(AND(Projects!$G$18="Yes",BP$3&gt;=Projects!$C$18,BP$3&lt;Projects!$C$18+Projects!$D$18),Projects!$B$18*INDEX(Curves!$B$4:$AR$4,1,BP$3-Projects!$C$18+1),0)-IF(AND(Projects!$G$18="Yes",BP$3&gt;=Projects!$C$18,BP$3&lt;Projects!$C$18+Projects!$D$18),Projects!$B$18*(Assumptions!$B$10+Assumptions!$B$11+Assumptions!$B$12)/Projects!$D$18*0.95,0)-IF(AND(Projects!$G$18="Yes",BP$3=Projects!$C$18+Projects!$D$18-1),Projects!$B$18*(Assumptions!$B$10+Assumptions!$B$11+Assumptions!$B$12)*0.05,0)</f>
        <v/>
      </c>
      <c r="BQ27" s="399">
        <f>IF(AND(Projects!$G$18="Yes",BQ$3&gt;=Projects!$C$18,BQ$3&lt;Projects!$C$18+Projects!$D$18),Projects!$B$18*INDEX(Curves!$B$4:$AR$4,1,BQ$3-Projects!$C$18+1),0)-IF(AND(Projects!$G$18="Yes",BQ$3&gt;=Projects!$C$18,BQ$3&lt;Projects!$C$18+Projects!$D$18),Projects!$B$18*(Assumptions!$B$10+Assumptions!$B$11+Assumptions!$B$12)/Projects!$D$18*0.95,0)-IF(AND(Projects!$G$18="Yes",BQ$3=Projects!$C$18+Projects!$D$18-1),Projects!$B$18*(Assumptions!$B$10+Assumptions!$B$11+Assumptions!$B$12)*0.05,0)</f>
        <v/>
      </c>
      <c r="BR27" s="399">
        <f>IF(AND(Projects!$G$18="Yes",BR$3&gt;=Projects!$C$18,BR$3&lt;Projects!$C$18+Projects!$D$18),Projects!$B$18*INDEX(Curves!$B$4:$AR$4,1,BR$3-Projects!$C$18+1),0)-IF(AND(Projects!$G$18="Yes",BR$3&gt;=Projects!$C$18,BR$3&lt;Projects!$C$18+Projects!$D$18),Projects!$B$18*(Assumptions!$B$10+Assumptions!$B$11+Assumptions!$B$12)/Projects!$D$18*0.95,0)-IF(AND(Projects!$G$18="Yes",BR$3=Projects!$C$18+Projects!$D$18-1),Projects!$B$18*(Assumptions!$B$10+Assumptions!$B$11+Assumptions!$B$12)*0.05,0)</f>
        <v/>
      </c>
      <c r="BS27" s="399">
        <f>IF(AND(Projects!$G$18="Yes",BS$3&gt;=Projects!$C$18,BS$3&lt;Projects!$C$18+Projects!$D$18),Projects!$B$18*INDEX(Curves!$B$4:$AR$4,1,BS$3-Projects!$C$18+1),0)-IF(AND(Projects!$G$18="Yes",BS$3&gt;=Projects!$C$18,BS$3&lt;Projects!$C$18+Projects!$D$18),Projects!$B$18*(Assumptions!$B$10+Assumptions!$B$11+Assumptions!$B$12)/Projects!$D$18*0.95,0)-IF(AND(Projects!$G$18="Yes",BS$3=Projects!$C$18+Projects!$D$18-1),Projects!$B$18*(Assumptions!$B$10+Assumptions!$B$11+Assumptions!$B$12)*0.05,0)</f>
        <v/>
      </c>
      <c r="BT27" s="399">
        <f>IF(AND(Projects!$G$18="Yes",BT$3&gt;=Projects!$C$18,BT$3&lt;Projects!$C$18+Projects!$D$18),Projects!$B$18*INDEX(Curves!$B$4:$AR$4,1,BT$3-Projects!$C$18+1),0)-IF(AND(Projects!$G$18="Yes",BT$3&gt;=Projects!$C$18,BT$3&lt;Projects!$C$18+Projects!$D$18),Projects!$B$18*(Assumptions!$B$10+Assumptions!$B$11+Assumptions!$B$12)/Projects!$D$18*0.95,0)-IF(AND(Projects!$G$18="Yes",BT$3=Projects!$C$18+Projects!$D$18-1),Projects!$B$18*(Assumptions!$B$10+Assumptions!$B$11+Assumptions!$B$12)*0.05,0)</f>
        <v/>
      </c>
      <c r="BU27" s="399">
        <f>IF(AND(Projects!$G$18="Yes",BU$3&gt;=Projects!$C$18,BU$3&lt;Projects!$C$18+Projects!$D$18),Projects!$B$18*INDEX(Curves!$B$4:$AR$4,1,BU$3-Projects!$C$18+1),0)-IF(AND(Projects!$G$18="Yes",BU$3&gt;=Projects!$C$18,BU$3&lt;Projects!$C$18+Projects!$D$18),Projects!$B$18*(Assumptions!$B$10+Assumptions!$B$11+Assumptions!$B$12)/Projects!$D$18*0.95,0)-IF(AND(Projects!$G$18="Yes",BU$3=Projects!$C$18+Projects!$D$18-1),Projects!$B$18*(Assumptions!$B$10+Assumptions!$B$11+Assumptions!$B$12)*0.05,0)</f>
        <v/>
      </c>
      <c r="BV27" s="399">
        <f>IF(AND(Projects!$G$18="Yes",BV$3&gt;=Projects!$C$18,BV$3&lt;Projects!$C$18+Projects!$D$18),Projects!$B$18*INDEX(Curves!$B$4:$AR$4,1,BV$3-Projects!$C$18+1),0)-IF(AND(Projects!$G$18="Yes",BV$3&gt;=Projects!$C$18,BV$3&lt;Projects!$C$18+Projects!$D$18),Projects!$B$18*(Assumptions!$B$10+Assumptions!$B$11+Assumptions!$B$12)/Projects!$D$18*0.95,0)-IF(AND(Projects!$G$18="Yes",BV$3=Projects!$C$18+Projects!$D$18-1),Projects!$B$18*(Assumptions!$B$10+Assumptions!$B$11+Assumptions!$B$12)*0.05,0)</f>
        <v/>
      </c>
      <c r="BW27" s="399">
        <f>IF(AND(Projects!$G$18="Yes",BW$3&gt;=Projects!$C$18,BW$3&lt;Projects!$C$18+Projects!$D$18),Projects!$B$18*INDEX(Curves!$B$4:$AR$4,1,BW$3-Projects!$C$18+1),0)-IF(AND(Projects!$G$18="Yes",BW$3&gt;=Projects!$C$18,BW$3&lt;Projects!$C$18+Projects!$D$18),Projects!$B$18*(Assumptions!$B$10+Assumptions!$B$11+Assumptions!$B$12)/Projects!$D$18*0.95,0)-IF(AND(Projects!$G$18="Yes",BW$3=Projects!$C$18+Projects!$D$18-1),Projects!$B$18*(Assumptions!$B$10+Assumptions!$B$11+Assumptions!$B$12)*0.05,0)</f>
        <v/>
      </c>
      <c r="BX27" s="399">
        <f>IF(AND(Projects!$G$18="Yes",BX$3&gt;=Projects!$C$18,BX$3&lt;Projects!$C$18+Projects!$D$18),Projects!$B$18*INDEX(Curves!$B$4:$AR$4,1,BX$3-Projects!$C$18+1),0)-IF(AND(Projects!$G$18="Yes",BX$3&gt;=Projects!$C$18,BX$3&lt;Projects!$C$18+Projects!$D$18),Projects!$B$18*(Assumptions!$B$10+Assumptions!$B$11+Assumptions!$B$12)/Projects!$D$18*0.95,0)-IF(AND(Projects!$G$18="Yes",BX$3=Projects!$C$18+Projects!$D$18-1),Projects!$B$18*(Assumptions!$B$10+Assumptions!$B$11+Assumptions!$B$12)*0.05,0)</f>
        <v/>
      </c>
      <c r="BY27" s="399">
        <f>IF(AND(Projects!$G$18="Yes",BY$3&gt;=Projects!$C$18,BY$3&lt;Projects!$C$18+Projects!$D$18),Projects!$B$18*INDEX(Curves!$B$4:$AR$4,1,BY$3-Projects!$C$18+1),0)-IF(AND(Projects!$G$18="Yes",BY$3&gt;=Projects!$C$18,BY$3&lt;Projects!$C$18+Projects!$D$18),Projects!$B$18*(Assumptions!$B$10+Assumptions!$B$11+Assumptions!$B$12)/Projects!$D$18*0.95,0)-IF(AND(Projects!$G$18="Yes",BY$3=Projects!$C$18+Projects!$D$18-1),Projects!$B$18*(Assumptions!$B$10+Assumptions!$B$11+Assumptions!$B$12)*0.05,0)</f>
        <v/>
      </c>
      <c r="BZ27" s="399">
        <f>IF(AND(Projects!$G$18="Yes",BZ$3&gt;=Projects!$C$18,BZ$3&lt;Projects!$C$18+Projects!$D$18),Projects!$B$18*INDEX(Curves!$B$4:$AR$4,1,BZ$3-Projects!$C$18+1),0)-IF(AND(Projects!$G$18="Yes",BZ$3&gt;=Projects!$C$18,BZ$3&lt;Projects!$C$18+Projects!$D$18),Projects!$B$18*(Assumptions!$B$10+Assumptions!$B$11+Assumptions!$B$12)/Projects!$D$18*0.95,0)-IF(AND(Projects!$G$18="Yes",BZ$3=Projects!$C$18+Projects!$D$18-1),Projects!$B$18*(Assumptions!$B$10+Assumptions!$B$11+Assumptions!$B$12)*0.05,0)</f>
        <v/>
      </c>
      <c r="CA27" s="399">
        <f>IF(AND(Projects!$G$18="Yes",CA$3&gt;=Projects!$C$18,CA$3&lt;Projects!$C$18+Projects!$D$18),Projects!$B$18*INDEX(Curves!$B$4:$AR$4,1,CA$3-Projects!$C$18+1),0)-IF(AND(Projects!$G$18="Yes",CA$3&gt;=Projects!$C$18,CA$3&lt;Projects!$C$18+Projects!$D$18),Projects!$B$18*(Assumptions!$B$10+Assumptions!$B$11+Assumptions!$B$12)/Projects!$D$18*0.95,0)-IF(AND(Projects!$G$18="Yes",CA$3=Projects!$C$18+Projects!$D$18-1),Projects!$B$18*(Assumptions!$B$10+Assumptions!$B$11+Assumptions!$B$12)*0.05,0)</f>
        <v/>
      </c>
      <c r="CB27" s="399">
        <f>IF(AND(Projects!$G$18="Yes",CB$3&gt;=Projects!$C$18,CB$3&lt;Projects!$C$18+Projects!$D$18),Projects!$B$18*INDEX(Curves!$B$4:$AR$4,1,CB$3-Projects!$C$18+1),0)-IF(AND(Projects!$G$18="Yes",CB$3&gt;=Projects!$C$18,CB$3&lt;Projects!$C$18+Projects!$D$18),Projects!$B$18*(Assumptions!$B$10+Assumptions!$B$11+Assumptions!$B$12)/Projects!$D$18*0.95,0)-IF(AND(Projects!$G$18="Yes",CB$3=Projects!$C$18+Projects!$D$18-1),Projects!$B$18*(Assumptions!$B$10+Assumptions!$B$11+Assumptions!$B$12)*0.05,0)</f>
        <v/>
      </c>
      <c r="CC27" s="399">
        <f>IF(AND(Projects!$G$18="Yes",CC$3&gt;=Projects!$C$18,CC$3&lt;Projects!$C$18+Projects!$D$18),Projects!$B$18*INDEX(Curves!$B$4:$AR$4,1,CC$3-Projects!$C$18+1),0)-IF(AND(Projects!$G$18="Yes",CC$3&gt;=Projects!$C$18,CC$3&lt;Projects!$C$18+Projects!$D$18),Projects!$B$18*(Assumptions!$B$10+Assumptions!$B$11+Assumptions!$B$12)/Projects!$D$18*0.95,0)-IF(AND(Projects!$G$18="Yes",CC$3=Projects!$C$18+Projects!$D$18-1),Projects!$B$18*(Assumptions!$B$10+Assumptions!$B$11+Assumptions!$B$12)*0.05,0)</f>
        <v/>
      </c>
      <c r="CD27" s="399">
        <f>IF(AND(Projects!$G$18="Yes",CD$3&gt;=Projects!$C$18,CD$3&lt;Projects!$C$18+Projects!$D$18),Projects!$B$18*INDEX(Curves!$B$4:$AR$4,1,CD$3-Projects!$C$18+1),0)-IF(AND(Projects!$G$18="Yes",CD$3&gt;=Projects!$C$18,CD$3&lt;Projects!$C$18+Projects!$D$18),Projects!$B$18*(Assumptions!$B$10+Assumptions!$B$11+Assumptions!$B$12)/Projects!$D$18*0.95,0)-IF(AND(Projects!$G$18="Yes",CD$3=Projects!$C$18+Projects!$D$18-1),Projects!$B$18*(Assumptions!$B$10+Assumptions!$B$11+Assumptions!$B$12)*0.05,0)</f>
        <v/>
      </c>
      <c r="CE27" s="399">
        <f>IF(AND(Projects!$G$18="Yes",CE$3&gt;=Projects!$C$18,CE$3&lt;Projects!$C$18+Projects!$D$18),Projects!$B$18*INDEX(Curves!$B$4:$AR$4,1,CE$3-Projects!$C$18+1),0)-IF(AND(Projects!$G$18="Yes",CE$3&gt;=Projects!$C$18,CE$3&lt;Projects!$C$18+Projects!$D$18),Projects!$B$18*(Assumptions!$B$10+Assumptions!$B$11+Assumptions!$B$12)/Projects!$D$18*0.95,0)-IF(AND(Projects!$G$18="Yes",CE$3=Projects!$C$18+Projects!$D$18-1),Projects!$B$18*(Assumptions!$B$10+Assumptions!$B$11+Assumptions!$B$12)*0.05,0)</f>
        <v/>
      </c>
      <c r="CF27" s="399">
        <f>IF(AND(Projects!$G$18="Yes",CF$3&gt;=Projects!$C$18,CF$3&lt;Projects!$C$18+Projects!$D$18),Projects!$B$18*INDEX(Curves!$B$4:$AR$4,1,CF$3-Projects!$C$18+1),0)-IF(AND(Projects!$G$18="Yes",CF$3&gt;=Projects!$C$18,CF$3&lt;Projects!$C$18+Projects!$D$18),Projects!$B$18*(Assumptions!$B$10+Assumptions!$B$11+Assumptions!$B$12)/Projects!$D$18*0.95,0)-IF(AND(Projects!$G$18="Yes",CF$3=Projects!$C$18+Projects!$D$18-1),Projects!$B$18*(Assumptions!$B$10+Assumptions!$B$11+Assumptions!$B$12)*0.05,0)</f>
        <v/>
      </c>
      <c r="CG27" s="399">
        <f>IF(AND(Projects!$G$18="Yes",CG$3&gt;=Projects!$C$18,CG$3&lt;Projects!$C$18+Projects!$D$18),Projects!$B$18*INDEX(Curves!$B$4:$AR$4,1,CG$3-Projects!$C$18+1),0)-IF(AND(Projects!$G$18="Yes",CG$3&gt;=Projects!$C$18,CG$3&lt;Projects!$C$18+Projects!$D$18),Projects!$B$18*(Assumptions!$B$10+Assumptions!$B$11+Assumptions!$B$12)/Projects!$D$18*0.95,0)-IF(AND(Projects!$G$18="Yes",CG$3=Projects!$C$18+Projects!$D$18-1),Projects!$B$18*(Assumptions!$B$10+Assumptions!$B$11+Assumptions!$B$12)*0.05,0)</f>
        <v/>
      </c>
      <c r="CH27" s="399">
        <f>IF(AND(Projects!$G$18="Yes",CH$3&gt;=Projects!$C$18,CH$3&lt;Projects!$C$18+Projects!$D$18),Projects!$B$18*INDEX(Curves!$B$4:$AR$4,1,CH$3-Projects!$C$18+1),0)-IF(AND(Projects!$G$18="Yes",CH$3&gt;=Projects!$C$18,CH$3&lt;Projects!$C$18+Projects!$D$18),Projects!$B$18*(Assumptions!$B$10+Assumptions!$B$11+Assumptions!$B$12)/Projects!$D$18*0.95,0)-IF(AND(Projects!$G$18="Yes",CH$3=Projects!$C$18+Projects!$D$18-1),Projects!$B$18*(Assumptions!$B$10+Assumptions!$B$11+Assumptions!$B$12)*0.05,0)</f>
        <v/>
      </c>
      <c r="CI27" s="399">
        <f>IF(AND(Projects!$G$18="Yes",CI$3&gt;=Projects!$C$18,CI$3&lt;Projects!$C$18+Projects!$D$18),Projects!$B$18*INDEX(Curves!$B$4:$AR$4,1,CI$3-Projects!$C$18+1),0)-IF(AND(Projects!$G$18="Yes",CI$3&gt;=Projects!$C$18,CI$3&lt;Projects!$C$18+Projects!$D$18),Projects!$B$18*(Assumptions!$B$10+Assumptions!$B$11+Assumptions!$B$12)/Projects!$D$18*0.95,0)-IF(AND(Projects!$G$18="Yes",CI$3=Projects!$C$18+Projects!$D$18-1),Projects!$B$18*(Assumptions!$B$10+Assumptions!$B$11+Assumptions!$B$12)*0.05,0)</f>
        <v/>
      </c>
      <c r="CJ27" s="399">
        <f>IF(AND(Projects!$G$18="Yes",CJ$3&gt;=Projects!$C$18,CJ$3&lt;Projects!$C$18+Projects!$D$18),Projects!$B$18*INDEX(Curves!$B$4:$AR$4,1,CJ$3-Projects!$C$18+1),0)-IF(AND(Projects!$G$18="Yes",CJ$3&gt;=Projects!$C$18,CJ$3&lt;Projects!$C$18+Projects!$D$18),Projects!$B$18*(Assumptions!$B$10+Assumptions!$B$11+Assumptions!$B$12)/Projects!$D$18*0.95,0)-IF(AND(Projects!$G$18="Yes",CJ$3=Projects!$C$18+Projects!$D$18-1),Projects!$B$18*(Assumptions!$B$10+Assumptions!$B$11+Assumptions!$B$12)*0.05,0)</f>
        <v/>
      </c>
      <c r="CK27" s="399">
        <f>IF(AND(Projects!$G$18="Yes",CK$3&gt;=Projects!$C$18,CK$3&lt;Projects!$C$18+Projects!$D$18),Projects!$B$18*INDEX(Curves!$B$4:$AR$4,1,CK$3-Projects!$C$18+1),0)-IF(AND(Projects!$G$18="Yes",CK$3&gt;=Projects!$C$18,CK$3&lt;Projects!$C$18+Projects!$D$18),Projects!$B$18*(Assumptions!$B$10+Assumptions!$B$11+Assumptions!$B$12)/Projects!$D$18*0.95,0)-IF(AND(Projects!$G$18="Yes",CK$3=Projects!$C$18+Projects!$D$18-1),Projects!$B$18*(Assumptions!$B$10+Assumptions!$B$11+Assumptions!$B$12)*0.05,0)</f>
        <v/>
      </c>
      <c r="CL27" s="399">
        <f>IF(AND(Projects!$G$18="Yes",CL$3&gt;=Projects!$C$18,CL$3&lt;Projects!$C$18+Projects!$D$18),Projects!$B$18*INDEX(Curves!$B$4:$AR$4,1,CL$3-Projects!$C$18+1),0)-IF(AND(Projects!$G$18="Yes",CL$3&gt;=Projects!$C$18,CL$3&lt;Projects!$C$18+Projects!$D$18),Projects!$B$18*(Assumptions!$B$10+Assumptions!$B$11+Assumptions!$B$12)/Projects!$D$18*0.95,0)-IF(AND(Projects!$G$18="Yes",CL$3=Projects!$C$18+Projects!$D$18-1),Projects!$B$18*(Assumptions!$B$10+Assumptions!$B$11+Assumptions!$B$12)*0.05,0)</f>
        <v/>
      </c>
      <c r="CM27" s="399">
        <f>IF(AND(Projects!$G$18="Yes",CM$3&gt;=Projects!$C$18,CM$3&lt;Projects!$C$18+Projects!$D$18),Projects!$B$18*INDEX(Curves!$B$4:$AR$4,1,CM$3-Projects!$C$18+1),0)-IF(AND(Projects!$G$18="Yes",CM$3&gt;=Projects!$C$18,CM$3&lt;Projects!$C$18+Projects!$D$18),Projects!$B$18*(Assumptions!$B$10+Assumptions!$B$11+Assumptions!$B$12)/Projects!$D$18*0.95,0)-IF(AND(Projects!$G$18="Yes",CM$3=Projects!$C$18+Projects!$D$18-1),Projects!$B$18*(Assumptions!$B$10+Assumptions!$B$11+Assumptions!$B$12)*0.05,0)</f>
        <v/>
      </c>
      <c r="CN27" s="399">
        <f>IF(AND(Projects!$G$18="Yes",CN$3&gt;=Projects!$C$18,CN$3&lt;Projects!$C$18+Projects!$D$18),Projects!$B$18*INDEX(Curves!$B$4:$AR$4,1,CN$3-Projects!$C$18+1),0)-IF(AND(Projects!$G$18="Yes",CN$3&gt;=Projects!$C$18,CN$3&lt;Projects!$C$18+Projects!$D$18),Projects!$B$18*(Assumptions!$B$10+Assumptions!$B$11+Assumptions!$B$12)/Projects!$D$18*0.95,0)-IF(AND(Projects!$G$18="Yes",CN$3=Projects!$C$18+Projects!$D$18-1),Projects!$B$18*(Assumptions!$B$10+Assumptions!$B$11+Assumptions!$B$12)*0.05,0)</f>
        <v/>
      </c>
      <c r="CO27" s="399">
        <f>IF(AND(Projects!$G$18="Yes",CO$3&gt;=Projects!$C$18,CO$3&lt;Projects!$C$18+Projects!$D$18),Projects!$B$18*INDEX(Curves!$B$4:$AR$4,1,CO$3-Projects!$C$18+1),0)-IF(AND(Projects!$G$18="Yes",CO$3&gt;=Projects!$C$18,CO$3&lt;Projects!$C$18+Projects!$D$18),Projects!$B$18*(Assumptions!$B$10+Assumptions!$B$11+Assumptions!$B$12)/Projects!$D$18*0.95,0)-IF(AND(Projects!$G$18="Yes",CO$3=Projects!$C$18+Projects!$D$18-1),Projects!$B$18*(Assumptions!$B$10+Assumptions!$B$11+Assumptions!$B$12)*0.05,0)</f>
        <v/>
      </c>
      <c r="CP27" s="399">
        <f>IF(AND(Projects!$G$18="Yes",CP$3&gt;=Projects!$C$18,CP$3&lt;Projects!$C$18+Projects!$D$18),Projects!$B$18*INDEX(Curves!$B$4:$AR$4,1,CP$3-Projects!$C$18+1),0)-IF(AND(Projects!$G$18="Yes",CP$3&gt;=Projects!$C$18,CP$3&lt;Projects!$C$18+Projects!$D$18),Projects!$B$18*(Assumptions!$B$10+Assumptions!$B$11+Assumptions!$B$12)/Projects!$D$18*0.95,0)-IF(AND(Projects!$G$18="Yes",CP$3=Projects!$C$18+Projects!$D$18-1),Projects!$B$18*(Assumptions!$B$10+Assumptions!$B$11+Assumptions!$B$12)*0.05,0)</f>
        <v/>
      </c>
      <c r="CQ27" s="399">
        <f>IF(AND(Projects!$G$18="Yes",CQ$3&gt;=Projects!$C$18,CQ$3&lt;Projects!$C$18+Projects!$D$18),Projects!$B$18*INDEX(Curves!$B$4:$AR$4,1,CQ$3-Projects!$C$18+1),0)-IF(AND(Projects!$G$18="Yes",CQ$3&gt;=Projects!$C$18,CQ$3&lt;Projects!$C$18+Projects!$D$18),Projects!$B$18*(Assumptions!$B$10+Assumptions!$B$11+Assumptions!$B$12)/Projects!$D$18*0.95,0)-IF(AND(Projects!$G$18="Yes",CQ$3=Projects!$C$18+Projects!$D$18-1),Projects!$B$18*(Assumptions!$B$10+Assumptions!$B$11+Assumptions!$B$12)*0.05,0)</f>
        <v/>
      </c>
      <c r="CR27" s="399">
        <f>IF(AND(Projects!$G$18="Yes",CR$3&gt;=Projects!$C$18,CR$3&lt;Projects!$C$18+Projects!$D$18),Projects!$B$18*INDEX(Curves!$B$4:$AR$4,1,CR$3-Projects!$C$18+1),0)-IF(AND(Projects!$G$18="Yes",CR$3&gt;=Projects!$C$18,CR$3&lt;Projects!$C$18+Projects!$D$18),Projects!$B$18*(Assumptions!$B$10+Assumptions!$B$11+Assumptions!$B$12)/Projects!$D$18*0.95,0)-IF(AND(Projects!$G$18="Yes",CR$3=Projects!$C$18+Projects!$D$18-1),Projects!$B$18*(Assumptions!$B$10+Assumptions!$B$11+Assumptions!$B$12)*0.05,0)</f>
        <v/>
      </c>
      <c r="CS27" s="399">
        <f>IF(AND(Projects!$G$18="Yes",CS$3&gt;=Projects!$C$18,CS$3&lt;Projects!$C$18+Projects!$D$18),Projects!$B$18*INDEX(Curves!$B$4:$AR$4,1,CS$3-Projects!$C$18+1),0)-IF(AND(Projects!$G$18="Yes",CS$3&gt;=Projects!$C$18,CS$3&lt;Projects!$C$18+Projects!$D$18),Projects!$B$18*(Assumptions!$B$10+Assumptions!$B$11+Assumptions!$B$12)/Projects!$D$18*0.95,0)-IF(AND(Projects!$G$18="Yes",CS$3=Projects!$C$18+Projects!$D$18-1),Projects!$B$18*(Assumptions!$B$10+Assumptions!$B$11+Assumptions!$B$12)*0.05,0)</f>
        <v/>
      </c>
      <c r="CT27" s="399">
        <f>IF(AND(Projects!$G$18="Yes",CT$3&gt;=Projects!$C$18,CT$3&lt;Projects!$C$18+Projects!$D$18),Projects!$B$18*INDEX(Curves!$B$4:$AR$4,1,CT$3-Projects!$C$18+1),0)-IF(AND(Projects!$G$18="Yes",CT$3&gt;=Projects!$C$18,CT$3&lt;Projects!$C$18+Projects!$D$18),Projects!$B$18*(Assumptions!$B$10+Assumptions!$B$11+Assumptions!$B$12)/Projects!$D$18*0.95,0)-IF(AND(Projects!$G$18="Yes",CT$3=Projects!$C$18+Projects!$D$18-1),Projects!$B$18*(Assumptions!$B$10+Assumptions!$B$11+Assumptions!$B$12)*0.05,0)</f>
        <v/>
      </c>
      <c r="CU27" s="399">
        <f>IF(AND(Projects!$G$18="Yes",CU$3&gt;=Projects!$C$18,CU$3&lt;Projects!$C$18+Projects!$D$18),Projects!$B$18*INDEX(Curves!$B$4:$AR$4,1,CU$3-Projects!$C$18+1),0)-IF(AND(Projects!$G$18="Yes",CU$3&gt;=Projects!$C$18,CU$3&lt;Projects!$C$18+Projects!$D$18),Projects!$B$18*(Assumptions!$B$10+Assumptions!$B$11+Assumptions!$B$12)/Projects!$D$18*0.95,0)-IF(AND(Projects!$G$18="Yes",CU$3=Projects!$C$18+Projects!$D$18-1),Projects!$B$18*(Assumptions!$B$10+Assumptions!$B$11+Assumptions!$B$12)*0.05,0)</f>
        <v/>
      </c>
      <c r="CV27" s="399">
        <f>IF(AND(Projects!$G$18="Yes",CV$3&gt;=Projects!$C$18,CV$3&lt;Projects!$C$18+Projects!$D$18),Projects!$B$18*INDEX(Curves!$B$4:$AR$4,1,CV$3-Projects!$C$18+1),0)-IF(AND(Projects!$G$18="Yes",CV$3&gt;=Projects!$C$18,CV$3&lt;Projects!$C$18+Projects!$D$18),Projects!$B$18*(Assumptions!$B$10+Assumptions!$B$11+Assumptions!$B$12)/Projects!$D$18*0.95,0)-IF(AND(Projects!$G$18="Yes",CV$3=Projects!$C$18+Projects!$D$18-1),Projects!$B$18*(Assumptions!$B$10+Assumptions!$B$11+Assumptions!$B$12)*0.05,0)</f>
        <v/>
      </c>
      <c r="CW27" s="399">
        <f>IF(AND(Projects!$G$18="Yes",CW$3&gt;=Projects!$C$18,CW$3&lt;Projects!$C$18+Projects!$D$18),Projects!$B$18*INDEX(Curves!$B$4:$AR$4,1,CW$3-Projects!$C$18+1),0)-IF(AND(Projects!$G$18="Yes",CW$3&gt;=Projects!$C$18,CW$3&lt;Projects!$C$18+Projects!$D$18),Projects!$B$18*(Assumptions!$B$10+Assumptions!$B$11+Assumptions!$B$12)/Projects!$D$18*0.95,0)-IF(AND(Projects!$G$18="Yes",CW$3=Projects!$C$18+Projects!$D$18-1),Projects!$B$18*(Assumptions!$B$10+Assumptions!$B$11+Assumptions!$B$12)*0.05,0)</f>
        <v/>
      </c>
      <c r="CX27" s="399">
        <f>IF(AND(Projects!$G$18="Yes",CX$3&gt;=Projects!$C$18,CX$3&lt;Projects!$C$18+Projects!$D$18),Projects!$B$18*INDEX(Curves!$B$4:$AR$4,1,CX$3-Projects!$C$18+1),0)-IF(AND(Projects!$G$18="Yes",CX$3&gt;=Projects!$C$18,CX$3&lt;Projects!$C$18+Projects!$D$18),Projects!$B$18*(Assumptions!$B$10+Assumptions!$B$11+Assumptions!$B$12)/Projects!$D$18*0.95,0)-IF(AND(Projects!$G$18="Yes",CX$3=Projects!$C$18+Projects!$D$18-1),Projects!$B$18*(Assumptions!$B$10+Assumptions!$B$11+Assumptions!$B$12)*0.05,0)</f>
        <v/>
      </c>
      <c r="CY27" s="399">
        <f>IF(AND(Projects!$G$18="Yes",CY$3&gt;=Projects!$C$18,CY$3&lt;Projects!$C$18+Projects!$D$18),Projects!$B$18*INDEX(Curves!$B$4:$AR$4,1,CY$3-Projects!$C$18+1),0)-IF(AND(Projects!$G$18="Yes",CY$3&gt;=Projects!$C$18,CY$3&lt;Projects!$C$18+Projects!$D$18),Projects!$B$18*(Assumptions!$B$10+Assumptions!$B$11+Assumptions!$B$12)/Projects!$D$18*0.95,0)-IF(AND(Projects!$G$18="Yes",CY$3=Projects!$C$18+Projects!$D$18-1),Projects!$B$18*(Assumptions!$B$10+Assumptions!$B$11+Assumptions!$B$12)*0.05,0)</f>
        <v/>
      </c>
      <c r="CZ27" s="399">
        <f>IF(AND(Projects!$G$18="Yes",CZ$3&gt;=Projects!$C$18,CZ$3&lt;Projects!$C$18+Projects!$D$18),Projects!$B$18*INDEX(Curves!$B$4:$AR$4,1,CZ$3-Projects!$C$18+1),0)-IF(AND(Projects!$G$18="Yes",CZ$3&gt;=Projects!$C$18,CZ$3&lt;Projects!$C$18+Projects!$D$18),Projects!$B$18*(Assumptions!$B$10+Assumptions!$B$11+Assumptions!$B$12)/Projects!$D$18*0.95,0)-IF(AND(Projects!$G$18="Yes",CZ$3=Projects!$C$18+Projects!$D$18-1),Projects!$B$18*(Assumptions!$B$10+Assumptions!$B$11+Assumptions!$B$12)*0.05,0)</f>
        <v/>
      </c>
      <c r="DA27" s="399">
        <f>IF(AND(Projects!$G$18="Yes",DA$3&gt;=Projects!$C$18,DA$3&lt;Projects!$C$18+Projects!$D$18),Projects!$B$18*INDEX(Curves!$B$4:$AR$4,1,DA$3-Projects!$C$18+1),0)-IF(AND(Projects!$G$18="Yes",DA$3&gt;=Projects!$C$18,DA$3&lt;Projects!$C$18+Projects!$D$18),Projects!$B$18*(Assumptions!$B$10+Assumptions!$B$11+Assumptions!$B$12)/Projects!$D$18*0.95,0)-IF(AND(Projects!$G$18="Yes",DA$3=Projects!$C$18+Projects!$D$18-1),Projects!$B$18*(Assumptions!$B$10+Assumptions!$B$11+Assumptions!$B$12)*0.05,0)</f>
        <v/>
      </c>
      <c r="DB27" s="399">
        <f>IF(AND(Projects!$G$18="Yes",DB$3&gt;=Projects!$C$18,DB$3&lt;Projects!$C$18+Projects!$D$18),Projects!$B$18*INDEX(Curves!$B$4:$AR$4,1,DB$3-Projects!$C$18+1),0)-IF(AND(Projects!$G$18="Yes",DB$3&gt;=Projects!$C$18,DB$3&lt;Projects!$C$18+Projects!$D$18),Projects!$B$18*(Assumptions!$B$10+Assumptions!$B$11+Assumptions!$B$12)/Projects!$D$18*0.95,0)-IF(AND(Projects!$G$18="Yes",DB$3=Projects!$C$18+Projects!$D$18-1),Projects!$B$18*(Assumptions!$B$10+Assumptions!$B$11+Assumptions!$B$12)*0.05,0)</f>
        <v/>
      </c>
      <c r="DC27" s="399">
        <f>IF(AND(Projects!$G$18="Yes",DC$3&gt;=Projects!$C$18,DC$3&lt;Projects!$C$18+Projects!$D$18),Projects!$B$18*INDEX(Curves!$B$4:$AR$4,1,DC$3-Projects!$C$18+1),0)-IF(AND(Projects!$G$18="Yes",DC$3&gt;=Projects!$C$18,DC$3&lt;Projects!$C$18+Projects!$D$18),Projects!$B$18*(Assumptions!$B$10+Assumptions!$B$11+Assumptions!$B$12)/Projects!$D$18*0.95,0)-IF(AND(Projects!$G$18="Yes",DC$3=Projects!$C$18+Projects!$D$18-1),Projects!$B$18*(Assumptions!$B$10+Assumptions!$B$11+Assumptions!$B$12)*0.05,0)</f>
        <v/>
      </c>
      <c r="DD27" s="399">
        <f>IF(AND(Projects!$G$18="Yes",DD$3&gt;=Projects!$C$18,DD$3&lt;Projects!$C$18+Projects!$D$18),Projects!$B$18*INDEX(Curves!$B$4:$AR$4,1,DD$3-Projects!$C$18+1),0)-IF(AND(Projects!$G$18="Yes",DD$3&gt;=Projects!$C$18,DD$3&lt;Projects!$C$18+Projects!$D$18),Projects!$B$18*(Assumptions!$B$10+Assumptions!$B$11+Assumptions!$B$12)/Projects!$D$18*0.95,0)-IF(AND(Projects!$G$18="Yes",DD$3=Projects!$C$18+Projects!$D$18-1),Projects!$B$18*(Assumptions!$B$10+Assumptions!$B$11+Assumptions!$B$12)*0.05,0)</f>
        <v/>
      </c>
      <c r="DE27" s="399">
        <f>IF(AND(Projects!$G$18="Yes",DE$3&gt;=Projects!$C$18,DE$3&lt;Projects!$C$18+Projects!$D$18),Projects!$B$18*INDEX(Curves!$B$4:$AR$4,1,DE$3-Projects!$C$18+1),0)-IF(AND(Projects!$G$18="Yes",DE$3&gt;=Projects!$C$18,DE$3&lt;Projects!$C$18+Projects!$D$18),Projects!$B$18*(Assumptions!$B$10+Assumptions!$B$11+Assumptions!$B$12)/Projects!$D$18*0.95,0)-IF(AND(Projects!$G$18="Yes",DE$3=Projects!$C$18+Projects!$D$18-1),Projects!$B$18*(Assumptions!$B$10+Assumptions!$B$11+Assumptions!$B$12)*0.05,0)</f>
        <v/>
      </c>
    </row>
    <row r="28" hidden="1" outlineLevel="1" ht="15" customFormat="1" customHeight="1" s="380">
      <c r="A28" s="407" t="inlineStr">
        <is>
          <t>Moorpark</t>
        </is>
      </c>
      <c r="B28" s="399" t="n">
        <v>0</v>
      </c>
      <c r="C28" s="399" t="n">
        <v>0</v>
      </c>
      <c r="D28" s="399" t="n">
        <v>0</v>
      </c>
      <c r="E28" s="399" t="n">
        <v>0</v>
      </c>
      <c r="F28" s="399">
        <f>IF(AND(Projects!$G$19="Yes",F$3&gt;=Projects!$C$19,F$3&lt;Projects!$C$19+Projects!$D$19),Projects!$B$19*INDEX(Curves!$B$4:$AR$4,1,F$3-Projects!$C$19+1),0)-IF(AND(Projects!$G$19="Yes",F$3&gt;=Projects!$C$19,F$3&lt;Projects!$C$19+Projects!$D$19),Projects!$B$19*(Assumptions!$B$10+Assumptions!$B$11+Assumptions!$B$12)/Projects!$D$19*0.95,0)-IF(AND(Projects!$G$19="Yes",F$3=Projects!$C$19+Projects!$D$19-1),Projects!$B$19*(Assumptions!$B$10+Assumptions!$B$11+Assumptions!$B$12)*0.05,0)</f>
        <v/>
      </c>
      <c r="G28" s="399">
        <f>IF(AND(Projects!$G$19="Yes",G$3&gt;=Projects!$C$19,G$3&lt;Projects!$C$19+Projects!$D$19),Projects!$B$19*INDEX(Curves!$B$4:$AR$4,1,G$3-Projects!$C$19+1),0)-IF(AND(Projects!$G$19="Yes",G$3&gt;=Projects!$C$19,G$3&lt;Projects!$C$19+Projects!$D$19),Projects!$B$19*(Assumptions!$B$10+Assumptions!$B$11+Assumptions!$B$12)/Projects!$D$19*0.95,0)-IF(AND(Projects!$G$19="Yes",G$3=Projects!$C$19+Projects!$D$19-1),Projects!$B$19*(Assumptions!$B$10+Assumptions!$B$11+Assumptions!$B$12)*0.05,0)</f>
        <v/>
      </c>
      <c r="H28" s="399">
        <f>IF(AND(Projects!$G$19="Yes",H$3&gt;=Projects!$C$19,H$3&lt;Projects!$C$19+Projects!$D$19),Projects!$B$19*INDEX(Curves!$B$4:$AR$4,1,H$3-Projects!$C$19+1),0)-IF(AND(Projects!$G$19="Yes",H$3&gt;=Projects!$C$19,H$3&lt;Projects!$C$19+Projects!$D$19),Projects!$B$19*(Assumptions!$B$10+Assumptions!$B$11+Assumptions!$B$12)/Projects!$D$19*0.95,0)-IF(AND(Projects!$G$19="Yes",H$3=Projects!$C$19+Projects!$D$19-1),Projects!$B$19*(Assumptions!$B$10+Assumptions!$B$11+Assumptions!$B$12)*0.05,0)</f>
        <v/>
      </c>
      <c r="I28" s="399">
        <f>IF(AND(Projects!$G$19="Yes",I$3&gt;=Projects!$C$19,I$3&lt;Projects!$C$19+Projects!$D$19),Projects!$B$19*INDEX(Curves!$B$4:$AR$4,1,I$3-Projects!$C$19+1),0)-IF(AND(Projects!$G$19="Yes",I$3&gt;=Projects!$C$19,I$3&lt;Projects!$C$19+Projects!$D$19),Projects!$B$19*(Assumptions!$B$10+Assumptions!$B$11+Assumptions!$B$12)/Projects!$D$19*0.95,0)-IF(AND(Projects!$G$19="Yes",I$3=Projects!$C$19+Projects!$D$19-1),Projects!$B$19*(Assumptions!$B$10+Assumptions!$B$11+Assumptions!$B$12)*0.05,0)</f>
        <v/>
      </c>
      <c r="J28" s="399">
        <f>IF(AND(Projects!$G$19="Yes",J$3&gt;=Projects!$C$19,J$3&lt;Projects!$C$19+Projects!$D$19),Projects!$B$19*INDEX(Curves!$B$4:$AR$4,1,J$3-Projects!$C$19+1),0)-IF(AND(Projects!$G$19="Yes",J$3&gt;=Projects!$C$19,J$3&lt;Projects!$C$19+Projects!$D$19),Projects!$B$19*(Assumptions!$B$10+Assumptions!$B$11+Assumptions!$B$12)/Projects!$D$19*0.95,0)-IF(AND(Projects!$G$19="Yes",J$3=Projects!$C$19+Projects!$D$19-1),Projects!$B$19*(Assumptions!$B$10+Assumptions!$B$11+Assumptions!$B$12)*0.05,0)</f>
        <v/>
      </c>
      <c r="K28" s="399">
        <f>IF(AND(Projects!$G$19="Yes",K$3&gt;=Projects!$C$19,K$3&lt;Projects!$C$19+Projects!$D$19),Projects!$B$19*INDEX(Curves!$B$4:$AR$4,1,K$3-Projects!$C$19+1),0)-IF(AND(Projects!$G$19="Yes",K$3&gt;=Projects!$C$19,K$3&lt;Projects!$C$19+Projects!$D$19),Projects!$B$19*(Assumptions!$B$10+Assumptions!$B$11+Assumptions!$B$12)/Projects!$D$19*0.95,0)-IF(AND(Projects!$G$19="Yes",K$3=Projects!$C$19+Projects!$D$19-1),Projects!$B$19*(Assumptions!$B$10+Assumptions!$B$11+Assumptions!$B$12)*0.05,0)</f>
        <v/>
      </c>
      <c r="L28" s="399">
        <f>IF(AND(Projects!$G$19="Yes",L$3&gt;=Projects!$C$19,L$3&lt;Projects!$C$19+Projects!$D$19),Projects!$B$19*INDEX(Curves!$B$4:$AR$4,1,L$3-Projects!$C$19+1),0)-IF(AND(Projects!$G$19="Yes",L$3&gt;=Projects!$C$19,L$3&lt;Projects!$C$19+Projects!$D$19),Projects!$B$19*(Assumptions!$B$10+Assumptions!$B$11+Assumptions!$B$12)/Projects!$D$19*0.95,0)-IF(AND(Projects!$G$19="Yes",L$3=Projects!$C$19+Projects!$D$19-1),Projects!$B$19*(Assumptions!$B$10+Assumptions!$B$11+Assumptions!$B$12)*0.05,0)</f>
        <v/>
      </c>
      <c r="M28" s="399">
        <f>IF(AND(Projects!$G$19="Yes",M$3&gt;=Projects!$C$19,M$3&lt;Projects!$C$19+Projects!$D$19),Projects!$B$19*INDEX(Curves!$B$4:$AR$4,1,M$3-Projects!$C$19+1),0)-IF(AND(Projects!$G$19="Yes",M$3&gt;=Projects!$C$19,M$3&lt;Projects!$C$19+Projects!$D$19),Projects!$B$19*(Assumptions!$B$10+Assumptions!$B$11+Assumptions!$B$12)/Projects!$D$19*0.95,0)-IF(AND(Projects!$G$19="Yes",M$3=Projects!$C$19+Projects!$D$19-1),Projects!$B$19*(Assumptions!$B$10+Assumptions!$B$11+Assumptions!$B$12)*0.05,0)</f>
        <v/>
      </c>
      <c r="N28" s="399">
        <f>IF(AND(Projects!$G$19="Yes",N$3&gt;=Projects!$C$19,N$3&lt;Projects!$C$19+Projects!$D$19),Projects!$B$19*INDEX(Curves!$B$4:$AR$4,1,N$3-Projects!$C$19+1),0)-IF(AND(Projects!$G$19="Yes",N$3&gt;=Projects!$C$19,N$3&lt;Projects!$C$19+Projects!$D$19),Projects!$B$19*(Assumptions!$B$10+Assumptions!$B$11+Assumptions!$B$12)/Projects!$D$19*0.95,0)-IF(AND(Projects!$G$19="Yes",N$3=Projects!$C$19+Projects!$D$19-1),Projects!$B$19*(Assumptions!$B$10+Assumptions!$B$11+Assumptions!$B$12)*0.05,0)</f>
        <v/>
      </c>
      <c r="O28" s="399">
        <f>IF(AND(Projects!$G$19="Yes",O$3&gt;=Projects!$C$19,O$3&lt;Projects!$C$19+Projects!$D$19),Projects!$B$19*INDEX(Curves!$B$4:$AR$4,1,O$3-Projects!$C$19+1),0)-IF(AND(Projects!$G$19="Yes",O$3&gt;=Projects!$C$19,O$3&lt;Projects!$C$19+Projects!$D$19),Projects!$B$19*(Assumptions!$B$10+Assumptions!$B$11+Assumptions!$B$12)/Projects!$D$19*0.95,0)-IF(AND(Projects!$G$19="Yes",O$3=Projects!$C$19+Projects!$D$19-1),Projects!$B$19*(Assumptions!$B$10+Assumptions!$B$11+Assumptions!$B$12)*0.05,0)</f>
        <v/>
      </c>
      <c r="P28" s="399">
        <f>IF(AND(Projects!$G$19="Yes",P$3&gt;=Projects!$C$19,P$3&lt;Projects!$C$19+Projects!$D$19),Projects!$B$19*INDEX(Curves!$B$4:$AR$4,1,P$3-Projects!$C$19+1),0)-IF(AND(Projects!$G$19="Yes",P$3&gt;=Projects!$C$19,P$3&lt;Projects!$C$19+Projects!$D$19),Projects!$B$19*(Assumptions!$B$10+Assumptions!$B$11+Assumptions!$B$12)/Projects!$D$19*0.95,0)-IF(AND(Projects!$G$19="Yes",P$3=Projects!$C$19+Projects!$D$19-1),Projects!$B$19*(Assumptions!$B$10+Assumptions!$B$11+Assumptions!$B$12)*0.05,0)</f>
        <v/>
      </c>
      <c r="Q28" s="399">
        <f>IF(AND(Projects!$G$19="Yes",Q$3&gt;=Projects!$C$19,Q$3&lt;Projects!$C$19+Projects!$D$19),Projects!$B$19*INDEX(Curves!$B$4:$AR$4,1,Q$3-Projects!$C$19+1),0)-IF(AND(Projects!$G$19="Yes",Q$3&gt;=Projects!$C$19,Q$3&lt;Projects!$C$19+Projects!$D$19),Projects!$B$19*(Assumptions!$B$10+Assumptions!$B$11+Assumptions!$B$12)/Projects!$D$19*0.95,0)-IF(AND(Projects!$G$19="Yes",Q$3=Projects!$C$19+Projects!$D$19-1),Projects!$B$19*(Assumptions!$B$10+Assumptions!$B$11+Assumptions!$B$12)*0.05,0)</f>
        <v/>
      </c>
      <c r="R28" s="399">
        <f>IF(AND(Projects!$G$19="Yes",R$3&gt;=Projects!$C$19,R$3&lt;Projects!$C$19+Projects!$D$19),Projects!$B$19*INDEX(Curves!$B$4:$AR$4,1,R$3-Projects!$C$19+1),0)-IF(AND(Projects!$G$19="Yes",R$3&gt;=Projects!$C$19,R$3&lt;Projects!$C$19+Projects!$D$19),Projects!$B$19*(Assumptions!$B$10+Assumptions!$B$11+Assumptions!$B$12)/Projects!$D$19*0.95,0)-IF(AND(Projects!$G$19="Yes",R$3=Projects!$C$19+Projects!$D$19-1),Projects!$B$19*(Assumptions!$B$10+Assumptions!$B$11+Assumptions!$B$12)*0.05,0)</f>
        <v/>
      </c>
      <c r="S28" s="399">
        <f>IF(AND(Projects!$G$19="Yes",S$3&gt;=Projects!$C$19,S$3&lt;Projects!$C$19+Projects!$D$19),Projects!$B$19*INDEX(Curves!$B$4:$AR$4,1,S$3-Projects!$C$19+1),0)-IF(AND(Projects!$G$19="Yes",S$3&gt;=Projects!$C$19,S$3&lt;Projects!$C$19+Projects!$D$19),Projects!$B$19*(Assumptions!$B$10+Assumptions!$B$11+Assumptions!$B$12)/Projects!$D$19*0.95,0)-IF(AND(Projects!$G$19="Yes",S$3=Projects!$C$19+Projects!$D$19-1),Projects!$B$19*(Assumptions!$B$10+Assumptions!$B$11+Assumptions!$B$12)*0.05,0)</f>
        <v/>
      </c>
      <c r="T28" s="399">
        <f>IF(AND(Projects!$G$19="Yes",T$3&gt;=Projects!$C$19,T$3&lt;Projects!$C$19+Projects!$D$19),Projects!$B$19*INDEX(Curves!$B$4:$AR$4,1,T$3-Projects!$C$19+1),0)-IF(AND(Projects!$G$19="Yes",T$3&gt;=Projects!$C$19,T$3&lt;Projects!$C$19+Projects!$D$19),Projects!$B$19*(Assumptions!$B$10+Assumptions!$B$11+Assumptions!$B$12)/Projects!$D$19*0.95,0)-IF(AND(Projects!$G$19="Yes",T$3=Projects!$C$19+Projects!$D$19-1),Projects!$B$19*(Assumptions!$B$10+Assumptions!$B$11+Assumptions!$B$12)*0.05,0)</f>
        <v/>
      </c>
      <c r="U28" s="399">
        <f>IF(AND(Projects!$G$19="Yes",U$3&gt;=Projects!$C$19,U$3&lt;Projects!$C$19+Projects!$D$19),Projects!$B$19*INDEX(Curves!$B$4:$AR$4,1,U$3-Projects!$C$19+1),0)-IF(AND(Projects!$G$19="Yes",U$3&gt;=Projects!$C$19,U$3&lt;Projects!$C$19+Projects!$D$19),Projects!$B$19*(Assumptions!$B$10+Assumptions!$B$11+Assumptions!$B$12)/Projects!$D$19*0.95,0)-IF(AND(Projects!$G$19="Yes",U$3=Projects!$C$19+Projects!$D$19-1),Projects!$B$19*(Assumptions!$B$10+Assumptions!$B$11+Assumptions!$B$12)*0.05,0)</f>
        <v/>
      </c>
      <c r="V28" s="399">
        <f>IF(AND(Projects!$G$19="Yes",V$3&gt;=Projects!$C$19,V$3&lt;Projects!$C$19+Projects!$D$19),Projects!$B$19*INDEX(Curves!$B$4:$AR$4,1,V$3-Projects!$C$19+1),0)-IF(AND(Projects!$G$19="Yes",V$3&gt;=Projects!$C$19,V$3&lt;Projects!$C$19+Projects!$D$19),Projects!$B$19*(Assumptions!$B$10+Assumptions!$B$11+Assumptions!$B$12)/Projects!$D$19*0.95,0)-IF(AND(Projects!$G$19="Yes",V$3=Projects!$C$19+Projects!$D$19-1),Projects!$B$19*(Assumptions!$B$10+Assumptions!$B$11+Assumptions!$B$12)*0.05,0)</f>
        <v/>
      </c>
      <c r="W28" s="399">
        <f>IF(AND(Projects!$G$19="Yes",W$3&gt;=Projects!$C$19,W$3&lt;Projects!$C$19+Projects!$D$19),Projects!$B$19*INDEX(Curves!$B$4:$AR$4,1,W$3-Projects!$C$19+1),0)-IF(AND(Projects!$G$19="Yes",W$3&gt;=Projects!$C$19,W$3&lt;Projects!$C$19+Projects!$D$19),Projects!$B$19*(Assumptions!$B$10+Assumptions!$B$11+Assumptions!$B$12)/Projects!$D$19*0.95,0)-IF(AND(Projects!$G$19="Yes",W$3=Projects!$C$19+Projects!$D$19-1),Projects!$B$19*(Assumptions!$B$10+Assumptions!$B$11+Assumptions!$B$12)*0.05,0)</f>
        <v/>
      </c>
      <c r="X28" s="399">
        <f>IF(AND(Projects!$G$19="Yes",X$3&gt;=Projects!$C$19,X$3&lt;Projects!$C$19+Projects!$D$19),Projects!$B$19*INDEX(Curves!$B$4:$AR$4,1,X$3-Projects!$C$19+1),0)-IF(AND(Projects!$G$19="Yes",X$3&gt;=Projects!$C$19,X$3&lt;Projects!$C$19+Projects!$D$19),Projects!$B$19*(Assumptions!$B$10+Assumptions!$B$11+Assumptions!$B$12)/Projects!$D$19*0.95,0)-IF(AND(Projects!$G$19="Yes",X$3=Projects!$C$19+Projects!$D$19-1),Projects!$B$19*(Assumptions!$B$10+Assumptions!$B$11+Assumptions!$B$12)*0.05,0)</f>
        <v/>
      </c>
      <c r="Y28" s="399">
        <f>IF(AND(Projects!$G$19="Yes",Y$3&gt;=Projects!$C$19,Y$3&lt;Projects!$C$19+Projects!$D$19),Projects!$B$19*INDEX(Curves!$B$4:$AR$4,1,Y$3-Projects!$C$19+1),0)-IF(AND(Projects!$G$19="Yes",Y$3&gt;=Projects!$C$19,Y$3&lt;Projects!$C$19+Projects!$D$19),Projects!$B$19*(Assumptions!$B$10+Assumptions!$B$11+Assumptions!$B$12)/Projects!$D$19*0.95,0)-IF(AND(Projects!$G$19="Yes",Y$3=Projects!$C$19+Projects!$D$19-1),Projects!$B$19*(Assumptions!$B$10+Assumptions!$B$11+Assumptions!$B$12)*0.05,0)</f>
        <v/>
      </c>
      <c r="Z28" s="399">
        <f>IF(AND(Projects!$G$19="Yes",Z$3&gt;=Projects!$C$19,Z$3&lt;Projects!$C$19+Projects!$D$19),Projects!$B$19*INDEX(Curves!$B$4:$AR$4,1,Z$3-Projects!$C$19+1),0)-IF(AND(Projects!$G$19="Yes",Z$3&gt;=Projects!$C$19,Z$3&lt;Projects!$C$19+Projects!$D$19),Projects!$B$19*(Assumptions!$B$10+Assumptions!$B$11+Assumptions!$B$12)/Projects!$D$19*0.95,0)-IF(AND(Projects!$G$19="Yes",Z$3=Projects!$C$19+Projects!$D$19-1),Projects!$B$19*(Assumptions!$B$10+Assumptions!$B$11+Assumptions!$B$12)*0.05,0)</f>
        <v/>
      </c>
      <c r="AA28" s="399">
        <f>IF(AND(Projects!$G$19="Yes",AA$3&gt;=Projects!$C$19,AA$3&lt;Projects!$C$19+Projects!$D$19),Projects!$B$19*INDEX(Curves!$B$4:$AR$4,1,AA$3-Projects!$C$19+1),0)-IF(AND(Projects!$G$19="Yes",AA$3&gt;=Projects!$C$19,AA$3&lt;Projects!$C$19+Projects!$D$19),Projects!$B$19*(Assumptions!$B$10+Assumptions!$B$11+Assumptions!$B$12)/Projects!$D$19*0.95,0)-IF(AND(Projects!$G$19="Yes",AA$3=Projects!$C$19+Projects!$D$19-1),Projects!$B$19*(Assumptions!$B$10+Assumptions!$B$11+Assumptions!$B$12)*0.05,0)</f>
        <v/>
      </c>
      <c r="AB28" s="399">
        <f>IF(AND(Projects!$G$19="Yes",AB$3&gt;=Projects!$C$19,AB$3&lt;Projects!$C$19+Projects!$D$19),Projects!$B$19*INDEX(Curves!$B$4:$AR$4,1,AB$3-Projects!$C$19+1),0)-IF(AND(Projects!$G$19="Yes",AB$3&gt;=Projects!$C$19,AB$3&lt;Projects!$C$19+Projects!$D$19),Projects!$B$19*(Assumptions!$B$10+Assumptions!$B$11+Assumptions!$B$12)/Projects!$D$19*0.95,0)-IF(AND(Projects!$G$19="Yes",AB$3=Projects!$C$19+Projects!$D$19-1),Projects!$B$19*(Assumptions!$B$10+Assumptions!$B$11+Assumptions!$B$12)*0.05,0)</f>
        <v/>
      </c>
      <c r="AC28" s="399">
        <f>IF(AND(Projects!$G$19="Yes",AC$3&gt;=Projects!$C$19,AC$3&lt;Projects!$C$19+Projects!$D$19),Projects!$B$19*INDEX(Curves!$B$4:$AR$4,1,AC$3-Projects!$C$19+1),0)-IF(AND(Projects!$G$19="Yes",AC$3&gt;=Projects!$C$19,AC$3&lt;Projects!$C$19+Projects!$D$19),Projects!$B$19*(Assumptions!$B$10+Assumptions!$B$11+Assumptions!$B$12)/Projects!$D$19*0.95,0)-IF(AND(Projects!$G$19="Yes",AC$3=Projects!$C$19+Projects!$D$19-1),Projects!$B$19*(Assumptions!$B$10+Assumptions!$B$11+Assumptions!$B$12)*0.05,0)</f>
        <v/>
      </c>
      <c r="AD28" s="399">
        <f>IF(AND(Projects!$G$19="Yes",AD$3&gt;=Projects!$C$19,AD$3&lt;Projects!$C$19+Projects!$D$19),Projects!$B$19*INDEX(Curves!$B$4:$AR$4,1,AD$3-Projects!$C$19+1),0)-IF(AND(Projects!$G$19="Yes",AD$3&gt;=Projects!$C$19,AD$3&lt;Projects!$C$19+Projects!$D$19),Projects!$B$19*(Assumptions!$B$10+Assumptions!$B$11+Assumptions!$B$12)/Projects!$D$19*0.95,0)-IF(AND(Projects!$G$19="Yes",AD$3=Projects!$C$19+Projects!$D$19-1),Projects!$B$19*(Assumptions!$B$10+Assumptions!$B$11+Assumptions!$B$12)*0.05,0)</f>
        <v/>
      </c>
      <c r="AE28" s="399">
        <f>IF(AND(Projects!$G$19="Yes",AE$3&gt;=Projects!$C$19,AE$3&lt;Projects!$C$19+Projects!$D$19),Projects!$B$19*INDEX(Curves!$B$4:$AR$4,1,AE$3-Projects!$C$19+1),0)-IF(AND(Projects!$G$19="Yes",AE$3&gt;=Projects!$C$19,AE$3&lt;Projects!$C$19+Projects!$D$19),Projects!$B$19*(Assumptions!$B$10+Assumptions!$B$11+Assumptions!$B$12)/Projects!$D$19*0.95,0)-IF(AND(Projects!$G$19="Yes",AE$3=Projects!$C$19+Projects!$D$19-1),Projects!$B$19*(Assumptions!$B$10+Assumptions!$B$11+Assumptions!$B$12)*0.05,0)</f>
        <v/>
      </c>
      <c r="AF28" s="399">
        <f>IF(AND(Projects!$G$19="Yes",AF$3&gt;=Projects!$C$19,AF$3&lt;Projects!$C$19+Projects!$D$19),Projects!$B$19*INDEX(Curves!$B$4:$AR$4,1,AF$3-Projects!$C$19+1),0)-IF(AND(Projects!$G$19="Yes",AF$3&gt;=Projects!$C$19,AF$3&lt;Projects!$C$19+Projects!$D$19),Projects!$B$19*(Assumptions!$B$10+Assumptions!$B$11+Assumptions!$B$12)/Projects!$D$19*0.95,0)-IF(AND(Projects!$G$19="Yes",AF$3=Projects!$C$19+Projects!$D$19-1),Projects!$B$19*(Assumptions!$B$10+Assumptions!$B$11+Assumptions!$B$12)*0.05,0)</f>
        <v/>
      </c>
      <c r="AG28" s="399">
        <f>IF(AND(Projects!$G$19="Yes",AG$3&gt;=Projects!$C$19,AG$3&lt;Projects!$C$19+Projects!$D$19),Projects!$B$19*INDEX(Curves!$B$4:$AR$4,1,AG$3-Projects!$C$19+1),0)-IF(AND(Projects!$G$19="Yes",AG$3&gt;=Projects!$C$19,AG$3&lt;Projects!$C$19+Projects!$D$19),Projects!$B$19*(Assumptions!$B$10+Assumptions!$B$11+Assumptions!$B$12)/Projects!$D$19*0.95,0)-IF(AND(Projects!$G$19="Yes",AG$3=Projects!$C$19+Projects!$D$19-1),Projects!$B$19*(Assumptions!$B$10+Assumptions!$B$11+Assumptions!$B$12)*0.05,0)</f>
        <v/>
      </c>
      <c r="AH28" s="399">
        <f>IF(AND(Projects!$G$19="Yes",AH$3&gt;=Projects!$C$19,AH$3&lt;Projects!$C$19+Projects!$D$19),Projects!$B$19*INDEX(Curves!$B$4:$AR$4,1,AH$3-Projects!$C$19+1),0)-IF(AND(Projects!$G$19="Yes",AH$3&gt;=Projects!$C$19,AH$3&lt;Projects!$C$19+Projects!$D$19),Projects!$B$19*(Assumptions!$B$10+Assumptions!$B$11+Assumptions!$B$12)/Projects!$D$19*0.95,0)-IF(AND(Projects!$G$19="Yes",AH$3=Projects!$C$19+Projects!$D$19-1),Projects!$B$19*(Assumptions!$B$10+Assumptions!$B$11+Assumptions!$B$12)*0.05,0)</f>
        <v/>
      </c>
      <c r="AI28" s="399">
        <f>IF(AND(Projects!$G$19="Yes",AI$3&gt;=Projects!$C$19,AI$3&lt;Projects!$C$19+Projects!$D$19),Projects!$B$19*INDEX(Curves!$B$4:$AR$4,1,AI$3-Projects!$C$19+1),0)-IF(AND(Projects!$G$19="Yes",AI$3&gt;=Projects!$C$19,AI$3&lt;Projects!$C$19+Projects!$D$19),Projects!$B$19*(Assumptions!$B$10+Assumptions!$B$11+Assumptions!$B$12)/Projects!$D$19*0.95,0)-IF(AND(Projects!$G$19="Yes",AI$3=Projects!$C$19+Projects!$D$19-1),Projects!$B$19*(Assumptions!$B$10+Assumptions!$B$11+Assumptions!$B$12)*0.05,0)</f>
        <v/>
      </c>
      <c r="AJ28" s="399">
        <f>IF(AND(Projects!$G$19="Yes",AJ$3&gt;=Projects!$C$19,AJ$3&lt;Projects!$C$19+Projects!$D$19),Projects!$B$19*INDEX(Curves!$B$4:$AR$4,1,AJ$3-Projects!$C$19+1),0)-IF(AND(Projects!$G$19="Yes",AJ$3&gt;=Projects!$C$19,AJ$3&lt;Projects!$C$19+Projects!$D$19),Projects!$B$19*(Assumptions!$B$10+Assumptions!$B$11+Assumptions!$B$12)/Projects!$D$19*0.95,0)-IF(AND(Projects!$G$19="Yes",AJ$3=Projects!$C$19+Projects!$D$19-1),Projects!$B$19*(Assumptions!$B$10+Assumptions!$B$11+Assumptions!$B$12)*0.05,0)</f>
        <v/>
      </c>
      <c r="AK28" s="399">
        <f>IF(AND(Projects!$G$19="Yes",AK$3&gt;=Projects!$C$19,AK$3&lt;Projects!$C$19+Projects!$D$19),Projects!$B$19*INDEX(Curves!$B$4:$AR$4,1,AK$3-Projects!$C$19+1),0)-IF(AND(Projects!$G$19="Yes",AK$3&gt;=Projects!$C$19,AK$3&lt;Projects!$C$19+Projects!$D$19),Projects!$B$19*(Assumptions!$B$10+Assumptions!$B$11+Assumptions!$B$12)/Projects!$D$19*0.95,0)-IF(AND(Projects!$G$19="Yes",AK$3=Projects!$C$19+Projects!$D$19-1),Projects!$B$19*(Assumptions!$B$10+Assumptions!$B$11+Assumptions!$B$12)*0.05,0)</f>
        <v/>
      </c>
      <c r="AL28" s="399">
        <f>IF(AND(Projects!$G$19="Yes",AL$3&gt;=Projects!$C$19,AL$3&lt;Projects!$C$19+Projects!$D$19),Projects!$B$19*INDEX(Curves!$B$4:$AR$4,1,AL$3-Projects!$C$19+1),0)-IF(AND(Projects!$G$19="Yes",AL$3&gt;=Projects!$C$19,AL$3&lt;Projects!$C$19+Projects!$D$19),Projects!$B$19*(Assumptions!$B$10+Assumptions!$B$11+Assumptions!$B$12)/Projects!$D$19*0.95,0)-IF(AND(Projects!$G$19="Yes",AL$3=Projects!$C$19+Projects!$D$19-1),Projects!$B$19*(Assumptions!$B$10+Assumptions!$B$11+Assumptions!$B$12)*0.05,0)</f>
        <v/>
      </c>
      <c r="AM28" s="399">
        <f>IF(AND(Projects!$G$19="Yes",AM$3&gt;=Projects!$C$19,AM$3&lt;Projects!$C$19+Projects!$D$19),Projects!$B$19*INDEX(Curves!$B$4:$AR$4,1,AM$3-Projects!$C$19+1),0)-IF(AND(Projects!$G$19="Yes",AM$3&gt;=Projects!$C$19,AM$3&lt;Projects!$C$19+Projects!$D$19),Projects!$B$19*(Assumptions!$B$10+Assumptions!$B$11+Assumptions!$B$12)/Projects!$D$19*0.95,0)-IF(AND(Projects!$G$19="Yes",AM$3=Projects!$C$19+Projects!$D$19-1),Projects!$B$19*(Assumptions!$B$10+Assumptions!$B$11+Assumptions!$B$12)*0.05,0)</f>
        <v/>
      </c>
      <c r="AN28" s="399">
        <f>IF(AND(Projects!$G$19="Yes",AN$3&gt;=Projects!$C$19,AN$3&lt;Projects!$C$19+Projects!$D$19),Projects!$B$19*INDEX(Curves!$B$4:$AR$4,1,AN$3-Projects!$C$19+1),0)-IF(AND(Projects!$G$19="Yes",AN$3&gt;=Projects!$C$19,AN$3&lt;Projects!$C$19+Projects!$D$19),Projects!$B$19*(Assumptions!$B$10+Assumptions!$B$11+Assumptions!$B$12)/Projects!$D$19*0.95,0)-IF(AND(Projects!$G$19="Yes",AN$3=Projects!$C$19+Projects!$D$19-1),Projects!$B$19*(Assumptions!$B$10+Assumptions!$B$11+Assumptions!$B$12)*0.05,0)</f>
        <v/>
      </c>
      <c r="AO28" s="399">
        <f>IF(AND(Projects!$G$19="Yes",AO$3&gt;=Projects!$C$19,AO$3&lt;Projects!$C$19+Projects!$D$19),Projects!$B$19*INDEX(Curves!$B$4:$AR$4,1,AO$3-Projects!$C$19+1),0)-IF(AND(Projects!$G$19="Yes",AO$3&gt;=Projects!$C$19,AO$3&lt;Projects!$C$19+Projects!$D$19),Projects!$B$19*(Assumptions!$B$10+Assumptions!$B$11+Assumptions!$B$12)/Projects!$D$19*0.95,0)-IF(AND(Projects!$G$19="Yes",AO$3=Projects!$C$19+Projects!$D$19-1),Projects!$B$19*(Assumptions!$B$10+Assumptions!$B$11+Assumptions!$B$12)*0.05,0)</f>
        <v/>
      </c>
      <c r="AP28" s="399">
        <f>IF(AND(Projects!$G$19="Yes",AP$3&gt;=Projects!$C$19,AP$3&lt;Projects!$C$19+Projects!$D$19),Projects!$B$19*INDEX(Curves!$B$4:$AR$4,1,AP$3-Projects!$C$19+1),0)-IF(AND(Projects!$G$19="Yes",AP$3&gt;=Projects!$C$19,AP$3&lt;Projects!$C$19+Projects!$D$19),Projects!$B$19*(Assumptions!$B$10+Assumptions!$B$11+Assumptions!$B$12)/Projects!$D$19*0.95,0)-IF(AND(Projects!$G$19="Yes",AP$3=Projects!$C$19+Projects!$D$19-1),Projects!$B$19*(Assumptions!$B$10+Assumptions!$B$11+Assumptions!$B$12)*0.05,0)</f>
        <v/>
      </c>
      <c r="AQ28" s="399">
        <f>IF(AND(Projects!$G$19="Yes",AQ$3&gt;=Projects!$C$19,AQ$3&lt;Projects!$C$19+Projects!$D$19),Projects!$B$19*INDEX(Curves!$B$4:$AR$4,1,AQ$3-Projects!$C$19+1),0)-IF(AND(Projects!$G$19="Yes",AQ$3&gt;=Projects!$C$19,AQ$3&lt;Projects!$C$19+Projects!$D$19),Projects!$B$19*(Assumptions!$B$10+Assumptions!$B$11+Assumptions!$B$12)/Projects!$D$19*0.95,0)-IF(AND(Projects!$G$19="Yes",AQ$3=Projects!$C$19+Projects!$D$19-1),Projects!$B$19*(Assumptions!$B$10+Assumptions!$B$11+Assumptions!$B$12)*0.05,0)</f>
        <v/>
      </c>
      <c r="AR28" s="399">
        <f>IF(AND(Projects!$G$19="Yes",AR$3&gt;=Projects!$C$19,AR$3&lt;Projects!$C$19+Projects!$D$19),Projects!$B$19*INDEX(Curves!$B$4:$AR$4,1,AR$3-Projects!$C$19+1),0)-IF(AND(Projects!$G$19="Yes",AR$3&gt;=Projects!$C$19,AR$3&lt;Projects!$C$19+Projects!$D$19),Projects!$B$19*(Assumptions!$B$10+Assumptions!$B$11+Assumptions!$B$12)/Projects!$D$19*0.95,0)-IF(AND(Projects!$G$19="Yes",AR$3=Projects!$C$19+Projects!$D$19-1),Projects!$B$19*(Assumptions!$B$10+Assumptions!$B$11+Assumptions!$B$12)*0.05,0)</f>
        <v/>
      </c>
      <c r="AS28" s="399">
        <f>IF(AND(Projects!$G$19="Yes",AS$3&gt;=Projects!$C$19,AS$3&lt;Projects!$C$19+Projects!$D$19),Projects!$B$19*INDEX(Curves!$B$4:$AR$4,1,AS$3-Projects!$C$19+1),0)-IF(AND(Projects!$G$19="Yes",AS$3&gt;=Projects!$C$19,AS$3&lt;Projects!$C$19+Projects!$D$19),Projects!$B$19*(Assumptions!$B$10+Assumptions!$B$11+Assumptions!$B$12)/Projects!$D$19*0.95,0)-IF(AND(Projects!$G$19="Yes",AS$3=Projects!$C$19+Projects!$D$19-1),Projects!$B$19*(Assumptions!$B$10+Assumptions!$B$11+Assumptions!$B$12)*0.05,0)</f>
        <v/>
      </c>
      <c r="AT28" s="399">
        <f>IF(AND(Projects!$G$19="Yes",AT$3&gt;=Projects!$C$19,AT$3&lt;Projects!$C$19+Projects!$D$19),Projects!$B$19*INDEX(Curves!$B$4:$AR$4,1,AT$3-Projects!$C$19+1),0)-IF(AND(Projects!$G$19="Yes",AT$3&gt;=Projects!$C$19,AT$3&lt;Projects!$C$19+Projects!$D$19),Projects!$B$19*(Assumptions!$B$10+Assumptions!$B$11+Assumptions!$B$12)/Projects!$D$19*0.95,0)-IF(AND(Projects!$G$19="Yes",AT$3=Projects!$C$19+Projects!$D$19-1),Projects!$B$19*(Assumptions!$B$10+Assumptions!$B$11+Assumptions!$B$12)*0.05,0)</f>
        <v/>
      </c>
      <c r="AU28" s="399">
        <f>IF(AND(Projects!$G$19="Yes",AU$3&gt;=Projects!$C$19,AU$3&lt;Projects!$C$19+Projects!$D$19),Projects!$B$19*INDEX(Curves!$B$4:$AR$4,1,AU$3-Projects!$C$19+1),0)-IF(AND(Projects!$G$19="Yes",AU$3&gt;=Projects!$C$19,AU$3&lt;Projects!$C$19+Projects!$D$19),Projects!$B$19*(Assumptions!$B$10+Assumptions!$B$11+Assumptions!$B$12)/Projects!$D$19*0.95,0)-IF(AND(Projects!$G$19="Yes",AU$3=Projects!$C$19+Projects!$D$19-1),Projects!$B$19*(Assumptions!$B$10+Assumptions!$B$11+Assumptions!$B$12)*0.05,0)</f>
        <v/>
      </c>
      <c r="AV28" s="399">
        <f>IF(AND(Projects!$G$19="Yes",AV$3&gt;=Projects!$C$19,AV$3&lt;Projects!$C$19+Projects!$D$19),Projects!$B$19*INDEX(Curves!$B$4:$AR$4,1,AV$3-Projects!$C$19+1),0)-IF(AND(Projects!$G$19="Yes",AV$3&gt;=Projects!$C$19,AV$3&lt;Projects!$C$19+Projects!$D$19),Projects!$B$19*(Assumptions!$B$10+Assumptions!$B$11+Assumptions!$B$12)/Projects!$D$19*0.95,0)-IF(AND(Projects!$G$19="Yes",AV$3=Projects!$C$19+Projects!$D$19-1),Projects!$B$19*(Assumptions!$B$10+Assumptions!$B$11+Assumptions!$B$12)*0.05,0)</f>
        <v/>
      </c>
      <c r="AW28" s="399">
        <f>IF(AND(Projects!$G$19="Yes",AW$3&gt;=Projects!$C$19,AW$3&lt;Projects!$C$19+Projects!$D$19),Projects!$B$19*INDEX(Curves!$B$4:$AR$4,1,AW$3-Projects!$C$19+1),0)-IF(AND(Projects!$G$19="Yes",AW$3&gt;=Projects!$C$19,AW$3&lt;Projects!$C$19+Projects!$D$19),Projects!$B$19*(Assumptions!$B$10+Assumptions!$B$11+Assumptions!$B$12)/Projects!$D$19*0.95,0)-IF(AND(Projects!$G$19="Yes",AW$3=Projects!$C$19+Projects!$D$19-1),Projects!$B$19*(Assumptions!$B$10+Assumptions!$B$11+Assumptions!$B$12)*0.05,0)</f>
        <v/>
      </c>
      <c r="AX28" s="399">
        <f>IF(AND(Projects!$G$19="Yes",AX$3&gt;=Projects!$C$19,AX$3&lt;Projects!$C$19+Projects!$D$19),Projects!$B$19*INDEX(Curves!$B$4:$AR$4,1,AX$3-Projects!$C$19+1),0)-IF(AND(Projects!$G$19="Yes",AX$3&gt;=Projects!$C$19,AX$3&lt;Projects!$C$19+Projects!$D$19),Projects!$B$19*(Assumptions!$B$10+Assumptions!$B$11+Assumptions!$B$12)/Projects!$D$19*0.95,0)-IF(AND(Projects!$G$19="Yes",AX$3=Projects!$C$19+Projects!$D$19-1),Projects!$B$19*(Assumptions!$B$10+Assumptions!$B$11+Assumptions!$B$12)*0.05,0)</f>
        <v/>
      </c>
      <c r="AY28" s="399">
        <f>IF(AND(Projects!$G$19="Yes",AY$3&gt;=Projects!$C$19,AY$3&lt;Projects!$C$19+Projects!$D$19),Projects!$B$19*INDEX(Curves!$B$4:$AR$4,1,AY$3-Projects!$C$19+1),0)-IF(AND(Projects!$G$19="Yes",AY$3&gt;=Projects!$C$19,AY$3&lt;Projects!$C$19+Projects!$D$19),Projects!$B$19*(Assumptions!$B$10+Assumptions!$B$11+Assumptions!$B$12)/Projects!$D$19*0.95,0)-IF(AND(Projects!$G$19="Yes",AY$3=Projects!$C$19+Projects!$D$19-1),Projects!$B$19*(Assumptions!$B$10+Assumptions!$B$11+Assumptions!$B$12)*0.05,0)</f>
        <v/>
      </c>
      <c r="AZ28" s="399">
        <f>IF(AND(Projects!$G$19="Yes",AZ$3&gt;=Projects!$C$19,AZ$3&lt;Projects!$C$19+Projects!$D$19),Projects!$B$19*INDEX(Curves!$B$4:$AR$4,1,AZ$3-Projects!$C$19+1),0)-IF(AND(Projects!$G$19="Yes",AZ$3&gt;=Projects!$C$19,AZ$3&lt;Projects!$C$19+Projects!$D$19),Projects!$B$19*(Assumptions!$B$10+Assumptions!$B$11+Assumptions!$B$12)/Projects!$D$19*0.95,0)-IF(AND(Projects!$G$19="Yes",AZ$3=Projects!$C$19+Projects!$D$19-1),Projects!$B$19*(Assumptions!$B$10+Assumptions!$B$11+Assumptions!$B$12)*0.05,0)</f>
        <v/>
      </c>
      <c r="BA28" s="399">
        <f>IF(AND(Projects!$G$19="Yes",BA$3&gt;=Projects!$C$19,BA$3&lt;Projects!$C$19+Projects!$D$19),Projects!$B$19*INDEX(Curves!$B$4:$AR$4,1,BA$3-Projects!$C$19+1),0)-IF(AND(Projects!$G$19="Yes",BA$3&gt;=Projects!$C$19,BA$3&lt;Projects!$C$19+Projects!$D$19),Projects!$B$19*(Assumptions!$B$10+Assumptions!$B$11+Assumptions!$B$12)/Projects!$D$19*0.95,0)-IF(AND(Projects!$G$19="Yes",BA$3=Projects!$C$19+Projects!$D$19-1),Projects!$B$19*(Assumptions!$B$10+Assumptions!$B$11+Assumptions!$B$12)*0.05,0)</f>
        <v/>
      </c>
      <c r="BB28" s="399">
        <f>IF(AND(Projects!$G$19="Yes",BB$3&gt;=Projects!$C$19,BB$3&lt;Projects!$C$19+Projects!$D$19),Projects!$B$19*INDEX(Curves!$B$4:$AR$4,1,BB$3-Projects!$C$19+1),0)-IF(AND(Projects!$G$19="Yes",BB$3&gt;=Projects!$C$19,BB$3&lt;Projects!$C$19+Projects!$D$19),Projects!$B$19*(Assumptions!$B$10+Assumptions!$B$11+Assumptions!$B$12)/Projects!$D$19*0.95,0)-IF(AND(Projects!$G$19="Yes",BB$3=Projects!$C$19+Projects!$D$19-1),Projects!$B$19*(Assumptions!$B$10+Assumptions!$B$11+Assumptions!$B$12)*0.05,0)</f>
        <v/>
      </c>
      <c r="BC28" s="399">
        <f>IF(AND(Projects!$G$19="Yes",BC$3&gt;=Projects!$C$19,BC$3&lt;Projects!$C$19+Projects!$D$19),Projects!$B$19*INDEX(Curves!$B$4:$AR$4,1,BC$3-Projects!$C$19+1),0)-IF(AND(Projects!$G$19="Yes",BC$3&gt;=Projects!$C$19,BC$3&lt;Projects!$C$19+Projects!$D$19),Projects!$B$19*(Assumptions!$B$10+Assumptions!$B$11+Assumptions!$B$12)/Projects!$D$19*0.95,0)-IF(AND(Projects!$G$19="Yes",BC$3=Projects!$C$19+Projects!$D$19-1),Projects!$B$19*(Assumptions!$B$10+Assumptions!$B$11+Assumptions!$B$12)*0.05,0)</f>
        <v/>
      </c>
      <c r="BD28" s="399">
        <f>IF(AND(Projects!$G$19="Yes",BD$3&gt;=Projects!$C$19,BD$3&lt;Projects!$C$19+Projects!$D$19),Projects!$B$19*INDEX(Curves!$B$4:$AR$4,1,BD$3-Projects!$C$19+1),0)-IF(AND(Projects!$G$19="Yes",BD$3&gt;=Projects!$C$19,BD$3&lt;Projects!$C$19+Projects!$D$19),Projects!$B$19*(Assumptions!$B$10+Assumptions!$B$11+Assumptions!$B$12)/Projects!$D$19*0.95,0)-IF(AND(Projects!$G$19="Yes",BD$3=Projects!$C$19+Projects!$D$19-1),Projects!$B$19*(Assumptions!$B$10+Assumptions!$B$11+Assumptions!$B$12)*0.05,0)</f>
        <v/>
      </c>
      <c r="BE28" s="399">
        <f>IF(AND(Projects!$G$19="Yes",BE$3&gt;=Projects!$C$19,BE$3&lt;Projects!$C$19+Projects!$D$19),Projects!$B$19*INDEX(Curves!$B$4:$AR$4,1,BE$3-Projects!$C$19+1),0)-IF(AND(Projects!$G$19="Yes",BE$3&gt;=Projects!$C$19,BE$3&lt;Projects!$C$19+Projects!$D$19),Projects!$B$19*(Assumptions!$B$10+Assumptions!$B$11+Assumptions!$B$12)/Projects!$D$19*0.95,0)-IF(AND(Projects!$G$19="Yes",BE$3=Projects!$C$19+Projects!$D$19-1),Projects!$B$19*(Assumptions!$B$10+Assumptions!$B$11+Assumptions!$B$12)*0.05,0)</f>
        <v/>
      </c>
      <c r="BF28" s="399">
        <f>IF(AND(Projects!$G$19="Yes",BF$3&gt;=Projects!$C$19,BF$3&lt;Projects!$C$19+Projects!$D$19),Projects!$B$19*INDEX(Curves!$B$4:$AR$4,1,BF$3-Projects!$C$19+1),0)-IF(AND(Projects!$G$19="Yes",BF$3&gt;=Projects!$C$19,BF$3&lt;Projects!$C$19+Projects!$D$19),Projects!$B$19*(Assumptions!$B$10+Assumptions!$B$11+Assumptions!$B$12)/Projects!$D$19*0.95,0)-IF(AND(Projects!$G$19="Yes",BF$3=Projects!$C$19+Projects!$D$19-1),Projects!$B$19*(Assumptions!$B$10+Assumptions!$B$11+Assumptions!$B$12)*0.05,0)</f>
        <v/>
      </c>
      <c r="BG28" s="399">
        <f>IF(AND(Projects!$G$19="Yes",BG$3&gt;=Projects!$C$19,BG$3&lt;Projects!$C$19+Projects!$D$19),Projects!$B$19*INDEX(Curves!$B$4:$AR$4,1,BG$3-Projects!$C$19+1),0)-IF(AND(Projects!$G$19="Yes",BG$3&gt;=Projects!$C$19,BG$3&lt;Projects!$C$19+Projects!$D$19),Projects!$B$19*(Assumptions!$B$10+Assumptions!$B$11+Assumptions!$B$12)/Projects!$D$19*0.95,0)-IF(AND(Projects!$G$19="Yes",BG$3=Projects!$C$19+Projects!$D$19-1),Projects!$B$19*(Assumptions!$B$10+Assumptions!$B$11+Assumptions!$B$12)*0.05,0)</f>
        <v/>
      </c>
      <c r="BH28" s="399">
        <f>IF(AND(Projects!$G$19="Yes",BH$3&gt;=Projects!$C$19,BH$3&lt;Projects!$C$19+Projects!$D$19),Projects!$B$19*INDEX(Curves!$B$4:$AR$4,1,BH$3-Projects!$C$19+1),0)-IF(AND(Projects!$G$19="Yes",BH$3&gt;=Projects!$C$19,BH$3&lt;Projects!$C$19+Projects!$D$19),Projects!$B$19*(Assumptions!$B$10+Assumptions!$B$11+Assumptions!$B$12)/Projects!$D$19*0.95,0)-IF(AND(Projects!$G$19="Yes",BH$3=Projects!$C$19+Projects!$D$19-1),Projects!$B$19*(Assumptions!$B$10+Assumptions!$B$11+Assumptions!$B$12)*0.05,0)</f>
        <v/>
      </c>
      <c r="BI28" s="399">
        <f>IF(AND(Projects!$G$19="Yes",BI$3&gt;=Projects!$C$19,BI$3&lt;Projects!$C$19+Projects!$D$19),Projects!$B$19*INDEX(Curves!$B$4:$AR$4,1,BI$3-Projects!$C$19+1),0)-IF(AND(Projects!$G$19="Yes",BI$3&gt;=Projects!$C$19,BI$3&lt;Projects!$C$19+Projects!$D$19),Projects!$B$19*(Assumptions!$B$10+Assumptions!$B$11+Assumptions!$B$12)/Projects!$D$19*0.95,0)-IF(AND(Projects!$G$19="Yes",BI$3=Projects!$C$19+Projects!$D$19-1),Projects!$B$19*(Assumptions!$B$10+Assumptions!$B$11+Assumptions!$B$12)*0.05,0)</f>
        <v/>
      </c>
      <c r="BJ28" s="399">
        <f>IF(AND(Projects!$G$19="Yes",BJ$3&gt;=Projects!$C$19,BJ$3&lt;Projects!$C$19+Projects!$D$19),Projects!$B$19*INDEX(Curves!$B$4:$AR$4,1,BJ$3-Projects!$C$19+1),0)-IF(AND(Projects!$G$19="Yes",BJ$3&gt;=Projects!$C$19,BJ$3&lt;Projects!$C$19+Projects!$D$19),Projects!$B$19*(Assumptions!$B$10+Assumptions!$B$11+Assumptions!$B$12)/Projects!$D$19*0.95,0)-IF(AND(Projects!$G$19="Yes",BJ$3=Projects!$C$19+Projects!$D$19-1),Projects!$B$19*(Assumptions!$B$10+Assumptions!$B$11+Assumptions!$B$12)*0.05,0)</f>
        <v/>
      </c>
      <c r="BK28" s="399">
        <f>IF(AND(Projects!$G$19="Yes",BK$3&gt;=Projects!$C$19,BK$3&lt;Projects!$C$19+Projects!$D$19),Projects!$B$19*INDEX(Curves!$B$4:$AR$4,1,BK$3-Projects!$C$19+1),0)-IF(AND(Projects!$G$19="Yes",BK$3&gt;=Projects!$C$19,BK$3&lt;Projects!$C$19+Projects!$D$19),Projects!$B$19*(Assumptions!$B$10+Assumptions!$B$11+Assumptions!$B$12)/Projects!$D$19*0.95,0)-IF(AND(Projects!$G$19="Yes",BK$3=Projects!$C$19+Projects!$D$19-1),Projects!$B$19*(Assumptions!$B$10+Assumptions!$B$11+Assumptions!$B$12)*0.05,0)</f>
        <v/>
      </c>
      <c r="BL28" s="399">
        <f>IF(AND(Projects!$G$19="Yes",BL$3&gt;=Projects!$C$19,BL$3&lt;Projects!$C$19+Projects!$D$19),Projects!$B$19*INDEX(Curves!$B$4:$AR$4,1,BL$3-Projects!$C$19+1),0)-IF(AND(Projects!$G$19="Yes",BL$3&gt;=Projects!$C$19,BL$3&lt;Projects!$C$19+Projects!$D$19),Projects!$B$19*(Assumptions!$B$10+Assumptions!$B$11+Assumptions!$B$12)/Projects!$D$19*0.95,0)-IF(AND(Projects!$G$19="Yes",BL$3=Projects!$C$19+Projects!$D$19-1),Projects!$B$19*(Assumptions!$B$10+Assumptions!$B$11+Assumptions!$B$12)*0.05,0)</f>
        <v/>
      </c>
      <c r="BM28" s="399">
        <f>IF(AND(Projects!$G$19="Yes",BM$3&gt;=Projects!$C$19,BM$3&lt;Projects!$C$19+Projects!$D$19),Projects!$B$19*INDEX(Curves!$B$4:$AR$4,1,BM$3-Projects!$C$19+1),0)-IF(AND(Projects!$G$19="Yes",BM$3&gt;=Projects!$C$19,BM$3&lt;Projects!$C$19+Projects!$D$19),Projects!$B$19*(Assumptions!$B$10+Assumptions!$B$11+Assumptions!$B$12)/Projects!$D$19*0.95,0)-IF(AND(Projects!$G$19="Yes",BM$3=Projects!$C$19+Projects!$D$19-1),Projects!$B$19*(Assumptions!$B$10+Assumptions!$B$11+Assumptions!$B$12)*0.05,0)</f>
        <v/>
      </c>
      <c r="BN28" s="399">
        <f>IF(AND(Projects!$G$19="Yes",BN$3&gt;=Projects!$C$19,BN$3&lt;Projects!$C$19+Projects!$D$19),Projects!$B$19*INDEX(Curves!$B$4:$AR$4,1,BN$3-Projects!$C$19+1),0)-IF(AND(Projects!$G$19="Yes",BN$3&gt;=Projects!$C$19,BN$3&lt;Projects!$C$19+Projects!$D$19),Projects!$B$19*(Assumptions!$B$10+Assumptions!$B$11+Assumptions!$B$12)/Projects!$D$19*0.95,0)-IF(AND(Projects!$G$19="Yes",BN$3=Projects!$C$19+Projects!$D$19-1),Projects!$B$19*(Assumptions!$B$10+Assumptions!$B$11+Assumptions!$B$12)*0.05,0)</f>
        <v/>
      </c>
      <c r="BO28" s="399">
        <f>IF(AND(Projects!$G$19="Yes",BO$3&gt;=Projects!$C$19,BO$3&lt;Projects!$C$19+Projects!$D$19),Projects!$B$19*INDEX(Curves!$B$4:$AR$4,1,BO$3-Projects!$C$19+1),0)-IF(AND(Projects!$G$19="Yes",BO$3&gt;=Projects!$C$19,BO$3&lt;Projects!$C$19+Projects!$D$19),Projects!$B$19*(Assumptions!$B$10+Assumptions!$B$11+Assumptions!$B$12)/Projects!$D$19*0.95,0)-IF(AND(Projects!$G$19="Yes",BO$3=Projects!$C$19+Projects!$D$19-1),Projects!$B$19*(Assumptions!$B$10+Assumptions!$B$11+Assumptions!$B$12)*0.05,0)</f>
        <v/>
      </c>
      <c r="BP28" s="399">
        <f>IF(AND(Projects!$G$19="Yes",BP$3&gt;=Projects!$C$19,BP$3&lt;Projects!$C$19+Projects!$D$19),Projects!$B$19*INDEX(Curves!$B$4:$AR$4,1,BP$3-Projects!$C$19+1),0)-IF(AND(Projects!$G$19="Yes",BP$3&gt;=Projects!$C$19,BP$3&lt;Projects!$C$19+Projects!$D$19),Projects!$B$19*(Assumptions!$B$10+Assumptions!$B$11+Assumptions!$B$12)/Projects!$D$19*0.95,0)-IF(AND(Projects!$G$19="Yes",BP$3=Projects!$C$19+Projects!$D$19-1),Projects!$B$19*(Assumptions!$B$10+Assumptions!$B$11+Assumptions!$B$12)*0.05,0)</f>
        <v/>
      </c>
      <c r="BQ28" s="399">
        <f>IF(AND(Projects!$G$19="Yes",BQ$3&gt;=Projects!$C$19,BQ$3&lt;Projects!$C$19+Projects!$D$19),Projects!$B$19*INDEX(Curves!$B$4:$AR$4,1,BQ$3-Projects!$C$19+1),0)-IF(AND(Projects!$G$19="Yes",BQ$3&gt;=Projects!$C$19,BQ$3&lt;Projects!$C$19+Projects!$D$19),Projects!$B$19*(Assumptions!$B$10+Assumptions!$B$11+Assumptions!$B$12)/Projects!$D$19*0.95,0)-IF(AND(Projects!$G$19="Yes",BQ$3=Projects!$C$19+Projects!$D$19-1),Projects!$B$19*(Assumptions!$B$10+Assumptions!$B$11+Assumptions!$B$12)*0.05,0)</f>
        <v/>
      </c>
      <c r="BR28" s="399">
        <f>IF(AND(Projects!$G$19="Yes",BR$3&gt;=Projects!$C$19,BR$3&lt;Projects!$C$19+Projects!$D$19),Projects!$B$19*INDEX(Curves!$B$4:$AR$4,1,BR$3-Projects!$C$19+1),0)-IF(AND(Projects!$G$19="Yes",BR$3&gt;=Projects!$C$19,BR$3&lt;Projects!$C$19+Projects!$D$19),Projects!$B$19*(Assumptions!$B$10+Assumptions!$B$11+Assumptions!$B$12)/Projects!$D$19*0.95,0)-IF(AND(Projects!$G$19="Yes",BR$3=Projects!$C$19+Projects!$D$19-1),Projects!$B$19*(Assumptions!$B$10+Assumptions!$B$11+Assumptions!$B$12)*0.05,0)</f>
        <v/>
      </c>
      <c r="BS28" s="399">
        <f>IF(AND(Projects!$G$19="Yes",BS$3&gt;=Projects!$C$19,BS$3&lt;Projects!$C$19+Projects!$D$19),Projects!$B$19*INDEX(Curves!$B$4:$AR$4,1,BS$3-Projects!$C$19+1),0)-IF(AND(Projects!$G$19="Yes",BS$3&gt;=Projects!$C$19,BS$3&lt;Projects!$C$19+Projects!$D$19),Projects!$B$19*(Assumptions!$B$10+Assumptions!$B$11+Assumptions!$B$12)/Projects!$D$19*0.95,0)-IF(AND(Projects!$G$19="Yes",BS$3=Projects!$C$19+Projects!$D$19-1),Projects!$B$19*(Assumptions!$B$10+Assumptions!$B$11+Assumptions!$B$12)*0.05,0)</f>
        <v/>
      </c>
      <c r="BT28" s="399">
        <f>IF(AND(Projects!$G$19="Yes",BT$3&gt;=Projects!$C$19,BT$3&lt;Projects!$C$19+Projects!$D$19),Projects!$B$19*INDEX(Curves!$B$4:$AR$4,1,BT$3-Projects!$C$19+1),0)-IF(AND(Projects!$G$19="Yes",BT$3&gt;=Projects!$C$19,BT$3&lt;Projects!$C$19+Projects!$D$19),Projects!$B$19*(Assumptions!$B$10+Assumptions!$B$11+Assumptions!$B$12)/Projects!$D$19*0.95,0)-IF(AND(Projects!$G$19="Yes",BT$3=Projects!$C$19+Projects!$D$19-1),Projects!$B$19*(Assumptions!$B$10+Assumptions!$B$11+Assumptions!$B$12)*0.05,0)</f>
        <v/>
      </c>
      <c r="BU28" s="399">
        <f>IF(AND(Projects!$G$19="Yes",BU$3&gt;=Projects!$C$19,BU$3&lt;Projects!$C$19+Projects!$D$19),Projects!$B$19*INDEX(Curves!$B$4:$AR$4,1,BU$3-Projects!$C$19+1),0)-IF(AND(Projects!$G$19="Yes",BU$3&gt;=Projects!$C$19,BU$3&lt;Projects!$C$19+Projects!$D$19),Projects!$B$19*(Assumptions!$B$10+Assumptions!$B$11+Assumptions!$B$12)/Projects!$D$19*0.95,0)-IF(AND(Projects!$G$19="Yes",BU$3=Projects!$C$19+Projects!$D$19-1),Projects!$B$19*(Assumptions!$B$10+Assumptions!$B$11+Assumptions!$B$12)*0.05,0)</f>
        <v/>
      </c>
      <c r="BV28" s="399">
        <f>IF(AND(Projects!$G$19="Yes",BV$3&gt;=Projects!$C$19,BV$3&lt;Projects!$C$19+Projects!$D$19),Projects!$B$19*INDEX(Curves!$B$4:$AR$4,1,BV$3-Projects!$C$19+1),0)-IF(AND(Projects!$G$19="Yes",BV$3&gt;=Projects!$C$19,BV$3&lt;Projects!$C$19+Projects!$D$19),Projects!$B$19*(Assumptions!$B$10+Assumptions!$B$11+Assumptions!$B$12)/Projects!$D$19*0.95,0)-IF(AND(Projects!$G$19="Yes",BV$3=Projects!$C$19+Projects!$D$19-1),Projects!$B$19*(Assumptions!$B$10+Assumptions!$B$11+Assumptions!$B$12)*0.05,0)</f>
        <v/>
      </c>
      <c r="BW28" s="399">
        <f>IF(AND(Projects!$G$19="Yes",BW$3&gt;=Projects!$C$19,BW$3&lt;Projects!$C$19+Projects!$D$19),Projects!$B$19*INDEX(Curves!$B$4:$AR$4,1,BW$3-Projects!$C$19+1),0)-IF(AND(Projects!$G$19="Yes",BW$3&gt;=Projects!$C$19,BW$3&lt;Projects!$C$19+Projects!$D$19),Projects!$B$19*(Assumptions!$B$10+Assumptions!$B$11+Assumptions!$B$12)/Projects!$D$19*0.95,0)-IF(AND(Projects!$G$19="Yes",BW$3=Projects!$C$19+Projects!$D$19-1),Projects!$B$19*(Assumptions!$B$10+Assumptions!$B$11+Assumptions!$B$12)*0.05,0)</f>
        <v/>
      </c>
      <c r="BX28" s="399">
        <f>IF(AND(Projects!$G$19="Yes",BX$3&gt;=Projects!$C$19,BX$3&lt;Projects!$C$19+Projects!$D$19),Projects!$B$19*INDEX(Curves!$B$4:$AR$4,1,BX$3-Projects!$C$19+1),0)-IF(AND(Projects!$G$19="Yes",BX$3&gt;=Projects!$C$19,BX$3&lt;Projects!$C$19+Projects!$D$19),Projects!$B$19*(Assumptions!$B$10+Assumptions!$B$11+Assumptions!$B$12)/Projects!$D$19*0.95,0)-IF(AND(Projects!$G$19="Yes",BX$3=Projects!$C$19+Projects!$D$19-1),Projects!$B$19*(Assumptions!$B$10+Assumptions!$B$11+Assumptions!$B$12)*0.05,0)</f>
        <v/>
      </c>
      <c r="BY28" s="399">
        <f>IF(AND(Projects!$G$19="Yes",BY$3&gt;=Projects!$C$19,BY$3&lt;Projects!$C$19+Projects!$D$19),Projects!$B$19*INDEX(Curves!$B$4:$AR$4,1,BY$3-Projects!$C$19+1),0)-IF(AND(Projects!$G$19="Yes",BY$3&gt;=Projects!$C$19,BY$3&lt;Projects!$C$19+Projects!$D$19),Projects!$B$19*(Assumptions!$B$10+Assumptions!$B$11+Assumptions!$B$12)/Projects!$D$19*0.95,0)-IF(AND(Projects!$G$19="Yes",BY$3=Projects!$C$19+Projects!$D$19-1),Projects!$B$19*(Assumptions!$B$10+Assumptions!$B$11+Assumptions!$B$12)*0.05,0)</f>
        <v/>
      </c>
      <c r="BZ28" s="399">
        <f>IF(AND(Projects!$G$19="Yes",BZ$3&gt;=Projects!$C$19,BZ$3&lt;Projects!$C$19+Projects!$D$19),Projects!$B$19*INDEX(Curves!$B$4:$AR$4,1,BZ$3-Projects!$C$19+1),0)-IF(AND(Projects!$G$19="Yes",BZ$3&gt;=Projects!$C$19,BZ$3&lt;Projects!$C$19+Projects!$D$19),Projects!$B$19*(Assumptions!$B$10+Assumptions!$B$11+Assumptions!$B$12)/Projects!$D$19*0.95,0)-IF(AND(Projects!$G$19="Yes",BZ$3=Projects!$C$19+Projects!$D$19-1),Projects!$B$19*(Assumptions!$B$10+Assumptions!$B$11+Assumptions!$B$12)*0.05,0)</f>
        <v/>
      </c>
      <c r="CA28" s="399">
        <f>IF(AND(Projects!$G$19="Yes",CA$3&gt;=Projects!$C$19,CA$3&lt;Projects!$C$19+Projects!$D$19),Projects!$B$19*INDEX(Curves!$B$4:$AR$4,1,CA$3-Projects!$C$19+1),0)-IF(AND(Projects!$G$19="Yes",CA$3&gt;=Projects!$C$19,CA$3&lt;Projects!$C$19+Projects!$D$19),Projects!$B$19*(Assumptions!$B$10+Assumptions!$B$11+Assumptions!$B$12)/Projects!$D$19*0.95,0)-IF(AND(Projects!$G$19="Yes",CA$3=Projects!$C$19+Projects!$D$19-1),Projects!$B$19*(Assumptions!$B$10+Assumptions!$B$11+Assumptions!$B$12)*0.05,0)</f>
        <v/>
      </c>
      <c r="CB28" s="399">
        <f>IF(AND(Projects!$G$19="Yes",CB$3&gt;=Projects!$C$19,CB$3&lt;Projects!$C$19+Projects!$D$19),Projects!$B$19*INDEX(Curves!$B$4:$AR$4,1,CB$3-Projects!$C$19+1),0)-IF(AND(Projects!$G$19="Yes",CB$3&gt;=Projects!$C$19,CB$3&lt;Projects!$C$19+Projects!$D$19),Projects!$B$19*(Assumptions!$B$10+Assumptions!$B$11+Assumptions!$B$12)/Projects!$D$19*0.95,0)-IF(AND(Projects!$G$19="Yes",CB$3=Projects!$C$19+Projects!$D$19-1),Projects!$B$19*(Assumptions!$B$10+Assumptions!$B$11+Assumptions!$B$12)*0.05,0)</f>
        <v/>
      </c>
      <c r="CC28" s="399">
        <f>IF(AND(Projects!$G$19="Yes",CC$3&gt;=Projects!$C$19,CC$3&lt;Projects!$C$19+Projects!$D$19),Projects!$B$19*INDEX(Curves!$B$4:$AR$4,1,CC$3-Projects!$C$19+1),0)-IF(AND(Projects!$G$19="Yes",CC$3&gt;=Projects!$C$19,CC$3&lt;Projects!$C$19+Projects!$D$19),Projects!$B$19*(Assumptions!$B$10+Assumptions!$B$11+Assumptions!$B$12)/Projects!$D$19*0.95,0)-IF(AND(Projects!$G$19="Yes",CC$3=Projects!$C$19+Projects!$D$19-1),Projects!$B$19*(Assumptions!$B$10+Assumptions!$B$11+Assumptions!$B$12)*0.05,0)</f>
        <v/>
      </c>
      <c r="CD28" s="399">
        <f>IF(AND(Projects!$G$19="Yes",CD$3&gt;=Projects!$C$19,CD$3&lt;Projects!$C$19+Projects!$D$19),Projects!$B$19*INDEX(Curves!$B$4:$AR$4,1,CD$3-Projects!$C$19+1),0)-IF(AND(Projects!$G$19="Yes",CD$3&gt;=Projects!$C$19,CD$3&lt;Projects!$C$19+Projects!$D$19),Projects!$B$19*(Assumptions!$B$10+Assumptions!$B$11+Assumptions!$B$12)/Projects!$D$19*0.95,0)-IF(AND(Projects!$G$19="Yes",CD$3=Projects!$C$19+Projects!$D$19-1),Projects!$B$19*(Assumptions!$B$10+Assumptions!$B$11+Assumptions!$B$12)*0.05,0)</f>
        <v/>
      </c>
      <c r="CE28" s="399">
        <f>IF(AND(Projects!$G$19="Yes",CE$3&gt;=Projects!$C$19,CE$3&lt;Projects!$C$19+Projects!$D$19),Projects!$B$19*INDEX(Curves!$B$4:$AR$4,1,CE$3-Projects!$C$19+1),0)-IF(AND(Projects!$G$19="Yes",CE$3&gt;=Projects!$C$19,CE$3&lt;Projects!$C$19+Projects!$D$19),Projects!$B$19*(Assumptions!$B$10+Assumptions!$B$11+Assumptions!$B$12)/Projects!$D$19*0.95,0)-IF(AND(Projects!$G$19="Yes",CE$3=Projects!$C$19+Projects!$D$19-1),Projects!$B$19*(Assumptions!$B$10+Assumptions!$B$11+Assumptions!$B$12)*0.05,0)</f>
        <v/>
      </c>
      <c r="CF28" s="399">
        <f>IF(AND(Projects!$G$19="Yes",CF$3&gt;=Projects!$C$19,CF$3&lt;Projects!$C$19+Projects!$D$19),Projects!$B$19*INDEX(Curves!$B$4:$AR$4,1,CF$3-Projects!$C$19+1),0)-IF(AND(Projects!$G$19="Yes",CF$3&gt;=Projects!$C$19,CF$3&lt;Projects!$C$19+Projects!$D$19),Projects!$B$19*(Assumptions!$B$10+Assumptions!$B$11+Assumptions!$B$12)/Projects!$D$19*0.95,0)-IF(AND(Projects!$G$19="Yes",CF$3=Projects!$C$19+Projects!$D$19-1),Projects!$B$19*(Assumptions!$B$10+Assumptions!$B$11+Assumptions!$B$12)*0.05,0)</f>
        <v/>
      </c>
      <c r="CG28" s="399">
        <f>IF(AND(Projects!$G$19="Yes",CG$3&gt;=Projects!$C$19,CG$3&lt;Projects!$C$19+Projects!$D$19),Projects!$B$19*INDEX(Curves!$B$4:$AR$4,1,CG$3-Projects!$C$19+1),0)-IF(AND(Projects!$G$19="Yes",CG$3&gt;=Projects!$C$19,CG$3&lt;Projects!$C$19+Projects!$D$19),Projects!$B$19*(Assumptions!$B$10+Assumptions!$B$11+Assumptions!$B$12)/Projects!$D$19*0.95,0)-IF(AND(Projects!$G$19="Yes",CG$3=Projects!$C$19+Projects!$D$19-1),Projects!$B$19*(Assumptions!$B$10+Assumptions!$B$11+Assumptions!$B$12)*0.05,0)</f>
        <v/>
      </c>
      <c r="CH28" s="399">
        <f>IF(AND(Projects!$G$19="Yes",CH$3&gt;=Projects!$C$19,CH$3&lt;Projects!$C$19+Projects!$D$19),Projects!$B$19*INDEX(Curves!$B$4:$AR$4,1,CH$3-Projects!$C$19+1),0)-IF(AND(Projects!$G$19="Yes",CH$3&gt;=Projects!$C$19,CH$3&lt;Projects!$C$19+Projects!$D$19),Projects!$B$19*(Assumptions!$B$10+Assumptions!$B$11+Assumptions!$B$12)/Projects!$D$19*0.95,0)-IF(AND(Projects!$G$19="Yes",CH$3=Projects!$C$19+Projects!$D$19-1),Projects!$B$19*(Assumptions!$B$10+Assumptions!$B$11+Assumptions!$B$12)*0.05,0)</f>
        <v/>
      </c>
      <c r="CI28" s="399">
        <f>IF(AND(Projects!$G$19="Yes",CI$3&gt;=Projects!$C$19,CI$3&lt;Projects!$C$19+Projects!$D$19),Projects!$B$19*INDEX(Curves!$B$4:$AR$4,1,CI$3-Projects!$C$19+1),0)-IF(AND(Projects!$G$19="Yes",CI$3&gt;=Projects!$C$19,CI$3&lt;Projects!$C$19+Projects!$D$19),Projects!$B$19*(Assumptions!$B$10+Assumptions!$B$11+Assumptions!$B$12)/Projects!$D$19*0.95,0)-IF(AND(Projects!$G$19="Yes",CI$3=Projects!$C$19+Projects!$D$19-1),Projects!$B$19*(Assumptions!$B$10+Assumptions!$B$11+Assumptions!$B$12)*0.05,0)</f>
        <v/>
      </c>
      <c r="CJ28" s="399">
        <f>IF(AND(Projects!$G$19="Yes",CJ$3&gt;=Projects!$C$19,CJ$3&lt;Projects!$C$19+Projects!$D$19),Projects!$B$19*INDEX(Curves!$B$4:$AR$4,1,CJ$3-Projects!$C$19+1),0)-IF(AND(Projects!$G$19="Yes",CJ$3&gt;=Projects!$C$19,CJ$3&lt;Projects!$C$19+Projects!$D$19),Projects!$B$19*(Assumptions!$B$10+Assumptions!$B$11+Assumptions!$B$12)/Projects!$D$19*0.95,0)-IF(AND(Projects!$G$19="Yes",CJ$3=Projects!$C$19+Projects!$D$19-1),Projects!$B$19*(Assumptions!$B$10+Assumptions!$B$11+Assumptions!$B$12)*0.05,0)</f>
        <v/>
      </c>
      <c r="CK28" s="399">
        <f>IF(AND(Projects!$G$19="Yes",CK$3&gt;=Projects!$C$19,CK$3&lt;Projects!$C$19+Projects!$D$19),Projects!$B$19*INDEX(Curves!$B$4:$AR$4,1,CK$3-Projects!$C$19+1),0)-IF(AND(Projects!$G$19="Yes",CK$3&gt;=Projects!$C$19,CK$3&lt;Projects!$C$19+Projects!$D$19),Projects!$B$19*(Assumptions!$B$10+Assumptions!$B$11+Assumptions!$B$12)/Projects!$D$19*0.95,0)-IF(AND(Projects!$G$19="Yes",CK$3=Projects!$C$19+Projects!$D$19-1),Projects!$B$19*(Assumptions!$B$10+Assumptions!$B$11+Assumptions!$B$12)*0.05,0)</f>
        <v/>
      </c>
      <c r="CL28" s="399">
        <f>IF(AND(Projects!$G$19="Yes",CL$3&gt;=Projects!$C$19,CL$3&lt;Projects!$C$19+Projects!$D$19),Projects!$B$19*INDEX(Curves!$B$4:$AR$4,1,CL$3-Projects!$C$19+1),0)-IF(AND(Projects!$G$19="Yes",CL$3&gt;=Projects!$C$19,CL$3&lt;Projects!$C$19+Projects!$D$19),Projects!$B$19*(Assumptions!$B$10+Assumptions!$B$11+Assumptions!$B$12)/Projects!$D$19*0.95,0)-IF(AND(Projects!$G$19="Yes",CL$3=Projects!$C$19+Projects!$D$19-1),Projects!$B$19*(Assumptions!$B$10+Assumptions!$B$11+Assumptions!$B$12)*0.05,0)</f>
        <v/>
      </c>
      <c r="CM28" s="399">
        <f>IF(AND(Projects!$G$19="Yes",CM$3&gt;=Projects!$C$19,CM$3&lt;Projects!$C$19+Projects!$D$19),Projects!$B$19*INDEX(Curves!$B$4:$AR$4,1,CM$3-Projects!$C$19+1),0)-IF(AND(Projects!$G$19="Yes",CM$3&gt;=Projects!$C$19,CM$3&lt;Projects!$C$19+Projects!$D$19),Projects!$B$19*(Assumptions!$B$10+Assumptions!$B$11+Assumptions!$B$12)/Projects!$D$19*0.95,0)-IF(AND(Projects!$G$19="Yes",CM$3=Projects!$C$19+Projects!$D$19-1),Projects!$B$19*(Assumptions!$B$10+Assumptions!$B$11+Assumptions!$B$12)*0.05,0)</f>
        <v/>
      </c>
      <c r="CN28" s="399">
        <f>IF(AND(Projects!$G$19="Yes",CN$3&gt;=Projects!$C$19,CN$3&lt;Projects!$C$19+Projects!$D$19),Projects!$B$19*INDEX(Curves!$B$4:$AR$4,1,CN$3-Projects!$C$19+1),0)-IF(AND(Projects!$G$19="Yes",CN$3&gt;=Projects!$C$19,CN$3&lt;Projects!$C$19+Projects!$D$19),Projects!$B$19*(Assumptions!$B$10+Assumptions!$B$11+Assumptions!$B$12)/Projects!$D$19*0.95,0)-IF(AND(Projects!$G$19="Yes",CN$3=Projects!$C$19+Projects!$D$19-1),Projects!$B$19*(Assumptions!$B$10+Assumptions!$B$11+Assumptions!$B$12)*0.05,0)</f>
        <v/>
      </c>
      <c r="CO28" s="399">
        <f>IF(AND(Projects!$G$19="Yes",CO$3&gt;=Projects!$C$19,CO$3&lt;Projects!$C$19+Projects!$D$19),Projects!$B$19*INDEX(Curves!$B$4:$AR$4,1,CO$3-Projects!$C$19+1),0)-IF(AND(Projects!$G$19="Yes",CO$3&gt;=Projects!$C$19,CO$3&lt;Projects!$C$19+Projects!$D$19),Projects!$B$19*(Assumptions!$B$10+Assumptions!$B$11+Assumptions!$B$12)/Projects!$D$19*0.95,0)-IF(AND(Projects!$G$19="Yes",CO$3=Projects!$C$19+Projects!$D$19-1),Projects!$B$19*(Assumptions!$B$10+Assumptions!$B$11+Assumptions!$B$12)*0.05,0)</f>
        <v/>
      </c>
      <c r="CP28" s="399">
        <f>IF(AND(Projects!$G$19="Yes",CP$3&gt;=Projects!$C$19,CP$3&lt;Projects!$C$19+Projects!$D$19),Projects!$B$19*INDEX(Curves!$B$4:$AR$4,1,CP$3-Projects!$C$19+1),0)-IF(AND(Projects!$G$19="Yes",CP$3&gt;=Projects!$C$19,CP$3&lt;Projects!$C$19+Projects!$D$19),Projects!$B$19*(Assumptions!$B$10+Assumptions!$B$11+Assumptions!$B$12)/Projects!$D$19*0.95,0)-IF(AND(Projects!$G$19="Yes",CP$3=Projects!$C$19+Projects!$D$19-1),Projects!$B$19*(Assumptions!$B$10+Assumptions!$B$11+Assumptions!$B$12)*0.05,0)</f>
        <v/>
      </c>
      <c r="CQ28" s="399">
        <f>IF(AND(Projects!$G$19="Yes",CQ$3&gt;=Projects!$C$19,CQ$3&lt;Projects!$C$19+Projects!$D$19),Projects!$B$19*INDEX(Curves!$B$4:$AR$4,1,CQ$3-Projects!$C$19+1),0)-IF(AND(Projects!$G$19="Yes",CQ$3&gt;=Projects!$C$19,CQ$3&lt;Projects!$C$19+Projects!$D$19),Projects!$B$19*(Assumptions!$B$10+Assumptions!$B$11+Assumptions!$B$12)/Projects!$D$19*0.95,0)-IF(AND(Projects!$G$19="Yes",CQ$3=Projects!$C$19+Projects!$D$19-1),Projects!$B$19*(Assumptions!$B$10+Assumptions!$B$11+Assumptions!$B$12)*0.05,0)</f>
        <v/>
      </c>
      <c r="CR28" s="399">
        <f>IF(AND(Projects!$G$19="Yes",CR$3&gt;=Projects!$C$19,CR$3&lt;Projects!$C$19+Projects!$D$19),Projects!$B$19*INDEX(Curves!$B$4:$AR$4,1,CR$3-Projects!$C$19+1),0)-IF(AND(Projects!$G$19="Yes",CR$3&gt;=Projects!$C$19,CR$3&lt;Projects!$C$19+Projects!$D$19),Projects!$B$19*(Assumptions!$B$10+Assumptions!$B$11+Assumptions!$B$12)/Projects!$D$19*0.95,0)-IF(AND(Projects!$G$19="Yes",CR$3=Projects!$C$19+Projects!$D$19-1),Projects!$B$19*(Assumptions!$B$10+Assumptions!$B$11+Assumptions!$B$12)*0.05,0)</f>
        <v/>
      </c>
      <c r="CS28" s="399">
        <f>IF(AND(Projects!$G$19="Yes",CS$3&gt;=Projects!$C$19,CS$3&lt;Projects!$C$19+Projects!$D$19),Projects!$B$19*INDEX(Curves!$B$4:$AR$4,1,CS$3-Projects!$C$19+1),0)-IF(AND(Projects!$G$19="Yes",CS$3&gt;=Projects!$C$19,CS$3&lt;Projects!$C$19+Projects!$D$19),Projects!$B$19*(Assumptions!$B$10+Assumptions!$B$11+Assumptions!$B$12)/Projects!$D$19*0.95,0)-IF(AND(Projects!$G$19="Yes",CS$3=Projects!$C$19+Projects!$D$19-1),Projects!$B$19*(Assumptions!$B$10+Assumptions!$B$11+Assumptions!$B$12)*0.05,0)</f>
        <v/>
      </c>
      <c r="CT28" s="399">
        <f>IF(AND(Projects!$G$19="Yes",CT$3&gt;=Projects!$C$19,CT$3&lt;Projects!$C$19+Projects!$D$19),Projects!$B$19*INDEX(Curves!$B$4:$AR$4,1,CT$3-Projects!$C$19+1),0)-IF(AND(Projects!$G$19="Yes",CT$3&gt;=Projects!$C$19,CT$3&lt;Projects!$C$19+Projects!$D$19),Projects!$B$19*(Assumptions!$B$10+Assumptions!$B$11+Assumptions!$B$12)/Projects!$D$19*0.95,0)-IF(AND(Projects!$G$19="Yes",CT$3=Projects!$C$19+Projects!$D$19-1),Projects!$B$19*(Assumptions!$B$10+Assumptions!$B$11+Assumptions!$B$12)*0.05,0)</f>
        <v/>
      </c>
      <c r="CU28" s="399">
        <f>IF(AND(Projects!$G$19="Yes",CU$3&gt;=Projects!$C$19,CU$3&lt;Projects!$C$19+Projects!$D$19),Projects!$B$19*INDEX(Curves!$B$4:$AR$4,1,CU$3-Projects!$C$19+1),0)-IF(AND(Projects!$G$19="Yes",CU$3&gt;=Projects!$C$19,CU$3&lt;Projects!$C$19+Projects!$D$19),Projects!$B$19*(Assumptions!$B$10+Assumptions!$B$11+Assumptions!$B$12)/Projects!$D$19*0.95,0)-IF(AND(Projects!$G$19="Yes",CU$3=Projects!$C$19+Projects!$D$19-1),Projects!$B$19*(Assumptions!$B$10+Assumptions!$B$11+Assumptions!$B$12)*0.05,0)</f>
        <v/>
      </c>
      <c r="CV28" s="399">
        <f>IF(AND(Projects!$G$19="Yes",CV$3&gt;=Projects!$C$19,CV$3&lt;Projects!$C$19+Projects!$D$19),Projects!$B$19*INDEX(Curves!$B$4:$AR$4,1,CV$3-Projects!$C$19+1),0)-IF(AND(Projects!$G$19="Yes",CV$3&gt;=Projects!$C$19,CV$3&lt;Projects!$C$19+Projects!$D$19),Projects!$B$19*(Assumptions!$B$10+Assumptions!$B$11+Assumptions!$B$12)/Projects!$D$19*0.95,0)-IF(AND(Projects!$G$19="Yes",CV$3=Projects!$C$19+Projects!$D$19-1),Projects!$B$19*(Assumptions!$B$10+Assumptions!$B$11+Assumptions!$B$12)*0.05,0)</f>
        <v/>
      </c>
      <c r="CW28" s="399">
        <f>IF(AND(Projects!$G$19="Yes",CW$3&gt;=Projects!$C$19,CW$3&lt;Projects!$C$19+Projects!$D$19),Projects!$B$19*INDEX(Curves!$B$4:$AR$4,1,CW$3-Projects!$C$19+1),0)-IF(AND(Projects!$G$19="Yes",CW$3&gt;=Projects!$C$19,CW$3&lt;Projects!$C$19+Projects!$D$19),Projects!$B$19*(Assumptions!$B$10+Assumptions!$B$11+Assumptions!$B$12)/Projects!$D$19*0.95,0)-IF(AND(Projects!$G$19="Yes",CW$3=Projects!$C$19+Projects!$D$19-1),Projects!$B$19*(Assumptions!$B$10+Assumptions!$B$11+Assumptions!$B$12)*0.05,0)</f>
        <v/>
      </c>
      <c r="CX28" s="399">
        <f>IF(AND(Projects!$G$19="Yes",CX$3&gt;=Projects!$C$19,CX$3&lt;Projects!$C$19+Projects!$D$19),Projects!$B$19*INDEX(Curves!$B$4:$AR$4,1,CX$3-Projects!$C$19+1),0)-IF(AND(Projects!$G$19="Yes",CX$3&gt;=Projects!$C$19,CX$3&lt;Projects!$C$19+Projects!$D$19),Projects!$B$19*(Assumptions!$B$10+Assumptions!$B$11+Assumptions!$B$12)/Projects!$D$19*0.95,0)-IF(AND(Projects!$G$19="Yes",CX$3=Projects!$C$19+Projects!$D$19-1),Projects!$B$19*(Assumptions!$B$10+Assumptions!$B$11+Assumptions!$B$12)*0.05,0)</f>
        <v/>
      </c>
      <c r="CY28" s="399">
        <f>IF(AND(Projects!$G$19="Yes",CY$3&gt;=Projects!$C$19,CY$3&lt;Projects!$C$19+Projects!$D$19),Projects!$B$19*INDEX(Curves!$B$4:$AR$4,1,CY$3-Projects!$C$19+1),0)-IF(AND(Projects!$G$19="Yes",CY$3&gt;=Projects!$C$19,CY$3&lt;Projects!$C$19+Projects!$D$19),Projects!$B$19*(Assumptions!$B$10+Assumptions!$B$11+Assumptions!$B$12)/Projects!$D$19*0.95,0)-IF(AND(Projects!$G$19="Yes",CY$3=Projects!$C$19+Projects!$D$19-1),Projects!$B$19*(Assumptions!$B$10+Assumptions!$B$11+Assumptions!$B$12)*0.05,0)</f>
        <v/>
      </c>
      <c r="CZ28" s="399">
        <f>IF(AND(Projects!$G$19="Yes",CZ$3&gt;=Projects!$C$19,CZ$3&lt;Projects!$C$19+Projects!$D$19),Projects!$B$19*INDEX(Curves!$B$4:$AR$4,1,CZ$3-Projects!$C$19+1),0)-IF(AND(Projects!$G$19="Yes",CZ$3&gt;=Projects!$C$19,CZ$3&lt;Projects!$C$19+Projects!$D$19),Projects!$B$19*(Assumptions!$B$10+Assumptions!$B$11+Assumptions!$B$12)/Projects!$D$19*0.95,0)-IF(AND(Projects!$G$19="Yes",CZ$3=Projects!$C$19+Projects!$D$19-1),Projects!$B$19*(Assumptions!$B$10+Assumptions!$B$11+Assumptions!$B$12)*0.05,0)</f>
        <v/>
      </c>
      <c r="DA28" s="399">
        <f>IF(AND(Projects!$G$19="Yes",DA$3&gt;=Projects!$C$19,DA$3&lt;Projects!$C$19+Projects!$D$19),Projects!$B$19*INDEX(Curves!$B$4:$AR$4,1,DA$3-Projects!$C$19+1),0)-IF(AND(Projects!$G$19="Yes",DA$3&gt;=Projects!$C$19,DA$3&lt;Projects!$C$19+Projects!$D$19),Projects!$B$19*(Assumptions!$B$10+Assumptions!$B$11+Assumptions!$B$12)/Projects!$D$19*0.95,0)-IF(AND(Projects!$G$19="Yes",DA$3=Projects!$C$19+Projects!$D$19-1),Projects!$B$19*(Assumptions!$B$10+Assumptions!$B$11+Assumptions!$B$12)*0.05,0)</f>
        <v/>
      </c>
      <c r="DB28" s="399">
        <f>IF(AND(Projects!$G$19="Yes",DB$3&gt;=Projects!$C$19,DB$3&lt;Projects!$C$19+Projects!$D$19),Projects!$B$19*INDEX(Curves!$B$4:$AR$4,1,DB$3-Projects!$C$19+1),0)-IF(AND(Projects!$G$19="Yes",DB$3&gt;=Projects!$C$19,DB$3&lt;Projects!$C$19+Projects!$D$19),Projects!$B$19*(Assumptions!$B$10+Assumptions!$B$11+Assumptions!$B$12)/Projects!$D$19*0.95,0)-IF(AND(Projects!$G$19="Yes",DB$3=Projects!$C$19+Projects!$D$19-1),Projects!$B$19*(Assumptions!$B$10+Assumptions!$B$11+Assumptions!$B$12)*0.05,0)</f>
        <v/>
      </c>
      <c r="DC28" s="399">
        <f>IF(AND(Projects!$G$19="Yes",DC$3&gt;=Projects!$C$19,DC$3&lt;Projects!$C$19+Projects!$D$19),Projects!$B$19*INDEX(Curves!$B$4:$AR$4,1,DC$3-Projects!$C$19+1),0)-IF(AND(Projects!$G$19="Yes",DC$3&gt;=Projects!$C$19,DC$3&lt;Projects!$C$19+Projects!$D$19),Projects!$B$19*(Assumptions!$B$10+Assumptions!$B$11+Assumptions!$B$12)/Projects!$D$19*0.95,0)-IF(AND(Projects!$G$19="Yes",DC$3=Projects!$C$19+Projects!$D$19-1),Projects!$B$19*(Assumptions!$B$10+Assumptions!$B$11+Assumptions!$B$12)*0.05,0)</f>
        <v/>
      </c>
      <c r="DD28" s="399">
        <f>IF(AND(Projects!$G$19="Yes",DD$3&gt;=Projects!$C$19,DD$3&lt;Projects!$C$19+Projects!$D$19),Projects!$B$19*INDEX(Curves!$B$4:$AR$4,1,DD$3-Projects!$C$19+1),0)-IF(AND(Projects!$G$19="Yes",DD$3&gt;=Projects!$C$19,DD$3&lt;Projects!$C$19+Projects!$D$19),Projects!$B$19*(Assumptions!$B$10+Assumptions!$B$11+Assumptions!$B$12)/Projects!$D$19*0.95,0)-IF(AND(Projects!$G$19="Yes",DD$3=Projects!$C$19+Projects!$D$19-1),Projects!$B$19*(Assumptions!$B$10+Assumptions!$B$11+Assumptions!$B$12)*0.05,0)</f>
        <v/>
      </c>
      <c r="DE28" s="399">
        <f>IF(AND(Projects!$G$19="Yes",DE$3&gt;=Projects!$C$19,DE$3&lt;Projects!$C$19+Projects!$D$19),Projects!$B$19*INDEX(Curves!$B$4:$AR$4,1,DE$3-Projects!$C$19+1),0)-IF(AND(Projects!$G$19="Yes",DE$3&gt;=Projects!$C$19,DE$3&lt;Projects!$C$19+Projects!$D$19),Projects!$B$19*(Assumptions!$B$10+Assumptions!$B$11+Assumptions!$B$12)/Projects!$D$19*0.95,0)-IF(AND(Projects!$G$19="Yes",DE$3=Projects!$C$19+Projects!$D$19-1),Projects!$B$19*(Assumptions!$B$10+Assumptions!$B$11+Assumptions!$B$12)*0.05,0)</f>
        <v/>
      </c>
    </row>
    <row r="29" hidden="1" outlineLevel="1" ht="15" customFormat="1" customHeight="1" s="380">
      <c r="A29" s="407" t="inlineStr">
        <is>
          <t>Beverly (BD-04)</t>
        </is>
      </c>
      <c r="B29" s="399" t="n">
        <v>0</v>
      </c>
      <c r="C29" s="399" t="n">
        <v>0</v>
      </c>
      <c r="D29" s="399" t="n">
        <v>0</v>
      </c>
      <c r="E29" s="399" t="n">
        <v>0</v>
      </c>
      <c r="F29" s="399">
        <f>IF(AND(Projects!$G$20="Yes",F$3&gt;=Projects!$C$20,F$3&lt;Projects!$C$20+Projects!$D$20),Projects!$B$20*INDEX(Curves!$B$4:$AR$4,1,F$3-Projects!$C$20+1),0)-IF(AND(Projects!$G$20="Yes",F$3&gt;=Projects!$C$20,F$3&lt;Projects!$C$20+Projects!$D$20),Projects!$B$20*(Assumptions!$B$10+Assumptions!$B$11+Assumptions!$B$12)/Projects!$D$20*0.95,0)-IF(AND(Projects!$G$20="Yes",F$3=Projects!$C$20+Projects!$D$20-1),Projects!$B$20*(Assumptions!$B$10+Assumptions!$B$11+Assumptions!$B$12)*0.05,0)</f>
        <v/>
      </c>
      <c r="G29" s="399">
        <f>IF(AND(Projects!$G$20="Yes",G$3&gt;=Projects!$C$20,G$3&lt;Projects!$C$20+Projects!$D$20),Projects!$B$20*INDEX(Curves!$B$4:$AR$4,1,G$3-Projects!$C$20+1),0)-IF(AND(Projects!$G$20="Yes",G$3&gt;=Projects!$C$20,G$3&lt;Projects!$C$20+Projects!$D$20),Projects!$B$20*(Assumptions!$B$10+Assumptions!$B$11+Assumptions!$B$12)/Projects!$D$20*0.95,0)-IF(AND(Projects!$G$20="Yes",G$3=Projects!$C$20+Projects!$D$20-1),Projects!$B$20*(Assumptions!$B$10+Assumptions!$B$11+Assumptions!$B$12)*0.05,0)</f>
        <v/>
      </c>
      <c r="H29" s="399">
        <f>IF(AND(Projects!$G$20="Yes",H$3&gt;=Projects!$C$20,H$3&lt;Projects!$C$20+Projects!$D$20),Projects!$B$20*INDEX(Curves!$B$4:$AR$4,1,H$3-Projects!$C$20+1),0)-IF(AND(Projects!$G$20="Yes",H$3&gt;=Projects!$C$20,H$3&lt;Projects!$C$20+Projects!$D$20),Projects!$B$20*(Assumptions!$B$10+Assumptions!$B$11+Assumptions!$B$12)/Projects!$D$20*0.95,0)-IF(AND(Projects!$G$20="Yes",H$3=Projects!$C$20+Projects!$D$20-1),Projects!$B$20*(Assumptions!$B$10+Assumptions!$B$11+Assumptions!$B$12)*0.05,0)</f>
        <v/>
      </c>
      <c r="I29" s="399">
        <f>IF(AND(Projects!$G$20="Yes",I$3&gt;=Projects!$C$20,I$3&lt;Projects!$C$20+Projects!$D$20),Projects!$B$20*INDEX(Curves!$B$4:$AR$4,1,I$3-Projects!$C$20+1),0)-IF(AND(Projects!$G$20="Yes",I$3&gt;=Projects!$C$20,I$3&lt;Projects!$C$20+Projects!$D$20),Projects!$B$20*(Assumptions!$B$10+Assumptions!$B$11+Assumptions!$B$12)/Projects!$D$20*0.95,0)-IF(AND(Projects!$G$20="Yes",I$3=Projects!$C$20+Projects!$D$20-1),Projects!$B$20*(Assumptions!$B$10+Assumptions!$B$11+Assumptions!$B$12)*0.05,0)</f>
        <v/>
      </c>
      <c r="J29" s="399">
        <f>IF(AND(Projects!$G$20="Yes",J$3&gt;=Projects!$C$20,J$3&lt;Projects!$C$20+Projects!$D$20),Projects!$B$20*INDEX(Curves!$B$4:$AR$4,1,J$3-Projects!$C$20+1),0)-IF(AND(Projects!$G$20="Yes",J$3&gt;=Projects!$C$20,J$3&lt;Projects!$C$20+Projects!$D$20),Projects!$B$20*(Assumptions!$B$10+Assumptions!$B$11+Assumptions!$B$12)/Projects!$D$20*0.95,0)-IF(AND(Projects!$G$20="Yes",J$3=Projects!$C$20+Projects!$D$20-1),Projects!$B$20*(Assumptions!$B$10+Assumptions!$B$11+Assumptions!$B$12)*0.05,0)</f>
        <v/>
      </c>
      <c r="K29" s="399">
        <f>IF(AND(Projects!$G$20="Yes",K$3&gt;=Projects!$C$20,K$3&lt;Projects!$C$20+Projects!$D$20),Projects!$B$20*INDEX(Curves!$B$4:$AR$4,1,K$3-Projects!$C$20+1),0)-IF(AND(Projects!$G$20="Yes",K$3&gt;=Projects!$C$20,K$3&lt;Projects!$C$20+Projects!$D$20),Projects!$B$20*(Assumptions!$B$10+Assumptions!$B$11+Assumptions!$B$12)/Projects!$D$20*0.95,0)-IF(AND(Projects!$G$20="Yes",K$3=Projects!$C$20+Projects!$D$20-1),Projects!$B$20*(Assumptions!$B$10+Assumptions!$B$11+Assumptions!$B$12)*0.05,0)</f>
        <v/>
      </c>
      <c r="L29" s="399">
        <f>IF(AND(Projects!$G$20="Yes",L$3&gt;=Projects!$C$20,L$3&lt;Projects!$C$20+Projects!$D$20),Projects!$B$20*INDEX(Curves!$B$4:$AR$4,1,L$3-Projects!$C$20+1),0)-IF(AND(Projects!$G$20="Yes",L$3&gt;=Projects!$C$20,L$3&lt;Projects!$C$20+Projects!$D$20),Projects!$B$20*(Assumptions!$B$10+Assumptions!$B$11+Assumptions!$B$12)/Projects!$D$20*0.95,0)-IF(AND(Projects!$G$20="Yes",L$3=Projects!$C$20+Projects!$D$20-1),Projects!$B$20*(Assumptions!$B$10+Assumptions!$B$11+Assumptions!$B$12)*0.05,0)</f>
        <v/>
      </c>
      <c r="M29" s="399">
        <f>IF(AND(Projects!$G$20="Yes",M$3&gt;=Projects!$C$20,M$3&lt;Projects!$C$20+Projects!$D$20),Projects!$B$20*INDEX(Curves!$B$4:$AR$4,1,M$3-Projects!$C$20+1),0)-IF(AND(Projects!$G$20="Yes",M$3&gt;=Projects!$C$20,M$3&lt;Projects!$C$20+Projects!$D$20),Projects!$B$20*(Assumptions!$B$10+Assumptions!$B$11+Assumptions!$B$12)/Projects!$D$20*0.95,0)-IF(AND(Projects!$G$20="Yes",M$3=Projects!$C$20+Projects!$D$20-1),Projects!$B$20*(Assumptions!$B$10+Assumptions!$B$11+Assumptions!$B$12)*0.05,0)</f>
        <v/>
      </c>
      <c r="N29" s="399">
        <f>IF(AND(Projects!$G$20="Yes",N$3&gt;=Projects!$C$20,N$3&lt;Projects!$C$20+Projects!$D$20),Projects!$B$20*INDEX(Curves!$B$4:$AR$4,1,N$3-Projects!$C$20+1),0)-IF(AND(Projects!$G$20="Yes",N$3&gt;=Projects!$C$20,N$3&lt;Projects!$C$20+Projects!$D$20),Projects!$B$20*(Assumptions!$B$10+Assumptions!$B$11+Assumptions!$B$12)/Projects!$D$20*0.95,0)-IF(AND(Projects!$G$20="Yes",N$3=Projects!$C$20+Projects!$D$20-1),Projects!$B$20*(Assumptions!$B$10+Assumptions!$B$11+Assumptions!$B$12)*0.05,0)</f>
        <v/>
      </c>
      <c r="O29" s="399">
        <f>IF(AND(Projects!$G$20="Yes",O$3&gt;=Projects!$C$20,O$3&lt;Projects!$C$20+Projects!$D$20),Projects!$B$20*INDEX(Curves!$B$4:$AR$4,1,O$3-Projects!$C$20+1),0)-IF(AND(Projects!$G$20="Yes",O$3&gt;=Projects!$C$20,O$3&lt;Projects!$C$20+Projects!$D$20),Projects!$B$20*(Assumptions!$B$10+Assumptions!$B$11+Assumptions!$B$12)/Projects!$D$20*0.95,0)-IF(AND(Projects!$G$20="Yes",O$3=Projects!$C$20+Projects!$D$20-1),Projects!$B$20*(Assumptions!$B$10+Assumptions!$B$11+Assumptions!$B$12)*0.05,0)</f>
        <v/>
      </c>
      <c r="P29" s="399">
        <f>IF(AND(Projects!$G$20="Yes",P$3&gt;=Projects!$C$20,P$3&lt;Projects!$C$20+Projects!$D$20),Projects!$B$20*INDEX(Curves!$B$4:$AR$4,1,P$3-Projects!$C$20+1),0)-IF(AND(Projects!$G$20="Yes",P$3&gt;=Projects!$C$20,P$3&lt;Projects!$C$20+Projects!$D$20),Projects!$B$20*(Assumptions!$B$10+Assumptions!$B$11+Assumptions!$B$12)/Projects!$D$20*0.95,0)-IF(AND(Projects!$G$20="Yes",P$3=Projects!$C$20+Projects!$D$20-1),Projects!$B$20*(Assumptions!$B$10+Assumptions!$B$11+Assumptions!$B$12)*0.05,0)</f>
        <v/>
      </c>
      <c r="Q29" s="399">
        <f>IF(AND(Projects!$G$20="Yes",Q$3&gt;=Projects!$C$20,Q$3&lt;Projects!$C$20+Projects!$D$20),Projects!$B$20*INDEX(Curves!$B$4:$AR$4,1,Q$3-Projects!$C$20+1),0)-IF(AND(Projects!$G$20="Yes",Q$3&gt;=Projects!$C$20,Q$3&lt;Projects!$C$20+Projects!$D$20),Projects!$B$20*(Assumptions!$B$10+Assumptions!$B$11+Assumptions!$B$12)/Projects!$D$20*0.95,0)-IF(AND(Projects!$G$20="Yes",Q$3=Projects!$C$20+Projects!$D$20-1),Projects!$B$20*(Assumptions!$B$10+Assumptions!$B$11+Assumptions!$B$12)*0.05,0)</f>
        <v/>
      </c>
      <c r="R29" s="399">
        <f>IF(AND(Projects!$G$20="Yes",R$3&gt;=Projects!$C$20,R$3&lt;Projects!$C$20+Projects!$D$20),Projects!$B$20*INDEX(Curves!$B$4:$AR$4,1,R$3-Projects!$C$20+1),0)-IF(AND(Projects!$G$20="Yes",R$3&gt;=Projects!$C$20,R$3&lt;Projects!$C$20+Projects!$D$20),Projects!$B$20*(Assumptions!$B$10+Assumptions!$B$11+Assumptions!$B$12)/Projects!$D$20*0.95,0)-IF(AND(Projects!$G$20="Yes",R$3=Projects!$C$20+Projects!$D$20-1),Projects!$B$20*(Assumptions!$B$10+Assumptions!$B$11+Assumptions!$B$12)*0.05,0)</f>
        <v/>
      </c>
      <c r="S29" s="399">
        <f>IF(AND(Projects!$G$20="Yes",S$3&gt;=Projects!$C$20,S$3&lt;Projects!$C$20+Projects!$D$20),Projects!$B$20*INDEX(Curves!$B$4:$AR$4,1,S$3-Projects!$C$20+1),0)-IF(AND(Projects!$G$20="Yes",S$3&gt;=Projects!$C$20,S$3&lt;Projects!$C$20+Projects!$D$20),Projects!$B$20*(Assumptions!$B$10+Assumptions!$B$11+Assumptions!$B$12)/Projects!$D$20*0.95,0)-IF(AND(Projects!$G$20="Yes",S$3=Projects!$C$20+Projects!$D$20-1),Projects!$B$20*(Assumptions!$B$10+Assumptions!$B$11+Assumptions!$B$12)*0.05,0)</f>
        <v/>
      </c>
      <c r="T29" s="399">
        <f>IF(AND(Projects!$G$20="Yes",T$3&gt;=Projects!$C$20,T$3&lt;Projects!$C$20+Projects!$D$20),Projects!$B$20*INDEX(Curves!$B$4:$AR$4,1,T$3-Projects!$C$20+1),0)-IF(AND(Projects!$G$20="Yes",T$3&gt;=Projects!$C$20,T$3&lt;Projects!$C$20+Projects!$D$20),Projects!$B$20*(Assumptions!$B$10+Assumptions!$B$11+Assumptions!$B$12)/Projects!$D$20*0.95,0)-IF(AND(Projects!$G$20="Yes",T$3=Projects!$C$20+Projects!$D$20-1),Projects!$B$20*(Assumptions!$B$10+Assumptions!$B$11+Assumptions!$B$12)*0.05,0)</f>
        <v/>
      </c>
      <c r="U29" s="399">
        <f>IF(AND(Projects!$G$20="Yes",U$3&gt;=Projects!$C$20,U$3&lt;Projects!$C$20+Projects!$D$20),Projects!$B$20*INDEX(Curves!$B$4:$AR$4,1,U$3-Projects!$C$20+1),0)-IF(AND(Projects!$G$20="Yes",U$3&gt;=Projects!$C$20,U$3&lt;Projects!$C$20+Projects!$D$20),Projects!$B$20*(Assumptions!$B$10+Assumptions!$B$11+Assumptions!$B$12)/Projects!$D$20*0.95,0)-IF(AND(Projects!$G$20="Yes",U$3=Projects!$C$20+Projects!$D$20-1),Projects!$B$20*(Assumptions!$B$10+Assumptions!$B$11+Assumptions!$B$12)*0.05,0)</f>
        <v/>
      </c>
      <c r="V29" s="399">
        <f>IF(AND(Projects!$G$20="Yes",V$3&gt;=Projects!$C$20,V$3&lt;Projects!$C$20+Projects!$D$20),Projects!$B$20*INDEX(Curves!$B$4:$AR$4,1,V$3-Projects!$C$20+1),0)-IF(AND(Projects!$G$20="Yes",V$3&gt;=Projects!$C$20,V$3&lt;Projects!$C$20+Projects!$D$20),Projects!$B$20*(Assumptions!$B$10+Assumptions!$B$11+Assumptions!$B$12)/Projects!$D$20*0.95,0)-IF(AND(Projects!$G$20="Yes",V$3=Projects!$C$20+Projects!$D$20-1),Projects!$B$20*(Assumptions!$B$10+Assumptions!$B$11+Assumptions!$B$12)*0.05,0)</f>
        <v/>
      </c>
      <c r="W29" s="399">
        <f>IF(AND(Projects!$G$20="Yes",W$3&gt;=Projects!$C$20,W$3&lt;Projects!$C$20+Projects!$D$20),Projects!$B$20*INDEX(Curves!$B$4:$AR$4,1,W$3-Projects!$C$20+1),0)-IF(AND(Projects!$G$20="Yes",W$3&gt;=Projects!$C$20,W$3&lt;Projects!$C$20+Projects!$D$20),Projects!$B$20*(Assumptions!$B$10+Assumptions!$B$11+Assumptions!$B$12)/Projects!$D$20*0.95,0)-IF(AND(Projects!$G$20="Yes",W$3=Projects!$C$20+Projects!$D$20-1),Projects!$B$20*(Assumptions!$B$10+Assumptions!$B$11+Assumptions!$B$12)*0.05,0)</f>
        <v/>
      </c>
      <c r="X29" s="399">
        <f>IF(AND(Projects!$G$20="Yes",X$3&gt;=Projects!$C$20,X$3&lt;Projects!$C$20+Projects!$D$20),Projects!$B$20*INDEX(Curves!$B$4:$AR$4,1,X$3-Projects!$C$20+1),0)-IF(AND(Projects!$G$20="Yes",X$3&gt;=Projects!$C$20,X$3&lt;Projects!$C$20+Projects!$D$20),Projects!$B$20*(Assumptions!$B$10+Assumptions!$B$11+Assumptions!$B$12)/Projects!$D$20*0.95,0)-IF(AND(Projects!$G$20="Yes",X$3=Projects!$C$20+Projects!$D$20-1),Projects!$B$20*(Assumptions!$B$10+Assumptions!$B$11+Assumptions!$B$12)*0.05,0)</f>
        <v/>
      </c>
      <c r="Y29" s="399">
        <f>IF(AND(Projects!$G$20="Yes",Y$3&gt;=Projects!$C$20,Y$3&lt;Projects!$C$20+Projects!$D$20),Projects!$B$20*INDEX(Curves!$B$4:$AR$4,1,Y$3-Projects!$C$20+1),0)-IF(AND(Projects!$G$20="Yes",Y$3&gt;=Projects!$C$20,Y$3&lt;Projects!$C$20+Projects!$D$20),Projects!$B$20*(Assumptions!$B$10+Assumptions!$B$11+Assumptions!$B$12)/Projects!$D$20*0.95,0)-IF(AND(Projects!$G$20="Yes",Y$3=Projects!$C$20+Projects!$D$20-1),Projects!$B$20*(Assumptions!$B$10+Assumptions!$B$11+Assumptions!$B$12)*0.05,0)</f>
        <v/>
      </c>
      <c r="Z29" s="399">
        <f>IF(AND(Projects!$G$20="Yes",Z$3&gt;=Projects!$C$20,Z$3&lt;Projects!$C$20+Projects!$D$20),Projects!$B$20*INDEX(Curves!$B$4:$AR$4,1,Z$3-Projects!$C$20+1),0)-IF(AND(Projects!$G$20="Yes",Z$3&gt;=Projects!$C$20,Z$3&lt;Projects!$C$20+Projects!$D$20),Projects!$B$20*(Assumptions!$B$10+Assumptions!$B$11+Assumptions!$B$12)/Projects!$D$20*0.95,0)-IF(AND(Projects!$G$20="Yes",Z$3=Projects!$C$20+Projects!$D$20-1),Projects!$B$20*(Assumptions!$B$10+Assumptions!$B$11+Assumptions!$B$12)*0.05,0)</f>
        <v/>
      </c>
      <c r="AA29" s="399">
        <f>IF(AND(Projects!$G$20="Yes",AA$3&gt;=Projects!$C$20,AA$3&lt;Projects!$C$20+Projects!$D$20),Projects!$B$20*INDEX(Curves!$B$4:$AR$4,1,AA$3-Projects!$C$20+1),0)-IF(AND(Projects!$G$20="Yes",AA$3&gt;=Projects!$C$20,AA$3&lt;Projects!$C$20+Projects!$D$20),Projects!$B$20*(Assumptions!$B$10+Assumptions!$B$11+Assumptions!$B$12)/Projects!$D$20*0.95,0)-IF(AND(Projects!$G$20="Yes",AA$3=Projects!$C$20+Projects!$D$20-1),Projects!$B$20*(Assumptions!$B$10+Assumptions!$B$11+Assumptions!$B$12)*0.05,0)</f>
        <v/>
      </c>
      <c r="AB29" s="399">
        <f>IF(AND(Projects!$G$20="Yes",AB$3&gt;=Projects!$C$20,AB$3&lt;Projects!$C$20+Projects!$D$20),Projects!$B$20*INDEX(Curves!$B$4:$AR$4,1,AB$3-Projects!$C$20+1),0)-IF(AND(Projects!$G$20="Yes",AB$3&gt;=Projects!$C$20,AB$3&lt;Projects!$C$20+Projects!$D$20),Projects!$B$20*(Assumptions!$B$10+Assumptions!$B$11+Assumptions!$B$12)/Projects!$D$20*0.95,0)-IF(AND(Projects!$G$20="Yes",AB$3=Projects!$C$20+Projects!$D$20-1),Projects!$B$20*(Assumptions!$B$10+Assumptions!$B$11+Assumptions!$B$12)*0.05,0)</f>
        <v/>
      </c>
      <c r="AC29" s="399">
        <f>IF(AND(Projects!$G$20="Yes",AC$3&gt;=Projects!$C$20,AC$3&lt;Projects!$C$20+Projects!$D$20),Projects!$B$20*INDEX(Curves!$B$4:$AR$4,1,AC$3-Projects!$C$20+1),0)-IF(AND(Projects!$G$20="Yes",AC$3&gt;=Projects!$C$20,AC$3&lt;Projects!$C$20+Projects!$D$20),Projects!$B$20*(Assumptions!$B$10+Assumptions!$B$11+Assumptions!$B$12)/Projects!$D$20*0.95,0)-IF(AND(Projects!$G$20="Yes",AC$3=Projects!$C$20+Projects!$D$20-1),Projects!$B$20*(Assumptions!$B$10+Assumptions!$B$11+Assumptions!$B$12)*0.05,0)</f>
        <v/>
      </c>
      <c r="AD29" s="399">
        <f>IF(AND(Projects!$G$20="Yes",AD$3&gt;=Projects!$C$20,AD$3&lt;Projects!$C$20+Projects!$D$20),Projects!$B$20*INDEX(Curves!$B$4:$AR$4,1,AD$3-Projects!$C$20+1),0)-IF(AND(Projects!$G$20="Yes",AD$3&gt;=Projects!$C$20,AD$3&lt;Projects!$C$20+Projects!$D$20),Projects!$B$20*(Assumptions!$B$10+Assumptions!$B$11+Assumptions!$B$12)/Projects!$D$20*0.95,0)-IF(AND(Projects!$G$20="Yes",AD$3=Projects!$C$20+Projects!$D$20-1),Projects!$B$20*(Assumptions!$B$10+Assumptions!$B$11+Assumptions!$B$12)*0.05,0)</f>
        <v/>
      </c>
      <c r="AE29" s="399">
        <f>IF(AND(Projects!$G$20="Yes",AE$3&gt;=Projects!$C$20,AE$3&lt;Projects!$C$20+Projects!$D$20),Projects!$B$20*INDEX(Curves!$B$4:$AR$4,1,AE$3-Projects!$C$20+1),0)-IF(AND(Projects!$G$20="Yes",AE$3&gt;=Projects!$C$20,AE$3&lt;Projects!$C$20+Projects!$D$20),Projects!$B$20*(Assumptions!$B$10+Assumptions!$B$11+Assumptions!$B$12)/Projects!$D$20*0.95,0)-IF(AND(Projects!$G$20="Yes",AE$3=Projects!$C$20+Projects!$D$20-1),Projects!$B$20*(Assumptions!$B$10+Assumptions!$B$11+Assumptions!$B$12)*0.05,0)</f>
        <v/>
      </c>
      <c r="AF29" s="399">
        <f>IF(AND(Projects!$G$20="Yes",AF$3&gt;=Projects!$C$20,AF$3&lt;Projects!$C$20+Projects!$D$20),Projects!$B$20*INDEX(Curves!$B$4:$AR$4,1,AF$3-Projects!$C$20+1),0)-IF(AND(Projects!$G$20="Yes",AF$3&gt;=Projects!$C$20,AF$3&lt;Projects!$C$20+Projects!$D$20),Projects!$B$20*(Assumptions!$B$10+Assumptions!$B$11+Assumptions!$B$12)/Projects!$D$20*0.95,0)-IF(AND(Projects!$G$20="Yes",AF$3=Projects!$C$20+Projects!$D$20-1),Projects!$B$20*(Assumptions!$B$10+Assumptions!$B$11+Assumptions!$B$12)*0.05,0)</f>
        <v/>
      </c>
      <c r="AG29" s="399">
        <f>IF(AND(Projects!$G$20="Yes",AG$3&gt;=Projects!$C$20,AG$3&lt;Projects!$C$20+Projects!$D$20),Projects!$B$20*INDEX(Curves!$B$4:$AR$4,1,AG$3-Projects!$C$20+1),0)-IF(AND(Projects!$G$20="Yes",AG$3&gt;=Projects!$C$20,AG$3&lt;Projects!$C$20+Projects!$D$20),Projects!$B$20*(Assumptions!$B$10+Assumptions!$B$11+Assumptions!$B$12)/Projects!$D$20*0.95,0)-IF(AND(Projects!$G$20="Yes",AG$3=Projects!$C$20+Projects!$D$20-1),Projects!$B$20*(Assumptions!$B$10+Assumptions!$B$11+Assumptions!$B$12)*0.05,0)</f>
        <v/>
      </c>
      <c r="AH29" s="399">
        <f>IF(AND(Projects!$G$20="Yes",AH$3&gt;=Projects!$C$20,AH$3&lt;Projects!$C$20+Projects!$D$20),Projects!$B$20*INDEX(Curves!$B$4:$AR$4,1,AH$3-Projects!$C$20+1),0)-IF(AND(Projects!$G$20="Yes",AH$3&gt;=Projects!$C$20,AH$3&lt;Projects!$C$20+Projects!$D$20),Projects!$B$20*(Assumptions!$B$10+Assumptions!$B$11+Assumptions!$B$12)/Projects!$D$20*0.95,0)-IF(AND(Projects!$G$20="Yes",AH$3=Projects!$C$20+Projects!$D$20-1),Projects!$B$20*(Assumptions!$B$10+Assumptions!$B$11+Assumptions!$B$12)*0.05,0)</f>
        <v/>
      </c>
      <c r="AI29" s="399">
        <f>IF(AND(Projects!$G$20="Yes",AI$3&gt;=Projects!$C$20,AI$3&lt;Projects!$C$20+Projects!$D$20),Projects!$B$20*INDEX(Curves!$B$4:$AR$4,1,AI$3-Projects!$C$20+1),0)-IF(AND(Projects!$G$20="Yes",AI$3&gt;=Projects!$C$20,AI$3&lt;Projects!$C$20+Projects!$D$20),Projects!$B$20*(Assumptions!$B$10+Assumptions!$B$11+Assumptions!$B$12)/Projects!$D$20*0.95,0)-IF(AND(Projects!$G$20="Yes",AI$3=Projects!$C$20+Projects!$D$20-1),Projects!$B$20*(Assumptions!$B$10+Assumptions!$B$11+Assumptions!$B$12)*0.05,0)</f>
        <v/>
      </c>
      <c r="AJ29" s="399">
        <f>IF(AND(Projects!$G$20="Yes",AJ$3&gt;=Projects!$C$20,AJ$3&lt;Projects!$C$20+Projects!$D$20),Projects!$B$20*INDEX(Curves!$B$4:$AR$4,1,AJ$3-Projects!$C$20+1),0)-IF(AND(Projects!$G$20="Yes",AJ$3&gt;=Projects!$C$20,AJ$3&lt;Projects!$C$20+Projects!$D$20),Projects!$B$20*(Assumptions!$B$10+Assumptions!$B$11+Assumptions!$B$12)/Projects!$D$20*0.95,0)-IF(AND(Projects!$G$20="Yes",AJ$3=Projects!$C$20+Projects!$D$20-1),Projects!$B$20*(Assumptions!$B$10+Assumptions!$B$11+Assumptions!$B$12)*0.05,0)</f>
        <v/>
      </c>
      <c r="AK29" s="399">
        <f>IF(AND(Projects!$G$20="Yes",AK$3&gt;=Projects!$C$20,AK$3&lt;Projects!$C$20+Projects!$D$20),Projects!$B$20*INDEX(Curves!$B$4:$AR$4,1,AK$3-Projects!$C$20+1),0)-IF(AND(Projects!$G$20="Yes",AK$3&gt;=Projects!$C$20,AK$3&lt;Projects!$C$20+Projects!$D$20),Projects!$B$20*(Assumptions!$B$10+Assumptions!$B$11+Assumptions!$B$12)/Projects!$D$20*0.95,0)-IF(AND(Projects!$G$20="Yes",AK$3=Projects!$C$20+Projects!$D$20-1),Projects!$B$20*(Assumptions!$B$10+Assumptions!$B$11+Assumptions!$B$12)*0.05,0)</f>
        <v/>
      </c>
      <c r="AL29" s="399">
        <f>IF(AND(Projects!$G$20="Yes",AL$3&gt;=Projects!$C$20,AL$3&lt;Projects!$C$20+Projects!$D$20),Projects!$B$20*INDEX(Curves!$B$4:$AR$4,1,AL$3-Projects!$C$20+1),0)-IF(AND(Projects!$G$20="Yes",AL$3&gt;=Projects!$C$20,AL$3&lt;Projects!$C$20+Projects!$D$20),Projects!$B$20*(Assumptions!$B$10+Assumptions!$B$11+Assumptions!$B$12)/Projects!$D$20*0.95,0)-IF(AND(Projects!$G$20="Yes",AL$3=Projects!$C$20+Projects!$D$20-1),Projects!$B$20*(Assumptions!$B$10+Assumptions!$B$11+Assumptions!$B$12)*0.05,0)</f>
        <v/>
      </c>
      <c r="AM29" s="399">
        <f>IF(AND(Projects!$G$20="Yes",AM$3&gt;=Projects!$C$20,AM$3&lt;Projects!$C$20+Projects!$D$20),Projects!$B$20*INDEX(Curves!$B$4:$AR$4,1,AM$3-Projects!$C$20+1),0)-IF(AND(Projects!$G$20="Yes",AM$3&gt;=Projects!$C$20,AM$3&lt;Projects!$C$20+Projects!$D$20),Projects!$B$20*(Assumptions!$B$10+Assumptions!$B$11+Assumptions!$B$12)/Projects!$D$20*0.95,0)-IF(AND(Projects!$G$20="Yes",AM$3=Projects!$C$20+Projects!$D$20-1),Projects!$B$20*(Assumptions!$B$10+Assumptions!$B$11+Assumptions!$B$12)*0.05,0)</f>
        <v/>
      </c>
      <c r="AN29" s="399">
        <f>IF(AND(Projects!$G$20="Yes",AN$3&gt;=Projects!$C$20,AN$3&lt;Projects!$C$20+Projects!$D$20),Projects!$B$20*INDEX(Curves!$B$4:$AR$4,1,AN$3-Projects!$C$20+1),0)-IF(AND(Projects!$G$20="Yes",AN$3&gt;=Projects!$C$20,AN$3&lt;Projects!$C$20+Projects!$D$20),Projects!$B$20*(Assumptions!$B$10+Assumptions!$B$11+Assumptions!$B$12)/Projects!$D$20*0.95,0)-IF(AND(Projects!$G$20="Yes",AN$3=Projects!$C$20+Projects!$D$20-1),Projects!$B$20*(Assumptions!$B$10+Assumptions!$B$11+Assumptions!$B$12)*0.05,0)</f>
        <v/>
      </c>
      <c r="AO29" s="399">
        <f>IF(AND(Projects!$G$20="Yes",AO$3&gt;=Projects!$C$20,AO$3&lt;Projects!$C$20+Projects!$D$20),Projects!$B$20*INDEX(Curves!$B$4:$AR$4,1,AO$3-Projects!$C$20+1),0)-IF(AND(Projects!$G$20="Yes",AO$3&gt;=Projects!$C$20,AO$3&lt;Projects!$C$20+Projects!$D$20),Projects!$B$20*(Assumptions!$B$10+Assumptions!$B$11+Assumptions!$B$12)/Projects!$D$20*0.95,0)-IF(AND(Projects!$G$20="Yes",AO$3=Projects!$C$20+Projects!$D$20-1),Projects!$B$20*(Assumptions!$B$10+Assumptions!$B$11+Assumptions!$B$12)*0.05,0)</f>
        <v/>
      </c>
      <c r="AP29" s="399">
        <f>IF(AND(Projects!$G$20="Yes",AP$3&gt;=Projects!$C$20,AP$3&lt;Projects!$C$20+Projects!$D$20),Projects!$B$20*INDEX(Curves!$B$4:$AR$4,1,AP$3-Projects!$C$20+1),0)-IF(AND(Projects!$G$20="Yes",AP$3&gt;=Projects!$C$20,AP$3&lt;Projects!$C$20+Projects!$D$20),Projects!$B$20*(Assumptions!$B$10+Assumptions!$B$11+Assumptions!$B$12)/Projects!$D$20*0.95,0)-IF(AND(Projects!$G$20="Yes",AP$3=Projects!$C$20+Projects!$D$20-1),Projects!$B$20*(Assumptions!$B$10+Assumptions!$B$11+Assumptions!$B$12)*0.05,0)</f>
        <v/>
      </c>
      <c r="AQ29" s="399">
        <f>IF(AND(Projects!$G$20="Yes",AQ$3&gt;=Projects!$C$20,AQ$3&lt;Projects!$C$20+Projects!$D$20),Projects!$B$20*INDEX(Curves!$B$4:$AR$4,1,AQ$3-Projects!$C$20+1),0)-IF(AND(Projects!$G$20="Yes",AQ$3&gt;=Projects!$C$20,AQ$3&lt;Projects!$C$20+Projects!$D$20),Projects!$B$20*(Assumptions!$B$10+Assumptions!$B$11+Assumptions!$B$12)/Projects!$D$20*0.95,0)-IF(AND(Projects!$G$20="Yes",AQ$3=Projects!$C$20+Projects!$D$20-1),Projects!$B$20*(Assumptions!$B$10+Assumptions!$B$11+Assumptions!$B$12)*0.05,0)</f>
        <v/>
      </c>
      <c r="AR29" s="399">
        <f>IF(AND(Projects!$G$20="Yes",AR$3&gt;=Projects!$C$20,AR$3&lt;Projects!$C$20+Projects!$D$20),Projects!$B$20*INDEX(Curves!$B$4:$AR$4,1,AR$3-Projects!$C$20+1),0)-IF(AND(Projects!$G$20="Yes",AR$3&gt;=Projects!$C$20,AR$3&lt;Projects!$C$20+Projects!$D$20),Projects!$B$20*(Assumptions!$B$10+Assumptions!$B$11+Assumptions!$B$12)/Projects!$D$20*0.95,0)-IF(AND(Projects!$G$20="Yes",AR$3=Projects!$C$20+Projects!$D$20-1),Projects!$B$20*(Assumptions!$B$10+Assumptions!$B$11+Assumptions!$B$12)*0.05,0)</f>
        <v/>
      </c>
      <c r="AS29" s="399">
        <f>IF(AND(Projects!$G$20="Yes",AS$3&gt;=Projects!$C$20,AS$3&lt;Projects!$C$20+Projects!$D$20),Projects!$B$20*INDEX(Curves!$B$4:$AR$4,1,AS$3-Projects!$C$20+1),0)-IF(AND(Projects!$G$20="Yes",AS$3&gt;=Projects!$C$20,AS$3&lt;Projects!$C$20+Projects!$D$20),Projects!$B$20*(Assumptions!$B$10+Assumptions!$B$11+Assumptions!$B$12)/Projects!$D$20*0.95,0)-IF(AND(Projects!$G$20="Yes",AS$3=Projects!$C$20+Projects!$D$20-1),Projects!$B$20*(Assumptions!$B$10+Assumptions!$B$11+Assumptions!$B$12)*0.05,0)</f>
        <v/>
      </c>
      <c r="AT29" s="399">
        <f>IF(AND(Projects!$G$20="Yes",AT$3&gt;=Projects!$C$20,AT$3&lt;Projects!$C$20+Projects!$D$20),Projects!$B$20*INDEX(Curves!$B$4:$AR$4,1,AT$3-Projects!$C$20+1),0)-IF(AND(Projects!$G$20="Yes",AT$3&gt;=Projects!$C$20,AT$3&lt;Projects!$C$20+Projects!$D$20),Projects!$B$20*(Assumptions!$B$10+Assumptions!$B$11+Assumptions!$B$12)/Projects!$D$20*0.95,0)-IF(AND(Projects!$G$20="Yes",AT$3=Projects!$C$20+Projects!$D$20-1),Projects!$B$20*(Assumptions!$B$10+Assumptions!$B$11+Assumptions!$B$12)*0.05,0)</f>
        <v/>
      </c>
      <c r="AU29" s="399">
        <f>IF(AND(Projects!$G$20="Yes",AU$3&gt;=Projects!$C$20,AU$3&lt;Projects!$C$20+Projects!$D$20),Projects!$B$20*INDEX(Curves!$B$4:$AR$4,1,AU$3-Projects!$C$20+1),0)-IF(AND(Projects!$G$20="Yes",AU$3&gt;=Projects!$C$20,AU$3&lt;Projects!$C$20+Projects!$D$20),Projects!$B$20*(Assumptions!$B$10+Assumptions!$B$11+Assumptions!$B$12)/Projects!$D$20*0.95,0)-IF(AND(Projects!$G$20="Yes",AU$3=Projects!$C$20+Projects!$D$20-1),Projects!$B$20*(Assumptions!$B$10+Assumptions!$B$11+Assumptions!$B$12)*0.05,0)</f>
        <v/>
      </c>
      <c r="AV29" s="399">
        <f>IF(AND(Projects!$G$20="Yes",AV$3&gt;=Projects!$C$20,AV$3&lt;Projects!$C$20+Projects!$D$20),Projects!$B$20*INDEX(Curves!$B$4:$AR$4,1,AV$3-Projects!$C$20+1),0)-IF(AND(Projects!$G$20="Yes",AV$3&gt;=Projects!$C$20,AV$3&lt;Projects!$C$20+Projects!$D$20),Projects!$B$20*(Assumptions!$B$10+Assumptions!$B$11+Assumptions!$B$12)/Projects!$D$20*0.95,0)-IF(AND(Projects!$G$20="Yes",AV$3=Projects!$C$20+Projects!$D$20-1),Projects!$B$20*(Assumptions!$B$10+Assumptions!$B$11+Assumptions!$B$12)*0.05,0)</f>
        <v/>
      </c>
      <c r="AW29" s="399">
        <f>IF(AND(Projects!$G$20="Yes",AW$3&gt;=Projects!$C$20,AW$3&lt;Projects!$C$20+Projects!$D$20),Projects!$B$20*INDEX(Curves!$B$4:$AR$4,1,AW$3-Projects!$C$20+1),0)-IF(AND(Projects!$G$20="Yes",AW$3&gt;=Projects!$C$20,AW$3&lt;Projects!$C$20+Projects!$D$20),Projects!$B$20*(Assumptions!$B$10+Assumptions!$B$11+Assumptions!$B$12)/Projects!$D$20*0.95,0)-IF(AND(Projects!$G$20="Yes",AW$3=Projects!$C$20+Projects!$D$20-1),Projects!$B$20*(Assumptions!$B$10+Assumptions!$B$11+Assumptions!$B$12)*0.05,0)</f>
        <v/>
      </c>
      <c r="AX29" s="399">
        <f>IF(AND(Projects!$G$20="Yes",AX$3&gt;=Projects!$C$20,AX$3&lt;Projects!$C$20+Projects!$D$20),Projects!$B$20*INDEX(Curves!$B$4:$AR$4,1,AX$3-Projects!$C$20+1),0)-IF(AND(Projects!$G$20="Yes",AX$3&gt;=Projects!$C$20,AX$3&lt;Projects!$C$20+Projects!$D$20),Projects!$B$20*(Assumptions!$B$10+Assumptions!$B$11+Assumptions!$B$12)/Projects!$D$20*0.95,0)-IF(AND(Projects!$G$20="Yes",AX$3=Projects!$C$20+Projects!$D$20-1),Projects!$B$20*(Assumptions!$B$10+Assumptions!$B$11+Assumptions!$B$12)*0.05,0)</f>
        <v/>
      </c>
      <c r="AY29" s="399">
        <f>IF(AND(Projects!$G$20="Yes",AY$3&gt;=Projects!$C$20,AY$3&lt;Projects!$C$20+Projects!$D$20),Projects!$B$20*INDEX(Curves!$B$4:$AR$4,1,AY$3-Projects!$C$20+1),0)-IF(AND(Projects!$G$20="Yes",AY$3&gt;=Projects!$C$20,AY$3&lt;Projects!$C$20+Projects!$D$20),Projects!$B$20*(Assumptions!$B$10+Assumptions!$B$11+Assumptions!$B$12)/Projects!$D$20*0.95,0)-IF(AND(Projects!$G$20="Yes",AY$3=Projects!$C$20+Projects!$D$20-1),Projects!$B$20*(Assumptions!$B$10+Assumptions!$B$11+Assumptions!$B$12)*0.05,0)</f>
        <v/>
      </c>
      <c r="AZ29" s="399">
        <f>IF(AND(Projects!$G$20="Yes",AZ$3&gt;=Projects!$C$20,AZ$3&lt;Projects!$C$20+Projects!$D$20),Projects!$B$20*INDEX(Curves!$B$4:$AR$4,1,AZ$3-Projects!$C$20+1),0)-IF(AND(Projects!$G$20="Yes",AZ$3&gt;=Projects!$C$20,AZ$3&lt;Projects!$C$20+Projects!$D$20),Projects!$B$20*(Assumptions!$B$10+Assumptions!$B$11+Assumptions!$B$12)/Projects!$D$20*0.95,0)-IF(AND(Projects!$G$20="Yes",AZ$3=Projects!$C$20+Projects!$D$20-1),Projects!$B$20*(Assumptions!$B$10+Assumptions!$B$11+Assumptions!$B$12)*0.05,0)</f>
        <v/>
      </c>
      <c r="BA29" s="399">
        <f>IF(AND(Projects!$G$20="Yes",BA$3&gt;=Projects!$C$20,BA$3&lt;Projects!$C$20+Projects!$D$20),Projects!$B$20*INDEX(Curves!$B$4:$AR$4,1,BA$3-Projects!$C$20+1),0)-IF(AND(Projects!$G$20="Yes",BA$3&gt;=Projects!$C$20,BA$3&lt;Projects!$C$20+Projects!$D$20),Projects!$B$20*(Assumptions!$B$10+Assumptions!$B$11+Assumptions!$B$12)/Projects!$D$20*0.95,0)-IF(AND(Projects!$G$20="Yes",BA$3=Projects!$C$20+Projects!$D$20-1),Projects!$B$20*(Assumptions!$B$10+Assumptions!$B$11+Assumptions!$B$12)*0.05,0)</f>
        <v/>
      </c>
      <c r="BB29" s="399">
        <f>IF(AND(Projects!$G$20="Yes",BB$3&gt;=Projects!$C$20,BB$3&lt;Projects!$C$20+Projects!$D$20),Projects!$B$20*INDEX(Curves!$B$4:$AR$4,1,BB$3-Projects!$C$20+1),0)-IF(AND(Projects!$G$20="Yes",BB$3&gt;=Projects!$C$20,BB$3&lt;Projects!$C$20+Projects!$D$20),Projects!$B$20*(Assumptions!$B$10+Assumptions!$B$11+Assumptions!$B$12)/Projects!$D$20*0.95,0)-IF(AND(Projects!$G$20="Yes",BB$3=Projects!$C$20+Projects!$D$20-1),Projects!$B$20*(Assumptions!$B$10+Assumptions!$B$11+Assumptions!$B$12)*0.05,0)</f>
        <v/>
      </c>
      <c r="BC29" s="399">
        <f>IF(AND(Projects!$G$20="Yes",BC$3&gt;=Projects!$C$20,BC$3&lt;Projects!$C$20+Projects!$D$20),Projects!$B$20*INDEX(Curves!$B$4:$AR$4,1,BC$3-Projects!$C$20+1),0)-IF(AND(Projects!$G$20="Yes",BC$3&gt;=Projects!$C$20,BC$3&lt;Projects!$C$20+Projects!$D$20),Projects!$B$20*(Assumptions!$B$10+Assumptions!$B$11+Assumptions!$B$12)/Projects!$D$20*0.95,0)-IF(AND(Projects!$G$20="Yes",BC$3=Projects!$C$20+Projects!$D$20-1),Projects!$B$20*(Assumptions!$B$10+Assumptions!$B$11+Assumptions!$B$12)*0.05,0)</f>
        <v/>
      </c>
      <c r="BD29" s="399">
        <f>IF(AND(Projects!$G$20="Yes",BD$3&gt;=Projects!$C$20,BD$3&lt;Projects!$C$20+Projects!$D$20),Projects!$B$20*INDEX(Curves!$B$4:$AR$4,1,BD$3-Projects!$C$20+1),0)-IF(AND(Projects!$G$20="Yes",BD$3&gt;=Projects!$C$20,BD$3&lt;Projects!$C$20+Projects!$D$20),Projects!$B$20*(Assumptions!$B$10+Assumptions!$B$11+Assumptions!$B$12)/Projects!$D$20*0.95,0)-IF(AND(Projects!$G$20="Yes",BD$3=Projects!$C$20+Projects!$D$20-1),Projects!$B$20*(Assumptions!$B$10+Assumptions!$B$11+Assumptions!$B$12)*0.05,0)</f>
        <v/>
      </c>
      <c r="BE29" s="399">
        <f>IF(AND(Projects!$G$20="Yes",BE$3&gt;=Projects!$C$20,BE$3&lt;Projects!$C$20+Projects!$D$20),Projects!$B$20*INDEX(Curves!$B$4:$AR$4,1,BE$3-Projects!$C$20+1),0)-IF(AND(Projects!$G$20="Yes",BE$3&gt;=Projects!$C$20,BE$3&lt;Projects!$C$20+Projects!$D$20),Projects!$B$20*(Assumptions!$B$10+Assumptions!$B$11+Assumptions!$B$12)/Projects!$D$20*0.95,0)-IF(AND(Projects!$G$20="Yes",BE$3=Projects!$C$20+Projects!$D$20-1),Projects!$B$20*(Assumptions!$B$10+Assumptions!$B$11+Assumptions!$B$12)*0.05,0)</f>
        <v/>
      </c>
      <c r="BF29" s="399">
        <f>IF(AND(Projects!$G$20="Yes",BF$3&gt;=Projects!$C$20,BF$3&lt;Projects!$C$20+Projects!$D$20),Projects!$B$20*INDEX(Curves!$B$4:$AR$4,1,BF$3-Projects!$C$20+1),0)-IF(AND(Projects!$G$20="Yes",BF$3&gt;=Projects!$C$20,BF$3&lt;Projects!$C$20+Projects!$D$20),Projects!$B$20*(Assumptions!$B$10+Assumptions!$B$11+Assumptions!$B$12)/Projects!$D$20*0.95,0)-IF(AND(Projects!$G$20="Yes",BF$3=Projects!$C$20+Projects!$D$20-1),Projects!$B$20*(Assumptions!$B$10+Assumptions!$B$11+Assumptions!$B$12)*0.05,0)</f>
        <v/>
      </c>
      <c r="BG29" s="399">
        <f>IF(AND(Projects!$G$20="Yes",BG$3&gt;=Projects!$C$20,BG$3&lt;Projects!$C$20+Projects!$D$20),Projects!$B$20*INDEX(Curves!$B$4:$AR$4,1,BG$3-Projects!$C$20+1),0)-IF(AND(Projects!$G$20="Yes",BG$3&gt;=Projects!$C$20,BG$3&lt;Projects!$C$20+Projects!$D$20),Projects!$B$20*(Assumptions!$B$10+Assumptions!$B$11+Assumptions!$B$12)/Projects!$D$20*0.95,0)-IF(AND(Projects!$G$20="Yes",BG$3=Projects!$C$20+Projects!$D$20-1),Projects!$B$20*(Assumptions!$B$10+Assumptions!$B$11+Assumptions!$B$12)*0.05,0)</f>
        <v/>
      </c>
      <c r="BH29" s="399">
        <f>IF(AND(Projects!$G$20="Yes",BH$3&gt;=Projects!$C$20,BH$3&lt;Projects!$C$20+Projects!$D$20),Projects!$B$20*INDEX(Curves!$B$4:$AR$4,1,BH$3-Projects!$C$20+1),0)-IF(AND(Projects!$G$20="Yes",BH$3&gt;=Projects!$C$20,BH$3&lt;Projects!$C$20+Projects!$D$20),Projects!$B$20*(Assumptions!$B$10+Assumptions!$B$11+Assumptions!$B$12)/Projects!$D$20*0.95,0)-IF(AND(Projects!$G$20="Yes",BH$3=Projects!$C$20+Projects!$D$20-1),Projects!$B$20*(Assumptions!$B$10+Assumptions!$B$11+Assumptions!$B$12)*0.05,0)</f>
        <v/>
      </c>
      <c r="BI29" s="399">
        <f>IF(AND(Projects!$G$20="Yes",BI$3&gt;=Projects!$C$20,BI$3&lt;Projects!$C$20+Projects!$D$20),Projects!$B$20*INDEX(Curves!$B$4:$AR$4,1,BI$3-Projects!$C$20+1),0)-IF(AND(Projects!$G$20="Yes",BI$3&gt;=Projects!$C$20,BI$3&lt;Projects!$C$20+Projects!$D$20),Projects!$B$20*(Assumptions!$B$10+Assumptions!$B$11+Assumptions!$B$12)/Projects!$D$20*0.95,0)-IF(AND(Projects!$G$20="Yes",BI$3=Projects!$C$20+Projects!$D$20-1),Projects!$B$20*(Assumptions!$B$10+Assumptions!$B$11+Assumptions!$B$12)*0.05,0)</f>
        <v/>
      </c>
      <c r="BJ29" s="399">
        <f>IF(AND(Projects!$G$20="Yes",BJ$3&gt;=Projects!$C$20,BJ$3&lt;Projects!$C$20+Projects!$D$20),Projects!$B$20*INDEX(Curves!$B$4:$AR$4,1,BJ$3-Projects!$C$20+1),0)-IF(AND(Projects!$G$20="Yes",BJ$3&gt;=Projects!$C$20,BJ$3&lt;Projects!$C$20+Projects!$D$20),Projects!$B$20*(Assumptions!$B$10+Assumptions!$B$11+Assumptions!$B$12)/Projects!$D$20*0.95,0)-IF(AND(Projects!$G$20="Yes",BJ$3=Projects!$C$20+Projects!$D$20-1),Projects!$B$20*(Assumptions!$B$10+Assumptions!$B$11+Assumptions!$B$12)*0.05,0)</f>
        <v/>
      </c>
      <c r="BK29" s="399">
        <f>IF(AND(Projects!$G$20="Yes",BK$3&gt;=Projects!$C$20,BK$3&lt;Projects!$C$20+Projects!$D$20),Projects!$B$20*INDEX(Curves!$B$4:$AR$4,1,BK$3-Projects!$C$20+1),0)-IF(AND(Projects!$G$20="Yes",BK$3&gt;=Projects!$C$20,BK$3&lt;Projects!$C$20+Projects!$D$20),Projects!$B$20*(Assumptions!$B$10+Assumptions!$B$11+Assumptions!$B$12)/Projects!$D$20*0.95,0)-IF(AND(Projects!$G$20="Yes",BK$3=Projects!$C$20+Projects!$D$20-1),Projects!$B$20*(Assumptions!$B$10+Assumptions!$B$11+Assumptions!$B$12)*0.05,0)</f>
        <v/>
      </c>
      <c r="BL29" s="399">
        <f>IF(AND(Projects!$G$20="Yes",BL$3&gt;=Projects!$C$20,BL$3&lt;Projects!$C$20+Projects!$D$20),Projects!$B$20*INDEX(Curves!$B$4:$AR$4,1,BL$3-Projects!$C$20+1),0)-IF(AND(Projects!$G$20="Yes",BL$3&gt;=Projects!$C$20,BL$3&lt;Projects!$C$20+Projects!$D$20),Projects!$B$20*(Assumptions!$B$10+Assumptions!$B$11+Assumptions!$B$12)/Projects!$D$20*0.95,0)-IF(AND(Projects!$G$20="Yes",BL$3=Projects!$C$20+Projects!$D$20-1),Projects!$B$20*(Assumptions!$B$10+Assumptions!$B$11+Assumptions!$B$12)*0.05,0)</f>
        <v/>
      </c>
      <c r="BM29" s="399">
        <f>IF(AND(Projects!$G$20="Yes",BM$3&gt;=Projects!$C$20,BM$3&lt;Projects!$C$20+Projects!$D$20),Projects!$B$20*INDEX(Curves!$B$4:$AR$4,1,BM$3-Projects!$C$20+1),0)-IF(AND(Projects!$G$20="Yes",BM$3&gt;=Projects!$C$20,BM$3&lt;Projects!$C$20+Projects!$D$20),Projects!$B$20*(Assumptions!$B$10+Assumptions!$B$11+Assumptions!$B$12)/Projects!$D$20*0.95,0)-IF(AND(Projects!$G$20="Yes",BM$3=Projects!$C$20+Projects!$D$20-1),Projects!$B$20*(Assumptions!$B$10+Assumptions!$B$11+Assumptions!$B$12)*0.05,0)</f>
        <v/>
      </c>
      <c r="BN29" s="399">
        <f>IF(AND(Projects!$G$20="Yes",BN$3&gt;=Projects!$C$20,BN$3&lt;Projects!$C$20+Projects!$D$20),Projects!$B$20*INDEX(Curves!$B$4:$AR$4,1,BN$3-Projects!$C$20+1),0)-IF(AND(Projects!$G$20="Yes",BN$3&gt;=Projects!$C$20,BN$3&lt;Projects!$C$20+Projects!$D$20),Projects!$B$20*(Assumptions!$B$10+Assumptions!$B$11+Assumptions!$B$12)/Projects!$D$20*0.95,0)-IF(AND(Projects!$G$20="Yes",BN$3=Projects!$C$20+Projects!$D$20-1),Projects!$B$20*(Assumptions!$B$10+Assumptions!$B$11+Assumptions!$B$12)*0.05,0)</f>
        <v/>
      </c>
      <c r="BO29" s="399">
        <f>IF(AND(Projects!$G$20="Yes",BO$3&gt;=Projects!$C$20,BO$3&lt;Projects!$C$20+Projects!$D$20),Projects!$B$20*INDEX(Curves!$B$4:$AR$4,1,BO$3-Projects!$C$20+1),0)-IF(AND(Projects!$G$20="Yes",BO$3&gt;=Projects!$C$20,BO$3&lt;Projects!$C$20+Projects!$D$20),Projects!$B$20*(Assumptions!$B$10+Assumptions!$B$11+Assumptions!$B$12)/Projects!$D$20*0.95,0)-IF(AND(Projects!$G$20="Yes",BO$3=Projects!$C$20+Projects!$D$20-1),Projects!$B$20*(Assumptions!$B$10+Assumptions!$B$11+Assumptions!$B$12)*0.05,0)</f>
        <v/>
      </c>
      <c r="BP29" s="399">
        <f>IF(AND(Projects!$G$20="Yes",BP$3&gt;=Projects!$C$20,BP$3&lt;Projects!$C$20+Projects!$D$20),Projects!$B$20*INDEX(Curves!$B$4:$AR$4,1,BP$3-Projects!$C$20+1),0)-IF(AND(Projects!$G$20="Yes",BP$3&gt;=Projects!$C$20,BP$3&lt;Projects!$C$20+Projects!$D$20),Projects!$B$20*(Assumptions!$B$10+Assumptions!$B$11+Assumptions!$B$12)/Projects!$D$20*0.95,0)-IF(AND(Projects!$G$20="Yes",BP$3=Projects!$C$20+Projects!$D$20-1),Projects!$B$20*(Assumptions!$B$10+Assumptions!$B$11+Assumptions!$B$12)*0.05,0)</f>
        <v/>
      </c>
      <c r="BQ29" s="399">
        <f>IF(AND(Projects!$G$20="Yes",BQ$3&gt;=Projects!$C$20,BQ$3&lt;Projects!$C$20+Projects!$D$20),Projects!$B$20*INDEX(Curves!$B$4:$AR$4,1,BQ$3-Projects!$C$20+1),0)-IF(AND(Projects!$G$20="Yes",BQ$3&gt;=Projects!$C$20,BQ$3&lt;Projects!$C$20+Projects!$D$20),Projects!$B$20*(Assumptions!$B$10+Assumptions!$B$11+Assumptions!$B$12)/Projects!$D$20*0.95,0)-IF(AND(Projects!$G$20="Yes",BQ$3=Projects!$C$20+Projects!$D$20-1),Projects!$B$20*(Assumptions!$B$10+Assumptions!$B$11+Assumptions!$B$12)*0.05,0)</f>
        <v/>
      </c>
      <c r="BR29" s="399">
        <f>IF(AND(Projects!$G$20="Yes",BR$3&gt;=Projects!$C$20,BR$3&lt;Projects!$C$20+Projects!$D$20),Projects!$B$20*INDEX(Curves!$B$4:$AR$4,1,BR$3-Projects!$C$20+1),0)-IF(AND(Projects!$G$20="Yes",BR$3&gt;=Projects!$C$20,BR$3&lt;Projects!$C$20+Projects!$D$20),Projects!$B$20*(Assumptions!$B$10+Assumptions!$B$11+Assumptions!$B$12)/Projects!$D$20*0.95,0)-IF(AND(Projects!$G$20="Yes",BR$3=Projects!$C$20+Projects!$D$20-1),Projects!$B$20*(Assumptions!$B$10+Assumptions!$B$11+Assumptions!$B$12)*0.05,0)</f>
        <v/>
      </c>
      <c r="BS29" s="399">
        <f>IF(AND(Projects!$G$20="Yes",BS$3&gt;=Projects!$C$20,BS$3&lt;Projects!$C$20+Projects!$D$20),Projects!$B$20*INDEX(Curves!$B$4:$AR$4,1,BS$3-Projects!$C$20+1),0)-IF(AND(Projects!$G$20="Yes",BS$3&gt;=Projects!$C$20,BS$3&lt;Projects!$C$20+Projects!$D$20),Projects!$B$20*(Assumptions!$B$10+Assumptions!$B$11+Assumptions!$B$12)/Projects!$D$20*0.95,0)-IF(AND(Projects!$G$20="Yes",BS$3=Projects!$C$20+Projects!$D$20-1),Projects!$B$20*(Assumptions!$B$10+Assumptions!$B$11+Assumptions!$B$12)*0.05,0)</f>
        <v/>
      </c>
      <c r="BT29" s="399">
        <f>IF(AND(Projects!$G$20="Yes",BT$3&gt;=Projects!$C$20,BT$3&lt;Projects!$C$20+Projects!$D$20),Projects!$B$20*INDEX(Curves!$B$4:$AR$4,1,BT$3-Projects!$C$20+1),0)-IF(AND(Projects!$G$20="Yes",BT$3&gt;=Projects!$C$20,BT$3&lt;Projects!$C$20+Projects!$D$20),Projects!$B$20*(Assumptions!$B$10+Assumptions!$B$11+Assumptions!$B$12)/Projects!$D$20*0.95,0)-IF(AND(Projects!$G$20="Yes",BT$3=Projects!$C$20+Projects!$D$20-1),Projects!$B$20*(Assumptions!$B$10+Assumptions!$B$11+Assumptions!$B$12)*0.05,0)</f>
        <v/>
      </c>
      <c r="BU29" s="399">
        <f>IF(AND(Projects!$G$20="Yes",BU$3&gt;=Projects!$C$20,BU$3&lt;Projects!$C$20+Projects!$D$20),Projects!$B$20*INDEX(Curves!$B$4:$AR$4,1,BU$3-Projects!$C$20+1),0)-IF(AND(Projects!$G$20="Yes",BU$3&gt;=Projects!$C$20,BU$3&lt;Projects!$C$20+Projects!$D$20),Projects!$B$20*(Assumptions!$B$10+Assumptions!$B$11+Assumptions!$B$12)/Projects!$D$20*0.95,0)-IF(AND(Projects!$G$20="Yes",BU$3=Projects!$C$20+Projects!$D$20-1),Projects!$B$20*(Assumptions!$B$10+Assumptions!$B$11+Assumptions!$B$12)*0.05,0)</f>
        <v/>
      </c>
      <c r="BV29" s="399">
        <f>IF(AND(Projects!$G$20="Yes",BV$3&gt;=Projects!$C$20,BV$3&lt;Projects!$C$20+Projects!$D$20),Projects!$B$20*INDEX(Curves!$B$4:$AR$4,1,BV$3-Projects!$C$20+1),0)-IF(AND(Projects!$G$20="Yes",BV$3&gt;=Projects!$C$20,BV$3&lt;Projects!$C$20+Projects!$D$20),Projects!$B$20*(Assumptions!$B$10+Assumptions!$B$11+Assumptions!$B$12)/Projects!$D$20*0.95,0)-IF(AND(Projects!$G$20="Yes",BV$3=Projects!$C$20+Projects!$D$20-1),Projects!$B$20*(Assumptions!$B$10+Assumptions!$B$11+Assumptions!$B$12)*0.05,0)</f>
        <v/>
      </c>
      <c r="BW29" s="399">
        <f>IF(AND(Projects!$G$20="Yes",BW$3&gt;=Projects!$C$20,BW$3&lt;Projects!$C$20+Projects!$D$20),Projects!$B$20*INDEX(Curves!$B$4:$AR$4,1,BW$3-Projects!$C$20+1),0)-IF(AND(Projects!$G$20="Yes",BW$3&gt;=Projects!$C$20,BW$3&lt;Projects!$C$20+Projects!$D$20),Projects!$B$20*(Assumptions!$B$10+Assumptions!$B$11+Assumptions!$B$12)/Projects!$D$20*0.95,0)-IF(AND(Projects!$G$20="Yes",BW$3=Projects!$C$20+Projects!$D$20-1),Projects!$B$20*(Assumptions!$B$10+Assumptions!$B$11+Assumptions!$B$12)*0.05,0)</f>
        <v/>
      </c>
      <c r="BX29" s="399">
        <f>IF(AND(Projects!$G$20="Yes",BX$3&gt;=Projects!$C$20,BX$3&lt;Projects!$C$20+Projects!$D$20),Projects!$B$20*INDEX(Curves!$B$4:$AR$4,1,BX$3-Projects!$C$20+1),0)-IF(AND(Projects!$G$20="Yes",BX$3&gt;=Projects!$C$20,BX$3&lt;Projects!$C$20+Projects!$D$20),Projects!$B$20*(Assumptions!$B$10+Assumptions!$B$11+Assumptions!$B$12)/Projects!$D$20*0.95,0)-IF(AND(Projects!$G$20="Yes",BX$3=Projects!$C$20+Projects!$D$20-1),Projects!$B$20*(Assumptions!$B$10+Assumptions!$B$11+Assumptions!$B$12)*0.05,0)</f>
        <v/>
      </c>
      <c r="BY29" s="399">
        <f>IF(AND(Projects!$G$20="Yes",BY$3&gt;=Projects!$C$20,BY$3&lt;Projects!$C$20+Projects!$D$20),Projects!$B$20*INDEX(Curves!$B$4:$AR$4,1,BY$3-Projects!$C$20+1),0)-IF(AND(Projects!$G$20="Yes",BY$3&gt;=Projects!$C$20,BY$3&lt;Projects!$C$20+Projects!$D$20),Projects!$B$20*(Assumptions!$B$10+Assumptions!$B$11+Assumptions!$B$12)/Projects!$D$20*0.95,0)-IF(AND(Projects!$G$20="Yes",BY$3=Projects!$C$20+Projects!$D$20-1),Projects!$B$20*(Assumptions!$B$10+Assumptions!$B$11+Assumptions!$B$12)*0.05,0)</f>
        <v/>
      </c>
      <c r="BZ29" s="399">
        <f>IF(AND(Projects!$G$20="Yes",BZ$3&gt;=Projects!$C$20,BZ$3&lt;Projects!$C$20+Projects!$D$20),Projects!$B$20*INDEX(Curves!$B$4:$AR$4,1,BZ$3-Projects!$C$20+1),0)-IF(AND(Projects!$G$20="Yes",BZ$3&gt;=Projects!$C$20,BZ$3&lt;Projects!$C$20+Projects!$D$20),Projects!$B$20*(Assumptions!$B$10+Assumptions!$B$11+Assumptions!$B$12)/Projects!$D$20*0.95,0)-IF(AND(Projects!$G$20="Yes",BZ$3=Projects!$C$20+Projects!$D$20-1),Projects!$B$20*(Assumptions!$B$10+Assumptions!$B$11+Assumptions!$B$12)*0.05,0)</f>
        <v/>
      </c>
      <c r="CA29" s="399">
        <f>IF(AND(Projects!$G$20="Yes",CA$3&gt;=Projects!$C$20,CA$3&lt;Projects!$C$20+Projects!$D$20),Projects!$B$20*INDEX(Curves!$B$4:$AR$4,1,CA$3-Projects!$C$20+1),0)-IF(AND(Projects!$G$20="Yes",CA$3&gt;=Projects!$C$20,CA$3&lt;Projects!$C$20+Projects!$D$20),Projects!$B$20*(Assumptions!$B$10+Assumptions!$B$11+Assumptions!$B$12)/Projects!$D$20*0.95,0)-IF(AND(Projects!$G$20="Yes",CA$3=Projects!$C$20+Projects!$D$20-1),Projects!$B$20*(Assumptions!$B$10+Assumptions!$B$11+Assumptions!$B$12)*0.05,0)</f>
        <v/>
      </c>
      <c r="CB29" s="399">
        <f>IF(AND(Projects!$G$20="Yes",CB$3&gt;=Projects!$C$20,CB$3&lt;Projects!$C$20+Projects!$D$20),Projects!$B$20*INDEX(Curves!$B$4:$AR$4,1,CB$3-Projects!$C$20+1),0)-IF(AND(Projects!$G$20="Yes",CB$3&gt;=Projects!$C$20,CB$3&lt;Projects!$C$20+Projects!$D$20),Projects!$B$20*(Assumptions!$B$10+Assumptions!$B$11+Assumptions!$B$12)/Projects!$D$20*0.95,0)-IF(AND(Projects!$G$20="Yes",CB$3=Projects!$C$20+Projects!$D$20-1),Projects!$B$20*(Assumptions!$B$10+Assumptions!$B$11+Assumptions!$B$12)*0.05,0)</f>
        <v/>
      </c>
      <c r="CC29" s="399">
        <f>IF(AND(Projects!$G$20="Yes",CC$3&gt;=Projects!$C$20,CC$3&lt;Projects!$C$20+Projects!$D$20),Projects!$B$20*INDEX(Curves!$B$4:$AR$4,1,CC$3-Projects!$C$20+1),0)-IF(AND(Projects!$G$20="Yes",CC$3&gt;=Projects!$C$20,CC$3&lt;Projects!$C$20+Projects!$D$20),Projects!$B$20*(Assumptions!$B$10+Assumptions!$B$11+Assumptions!$B$12)/Projects!$D$20*0.95,0)-IF(AND(Projects!$G$20="Yes",CC$3=Projects!$C$20+Projects!$D$20-1),Projects!$B$20*(Assumptions!$B$10+Assumptions!$B$11+Assumptions!$B$12)*0.05,0)</f>
        <v/>
      </c>
      <c r="CD29" s="399">
        <f>IF(AND(Projects!$G$20="Yes",CD$3&gt;=Projects!$C$20,CD$3&lt;Projects!$C$20+Projects!$D$20),Projects!$B$20*INDEX(Curves!$B$4:$AR$4,1,CD$3-Projects!$C$20+1),0)-IF(AND(Projects!$G$20="Yes",CD$3&gt;=Projects!$C$20,CD$3&lt;Projects!$C$20+Projects!$D$20),Projects!$B$20*(Assumptions!$B$10+Assumptions!$B$11+Assumptions!$B$12)/Projects!$D$20*0.95,0)-IF(AND(Projects!$G$20="Yes",CD$3=Projects!$C$20+Projects!$D$20-1),Projects!$B$20*(Assumptions!$B$10+Assumptions!$B$11+Assumptions!$B$12)*0.05,0)</f>
        <v/>
      </c>
      <c r="CE29" s="399">
        <f>IF(AND(Projects!$G$20="Yes",CE$3&gt;=Projects!$C$20,CE$3&lt;Projects!$C$20+Projects!$D$20),Projects!$B$20*INDEX(Curves!$B$4:$AR$4,1,CE$3-Projects!$C$20+1),0)-IF(AND(Projects!$G$20="Yes",CE$3&gt;=Projects!$C$20,CE$3&lt;Projects!$C$20+Projects!$D$20),Projects!$B$20*(Assumptions!$B$10+Assumptions!$B$11+Assumptions!$B$12)/Projects!$D$20*0.95,0)-IF(AND(Projects!$G$20="Yes",CE$3=Projects!$C$20+Projects!$D$20-1),Projects!$B$20*(Assumptions!$B$10+Assumptions!$B$11+Assumptions!$B$12)*0.05,0)</f>
        <v/>
      </c>
      <c r="CF29" s="399">
        <f>IF(AND(Projects!$G$20="Yes",CF$3&gt;=Projects!$C$20,CF$3&lt;Projects!$C$20+Projects!$D$20),Projects!$B$20*INDEX(Curves!$B$4:$AR$4,1,CF$3-Projects!$C$20+1),0)-IF(AND(Projects!$G$20="Yes",CF$3&gt;=Projects!$C$20,CF$3&lt;Projects!$C$20+Projects!$D$20),Projects!$B$20*(Assumptions!$B$10+Assumptions!$B$11+Assumptions!$B$12)/Projects!$D$20*0.95,0)-IF(AND(Projects!$G$20="Yes",CF$3=Projects!$C$20+Projects!$D$20-1),Projects!$B$20*(Assumptions!$B$10+Assumptions!$B$11+Assumptions!$B$12)*0.05,0)</f>
        <v/>
      </c>
      <c r="CG29" s="399">
        <f>IF(AND(Projects!$G$20="Yes",CG$3&gt;=Projects!$C$20,CG$3&lt;Projects!$C$20+Projects!$D$20),Projects!$B$20*INDEX(Curves!$B$4:$AR$4,1,CG$3-Projects!$C$20+1),0)-IF(AND(Projects!$G$20="Yes",CG$3&gt;=Projects!$C$20,CG$3&lt;Projects!$C$20+Projects!$D$20),Projects!$B$20*(Assumptions!$B$10+Assumptions!$B$11+Assumptions!$B$12)/Projects!$D$20*0.95,0)-IF(AND(Projects!$G$20="Yes",CG$3=Projects!$C$20+Projects!$D$20-1),Projects!$B$20*(Assumptions!$B$10+Assumptions!$B$11+Assumptions!$B$12)*0.05,0)</f>
        <v/>
      </c>
      <c r="CH29" s="399">
        <f>IF(AND(Projects!$G$20="Yes",CH$3&gt;=Projects!$C$20,CH$3&lt;Projects!$C$20+Projects!$D$20),Projects!$B$20*INDEX(Curves!$B$4:$AR$4,1,CH$3-Projects!$C$20+1),0)-IF(AND(Projects!$G$20="Yes",CH$3&gt;=Projects!$C$20,CH$3&lt;Projects!$C$20+Projects!$D$20),Projects!$B$20*(Assumptions!$B$10+Assumptions!$B$11+Assumptions!$B$12)/Projects!$D$20*0.95,0)-IF(AND(Projects!$G$20="Yes",CH$3=Projects!$C$20+Projects!$D$20-1),Projects!$B$20*(Assumptions!$B$10+Assumptions!$B$11+Assumptions!$B$12)*0.05,0)</f>
        <v/>
      </c>
      <c r="CI29" s="399">
        <f>IF(AND(Projects!$G$20="Yes",CI$3&gt;=Projects!$C$20,CI$3&lt;Projects!$C$20+Projects!$D$20),Projects!$B$20*INDEX(Curves!$B$4:$AR$4,1,CI$3-Projects!$C$20+1),0)-IF(AND(Projects!$G$20="Yes",CI$3&gt;=Projects!$C$20,CI$3&lt;Projects!$C$20+Projects!$D$20),Projects!$B$20*(Assumptions!$B$10+Assumptions!$B$11+Assumptions!$B$12)/Projects!$D$20*0.95,0)-IF(AND(Projects!$G$20="Yes",CI$3=Projects!$C$20+Projects!$D$20-1),Projects!$B$20*(Assumptions!$B$10+Assumptions!$B$11+Assumptions!$B$12)*0.05,0)</f>
        <v/>
      </c>
      <c r="CJ29" s="399">
        <f>IF(AND(Projects!$G$20="Yes",CJ$3&gt;=Projects!$C$20,CJ$3&lt;Projects!$C$20+Projects!$D$20),Projects!$B$20*INDEX(Curves!$B$4:$AR$4,1,CJ$3-Projects!$C$20+1),0)-IF(AND(Projects!$G$20="Yes",CJ$3&gt;=Projects!$C$20,CJ$3&lt;Projects!$C$20+Projects!$D$20),Projects!$B$20*(Assumptions!$B$10+Assumptions!$B$11+Assumptions!$B$12)/Projects!$D$20*0.95,0)-IF(AND(Projects!$G$20="Yes",CJ$3=Projects!$C$20+Projects!$D$20-1),Projects!$B$20*(Assumptions!$B$10+Assumptions!$B$11+Assumptions!$B$12)*0.05,0)</f>
        <v/>
      </c>
      <c r="CK29" s="399">
        <f>IF(AND(Projects!$G$20="Yes",CK$3&gt;=Projects!$C$20,CK$3&lt;Projects!$C$20+Projects!$D$20),Projects!$B$20*INDEX(Curves!$B$4:$AR$4,1,CK$3-Projects!$C$20+1),0)-IF(AND(Projects!$G$20="Yes",CK$3&gt;=Projects!$C$20,CK$3&lt;Projects!$C$20+Projects!$D$20),Projects!$B$20*(Assumptions!$B$10+Assumptions!$B$11+Assumptions!$B$12)/Projects!$D$20*0.95,0)-IF(AND(Projects!$G$20="Yes",CK$3=Projects!$C$20+Projects!$D$20-1),Projects!$B$20*(Assumptions!$B$10+Assumptions!$B$11+Assumptions!$B$12)*0.05,0)</f>
        <v/>
      </c>
      <c r="CL29" s="399">
        <f>IF(AND(Projects!$G$20="Yes",CL$3&gt;=Projects!$C$20,CL$3&lt;Projects!$C$20+Projects!$D$20),Projects!$B$20*INDEX(Curves!$B$4:$AR$4,1,CL$3-Projects!$C$20+1),0)-IF(AND(Projects!$G$20="Yes",CL$3&gt;=Projects!$C$20,CL$3&lt;Projects!$C$20+Projects!$D$20),Projects!$B$20*(Assumptions!$B$10+Assumptions!$B$11+Assumptions!$B$12)/Projects!$D$20*0.95,0)-IF(AND(Projects!$G$20="Yes",CL$3=Projects!$C$20+Projects!$D$20-1),Projects!$B$20*(Assumptions!$B$10+Assumptions!$B$11+Assumptions!$B$12)*0.05,0)</f>
        <v/>
      </c>
      <c r="CM29" s="399">
        <f>IF(AND(Projects!$G$20="Yes",CM$3&gt;=Projects!$C$20,CM$3&lt;Projects!$C$20+Projects!$D$20),Projects!$B$20*INDEX(Curves!$B$4:$AR$4,1,CM$3-Projects!$C$20+1),0)-IF(AND(Projects!$G$20="Yes",CM$3&gt;=Projects!$C$20,CM$3&lt;Projects!$C$20+Projects!$D$20),Projects!$B$20*(Assumptions!$B$10+Assumptions!$B$11+Assumptions!$B$12)/Projects!$D$20*0.95,0)-IF(AND(Projects!$G$20="Yes",CM$3=Projects!$C$20+Projects!$D$20-1),Projects!$B$20*(Assumptions!$B$10+Assumptions!$B$11+Assumptions!$B$12)*0.05,0)</f>
        <v/>
      </c>
      <c r="CN29" s="399">
        <f>IF(AND(Projects!$G$20="Yes",CN$3&gt;=Projects!$C$20,CN$3&lt;Projects!$C$20+Projects!$D$20),Projects!$B$20*INDEX(Curves!$B$4:$AR$4,1,CN$3-Projects!$C$20+1),0)-IF(AND(Projects!$G$20="Yes",CN$3&gt;=Projects!$C$20,CN$3&lt;Projects!$C$20+Projects!$D$20),Projects!$B$20*(Assumptions!$B$10+Assumptions!$B$11+Assumptions!$B$12)/Projects!$D$20*0.95,0)-IF(AND(Projects!$G$20="Yes",CN$3=Projects!$C$20+Projects!$D$20-1),Projects!$B$20*(Assumptions!$B$10+Assumptions!$B$11+Assumptions!$B$12)*0.05,0)</f>
        <v/>
      </c>
      <c r="CO29" s="399">
        <f>IF(AND(Projects!$G$20="Yes",CO$3&gt;=Projects!$C$20,CO$3&lt;Projects!$C$20+Projects!$D$20),Projects!$B$20*INDEX(Curves!$B$4:$AR$4,1,CO$3-Projects!$C$20+1),0)-IF(AND(Projects!$G$20="Yes",CO$3&gt;=Projects!$C$20,CO$3&lt;Projects!$C$20+Projects!$D$20),Projects!$B$20*(Assumptions!$B$10+Assumptions!$B$11+Assumptions!$B$12)/Projects!$D$20*0.95,0)-IF(AND(Projects!$G$20="Yes",CO$3=Projects!$C$20+Projects!$D$20-1),Projects!$B$20*(Assumptions!$B$10+Assumptions!$B$11+Assumptions!$B$12)*0.05,0)</f>
        <v/>
      </c>
      <c r="CP29" s="399">
        <f>IF(AND(Projects!$G$20="Yes",CP$3&gt;=Projects!$C$20,CP$3&lt;Projects!$C$20+Projects!$D$20),Projects!$B$20*INDEX(Curves!$B$4:$AR$4,1,CP$3-Projects!$C$20+1),0)-IF(AND(Projects!$G$20="Yes",CP$3&gt;=Projects!$C$20,CP$3&lt;Projects!$C$20+Projects!$D$20),Projects!$B$20*(Assumptions!$B$10+Assumptions!$B$11+Assumptions!$B$12)/Projects!$D$20*0.95,0)-IF(AND(Projects!$G$20="Yes",CP$3=Projects!$C$20+Projects!$D$20-1),Projects!$B$20*(Assumptions!$B$10+Assumptions!$B$11+Assumptions!$B$12)*0.05,0)</f>
        <v/>
      </c>
      <c r="CQ29" s="399">
        <f>IF(AND(Projects!$G$20="Yes",CQ$3&gt;=Projects!$C$20,CQ$3&lt;Projects!$C$20+Projects!$D$20),Projects!$B$20*INDEX(Curves!$B$4:$AR$4,1,CQ$3-Projects!$C$20+1),0)-IF(AND(Projects!$G$20="Yes",CQ$3&gt;=Projects!$C$20,CQ$3&lt;Projects!$C$20+Projects!$D$20),Projects!$B$20*(Assumptions!$B$10+Assumptions!$B$11+Assumptions!$B$12)/Projects!$D$20*0.95,0)-IF(AND(Projects!$G$20="Yes",CQ$3=Projects!$C$20+Projects!$D$20-1),Projects!$B$20*(Assumptions!$B$10+Assumptions!$B$11+Assumptions!$B$12)*0.05,0)</f>
        <v/>
      </c>
      <c r="CR29" s="399">
        <f>IF(AND(Projects!$G$20="Yes",CR$3&gt;=Projects!$C$20,CR$3&lt;Projects!$C$20+Projects!$D$20),Projects!$B$20*INDEX(Curves!$B$4:$AR$4,1,CR$3-Projects!$C$20+1),0)-IF(AND(Projects!$G$20="Yes",CR$3&gt;=Projects!$C$20,CR$3&lt;Projects!$C$20+Projects!$D$20),Projects!$B$20*(Assumptions!$B$10+Assumptions!$B$11+Assumptions!$B$12)/Projects!$D$20*0.95,0)-IF(AND(Projects!$G$20="Yes",CR$3=Projects!$C$20+Projects!$D$20-1),Projects!$B$20*(Assumptions!$B$10+Assumptions!$B$11+Assumptions!$B$12)*0.05,0)</f>
        <v/>
      </c>
      <c r="CS29" s="399">
        <f>IF(AND(Projects!$G$20="Yes",CS$3&gt;=Projects!$C$20,CS$3&lt;Projects!$C$20+Projects!$D$20),Projects!$B$20*INDEX(Curves!$B$4:$AR$4,1,CS$3-Projects!$C$20+1),0)-IF(AND(Projects!$G$20="Yes",CS$3&gt;=Projects!$C$20,CS$3&lt;Projects!$C$20+Projects!$D$20),Projects!$B$20*(Assumptions!$B$10+Assumptions!$B$11+Assumptions!$B$12)/Projects!$D$20*0.95,0)-IF(AND(Projects!$G$20="Yes",CS$3=Projects!$C$20+Projects!$D$20-1),Projects!$B$20*(Assumptions!$B$10+Assumptions!$B$11+Assumptions!$B$12)*0.05,0)</f>
        <v/>
      </c>
      <c r="CT29" s="399">
        <f>IF(AND(Projects!$G$20="Yes",CT$3&gt;=Projects!$C$20,CT$3&lt;Projects!$C$20+Projects!$D$20),Projects!$B$20*INDEX(Curves!$B$4:$AR$4,1,CT$3-Projects!$C$20+1),0)-IF(AND(Projects!$G$20="Yes",CT$3&gt;=Projects!$C$20,CT$3&lt;Projects!$C$20+Projects!$D$20),Projects!$B$20*(Assumptions!$B$10+Assumptions!$B$11+Assumptions!$B$12)/Projects!$D$20*0.95,0)-IF(AND(Projects!$G$20="Yes",CT$3=Projects!$C$20+Projects!$D$20-1),Projects!$B$20*(Assumptions!$B$10+Assumptions!$B$11+Assumptions!$B$12)*0.05,0)</f>
        <v/>
      </c>
      <c r="CU29" s="399">
        <f>IF(AND(Projects!$G$20="Yes",CU$3&gt;=Projects!$C$20,CU$3&lt;Projects!$C$20+Projects!$D$20),Projects!$B$20*INDEX(Curves!$B$4:$AR$4,1,CU$3-Projects!$C$20+1),0)-IF(AND(Projects!$G$20="Yes",CU$3&gt;=Projects!$C$20,CU$3&lt;Projects!$C$20+Projects!$D$20),Projects!$B$20*(Assumptions!$B$10+Assumptions!$B$11+Assumptions!$B$12)/Projects!$D$20*0.95,0)-IF(AND(Projects!$G$20="Yes",CU$3=Projects!$C$20+Projects!$D$20-1),Projects!$B$20*(Assumptions!$B$10+Assumptions!$B$11+Assumptions!$B$12)*0.05,0)</f>
        <v/>
      </c>
      <c r="CV29" s="399">
        <f>IF(AND(Projects!$G$20="Yes",CV$3&gt;=Projects!$C$20,CV$3&lt;Projects!$C$20+Projects!$D$20),Projects!$B$20*INDEX(Curves!$B$4:$AR$4,1,CV$3-Projects!$C$20+1),0)-IF(AND(Projects!$G$20="Yes",CV$3&gt;=Projects!$C$20,CV$3&lt;Projects!$C$20+Projects!$D$20),Projects!$B$20*(Assumptions!$B$10+Assumptions!$B$11+Assumptions!$B$12)/Projects!$D$20*0.95,0)-IF(AND(Projects!$G$20="Yes",CV$3=Projects!$C$20+Projects!$D$20-1),Projects!$B$20*(Assumptions!$B$10+Assumptions!$B$11+Assumptions!$B$12)*0.05,0)</f>
        <v/>
      </c>
      <c r="CW29" s="399">
        <f>IF(AND(Projects!$G$20="Yes",CW$3&gt;=Projects!$C$20,CW$3&lt;Projects!$C$20+Projects!$D$20),Projects!$B$20*INDEX(Curves!$B$4:$AR$4,1,CW$3-Projects!$C$20+1),0)-IF(AND(Projects!$G$20="Yes",CW$3&gt;=Projects!$C$20,CW$3&lt;Projects!$C$20+Projects!$D$20),Projects!$B$20*(Assumptions!$B$10+Assumptions!$B$11+Assumptions!$B$12)/Projects!$D$20*0.95,0)-IF(AND(Projects!$G$20="Yes",CW$3=Projects!$C$20+Projects!$D$20-1),Projects!$B$20*(Assumptions!$B$10+Assumptions!$B$11+Assumptions!$B$12)*0.05,0)</f>
        <v/>
      </c>
      <c r="CX29" s="399">
        <f>IF(AND(Projects!$G$20="Yes",CX$3&gt;=Projects!$C$20,CX$3&lt;Projects!$C$20+Projects!$D$20),Projects!$B$20*INDEX(Curves!$B$4:$AR$4,1,CX$3-Projects!$C$20+1),0)-IF(AND(Projects!$G$20="Yes",CX$3&gt;=Projects!$C$20,CX$3&lt;Projects!$C$20+Projects!$D$20),Projects!$B$20*(Assumptions!$B$10+Assumptions!$B$11+Assumptions!$B$12)/Projects!$D$20*0.95,0)-IF(AND(Projects!$G$20="Yes",CX$3=Projects!$C$20+Projects!$D$20-1),Projects!$B$20*(Assumptions!$B$10+Assumptions!$B$11+Assumptions!$B$12)*0.05,0)</f>
        <v/>
      </c>
      <c r="CY29" s="399">
        <f>IF(AND(Projects!$G$20="Yes",CY$3&gt;=Projects!$C$20,CY$3&lt;Projects!$C$20+Projects!$D$20),Projects!$B$20*INDEX(Curves!$B$4:$AR$4,1,CY$3-Projects!$C$20+1),0)-IF(AND(Projects!$G$20="Yes",CY$3&gt;=Projects!$C$20,CY$3&lt;Projects!$C$20+Projects!$D$20),Projects!$B$20*(Assumptions!$B$10+Assumptions!$B$11+Assumptions!$B$12)/Projects!$D$20*0.95,0)-IF(AND(Projects!$G$20="Yes",CY$3=Projects!$C$20+Projects!$D$20-1),Projects!$B$20*(Assumptions!$B$10+Assumptions!$B$11+Assumptions!$B$12)*0.05,0)</f>
        <v/>
      </c>
      <c r="CZ29" s="399">
        <f>IF(AND(Projects!$G$20="Yes",CZ$3&gt;=Projects!$C$20,CZ$3&lt;Projects!$C$20+Projects!$D$20),Projects!$B$20*INDEX(Curves!$B$4:$AR$4,1,CZ$3-Projects!$C$20+1),0)-IF(AND(Projects!$G$20="Yes",CZ$3&gt;=Projects!$C$20,CZ$3&lt;Projects!$C$20+Projects!$D$20),Projects!$B$20*(Assumptions!$B$10+Assumptions!$B$11+Assumptions!$B$12)/Projects!$D$20*0.95,0)-IF(AND(Projects!$G$20="Yes",CZ$3=Projects!$C$20+Projects!$D$20-1),Projects!$B$20*(Assumptions!$B$10+Assumptions!$B$11+Assumptions!$B$12)*0.05,0)</f>
        <v/>
      </c>
      <c r="DA29" s="399">
        <f>IF(AND(Projects!$G$20="Yes",DA$3&gt;=Projects!$C$20,DA$3&lt;Projects!$C$20+Projects!$D$20),Projects!$B$20*INDEX(Curves!$B$4:$AR$4,1,DA$3-Projects!$C$20+1),0)-IF(AND(Projects!$G$20="Yes",DA$3&gt;=Projects!$C$20,DA$3&lt;Projects!$C$20+Projects!$D$20),Projects!$B$20*(Assumptions!$B$10+Assumptions!$B$11+Assumptions!$B$12)/Projects!$D$20*0.95,0)-IF(AND(Projects!$G$20="Yes",DA$3=Projects!$C$20+Projects!$D$20-1),Projects!$B$20*(Assumptions!$B$10+Assumptions!$B$11+Assumptions!$B$12)*0.05,0)</f>
        <v/>
      </c>
      <c r="DB29" s="399">
        <f>IF(AND(Projects!$G$20="Yes",DB$3&gt;=Projects!$C$20,DB$3&lt;Projects!$C$20+Projects!$D$20),Projects!$B$20*INDEX(Curves!$B$4:$AR$4,1,DB$3-Projects!$C$20+1),0)-IF(AND(Projects!$G$20="Yes",DB$3&gt;=Projects!$C$20,DB$3&lt;Projects!$C$20+Projects!$D$20),Projects!$B$20*(Assumptions!$B$10+Assumptions!$B$11+Assumptions!$B$12)/Projects!$D$20*0.95,0)-IF(AND(Projects!$G$20="Yes",DB$3=Projects!$C$20+Projects!$D$20-1),Projects!$B$20*(Assumptions!$B$10+Assumptions!$B$11+Assumptions!$B$12)*0.05,0)</f>
        <v/>
      </c>
      <c r="DC29" s="399">
        <f>IF(AND(Projects!$G$20="Yes",DC$3&gt;=Projects!$C$20,DC$3&lt;Projects!$C$20+Projects!$D$20),Projects!$B$20*INDEX(Curves!$B$4:$AR$4,1,DC$3-Projects!$C$20+1),0)-IF(AND(Projects!$G$20="Yes",DC$3&gt;=Projects!$C$20,DC$3&lt;Projects!$C$20+Projects!$D$20),Projects!$B$20*(Assumptions!$B$10+Assumptions!$B$11+Assumptions!$B$12)/Projects!$D$20*0.95,0)-IF(AND(Projects!$G$20="Yes",DC$3=Projects!$C$20+Projects!$D$20-1),Projects!$B$20*(Assumptions!$B$10+Assumptions!$B$11+Assumptions!$B$12)*0.05,0)</f>
        <v/>
      </c>
      <c r="DD29" s="399">
        <f>IF(AND(Projects!$G$20="Yes",DD$3&gt;=Projects!$C$20,DD$3&lt;Projects!$C$20+Projects!$D$20),Projects!$B$20*INDEX(Curves!$B$4:$AR$4,1,DD$3-Projects!$C$20+1),0)-IF(AND(Projects!$G$20="Yes",DD$3&gt;=Projects!$C$20,DD$3&lt;Projects!$C$20+Projects!$D$20),Projects!$B$20*(Assumptions!$B$10+Assumptions!$B$11+Assumptions!$B$12)/Projects!$D$20*0.95,0)-IF(AND(Projects!$G$20="Yes",DD$3=Projects!$C$20+Projects!$D$20-1),Projects!$B$20*(Assumptions!$B$10+Assumptions!$B$11+Assumptions!$B$12)*0.05,0)</f>
        <v/>
      </c>
      <c r="DE29" s="399">
        <f>IF(AND(Projects!$G$20="Yes",DE$3&gt;=Projects!$C$20,DE$3&lt;Projects!$C$20+Projects!$D$20),Projects!$B$20*INDEX(Curves!$B$4:$AR$4,1,DE$3-Projects!$C$20+1),0)-IF(AND(Projects!$G$20="Yes",DE$3&gt;=Projects!$C$20,DE$3&lt;Projects!$C$20+Projects!$D$20),Projects!$B$20*(Assumptions!$B$10+Assumptions!$B$11+Assumptions!$B$12)/Projects!$D$20*0.95,0)-IF(AND(Projects!$G$20="Yes",DE$3=Projects!$C$20+Projects!$D$20-1),Projects!$B$20*(Assumptions!$B$10+Assumptions!$B$11+Assumptions!$B$12)*0.05,0)</f>
        <v/>
      </c>
    </row>
    <row r="30" hidden="1" outlineLevel="1" ht="15" customFormat="1" customHeight="1" s="380">
      <c r="A30" s="407" t="inlineStr">
        <is>
          <t>Troost</t>
        </is>
      </c>
      <c r="B30" s="399" t="n">
        <v>0</v>
      </c>
      <c r="C30" s="399" t="n">
        <v>0</v>
      </c>
      <c r="D30" s="399" t="n">
        <v>0</v>
      </c>
      <c r="E30" s="399" t="n">
        <v>0</v>
      </c>
      <c r="F30" s="399">
        <f>IF(AND(Projects!$G$21="Yes",F$3&gt;=Projects!$C$21,F$3&lt;Projects!$C$21+Projects!$D$21),Projects!$B$21*INDEX(Curves!$B$4:$AR$4,1,F$3-Projects!$C$21+1),0)-IF(AND(Projects!$G$21="Yes",F$3&gt;=Projects!$C$21,F$3&lt;Projects!$C$21+Projects!$D$21),Projects!$B$21*(Assumptions!$B$10+Assumptions!$B$11+Assumptions!$B$12)/Projects!$D$21*0.95,0)-IF(AND(Projects!$G$21="Yes",F$3=Projects!$C$21+Projects!$D$21-1),Projects!$B$21*(Assumptions!$B$10+Assumptions!$B$11+Assumptions!$B$12)*0.05,0)</f>
        <v/>
      </c>
      <c r="G30" s="399">
        <f>IF(AND(Projects!$G$21="Yes",G$3&gt;=Projects!$C$21,G$3&lt;Projects!$C$21+Projects!$D$21),Projects!$B$21*INDEX(Curves!$B$4:$AR$4,1,G$3-Projects!$C$21+1),0)-IF(AND(Projects!$G$21="Yes",G$3&gt;=Projects!$C$21,G$3&lt;Projects!$C$21+Projects!$D$21),Projects!$B$21*(Assumptions!$B$10+Assumptions!$B$11+Assumptions!$B$12)/Projects!$D$21*0.95,0)-IF(AND(Projects!$G$21="Yes",G$3=Projects!$C$21+Projects!$D$21-1),Projects!$B$21*(Assumptions!$B$10+Assumptions!$B$11+Assumptions!$B$12)*0.05,0)</f>
        <v/>
      </c>
      <c r="H30" s="399">
        <f>IF(AND(Projects!$G$21="Yes",H$3&gt;=Projects!$C$21,H$3&lt;Projects!$C$21+Projects!$D$21),Projects!$B$21*INDEX(Curves!$B$4:$AR$4,1,H$3-Projects!$C$21+1),0)-IF(AND(Projects!$G$21="Yes",H$3&gt;=Projects!$C$21,H$3&lt;Projects!$C$21+Projects!$D$21),Projects!$B$21*(Assumptions!$B$10+Assumptions!$B$11+Assumptions!$B$12)/Projects!$D$21*0.95,0)-IF(AND(Projects!$G$21="Yes",H$3=Projects!$C$21+Projects!$D$21-1),Projects!$B$21*(Assumptions!$B$10+Assumptions!$B$11+Assumptions!$B$12)*0.05,0)</f>
        <v/>
      </c>
      <c r="I30" s="399">
        <f>IF(AND(Projects!$G$21="Yes",I$3&gt;=Projects!$C$21,I$3&lt;Projects!$C$21+Projects!$D$21),Projects!$B$21*INDEX(Curves!$B$4:$AR$4,1,I$3-Projects!$C$21+1),0)-IF(AND(Projects!$G$21="Yes",I$3&gt;=Projects!$C$21,I$3&lt;Projects!$C$21+Projects!$D$21),Projects!$B$21*(Assumptions!$B$10+Assumptions!$B$11+Assumptions!$B$12)/Projects!$D$21*0.95,0)-IF(AND(Projects!$G$21="Yes",I$3=Projects!$C$21+Projects!$D$21-1),Projects!$B$21*(Assumptions!$B$10+Assumptions!$B$11+Assumptions!$B$12)*0.05,0)</f>
        <v/>
      </c>
      <c r="J30" s="399">
        <f>IF(AND(Projects!$G$21="Yes",J$3&gt;=Projects!$C$21,J$3&lt;Projects!$C$21+Projects!$D$21),Projects!$B$21*INDEX(Curves!$B$4:$AR$4,1,J$3-Projects!$C$21+1),0)-IF(AND(Projects!$G$21="Yes",J$3&gt;=Projects!$C$21,J$3&lt;Projects!$C$21+Projects!$D$21),Projects!$B$21*(Assumptions!$B$10+Assumptions!$B$11+Assumptions!$B$12)/Projects!$D$21*0.95,0)-IF(AND(Projects!$G$21="Yes",J$3=Projects!$C$21+Projects!$D$21-1),Projects!$B$21*(Assumptions!$B$10+Assumptions!$B$11+Assumptions!$B$12)*0.05,0)</f>
        <v/>
      </c>
      <c r="K30" s="399">
        <f>IF(AND(Projects!$G$21="Yes",K$3&gt;=Projects!$C$21,K$3&lt;Projects!$C$21+Projects!$D$21),Projects!$B$21*INDEX(Curves!$B$4:$AR$4,1,K$3-Projects!$C$21+1),0)-IF(AND(Projects!$G$21="Yes",K$3&gt;=Projects!$C$21,K$3&lt;Projects!$C$21+Projects!$D$21),Projects!$B$21*(Assumptions!$B$10+Assumptions!$B$11+Assumptions!$B$12)/Projects!$D$21*0.95,0)-IF(AND(Projects!$G$21="Yes",K$3=Projects!$C$21+Projects!$D$21-1),Projects!$B$21*(Assumptions!$B$10+Assumptions!$B$11+Assumptions!$B$12)*0.05,0)</f>
        <v/>
      </c>
      <c r="L30" s="399">
        <f>IF(AND(Projects!$G$21="Yes",L$3&gt;=Projects!$C$21,L$3&lt;Projects!$C$21+Projects!$D$21),Projects!$B$21*INDEX(Curves!$B$4:$AR$4,1,L$3-Projects!$C$21+1),0)-IF(AND(Projects!$G$21="Yes",L$3&gt;=Projects!$C$21,L$3&lt;Projects!$C$21+Projects!$D$21),Projects!$B$21*(Assumptions!$B$10+Assumptions!$B$11+Assumptions!$B$12)/Projects!$D$21*0.95,0)-IF(AND(Projects!$G$21="Yes",L$3=Projects!$C$21+Projects!$D$21-1),Projects!$B$21*(Assumptions!$B$10+Assumptions!$B$11+Assumptions!$B$12)*0.05,0)</f>
        <v/>
      </c>
      <c r="M30" s="399">
        <f>IF(AND(Projects!$G$21="Yes",M$3&gt;=Projects!$C$21,M$3&lt;Projects!$C$21+Projects!$D$21),Projects!$B$21*INDEX(Curves!$B$4:$AR$4,1,M$3-Projects!$C$21+1),0)-IF(AND(Projects!$G$21="Yes",M$3&gt;=Projects!$C$21,M$3&lt;Projects!$C$21+Projects!$D$21),Projects!$B$21*(Assumptions!$B$10+Assumptions!$B$11+Assumptions!$B$12)/Projects!$D$21*0.95,0)-IF(AND(Projects!$G$21="Yes",M$3=Projects!$C$21+Projects!$D$21-1),Projects!$B$21*(Assumptions!$B$10+Assumptions!$B$11+Assumptions!$B$12)*0.05,0)</f>
        <v/>
      </c>
      <c r="N30" s="399">
        <f>IF(AND(Projects!$G$21="Yes",N$3&gt;=Projects!$C$21,N$3&lt;Projects!$C$21+Projects!$D$21),Projects!$B$21*INDEX(Curves!$B$4:$AR$4,1,N$3-Projects!$C$21+1),0)-IF(AND(Projects!$G$21="Yes",N$3&gt;=Projects!$C$21,N$3&lt;Projects!$C$21+Projects!$D$21),Projects!$B$21*(Assumptions!$B$10+Assumptions!$B$11+Assumptions!$B$12)/Projects!$D$21*0.95,0)-IF(AND(Projects!$G$21="Yes",N$3=Projects!$C$21+Projects!$D$21-1),Projects!$B$21*(Assumptions!$B$10+Assumptions!$B$11+Assumptions!$B$12)*0.05,0)</f>
        <v/>
      </c>
      <c r="O30" s="399">
        <f>IF(AND(Projects!$G$21="Yes",O$3&gt;=Projects!$C$21,O$3&lt;Projects!$C$21+Projects!$D$21),Projects!$B$21*INDEX(Curves!$B$4:$AR$4,1,O$3-Projects!$C$21+1),0)-IF(AND(Projects!$G$21="Yes",O$3&gt;=Projects!$C$21,O$3&lt;Projects!$C$21+Projects!$D$21),Projects!$B$21*(Assumptions!$B$10+Assumptions!$B$11+Assumptions!$B$12)/Projects!$D$21*0.95,0)-IF(AND(Projects!$G$21="Yes",O$3=Projects!$C$21+Projects!$D$21-1),Projects!$B$21*(Assumptions!$B$10+Assumptions!$B$11+Assumptions!$B$12)*0.05,0)</f>
        <v/>
      </c>
      <c r="P30" s="399">
        <f>IF(AND(Projects!$G$21="Yes",P$3&gt;=Projects!$C$21,P$3&lt;Projects!$C$21+Projects!$D$21),Projects!$B$21*INDEX(Curves!$B$4:$AR$4,1,P$3-Projects!$C$21+1),0)-IF(AND(Projects!$G$21="Yes",P$3&gt;=Projects!$C$21,P$3&lt;Projects!$C$21+Projects!$D$21),Projects!$B$21*(Assumptions!$B$10+Assumptions!$B$11+Assumptions!$B$12)/Projects!$D$21*0.95,0)-IF(AND(Projects!$G$21="Yes",P$3=Projects!$C$21+Projects!$D$21-1),Projects!$B$21*(Assumptions!$B$10+Assumptions!$B$11+Assumptions!$B$12)*0.05,0)</f>
        <v/>
      </c>
      <c r="Q30" s="399">
        <f>IF(AND(Projects!$G$21="Yes",Q$3&gt;=Projects!$C$21,Q$3&lt;Projects!$C$21+Projects!$D$21),Projects!$B$21*INDEX(Curves!$B$4:$AR$4,1,Q$3-Projects!$C$21+1),0)-IF(AND(Projects!$G$21="Yes",Q$3&gt;=Projects!$C$21,Q$3&lt;Projects!$C$21+Projects!$D$21),Projects!$B$21*(Assumptions!$B$10+Assumptions!$B$11+Assumptions!$B$12)/Projects!$D$21*0.95,0)-IF(AND(Projects!$G$21="Yes",Q$3=Projects!$C$21+Projects!$D$21-1),Projects!$B$21*(Assumptions!$B$10+Assumptions!$B$11+Assumptions!$B$12)*0.05,0)</f>
        <v/>
      </c>
      <c r="R30" s="399">
        <f>IF(AND(Projects!$G$21="Yes",R$3&gt;=Projects!$C$21,R$3&lt;Projects!$C$21+Projects!$D$21),Projects!$B$21*INDEX(Curves!$B$4:$AR$4,1,R$3-Projects!$C$21+1),0)-IF(AND(Projects!$G$21="Yes",R$3&gt;=Projects!$C$21,R$3&lt;Projects!$C$21+Projects!$D$21),Projects!$B$21*(Assumptions!$B$10+Assumptions!$B$11+Assumptions!$B$12)/Projects!$D$21*0.95,0)-IF(AND(Projects!$G$21="Yes",R$3=Projects!$C$21+Projects!$D$21-1),Projects!$B$21*(Assumptions!$B$10+Assumptions!$B$11+Assumptions!$B$12)*0.05,0)</f>
        <v/>
      </c>
      <c r="S30" s="399">
        <f>IF(AND(Projects!$G$21="Yes",S$3&gt;=Projects!$C$21,S$3&lt;Projects!$C$21+Projects!$D$21),Projects!$B$21*INDEX(Curves!$B$4:$AR$4,1,S$3-Projects!$C$21+1),0)-IF(AND(Projects!$G$21="Yes",S$3&gt;=Projects!$C$21,S$3&lt;Projects!$C$21+Projects!$D$21),Projects!$B$21*(Assumptions!$B$10+Assumptions!$B$11+Assumptions!$B$12)/Projects!$D$21*0.95,0)-IF(AND(Projects!$G$21="Yes",S$3=Projects!$C$21+Projects!$D$21-1),Projects!$B$21*(Assumptions!$B$10+Assumptions!$B$11+Assumptions!$B$12)*0.05,0)</f>
        <v/>
      </c>
      <c r="T30" s="399">
        <f>IF(AND(Projects!$G$21="Yes",T$3&gt;=Projects!$C$21,T$3&lt;Projects!$C$21+Projects!$D$21),Projects!$B$21*INDEX(Curves!$B$4:$AR$4,1,T$3-Projects!$C$21+1),0)-IF(AND(Projects!$G$21="Yes",T$3&gt;=Projects!$C$21,T$3&lt;Projects!$C$21+Projects!$D$21),Projects!$B$21*(Assumptions!$B$10+Assumptions!$B$11+Assumptions!$B$12)/Projects!$D$21*0.95,0)-IF(AND(Projects!$G$21="Yes",T$3=Projects!$C$21+Projects!$D$21-1),Projects!$B$21*(Assumptions!$B$10+Assumptions!$B$11+Assumptions!$B$12)*0.05,0)</f>
        <v/>
      </c>
      <c r="U30" s="399">
        <f>IF(AND(Projects!$G$21="Yes",U$3&gt;=Projects!$C$21,U$3&lt;Projects!$C$21+Projects!$D$21),Projects!$B$21*INDEX(Curves!$B$4:$AR$4,1,U$3-Projects!$C$21+1),0)-IF(AND(Projects!$G$21="Yes",U$3&gt;=Projects!$C$21,U$3&lt;Projects!$C$21+Projects!$D$21),Projects!$B$21*(Assumptions!$B$10+Assumptions!$B$11+Assumptions!$B$12)/Projects!$D$21*0.95,0)-IF(AND(Projects!$G$21="Yes",U$3=Projects!$C$21+Projects!$D$21-1),Projects!$B$21*(Assumptions!$B$10+Assumptions!$B$11+Assumptions!$B$12)*0.05,0)</f>
        <v/>
      </c>
      <c r="V30" s="399">
        <f>IF(AND(Projects!$G$21="Yes",V$3&gt;=Projects!$C$21,V$3&lt;Projects!$C$21+Projects!$D$21),Projects!$B$21*INDEX(Curves!$B$4:$AR$4,1,V$3-Projects!$C$21+1),0)-IF(AND(Projects!$G$21="Yes",V$3&gt;=Projects!$C$21,V$3&lt;Projects!$C$21+Projects!$D$21),Projects!$B$21*(Assumptions!$B$10+Assumptions!$B$11+Assumptions!$B$12)/Projects!$D$21*0.95,0)-IF(AND(Projects!$G$21="Yes",V$3=Projects!$C$21+Projects!$D$21-1),Projects!$B$21*(Assumptions!$B$10+Assumptions!$B$11+Assumptions!$B$12)*0.05,0)</f>
        <v/>
      </c>
      <c r="W30" s="399">
        <f>IF(AND(Projects!$G$21="Yes",W$3&gt;=Projects!$C$21,W$3&lt;Projects!$C$21+Projects!$D$21),Projects!$B$21*INDEX(Curves!$B$4:$AR$4,1,W$3-Projects!$C$21+1),0)-IF(AND(Projects!$G$21="Yes",W$3&gt;=Projects!$C$21,W$3&lt;Projects!$C$21+Projects!$D$21),Projects!$B$21*(Assumptions!$B$10+Assumptions!$B$11+Assumptions!$B$12)/Projects!$D$21*0.95,0)-IF(AND(Projects!$G$21="Yes",W$3=Projects!$C$21+Projects!$D$21-1),Projects!$B$21*(Assumptions!$B$10+Assumptions!$B$11+Assumptions!$B$12)*0.05,0)</f>
        <v/>
      </c>
      <c r="X30" s="399">
        <f>IF(AND(Projects!$G$21="Yes",X$3&gt;=Projects!$C$21,X$3&lt;Projects!$C$21+Projects!$D$21),Projects!$B$21*INDEX(Curves!$B$4:$AR$4,1,X$3-Projects!$C$21+1),0)-IF(AND(Projects!$G$21="Yes",X$3&gt;=Projects!$C$21,X$3&lt;Projects!$C$21+Projects!$D$21),Projects!$B$21*(Assumptions!$B$10+Assumptions!$B$11+Assumptions!$B$12)/Projects!$D$21*0.95,0)-IF(AND(Projects!$G$21="Yes",X$3=Projects!$C$21+Projects!$D$21-1),Projects!$B$21*(Assumptions!$B$10+Assumptions!$B$11+Assumptions!$B$12)*0.05,0)</f>
        <v/>
      </c>
      <c r="Y30" s="399">
        <f>IF(AND(Projects!$G$21="Yes",Y$3&gt;=Projects!$C$21,Y$3&lt;Projects!$C$21+Projects!$D$21),Projects!$B$21*INDEX(Curves!$B$4:$AR$4,1,Y$3-Projects!$C$21+1),0)-IF(AND(Projects!$G$21="Yes",Y$3&gt;=Projects!$C$21,Y$3&lt;Projects!$C$21+Projects!$D$21),Projects!$B$21*(Assumptions!$B$10+Assumptions!$B$11+Assumptions!$B$12)/Projects!$D$21*0.95,0)-IF(AND(Projects!$G$21="Yes",Y$3=Projects!$C$21+Projects!$D$21-1),Projects!$B$21*(Assumptions!$B$10+Assumptions!$B$11+Assumptions!$B$12)*0.05,0)</f>
        <v/>
      </c>
      <c r="Z30" s="399">
        <f>IF(AND(Projects!$G$21="Yes",Z$3&gt;=Projects!$C$21,Z$3&lt;Projects!$C$21+Projects!$D$21),Projects!$B$21*INDEX(Curves!$B$4:$AR$4,1,Z$3-Projects!$C$21+1),0)-IF(AND(Projects!$G$21="Yes",Z$3&gt;=Projects!$C$21,Z$3&lt;Projects!$C$21+Projects!$D$21),Projects!$B$21*(Assumptions!$B$10+Assumptions!$B$11+Assumptions!$B$12)/Projects!$D$21*0.95,0)-IF(AND(Projects!$G$21="Yes",Z$3=Projects!$C$21+Projects!$D$21-1),Projects!$B$21*(Assumptions!$B$10+Assumptions!$B$11+Assumptions!$B$12)*0.05,0)</f>
        <v/>
      </c>
      <c r="AA30" s="399">
        <f>IF(AND(Projects!$G$21="Yes",AA$3&gt;=Projects!$C$21,AA$3&lt;Projects!$C$21+Projects!$D$21),Projects!$B$21*INDEX(Curves!$B$4:$AR$4,1,AA$3-Projects!$C$21+1),0)-IF(AND(Projects!$G$21="Yes",AA$3&gt;=Projects!$C$21,AA$3&lt;Projects!$C$21+Projects!$D$21),Projects!$B$21*(Assumptions!$B$10+Assumptions!$B$11+Assumptions!$B$12)/Projects!$D$21*0.95,0)-IF(AND(Projects!$G$21="Yes",AA$3=Projects!$C$21+Projects!$D$21-1),Projects!$B$21*(Assumptions!$B$10+Assumptions!$B$11+Assumptions!$B$12)*0.05,0)</f>
        <v/>
      </c>
      <c r="AB30" s="399">
        <f>IF(AND(Projects!$G$21="Yes",AB$3&gt;=Projects!$C$21,AB$3&lt;Projects!$C$21+Projects!$D$21),Projects!$B$21*INDEX(Curves!$B$4:$AR$4,1,AB$3-Projects!$C$21+1),0)-IF(AND(Projects!$G$21="Yes",AB$3&gt;=Projects!$C$21,AB$3&lt;Projects!$C$21+Projects!$D$21),Projects!$B$21*(Assumptions!$B$10+Assumptions!$B$11+Assumptions!$B$12)/Projects!$D$21*0.95,0)-IF(AND(Projects!$G$21="Yes",AB$3=Projects!$C$21+Projects!$D$21-1),Projects!$B$21*(Assumptions!$B$10+Assumptions!$B$11+Assumptions!$B$12)*0.05,0)</f>
        <v/>
      </c>
      <c r="AC30" s="399">
        <f>IF(AND(Projects!$G$21="Yes",AC$3&gt;=Projects!$C$21,AC$3&lt;Projects!$C$21+Projects!$D$21),Projects!$B$21*INDEX(Curves!$B$4:$AR$4,1,AC$3-Projects!$C$21+1),0)-IF(AND(Projects!$G$21="Yes",AC$3&gt;=Projects!$C$21,AC$3&lt;Projects!$C$21+Projects!$D$21),Projects!$B$21*(Assumptions!$B$10+Assumptions!$B$11+Assumptions!$B$12)/Projects!$D$21*0.95,0)-IF(AND(Projects!$G$21="Yes",AC$3=Projects!$C$21+Projects!$D$21-1),Projects!$B$21*(Assumptions!$B$10+Assumptions!$B$11+Assumptions!$B$12)*0.05,0)</f>
        <v/>
      </c>
      <c r="AD30" s="399">
        <f>IF(AND(Projects!$G$21="Yes",AD$3&gt;=Projects!$C$21,AD$3&lt;Projects!$C$21+Projects!$D$21),Projects!$B$21*INDEX(Curves!$B$4:$AR$4,1,AD$3-Projects!$C$21+1),0)-IF(AND(Projects!$G$21="Yes",AD$3&gt;=Projects!$C$21,AD$3&lt;Projects!$C$21+Projects!$D$21),Projects!$B$21*(Assumptions!$B$10+Assumptions!$B$11+Assumptions!$B$12)/Projects!$D$21*0.95,0)-IF(AND(Projects!$G$21="Yes",AD$3=Projects!$C$21+Projects!$D$21-1),Projects!$B$21*(Assumptions!$B$10+Assumptions!$B$11+Assumptions!$B$12)*0.05,0)</f>
        <v/>
      </c>
      <c r="AE30" s="399">
        <f>IF(AND(Projects!$G$21="Yes",AE$3&gt;=Projects!$C$21,AE$3&lt;Projects!$C$21+Projects!$D$21),Projects!$B$21*INDEX(Curves!$B$4:$AR$4,1,AE$3-Projects!$C$21+1),0)-IF(AND(Projects!$G$21="Yes",AE$3&gt;=Projects!$C$21,AE$3&lt;Projects!$C$21+Projects!$D$21),Projects!$B$21*(Assumptions!$B$10+Assumptions!$B$11+Assumptions!$B$12)/Projects!$D$21*0.95,0)-IF(AND(Projects!$G$21="Yes",AE$3=Projects!$C$21+Projects!$D$21-1),Projects!$B$21*(Assumptions!$B$10+Assumptions!$B$11+Assumptions!$B$12)*0.05,0)</f>
        <v/>
      </c>
      <c r="AF30" s="399">
        <f>IF(AND(Projects!$G$21="Yes",AF$3&gt;=Projects!$C$21,AF$3&lt;Projects!$C$21+Projects!$D$21),Projects!$B$21*INDEX(Curves!$B$4:$AR$4,1,AF$3-Projects!$C$21+1),0)-IF(AND(Projects!$G$21="Yes",AF$3&gt;=Projects!$C$21,AF$3&lt;Projects!$C$21+Projects!$D$21),Projects!$B$21*(Assumptions!$B$10+Assumptions!$B$11+Assumptions!$B$12)/Projects!$D$21*0.95,0)-IF(AND(Projects!$G$21="Yes",AF$3=Projects!$C$21+Projects!$D$21-1),Projects!$B$21*(Assumptions!$B$10+Assumptions!$B$11+Assumptions!$B$12)*0.05,0)</f>
        <v/>
      </c>
      <c r="AG30" s="399">
        <f>IF(AND(Projects!$G$21="Yes",AG$3&gt;=Projects!$C$21,AG$3&lt;Projects!$C$21+Projects!$D$21),Projects!$B$21*INDEX(Curves!$B$4:$AR$4,1,AG$3-Projects!$C$21+1),0)-IF(AND(Projects!$G$21="Yes",AG$3&gt;=Projects!$C$21,AG$3&lt;Projects!$C$21+Projects!$D$21),Projects!$B$21*(Assumptions!$B$10+Assumptions!$B$11+Assumptions!$B$12)/Projects!$D$21*0.95,0)-IF(AND(Projects!$G$21="Yes",AG$3=Projects!$C$21+Projects!$D$21-1),Projects!$B$21*(Assumptions!$B$10+Assumptions!$B$11+Assumptions!$B$12)*0.05,0)</f>
        <v/>
      </c>
      <c r="AH30" s="399">
        <f>IF(AND(Projects!$G$21="Yes",AH$3&gt;=Projects!$C$21,AH$3&lt;Projects!$C$21+Projects!$D$21),Projects!$B$21*INDEX(Curves!$B$4:$AR$4,1,AH$3-Projects!$C$21+1),0)-IF(AND(Projects!$G$21="Yes",AH$3&gt;=Projects!$C$21,AH$3&lt;Projects!$C$21+Projects!$D$21),Projects!$B$21*(Assumptions!$B$10+Assumptions!$B$11+Assumptions!$B$12)/Projects!$D$21*0.95,0)-IF(AND(Projects!$G$21="Yes",AH$3=Projects!$C$21+Projects!$D$21-1),Projects!$B$21*(Assumptions!$B$10+Assumptions!$B$11+Assumptions!$B$12)*0.05,0)</f>
        <v/>
      </c>
      <c r="AI30" s="399">
        <f>IF(AND(Projects!$G$21="Yes",AI$3&gt;=Projects!$C$21,AI$3&lt;Projects!$C$21+Projects!$D$21),Projects!$B$21*INDEX(Curves!$B$4:$AR$4,1,AI$3-Projects!$C$21+1),0)-IF(AND(Projects!$G$21="Yes",AI$3&gt;=Projects!$C$21,AI$3&lt;Projects!$C$21+Projects!$D$21),Projects!$B$21*(Assumptions!$B$10+Assumptions!$B$11+Assumptions!$B$12)/Projects!$D$21*0.95,0)-IF(AND(Projects!$G$21="Yes",AI$3=Projects!$C$21+Projects!$D$21-1),Projects!$B$21*(Assumptions!$B$10+Assumptions!$B$11+Assumptions!$B$12)*0.05,0)</f>
        <v/>
      </c>
      <c r="AJ30" s="399">
        <f>IF(AND(Projects!$G$21="Yes",AJ$3&gt;=Projects!$C$21,AJ$3&lt;Projects!$C$21+Projects!$D$21),Projects!$B$21*INDEX(Curves!$B$4:$AR$4,1,AJ$3-Projects!$C$21+1),0)-IF(AND(Projects!$G$21="Yes",AJ$3&gt;=Projects!$C$21,AJ$3&lt;Projects!$C$21+Projects!$D$21),Projects!$B$21*(Assumptions!$B$10+Assumptions!$B$11+Assumptions!$B$12)/Projects!$D$21*0.95,0)-IF(AND(Projects!$G$21="Yes",AJ$3=Projects!$C$21+Projects!$D$21-1),Projects!$B$21*(Assumptions!$B$10+Assumptions!$B$11+Assumptions!$B$12)*0.05,0)</f>
        <v/>
      </c>
      <c r="AK30" s="399">
        <f>IF(AND(Projects!$G$21="Yes",AK$3&gt;=Projects!$C$21,AK$3&lt;Projects!$C$21+Projects!$D$21),Projects!$B$21*INDEX(Curves!$B$4:$AR$4,1,AK$3-Projects!$C$21+1),0)-IF(AND(Projects!$G$21="Yes",AK$3&gt;=Projects!$C$21,AK$3&lt;Projects!$C$21+Projects!$D$21),Projects!$B$21*(Assumptions!$B$10+Assumptions!$B$11+Assumptions!$B$12)/Projects!$D$21*0.95,0)-IF(AND(Projects!$G$21="Yes",AK$3=Projects!$C$21+Projects!$D$21-1),Projects!$B$21*(Assumptions!$B$10+Assumptions!$B$11+Assumptions!$B$12)*0.05,0)</f>
        <v/>
      </c>
      <c r="AL30" s="399">
        <f>IF(AND(Projects!$G$21="Yes",AL$3&gt;=Projects!$C$21,AL$3&lt;Projects!$C$21+Projects!$D$21),Projects!$B$21*INDEX(Curves!$B$4:$AR$4,1,AL$3-Projects!$C$21+1),0)-IF(AND(Projects!$G$21="Yes",AL$3&gt;=Projects!$C$21,AL$3&lt;Projects!$C$21+Projects!$D$21),Projects!$B$21*(Assumptions!$B$10+Assumptions!$B$11+Assumptions!$B$12)/Projects!$D$21*0.95,0)-IF(AND(Projects!$G$21="Yes",AL$3=Projects!$C$21+Projects!$D$21-1),Projects!$B$21*(Assumptions!$B$10+Assumptions!$B$11+Assumptions!$B$12)*0.05,0)</f>
        <v/>
      </c>
      <c r="AM30" s="399">
        <f>IF(AND(Projects!$G$21="Yes",AM$3&gt;=Projects!$C$21,AM$3&lt;Projects!$C$21+Projects!$D$21),Projects!$B$21*INDEX(Curves!$B$4:$AR$4,1,AM$3-Projects!$C$21+1),0)-IF(AND(Projects!$G$21="Yes",AM$3&gt;=Projects!$C$21,AM$3&lt;Projects!$C$21+Projects!$D$21),Projects!$B$21*(Assumptions!$B$10+Assumptions!$B$11+Assumptions!$B$12)/Projects!$D$21*0.95,0)-IF(AND(Projects!$G$21="Yes",AM$3=Projects!$C$21+Projects!$D$21-1),Projects!$B$21*(Assumptions!$B$10+Assumptions!$B$11+Assumptions!$B$12)*0.05,0)</f>
        <v/>
      </c>
      <c r="AN30" s="399">
        <f>IF(AND(Projects!$G$21="Yes",AN$3&gt;=Projects!$C$21,AN$3&lt;Projects!$C$21+Projects!$D$21),Projects!$B$21*INDEX(Curves!$B$4:$AR$4,1,AN$3-Projects!$C$21+1),0)-IF(AND(Projects!$G$21="Yes",AN$3&gt;=Projects!$C$21,AN$3&lt;Projects!$C$21+Projects!$D$21),Projects!$B$21*(Assumptions!$B$10+Assumptions!$B$11+Assumptions!$B$12)/Projects!$D$21*0.95,0)-IF(AND(Projects!$G$21="Yes",AN$3=Projects!$C$21+Projects!$D$21-1),Projects!$B$21*(Assumptions!$B$10+Assumptions!$B$11+Assumptions!$B$12)*0.05,0)</f>
        <v/>
      </c>
      <c r="AO30" s="399">
        <f>IF(AND(Projects!$G$21="Yes",AO$3&gt;=Projects!$C$21,AO$3&lt;Projects!$C$21+Projects!$D$21),Projects!$B$21*INDEX(Curves!$B$4:$AR$4,1,AO$3-Projects!$C$21+1),0)-IF(AND(Projects!$G$21="Yes",AO$3&gt;=Projects!$C$21,AO$3&lt;Projects!$C$21+Projects!$D$21),Projects!$B$21*(Assumptions!$B$10+Assumptions!$B$11+Assumptions!$B$12)/Projects!$D$21*0.95,0)-IF(AND(Projects!$G$21="Yes",AO$3=Projects!$C$21+Projects!$D$21-1),Projects!$B$21*(Assumptions!$B$10+Assumptions!$B$11+Assumptions!$B$12)*0.05,0)</f>
        <v/>
      </c>
      <c r="AP30" s="399">
        <f>IF(AND(Projects!$G$21="Yes",AP$3&gt;=Projects!$C$21,AP$3&lt;Projects!$C$21+Projects!$D$21),Projects!$B$21*INDEX(Curves!$B$4:$AR$4,1,AP$3-Projects!$C$21+1),0)-IF(AND(Projects!$G$21="Yes",AP$3&gt;=Projects!$C$21,AP$3&lt;Projects!$C$21+Projects!$D$21),Projects!$B$21*(Assumptions!$B$10+Assumptions!$B$11+Assumptions!$B$12)/Projects!$D$21*0.95,0)-IF(AND(Projects!$G$21="Yes",AP$3=Projects!$C$21+Projects!$D$21-1),Projects!$B$21*(Assumptions!$B$10+Assumptions!$B$11+Assumptions!$B$12)*0.05,0)</f>
        <v/>
      </c>
      <c r="AQ30" s="399">
        <f>IF(AND(Projects!$G$21="Yes",AQ$3&gt;=Projects!$C$21,AQ$3&lt;Projects!$C$21+Projects!$D$21),Projects!$B$21*INDEX(Curves!$B$4:$AR$4,1,AQ$3-Projects!$C$21+1),0)-IF(AND(Projects!$G$21="Yes",AQ$3&gt;=Projects!$C$21,AQ$3&lt;Projects!$C$21+Projects!$D$21),Projects!$B$21*(Assumptions!$B$10+Assumptions!$B$11+Assumptions!$B$12)/Projects!$D$21*0.95,0)-IF(AND(Projects!$G$21="Yes",AQ$3=Projects!$C$21+Projects!$D$21-1),Projects!$B$21*(Assumptions!$B$10+Assumptions!$B$11+Assumptions!$B$12)*0.05,0)</f>
        <v/>
      </c>
      <c r="AR30" s="399">
        <f>IF(AND(Projects!$G$21="Yes",AR$3&gt;=Projects!$C$21,AR$3&lt;Projects!$C$21+Projects!$D$21),Projects!$B$21*INDEX(Curves!$B$4:$AR$4,1,AR$3-Projects!$C$21+1),0)-IF(AND(Projects!$G$21="Yes",AR$3&gt;=Projects!$C$21,AR$3&lt;Projects!$C$21+Projects!$D$21),Projects!$B$21*(Assumptions!$B$10+Assumptions!$B$11+Assumptions!$B$12)/Projects!$D$21*0.95,0)-IF(AND(Projects!$G$21="Yes",AR$3=Projects!$C$21+Projects!$D$21-1),Projects!$B$21*(Assumptions!$B$10+Assumptions!$B$11+Assumptions!$B$12)*0.05,0)</f>
        <v/>
      </c>
      <c r="AS30" s="399">
        <f>IF(AND(Projects!$G$21="Yes",AS$3&gt;=Projects!$C$21,AS$3&lt;Projects!$C$21+Projects!$D$21),Projects!$B$21*INDEX(Curves!$B$4:$AR$4,1,AS$3-Projects!$C$21+1),0)-IF(AND(Projects!$G$21="Yes",AS$3&gt;=Projects!$C$21,AS$3&lt;Projects!$C$21+Projects!$D$21),Projects!$B$21*(Assumptions!$B$10+Assumptions!$B$11+Assumptions!$B$12)/Projects!$D$21*0.95,0)-IF(AND(Projects!$G$21="Yes",AS$3=Projects!$C$21+Projects!$D$21-1),Projects!$B$21*(Assumptions!$B$10+Assumptions!$B$11+Assumptions!$B$12)*0.05,0)</f>
        <v/>
      </c>
      <c r="AT30" s="399">
        <f>IF(AND(Projects!$G$21="Yes",AT$3&gt;=Projects!$C$21,AT$3&lt;Projects!$C$21+Projects!$D$21),Projects!$B$21*INDEX(Curves!$B$4:$AR$4,1,AT$3-Projects!$C$21+1),0)-IF(AND(Projects!$G$21="Yes",AT$3&gt;=Projects!$C$21,AT$3&lt;Projects!$C$21+Projects!$D$21),Projects!$B$21*(Assumptions!$B$10+Assumptions!$B$11+Assumptions!$B$12)/Projects!$D$21*0.95,0)-IF(AND(Projects!$G$21="Yes",AT$3=Projects!$C$21+Projects!$D$21-1),Projects!$B$21*(Assumptions!$B$10+Assumptions!$B$11+Assumptions!$B$12)*0.05,0)</f>
        <v/>
      </c>
      <c r="AU30" s="399">
        <f>IF(AND(Projects!$G$21="Yes",AU$3&gt;=Projects!$C$21,AU$3&lt;Projects!$C$21+Projects!$D$21),Projects!$B$21*INDEX(Curves!$B$4:$AR$4,1,AU$3-Projects!$C$21+1),0)-IF(AND(Projects!$G$21="Yes",AU$3&gt;=Projects!$C$21,AU$3&lt;Projects!$C$21+Projects!$D$21),Projects!$B$21*(Assumptions!$B$10+Assumptions!$B$11+Assumptions!$B$12)/Projects!$D$21*0.95,0)-IF(AND(Projects!$G$21="Yes",AU$3=Projects!$C$21+Projects!$D$21-1),Projects!$B$21*(Assumptions!$B$10+Assumptions!$B$11+Assumptions!$B$12)*0.05,0)</f>
        <v/>
      </c>
      <c r="AV30" s="399">
        <f>IF(AND(Projects!$G$21="Yes",AV$3&gt;=Projects!$C$21,AV$3&lt;Projects!$C$21+Projects!$D$21),Projects!$B$21*INDEX(Curves!$B$4:$AR$4,1,AV$3-Projects!$C$21+1),0)-IF(AND(Projects!$G$21="Yes",AV$3&gt;=Projects!$C$21,AV$3&lt;Projects!$C$21+Projects!$D$21),Projects!$B$21*(Assumptions!$B$10+Assumptions!$B$11+Assumptions!$B$12)/Projects!$D$21*0.95,0)-IF(AND(Projects!$G$21="Yes",AV$3=Projects!$C$21+Projects!$D$21-1),Projects!$B$21*(Assumptions!$B$10+Assumptions!$B$11+Assumptions!$B$12)*0.05,0)</f>
        <v/>
      </c>
      <c r="AW30" s="399">
        <f>IF(AND(Projects!$G$21="Yes",AW$3&gt;=Projects!$C$21,AW$3&lt;Projects!$C$21+Projects!$D$21),Projects!$B$21*INDEX(Curves!$B$4:$AR$4,1,AW$3-Projects!$C$21+1),0)-IF(AND(Projects!$G$21="Yes",AW$3&gt;=Projects!$C$21,AW$3&lt;Projects!$C$21+Projects!$D$21),Projects!$B$21*(Assumptions!$B$10+Assumptions!$B$11+Assumptions!$B$12)/Projects!$D$21*0.95,0)-IF(AND(Projects!$G$21="Yes",AW$3=Projects!$C$21+Projects!$D$21-1),Projects!$B$21*(Assumptions!$B$10+Assumptions!$B$11+Assumptions!$B$12)*0.05,0)</f>
        <v/>
      </c>
      <c r="AX30" s="399">
        <f>IF(AND(Projects!$G$21="Yes",AX$3&gt;=Projects!$C$21,AX$3&lt;Projects!$C$21+Projects!$D$21),Projects!$B$21*INDEX(Curves!$B$4:$AR$4,1,AX$3-Projects!$C$21+1),0)-IF(AND(Projects!$G$21="Yes",AX$3&gt;=Projects!$C$21,AX$3&lt;Projects!$C$21+Projects!$D$21),Projects!$B$21*(Assumptions!$B$10+Assumptions!$B$11+Assumptions!$B$12)/Projects!$D$21*0.95,0)-IF(AND(Projects!$G$21="Yes",AX$3=Projects!$C$21+Projects!$D$21-1),Projects!$B$21*(Assumptions!$B$10+Assumptions!$B$11+Assumptions!$B$12)*0.05,0)</f>
        <v/>
      </c>
      <c r="AY30" s="399">
        <f>IF(AND(Projects!$G$21="Yes",AY$3&gt;=Projects!$C$21,AY$3&lt;Projects!$C$21+Projects!$D$21),Projects!$B$21*INDEX(Curves!$B$4:$AR$4,1,AY$3-Projects!$C$21+1),0)-IF(AND(Projects!$G$21="Yes",AY$3&gt;=Projects!$C$21,AY$3&lt;Projects!$C$21+Projects!$D$21),Projects!$B$21*(Assumptions!$B$10+Assumptions!$B$11+Assumptions!$B$12)/Projects!$D$21*0.95,0)-IF(AND(Projects!$G$21="Yes",AY$3=Projects!$C$21+Projects!$D$21-1),Projects!$B$21*(Assumptions!$B$10+Assumptions!$B$11+Assumptions!$B$12)*0.05,0)</f>
        <v/>
      </c>
      <c r="AZ30" s="399">
        <f>IF(AND(Projects!$G$21="Yes",AZ$3&gt;=Projects!$C$21,AZ$3&lt;Projects!$C$21+Projects!$D$21),Projects!$B$21*INDEX(Curves!$B$4:$AR$4,1,AZ$3-Projects!$C$21+1),0)-IF(AND(Projects!$G$21="Yes",AZ$3&gt;=Projects!$C$21,AZ$3&lt;Projects!$C$21+Projects!$D$21),Projects!$B$21*(Assumptions!$B$10+Assumptions!$B$11+Assumptions!$B$12)/Projects!$D$21*0.95,0)-IF(AND(Projects!$G$21="Yes",AZ$3=Projects!$C$21+Projects!$D$21-1),Projects!$B$21*(Assumptions!$B$10+Assumptions!$B$11+Assumptions!$B$12)*0.05,0)</f>
        <v/>
      </c>
      <c r="BA30" s="399">
        <f>IF(AND(Projects!$G$21="Yes",BA$3&gt;=Projects!$C$21,BA$3&lt;Projects!$C$21+Projects!$D$21),Projects!$B$21*INDEX(Curves!$B$4:$AR$4,1,BA$3-Projects!$C$21+1),0)-IF(AND(Projects!$G$21="Yes",BA$3&gt;=Projects!$C$21,BA$3&lt;Projects!$C$21+Projects!$D$21),Projects!$B$21*(Assumptions!$B$10+Assumptions!$B$11+Assumptions!$B$12)/Projects!$D$21*0.95,0)-IF(AND(Projects!$G$21="Yes",BA$3=Projects!$C$21+Projects!$D$21-1),Projects!$B$21*(Assumptions!$B$10+Assumptions!$B$11+Assumptions!$B$12)*0.05,0)</f>
        <v/>
      </c>
      <c r="BB30" s="399">
        <f>IF(AND(Projects!$G$21="Yes",BB$3&gt;=Projects!$C$21,BB$3&lt;Projects!$C$21+Projects!$D$21),Projects!$B$21*INDEX(Curves!$B$4:$AR$4,1,BB$3-Projects!$C$21+1),0)-IF(AND(Projects!$G$21="Yes",BB$3&gt;=Projects!$C$21,BB$3&lt;Projects!$C$21+Projects!$D$21),Projects!$B$21*(Assumptions!$B$10+Assumptions!$B$11+Assumptions!$B$12)/Projects!$D$21*0.95,0)-IF(AND(Projects!$G$21="Yes",BB$3=Projects!$C$21+Projects!$D$21-1),Projects!$B$21*(Assumptions!$B$10+Assumptions!$B$11+Assumptions!$B$12)*0.05,0)</f>
        <v/>
      </c>
      <c r="BC30" s="399">
        <f>IF(AND(Projects!$G$21="Yes",BC$3&gt;=Projects!$C$21,BC$3&lt;Projects!$C$21+Projects!$D$21),Projects!$B$21*INDEX(Curves!$B$4:$AR$4,1,BC$3-Projects!$C$21+1),0)-IF(AND(Projects!$G$21="Yes",BC$3&gt;=Projects!$C$21,BC$3&lt;Projects!$C$21+Projects!$D$21),Projects!$B$21*(Assumptions!$B$10+Assumptions!$B$11+Assumptions!$B$12)/Projects!$D$21*0.95,0)-IF(AND(Projects!$G$21="Yes",BC$3=Projects!$C$21+Projects!$D$21-1),Projects!$B$21*(Assumptions!$B$10+Assumptions!$B$11+Assumptions!$B$12)*0.05,0)</f>
        <v/>
      </c>
      <c r="BD30" s="399">
        <f>IF(AND(Projects!$G$21="Yes",BD$3&gt;=Projects!$C$21,BD$3&lt;Projects!$C$21+Projects!$D$21),Projects!$B$21*INDEX(Curves!$B$4:$AR$4,1,BD$3-Projects!$C$21+1),0)-IF(AND(Projects!$G$21="Yes",BD$3&gt;=Projects!$C$21,BD$3&lt;Projects!$C$21+Projects!$D$21),Projects!$B$21*(Assumptions!$B$10+Assumptions!$B$11+Assumptions!$B$12)/Projects!$D$21*0.95,0)-IF(AND(Projects!$G$21="Yes",BD$3=Projects!$C$21+Projects!$D$21-1),Projects!$B$21*(Assumptions!$B$10+Assumptions!$B$11+Assumptions!$B$12)*0.05,0)</f>
        <v/>
      </c>
      <c r="BE30" s="399">
        <f>IF(AND(Projects!$G$21="Yes",BE$3&gt;=Projects!$C$21,BE$3&lt;Projects!$C$21+Projects!$D$21),Projects!$B$21*INDEX(Curves!$B$4:$AR$4,1,BE$3-Projects!$C$21+1),0)-IF(AND(Projects!$G$21="Yes",BE$3&gt;=Projects!$C$21,BE$3&lt;Projects!$C$21+Projects!$D$21),Projects!$B$21*(Assumptions!$B$10+Assumptions!$B$11+Assumptions!$B$12)/Projects!$D$21*0.95,0)-IF(AND(Projects!$G$21="Yes",BE$3=Projects!$C$21+Projects!$D$21-1),Projects!$B$21*(Assumptions!$B$10+Assumptions!$B$11+Assumptions!$B$12)*0.05,0)</f>
        <v/>
      </c>
      <c r="BF30" s="399">
        <f>IF(AND(Projects!$G$21="Yes",BF$3&gt;=Projects!$C$21,BF$3&lt;Projects!$C$21+Projects!$D$21),Projects!$B$21*INDEX(Curves!$B$4:$AR$4,1,BF$3-Projects!$C$21+1),0)-IF(AND(Projects!$G$21="Yes",BF$3&gt;=Projects!$C$21,BF$3&lt;Projects!$C$21+Projects!$D$21),Projects!$B$21*(Assumptions!$B$10+Assumptions!$B$11+Assumptions!$B$12)/Projects!$D$21*0.95,0)-IF(AND(Projects!$G$21="Yes",BF$3=Projects!$C$21+Projects!$D$21-1),Projects!$B$21*(Assumptions!$B$10+Assumptions!$B$11+Assumptions!$B$12)*0.05,0)</f>
        <v/>
      </c>
      <c r="BG30" s="399">
        <f>IF(AND(Projects!$G$21="Yes",BG$3&gt;=Projects!$C$21,BG$3&lt;Projects!$C$21+Projects!$D$21),Projects!$B$21*INDEX(Curves!$B$4:$AR$4,1,BG$3-Projects!$C$21+1),0)-IF(AND(Projects!$G$21="Yes",BG$3&gt;=Projects!$C$21,BG$3&lt;Projects!$C$21+Projects!$D$21),Projects!$B$21*(Assumptions!$B$10+Assumptions!$B$11+Assumptions!$B$12)/Projects!$D$21*0.95,0)-IF(AND(Projects!$G$21="Yes",BG$3=Projects!$C$21+Projects!$D$21-1),Projects!$B$21*(Assumptions!$B$10+Assumptions!$B$11+Assumptions!$B$12)*0.05,0)</f>
        <v/>
      </c>
      <c r="BH30" s="399">
        <f>IF(AND(Projects!$G$21="Yes",BH$3&gt;=Projects!$C$21,BH$3&lt;Projects!$C$21+Projects!$D$21),Projects!$B$21*INDEX(Curves!$B$4:$AR$4,1,BH$3-Projects!$C$21+1),0)-IF(AND(Projects!$G$21="Yes",BH$3&gt;=Projects!$C$21,BH$3&lt;Projects!$C$21+Projects!$D$21),Projects!$B$21*(Assumptions!$B$10+Assumptions!$B$11+Assumptions!$B$12)/Projects!$D$21*0.95,0)-IF(AND(Projects!$G$21="Yes",BH$3=Projects!$C$21+Projects!$D$21-1),Projects!$B$21*(Assumptions!$B$10+Assumptions!$B$11+Assumptions!$B$12)*0.05,0)</f>
        <v/>
      </c>
      <c r="BI30" s="399">
        <f>IF(AND(Projects!$G$21="Yes",BI$3&gt;=Projects!$C$21,BI$3&lt;Projects!$C$21+Projects!$D$21),Projects!$B$21*INDEX(Curves!$B$4:$AR$4,1,BI$3-Projects!$C$21+1),0)-IF(AND(Projects!$G$21="Yes",BI$3&gt;=Projects!$C$21,BI$3&lt;Projects!$C$21+Projects!$D$21),Projects!$B$21*(Assumptions!$B$10+Assumptions!$B$11+Assumptions!$B$12)/Projects!$D$21*0.95,0)-IF(AND(Projects!$G$21="Yes",BI$3=Projects!$C$21+Projects!$D$21-1),Projects!$B$21*(Assumptions!$B$10+Assumptions!$B$11+Assumptions!$B$12)*0.05,0)</f>
        <v/>
      </c>
      <c r="BJ30" s="399">
        <f>IF(AND(Projects!$G$21="Yes",BJ$3&gt;=Projects!$C$21,BJ$3&lt;Projects!$C$21+Projects!$D$21),Projects!$B$21*INDEX(Curves!$B$4:$AR$4,1,BJ$3-Projects!$C$21+1),0)-IF(AND(Projects!$G$21="Yes",BJ$3&gt;=Projects!$C$21,BJ$3&lt;Projects!$C$21+Projects!$D$21),Projects!$B$21*(Assumptions!$B$10+Assumptions!$B$11+Assumptions!$B$12)/Projects!$D$21*0.95,0)-IF(AND(Projects!$G$21="Yes",BJ$3=Projects!$C$21+Projects!$D$21-1),Projects!$B$21*(Assumptions!$B$10+Assumptions!$B$11+Assumptions!$B$12)*0.05,0)</f>
        <v/>
      </c>
      <c r="BK30" s="399">
        <f>IF(AND(Projects!$G$21="Yes",BK$3&gt;=Projects!$C$21,BK$3&lt;Projects!$C$21+Projects!$D$21),Projects!$B$21*INDEX(Curves!$B$4:$AR$4,1,BK$3-Projects!$C$21+1),0)-IF(AND(Projects!$G$21="Yes",BK$3&gt;=Projects!$C$21,BK$3&lt;Projects!$C$21+Projects!$D$21),Projects!$B$21*(Assumptions!$B$10+Assumptions!$B$11+Assumptions!$B$12)/Projects!$D$21*0.95,0)-IF(AND(Projects!$G$21="Yes",BK$3=Projects!$C$21+Projects!$D$21-1),Projects!$B$21*(Assumptions!$B$10+Assumptions!$B$11+Assumptions!$B$12)*0.05,0)</f>
        <v/>
      </c>
      <c r="BL30" s="399">
        <f>IF(AND(Projects!$G$21="Yes",BL$3&gt;=Projects!$C$21,BL$3&lt;Projects!$C$21+Projects!$D$21),Projects!$B$21*INDEX(Curves!$B$4:$AR$4,1,BL$3-Projects!$C$21+1),0)-IF(AND(Projects!$G$21="Yes",BL$3&gt;=Projects!$C$21,BL$3&lt;Projects!$C$21+Projects!$D$21),Projects!$B$21*(Assumptions!$B$10+Assumptions!$B$11+Assumptions!$B$12)/Projects!$D$21*0.95,0)-IF(AND(Projects!$G$21="Yes",BL$3=Projects!$C$21+Projects!$D$21-1),Projects!$B$21*(Assumptions!$B$10+Assumptions!$B$11+Assumptions!$B$12)*0.05,0)</f>
        <v/>
      </c>
      <c r="BM30" s="399">
        <f>IF(AND(Projects!$G$21="Yes",BM$3&gt;=Projects!$C$21,BM$3&lt;Projects!$C$21+Projects!$D$21),Projects!$B$21*INDEX(Curves!$B$4:$AR$4,1,BM$3-Projects!$C$21+1),0)-IF(AND(Projects!$G$21="Yes",BM$3&gt;=Projects!$C$21,BM$3&lt;Projects!$C$21+Projects!$D$21),Projects!$B$21*(Assumptions!$B$10+Assumptions!$B$11+Assumptions!$B$12)/Projects!$D$21*0.95,0)-IF(AND(Projects!$G$21="Yes",BM$3=Projects!$C$21+Projects!$D$21-1),Projects!$B$21*(Assumptions!$B$10+Assumptions!$B$11+Assumptions!$B$12)*0.05,0)</f>
        <v/>
      </c>
      <c r="BN30" s="399">
        <f>IF(AND(Projects!$G$21="Yes",BN$3&gt;=Projects!$C$21,BN$3&lt;Projects!$C$21+Projects!$D$21),Projects!$B$21*INDEX(Curves!$B$4:$AR$4,1,BN$3-Projects!$C$21+1),0)-IF(AND(Projects!$G$21="Yes",BN$3&gt;=Projects!$C$21,BN$3&lt;Projects!$C$21+Projects!$D$21),Projects!$B$21*(Assumptions!$B$10+Assumptions!$B$11+Assumptions!$B$12)/Projects!$D$21*0.95,0)-IF(AND(Projects!$G$21="Yes",BN$3=Projects!$C$21+Projects!$D$21-1),Projects!$B$21*(Assumptions!$B$10+Assumptions!$B$11+Assumptions!$B$12)*0.05,0)</f>
        <v/>
      </c>
      <c r="BO30" s="399">
        <f>IF(AND(Projects!$G$21="Yes",BO$3&gt;=Projects!$C$21,BO$3&lt;Projects!$C$21+Projects!$D$21),Projects!$B$21*INDEX(Curves!$B$4:$AR$4,1,BO$3-Projects!$C$21+1),0)-IF(AND(Projects!$G$21="Yes",BO$3&gt;=Projects!$C$21,BO$3&lt;Projects!$C$21+Projects!$D$21),Projects!$B$21*(Assumptions!$B$10+Assumptions!$B$11+Assumptions!$B$12)/Projects!$D$21*0.95,0)-IF(AND(Projects!$G$21="Yes",BO$3=Projects!$C$21+Projects!$D$21-1),Projects!$B$21*(Assumptions!$B$10+Assumptions!$B$11+Assumptions!$B$12)*0.05,0)</f>
        <v/>
      </c>
      <c r="BP30" s="399">
        <f>IF(AND(Projects!$G$21="Yes",BP$3&gt;=Projects!$C$21,BP$3&lt;Projects!$C$21+Projects!$D$21),Projects!$B$21*INDEX(Curves!$B$4:$AR$4,1,BP$3-Projects!$C$21+1),0)-IF(AND(Projects!$G$21="Yes",BP$3&gt;=Projects!$C$21,BP$3&lt;Projects!$C$21+Projects!$D$21),Projects!$B$21*(Assumptions!$B$10+Assumptions!$B$11+Assumptions!$B$12)/Projects!$D$21*0.95,0)-IF(AND(Projects!$G$21="Yes",BP$3=Projects!$C$21+Projects!$D$21-1),Projects!$B$21*(Assumptions!$B$10+Assumptions!$B$11+Assumptions!$B$12)*0.05,0)</f>
        <v/>
      </c>
      <c r="BQ30" s="399">
        <f>IF(AND(Projects!$G$21="Yes",BQ$3&gt;=Projects!$C$21,BQ$3&lt;Projects!$C$21+Projects!$D$21),Projects!$B$21*INDEX(Curves!$B$4:$AR$4,1,BQ$3-Projects!$C$21+1),0)-IF(AND(Projects!$G$21="Yes",BQ$3&gt;=Projects!$C$21,BQ$3&lt;Projects!$C$21+Projects!$D$21),Projects!$B$21*(Assumptions!$B$10+Assumptions!$B$11+Assumptions!$B$12)/Projects!$D$21*0.95,0)-IF(AND(Projects!$G$21="Yes",BQ$3=Projects!$C$21+Projects!$D$21-1),Projects!$B$21*(Assumptions!$B$10+Assumptions!$B$11+Assumptions!$B$12)*0.05,0)</f>
        <v/>
      </c>
      <c r="BR30" s="399">
        <f>IF(AND(Projects!$G$21="Yes",BR$3&gt;=Projects!$C$21,BR$3&lt;Projects!$C$21+Projects!$D$21),Projects!$B$21*INDEX(Curves!$B$4:$AR$4,1,BR$3-Projects!$C$21+1),0)-IF(AND(Projects!$G$21="Yes",BR$3&gt;=Projects!$C$21,BR$3&lt;Projects!$C$21+Projects!$D$21),Projects!$B$21*(Assumptions!$B$10+Assumptions!$B$11+Assumptions!$B$12)/Projects!$D$21*0.95,0)-IF(AND(Projects!$G$21="Yes",BR$3=Projects!$C$21+Projects!$D$21-1),Projects!$B$21*(Assumptions!$B$10+Assumptions!$B$11+Assumptions!$B$12)*0.05,0)</f>
        <v/>
      </c>
      <c r="BS30" s="399">
        <f>IF(AND(Projects!$G$21="Yes",BS$3&gt;=Projects!$C$21,BS$3&lt;Projects!$C$21+Projects!$D$21),Projects!$B$21*INDEX(Curves!$B$4:$AR$4,1,BS$3-Projects!$C$21+1),0)-IF(AND(Projects!$G$21="Yes",BS$3&gt;=Projects!$C$21,BS$3&lt;Projects!$C$21+Projects!$D$21),Projects!$B$21*(Assumptions!$B$10+Assumptions!$B$11+Assumptions!$B$12)/Projects!$D$21*0.95,0)-IF(AND(Projects!$G$21="Yes",BS$3=Projects!$C$21+Projects!$D$21-1),Projects!$B$21*(Assumptions!$B$10+Assumptions!$B$11+Assumptions!$B$12)*0.05,0)</f>
        <v/>
      </c>
      <c r="BT30" s="399">
        <f>IF(AND(Projects!$G$21="Yes",BT$3&gt;=Projects!$C$21,BT$3&lt;Projects!$C$21+Projects!$D$21),Projects!$B$21*INDEX(Curves!$B$4:$AR$4,1,BT$3-Projects!$C$21+1),0)-IF(AND(Projects!$G$21="Yes",BT$3&gt;=Projects!$C$21,BT$3&lt;Projects!$C$21+Projects!$D$21),Projects!$B$21*(Assumptions!$B$10+Assumptions!$B$11+Assumptions!$B$12)/Projects!$D$21*0.95,0)-IF(AND(Projects!$G$21="Yes",BT$3=Projects!$C$21+Projects!$D$21-1),Projects!$B$21*(Assumptions!$B$10+Assumptions!$B$11+Assumptions!$B$12)*0.05,0)</f>
        <v/>
      </c>
      <c r="BU30" s="399">
        <f>IF(AND(Projects!$G$21="Yes",BU$3&gt;=Projects!$C$21,BU$3&lt;Projects!$C$21+Projects!$D$21),Projects!$B$21*INDEX(Curves!$B$4:$AR$4,1,BU$3-Projects!$C$21+1),0)-IF(AND(Projects!$G$21="Yes",BU$3&gt;=Projects!$C$21,BU$3&lt;Projects!$C$21+Projects!$D$21),Projects!$B$21*(Assumptions!$B$10+Assumptions!$B$11+Assumptions!$B$12)/Projects!$D$21*0.95,0)-IF(AND(Projects!$G$21="Yes",BU$3=Projects!$C$21+Projects!$D$21-1),Projects!$B$21*(Assumptions!$B$10+Assumptions!$B$11+Assumptions!$B$12)*0.05,0)</f>
        <v/>
      </c>
      <c r="BV30" s="399">
        <f>IF(AND(Projects!$G$21="Yes",BV$3&gt;=Projects!$C$21,BV$3&lt;Projects!$C$21+Projects!$D$21),Projects!$B$21*INDEX(Curves!$B$4:$AR$4,1,BV$3-Projects!$C$21+1),0)-IF(AND(Projects!$G$21="Yes",BV$3&gt;=Projects!$C$21,BV$3&lt;Projects!$C$21+Projects!$D$21),Projects!$B$21*(Assumptions!$B$10+Assumptions!$B$11+Assumptions!$B$12)/Projects!$D$21*0.95,0)-IF(AND(Projects!$G$21="Yes",BV$3=Projects!$C$21+Projects!$D$21-1),Projects!$B$21*(Assumptions!$B$10+Assumptions!$B$11+Assumptions!$B$12)*0.05,0)</f>
        <v/>
      </c>
      <c r="BW30" s="399">
        <f>IF(AND(Projects!$G$21="Yes",BW$3&gt;=Projects!$C$21,BW$3&lt;Projects!$C$21+Projects!$D$21),Projects!$B$21*INDEX(Curves!$B$4:$AR$4,1,BW$3-Projects!$C$21+1),0)-IF(AND(Projects!$G$21="Yes",BW$3&gt;=Projects!$C$21,BW$3&lt;Projects!$C$21+Projects!$D$21),Projects!$B$21*(Assumptions!$B$10+Assumptions!$B$11+Assumptions!$B$12)/Projects!$D$21*0.95,0)-IF(AND(Projects!$G$21="Yes",BW$3=Projects!$C$21+Projects!$D$21-1),Projects!$B$21*(Assumptions!$B$10+Assumptions!$B$11+Assumptions!$B$12)*0.05,0)</f>
        <v/>
      </c>
      <c r="BX30" s="399">
        <f>IF(AND(Projects!$G$21="Yes",BX$3&gt;=Projects!$C$21,BX$3&lt;Projects!$C$21+Projects!$D$21),Projects!$B$21*INDEX(Curves!$B$4:$AR$4,1,BX$3-Projects!$C$21+1),0)-IF(AND(Projects!$G$21="Yes",BX$3&gt;=Projects!$C$21,BX$3&lt;Projects!$C$21+Projects!$D$21),Projects!$B$21*(Assumptions!$B$10+Assumptions!$B$11+Assumptions!$B$12)/Projects!$D$21*0.95,0)-IF(AND(Projects!$G$21="Yes",BX$3=Projects!$C$21+Projects!$D$21-1),Projects!$B$21*(Assumptions!$B$10+Assumptions!$B$11+Assumptions!$B$12)*0.05,0)</f>
        <v/>
      </c>
      <c r="BY30" s="399">
        <f>IF(AND(Projects!$G$21="Yes",BY$3&gt;=Projects!$C$21,BY$3&lt;Projects!$C$21+Projects!$D$21),Projects!$B$21*INDEX(Curves!$B$4:$AR$4,1,BY$3-Projects!$C$21+1),0)-IF(AND(Projects!$G$21="Yes",BY$3&gt;=Projects!$C$21,BY$3&lt;Projects!$C$21+Projects!$D$21),Projects!$B$21*(Assumptions!$B$10+Assumptions!$B$11+Assumptions!$B$12)/Projects!$D$21*0.95,0)-IF(AND(Projects!$G$21="Yes",BY$3=Projects!$C$21+Projects!$D$21-1),Projects!$B$21*(Assumptions!$B$10+Assumptions!$B$11+Assumptions!$B$12)*0.05,0)</f>
        <v/>
      </c>
      <c r="BZ30" s="399">
        <f>IF(AND(Projects!$G$21="Yes",BZ$3&gt;=Projects!$C$21,BZ$3&lt;Projects!$C$21+Projects!$D$21),Projects!$B$21*INDEX(Curves!$B$4:$AR$4,1,BZ$3-Projects!$C$21+1),0)-IF(AND(Projects!$G$21="Yes",BZ$3&gt;=Projects!$C$21,BZ$3&lt;Projects!$C$21+Projects!$D$21),Projects!$B$21*(Assumptions!$B$10+Assumptions!$B$11+Assumptions!$B$12)/Projects!$D$21*0.95,0)-IF(AND(Projects!$G$21="Yes",BZ$3=Projects!$C$21+Projects!$D$21-1),Projects!$B$21*(Assumptions!$B$10+Assumptions!$B$11+Assumptions!$B$12)*0.05,0)</f>
        <v/>
      </c>
      <c r="CA30" s="399">
        <f>IF(AND(Projects!$G$21="Yes",CA$3&gt;=Projects!$C$21,CA$3&lt;Projects!$C$21+Projects!$D$21),Projects!$B$21*INDEX(Curves!$B$4:$AR$4,1,CA$3-Projects!$C$21+1),0)-IF(AND(Projects!$G$21="Yes",CA$3&gt;=Projects!$C$21,CA$3&lt;Projects!$C$21+Projects!$D$21),Projects!$B$21*(Assumptions!$B$10+Assumptions!$B$11+Assumptions!$B$12)/Projects!$D$21*0.95,0)-IF(AND(Projects!$G$21="Yes",CA$3=Projects!$C$21+Projects!$D$21-1),Projects!$B$21*(Assumptions!$B$10+Assumptions!$B$11+Assumptions!$B$12)*0.05,0)</f>
        <v/>
      </c>
      <c r="CB30" s="399">
        <f>IF(AND(Projects!$G$21="Yes",CB$3&gt;=Projects!$C$21,CB$3&lt;Projects!$C$21+Projects!$D$21),Projects!$B$21*INDEX(Curves!$B$4:$AR$4,1,CB$3-Projects!$C$21+1),0)-IF(AND(Projects!$G$21="Yes",CB$3&gt;=Projects!$C$21,CB$3&lt;Projects!$C$21+Projects!$D$21),Projects!$B$21*(Assumptions!$B$10+Assumptions!$B$11+Assumptions!$B$12)/Projects!$D$21*0.95,0)-IF(AND(Projects!$G$21="Yes",CB$3=Projects!$C$21+Projects!$D$21-1),Projects!$B$21*(Assumptions!$B$10+Assumptions!$B$11+Assumptions!$B$12)*0.05,0)</f>
        <v/>
      </c>
      <c r="CC30" s="399">
        <f>IF(AND(Projects!$G$21="Yes",CC$3&gt;=Projects!$C$21,CC$3&lt;Projects!$C$21+Projects!$D$21),Projects!$B$21*INDEX(Curves!$B$4:$AR$4,1,CC$3-Projects!$C$21+1),0)-IF(AND(Projects!$G$21="Yes",CC$3&gt;=Projects!$C$21,CC$3&lt;Projects!$C$21+Projects!$D$21),Projects!$B$21*(Assumptions!$B$10+Assumptions!$B$11+Assumptions!$B$12)/Projects!$D$21*0.95,0)-IF(AND(Projects!$G$21="Yes",CC$3=Projects!$C$21+Projects!$D$21-1),Projects!$B$21*(Assumptions!$B$10+Assumptions!$B$11+Assumptions!$B$12)*0.05,0)</f>
        <v/>
      </c>
      <c r="CD30" s="399">
        <f>IF(AND(Projects!$G$21="Yes",CD$3&gt;=Projects!$C$21,CD$3&lt;Projects!$C$21+Projects!$D$21),Projects!$B$21*INDEX(Curves!$B$4:$AR$4,1,CD$3-Projects!$C$21+1),0)-IF(AND(Projects!$G$21="Yes",CD$3&gt;=Projects!$C$21,CD$3&lt;Projects!$C$21+Projects!$D$21),Projects!$B$21*(Assumptions!$B$10+Assumptions!$B$11+Assumptions!$B$12)/Projects!$D$21*0.95,0)-IF(AND(Projects!$G$21="Yes",CD$3=Projects!$C$21+Projects!$D$21-1),Projects!$B$21*(Assumptions!$B$10+Assumptions!$B$11+Assumptions!$B$12)*0.05,0)</f>
        <v/>
      </c>
      <c r="CE30" s="399">
        <f>IF(AND(Projects!$G$21="Yes",CE$3&gt;=Projects!$C$21,CE$3&lt;Projects!$C$21+Projects!$D$21),Projects!$B$21*INDEX(Curves!$B$4:$AR$4,1,CE$3-Projects!$C$21+1),0)-IF(AND(Projects!$G$21="Yes",CE$3&gt;=Projects!$C$21,CE$3&lt;Projects!$C$21+Projects!$D$21),Projects!$B$21*(Assumptions!$B$10+Assumptions!$B$11+Assumptions!$B$12)/Projects!$D$21*0.95,0)-IF(AND(Projects!$G$21="Yes",CE$3=Projects!$C$21+Projects!$D$21-1),Projects!$B$21*(Assumptions!$B$10+Assumptions!$B$11+Assumptions!$B$12)*0.05,0)</f>
        <v/>
      </c>
      <c r="CF30" s="399">
        <f>IF(AND(Projects!$G$21="Yes",CF$3&gt;=Projects!$C$21,CF$3&lt;Projects!$C$21+Projects!$D$21),Projects!$B$21*INDEX(Curves!$B$4:$AR$4,1,CF$3-Projects!$C$21+1),0)-IF(AND(Projects!$G$21="Yes",CF$3&gt;=Projects!$C$21,CF$3&lt;Projects!$C$21+Projects!$D$21),Projects!$B$21*(Assumptions!$B$10+Assumptions!$B$11+Assumptions!$B$12)/Projects!$D$21*0.95,0)-IF(AND(Projects!$G$21="Yes",CF$3=Projects!$C$21+Projects!$D$21-1),Projects!$B$21*(Assumptions!$B$10+Assumptions!$B$11+Assumptions!$B$12)*0.05,0)</f>
        <v/>
      </c>
      <c r="CG30" s="399">
        <f>IF(AND(Projects!$G$21="Yes",CG$3&gt;=Projects!$C$21,CG$3&lt;Projects!$C$21+Projects!$D$21),Projects!$B$21*INDEX(Curves!$B$4:$AR$4,1,CG$3-Projects!$C$21+1),0)-IF(AND(Projects!$G$21="Yes",CG$3&gt;=Projects!$C$21,CG$3&lt;Projects!$C$21+Projects!$D$21),Projects!$B$21*(Assumptions!$B$10+Assumptions!$B$11+Assumptions!$B$12)/Projects!$D$21*0.95,0)-IF(AND(Projects!$G$21="Yes",CG$3=Projects!$C$21+Projects!$D$21-1),Projects!$B$21*(Assumptions!$B$10+Assumptions!$B$11+Assumptions!$B$12)*0.05,0)</f>
        <v/>
      </c>
      <c r="CH30" s="399">
        <f>IF(AND(Projects!$G$21="Yes",CH$3&gt;=Projects!$C$21,CH$3&lt;Projects!$C$21+Projects!$D$21),Projects!$B$21*INDEX(Curves!$B$4:$AR$4,1,CH$3-Projects!$C$21+1),0)-IF(AND(Projects!$G$21="Yes",CH$3&gt;=Projects!$C$21,CH$3&lt;Projects!$C$21+Projects!$D$21),Projects!$B$21*(Assumptions!$B$10+Assumptions!$B$11+Assumptions!$B$12)/Projects!$D$21*0.95,0)-IF(AND(Projects!$G$21="Yes",CH$3=Projects!$C$21+Projects!$D$21-1),Projects!$B$21*(Assumptions!$B$10+Assumptions!$B$11+Assumptions!$B$12)*0.05,0)</f>
        <v/>
      </c>
      <c r="CI30" s="399">
        <f>IF(AND(Projects!$G$21="Yes",CI$3&gt;=Projects!$C$21,CI$3&lt;Projects!$C$21+Projects!$D$21),Projects!$B$21*INDEX(Curves!$B$4:$AR$4,1,CI$3-Projects!$C$21+1),0)-IF(AND(Projects!$G$21="Yes",CI$3&gt;=Projects!$C$21,CI$3&lt;Projects!$C$21+Projects!$D$21),Projects!$B$21*(Assumptions!$B$10+Assumptions!$B$11+Assumptions!$B$12)/Projects!$D$21*0.95,0)-IF(AND(Projects!$G$21="Yes",CI$3=Projects!$C$21+Projects!$D$21-1),Projects!$B$21*(Assumptions!$B$10+Assumptions!$B$11+Assumptions!$B$12)*0.05,0)</f>
        <v/>
      </c>
      <c r="CJ30" s="399">
        <f>IF(AND(Projects!$G$21="Yes",CJ$3&gt;=Projects!$C$21,CJ$3&lt;Projects!$C$21+Projects!$D$21),Projects!$B$21*INDEX(Curves!$B$4:$AR$4,1,CJ$3-Projects!$C$21+1),0)-IF(AND(Projects!$G$21="Yes",CJ$3&gt;=Projects!$C$21,CJ$3&lt;Projects!$C$21+Projects!$D$21),Projects!$B$21*(Assumptions!$B$10+Assumptions!$B$11+Assumptions!$B$12)/Projects!$D$21*0.95,0)-IF(AND(Projects!$G$21="Yes",CJ$3=Projects!$C$21+Projects!$D$21-1),Projects!$B$21*(Assumptions!$B$10+Assumptions!$B$11+Assumptions!$B$12)*0.05,0)</f>
        <v/>
      </c>
      <c r="CK30" s="399">
        <f>IF(AND(Projects!$G$21="Yes",CK$3&gt;=Projects!$C$21,CK$3&lt;Projects!$C$21+Projects!$D$21),Projects!$B$21*INDEX(Curves!$B$4:$AR$4,1,CK$3-Projects!$C$21+1),0)-IF(AND(Projects!$G$21="Yes",CK$3&gt;=Projects!$C$21,CK$3&lt;Projects!$C$21+Projects!$D$21),Projects!$B$21*(Assumptions!$B$10+Assumptions!$B$11+Assumptions!$B$12)/Projects!$D$21*0.95,0)-IF(AND(Projects!$G$21="Yes",CK$3=Projects!$C$21+Projects!$D$21-1),Projects!$B$21*(Assumptions!$B$10+Assumptions!$B$11+Assumptions!$B$12)*0.05,0)</f>
        <v/>
      </c>
      <c r="CL30" s="399">
        <f>IF(AND(Projects!$G$21="Yes",CL$3&gt;=Projects!$C$21,CL$3&lt;Projects!$C$21+Projects!$D$21),Projects!$B$21*INDEX(Curves!$B$4:$AR$4,1,CL$3-Projects!$C$21+1),0)-IF(AND(Projects!$G$21="Yes",CL$3&gt;=Projects!$C$21,CL$3&lt;Projects!$C$21+Projects!$D$21),Projects!$B$21*(Assumptions!$B$10+Assumptions!$B$11+Assumptions!$B$12)/Projects!$D$21*0.95,0)-IF(AND(Projects!$G$21="Yes",CL$3=Projects!$C$21+Projects!$D$21-1),Projects!$B$21*(Assumptions!$B$10+Assumptions!$B$11+Assumptions!$B$12)*0.05,0)</f>
        <v/>
      </c>
      <c r="CM30" s="399">
        <f>IF(AND(Projects!$G$21="Yes",CM$3&gt;=Projects!$C$21,CM$3&lt;Projects!$C$21+Projects!$D$21),Projects!$B$21*INDEX(Curves!$B$4:$AR$4,1,CM$3-Projects!$C$21+1),0)-IF(AND(Projects!$G$21="Yes",CM$3&gt;=Projects!$C$21,CM$3&lt;Projects!$C$21+Projects!$D$21),Projects!$B$21*(Assumptions!$B$10+Assumptions!$B$11+Assumptions!$B$12)/Projects!$D$21*0.95,0)-IF(AND(Projects!$G$21="Yes",CM$3=Projects!$C$21+Projects!$D$21-1),Projects!$B$21*(Assumptions!$B$10+Assumptions!$B$11+Assumptions!$B$12)*0.05,0)</f>
        <v/>
      </c>
      <c r="CN30" s="399">
        <f>IF(AND(Projects!$G$21="Yes",CN$3&gt;=Projects!$C$21,CN$3&lt;Projects!$C$21+Projects!$D$21),Projects!$B$21*INDEX(Curves!$B$4:$AR$4,1,CN$3-Projects!$C$21+1),0)-IF(AND(Projects!$G$21="Yes",CN$3&gt;=Projects!$C$21,CN$3&lt;Projects!$C$21+Projects!$D$21),Projects!$B$21*(Assumptions!$B$10+Assumptions!$B$11+Assumptions!$B$12)/Projects!$D$21*0.95,0)-IF(AND(Projects!$G$21="Yes",CN$3=Projects!$C$21+Projects!$D$21-1),Projects!$B$21*(Assumptions!$B$10+Assumptions!$B$11+Assumptions!$B$12)*0.05,0)</f>
        <v/>
      </c>
      <c r="CO30" s="399">
        <f>IF(AND(Projects!$G$21="Yes",CO$3&gt;=Projects!$C$21,CO$3&lt;Projects!$C$21+Projects!$D$21),Projects!$B$21*INDEX(Curves!$B$4:$AR$4,1,CO$3-Projects!$C$21+1),0)-IF(AND(Projects!$G$21="Yes",CO$3&gt;=Projects!$C$21,CO$3&lt;Projects!$C$21+Projects!$D$21),Projects!$B$21*(Assumptions!$B$10+Assumptions!$B$11+Assumptions!$B$12)/Projects!$D$21*0.95,0)-IF(AND(Projects!$G$21="Yes",CO$3=Projects!$C$21+Projects!$D$21-1),Projects!$B$21*(Assumptions!$B$10+Assumptions!$B$11+Assumptions!$B$12)*0.05,0)</f>
        <v/>
      </c>
      <c r="CP30" s="399">
        <f>IF(AND(Projects!$G$21="Yes",CP$3&gt;=Projects!$C$21,CP$3&lt;Projects!$C$21+Projects!$D$21),Projects!$B$21*INDEX(Curves!$B$4:$AR$4,1,CP$3-Projects!$C$21+1),0)-IF(AND(Projects!$G$21="Yes",CP$3&gt;=Projects!$C$21,CP$3&lt;Projects!$C$21+Projects!$D$21),Projects!$B$21*(Assumptions!$B$10+Assumptions!$B$11+Assumptions!$B$12)/Projects!$D$21*0.95,0)-IF(AND(Projects!$G$21="Yes",CP$3=Projects!$C$21+Projects!$D$21-1),Projects!$B$21*(Assumptions!$B$10+Assumptions!$B$11+Assumptions!$B$12)*0.05,0)</f>
        <v/>
      </c>
      <c r="CQ30" s="399">
        <f>IF(AND(Projects!$G$21="Yes",CQ$3&gt;=Projects!$C$21,CQ$3&lt;Projects!$C$21+Projects!$D$21),Projects!$B$21*INDEX(Curves!$B$4:$AR$4,1,CQ$3-Projects!$C$21+1),0)-IF(AND(Projects!$G$21="Yes",CQ$3&gt;=Projects!$C$21,CQ$3&lt;Projects!$C$21+Projects!$D$21),Projects!$B$21*(Assumptions!$B$10+Assumptions!$B$11+Assumptions!$B$12)/Projects!$D$21*0.95,0)-IF(AND(Projects!$G$21="Yes",CQ$3=Projects!$C$21+Projects!$D$21-1),Projects!$B$21*(Assumptions!$B$10+Assumptions!$B$11+Assumptions!$B$12)*0.05,0)</f>
        <v/>
      </c>
      <c r="CR30" s="399">
        <f>IF(AND(Projects!$G$21="Yes",CR$3&gt;=Projects!$C$21,CR$3&lt;Projects!$C$21+Projects!$D$21),Projects!$B$21*INDEX(Curves!$B$4:$AR$4,1,CR$3-Projects!$C$21+1),0)-IF(AND(Projects!$G$21="Yes",CR$3&gt;=Projects!$C$21,CR$3&lt;Projects!$C$21+Projects!$D$21),Projects!$B$21*(Assumptions!$B$10+Assumptions!$B$11+Assumptions!$B$12)/Projects!$D$21*0.95,0)-IF(AND(Projects!$G$21="Yes",CR$3=Projects!$C$21+Projects!$D$21-1),Projects!$B$21*(Assumptions!$B$10+Assumptions!$B$11+Assumptions!$B$12)*0.05,0)</f>
        <v/>
      </c>
      <c r="CS30" s="399">
        <f>IF(AND(Projects!$G$21="Yes",CS$3&gt;=Projects!$C$21,CS$3&lt;Projects!$C$21+Projects!$D$21),Projects!$B$21*INDEX(Curves!$B$4:$AR$4,1,CS$3-Projects!$C$21+1),0)-IF(AND(Projects!$G$21="Yes",CS$3&gt;=Projects!$C$21,CS$3&lt;Projects!$C$21+Projects!$D$21),Projects!$B$21*(Assumptions!$B$10+Assumptions!$B$11+Assumptions!$B$12)/Projects!$D$21*0.95,0)-IF(AND(Projects!$G$21="Yes",CS$3=Projects!$C$21+Projects!$D$21-1),Projects!$B$21*(Assumptions!$B$10+Assumptions!$B$11+Assumptions!$B$12)*0.05,0)</f>
        <v/>
      </c>
      <c r="CT30" s="399">
        <f>IF(AND(Projects!$G$21="Yes",CT$3&gt;=Projects!$C$21,CT$3&lt;Projects!$C$21+Projects!$D$21),Projects!$B$21*INDEX(Curves!$B$4:$AR$4,1,CT$3-Projects!$C$21+1),0)-IF(AND(Projects!$G$21="Yes",CT$3&gt;=Projects!$C$21,CT$3&lt;Projects!$C$21+Projects!$D$21),Projects!$B$21*(Assumptions!$B$10+Assumptions!$B$11+Assumptions!$B$12)/Projects!$D$21*0.95,0)-IF(AND(Projects!$G$21="Yes",CT$3=Projects!$C$21+Projects!$D$21-1),Projects!$B$21*(Assumptions!$B$10+Assumptions!$B$11+Assumptions!$B$12)*0.05,0)</f>
        <v/>
      </c>
      <c r="CU30" s="399">
        <f>IF(AND(Projects!$G$21="Yes",CU$3&gt;=Projects!$C$21,CU$3&lt;Projects!$C$21+Projects!$D$21),Projects!$B$21*INDEX(Curves!$B$4:$AR$4,1,CU$3-Projects!$C$21+1),0)-IF(AND(Projects!$G$21="Yes",CU$3&gt;=Projects!$C$21,CU$3&lt;Projects!$C$21+Projects!$D$21),Projects!$B$21*(Assumptions!$B$10+Assumptions!$B$11+Assumptions!$B$12)/Projects!$D$21*0.95,0)-IF(AND(Projects!$G$21="Yes",CU$3=Projects!$C$21+Projects!$D$21-1),Projects!$B$21*(Assumptions!$B$10+Assumptions!$B$11+Assumptions!$B$12)*0.05,0)</f>
        <v/>
      </c>
      <c r="CV30" s="399">
        <f>IF(AND(Projects!$G$21="Yes",CV$3&gt;=Projects!$C$21,CV$3&lt;Projects!$C$21+Projects!$D$21),Projects!$B$21*INDEX(Curves!$B$4:$AR$4,1,CV$3-Projects!$C$21+1),0)-IF(AND(Projects!$G$21="Yes",CV$3&gt;=Projects!$C$21,CV$3&lt;Projects!$C$21+Projects!$D$21),Projects!$B$21*(Assumptions!$B$10+Assumptions!$B$11+Assumptions!$B$12)/Projects!$D$21*0.95,0)-IF(AND(Projects!$G$21="Yes",CV$3=Projects!$C$21+Projects!$D$21-1),Projects!$B$21*(Assumptions!$B$10+Assumptions!$B$11+Assumptions!$B$12)*0.05,0)</f>
        <v/>
      </c>
      <c r="CW30" s="399">
        <f>IF(AND(Projects!$G$21="Yes",CW$3&gt;=Projects!$C$21,CW$3&lt;Projects!$C$21+Projects!$D$21),Projects!$B$21*INDEX(Curves!$B$4:$AR$4,1,CW$3-Projects!$C$21+1),0)-IF(AND(Projects!$G$21="Yes",CW$3&gt;=Projects!$C$21,CW$3&lt;Projects!$C$21+Projects!$D$21),Projects!$B$21*(Assumptions!$B$10+Assumptions!$B$11+Assumptions!$B$12)/Projects!$D$21*0.95,0)-IF(AND(Projects!$G$21="Yes",CW$3=Projects!$C$21+Projects!$D$21-1),Projects!$B$21*(Assumptions!$B$10+Assumptions!$B$11+Assumptions!$B$12)*0.05,0)</f>
        <v/>
      </c>
      <c r="CX30" s="399">
        <f>IF(AND(Projects!$G$21="Yes",CX$3&gt;=Projects!$C$21,CX$3&lt;Projects!$C$21+Projects!$D$21),Projects!$B$21*INDEX(Curves!$B$4:$AR$4,1,CX$3-Projects!$C$21+1),0)-IF(AND(Projects!$G$21="Yes",CX$3&gt;=Projects!$C$21,CX$3&lt;Projects!$C$21+Projects!$D$21),Projects!$B$21*(Assumptions!$B$10+Assumptions!$B$11+Assumptions!$B$12)/Projects!$D$21*0.95,0)-IF(AND(Projects!$G$21="Yes",CX$3=Projects!$C$21+Projects!$D$21-1),Projects!$B$21*(Assumptions!$B$10+Assumptions!$B$11+Assumptions!$B$12)*0.05,0)</f>
        <v/>
      </c>
      <c r="CY30" s="399">
        <f>IF(AND(Projects!$G$21="Yes",CY$3&gt;=Projects!$C$21,CY$3&lt;Projects!$C$21+Projects!$D$21),Projects!$B$21*INDEX(Curves!$B$4:$AR$4,1,CY$3-Projects!$C$21+1),0)-IF(AND(Projects!$G$21="Yes",CY$3&gt;=Projects!$C$21,CY$3&lt;Projects!$C$21+Projects!$D$21),Projects!$B$21*(Assumptions!$B$10+Assumptions!$B$11+Assumptions!$B$12)/Projects!$D$21*0.95,0)-IF(AND(Projects!$G$21="Yes",CY$3=Projects!$C$21+Projects!$D$21-1),Projects!$B$21*(Assumptions!$B$10+Assumptions!$B$11+Assumptions!$B$12)*0.05,0)</f>
        <v/>
      </c>
      <c r="CZ30" s="399">
        <f>IF(AND(Projects!$G$21="Yes",CZ$3&gt;=Projects!$C$21,CZ$3&lt;Projects!$C$21+Projects!$D$21),Projects!$B$21*INDEX(Curves!$B$4:$AR$4,1,CZ$3-Projects!$C$21+1),0)-IF(AND(Projects!$G$21="Yes",CZ$3&gt;=Projects!$C$21,CZ$3&lt;Projects!$C$21+Projects!$D$21),Projects!$B$21*(Assumptions!$B$10+Assumptions!$B$11+Assumptions!$B$12)/Projects!$D$21*0.95,0)-IF(AND(Projects!$G$21="Yes",CZ$3=Projects!$C$21+Projects!$D$21-1),Projects!$B$21*(Assumptions!$B$10+Assumptions!$B$11+Assumptions!$B$12)*0.05,0)</f>
        <v/>
      </c>
      <c r="DA30" s="399">
        <f>IF(AND(Projects!$G$21="Yes",DA$3&gt;=Projects!$C$21,DA$3&lt;Projects!$C$21+Projects!$D$21),Projects!$B$21*INDEX(Curves!$B$4:$AR$4,1,DA$3-Projects!$C$21+1),0)-IF(AND(Projects!$G$21="Yes",DA$3&gt;=Projects!$C$21,DA$3&lt;Projects!$C$21+Projects!$D$21),Projects!$B$21*(Assumptions!$B$10+Assumptions!$B$11+Assumptions!$B$12)/Projects!$D$21*0.95,0)-IF(AND(Projects!$G$21="Yes",DA$3=Projects!$C$21+Projects!$D$21-1),Projects!$B$21*(Assumptions!$B$10+Assumptions!$B$11+Assumptions!$B$12)*0.05,0)</f>
        <v/>
      </c>
      <c r="DB30" s="399">
        <f>IF(AND(Projects!$G$21="Yes",DB$3&gt;=Projects!$C$21,DB$3&lt;Projects!$C$21+Projects!$D$21),Projects!$B$21*INDEX(Curves!$B$4:$AR$4,1,DB$3-Projects!$C$21+1),0)-IF(AND(Projects!$G$21="Yes",DB$3&gt;=Projects!$C$21,DB$3&lt;Projects!$C$21+Projects!$D$21),Projects!$B$21*(Assumptions!$B$10+Assumptions!$B$11+Assumptions!$B$12)/Projects!$D$21*0.95,0)-IF(AND(Projects!$G$21="Yes",DB$3=Projects!$C$21+Projects!$D$21-1),Projects!$B$21*(Assumptions!$B$10+Assumptions!$B$11+Assumptions!$B$12)*0.05,0)</f>
        <v/>
      </c>
      <c r="DC30" s="399">
        <f>IF(AND(Projects!$G$21="Yes",DC$3&gt;=Projects!$C$21,DC$3&lt;Projects!$C$21+Projects!$D$21),Projects!$B$21*INDEX(Curves!$B$4:$AR$4,1,DC$3-Projects!$C$21+1),0)-IF(AND(Projects!$G$21="Yes",DC$3&gt;=Projects!$C$21,DC$3&lt;Projects!$C$21+Projects!$D$21),Projects!$B$21*(Assumptions!$B$10+Assumptions!$B$11+Assumptions!$B$12)/Projects!$D$21*0.95,0)-IF(AND(Projects!$G$21="Yes",DC$3=Projects!$C$21+Projects!$D$21-1),Projects!$B$21*(Assumptions!$B$10+Assumptions!$B$11+Assumptions!$B$12)*0.05,0)</f>
        <v/>
      </c>
      <c r="DD30" s="399">
        <f>IF(AND(Projects!$G$21="Yes",DD$3&gt;=Projects!$C$21,DD$3&lt;Projects!$C$21+Projects!$D$21),Projects!$B$21*INDEX(Curves!$B$4:$AR$4,1,DD$3-Projects!$C$21+1),0)-IF(AND(Projects!$G$21="Yes",DD$3&gt;=Projects!$C$21,DD$3&lt;Projects!$C$21+Projects!$D$21),Projects!$B$21*(Assumptions!$B$10+Assumptions!$B$11+Assumptions!$B$12)/Projects!$D$21*0.95,0)-IF(AND(Projects!$G$21="Yes",DD$3=Projects!$C$21+Projects!$D$21-1),Projects!$B$21*(Assumptions!$B$10+Assumptions!$B$11+Assumptions!$B$12)*0.05,0)</f>
        <v/>
      </c>
      <c r="DE30" s="399">
        <f>IF(AND(Projects!$G$21="Yes",DE$3&gt;=Projects!$C$21,DE$3&lt;Projects!$C$21+Projects!$D$21),Projects!$B$21*INDEX(Curves!$B$4:$AR$4,1,DE$3-Projects!$C$21+1),0)-IF(AND(Projects!$G$21="Yes",DE$3&gt;=Projects!$C$21,DE$3&lt;Projects!$C$21+Projects!$D$21),Projects!$B$21*(Assumptions!$B$10+Assumptions!$B$11+Assumptions!$B$12)/Projects!$D$21*0.95,0)-IF(AND(Projects!$G$21="Yes",DE$3=Projects!$C$21+Projects!$D$21-1),Projects!$B$21*(Assumptions!$B$10+Assumptions!$B$11+Assumptions!$B$12)*0.05,0)</f>
        <v/>
      </c>
    </row>
    <row r="31" hidden="1" outlineLevel="1" ht="15" customFormat="1" customHeight="1" s="380">
      <c r="A31" s="407" t="inlineStr">
        <is>
          <t>BD-06</t>
        </is>
      </c>
      <c r="B31" s="399" t="n">
        <v>0</v>
      </c>
      <c r="C31" s="399" t="n">
        <v>0</v>
      </c>
      <c r="D31" s="399" t="n">
        <v>0</v>
      </c>
      <c r="E31" s="399" t="n">
        <v>0</v>
      </c>
      <c r="F31" s="399">
        <f>IF(AND(Projects!$G$22="Yes",F$3&gt;=Projects!$C$22,F$3&lt;Projects!$C$22+Projects!$D$22),Projects!$B$22*INDEX(Curves!$B$4:$AR$4,1,F$3-Projects!$C$22+1),0)-IF(AND(Projects!$G$22="Yes",F$3&gt;=Projects!$C$22,F$3&lt;Projects!$C$22+Projects!$D$22),Projects!$B$22*(Assumptions!$B$10+Assumptions!$B$11+Assumptions!$B$12)/Projects!$D$22*0.95,0)-IF(AND(Projects!$G$22="Yes",F$3=Projects!$C$22+Projects!$D$22-1),Projects!$B$22*(Assumptions!$B$10+Assumptions!$B$11+Assumptions!$B$12)*0.05,0)</f>
        <v/>
      </c>
      <c r="G31" s="399">
        <f>IF(AND(Projects!$G$22="Yes",G$3&gt;=Projects!$C$22,G$3&lt;Projects!$C$22+Projects!$D$22),Projects!$B$22*INDEX(Curves!$B$4:$AR$4,1,G$3-Projects!$C$22+1),0)-IF(AND(Projects!$G$22="Yes",G$3&gt;=Projects!$C$22,G$3&lt;Projects!$C$22+Projects!$D$22),Projects!$B$22*(Assumptions!$B$10+Assumptions!$B$11+Assumptions!$B$12)/Projects!$D$22*0.95,0)-IF(AND(Projects!$G$22="Yes",G$3=Projects!$C$22+Projects!$D$22-1),Projects!$B$22*(Assumptions!$B$10+Assumptions!$B$11+Assumptions!$B$12)*0.05,0)</f>
        <v/>
      </c>
      <c r="H31" s="399">
        <f>IF(AND(Projects!$G$22="Yes",H$3&gt;=Projects!$C$22,H$3&lt;Projects!$C$22+Projects!$D$22),Projects!$B$22*INDEX(Curves!$B$4:$AR$4,1,H$3-Projects!$C$22+1),0)-IF(AND(Projects!$G$22="Yes",H$3&gt;=Projects!$C$22,H$3&lt;Projects!$C$22+Projects!$D$22),Projects!$B$22*(Assumptions!$B$10+Assumptions!$B$11+Assumptions!$B$12)/Projects!$D$22*0.95,0)-IF(AND(Projects!$G$22="Yes",H$3=Projects!$C$22+Projects!$D$22-1),Projects!$B$22*(Assumptions!$B$10+Assumptions!$B$11+Assumptions!$B$12)*0.05,0)</f>
        <v/>
      </c>
      <c r="I31" s="399">
        <f>IF(AND(Projects!$G$22="Yes",I$3&gt;=Projects!$C$22,I$3&lt;Projects!$C$22+Projects!$D$22),Projects!$B$22*INDEX(Curves!$B$4:$AR$4,1,I$3-Projects!$C$22+1),0)-IF(AND(Projects!$G$22="Yes",I$3&gt;=Projects!$C$22,I$3&lt;Projects!$C$22+Projects!$D$22),Projects!$B$22*(Assumptions!$B$10+Assumptions!$B$11+Assumptions!$B$12)/Projects!$D$22*0.95,0)-IF(AND(Projects!$G$22="Yes",I$3=Projects!$C$22+Projects!$D$22-1),Projects!$B$22*(Assumptions!$B$10+Assumptions!$B$11+Assumptions!$B$12)*0.05,0)</f>
        <v/>
      </c>
      <c r="J31" s="399">
        <f>IF(AND(Projects!$G$22="Yes",J$3&gt;=Projects!$C$22,J$3&lt;Projects!$C$22+Projects!$D$22),Projects!$B$22*INDEX(Curves!$B$4:$AR$4,1,J$3-Projects!$C$22+1),0)-IF(AND(Projects!$G$22="Yes",J$3&gt;=Projects!$C$22,J$3&lt;Projects!$C$22+Projects!$D$22),Projects!$B$22*(Assumptions!$B$10+Assumptions!$B$11+Assumptions!$B$12)/Projects!$D$22*0.95,0)-IF(AND(Projects!$G$22="Yes",J$3=Projects!$C$22+Projects!$D$22-1),Projects!$B$22*(Assumptions!$B$10+Assumptions!$B$11+Assumptions!$B$12)*0.05,0)</f>
        <v/>
      </c>
      <c r="K31" s="399">
        <f>IF(AND(Projects!$G$22="Yes",K$3&gt;=Projects!$C$22,K$3&lt;Projects!$C$22+Projects!$D$22),Projects!$B$22*INDEX(Curves!$B$4:$AR$4,1,K$3-Projects!$C$22+1),0)-IF(AND(Projects!$G$22="Yes",K$3&gt;=Projects!$C$22,K$3&lt;Projects!$C$22+Projects!$D$22),Projects!$B$22*(Assumptions!$B$10+Assumptions!$B$11+Assumptions!$B$12)/Projects!$D$22*0.95,0)-IF(AND(Projects!$G$22="Yes",K$3=Projects!$C$22+Projects!$D$22-1),Projects!$B$22*(Assumptions!$B$10+Assumptions!$B$11+Assumptions!$B$12)*0.05,0)</f>
        <v/>
      </c>
      <c r="L31" s="399">
        <f>IF(AND(Projects!$G$22="Yes",L$3&gt;=Projects!$C$22,L$3&lt;Projects!$C$22+Projects!$D$22),Projects!$B$22*INDEX(Curves!$B$4:$AR$4,1,L$3-Projects!$C$22+1),0)-IF(AND(Projects!$G$22="Yes",L$3&gt;=Projects!$C$22,L$3&lt;Projects!$C$22+Projects!$D$22),Projects!$B$22*(Assumptions!$B$10+Assumptions!$B$11+Assumptions!$B$12)/Projects!$D$22*0.95,0)-IF(AND(Projects!$G$22="Yes",L$3=Projects!$C$22+Projects!$D$22-1),Projects!$B$22*(Assumptions!$B$10+Assumptions!$B$11+Assumptions!$B$12)*0.05,0)</f>
        <v/>
      </c>
      <c r="M31" s="399">
        <f>IF(AND(Projects!$G$22="Yes",M$3&gt;=Projects!$C$22,M$3&lt;Projects!$C$22+Projects!$D$22),Projects!$B$22*INDEX(Curves!$B$4:$AR$4,1,M$3-Projects!$C$22+1),0)-IF(AND(Projects!$G$22="Yes",M$3&gt;=Projects!$C$22,M$3&lt;Projects!$C$22+Projects!$D$22),Projects!$B$22*(Assumptions!$B$10+Assumptions!$B$11+Assumptions!$B$12)/Projects!$D$22*0.95,0)-IF(AND(Projects!$G$22="Yes",M$3=Projects!$C$22+Projects!$D$22-1),Projects!$B$22*(Assumptions!$B$10+Assumptions!$B$11+Assumptions!$B$12)*0.05,0)</f>
        <v/>
      </c>
      <c r="N31" s="399">
        <f>IF(AND(Projects!$G$22="Yes",N$3&gt;=Projects!$C$22,N$3&lt;Projects!$C$22+Projects!$D$22),Projects!$B$22*INDEX(Curves!$B$4:$AR$4,1,N$3-Projects!$C$22+1),0)-IF(AND(Projects!$G$22="Yes",N$3&gt;=Projects!$C$22,N$3&lt;Projects!$C$22+Projects!$D$22),Projects!$B$22*(Assumptions!$B$10+Assumptions!$B$11+Assumptions!$B$12)/Projects!$D$22*0.95,0)-IF(AND(Projects!$G$22="Yes",N$3=Projects!$C$22+Projects!$D$22-1),Projects!$B$22*(Assumptions!$B$10+Assumptions!$B$11+Assumptions!$B$12)*0.05,0)</f>
        <v/>
      </c>
      <c r="O31" s="399">
        <f>IF(AND(Projects!$G$22="Yes",O$3&gt;=Projects!$C$22,O$3&lt;Projects!$C$22+Projects!$D$22),Projects!$B$22*INDEX(Curves!$B$4:$AR$4,1,O$3-Projects!$C$22+1),0)-IF(AND(Projects!$G$22="Yes",O$3&gt;=Projects!$C$22,O$3&lt;Projects!$C$22+Projects!$D$22),Projects!$B$22*(Assumptions!$B$10+Assumptions!$B$11+Assumptions!$B$12)/Projects!$D$22*0.95,0)-IF(AND(Projects!$G$22="Yes",O$3=Projects!$C$22+Projects!$D$22-1),Projects!$B$22*(Assumptions!$B$10+Assumptions!$B$11+Assumptions!$B$12)*0.05,0)</f>
        <v/>
      </c>
      <c r="P31" s="399">
        <f>IF(AND(Projects!$G$22="Yes",P$3&gt;=Projects!$C$22,P$3&lt;Projects!$C$22+Projects!$D$22),Projects!$B$22*INDEX(Curves!$B$4:$AR$4,1,P$3-Projects!$C$22+1),0)-IF(AND(Projects!$G$22="Yes",P$3&gt;=Projects!$C$22,P$3&lt;Projects!$C$22+Projects!$D$22),Projects!$B$22*(Assumptions!$B$10+Assumptions!$B$11+Assumptions!$B$12)/Projects!$D$22*0.95,0)-IF(AND(Projects!$G$22="Yes",P$3=Projects!$C$22+Projects!$D$22-1),Projects!$B$22*(Assumptions!$B$10+Assumptions!$B$11+Assumptions!$B$12)*0.05,0)</f>
        <v/>
      </c>
      <c r="Q31" s="399">
        <f>IF(AND(Projects!$G$22="Yes",Q$3&gt;=Projects!$C$22,Q$3&lt;Projects!$C$22+Projects!$D$22),Projects!$B$22*INDEX(Curves!$B$4:$AR$4,1,Q$3-Projects!$C$22+1),0)-IF(AND(Projects!$G$22="Yes",Q$3&gt;=Projects!$C$22,Q$3&lt;Projects!$C$22+Projects!$D$22),Projects!$B$22*(Assumptions!$B$10+Assumptions!$B$11+Assumptions!$B$12)/Projects!$D$22*0.95,0)-IF(AND(Projects!$G$22="Yes",Q$3=Projects!$C$22+Projects!$D$22-1),Projects!$B$22*(Assumptions!$B$10+Assumptions!$B$11+Assumptions!$B$12)*0.05,0)</f>
        <v/>
      </c>
      <c r="R31" s="399">
        <f>IF(AND(Projects!$G$22="Yes",R$3&gt;=Projects!$C$22,R$3&lt;Projects!$C$22+Projects!$D$22),Projects!$B$22*INDEX(Curves!$B$4:$AR$4,1,R$3-Projects!$C$22+1),0)-IF(AND(Projects!$G$22="Yes",R$3&gt;=Projects!$C$22,R$3&lt;Projects!$C$22+Projects!$D$22),Projects!$B$22*(Assumptions!$B$10+Assumptions!$B$11+Assumptions!$B$12)/Projects!$D$22*0.95,0)-IF(AND(Projects!$G$22="Yes",R$3=Projects!$C$22+Projects!$D$22-1),Projects!$B$22*(Assumptions!$B$10+Assumptions!$B$11+Assumptions!$B$12)*0.05,0)</f>
        <v/>
      </c>
      <c r="S31" s="399">
        <f>IF(AND(Projects!$G$22="Yes",S$3&gt;=Projects!$C$22,S$3&lt;Projects!$C$22+Projects!$D$22),Projects!$B$22*INDEX(Curves!$B$4:$AR$4,1,S$3-Projects!$C$22+1),0)-IF(AND(Projects!$G$22="Yes",S$3&gt;=Projects!$C$22,S$3&lt;Projects!$C$22+Projects!$D$22),Projects!$B$22*(Assumptions!$B$10+Assumptions!$B$11+Assumptions!$B$12)/Projects!$D$22*0.95,0)-IF(AND(Projects!$G$22="Yes",S$3=Projects!$C$22+Projects!$D$22-1),Projects!$B$22*(Assumptions!$B$10+Assumptions!$B$11+Assumptions!$B$12)*0.05,0)</f>
        <v/>
      </c>
      <c r="T31" s="399">
        <f>IF(AND(Projects!$G$22="Yes",T$3&gt;=Projects!$C$22,T$3&lt;Projects!$C$22+Projects!$D$22),Projects!$B$22*INDEX(Curves!$B$4:$AR$4,1,T$3-Projects!$C$22+1),0)-IF(AND(Projects!$G$22="Yes",T$3&gt;=Projects!$C$22,T$3&lt;Projects!$C$22+Projects!$D$22),Projects!$B$22*(Assumptions!$B$10+Assumptions!$B$11+Assumptions!$B$12)/Projects!$D$22*0.95,0)-IF(AND(Projects!$G$22="Yes",T$3=Projects!$C$22+Projects!$D$22-1),Projects!$B$22*(Assumptions!$B$10+Assumptions!$B$11+Assumptions!$B$12)*0.05,0)</f>
        <v/>
      </c>
      <c r="U31" s="399">
        <f>IF(AND(Projects!$G$22="Yes",U$3&gt;=Projects!$C$22,U$3&lt;Projects!$C$22+Projects!$D$22),Projects!$B$22*INDEX(Curves!$B$4:$AR$4,1,U$3-Projects!$C$22+1),0)-IF(AND(Projects!$G$22="Yes",U$3&gt;=Projects!$C$22,U$3&lt;Projects!$C$22+Projects!$D$22),Projects!$B$22*(Assumptions!$B$10+Assumptions!$B$11+Assumptions!$B$12)/Projects!$D$22*0.95,0)-IF(AND(Projects!$G$22="Yes",U$3=Projects!$C$22+Projects!$D$22-1),Projects!$B$22*(Assumptions!$B$10+Assumptions!$B$11+Assumptions!$B$12)*0.05,0)</f>
        <v/>
      </c>
      <c r="V31" s="399">
        <f>IF(AND(Projects!$G$22="Yes",V$3&gt;=Projects!$C$22,V$3&lt;Projects!$C$22+Projects!$D$22),Projects!$B$22*INDEX(Curves!$B$4:$AR$4,1,V$3-Projects!$C$22+1),0)-IF(AND(Projects!$G$22="Yes",V$3&gt;=Projects!$C$22,V$3&lt;Projects!$C$22+Projects!$D$22),Projects!$B$22*(Assumptions!$B$10+Assumptions!$B$11+Assumptions!$B$12)/Projects!$D$22*0.95,0)-IF(AND(Projects!$G$22="Yes",V$3=Projects!$C$22+Projects!$D$22-1),Projects!$B$22*(Assumptions!$B$10+Assumptions!$B$11+Assumptions!$B$12)*0.05,0)</f>
        <v/>
      </c>
      <c r="W31" s="399">
        <f>IF(AND(Projects!$G$22="Yes",W$3&gt;=Projects!$C$22,W$3&lt;Projects!$C$22+Projects!$D$22),Projects!$B$22*INDEX(Curves!$B$4:$AR$4,1,W$3-Projects!$C$22+1),0)-IF(AND(Projects!$G$22="Yes",W$3&gt;=Projects!$C$22,W$3&lt;Projects!$C$22+Projects!$D$22),Projects!$B$22*(Assumptions!$B$10+Assumptions!$B$11+Assumptions!$B$12)/Projects!$D$22*0.95,0)-IF(AND(Projects!$G$22="Yes",W$3=Projects!$C$22+Projects!$D$22-1),Projects!$B$22*(Assumptions!$B$10+Assumptions!$B$11+Assumptions!$B$12)*0.05,0)</f>
        <v/>
      </c>
      <c r="X31" s="399">
        <f>IF(AND(Projects!$G$22="Yes",X$3&gt;=Projects!$C$22,X$3&lt;Projects!$C$22+Projects!$D$22),Projects!$B$22*INDEX(Curves!$B$4:$AR$4,1,X$3-Projects!$C$22+1),0)-IF(AND(Projects!$G$22="Yes",X$3&gt;=Projects!$C$22,X$3&lt;Projects!$C$22+Projects!$D$22),Projects!$B$22*(Assumptions!$B$10+Assumptions!$B$11+Assumptions!$B$12)/Projects!$D$22*0.95,0)-IF(AND(Projects!$G$22="Yes",X$3=Projects!$C$22+Projects!$D$22-1),Projects!$B$22*(Assumptions!$B$10+Assumptions!$B$11+Assumptions!$B$12)*0.05,0)</f>
        <v/>
      </c>
      <c r="Y31" s="399">
        <f>IF(AND(Projects!$G$22="Yes",Y$3&gt;=Projects!$C$22,Y$3&lt;Projects!$C$22+Projects!$D$22),Projects!$B$22*INDEX(Curves!$B$4:$AR$4,1,Y$3-Projects!$C$22+1),0)-IF(AND(Projects!$G$22="Yes",Y$3&gt;=Projects!$C$22,Y$3&lt;Projects!$C$22+Projects!$D$22),Projects!$B$22*(Assumptions!$B$10+Assumptions!$B$11+Assumptions!$B$12)/Projects!$D$22*0.95,0)-IF(AND(Projects!$G$22="Yes",Y$3=Projects!$C$22+Projects!$D$22-1),Projects!$B$22*(Assumptions!$B$10+Assumptions!$B$11+Assumptions!$B$12)*0.05,0)</f>
        <v/>
      </c>
      <c r="Z31" s="399">
        <f>IF(AND(Projects!$G$22="Yes",Z$3&gt;=Projects!$C$22,Z$3&lt;Projects!$C$22+Projects!$D$22),Projects!$B$22*INDEX(Curves!$B$4:$AR$4,1,Z$3-Projects!$C$22+1),0)-IF(AND(Projects!$G$22="Yes",Z$3&gt;=Projects!$C$22,Z$3&lt;Projects!$C$22+Projects!$D$22),Projects!$B$22*(Assumptions!$B$10+Assumptions!$B$11+Assumptions!$B$12)/Projects!$D$22*0.95,0)-IF(AND(Projects!$G$22="Yes",Z$3=Projects!$C$22+Projects!$D$22-1),Projects!$B$22*(Assumptions!$B$10+Assumptions!$B$11+Assumptions!$B$12)*0.05,0)</f>
        <v/>
      </c>
      <c r="AA31" s="399">
        <f>IF(AND(Projects!$G$22="Yes",AA$3&gt;=Projects!$C$22,AA$3&lt;Projects!$C$22+Projects!$D$22),Projects!$B$22*INDEX(Curves!$B$4:$AR$4,1,AA$3-Projects!$C$22+1),0)-IF(AND(Projects!$G$22="Yes",AA$3&gt;=Projects!$C$22,AA$3&lt;Projects!$C$22+Projects!$D$22),Projects!$B$22*(Assumptions!$B$10+Assumptions!$B$11+Assumptions!$B$12)/Projects!$D$22*0.95,0)-IF(AND(Projects!$G$22="Yes",AA$3=Projects!$C$22+Projects!$D$22-1),Projects!$B$22*(Assumptions!$B$10+Assumptions!$B$11+Assumptions!$B$12)*0.05,0)</f>
        <v/>
      </c>
      <c r="AB31" s="399">
        <f>IF(AND(Projects!$G$22="Yes",AB$3&gt;=Projects!$C$22,AB$3&lt;Projects!$C$22+Projects!$D$22),Projects!$B$22*INDEX(Curves!$B$4:$AR$4,1,AB$3-Projects!$C$22+1),0)-IF(AND(Projects!$G$22="Yes",AB$3&gt;=Projects!$C$22,AB$3&lt;Projects!$C$22+Projects!$D$22),Projects!$B$22*(Assumptions!$B$10+Assumptions!$B$11+Assumptions!$B$12)/Projects!$D$22*0.95,0)-IF(AND(Projects!$G$22="Yes",AB$3=Projects!$C$22+Projects!$D$22-1),Projects!$B$22*(Assumptions!$B$10+Assumptions!$B$11+Assumptions!$B$12)*0.05,0)</f>
        <v/>
      </c>
      <c r="AC31" s="399">
        <f>IF(AND(Projects!$G$22="Yes",AC$3&gt;=Projects!$C$22,AC$3&lt;Projects!$C$22+Projects!$D$22),Projects!$B$22*INDEX(Curves!$B$4:$AR$4,1,AC$3-Projects!$C$22+1),0)-IF(AND(Projects!$G$22="Yes",AC$3&gt;=Projects!$C$22,AC$3&lt;Projects!$C$22+Projects!$D$22),Projects!$B$22*(Assumptions!$B$10+Assumptions!$B$11+Assumptions!$B$12)/Projects!$D$22*0.95,0)-IF(AND(Projects!$G$22="Yes",AC$3=Projects!$C$22+Projects!$D$22-1),Projects!$B$22*(Assumptions!$B$10+Assumptions!$B$11+Assumptions!$B$12)*0.05,0)</f>
        <v/>
      </c>
      <c r="AD31" s="399">
        <f>IF(AND(Projects!$G$22="Yes",AD$3&gt;=Projects!$C$22,AD$3&lt;Projects!$C$22+Projects!$D$22),Projects!$B$22*INDEX(Curves!$B$4:$AR$4,1,AD$3-Projects!$C$22+1),0)-IF(AND(Projects!$G$22="Yes",AD$3&gt;=Projects!$C$22,AD$3&lt;Projects!$C$22+Projects!$D$22),Projects!$B$22*(Assumptions!$B$10+Assumptions!$B$11+Assumptions!$B$12)/Projects!$D$22*0.95,0)-IF(AND(Projects!$G$22="Yes",AD$3=Projects!$C$22+Projects!$D$22-1),Projects!$B$22*(Assumptions!$B$10+Assumptions!$B$11+Assumptions!$B$12)*0.05,0)</f>
        <v/>
      </c>
      <c r="AE31" s="399">
        <f>IF(AND(Projects!$G$22="Yes",AE$3&gt;=Projects!$C$22,AE$3&lt;Projects!$C$22+Projects!$D$22),Projects!$B$22*INDEX(Curves!$B$4:$AR$4,1,AE$3-Projects!$C$22+1),0)-IF(AND(Projects!$G$22="Yes",AE$3&gt;=Projects!$C$22,AE$3&lt;Projects!$C$22+Projects!$D$22),Projects!$B$22*(Assumptions!$B$10+Assumptions!$B$11+Assumptions!$B$12)/Projects!$D$22*0.95,0)-IF(AND(Projects!$G$22="Yes",AE$3=Projects!$C$22+Projects!$D$22-1),Projects!$B$22*(Assumptions!$B$10+Assumptions!$B$11+Assumptions!$B$12)*0.05,0)</f>
        <v/>
      </c>
      <c r="AF31" s="399">
        <f>IF(AND(Projects!$G$22="Yes",AF$3&gt;=Projects!$C$22,AF$3&lt;Projects!$C$22+Projects!$D$22),Projects!$B$22*INDEX(Curves!$B$4:$AR$4,1,AF$3-Projects!$C$22+1),0)-IF(AND(Projects!$G$22="Yes",AF$3&gt;=Projects!$C$22,AF$3&lt;Projects!$C$22+Projects!$D$22),Projects!$B$22*(Assumptions!$B$10+Assumptions!$B$11+Assumptions!$B$12)/Projects!$D$22*0.95,0)-IF(AND(Projects!$G$22="Yes",AF$3=Projects!$C$22+Projects!$D$22-1),Projects!$B$22*(Assumptions!$B$10+Assumptions!$B$11+Assumptions!$B$12)*0.05,0)</f>
        <v/>
      </c>
      <c r="AG31" s="399">
        <f>IF(AND(Projects!$G$22="Yes",AG$3&gt;=Projects!$C$22,AG$3&lt;Projects!$C$22+Projects!$D$22),Projects!$B$22*INDEX(Curves!$B$4:$AR$4,1,AG$3-Projects!$C$22+1),0)-IF(AND(Projects!$G$22="Yes",AG$3&gt;=Projects!$C$22,AG$3&lt;Projects!$C$22+Projects!$D$22),Projects!$B$22*(Assumptions!$B$10+Assumptions!$B$11+Assumptions!$B$12)/Projects!$D$22*0.95,0)-IF(AND(Projects!$G$22="Yes",AG$3=Projects!$C$22+Projects!$D$22-1),Projects!$B$22*(Assumptions!$B$10+Assumptions!$B$11+Assumptions!$B$12)*0.05,0)</f>
        <v/>
      </c>
      <c r="AH31" s="399">
        <f>IF(AND(Projects!$G$22="Yes",AH$3&gt;=Projects!$C$22,AH$3&lt;Projects!$C$22+Projects!$D$22),Projects!$B$22*INDEX(Curves!$B$4:$AR$4,1,AH$3-Projects!$C$22+1),0)-IF(AND(Projects!$G$22="Yes",AH$3&gt;=Projects!$C$22,AH$3&lt;Projects!$C$22+Projects!$D$22),Projects!$B$22*(Assumptions!$B$10+Assumptions!$B$11+Assumptions!$B$12)/Projects!$D$22*0.95,0)-IF(AND(Projects!$G$22="Yes",AH$3=Projects!$C$22+Projects!$D$22-1),Projects!$B$22*(Assumptions!$B$10+Assumptions!$B$11+Assumptions!$B$12)*0.05,0)</f>
        <v/>
      </c>
      <c r="AI31" s="399">
        <f>IF(AND(Projects!$G$22="Yes",AI$3&gt;=Projects!$C$22,AI$3&lt;Projects!$C$22+Projects!$D$22),Projects!$B$22*INDEX(Curves!$B$4:$AR$4,1,AI$3-Projects!$C$22+1),0)-IF(AND(Projects!$G$22="Yes",AI$3&gt;=Projects!$C$22,AI$3&lt;Projects!$C$22+Projects!$D$22),Projects!$B$22*(Assumptions!$B$10+Assumptions!$B$11+Assumptions!$B$12)/Projects!$D$22*0.95,0)-IF(AND(Projects!$G$22="Yes",AI$3=Projects!$C$22+Projects!$D$22-1),Projects!$B$22*(Assumptions!$B$10+Assumptions!$B$11+Assumptions!$B$12)*0.05,0)</f>
        <v/>
      </c>
      <c r="AJ31" s="399">
        <f>IF(AND(Projects!$G$22="Yes",AJ$3&gt;=Projects!$C$22,AJ$3&lt;Projects!$C$22+Projects!$D$22),Projects!$B$22*INDEX(Curves!$B$4:$AR$4,1,AJ$3-Projects!$C$22+1),0)-IF(AND(Projects!$G$22="Yes",AJ$3&gt;=Projects!$C$22,AJ$3&lt;Projects!$C$22+Projects!$D$22),Projects!$B$22*(Assumptions!$B$10+Assumptions!$B$11+Assumptions!$B$12)/Projects!$D$22*0.95,0)-IF(AND(Projects!$G$22="Yes",AJ$3=Projects!$C$22+Projects!$D$22-1),Projects!$B$22*(Assumptions!$B$10+Assumptions!$B$11+Assumptions!$B$12)*0.05,0)</f>
        <v/>
      </c>
      <c r="AK31" s="399">
        <f>IF(AND(Projects!$G$22="Yes",AK$3&gt;=Projects!$C$22,AK$3&lt;Projects!$C$22+Projects!$D$22),Projects!$B$22*INDEX(Curves!$B$4:$AR$4,1,AK$3-Projects!$C$22+1),0)-IF(AND(Projects!$G$22="Yes",AK$3&gt;=Projects!$C$22,AK$3&lt;Projects!$C$22+Projects!$D$22),Projects!$B$22*(Assumptions!$B$10+Assumptions!$B$11+Assumptions!$B$12)/Projects!$D$22*0.95,0)-IF(AND(Projects!$G$22="Yes",AK$3=Projects!$C$22+Projects!$D$22-1),Projects!$B$22*(Assumptions!$B$10+Assumptions!$B$11+Assumptions!$B$12)*0.05,0)</f>
        <v/>
      </c>
      <c r="AL31" s="399">
        <f>IF(AND(Projects!$G$22="Yes",AL$3&gt;=Projects!$C$22,AL$3&lt;Projects!$C$22+Projects!$D$22),Projects!$B$22*INDEX(Curves!$B$4:$AR$4,1,AL$3-Projects!$C$22+1),0)-IF(AND(Projects!$G$22="Yes",AL$3&gt;=Projects!$C$22,AL$3&lt;Projects!$C$22+Projects!$D$22),Projects!$B$22*(Assumptions!$B$10+Assumptions!$B$11+Assumptions!$B$12)/Projects!$D$22*0.95,0)-IF(AND(Projects!$G$22="Yes",AL$3=Projects!$C$22+Projects!$D$22-1),Projects!$B$22*(Assumptions!$B$10+Assumptions!$B$11+Assumptions!$B$12)*0.05,0)</f>
        <v/>
      </c>
      <c r="AM31" s="399">
        <f>IF(AND(Projects!$G$22="Yes",AM$3&gt;=Projects!$C$22,AM$3&lt;Projects!$C$22+Projects!$D$22),Projects!$B$22*INDEX(Curves!$B$4:$AR$4,1,AM$3-Projects!$C$22+1),0)-IF(AND(Projects!$G$22="Yes",AM$3&gt;=Projects!$C$22,AM$3&lt;Projects!$C$22+Projects!$D$22),Projects!$B$22*(Assumptions!$B$10+Assumptions!$B$11+Assumptions!$B$12)/Projects!$D$22*0.95,0)-IF(AND(Projects!$G$22="Yes",AM$3=Projects!$C$22+Projects!$D$22-1),Projects!$B$22*(Assumptions!$B$10+Assumptions!$B$11+Assumptions!$B$12)*0.05,0)</f>
        <v/>
      </c>
      <c r="AN31" s="399">
        <f>IF(AND(Projects!$G$22="Yes",AN$3&gt;=Projects!$C$22,AN$3&lt;Projects!$C$22+Projects!$D$22),Projects!$B$22*INDEX(Curves!$B$4:$AR$4,1,AN$3-Projects!$C$22+1),0)-IF(AND(Projects!$G$22="Yes",AN$3&gt;=Projects!$C$22,AN$3&lt;Projects!$C$22+Projects!$D$22),Projects!$B$22*(Assumptions!$B$10+Assumptions!$B$11+Assumptions!$B$12)/Projects!$D$22*0.95,0)-IF(AND(Projects!$G$22="Yes",AN$3=Projects!$C$22+Projects!$D$22-1),Projects!$B$22*(Assumptions!$B$10+Assumptions!$B$11+Assumptions!$B$12)*0.05,0)</f>
        <v/>
      </c>
      <c r="AO31" s="399">
        <f>IF(AND(Projects!$G$22="Yes",AO$3&gt;=Projects!$C$22,AO$3&lt;Projects!$C$22+Projects!$D$22),Projects!$B$22*INDEX(Curves!$B$4:$AR$4,1,AO$3-Projects!$C$22+1),0)-IF(AND(Projects!$G$22="Yes",AO$3&gt;=Projects!$C$22,AO$3&lt;Projects!$C$22+Projects!$D$22),Projects!$B$22*(Assumptions!$B$10+Assumptions!$B$11+Assumptions!$B$12)/Projects!$D$22*0.95,0)-IF(AND(Projects!$G$22="Yes",AO$3=Projects!$C$22+Projects!$D$22-1),Projects!$B$22*(Assumptions!$B$10+Assumptions!$B$11+Assumptions!$B$12)*0.05,0)</f>
        <v/>
      </c>
      <c r="AP31" s="399">
        <f>IF(AND(Projects!$G$22="Yes",AP$3&gt;=Projects!$C$22,AP$3&lt;Projects!$C$22+Projects!$D$22),Projects!$B$22*INDEX(Curves!$B$4:$AR$4,1,AP$3-Projects!$C$22+1),0)-IF(AND(Projects!$G$22="Yes",AP$3&gt;=Projects!$C$22,AP$3&lt;Projects!$C$22+Projects!$D$22),Projects!$B$22*(Assumptions!$B$10+Assumptions!$B$11+Assumptions!$B$12)/Projects!$D$22*0.95,0)-IF(AND(Projects!$G$22="Yes",AP$3=Projects!$C$22+Projects!$D$22-1),Projects!$B$22*(Assumptions!$B$10+Assumptions!$B$11+Assumptions!$B$12)*0.05,0)</f>
        <v/>
      </c>
      <c r="AQ31" s="399">
        <f>IF(AND(Projects!$G$22="Yes",AQ$3&gt;=Projects!$C$22,AQ$3&lt;Projects!$C$22+Projects!$D$22),Projects!$B$22*INDEX(Curves!$B$4:$AR$4,1,AQ$3-Projects!$C$22+1),0)-IF(AND(Projects!$G$22="Yes",AQ$3&gt;=Projects!$C$22,AQ$3&lt;Projects!$C$22+Projects!$D$22),Projects!$B$22*(Assumptions!$B$10+Assumptions!$B$11+Assumptions!$B$12)/Projects!$D$22*0.95,0)-IF(AND(Projects!$G$22="Yes",AQ$3=Projects!$C$22+Projects!$D$22-1),Projects!$B$22*(Assumptions!$B$10+Assumptions!$B$11+Assumptions!$B$12)*0.05,0)</f>
        <v/>
      </c>
      <c r="AR31" s="399">
        <f>IF(AND(Projects!$G$22="Yes",AR$3&gt;=Projects!$C$22,AR$3&lt;Projects!$C$22+Projects!$D$22),Projects!$B$22*INDEX(Curves!$B$4:$AR$4,1,AR$3-Projects!$C$22+1),0)-IF(AND(Projects!$G$22="Yes",AR$3&gt;=Projects!$C$22,AR$3&lt;Projects!$C$22+Projects!$D$22),Projects!$B$22*(Assumptions!$B$10+Assumptions!$B$11+Assumptions!$B$12)/Projects!$D$22*0.95,0)-IF(AND(Projects!$G$22="Yes",AR$3=Projects!$C$22+Projects!$D$22-1),Projects!$B$22*(Assumptions!$B$10+Assumptions!$B$11+Assumptions!$B$12)*0.05,0)</f>
        <v/>
      </c>
      <c r="AS31" s="399">
        <f>IF(AND(Projects!$G$22="Yes",AS$3&gt;=Projects!$C$22,AS$3&lt;Projects!$C$22+Projects!$D$22),Projects!$B$22*INDEX(Curves!$B$4:$AR$4,1,AS$3-Projects!$C$22+1),0)-IF(AND(Projects!$G$22="Yes",AS$3&gt;=Projects!$C$22,AS$3&lt;Projects!$C$22+Projects!$D$22),Projects!$B$22*(Assumptions!$B$10+Assumptions!$B$11+Assumptions!$B$12)/Projects!$D$22*0.95,0)-IF(AND(Projects!$G$22="Yes",AS$3=Projects!$C$22+Projects!$D$22-1),Projects!$B$22*(Assumptions!$B$10+Assumptions!$B$11+Assumptions!$B$12)*0.05,0)</f>
        <v/>
      </c>
      <c r="AT31" s="399">
        <f>IF(AND(Projects!$G$22="Yes",AT$3&gt;=Projects!$C$22,AT$3&lt;Projects!$C$22+Projects!$D$22),Projects!$B$22*INDEX(Curves!$B$4:$AR$4,1,AT$3-Projects!$C$22+1),0)-IF(AND(Projects!$G$22="Yes",AT$3&gt;=Projects!$C$22,AT$3&lt;Projects!$C$22+Projects!$D$22),Projects!$B$22*(Assumptions!$B$10+Assumptions!$B$11+Assumptions!$B$12)/Projects!$D$22*0.95,0)-IF(AND(Projects!$G$22="Yes",AT$3=Projects!$C$22+Projects!$D$22-1),Projects!$B$22*(Assumptions!$B$10+Assumptions!$B$11+Assumptions!$B$12)*0.05,0)</f>
        <v/>
      </c>
      <c r="AU31" s="399">
        <f>IF(AND(Projects!$G$22="Yes",AU$3&gt;=Projects!$C$22,AU$3&lt;Projects!$C$22+Projects!$D$22),Projects!$B$22*INDEX(Curves!$B$4:$AR$4,1,AU$3-Projects!$C$22+1),0)-IF(AND(Projects!$G$22="Yes",AU$3&gt;=Projects!$C$22,AU$3&lt;Projects!$C$22+Projects!$D$22),Projects!$B$22*(Assumptions!$B$10+Assumptions!$B$11+Assumptions!$B$12)/Projects!$D$22*0.95,0)-IF(AND(Projects!$G$22="Yes",AU$3=Projects!$C$22+Projects!$D$22-1),Projects!$B$22*(Assumptions!$B$10+Assumptions!$B$11+Assumptions!$B$12)*0.05,0)</f>
        <v/>
      </c>
      <c r="AV31" s="399">
        <f>IF(AND(Projects!$G$22="Yes",AV$3&gt;=Projects!$C$22,AV$3&lt;Projects!$C$22+Projects!$D$22),Projects!$B$22*INDEX(Curves!$B$4:$AR$4,1,AV$3-Projects!$C$22+1),0)-IF(AND(Projects!$G$22="Yes",AV$3&gt;=Projects!$C$22,AV$3&lt;Projects!$C$22+Projects!$D$22),Projects!$B$22*(Assumptions!$B$10+Assumptions!$B$11+Assumptions!$B$12)/Projects!$D$22*0.95,0)-IF(AND(Projects!$G$22="Yes",AV$3=Projects!$C$22+Projects!$D$22-1),Projects!$B$22*(Assumptions!$B$10+Assumptions!$B$11+Assumptions!$B$12)*0.05,0)</f>
        <v/>
      </c>
      <c r="AW31" s="399">
        <f>IF(AND(Projects!$G$22="Yes",AW$3&gt;=Projects!$C$22,AW$3&lt;Projects!$C$22+Projects!$D$22),Projects!$B$22*INDEX(Curves!$B$4:$AR$4,1,AW$3-Projects!$C$22+1),0)-IF(AND(Projects!$G$22="Yes",AW$3&gt;=Projects!$C$22,AW$3&lt;Projects!$C$22+Projects!$D$22),Projects!$B$22*(Assumptions!$B$10+Assumptions!$B$11+Assumptions!$B$12)/Projects!$D$22*0.95,0)-IF(AND(Projects!$G$22="Yes",AW$3=Projects!$C$22+Projects!$D$22-1),Projects!$B$22*(Assumptions!$B$10+Assumptions!$B$11+Assumptions!$B$12)*0.05,0)</f>
        <v/>
      </c>
      <c r="AX31" s="399">
        <f>IF(AND(Projects!$G$22="Yes",AX$3&gt;=Projects!$C$22,AX$3&lt;Projects!$C$22+Projects!$D$22),Projects!$B$22*INDEX(Curves!$B$4:$AR$4,1,AX$3-Projects!$C$22+1),0)-IF(AND(Projects!$G$22="Yes",AX$3&gt;=Projects!$C$22,AX$3&lt;Projects!$C$22+Projects!$D$22),Projects!$B$22*(Assumptions!$B$10+Assumptions!$B$11+Assumptions!$B$12)/Projects!$D$22*0.95,0)-IF(AND(Projects!$G$22="Yes",AX$3=Projects!$C$22+Projects!$D$22-1),Projects!$B$22*(Assumptions!$B$10+Assumptions!$B$11+Assumptions!$B$12)*0.05,0)</f>
        <v/>
      </c>
      <c r="AY31" s="399">
        <f>IF(AND(Projects!$G$22="Yes",AY$3&gt;=Projects!$C$22,AY$3&lt;Projects!$C$22+Projects!$D$22),Projects!$B$22*INDEX(Curves!$B$4:$AR$4,1,AY$3-Projects!$C$22+1),0)-IF(AND(Projects!$G$22="Yes",AY$3&gt;=Projects!$C$22,AY$3&lt;Projects!$C$22+Projects!$D$22),Projects!$B$22*(Assumptions!$B$10+Assumptions!$B$11+Assumptions!$B$12)/Projects!$D$22*0.95,0)-IF(AND(Projects!$G$22="Yes",AY$3=Projects!$C$22+Projects!$D$22-1),Projects!$B$22*(Assumptions!$B$10+Assumptions!$B$11+Assumptions!$B$12)*0.05,0)</f>
        <v/>
      </c>
      <c r="AZ31" s="399">
        <f>IF(AND(Projects!$G$22="Yes",AZ$3&gt;=Projects!$C$22,AZ$3&lt;Projects!$C$22+Projects!$D$22),Projects!$B$22*INDEX(Curves!$B$4:$AR$4,1,AZ$3-Projects!$C$22+1),0)-IF(AND(Projects!$G$22="Yes",AZ$3&gt;=Projects!$C$22,AZ$3&lt;Projects!$C$22+Projects!$D$22),Projects!$B$22*(Assumptions!$B$10+Assumptions!$B$11+Assumptions!$B$12)/Projects!$D$22*0.95,0)-IF(AND(Projects!$G$22="Yes",AZ$3=Projects!$C$22+Projects!$D$22-1),Projects!$B$22*(Assumptions!$B$10+Assumptions!$B$11+Assumptions!$B$12)*0.05,0)</f>
        <v/>
      </c>
      <c r="BA31" s="399">
        <f>IF(AND(Projects!$G$22="Yes",BA$3&gt;=Projects!$C$22,BA$3&lt;Projects!$C$22+Projects!$D$22),Projects!$B$22*INDEX(Curves!$B$4:$AR$4,1,BA$3-Projects!$C$22+1),0)-IF(AND(Projects!$G$22="Yes",BA$3&gt;=Projects!$C$22,BA$3&lt;Projects!$C$22+Projects!$D$22),Projects!$B$22*(Assumptions!$B$10+Assumptions!$B$11+Assumptions!$B$12)/Projects!$D$22*0.95,0)-IF(AND(Projects!$G$22="Yes",BA$3=Projects!$C$22+Projects!$D$22-1),Projects!$B$22*(Assumptions!$B$10+Assumptions!$B$11+Assumptions!$B$12)*0.05,0)</f>
        <v/>
      </c>
      <c r="BB31" s="399">
        <f>IF(AND(Projects!$G$22="Yes",BB$3&gt;=Projects!$C$22,BB$3&lt;Projects!$C$22+Projects!$D$22),Projects!$B$22*INDEX(Curves!$B$4:$AR$4,1,BB$3-Projects!$C$22+1),0)-IF(AND(Projects!$G$22="Yes",BB$3&gt;=Projects!$C$22,BB$3&lt;Projects!$C$22+Projects!$D$22),Projects!$B$22*(Assumptions!$B$10+Assumptions!$B$11+Assumptions!$B$12)/Projects!$D$22*0.95,0)-IF(AND(Projects!$G$22="Yes",BB$3=Projects!$C$22+Projects!$D$22-1),Projects!$B$22*(Assumptions!$B$10+Assumptions!$B$11+Assumptions!$B$12)*0.05,0)</f>
        <v/>
      </c>
      <c r="BC31" s="399">
        <f>IF(AND(Projects!$G$22="Yes",BC$3&gt;=Projects!$C$22,BC$3&lt;Projects!$C$22+Projects!$D$22),Projects!$B$22*INDEX(Curves!$B$4:$AR$4,1,BC$3-Projects!$C$22+1),0)-IF(AND(Projects!$G$22="Yes",BC$3&gt;=Projects!$C$22,BC$3&lt;Projects!$C$22+Projects!$D$22),Projects!$B$22*(Assumptions!$B$10+Assumptions!$B$11+Assumptions!$B$12)/Projects!$D$22*0.95,0)-IF(AND(Projects!$G$22="Yes",BC$3=Projects!$C$22+Projects!$D$22-1),Projects!$B$22*(Assumptions!$B$10+Assumptions!$B$11+Assumptions!$B$12)*0.05,0)</f>
        <v/>
      </c>
      <c r="BD31" s="399">
        <f>IF(AND(Projects!$G$22="Yes",BD$3&gt;=Projects!$C$22,BD$3&lt;Projects!$C$22+Projects!$D$22),Projects!$B$22*INDEX(Curves!$B$4:$AR$4,1,BD$3-Projects!$C$22+1),0)-IF(AND(Projects!$G$22="Yes",BD$3&gt;=Projects!$C$22,BD$3&lt;Projects!$C$22+Projects!$D$22),Projects!$B$22*(Assumptions!$B$10+Assumptions!$B$11+Assumptions!$B$12)/Projects!$D$22*0.95,0)-IF(AND(Projects!$G$22="Yes",BD$3=Projects!$C$22+Projects!$D$22-1),Projects!$B$22*(Assumptions!$B$10+Assumptions!$B$11+Assumptions!$B$12)*0.05,0)</f>
        <v/>
      </c>
      <c r="BE31" s="399">
        <f>IF(AND(Projects!$G$22="Yes",BE$3&gt;=Projects!$C$22,BE$3&lt;Projects!$C$22+Projects!$D$22),Projects!$B$22*INDEX(Curves!$B$4:$AR$4,1,BE$3-Projects!$C$22+1),0)-IF(AND(Projects!$G$22="Yes",BE$3&gt;=Projects!$C$22,BE$3&lt;Projects!$C$22+Projects!$D$22),Projects!$B$22*(Assumptions!$B$10+Assumptions!$B$11+Assumptions!$B$12)/Projects!$D$22*0.95,0)-IF(AND(Projects!$G$22="Yes",BE$3=Projects!$C$22+Projects!$D$22-1),Projects!$B$22*(Assumptions!$B$10+Assumptions!$B$11+Assumptions!$B$12)*0.05,0)</f>
        <v/>
      </c>
      <c r="BF31" s="399">
        <f>IF(AND(Projects!$G$22="Yes",BF$3&gt;=Projects!$C$22,BF$3&lt;Projects!$C$22+Projects!$D$22),Projects!$B$22*INDEX(Curves!$B$4:$AR$4,1,BF$3-Projects!$C$22+1),0)-IF(AND(Projects!$G$22="Yes",BF$3&gt;=Projects!$C$22,BF$3&lt;Projects!$C$22+Projects!$D$22),Projects!$B$22*(Assumptions!$B$10+Assumptions!$B$11+Assumptions!$B$12)/Projects!$D$22*0.95,0)-IF(AND(Projects!$G$22="Yes",BF$3=Projects!$C$22+Projects!$D$22-1),Projects!$B$22*(Assumptions!$B$10+Assumptions!$B$11+Assumptions!$B$12)*0.05,0)</f>
        <v/>
      </c>
      <c r="BG31" s="399">
        <f>IF(AND(Projects!$G$22="Yes",BG$3&gt;=Projects!$C$22,BG$3&lt;Projects!$C$22+Projects!$D$22),Projects!$B$22*INDEX(Curves!$B$4:$AR$4,1,BG$3-Projects!$C$22+1),0)-IF(AND(Projects!$G$22="Yes",BG$3&gt;=Projects!$C$22,BG$3&lt;Projects!$C$22+Projects!$D$22),Projects!$B$22*(Assumptions!$B$10+Assumptions!$B$11+Assumptions!$B$12)/Projects!$D$22*0.95,0)-IF(AND(Projects!$G$22="Yes",BG$3=Projects!$C$22+Projects!$D$22-1),Projects!$B$22*(Assumptions!$B$10+Assumptions!$B$11+Assumptions!$B$12)*0.05,0)</f>
        <v/>
      </c>
      <c r="BH31" s="399">
        <f>IF(AND(Projects!$G$22="Yes",BH$3&gt;=Projects!$C$22,BH$3&lt;Projects!$C$22+Projects!$D$22),Projects!$B$22*INDEX(Curves!$B$4:$AR$4,1,BH$3-Projects!$C$22+1),0)-IF(AND(Projects!$G$22="Yes",BH$3&gt;=Projects!$C$22,BH$3&lt;Projects!$C$22+Projects!$D$22),Projects!$B$22*(Assumptions!$B$10+Assumptions!$B$11+Assumptions!$B$12)/Projects!$D$22*0.95,0)-IF(AND(Projects!$G$22="Yes",BH$3=Projects!$C$22+Projects!$D$22-1),Projects!$B$22*(Assumptions!$B$10+Assumptions!$B$11+Assumptions!$B$12)*0.05,0)</f>
        <v/>
      </c>
      <c r="BI31" s="399">
        <f>IF(AND(Projects!$G$22="Yes",BI$3&gt;=Projects!$C$22,BI$3&lt;Projects!$C$22+Projects!$D$22),Projects!$B$22*INDEX(Curves!$B$4:$AR$4,1,BI$3-Projects!$C$22+1),0)-IF(AND(Projects!$G$22="Yes",BI$3&gt;=Projects!$C$22,BI$3&lt;Projects!$C$22+Projects!$D$22),Projects!$B$22*(Assumptions!$B$10+Assumptions!$B$11+Assumptions!$B$12)/Projects!$D$22*0.95,0)-IF(AND(Projects!$G$22="Yes",BI$3=Projects!$C$22+Projects!$D$22-1),Projects!$B$22*(Assumptions!$B$10+Assumptions!$B$11+Assumptions!$B$12)*0.05,0)</f>
        <v/>
      </c>
      <c r="BJ31" s="399">
        <f>IF(AND(Projects!$G$22="Yes",BJ$3&gt;=Projects!$C$22,BJ$3&lt;Projects!$C$22+Projects!$D$22),Projects!$B$22*INDEX(Curves!$B$4:$AR$4,1,BJ$3-Projects!$C$22+1),0)-IF(AND(Projects!$G$22="Yes",BJ$3&gt;=Projects!$C$22,BJ$3&lt;Projects!$C$22+Projects!$D$22),Projects!$B$22*(Assumptions!$B$10+Assumptions!$B$11+Assumptions!$B$12)/Projects!$D$22*0.95,0)-IF(AND(Projects!$G$22="Yes",BJ$3=Projects!$C$22+Projects!$D$22-1),Projects!$B$22*(Assumptions!$B$10+Assumptions!$B$11+Assumptions!$B$12)*0.05,0)</f>
        <v/>
      </c>
      <c r="BK31" s="399">
        <f>IF(AND(Projects!$G$22="Yes",BK$3&gt;=Projects!$C$22,BK$3&lt;Projects!$C$22+Projects!$D$22),Projects!$B$22*INDEX(Curves!$B$4:$AR$4,1,BK$3-Projects!$C$22+1),0)-IF(AND(Projects!$G$22="Yes",BK$3&gt;=Projects!$C$22,BK$3&lt;Projects!$C$22+Projects!$D$22),Projects!$B$22*(Assumptions!$B$10+Assumptions!$B$11+Assumptions!$B$12)/Projects!$D$22*0.95,0)-IF(AND(Projects!$G$22="Yes",BK$3=Projects!$C$22+Projects!$D$22-1),Projects!$B$22*(Assumptions!$B$10+Assumptions!$B$11+Assumptions!$B$12)*0.05,0)</f>
        <v/>
      </c>
      <c r="BL31" s="399">
        <f>IF(AND(Projects!$G$22="Yes",BL$3&gt;=Projects!$C$22,BL$3&lt;Projects!$C$22+Projects!$D$22),Projects!$B$22*INDEX(Curves!$B$4:$AR$4,1,BL$3-Projects!$C$22+1),0)-IF(AND(Projects!$G$22="Yes",BL$3&gt;=Projects!$C$22,BL$3&lt;Projects!$C$22+Projects!$D$22),Projects!$B$22*(Assumptions!$B$10+Assumptions!$B$11+Assumptions!$B$12)/Projects!$D$22*0.95,0)-IF(AND(Projects!$G$22="Yes",BL$3=Projects!$C$22+Projects!$D$22-1),Projects!$B$22*(Assumptions!$B$10+Assumptions!$B$11+Assumptions!$B$12)*0.05,0)</f>
        <v/>
      </c>
      <c r="BM31" s="399">
        <f>IF(AND(Projects!$G$22="Yes",BM$3&gt;=Projects!$C$22,BM$3&lt;Projects!$C$22+Projects!$D$22),Projects!$B$22*INDEX(Curves!$B$4:$AR$4,1,BM$3-Projects!$C$22+1),0)-IF(AND(Projects!$G$22="Yes",BM$3&gt;=Projects!$C$22,BM$3&lt;Projects!$C$22+Projects!$D$22),Projects!$B$22*(Assumptions!$B$10+Assumptions!$B$11+Assumptions!$B$12)/Projects!$D$22*0.95,0)-IF(AND(Projects!$G$22="Yes",BM$3=Projects!$C$22+Projects!$D$22-1),Projects!$B$22*(Assumptions!$B$10+Assumptions!$B$11+Assumptions!$B$12)*0.05,0)</f>
        <v/>
      </c>
      <c r="BN31" s="399">
        <f>IF(AND(Projects!$G$22="Yes",BN$3&gt;=Projects!$C$22,BN$3&lt;Projects!$C$22+Projects!$D$22),Projects!$B$22*INDEX(Curves!$B$4:$AR$4,1,BN$3-Projects!$C$22+1),0)-IF(AND(Projects!$G$22="Yes",BN$3&gt;=Projects!$C$22,BN$3&lt;Projects!$C$22+Projects!$D$22),Projects!$B$22*(Assumptions!$B$10+Assumptions!$B$11+Assumptions!$B$12)/Projects!$D$22*0.95,0)-IF(AND(Projects!$G$22="Yes",BN$3=Projects!$C$22+Projects!$D$22-1),Projects!$B$22*(Assumptions!$B$10+Assumptions!$B$11+Assumptions!$B$12)*0.05,0)</f>
        <v/>
      </c>
      <c r="BO31" s="399">
        <f>IF(AND(Projects!$G$22="Yes",BO$3&gt;=Projects!$C$22,BO$3&lt;Projects!$C$22+Projects!$D$22),Projects!$B$22*INDEX(Curves!$B$4:$AR$4,1,BO$3-Projects!$C$22+1),0)-IF(AND(Projects!$G$22="Yes",BO$3&gt;=Projects!$C$22,BO$3&lt;Projects!$C$22+Projects!$D$22),Projects!$B$22*(Assumptions!$B$10+Assumptions!$B$11+Assumptions!$B$12)/Projects!$D$22*0.95,0)-IF(AND(Projects!$G$22="Yes",BO$3=Projects!$C$22+Projects!$D$22-1),Projects!$B$22*(Assumptions!$B$10+Assumptions!$B$11+Assumptions!$B$12)*0.05,0)</f>
        <v/>
      </c>
      <c r="BP31" s="399">
        <f>IF(AND(Projects!$G$22="Yes",BP$3&gt;=Projects!$C$22,BP$3&lt;Projects!$C$22+Projects!$D$22),Projects!$B$22*INDEX(Curves!$B$4:$AR$4,1,BP$3-Projects!$C$22+1),0)-IF(AND(Projects!$G$22="Yes",BP$3&gt;=Projects!$C$22,BP$3&lt;Projects!$C$22+Projects!$D$22),Projects!$B$22*(Assumptions!$B$10+Assumptions!$B$11+Assumptions!$B$12)/Projects!$D$22*0.95,0)-IF(AND(Projects!$G$22="Yes",BP$3=Projects!$C$22+Projects!$D$22-1),Projects!$B$22*(Assumptions!$B$10+Assumptions!$B$11+Assumptions!$B$12)*0.05,0)</f>
        <v/>
      </c>
      <c r="BQ31" s="399">
        <f>IF(AND(Projects!$G$22="Yes",BQ$3&gt;=Projects!$C$22,BQ$3&lt;Projects!$C$22+Projects!$D$22),Projects!$B$22*INDEX(Curves!$B$4:$AR$4,1,BQ$3-Projects!$C$22+1),0)-IF(AND(Projects!$G$22="Yes",BQ$3&gt;=Projects!$C$22,BQ$3&lt;Projects!$C$22+Projects!$D$22),Projects!$B$22*(Assumptions!$B$10+Assumptions!$B$11+Assumptions!$B$12)/Projects!$D$22*0.95,0)-IF(AND(Projects!$G$22="Yes",BQ$3=Projects!$C$22+Projects!$D$22-1),Projects!$B$22*(Assumptions!$B$10+Assumptions!$B$11+Assumptions!$B$12)*0.05,0)</f>
        <v/>
      </c>
      <c r="BR31" s="399">
        <f>IF(AND(Projects!$G$22="Yes",BR$3&gt;=Projects!$C$22,BR$3&lt;Projects!$C$22+Projects!$D$22),Projects!$B$22*INDEX(Curves!$B$4:$AR$4,1,BR$3-Projects!$C$22+1),0)-IF(AND(Projects!$G$22="Yes",BR$3&gt;=Projects!$C$22,BR$3&lt;Projects!$C$22+Projects!$D$22),Projects!$B$22*(Assumptions!$B$10+Assumptions!$B$11+Assumptions!$B$12)/Projects!$D$22*0.95,0)-IF(AND(Projects!$G$22="Yes",BR$3=Projects!$C$22+Projects!$D$22-1),Projects!$B$22*(Assumptions!$B$10+Assumptions!$B$11+Assumptions!$B$12)*0.05,0)</f>
        <v/>
      </c>
      <c r="BS31" s="399">
        <f>IF(AND(Projects!$G$22="Yes",BS$3&gt;=Projects!$C$22,BS$3&lt;Projects!$C$22+Projects!$D$22),Projects!$B$22*INDEX(Curves!$B$4:$AR$4,1,BS$3-Projects!$C$22+1),0)-IF(AND(Projects!$G$22="Yes",BS$3&gt;=Projects!$C$22,BS$3&lt;Projects!$C$22+Projects!$D$22),Projects!$B$22*(Assumptions!$B$10+Assumptions!$B$11+Assumptions!$B$12)/Projects!$D$22*0.95,0)-IF(AND(Projects!$G$22="Yes",BS$3=Projects!$C$22+Projects!$D$22-1),Projects!$B$22*(Assumptions!$B$10+Assumptions!$B$11+Assumptions!$B$12)*0.05,0)</f>
        <v/>
      </c>
      <c r="BT31" s="399">
        <f>IF(AND(Projects!$G$22="Yes",BT$3&gt;=Projects!$C$22,BT$3&lt;Projects!$C$22+Projects!$D$22),Projects!$B$22*INDEX(Curves!$B$4:$AR$4,1,BT$3-Projects!$C$22+1),0)-IF(AND(Projects!$G$22="Yes",BT$3&gt;=Projects!$C$22,BT$3&lt;Projects!$C$22+Projects!$D$22),Projects!$B$22*(Assumptions!$B$10+Assumptions!$B$11+Assumptions!$B$12)/Projects!$D$22*0.95,0)-IF(AND(Projects!$G$22="Yes",BT$3=Projects!$C$22+Projects!$D$22-1),Projects!$B$22*(Assumptions!$B$10+Assumptions!$B$11+Assumptions!$B$12)*0.05,0)</f>
        <v/>
      </c>
      <c r="BU31" s="399">
        <f>IF(AND(Projects!$G$22="Yes",BU$3&gt;=Projects!$C$22,BU$3&lt;Projects!$C$22+Projects!$D$22),Projects!$B$22*INDEX(Curves!$B$4:$AR$4,1,BU$3-Projects!$C$22+1),0)-IF(AND(Projects!$G$22="Yes",BU$3&gt;=Projects!$C$22,BU$3&lt;Projects!$C$22+Projects!$D$22),Projects!$B$22*(Assumptions!$B$10+Assumptions!$B$11+Assumptions!$B$12)/Projects!$D$22*0.95,0)-IF(AND(Projects!$G$22="Yes",BU$3=Projects!$C$22+Projects!$D$22-1),Projects!$B$22*(Assumptions!$B$10+Assumptions!$B$11+Assumptions!$B$12)*0.05,0)</f>
        <v/>
      </c>
      <c r="BV31" s="399">
        <f>IF(AND(Projects!$G$22="Yes",BV$3&gt;=Projects!$C$22,BV$3&lt;Projects!$C$22+Projects!$D$22),Projects!$B$22*INDEX(Curves!$B$4:$AR$4,1,BV$3-Projects!$C$22+1),0)-IF(AND(Projects!$G$22="Yes",BV$3&gt;=Projects!$C$22,BV$3&lt;Projects!$C$22+Projects!$D$22),Projects!$B$22*(Assumptions!$B$10+Assumptions!$B$11+Assumptions!$B$12)/Projects!$D$22*0.95,0)-IF(AND(Projects!$G$22="Yes",BV$3=Projects!$C$22+Projects!$D$22-1),Projects!$B$22*(Assumptions!$B$10+Assumptions!$B$11+Assumptions!$B$12)*0.05,0)</f>
        <v/>
      </c>
      <c r="BW31" s="399">
        <f>IF(AND(Projects!$G$22="Yes",BW$3&gt;=Projects!$C$22,BW$3&lt;Projects!$C$22+Projects!$D$22),Projects!$B$22*INDEX(Curves!$B$4:$AR$4,1,BW$3-Projects!$C$22+1),0)-IF(AND(Projects!$G$22="Yes",BW$3&gt;=Projects!$C$22,BW$3&lt;Projects!$C$22+Projects!$D$22),Projects!$B$22*(Assumptions!$B$10+Assumptions!$B$11+Assumptions!$B$12)/Projects!$D$22*0.95,0)-IF(AND(Projects!$G$22="Yes",BW$3=Projects!$C$22+Projects!$D$22-1),Projects!$B$22*(Assumptions!$B$10+Assumptions!$B$11+Assumptions!$B$12)*0.05,0)</f>
        <v/>
      </c>
      <c r="BX31" s="399">
        <f>IF(AND(Projects!$G$22="Yes",BX$3&gt;=Projects!$C$22,BX$3&lt;Projects!$C$22+Projects!$D$22),Projects!$B$22*INDEX(Curves!$B$4:$AR$4,1,BX$3-Projects!$C$22+1),0)-IF(AND(Projects!$G$22="Yes",BX$3&gt;=Projects!$C$22,BX$3&lt;Projects!$C$22+Projects!$D$22),Projects!$B$22*(Assumptions!$B$10+Assumptions!$B$11+Assumptions!$B$12)/Projects!$D$22*0.95,0)-IF(AND(Projects!$G$22="Yes",BX$3=Projects!$C$22+Projects!$D$22-1),Projects!$B$22*(Assumptions!$B$10+Assumptions!$B$11+Assumptions!$B$12)*0.05,0)</f>
        <v/>
      </c>
      <c r="BY31" s="399">
        <f>IF(AND(Projects!$G$22="Yes",BY$3&gt;=Projects!$C$22,BY$3&lt;Projects!$C$22+Projects!$D$22),Projects!$B$22*INDEX(Curves!$B$4:$AR$4,1,BY$3-Projects!$C$22+1),0)-IF(AND(Projects!$G$22="Yes",BY$3&gt;=Projects!$C$22,BY$3&lt;Projects!$C$22+Projects!$D$22),Projects!$B$22*(Assumptions!$B$10+Assumptions!$B$11+Assumptions!$B$12)/Projects!$D$22*0.95,0)-IF(AND(Projects!$G$22="Yes",BY$3=Projects!$C$22+Projects!$D$22-1),Projects!$B$22*(Assumptions!$B$10+Assumptions!$B$11+Assumptions!$B$12)*0.05,0)</f>
        <v/>
      </c>
      <c r="BZ31" s="399">
        <f>IF(AND(Projects!$G$22="Yes",BZ$3&gt;=Projects!$C$22,BZ$3&lt;Projects!$C$22+Projects!$D$22),Projects!$B$22*INDEX(Curves!$B$4:$AR$4,1,BZ$3-Projects!$C$22+1),0)-IF(AND(Projects!$G$22="Yes",BZ$3&gt;=Projects!$C$22,BZ$3&lt;Projects!$C$22+Projects!$D$22),Projects!$B$22*(Assumptions!$B$10+Assumptions!$B$11+Assumptions!$B$12)/Projects!$D$22*0.95,0)-IF(AND(Projects!$G$22="Yes",BZ$3=Projects!$C$22+Projects!$D$22-1),Projects!$B$22*(Assumptions!$B$10+Assumptions!$B$11+Assumptions!$B$12)*0.05,0)</f>
        <v/>
      </c>
      <c r="CA31" s="399">
        <f>IF(AND(Projects!$G$22="Yes",CA$3&gt;=Projects!$C$22,CA$3&lt;Projects!$C$22+Projects!$D$22),Projects!$B$22*INDEX(Curves!$B$4:$AR$4,1,CA$3-Projects!$C$22+1),0)-IF(AND(Projects!$G$22="Yes",CA$3&gt;=Projects!$C$22,CA$3&lt;Projects!$C$22+Projects!$D$22),Projects!$B$22*(Assumptions!$B$10+Assumptions!$B$11+Assumptions!$B$12)/Projects!$D$22*0.95,0)-IF(AND(Projects!$G$22="Yes",CA$3=Projects!$C$22+Projects!$D$22-1),Projects!$B$22*(Assumptions!$B$10+Assumptions!$B$11+Assumptions!$B$12)*0.05,0)</f>
        <v/>
      </c>
      <c r="CB31" s="399">
        <f>IF(AND(Projects!$G$22="Yes",CB$3&gt;=Projects!$C$22,CB$3&lt;Projects!$C$22+Projects!$D$22),Projects!$B$22*INDEX(Curves!$B$4:$AR$4,1,CB$3-Projects!$C$22+1),0)-IF(AND(Projects!$G$22="Yes",CB$3&gt;=Projects!$C$22,CB$3&lt;Projects!$C$22+Projects!$D$22),Projects!$B$22*(Assumptions!$B$10+Assumptions!$B$11+Assumptions!$B$12)/Projects!$D$22*0.95,0)-IF(AND(Projects!$G$22="Yes",CB$3=Projects!$C$22+Projects!$D$22-1),Projects!$B$22*(Assumptions!$B$10+Assumptions!$B$11+Assumptions!$B$12)*0.05,0)</f>
        <v/>
      </c>
      <c r="CC31" s="399">
        <f>IF(AND(Projects!$G$22="Yes",CC$3&gt;=Projects!$C$22,CC$3&lt;Projects!$C$22+Projects!$D$22),Projects!$B$22*INDEX(Curves!$B$4:$AR$4,1,CC$3-Projects!$C$22+1),0)-IF(AND(Projects!$G$22="Yes",CC$3&gt;=Projects!$C$22,CC$3&lt;Projects!$C$22+Projects!$D$22),Projects!$B$22*(Assumptions!$B$10+Assumptions!$B$11+Assumptions!$B$12)/Projects!$D$22*0.95,0)-IF(AND(Projects!$G$22="Yes",CC$3=Projects!$C$22+Projects!$D$22-1),Projects!$B$22*(Assumptions!$B$10+Assumptions!$B$11+Assumptions!$B$12)*0.05,0)</f>
        <v/>
      </c>
      <c r="CD31" s="399">
        <f>IF(AND(Projects!$G$22="Yes",CD$3&gt;=Projects!$C$22,CD$3&lt;Projects!$C$22+Projects!$D$22),Projects!$B$22*INDEX(Curves!$B$4:$AR$4,1,CD$3-Projects!$C$22+1),0)-IF(AND(Projects!$G$22="Yes",CD$3&gt;=Projects!$C$22,CD$3&lt;Projects!$C$22+Projects!$D$22),Projects!$B$22*(Assumptions!$B$10+Assumptions!$B$11+Assumptions!$B$12)/Projects!$D$22*0.95,0)-IF(AND(Projects!$G$22="Yes",CD$3=Projects!$C$22+Projects!$D$22-1),Projects!$B$22*(Assumptions!$B$10+Assumptions!$B$11+Assumptions!$B$12)*0.05,0)</f>
        <v/>
      </c>
      <c r="CE31" s="399">
        <f>IF(AND(Projects!$G$22="Yes",CE$3&gt;=Projects!$C$22,CE$3&lt;Projects!$C$22+Projects!$D$22),Projects!$B$22*INDEX(Curves!$B$4:$AR$4,1,CE$3-Projects!$C$22+1),0)-IF(AND(Projects!$G$22="Yes",CE$3&gt;=Projects!$C$22,CE$3&lt;Projects!$C$22+Projects!$D$22),Projects!$B$22*(Assumptions!$B$10+Assumptions!$B$11+Assumptions!$B$12)/Projects!$D$22*0.95,0)-IF(AND(Projects!$G$22="Yes",CE$3=Projects!$C$22+Projects!$D$22-1),Projects!$B$22*(Assumptions!$B$10+Assumptions!$B$11+Assumptions!$B$12)*0.05,0)</f>
        <v/>
      </c>
      <c r="CF31" s="399">
        <f>IF(AND(Projects!$G$22="Yes",CF$3&gt;=Projects!$C$22,CF$3&lt;Projects!$C$22+Projects!$D$22),Projects!$B$22*INDEX(Curves!$B$4:$AR$4,1,CF$3-Projects!$C$22+1),0)-IF(AND(Projects!$G$22="Yes",CF$3&gt;=Projects!$C$22,CF$3&lt;Projects!$C$22+Projects!$D$22),Projects!$B$22*(Assumptions!$B$10+Assumptions!$B$11+Assumptions!$B$12)/Projects!$D$22*0.95,0)-IF(AND(Projects!$G$22="Yes",CF$3=Projects!$C$22+Projects!$D$22-1),Projects!$B$22*(Assumptions!$B$10+Assumptions!$B$11+Assumptions!$B$12)*0.05,0)</f>
        <v/>
      </c>
      <c r="CG31" s="399">
        <f>IF(AND(Projects!$G$22="Yes",CG$3&gt;=Projects!$C$22,CG$3&lt;Projects!$C$22+Projects!$D$22),Projects!$B$22*INDEX(Curves!$B$4:$AR$4,1,CG$3-Projects!$C$22+1),0)-IF(AND(Projects!$G$22="Yes",CG$3&gt;=Projects!$C$22,CG$3&lt;Projects!$C$22+Projects!$D$22),Projects!$B$22*(Assumptions!$B$10+Assumptions!$B$11+Assumptions!$B$12)/Projects!$D$22*0.95,0)-IF(AND(Projects!$G$22="Yes",CG$3=Projects!$C$22+Projects!$D$22-1),Projects!$B$22*(Assumptions!$B$10+Assumptions!$B$11+Assumptions!$B$12)*0.05,0)</f>
        <v/>
      </c>
      <c r="CH31" s="399">
        <f>IF(AND(Projects!$G$22="Yes",CH$3&gt;=Projects!$C$22,CH$3&lt;Projects!$C$22+Projects!$D$22),Projects!$B$22*INDEX(Curves!$B$4:$AR$4,1,CH$3-Projects!$C$22+1),0)-IF(AND(Projects!$G$22="Yes",CH$3&gt;=Projects!$C$22,CH$3&lt;Projects!$C$22+Projects!$D$22),Projects!$B$22*(Assumptions!$B$10+Assumptions!$B$11+Assumptions!$B$12)/Projects!$D$22*0.95,0)-IF(AND(Projects!$G$22="Yes",CH$3=Projects!$C$22+Projects!$D$22-1),Projects!$B$22*(Assumptions!$B$10+Assumptions!$B$11+Assumptions!$B$12)*0.05,0)</f>
        <v/>
      </c>
      <c r="CI31" s="399">
        <f>IF(AND(Projects!$G$22="Yes",CI$3&gt;=Projects!$C$22,CI$3&lt;Projects!$C$22+Projects!$D$22),Projects!$B$22*INDEX(Curves!$B$4:$AR$4,1,CI$3-Projects!$C$22+1),0)-IF(AND(Projects!$G$22="Yes",CI$3&gt;=Projects!$C$22,CI$3&lt;Projects!$C$22+Projects!$D$22),Projects!$B$22*(Assumptions!$B$10+Assumptions!$B$11+Assumptions!$B$12)/Projects!$D$22*0.95,0)-IF(AND(Projects!$G$22="Yes",CI$3=Projects!$C$22+Projects!$D$22-1),Projects!$B$22*(Assumptions!$B$10+Assumptions!$B$11+Assumptions!$B$12)*0.05,0)</f>
        <v/>
      </c>
      <c r="CJ31" s="399">
        <f>IF(AND(Projects!$G$22="Yes",CJ$3&gt;=Projects!$C$22,CJ$3&lt;Projects!$C$22+Projects!$D$22),Projects!$B$22*INDEX(Curves!$B$4:$AR$4,1,CJ$3-Projects!$C$22+1),0)-IF(AND(Projects!$G$22="Yes",CJ$3&gt;=Projects!$C$22,CJ$3&lt;Projects!$C$22+Projects!$D$22),Projects!$B$22*(Assumptions!$B$10+Assumptions!$B$11+Assumptions!$B$12)/Projects!$D$22*0.95,0)-IF(AND(Projects!$G$22="Yes",CJ$3=Projects!$C$22+Projects!$D$22-1),Projects!$B$22*(Assumptions!$B$10+Assumptions!$B$11+Assumptions!$B$12)*0.05,0)</f>
        <v/>
      </c>
      <c r="CK31" s="399">
        <f>IF(AND(Projects!$G$22="Yes",CK$3&gt;=Projects!$C$22,CK$3&lt;Projects!$C$22+Projects!$D$22),Projects!$B$22*INDEX(Curves!$B$4:$AR$4,1,CK$3-Projects!$C$22+1),0)-IF(AND(Projects!$G$22="Yes",CK$3&gt;=Projects!$C$22,CK$3&lt;Projects!$C$22+Projects!$D$22),Projects!$B$22*(Assumptions!$B$10+Assumptions!$B$11+Assumptions!$B$12)/Projects!$D$22*0.95,0)-IF(AND(Projects!$G$22="Yes",CK$3=Projects!$C$22+Projects!$D$22-1),Projects!$B$22*(Assumptions!$B$10+Assumptions!$B$11+Assumptions!$B$12)*0.05,0)</f>
        <v/>
      </c>
      <c r="CL31" s="399">
        <f>IF(AND(Projects!$G$22="Yes",CL$3&gt;=Projects!$C$22,CL$3&lt;Projects!$C$22+Projects!$D$22),Projects!$B$22*INDEX(Curves!$B$4:$AR$4,1,CL$3-Projects!$C$22+1),0)-IF(AND(Projects!$G$22="Yes",CL$3&gt;=Projects!$C$22,CL$3&lt;Projects!$C$22+Projects!$D$22),Projects!$B$22*(Assumptions!$B$10+Assumptions!$B$11+Assumptions!$B$12)/Projects!$D$22*0.95,0)-IF(AND(Projects!$G$22="Yes",CL$3=Projects!$C$22+Projects!$D$22-1),Projects!$B$22*(Assumptions!$B$10+Assumptions!$B$11+Assumptions!$B$12)*0.05,0)</f>
        <v/>
      </c>
      <c r="CM31" s="399">
        <f>IF(AND(Projects!$G$22="Yes",CM$3&gt;=Projects!$C$22,CM$3&lt;Projects!$C$22+Projects!$D$22),Projects!$B$22*INDEX(Curves!$B$4:$AR$4,1,CM$3-Projects!$C$22+1),0)-IF(AND(Projects!$G$22="Yes",CM$3&gt;=Projects!$C$22,CM$3&lt;Projects!$C$22+Projects!$D$22),Projects!$B$22*(Assumptions!$B$10+Assumptions!$B$11+Assumptions!$B$12)/Projects!$D$22*0.95,0)-IF(AND(Projects!$G$22="Yes",CM$3=Projects!$C$22+Projects!$D$22-1),Projects!$B$22*(Assumptions!$B$10+Assumptions!$B$11+Assumptions!$B$12)*0.05,0)</f>
        <v/>
      </c>
      <c r="CN31" s="399">
        <f>IF(AND(Projects!$G$22="Yes",CN$3&gt;=Projects!$C$22,CN$3&lt;Projects!$C$22+Projects!$D$22),Projects!$B$22*INDEX(Curves!$B$4:$AR$4,1,CN$3-Projects!$C$22+1),0)-IF(AND(Projects!$G$22="Yes",CN$3&gt;=Projects!$C$22,CN$3&lt;Projects!$C$22+Projects!$D$22),Projects!$B$22*(Assumptions!$B$10+Assumptions!$B$11+Assumptions!$B$12)/Projects!$D$22*0.95,0)-IF(AND(Projects!$G$22="Yes",CN$3=Projects!$C$22+Projects!$D$22-1),Projects!$B$22*(Assumptions!$B$10+Assumptions!$B$11+Assumptions!$B$12)*0.05,0)</f>
        <v/>
      </c>
      <c r="CO31" s="399">
        <f>IF(AND(Projects!$G$22="Yes",CO$3&gt;=Projects!$C$22,CO$3&lt;Projects!$C$22+Projects!$D$22),Projects!$B$22*INDEX(Curves!$B$4:$AR$4,1,CO$3-Projects!$C$22+1),0)-IF(AND(Projects!$G$22="Yes",CO$3&gt;=Projects!$C$22,CO$3&lt;Projects!$C$22+Projects!$D$22),Projects!$B$22*(Assumptions!$B$10+Assumptions!$B$11+Assumptions!$B$12)/Projects!$D$22*0.95,0)-IF(AND(Projects!$G$22="Yes",CO$3=Projects!$C$22+Projects!$D$22-1),Projects!$B$22*(Assumptions!$B$10+Assumptions!$B$11+Assumptions!$B$12)*0.05,0)</f>
        <v/>
      </c>
      <c r="CP31" s="399">
        <f>IF(AND(Projects!$G$22="Yes",CP$3&gt;=Projects!$C$22,CP$3&lt;Projects!$C$22+Projects!$D$22),Projects!$B$22*INDEX(Curves!$B$4:$AR$4,1,CP$3-Projects!$C$22+1),0)-IF(AND(Projects!$G$22="Yes",CP$3&gt;=Projects!$C$22,CP$3&lt;Projects!$C$22+Projects!$D$22),Projects!$B$22*(Assumptions!$B$10+Assumptions!$B$11+Assumptions!$B$12)/Projects!$D$22*0.95,0)-IF(AND(Projects!$G$22="Yes",CP$3=Projects!$C$22+Projects!$D$22-1),Projects!$B$22*(Assumptions!$B$10+Assumptions!$B$11+Assumptions!$B$12)*0.05,0)</f>
        <v/>
      </c>
      <c r="CQ31" s="399">
        <f>IF(AND(Projects!$G$22="Yes",CQ$3&gt;=Projects!$C$22,CQ$3&lt;Projects!$C$22+Projects!$D$22),Projects!$B$22*INDEX(Curves!$B$4:$AR$4,1,CQ$3-Projects!$C$22+1),0)-IF(AND(Projects!$G$22="Yes",CQ$3&gt;=Projects!$C$22,CQ$3&lt;Projects!$C$22+Projects!$D$22),Projects!$B$22*(Assumptions!$B$10+Assumptions!$B$11+Assumptions!$B$12)/Projects!$D$22*0.95,0)-IF(AND(Projects!$G$22="Yes",CQ$3=Projects!$C$22+Projects!$D$22-1),Projects!$B$22*(Assumptions!$B$10+Assumptions!$B$11+Assumptions!$B$12)*0.05,0)</f>
        <v/>
      </c>
      <c r="CR31" s="399">
        <f>IF(AND(Projects!$G$22="Yes",CR$3&gt;=Projects!$C$22,CR$3&lt;Projects!$C$22+Projects!$D$22),Projects!$B$22*INDEX(Curves!$B$4:$AR$4,1,CR$3-Projects!$C$22+1),0)-IF(AND(Projects!$G$22="Yes",CR$3&gt;=Projects!$C$22,CR$3&lt;Projects!$C$22+Projects!$D$22),Projects!$B$22*(Assumptions!$B$10+Assumptions!$B$11+Assumptions!$B$12)/Projects!$D$22*0.95,0)-IF(AND(Projects!$G$22="Yes",CR$3=Projects!$C$22+Projects!$D$22-1),Projects!$B$22*(Assumptions!$B$10+Assumptions!$B$11+Assumptions!$B$12)*0.05,0)</f>
        <v/>
      </c>
      <c r="CS31" s="399">
        <f>IF(AND(Projects!$G$22="Yes",CS$3&gt;=Projects!$C$22,CS$3&lt;Projects!$C$22+Projects!$D$22),Projects!$B$22*INDEX(Curves!$B$4:$AR$4,1,CS$3-Projects!$C$22+1),0)-IF(AND(Projects!$G$22="Yes",CS$3&gt;=Projects!$C$22,CS$3&lt;Projects!$C$22+Projects!$D$22),Projects!$B$22*(Assumptions!$B$10+Assumptions!$B$11+Assumptions!$B$12)/Projects!$D$22*0.95,0)-IF(AND(Projects!$G$22="Yes",CS$3=Projects!$C$22+Projects!$D$22-1),Projects!$B$22*(Assumptions!$B$10+Assumptions!$B$11+Assumptions!$B$12)*0.05,0)</f>
        <v/>
      </c>
      <c r="CT31" s="399">
        <f>IF(AND(Projects!$G$22="Yes",CT$3&gt;=Projects!$C$22,CT$3&lt;Projects!$C$22+Projects!$D$22),Projects!$B$22*INDEX(Curves!$B$4:$AR$4,1,CT$3-Projects!$C$22+1),0)-IF(AND(Projects!$G$22="Yes",CT$3&gt;=Projects!$C$22,CT$3&lt;Projects!$C$22+Projects!$D$22),Projects!$B$22*(Assumptions!$B$10+Assumptions!$B$11+Assumptions!$B$12)/Projects!$D$22*0.95,0)-IF(AND(Projects!$G$22="Yes",CT$3=Projects!$C$22+Projects!$D$22-1),Projects!$B$22*(Assumptions!$B$10+Assumptions!$B$11+Assumptions!$B$12)*0.05,0)</f>
        <v/>
      </c>
      <c r="CU31" s="399">
        <f>IF(AND(Projects!$G$22="Yes",CU$3&gt;=Projects!$C$22,CU$3&lt;Projects!$C$22+Projects!$D$22),Projects!$B$22*INDEX(Curves!$B$4:$AR$4,1,CU$3-Projects!$C$22+1),0)-IF(AND(Projects!$G$22="Yes",CU$3&gt;=Projects!$C$22,CU$3&lt;Projects!$C$22+Projects!$D$22),Projects!$B$22*(Assumptions!$B$10+Assumptions!$B$11+Assumptions!$B$12)/Projects!$D$22*0.95,0)-IF(AND(Projects!$G$22="Yes",CU$3=Projects!$C$22+Projects!$D$22-1),Projects!$B$22*(Assumptions!$B$10+Assumptions!$B$11+Assumptions!$B$12)*0.05,0)</f>
        <v/>
      </c>
      <c r="CV31" s="399">
        <f>IF(AND(Projects!$G$22="Yes",CV$3&gt;=Projects!$C$22,CV$3&lt;Projects!$C$22+Projects!$D$22),Projects!$B$22*INDEX(Curves!$B$4:$AR$4,1,CV$3-Projects!$C$22+1),0)-IF(AND(Projects!$G$22="Yes",CV$3&gt;=Projects!$C$22,CV$3&lt;Projects!$C$22+Projects!$D$22),Projects!$B$22*(Assumptions!$B$10+Assumptions!$B$11+Assumptions!$B$12)/Projects!$D$22*0.95,0)-IF(AND(Projects!$G$22="Yes",CV$3=Projects!$C$22+Projects!$D$22-1),Projects!$B$22*(Assumptions!$B$10+Assumptions!$B$11+Assumptions!$B$12)*0.05,0)</f>
        <v/>
      </c>
      <c r="CW31" s="399">
        <f>IF(AND(Projects!$G$22="Yes",CW$3&gt;=Projects!$C$22,CW$3&lt;Projects!$C$22+Projects!$D$22),Projects!$B$22*INDEX(Curves!$B$4:$AR$4,1,CW$3-Projects!$C$22+1),0)-IF(AND(Projects!$G$22="Yes",CW$3&gt;=Projects!$C$22,CW$3&lt;Projects!$C$22+Projects!$D$22),Projects!$B$22*(Assumptions!$B$10+Assumptions!$B$11+Assumptions!$B$12)/Projects!$D$22*0.95,0)-IF(AND(Projects!$G$22="Yes",CW$3=Projects!$C$22+Projects!$D$22-1),Projects!$B$22*(Assumptions!$B$10+Assumptions!$B$11+Assumptions!$B$12)*0.05,0)</f>
        <v/>
      </c>
      <c r="CX31" s="399">
        <f>IF(AND(Projects!$G$22="Yes",CX$3&gt;=Projects!$C$22,CX$3&lt;Projects!$C$22+Projects!$D$22),Projects!$B$22*INDEX(Curves!$B$4:$AR$4,1,CX$3-Projects!$C$22+1),0)-IF(AND(Projects!$G$22="Yes",CX$3&gt;=Projects!$C$22,CX$3&lt;Projects!$C$22+Projects!$D$22),Projects!$B$22*(Assumptions!$B$10+Assumptions!$B$11+Assumptions!$B$12)/Projects!$D$22*0.95,0)-IF(AND(Projects!$G$22="Yes",CX$3=Projects!$C$22+Projects!$D$22-1),Projects!$B$22*(Assumptions!$B$10+Assumptions!$B$11+Assumptions!$B$12)*0.05,0)</f>
        <v/>
      </c>
      <c r="CY31" s="399">
        <f>IF(AND(Projects!$G$22="Yes",CY$3&gt;=Projects!$C$22,CY$3&lt;Projects!$C$22+Projects!$D$22),Projects!$B$22*INDEX(Curves!$B$4:$AR$4,1,CY$3-Projects!$C$22+1),0)-IF(AND(Projects!$G$22="Yes",CY$3&gt;=Projects!$C$22,CY$3&lt;Projects!$C$22+Projects!$D$22),Projects!$B$22*(Assumptions!$B$10+Assumptions!$B$11+Assumptions!$B$12)/Projects!$D$22*0.95,0)-IF(AND(Projects!$G$22="Yes",CY$3=Projects!$C$22+Projects!$D$22-1),Projects!$B$22*(Assumptions!$B$10+Assumptions!$B$11+Assumptions!$B$12)*0.05,0)</f>
        <v/>
      </c>
      <c r="CZ31" s="399">
        <f>IF(AND(Projects!$G$22="Yes",CZ$3&gt;=Projects!$C$22,CZ$3&lt;Projects!$C$22+Projects!$D$22),Projects!$B$22*INDEX(Curves!$B$4:$AR$4,1,CZ$3-Projects!$C$22+1),0)-IF(AND(Projects!$G$22="Yes",CZ$3&gt;=Projects!$C$22,CZ$3&lt;Projects!$C$22+Projects!$D$22),Projects!$B$22*(Assumptions!$B$10+Assumptions!$B$11+Assumptions!$B$12)/Projects!$D$22*0.95,0)-IF(AND(Projects!$G$22="Yes",CZ$3=Projects!$C$22+Projects!$D$22-1),Projects!$B$22*(Assumptions!$B$10+Assumptions!$B$11+Assumptions!$B$12)*0.05,0)</f>
        <v/>
      </c>
      <c r="DA31" s="399">
        <f>IF(AND(Projects!$G$22="Yes",DA$3&gt;=Projects!$C$22,DA$3&lt;Projects!$C$22+Projects!$D$22),Projects!$B$22*INDEX(Curves!$B$4:$AR$4,1,DA$3-Projects!$C$22+1),0)-IF(AND(Projects!$G$22="Yes",DA$3&gt;=Projects!$C$22,DA$3&lt;Projects!$C$22+Projects!$D$22),Projects!$B$22*(Assumptions!$B$10+Assumptions!$B$11+Assumptions!$B$12)/Projects!$D$22*0.95,0)-IF(AND(Projects!$G$22="Yes",DA$3=Projects!$C$22+Projects!$D$22-1),Projects!$B$22*(Assumptions!$B$10+Assumptions!$B$11+Assumptions!$B$12)*0.05,0)</f>
        <v/>
      </c>
      <c r="DB31" s="399">
        <f>IF(AND(Projects!$G$22="Yes",DB$3&gt;=Projects!$C$22,DB$3&lt;Projects!$C$22+Projects!$D$22),Projects!$B$22*INDEX(Curves!$B$4:$AR$4,1,DB$3-Projects!$C$22+1),0)-IF(AND(Projects!$G$22="Yes",DB$3&gt;=Projects!$C$22,DB$3&lt;Projects!$C$22+Projects!$D$22),Projects!$B$22*(Assumptions!$B$10+Assumptions!$B$11+Assumptions!$B$12)/Projects!$D$22*0.95,0)-IF(AND(Projects!$G$22="Yes",DB$3=Projects!$C$22+Projects!$D$22-1),Projects!$B$22*(Assumptions!$B$10+Assumptions!$B$11+Assumptions!$B$12)*0.05,0)</f>
        <v/>
      </c>
      <c r="DC31" s="399">
        <f>IF(AND(Projects!$G$22="Yes",DC$3&gt;=Projects!$C$22,DC$3&lt;Projects!$C$22+Projects!$D$22),Projects!$B$22*INDEX(Curves!$B$4:$AR$4,1,DC$3-Projects!$C$22+1),0)-IF(AND(Projects!$G$22="Yes",DC$3&gt;=Projects!$C$22,DC$3&lt;Projects!$C$22+Projects!$D$22),Projects!$B$22*(Assumptions!$B$10+Assumptions!$B$11+Assumptions!$B$12)/Projects!$D$22*0.95,0)-IF(AND(Projects!$G$22="Yes",DC$3=Projects!$C$22+Projects!$D$22-1),Projects!$B$22*(Assumptions!$B$10+Assumptions!$B$11+Assumptions!$B$12)*0.05,0)</f>
        <v/>
      </c>
      <c r="DD31" s="399">
        <f>IF(AND(Projects!$G$22="Yes",DD$3&gt;=Projects!$C$22,DD$3&lt;Projects!$C$22+Projects!$D$22),Projects!$B$22*INDEX(Curves!$B$4:$AR$4,1,DD$3-Projects!$C$22+1),0)-IF(AND(Projects!$G$22="Yes",DD$3&gt;=Projects!$C$22,DD$3&lt;Projects!$C$22+Projects!$D$22),Projects!$B$22*(Assumptions!$B$10+Assumptions!$B$11+Assumptions!$B$12)/Projects!$D$22*0.95,0)-IF(AND(Projects!$G$22="Yes",DD$3=Projects!$C$22+Projects!$D$22-1),Projects!$B$22*(Assumptions!$B$10+Assumptions!$B$11+Assumptions!$B$12)*0.05,0)</f>
        <v/>
      </c>
      <c r="DE31" s="399">
        <f>IF(AND(Projects!$G$22="Yes",DE$3&gt;=Projects!$C$22,DE$3&lt;Projects!$C$22+Projects!$D$22),Projects!$B$22*INDEX(Curves!$B$4:$AR$4,1,DE$3-Projects!$C$22+1),0)-IF(AND(Projects!$G$22="Yes",DE$3&gt;=Projects!$C$22,DE$3&lt;Projects!$C$22+Projects!$D$22),Projects!$B$22*(Assumptions!$B$10+Assumptions!$B$11+Assumptions!$B$12)/Projects!$D$22*0.95,0)-IF(AND(Projects!$G$22="Yes",DE$3=Projects!$C$22+Projects!$D$22-1),Projects!$B$22*(Assumptions!$B$10+Assumptions!$B$11+Assumptions!$B$12)*0.05,0)</f>
        <v/>
      </c>
    </row>
    <row r="32" hidden="1" outlineLevel="1" ht="15" customFormat="1" customHeight="1" s="380">
      <c r="A32" s="407" t="inlineStr">
        <is>
          <t>BD-07</t>
        </is>
      </c>
      <c r="B32" s="399" t="n">
        <v>0</v>
      </c>
      <c r="C32" s="399" t="n">
        <v>0</v>
      </c>
      <c r="D32" s="399" t="n">
        <v>0</v>
      </c>
      <c r="E32" s="399" t="n">
        <v>0</v>
      </c>
      <c r="F32" s="399">
        <f>IF(AND(Projects!$G$23="Yes",F$3&gt;=Projects!$C$23,F$3&lt;Projects!$C$23+Projects!$D$23),Projects!$B$23*INDEX(Curves!$B$4:$AR$4,1,F$3-Projects!$C$23+1),0)-IF(AND(Projects!$G$23="Yes",F$3&gt;=Projects!$C$23,F$3&lt;Projects!$C$23+Projects!$D$23),Projects!$B$23*(Assumptions!$B$10+Assumptions!$B$11+Assumptions!$B$12)/Projects!$D$23*0.95,0)-IF(AND(Projects!$G$23="Yes",F$3=Projects!$C$23+Projects!$D$23-1),Projects!$B$23*(Assumptions!$B$10+Assumptions!$B$11+Assumptions!$B$12)*0.05,0)</f>
        <v/>
      </c>
      <c r="G32" s="399">
        <f>IF(AND(Projects!$G$23="Yes",G$3&gt;=Projects!$C$23,G$3&lt;Projects!$C$23+Projects!$D$23),Projects!$B$23*INDEX(Curves!$B$4:$AR$4,1,G$3-Projects!$C$23+1),0)-IF(AND(Projects!$G$23="Yes",G$3&gt;=Projects!$C$23,G$3&lt;Projects!$C$23+Projects!$D$23),Projects!$B$23*(Assumptions!$B$10+Assumptions!$B$11+Assumptions!$B$12)/Projects!$D$23*0.95,0)-IF(AND(Projects!$G$23="Yes",G$3=Projects!$C$23+Projects!$D$23-1),Projects!$B$23*(Assumptions!$B$10+Assumptions!$B$11+Assumptions!$B$12)*0.05,0)</f>
        <v/>
      </c>
      <c r="H32" s="399">
        <f>IF(AND(Projects!$G$23="Yes",H$3&gt;=Projects!$C$23,H$3&lt;Projects!$C$23+Projects!$D$23),Projects!$B$23*INDEX(Curves!$B$4:$AR$4,1,H$3-Projects!$C$23+1),0)-IF(AND(Projects!$G$23="Yes",H$3&gt;=Projects!$C$23,H$3&lt;Projects!$C$23+Projects!$D$23),Projects!$B$23*(Assumptions!$B$10+Assumptions!$B$11+Assumptions!$B$12)/Projects!$D$23*0.95,0)-IF(AND(Projects!$G$23="Yes",H$3=Projects!$C$23+Projects!$D$23-1),Projects!$B$23*(Assumptions!$B$10+Assumptions!$B$11+Assumptions!$B$12)*0.05,0)</f>
        <v/>
      </c>
      <c r="I32" s="399">
        <f>IF(AND(Projects!$G$23="Yes",I$3&gt;=Projects!$C$23,I$3&lt;Projects!$C$23+Projects!$D$23),Projects!$B$23*INDEX(Curves!$B$4:$AR$4,1,I$3-Projects!$C$23+1),0)-IF(AND(Projects!$G$23="Yes",I$3&gt;=Projects!$C$23,I$3&lt;Projects!$C$23+Projects!$D$23),Projects!$B$23*(Assumptions!$B$10+Assumptions!$B$11+Assumptions!$B$12)/Projects!$D$23*0.95,0)-IF(AND(Projects!$G$23="Yes",I$3=Projects!$C$23+Projects!$D$23-1),Projects!$B$23*(Assumptions!$B$10+Assumptions!$B$11+Assumptions!$B$12)*0.05,0)</f>
        <v/>
      </c>
      <c r="J32" s="399">
        <f>IF(AND(Projects!$G$23="Yes",J$3&gt;=Projects!$C$23,J$3&lt;Projects!$C$23+Projects!$D$23),Projects!$B$23*INDEX(Curves!$B$4:$AR$4,1,J$3-Projects!$C$23+1),0)-IF(AND(Projects!$G$23="Yes",J$3&gt;=Projects!$C$23,J$3&lt;Projects!$C$23+Projects!$D$23),Projects!$B$23*(Assumptions!$B$10+Assumptions!$B$11+Assumptions!$B$12)/Projects!$D$23*0.95,0)-IF(AND(Projects!$G$23="Yes",J$3=Projects!$C$23+Projects!$D$23-1),Projects!$B$23*(Assumptions!$B$10+Assumptions!$B$11+Assumptions!$B$12)*0.05,0)</f>
        <v/>
      </c>
      <c r="K32" s="399">
        <f>IF(AND(Projects!$G$23="Yes",K$3&gt;=Projects!$C$23,K$3&lt;Projects!$C$23+Projects!$D$23),Projects!$B$23*INDEX(Curves!$B$4:$AR$4,1,K$3-Projects!$C$23+1),0)-IF(AND(Projects!$G$23="Yes",K$3&gt;=Projects!$C$23,K$3&lt;Projects!$C$23+Projects!$D$23),Projects!$B$23*(Assumptions!$B$10+Assumptions!$B$11+Assumptions!$B$12)/Projects!$D$23*0.95,0)-IF(AND(Projects!$G$23="Yes",K$3=Projects!$C$23+Projects!$D$23-1),Projects!$B$23*(Assumptions!$B$10+Assumptions!$B$11+Assumptions!$B$12)*0.05,0)</f>
        <v/>
      </c>
      <c r="L32" s="399">
        <f>IF(AND(Projects!$G$23="Yes",L$3&gt;=Projects!$C$23,L$3&lt;Projects!$C$23+Projects!$D$23),Projects!$B$23*INDEX(Curves!$B$4:$AR$4,1,L$3-Projects!$C$23+1),0)-IF(AND(Projects!$G$23="Yes",L$3&gt;=Projects!$C$23,L$3&lt;Projects!$C$23+Projects!$D$23),Projects!$B$23*(Assumptions!$B$10+Assumptions!$B$11+Assumptions!$B$12)/Projects!$D$23*0.95,0)-IF(AND(Projects!$G$23="Yes",L$3=Projects!$C$23+Projects!$D$23-1),Projects!$B$23*(Assumptions!$B$10+Assumptions!$B$11+Assumptions!$B$12)*0.05,0)</f>
        <v/>
      </c>
      <c r="M32" s="399">
        <f>IF(AND(Projects!$G$23="Yes",M$3&gt;=Projects!$C$23,M$3&lt;Projects!$C$23+Projects!$D$23),Projects!$B$23*INDEX(Curves!$B$4:$AR$4,1,M$3-Projects!$C$23+1),0)-IF(AND(Projects!$G$23="Yes",M$3&gt;=Projects!$C$23,M$3&lt;Projects!$C$23+Projects!$D$23),Projects!$B$23*(Assumptions!$B$10+Assumptions!$B$11+Assumptions!$B$12)/Projects!$D$23*0.95,0)-IF(AND(Projects!$G$23="Yes",M$3=Projects!$C$23+Projects!$D$23-1),Projects!$B$23*(Assumptions!$B$10+Assumptions!$B$11+Assumptions!$B$12)*0.05,0)</f>
        <v/>
      </c>
      <c r="N32" s="399">
        <f>IF(AND(Projects!$G$23="Yes",N$3&gt;=Projects!$C$23,N$3&lt;Projects!$C$23+Projects!$D$23),Projects!$B$23*INDEX(Curves!$B$4:$AR$4,1,N$3-Projects!$C$23+1),0)-IF(AND(Projects!$G$23="Yes",N$3&gt;=Projects!$C$23,N$3&lt;Projects!$C$23+Projects!$D$23),Projects!$B$23*(Assumptions!$B$10+Assumptions!$B$11+Assumptions!$B$12)/Projects!$D$23*0.95,0)-IF(AND(Projects!$G$23="Yes",N$3=Projects!$C$23+Projects!$D$23-1),Projects!$B$23*(Assumptions!$B$10+Assumptions!$B$11+Assumptions!$B$12)*0.05,0)</f>
        <v/>
      </c>
      <c r="O32" s="399">
        <f>IF(AND(Projects!$G$23="Yes",O$3&gt;=Projects!$C$23,O$3&lt;Projects!$C$23+Projects!$D$23),Projects!$B$23*INDEX(Curves!$B$4:$AR$4,1,O$3-Projects!$C$23+1),0)-IF(AND(Projects!$G$23="Yes",O$3&gt;=Projects!$C$23,O$3&lt;Projects!$C$23+Projects!$D$23),Projects!$B$23*(Assumptions!$B$10+Assumptions!$B$11+Assumptions!$B$12)/Projects!$D$23*0.95,0)-IF(AND(Projects!$G$23="Yes",O$3=Projects!$C$23+Projects!$D$23-1),Projects!$B$23*(Assumptions!$B$10+Assumptions!$B$11+Assumptions!$B$12)*0.05,0)</f>
        <v/>
      </c>
      <c r="P32" s="399">
        <f>IF(AND(Projects!$G$23="Yes",P$3&gt;=Projects!$C$23,P$3&lt;Projects!$C$23+Projects!$D$23),Projects!$B$23*INDEX(Curves!$B$4:$AR$4,1,P$3-Projects!$C$23+1),0)-IF(AND(Projects!$G$23="Yes",P$3&gt;=Projects!$C$23,P$3&lt;Projects!$C$23+Projects!$D$23),Projects!$B$23*(Assumptions!$B$10+Assumptions!$B$11+Assumptions!$B$12)/Projects!$D$23*0.95,0)-IF(AND(Projects!$G$23="Yes",P$3=Projects!$C$23+Projects!$D$23-1),Projects!$B$23*(Assumptions!$B$10+Assumptions!$B$11+Assumptions!$B$12)*0.05,0)</f>
        <v/>
      </c>
      <c r="Q32" s="399">
        <f>IF(AND(Projects!$G$23="Yes",Q$3&gt;=Projects!$C$23,Q$3&lt;Projects!$C$23+Projects!$D$23),Projects!$B$23*INDEX(Curves!$B$4:$AR$4,1,Q$3-Projects!$C$23+1),0)-IF(AND(Projects!$G$23="Yes",Q$3&gt;=Projects!$C$23,Q$3&lt;Projects!$C$23+Projects!$D$23),Projects!$B$23*(Assumptions!$B$10+Assumptions!$B$11+Assumptions!$B$12)/Projects!$D$23*0.95,0)-IF(AND(Projects!$G$23="Yes",Q$3=Projects!$C$23+Projects!$D$23-1),Projects!$B$23*(Assumptions!$B$10+Assumptions!$B$11+Assumptions!$B$12)*0.05,0)</f>
        <v/>
      </c>
      <c r="R32" s="399">
        <f>IF(AND(Projects!$G$23="Yes",R$3&gt;=Projects!$C$23,R$3&lt;Projects!$C$23+Projects!$D$23),Projects!$B$23*INDEX(Curves!$B$4:$AR$4,1,R$3-Projects!$C$23+1),0)-IF(AND(Projects!$G$23="Yes",R$3&gt;=Projects!$C$23,R$3&lt;Projects!$C$23+Projects!$D$23),Projects!$B$23*(Assumptions!$B$10+Assumptions!$B$11+Assumptions!$B$12)/Projects!$D$23*0.95,0)-IF(AND(Projects!$G$23="Yes",R$3=Projects!$C$23+Projects!$D$23-1),Projects!$B$23*(Assumptions!$B$10+Assumptions!$B$11+Assumptions!$B$12)*0.05,0)</f>
        <v/>
      </c>
      <c r="S32" s="399">
        <f>IF(AND(Projects!$G$23="Yes",S$3&gt;=Projects!$C$23,S$3&lt;Projects!$C$23+Projects!$D$23),Projects!$B$23*INDEX(Curves!$B$4:$AR$4,1,S$3-Projects!$C$23+1),0)-IF(AND(Projects!$G$23="Yes",S$3&gt;=Projects!$C$23,S$3&lt;Projects!$C$23+Projects!$D$23),Projects!$B$23*(Assumptions!$B$10+Assumptions!$B$11+Assumptions!$B$12)/Projects!$D$23*0.95,0)-IF(AND(Projects!$G$23="Yes",S$3=Projects!$C$23+Projects!$D$23-1),Projects!$B$23*(Assumptions!$B$10+Assumptions!$B$11+Assumptions!$B$12)*0.05,0)</f>
        <v/>
      </c>
      <c r="T32" s="399">
        <f>IF(AND(Projects!$G$23="Yes",T$3&gt;=Projects!$C$23,T$3&lt;Projects!$C$23+Projects!$D$23),Projects!$B$23*INDEX(Curves!$B$4:$AR$4,1,T$3-Projects!$C$23+1),0)-IF(AND(Projects!$G$23="Yes",T$3&gt;=Projects!$C$23,T$3&lt;Projects!$C$23+Projects!$D$23),Projects!$B$23*(Assumptions!$B$10+Assumptions!$B$11+Assumptions!$B$12)/Projects!$D$23*0.95,0)-IF(AND(Projects!$G$23="Yes",T$3=Projects!$C$23+Projects!$D$23-1),Projects!$B$23*(Assumptions!$B$10+Assumptions!$B$11+Assumptions!$B$12)*0.05,0)</f>
        <v/>
      </c>
      <c r="U32" s="399">
        <f>IF(AND(Projects!$G$23="Yes",U$3&gt;=Projects!$C$23,U$3&lt;Projects!$C$23+Projects!$D$23),Projects!$B$23*INDEX(Curves!$B$4:$AR$4,1,U$3-Projects!$C$23+1),0)-IF(AND(Projects!$G$23="Yes",U$3&gt;=Projects!$C$23,U$3&lt;Projects!$C$23+Projects!$D$23),Projects!$B$23*(Assumptions!$B$10+Assumptions!$B$11+Assumptions!$B$12)/Projects!$D$23*0.95,0)-IF(AND(Projects!$G$23="Yes",U$3=Projects!$C$23+Projects!$D$23-1),Projects!$B$23*(Assumptions!$B$10+Assumptions!$B$11+Assumptions!$B$12)*0.05,0)</f>
        <v/>
      </c>
      <c r="V32" s="399">
        <f>IF(AND(Projects!$G$23="Yes",V$3&gt;=Projects!$C$23,V$3&lt;Projects!$C$23+Projects!$D$23),Projects!$B$23*INDEX(Curves!$B$4:$AR$4,1,V$3-Projects!$C$23+1),0)-IF(AND(Projects!$G$23="Yes",V$3&gt;=Projects!$C$23,V$3&lt;Projects!$C$23+Projects!$D$23),Projects!$B$23*(Assumptions!$B$10+Assumptions!$B$11+Assumptions!$B$12)/Projects!$D$23*0.95,0)-IF(AND(Projects!$G$23="Yes",V$3=Projects!$C$23+Projects!$D$23-1),Projects!$B$23*(Assumptions!$B$10+Assumptions!$B$11+Assumptions!$B$12)*0.05,0)</f>
        <v/>
      </c>
      <c r="W32" s="399">
        <f>IF(AND(Projects!$G$23="Yes",W$3&gt;=Projects!$C$23,W$3&lt;Projects!$C$23+Projects!$D$23),Projects!$B$23*INDEX(Curves!$B$4:$AR$4,1,W$3-Projects!$C$23+1),0)-IF(AND(Projects!$G$23="Yes",W$3&gt;=Projects!$C$23,W$3&lt;Projects!$C$23+Projects!$D$23),Projects!$B$23*(Assumptions!$B$10+Assumptions!$B$11+Assumptions!$B$12)/Projects!$D$23*0.95,0)-IF(AND(Projects!$G$23="Yes",W$3=Projects!$C$23+Projects!$D$23-1),Projects!$B$23*(Assumptions!$B$10+Assumptions!$B$11+Assumptions!$B$12)*0.05,0)</f>
        <v/>
      </c>
      <c r="X32" s="399">
        <f>IF(AND(Projects!$G$23="Yes",X$3&gt;=Projects!$C$23,X$3&lt;Projects!$C$23+Projects!$D$23),Projects!$B$23*INDEX(Curves!$B$4:$AR$4,1,X$3-Projects!$C$23+1),0)-IF(AND(Projects!$G$23="Yes",X$3&gt;=Projects!$C$23,X$3&lt;Projects!$C$23+Projects!$D$23),Projects!$B$23*(Assumptions!$B$10+Assumptions!$B$11+Assumptions!$B$12)/Projects!$D$23*0.95,0)-IF(AND(Projects!$G$23="Yes",X$3=Projects!$C$23+Projects!$D$23-1),Projects!$B$23*(Assumptions!$B$10+Assumptions!$B$11+Assumptions!$B$12)*0.05,0)</f>
        <v/>
      </c>
      <c r="Y32" s="399">
        <f>IF(AND(Projects!$G$23="Yes",Y$3&gt;=Projects!$C$23,Y$3&lt;Projects!$C$23+Projects!$D$23),Projects!$B$23*INDEX(Curves!$B$4:$AR$4,1,Y$3-Projects!$C$23+1),0)-IF(AND(Projects!$G$23="Yes",Y$3&gt;=Projects!$C$23,Y$3&lt;Projects!$C$23+Projects!$D$23),Projects!$B$23*(Assumptions!$B$10+Assumptions!$B$11+Assumptions!$B$12)/Projects!$D$23*0.95,0)-IF(AND(Projects!$G$23="Yes",Y$3=Projects!$C$23+Projects!$D$23-1),Projects!$B$23*(Assumptions!$B$10+Assumptions!$B$11+Assumptions!$B$12)*0.05,0)</f>
        <v/>
      </c>
      <c r="Z32" s="399">
        <f>IF(AND(Projects!$G$23="Yes",Z$3&gt;=Projects!$C$23,Z$3&lt;Projects!$C$23+Projects!$D$23),Projects!$B$23*INDEX(Curves!$B$4:$AR$4,1,Z$3-Projects!$C$23+1),0)-IF(AND(Projects!$G$23="Yes",Z$3&gt;=Projects!$C$23,Z$3&lt;Projects!$C$23+Projects!$D$23),Projects!$B$23*(Assumptions!$B$10+Assumptions!$B$11+Assumptions!$B$12)/Projects!$D$23*0.95,0)-IF(AND(Projects!$G$23="Yes",Z$3=Projects!$C$23+Projects!$D$23-1),Projects!$B$23*(Assumptions!$B$10+Assumptions!$B$11+Assumptions!$B$12)*0.05,0)</f>
        <v/>
      </c>
      <c r="AA32" s="399">
        <f>IF(AND(Projects!$G$23="Yes",AA$3&gt;=Projects!$C$23,AA$3&lt;Projects!$C$23+Projects!$D$23),Projects!$B$23*INDEX(Curves!$B$4:$AR$4,1,AA$3-Projects!$C$23+1),0)-IF(AND(Projects!$G$23="Yes",AA$3&gt;=Projects!$C$23,AA$3&lt;Projects!$C$23+Projects!$D$23),Projects!$B$23*(Assumptions!$B$10+Assumptions!$B$11+Assumptions!$B$12)/Projects!$D$23*0.95,0)-IF(AND(Projects!$G$23="Yes",AA$3=Projects!$C$23+Projects!$D$23-1),Projects!$B$23*(Assumptions!$B$10+Assumptions!$B$11+Assumptions!$B$12)*0.05,0)</f>
        <v/>
      </c>
      <c r="AB32" s="399">
        <f>IF(AND(Projects!$G$23="Yes",AB$3&gt;=Projects!$C$23,AB$3&lt;Projects!$C$23+Projects!$D$23),Projects!$B$23*INDEX(Curves!$B$4:$AR$4,1,AB$3-Projects!$C$23+1),0)-IF(AND(Projects!$G$23="Yes",AB$3&gt;=Projects!$C$23,AB$3&lt;Projects!$C$23+Projects!$D$23),Projects!$B$23*(Assumptions!$B$10+Assumptions!$B$11+Assumptions!$B$12)/Projects!$D$23*0.95,0)-IF(AND(Projects!$G$23="Yes",AB$3=Projects!$C$23+Projects!$D$23-1),Projects!$B$23*(Assumptions!$B$10+Assumptions!$B$11+Assumptions!$B$12)*0.05,0)</f>
        <v/>
      </c>
      <c r="AC32" s="399">
        <f>IF(AND(Projects!$G$23="Yes",AC$3&gt;=Projects!$C$23,AC$3&lt;Projects!$C$23+Projects!$D$23),Projects!$B$23*INDEX(Curves!$B$4:$AR$4,1,AC$3-Projects!$C$23+1),0)-IF(AND(Projects!$G$23="Yes",AC$3&gt;=Projects!$C$23,AC$3&lt;Projects!$C$23+Projects!$D$23),Projects!$B$23*(Assumptions!$B$10+Assumptions!$B$11+Assumptions!$B$12)/Projects!$D$23*0.95,0)-IF(AND(Projects!$G$23="Yes",AC$3=Projects!$C$23+Projects!$D$23-1),Projects!$B$23*(Assumptions!$B$10+Assumptions!$B$11+Assumptions!$B$12)*0.05,0)</f>
        <v/>
      </c>
      <c r="AD32" s="399">
        <f>IF(AND(Projects!$G$23="Yes",AD$3&gt;=Projects!$C$23,AD$3&lt;Projects!$C$23+Projects!$D$23),Projects!$B$23*INDEX(Curves!$B$4:$AR$4,1,AD$3-Projects!$C$23+1),0)-IF(AND(Projects!$G$23="Yes",AD$3&gt;=Projects!$C$23,AD$3&lt;Projects!$C$23+Projects!$D$23),Projects!$B$23*(Assumptions!$B$10+Assumptions!$B$11+Assumptions!$B$12)/Projects!$D$23*0.95,0)-IF(AND(Projects!$G$23="Yes",AD$3=Projects!$C$23+Projects!$D$23-1),Projects!$B$23*(Assumptions!$B$10+Assumptions!$B$11+Assumptions!$B$12)*0.05,0)</f>
        <v/>
      </c>
      <c r="AE32" s="399">
        <f>IF(AND(Projects!$G$23="Yes",AE$3&gt;=Projects!$C$23,AE$3&lt;Projects!$C$23+Projects!$D$23),Projects!$B$23*INDEX(Curves!$B$4:$AR$4,1,AE$3-Projects!$C$23+1),0)-IF(AND(Projects!$G$23="Yes",AE$3&gt;=Projects!$C$23,AE$3&lt;Projects!$C$23+Projects!$D$23),Projects!$B$23*(Assumptions!$B$10+Assumptions!$B$11+Assumptions!$B$12)/Projects!$D$23*0.95,0)-IF(AND(Projects!$G$23="Yes",AE$3=Projects!$C$23+Projects!$D$23-1),Projects!$B$23*(Assumptions!$B$10+Assumptions!$B$11+Assumptions!$B$12)*0.05,0)</f>
        <v/>
      </c>
      <c r="AF32" s="399">
        <f>IF(AND(Projects!$G$23="Yes",AF$3&gt;=Projects!$C$23,AF$3&lt;Projects!$C$23+Projects!$D$23),Projects!$B$23*INDEX(Curves!$B$4:$AR$4,1,AF$3-Projects!$C$23+1),0)-IF(AND(Projects!$G$23="Yes",AF$3&gt;=Projects!$C$23,AF$3&lt;Projects!$C$23+Projects!$D$23),Projects!$B$23*(Assumptions!$B$10+Assumptions!$B$11+Assumptions!$B$12)/Projects!$D$23*0.95,0)-IF(AND(Projects!$G$23="Yes",AF$3=Projects!$C$23+Projects!$D$23-1),Projects!$B$23*(Assumptions!$B$10+Assumptions!$B$11+Assumptions!$B$12)*0.05,0)</f>
        <v/>
      </c>
      <c r="AG32" s="399">
        <f>IF(AND(Projects!$G$23="Yes",AG$3&gt;=Projects!$C$23,AG$3&lt;Projects!$C$23+Projects!$D$23),Projects!$B$23*INDEX(Curves!$B$4:$AR$4,1,AG$3-Projects!$C$23+1),0)-IF(AND(Projects!$G$23="Yes",AG$3&gt;=Projects!$C$23,AG$3&lt;Projects!$C$23+Projects!$D$23),Projects!$B$23*(Assumptions!$B$10+Assumptions!$B$11+Assumptions!$B$12)/Projects!$D$23*0.95,0)-IF(AND(Projects!$G$23="Yes",AG$3=Projects!$C$23+Projects!$D$23-1),Projects!$B$23*(Assumptions!$B$10+Assumptions!$B$11+Assumptions!$B$12)*0.05,0)</f>
        <v/>
      </c>
      <c r="AH32" s="399">
        <f>IF(AND(Projects!$G$23="Yes",AH$3&gt;=Projects!$C$23,AH$3&lt;Projects!$C$23+Projects!$D$23),Projects!$B$23*INDEX(Curves!$B$4:$AR$4,1,AH$3-Projects!$C$23+1),0)-IF(AND(Projects!$G$23="Yes",AH$3&gt;=Projects!$C$23,AH$3&lt;Projects!$C$23+Projects!$D$23),Projects!$B$23*(Assumptions!$B$10+Assumptions!$B$11+Assumptions!$B$12)/Projects!$D$23*0.95,0)-IF(AND(Projects!$G$23="Yes",AH$3=Projects!$C$23+Projects!$D$23-1),Projects!$B$23*(Assumptions!$B$10+Assumptions!$B$11+Assumptions!$B$12)*0.05,0)</f>
        <v/>
      </c>
      <c r="AI32" s="399">
        <f>IF(AND(Projects!$G$23="Yes",AI$3&gt;=Projects!$C$23,AI$3&lt;Projects!$C$23+Projects!$D$23),Projects!$B$23*INDEX(Curves!$B$4:$AR$4,1,AI$3-Projects!$C$23+1),0)-IF(AND(Projects!$G$23="Yes",AI$3&gt;=Projects!$C$23,AI$3&lt;Projects!$C$23+Projects!$D$23),Projects!$B$23*(Assumptions!$B$10+Assumptions!$B$11+Assumptions!$B$12)/Projects!$D$23*0.95,0)-IF(AND(Projects!$G$23="Yes",AI$3=Projects!$C$23+Projects!$D$23-1),Projects!$B$23*(Assumptions!$B$10+Assumptions!$B$11+Assumptions!$B$12)*0.05,0)</f>
        <v/>
      </c>
      <c r="AJ32" s="399">
        <f>IF(AND(Projects!$G$23="Yes",AJ$3&gt;=Projects!$C$23,AJ$3&lt;Projects!$C$23+Projects!$D$23),Projects!$B$23*INDEX(Curves!$B$4:$AR$4,1,AJ$3-Projects!$C$23+1),0)-IF(AND(Projects!$G$23="Yes",AJ$3&gt;=Projects!$C$23,AJ$3&lt;Projects!$C$23+Projects!$D$23),Projects!$B$23*(Assumptions!$B$10+Assumptions!$B$11+Assumptions!$B$12)/Projects!$D$23*0.95,0)-IF(AND(Projects!$G$23="Yes",AJ$3=Projects!$C$23+Projects!$D$23-1),Projects!$B$23*(Assumptions!$B$10+Assumptions!$B$11+Assumptions!$B$12)*0.05,0)</f>
        <v/>
      </c>
      <c r="AK32" s="399">
        <f>IF(AND(Projects!$G$23="Yes",AK$3&gt;=Projects!$C$23,AK$3&lt;Projects!$C$23+Projects!$D$23),Projects!$B$23*INDEX(Curves!$B$4:$AR$4,1,AK$3-Projects!$C$23+1),0)-IF(AND(Projects!$G$23="Yes",AK$3&gt;=Projects!$C$23,AK$3&lt;Projects!$C$23+Projects!$D$23),Projects!$B$23*(Assumptions!$B$10+Assumptions!$B$11+Assumptions!$B$12)/Projects!$D$23*0.95,0)-IF(AND(Projects!$G$23="Yes",AK$3=Projects!$C$23+Projects!$D$23-1),Projects!$B$23*(Assumptions!$B$10+Assumptions!$B$11+Assumptions!$B$12)*0.05,0)</f>
        <v/>
      </c>
      <c r="AL32" s="399">
        <f>IF(AND(Projects!$G$23="Yes",AL$3&gt;=Projects!$C$23,AL$3&lt;Projects!$C$23+Projects!$D$23),Projects!$B$23*INDEX(Curves!$B$4:$AR$4,1,AL$3-Projects!$C$23+1),0)-IF(AND(Projects!$G$23="Yes",AL$3&gt;=Projects!$C$23,AL$3&lt;Projects!$C$23+Projects!$D$23),Projects!$B$23*(Assumptions!$B$10+Assumptions!$B$11+Assumptions!$B$12)/Projects!$D$23*0.95,0)-IF(AND(Projects!$G$23="Yes",AL$3=Projects!$C$23+Projects!$D$23-1),Projects!$B$23*(Assumptions!$B$10+Assumptions!$B$11+Assumptions!$B$12)*0.05,0)</f>
        <v/>
      </c>
      <c r="AM32" s="399">
        <f>IF(AND(Projects!$G$23="Yes",AM$3&gt;=Projects!$C$23,AM$3&lt;Projects!$C$23+Projects!$D$23),Projects!$B$23*INDEX(Curves!$B$4:$AR$4,1,AM$3-Projects!$C$23+1),0)-IF(AND(Projects!$G$23="Yes",AM$3&gt;=Projects!$C$23,AM$3&lt;Projects!$C$23+Projects!$D$23),Projects!$B$23*(Assumptions!$B$10+Assumptions!$B$11+Assumptions!$B$12)/Projects!$D$23*0.95,0)-IF(AND(Projects!$G$23="Yes",AM$3=Projects!$C$23+Projects!$D$23-1),Projects!$B$23*(Assumptions!$B$10+Assumptions!$B$11+Assumptions!$B$12)*0.05,0)</f>
        <v/>
      </c>
      <c r="AN32" s="399">
        <f>IF(AND(Projects!$G$23="Yes",AN$3&gt;=Projects!$C$23,AN$3&lt;Projects!$C$23+Projects!$D$23),Projects!$B$23*INDEX(Curves!$B$4:$AR$4,1,AN$3-Projects!$C$23+1),0)-IF(AND(Projects!$G$23="Yes",AN$3&gt;=Projects!$C$23,AN$3&lt;Projects!$C$23+Projects!$D$23),Projects!$B$23*(Assumptions!$B$10+Assumptions!$B$11+Assumptions!$B$12)/Projects!$D$23*0.95,0)-IF(AND(Projects!$G$23="Yes",AN$3=Projects!$C$23+Projects!$D$23-1),Projects!$B$23*(Assumptions!$B$10+Assumptions!$B$11+Assumptions!$B$12)*0.05,0)</f>
        <v/>
      </c>
      <c r="AO32" s="399">
        <f>IF(AND(Projects!$G$23="Yes",AO$3&gt;=Projects!$C$23,AO$3&lt;Projects!$C$23+Projects!$D$23),Projects!$B$23*INDEX(Curves!$B$4:$AR$4,1,AO$3-Projects!$C$23+1),0)-IF(AND(Projects!$G$23="Yes",AO$3&gt;=Projects!$C$23,AO$3&lt;Projects!$C$23+Projects!$D$23),Projects!$B$23*(Assumptions!$B$10+Assumptions!$B$11+Assumptions!$B$12)/Projects!$D$23*0.95,0)-IF(AND(Projects!$G$23="Yes",AO$3=Projects!$C$23+Projects!$D$23-1),Projects!$B$23*(Assumptions!$B$10+Assumptions!$B$11+Assumptions!$B$12)*0.05,0)</f>
        <v/>
      </c>
      <c r="AP32" s="399">
        <f>IF(AND(Projects!$G$23="Yes",AP$3&gt;=Projects!$C$23,AP$3&lt;Projects!$C$23+Projects!$D$23),Projects!$B$23*INDEX(Curves!$B$4:$AR$4,1,AP$3-Projects!$C$23+1),0)-IF(AND(Projects!$G$23="Yes",AP$3&gt;=Projects!$C$23,AP$3&lt;Projects!$C$23+Projects!$D$23),Projects!$B$23*(Assumptions!$B$10+Assumptions!$B$11+Assumptions!$B$12)/Projects!$D$23*0.95,0)-IF(AND(Projects!$G$23="Yes",AP$3=Projects!$C$23+Projects!$D$23-1),Projects!$B$23*(Assumptions!$B$10+Assumptions!$B$11+Assumptions!$B$12)*0.05,0)</f>
        <v/>
      </c>
      <c r="AQ32" s="399">
        <f>IF(AND(Projects!$G$23="Yes",AQ$3&gt;=Projects!$C$23,AQ$3&lt;Projects!$C$23+Projects!$D$23),Projects!$B$23*INDEX(Curves!$B$4:$AR$4,1,AQ$3-Projects!$C$23+1),0)-IF(AND(Projects!$G$23="Yes",AQ$3&gt;=Projects!$C$23,AQ$3&lt;Projects!$C$23+Projects!$D$23),Projects!$B$23*(Assumptions!$B$10+Assumptions!$B$11+Assumptions!$B$12)/Projects!$D$23*0.95,0)-IF(AND(Projects!$G$23="Yes",AQ$3=Projects!$C$23+Projects!$D$23-1),Projects!$B$23*(Assumptions!$B$10+Assumptions!$B$11+Assumptions!$B$12)*0.05,0)</f>
        <v/>
      </c>
      <c r="AR32" s="399">
        <f>IF(AND(Projects!$G$23="Yes",AR$3&gt;=Projects!$C$23,AR$3&lt;Projects!$C$23+Projects!$D$23),Projects!$B$23*INDEX(Curves!$B$4:$AR$4,1,AR$3-Projects!$C$23+1),0)-IF(AND(Projects!$G$23="Yes",AR$3&gt;=Projects!$C$23,AR$3&lt;Projects!$C$23+Projects!$D$23),Projects!$B$23*(Assumptions!$B$10+Assumptions!$B$11+Assumptions!$B$12)/Projects!$D$23*0.95,0)-IF(AND(Projects!$G$23="Yes",AR$3=Projects!$C$23+Projects!$D$23-1),Projects!$B$23*(Assumptions!$B$10+Assumptions!$B$11+Assumptions!$B$12)*0.05,0)</f>
        <v/>
      </c>
      <c r="AS32" s="399">
        <f>IF(AND(Projects!$G$23="Yes",AS$3&gt;=Projects!$C$23,AS$3&lt;Projects!$C$23+Projects!$D$23),Projects!$B$23*INDEX(Curves!$B$4:$AR$4,1,AS$3-Projects!$C$23+1),0)-IF(AND(Projects!$G$23="Yes",AS$3&gt;=Projects!$C$23,AS$3&lt;Projects!$C$23+Projects!$D$23),Projects!$B$23*(Assumptions!$B$10+Assumptions!$B$11+Assumptions!$B$12)/Projects!$D$23*0.95,0)-IF(AND(Projects!$G$23="Yes",AS$3=Projects!$C$23+Projects!$D$23-1),Projects!$B$23*(Assumptions!$B$10+Assumptions!$B$11+Assumptions!$B$12)*0.05,0)</f>
        <v/>
      </c>
      <c r="AT32" s="399">
        <f>IF(AND(Projects!$G$23="Yes",AT$3&gt;=Projects!$C$23,AT$3&lt;Projects!$C$23+Projects!$D$23),Projects!$B$23*INDEX(Curves!$B$4:$AR$4,1,AT$3-Projects!$C$23+1),0)-IF(AND(Projects!$G$23="Yes",AT$3&gt;=Projects!$C$23,AT$3&lt;Projects!$C$23+Projects!$D$23),Projects!$B$23*(Assumptions!$B$10+Assumptions!$B$11+Assumptions!$B$12)/Projects!$D$23*0.95,0)-IF(AND(Projects!$G$23="Yes",AT$3=Projects!$C$23+Projects!$D$23-1),Projects!$B$23*(Assumptions!$B$10+Assumptions!$B$11+Assumptions!$B$12)*0.05,0)</f>
        <v/>
      </c>
      <c r="AU32" s="399">
        <f>IF(AND(Projects!$G$23="Yes",AU$3&gt;=Projects!$C$23,AU$3&lt;Projects!$C$23+Projects!$D$23),Projects!$B$23*INDEX(Curves!$B$4:$AR$4,1,AU$3-Projects!$C$23+1),0)-IF(AND(Projects!$G$23="Yes",AU$3&gt;=Projects!$C$23,AU$3&lt;Projects!$C$23+Projects!$D$23),Projects!$B$23*(Assumptions!$B$10+Assumptions!$B$11+Assumptions!$B$12)/Projects!$D$23*0.95,0)-IF(AND(Projects!$G$23="Yes",AU$3=Projects!$C$23+Projects!$D$23-1),Projects!$B$23*(Assumptions!$B$10+Assumptions!$B$11+Assumptions!$B$12)*0.05,0)</f>
        <v/>
      </c>
      <c r="AV32" s="399">
        <f>IF(AND(Projects!$G$23="Yes",AV$3&gt;=Projects!$C$23,AV$3&lt;Projects!$C$23+Projects!$D$23),Projects!$B$23*INDEX(Curves!$B$4:$AR$4,1,AV$3-Projects!$C$23+1),0)-IF(AND(Projects!$G$23="Yes",AV$3&gt;=Projects!$C$23,AV$3&lt;Projects!$C$23+Projects!$D$23),Projects!$B$23*(Assumptions!$B$10+Assumptions!$B$11+Assumptions!$B$12)/Projects!$D$23*0.95,0)-IF(AND(Projects!$G$23="Yes",AV$3=Projects!$C$23+Projects!$D$23-1),Projects!$B$23*(Assumptions!$B$10+Assumptions!$B$11+Assumptions!$B$12)*0.05,0)</f>
        <v/>
      </c>
      <c r="AW32" s="399">
        <f>IF(AND(Projects!$G$23="Yes",AW$3&gt;=Projects!$C$23,AW$3&lt;Projects!$C$23+Projects!$D$23),Projects!$B$23*INDEX(Curves!$B$4:$AR$4,1,AW$3-Projects!$C$23+1),0)-IF(AND(Projects!$G$23="Yes",AW$3&gt;=Projects!$C$23,AW$3&lt;Projects!$C$23+Projects!$D$23),Projects!$B$23*(Assumptions!$B$10+Assumptions!$B$11+Assumptions!$B$12)/Projects!$D$23*0.95,0)-IF(AND(Projects!$G$23="Yes",AW$3=Projects!$C$23+Projects!$D$23-1),Projects!$B$23*(Assumptions!$B$10+Assumptions!$B$11+Assumptions!$B$12)*0.05,0)</f>
        <v/>
      </c>
      <c r="AX32" s="399">
        <f>IF(AND(Projects!$G$23="Yes",AX$3&gt;=Projects!$C$23,AX$3&lt;Projects!$C$23+Projects!$D$23),Projects!$B$23*INDEX(Curves!$B$4:$AR$4,1,AX$3-Projects!$C$23+1),0)-IF(AND(Projects!$G$23="Yes",AX$3&gt;=Projects!$C$23,AX$3&lt;Projects!$C$23+Projects!$D$23),Projects!$B$23*(Assumptions!$B$10+Assumptions!$B$11+Assumptions!$B$12)/Projects!$D$23*0.95,0)-IF(AND(Projects!$G$23="Yes",AX$3=Projects!$C$23+Projects!$D$23-1),Projects!$B$23*(Assumptions!$B$10+Assumptions!$B$11+Assumptions!$B$12)*0.05,0)</f>
        <v/>
      </c>
      <c r="AY32" s="399">
        <f>IF(AND(Projects!$G$23="Yes",AY$3&gt;=Projects!$C$23,AY$3&lt;Projects!$C$23+Projects!$D$23),Projects!$B$23*INDEX(Curves!$B$4:$AR$4,1,AY$3-Projects!$C$23+1),0)-IF(AND(Projects!$G$23="Yes",AY$3&gt;=Projects!$C$23,AY$3&lt;Projects!$C$23+Projects!$D$23),Projects!$B$23*(Assumptions!$B$10+Assumptions!$B$11+Assumptions!$B$12)/Projects!$D$23*0.95,0)-IF(AND(Projects!$G$23="Yes",AY$3=Projects!$C$23+Projects!$D$23-1),Projects!$B$23*(Assumptions!$B$10+Assumptions!$B$11+Assumptions!$B$12)*0.05,0)</f>
        <v/>
      </c>
      <c r="AZ32" s="399">
        <f>IF(AND(Projects!$G$23="Yes",AZ$3&gt;=Projects!$C$23,AZ$3&lt;Projects!$C$23+Projects!$D$23),Projects!$B$23*INDEX(Curves!$B$4:$AR$4,1,AZ$3-Projects!$C$23+1),0)-IF(AND(Projects!$G$23="Yes",AZ$3&gt;=Projects!$C$23,AZ$3&lt;Projects!$C$23+Projects!$D$23),Projects!$B$23*(Assumptions!$B$10+Assumptions!$B$11+Assumptions!$B$12)/Projects!$D$23*0.95,0)-IF(AND(Projects!$G$23="Yes",AZ$3=Projects!$C$23+Projects!$D$23-1),Projects!$B$23*(Assumptions!$B$10+Assumptions!$B$11+Assumptions!$B$12)*0.05,0)</f>
        <v/>
      </c>
      <c r="BA32" s="399">
        <f>IF(AND(Projects!$G$23="Yes",BA$3&gt;=Projects!$C$23,BA$3&lt;Projects!$C$23+Projects!$D$23),Projects!$B$23*INDEX(Curves!$B$4:$AR$4,1,BA$3-Projects!$C$23+1),0)-IF(AND(Projects!$G$23="Yes",BA$3&gt;=Projects!$C$23,BA$3&lt;Projects!$C$23+Projects!$D$23),Projects!$B$23*(Assumptions!$B$10+Assumptions!$B$11+Assumptions!$B$12)/Projects!$D$23*0.95,0)-IF(AND(Projects!$G$23="Yes",BA$3=Projects!$C$23+Projects!$D$23-1),Projects!$B$23*(Assumptions!$B$10+Assumptions!$B$11+Assumptions!$B$12)*0.05,0)</f>
        <v/>
      </c>
      <c r="BB32" s="399">
        <f>IF(AND(Projects!$G$23="Yes",BB$3&gt;=Projects!$C$23,BB$3&lt;Projects!$C$23+Projects!$D$23),Projects!$B$23*INDEX(Curves!$B$4:$AR$4,1,BB$3-Projects!$C$23+1),0)-IF(AND(Projects!$G$23="Yes",BB$3&gt;=Projects!$C$23,BB$3&lt;Projects!$C$23+Projects!$D$23),Projects!$B$23*(Assumptions!$B$10+Assumptions!$B$11+Assumptions!$B$12)/Projects!$D$23*0.95,0)-IF(AND(Projects!$G$23="Yes",BB$3=Projects!$C$23+Projects!$D$23-1),Projects!$B$23*(Assumptions!$B$10+Assumptions!$B$11+Assumptions!$B$12)*0.05,0)</f>
        <v/>
      </c>
      <c r="BC32" s="399">
        <f>IF(AND(Projects!$G$23="Yes",BC$3&gt;=Projects!$C$23,BC$3&lt;Projects!$C$23+Projects!$D$23),Projects!$B$23*INDEX(Curves!$B$4:$AR$4,1,BC$3-Projects!$C$23+1),0)-IF(AND(Projects!$G$23="Yes",BC$3&gt;=Projects!$C$23,BC$3&lt;Projects!$C$23+Projects!$D$23),Projects!$B$23*(Assumptions!$B$10+Assumptions!$B$11+Assumptions!$B$12)/Projects!$D$23*0.95,0)-IF(AND(Projects!$G$23="Yes",BC$3=Projects!$C$23+Projects!$D$23-1),Projects!$B$23*(Assumptions!$B$10+Assumptions!$B$11+Assumptions!$B$12)*0.05,0)</f>
        <v/>
      </c>
      <c r="BD32" s="399">
        <f>IF(AND(Projects!$G$23="Yes",BD$3&gt;=Projects!$C$23,BD$3&lt;Projects!$C$23+Projects!$D$23),Projects!$B$23*INDEX(Curves!$B$4:$AR$4,1,BD$3-Projects!$C$23+1),0)-IF(AND(Projects!$G$23="Yes",BD$3&gt;=Projects!$C$23,BD$3&lt;Projects!$C$23+Projects!$D$23),Projects!$B$23*(Assumptions!$B$10+Assumptions!$B$11+Assumptions!$B$12)/Projects!$D$23*0.95,0)-IF(AND(Projects!$G$23="Yes",BD$3=Projects!$C$23+Projects!$D$23-1),Projects!$B$23*(Assumptions!$B$10+Assumptions!$B$11+Assumptions!$B$12)*0.05,0)</f>
        <v/>
      </c>
      <c r="BE32" s="399">
        <f>IF(AND(Projects!$G$23="Yes",BE$3&gt;=Projects!$C$23,BE$3&lt;Projects!$C$23+Projects!$D$23),Projects!$B$23*INDEX(Curves!$B$4:$AR$4,1,BE$3-Projects!$C$23+1),0)-IF(AND(Projects!$G$23="Yes",BE$3&gt;=Projects!$C$23,BE$3&lt;Projects!$C$23+Projects!$D$23),Projects!$B$23*(Assumptions!$B$10+Assumptions!$B$11+Assumptions!$B$12)/Projects!$D$23*0.95,0)-IF(AND(Projects!$G$23="Yes",BE$3=Projects!$C$23+Projects!$D$23-1),Projects!$B$23*(Assumptions!$B$10+Assumptions!$B$11+Assumptions!$B$12)*0.05,0)</f>
        <v/>
      </c>
      <c r="BF32" s="399">
        <f>IF(AND(Projects!$G$23="Yes",BF$3&gt;=Projects!$C$23,BF$3&lt;Projects!$C$23+Projects!$D$23),Projects!$B$23*INDEX(Curves!$B$4:$AR$4,1,BF$3-Projects!$C$23+1),0)-IF(AND(Projects!$G$23="Yes",BF$3&gt;=Projects!$C$23,BF$3&lt;Projects!$C$23+Projects!$D$23),Projects!$B$23*(Assumptions!$B$10+Assumptions!$B$11+Assumptions!$B$12)/Projects!$D$23*0.95,0)-IF(AND(Projects!$G$23="Yes",BF$3=Projects!$C$23+Projects!$D$23-1),Projects!$B$23*(Assumptions!$B$10+Assumptions!$B$11+Assumptions!$B$12)*0.05,0)</f>
        <v/>
      </c>
      <c r="BG32" s="399">
        <f>IF(AND(Projects!$G$23="Yes",BG$3&gt;=Projects!$C$23,BG$3&lt;Projects!$C$23+Projects!$D$23),Projects!$B$23*INDEX(Curves!$B$4:$AR$4,1,BG$3-Projects!$C$23+1),0)-IF(AND(Projects!$G$23="Yes",BG$3&gt;=Projects!$C$23,BG$3&lt;Projects!$C$23+Projects!$D$23),Projects!$B$23*(Assumptions!$B$10+Assumptions!$B$11+Assumptions!$B$12)/Projects!$D$23*0.95,0)-IF(AND(Projects!$G$23="Yes",BG$3=Projects!$C$23+Projects!$D$23-1),Projects!$B$23*(Assumptions!$B$10+Assumptions!$B$11+Assumptions!$B$12)*0.05,0)</f>
        <v/>
      </c>
      <c r="BH32" s="399">
        <f>IF(AND(Projects!$G$23="Yes",BH$3&gt;=Projects!$C$23,BH$3&lt;Projects!$C$23+Projects!$D$23),Projects!$B$23*INDEX(Curves!$B$4:$AR$4,1,BH$3-Projects!$C$23+1),0)-IF(AND(Projects!$G$23="Yes",BH$3&gt;=Projects!$C$23,BH$3&lt;Projects!$C$23+Projects!$D$23),Projects!$B$23*(Assumptions!$B$10+Assumptions!$B$11+Assumptions!$B$12)/Projects!$D$23*0.95,0)-IF(AND(Projects!$G$23="Yes",BH$3=Projects!$C$23+Projects!$D$23-1),Projects!$B$23*(Assumptions!$B$10+Assumptions!$B$11+Assumptions!$B$12)*0.05,0)</f>
        <v/>
      </c>
      <c r="BI32" s="399">
        <f>IF(AND(Projects!$G$23="Yes",BI$3&gt;=Projects!$C$23,BI$3&lt;Projects!$C$23+Projects!$D$23),Projects!$B$23*INDEX(Curves!$B$4:$AR$4,1,BI$3-Projects!$C$23+1),0)-IF(AND(Projects!$G$23="Yes",BI$3&gt;=Projects!$C$23,BI$3&lt;Projects!$C$23+Projects!$D$23),Projects!$B$23*(Assumptions!$B$10+Assumptions!$B$11+Assumptions!$B$12)/Projects!$D$23*0.95,0)-IF(AND(Projects!$G$23="Yes",BI$3=Projects!$C$23+Projects!$D$23-1),Projects!$B$23*(Assumptions!$B$10+Assumptions!$B$11+Assumptions!$B$12)*0.05,0)</f>
        <v/>
      </c>
      <c r="BJ32" s="399">
        <f>IF(AND(Projects!$G$23="Yes",BJ$3&gt;=Projects!$C$23,BJ$3&lt;Projects!$C$23+Projects!$D$23),Projects!$B$23*INDEX(Curves!$B$4:$AR$4,1,BJ$3-Projects!$C$23+1),0)-IF(AND(Projects!$G$23="Yes",BJ$3&gt;=Projects!$C$23,BJ$3&lt;Projects!$C$23+Projects!$D$23),Projects!$B$23*(Assumptions!$B$10+Assumptions!$B$11+Assumptions!$B$12)/Projects!$D$23*0.95,0)-IF(AND(Projects!$G$23="Yes",BJ$3=Projects!$C$23+Projects!$D$23-1),Projects!$B$23*(Assumptions!$B$10+Assumptions!$B$11+Assumptions!$B$12)*0.05,0)</f>
        <v/>
      </c>
      <c r="BK32" s="399">
        <f>IF(AND(Projects!$G$23="Yes",BK$3&gt;=Projects!$C$23,BK$3&lt;Projects!$C$23+Projects!$D$23),Projects!$B$23*INDEX(Curves!$B$4:$AR$4,1,BK$3-Projects!$C$23+1),0)-IF(AND(Projects!$G$23="Yes",BK$3&gt;=Projects!$C$23,BK$3&lt;Projects!$C$23+Projects!$D$23),Projects!$B$23*(Assumptions!$B$10+Assumptions!$B$11+Assumptions!$B$12)/Projects!$D$23*0.95,0)-IF(AND(Projects!$G$23="Yes",BK$3=Projects!$C$23+Projects!$D$23-1),Projects!$B$23*(Assumptions!$B$10+Assumptions!$B$11+Assumptions!$B$12)*0.05,0)</f>
        <v/>
      </c>
      <c r="BL32" s="399">
        <f>IF(AND(Projects!$G$23="Yes",BL$3&gt;=Projects!$C$23,BL$3&lt;Projects!$C$23+Projects!$D$23),Projects!$B$23*INDEX(Curves!$B$4:$AR$4,1,BL$3-Projects!$C$23+1),0)-IF(AND(Projects!$G$23="Yes",BL$3&gt;=Projects!$C$23,BL$3&lt;Projects!$C$23+Projects!$D$23),Projects!$B$23*(Assumptions!$B$10+Assumptions!$B$11+Assumptions!$B$12)/Projects!$D$23*0.95,0)-IF(AND(Projects!$G$23="Yes",BL$3=Projects!$C$23+Projects!$D$23-1),Projects!$B$23*(Assumptions!$B$10+Assumptions!$B$11+Assumptions!$B$12)*0.05,0)</f>
        <v/>
      </c>
      <c r="BM32" s="399">
        <f>IF(AND(Projects!$G$23="Yes",BM$3&gt;=Projects!$C$23,BM$3&lt;Projects!$C$23+Projects!$D$23),Projects!$B$23*INDEX(Curves!$B$4:$AR$4,1,BM$3-Projects!$C$23+1),0)-IF(AND(Projects!$G$23="Yes",BM$3&gt;=Projects!$C$23,BM$3&lt;Projects!$C$23+Projects!$D$23),Projects!$B$23*(Assumptions!$B$10+Assumptions!$B$11+Assumptions!$B$12)/Projects!$D$23*0.95,0)-IF(AND(Projects!$G$23="Yes",BM$3=Projects!$C$23+Projects!$D$23-1),Projects!$B$23*(Assumptions!$B$10+Assumptions!$B$11+Assumptions!$B$12)*0.05,0)</f>
        <v/>
      </c>
      <c r="BN32" s="399">
        <f>IF(AND(Projects!$G$23="Yes",BN$3&gt;=Projects!$C$23,BN$3&lt;Projects!$C$23+Projects!$D$23),Projects!$B$23*INDEX(Curves!$B$4:$AR$4,1,BN$3-Projects!$C$23+1),0)-IF(AND(Projects!$G$23="Yes",BN$3&gt;=Projects!$C$23,BN$3&lt;Projects!$C$23+Projects!$D$23),Projects!$B$23*(Assumptions!$B$10+Assumptions!$B$11+Assumptions!$B$12)/Projects!$D$23*0.95,0)-IF(AND(Projects!$G$23="Yes",BN$3=Projects!$C$23+Projects!$D$23-1),Projects!$B$23*(Assumptions!$B$10+Assumptions!$B$11+Assumptions!$B$12)*0.05,0)</f>
        <v/>
      </c>
      <c r="BO32" s="399">
        <f>IF(AND(Projects!$G$23="Yes",BO$3&gt;=Projects!$C$23,BO$3&lt;Projects!$C$23+Projects!$D$23),Projects!$B$23*INDEX(Curves!$B$4:$AR$4,1,BO$3-Projects!$C$23+1),0)-IF(AND(Projects!$G$23="Yes",BO$3&gt;=Projects!$C$23,BO$3&lt;Projects!$C$23+Projects!$D$23),Projects!$B$23*(Assumptions!$B$10+Assumptions!$B$11+Assumptions!$B$12)/Projects!$D$23*0.95,0)-IF(AND(Projects!$G$23="Yes",BO$3=Projects!$C$23+Projects!$D$23-1),Projects!$B$23*(Assumptions!$B$10+Assumptions!$B$11+Assumptions!$B$12)*0.05,0)</f>
        <v/>
      </c>
      <c r="BP32" s="399">
        <f>IF(AND(Projects!$G$23="Yes",BP$3&gt;=Projects!$C$23,BP$3&lt;Projects!$C$23+Projects!$D$23),Projects!$B$23*INDEX(Curves!$B$4:$AR$4,1,BP$3-Projects!$C$23+1),0)-IF(AND(Projects!$G$23="Yes",BP$3&gt;=Projects!$C$23,BP$3&lt;Projects!$C$23+Projects!$D$23),Projects!$B$23*(Assumptions!$B$10+Assumptions!$B$11+Assumptions!$B$12)/Projects!$D$23*0.95,0)-IF(AND(Projects!$G$23="Yes",BP$3=Projects!$C$23+Projects!$D$23-1),Projects!$B$23*(Assumptions!$B$10+Assumptions!$B$11+Assumptions!$B$12)*0.05,0)</f>
        <v/>
      </c>
      <c r="BQ32" s="399">
        <f>IF(AND(Projects!$G$23="Yes",BQ$3&gt;=Projects!$C$23,BQ$3&lt;Projects!$C$23+Projects!$D$23),Projects!$B$23*INDEX(Curves!$B$4:$AR$4,1,BQ$3-Projects!$C$23+1),0)-IF(AND(Projects!$G$23="Yes",BQ$3&gt;=Projects!$C$23,BQ$3&lt;Projects!$C$23+Projects!$D$23),Projects!$B$23*(Assumptions!$B$10+Assumptions!$B$11+Assumptions!$B$12)/Projects!$D$23*0.95,0)-IF(AND(Projects!$G$23="Yes",BQ$3=Projects!$C$23+Projects!$D$23-1),Projects!$B$23*(Assumptions!$B$10+Assumptions!$B$11+Assumptions!$B$12)*0.05,0)</f>
        <v/>
      </c>
      <c r="BR32" s="399">
        <f>IF(AND(Projects!$G$23="Yes",BR$3&gt;=Projects!$C$23,BR$3&lt;Projects!$C$23+Projects!$D$23),Projects!$B$23*INDEX(Curves!$B$4:$AR$4,1,BR$3-Projects!$C$23+1),0)-IF(AND(Projects!$G$23="Yes",BR$3&gt;=Projects!$C$23,BR$3&lt;Projects!$C$23+Projects!$D$23),Projects!$B$23*(Assumptions!$B$10+Assumptions!$B$11+Assumptions!$B$12)/Projects!$D$23*0.95,0)-IF(AND(Projects!$G$23="Yes",BR$3=Projects!$C$23+Projects!$D$23-1),Projects!$B$23*(Assumptions!$B$10+Assumptions!$B$11+Assumptions!$B$12)*0.05,0)</f>
        <v/>
      </c>
      <c r="BS32" s="399">
        <f>IF(AND(Projects!$G$23="Yes",BS$3&gt;=Projects!$C$23,BS$3&lt;Projects!$C$23+Projects!$D$23),Projects!$B$23*INDEX(Curves!$B$4:$AR$4,1,BS$3-Projects!$C$23+1),0)-IF(AND(Projects!$G$23="Yes",BS$3&gt;=Projects!$C$23,BS$3&lt;Projects!$C$23+Projects!$D$23),Projects!$B$23*(Assumptions!$B$10+Assumptions!$B$11+Assumptions!$B$12)/Projects!$D$23*0.95,0)-IF(AND(Projects!$G$23="Yes",BS$3=Projects!$C$23+Projects!$D$23-1),Projects!$B$23*(Assumptions!$B$10+Assumptions!$B$11+Assumptions!$B$12)*0.05,0)</f>
        <v/>
      </c>
      <c r="BT32" s="399">
        <f>IF(AND(Projects!$G$23="Yes",BT$3&gt;=Projects!$C$23,BT$3&lt;Projects!$C$23+Projects!$D$23),Projects!$B$23*INDEX(Curves!$B$4:$AR$4,1,BT$3-Projects!$C$23+1),0)-IF(AND(Projects!$G$23="Yes",BT$3&gt;=Projects!$C$23,BT$3&lt;Projects!$C$23+Projects!$D$23),Projects!$B$23*(Assumptions!$B$10+Assumptions!$B$11+Assumptions!$B$12)/Projects!$D$23*0.95,0)-IF(AND(Projects!$G$23="Yes",BT$3=Projects!$C$23+Projects!$D$23-1),Projects!$B$23*(Assumptions!$B$10+Assumptions!$B$11+Assumptions!$B$12)*0.05,0)</f>
        <v/>
      </c>
      <c r="BU32" s="399">
        <f>IF(AND(Projects!$G$23="Yes",BU$3&gt;=Projects!$C$23,BU$3&lt;Projects!$C$23+Projects!$D$23),Projects!$B$23*INDEX(Curves!$B$4:$AR$4,1,BU$3-Projects!$C$23+1),0)-IF(AND(Projects!$G$23="Yes",BU$3&gt;=Projects!$C$23,BU$3&lt;Projects!$C$23+Projects!$D$23),Projects!$B$23*(Assumptions!$B$10+Assumptions!$B$11+Assumptions!$B$12)/Projects!$D$23*0.95,0)-IF(AND(Projects!$G$23="Yes",BU$3=Projects!$C$23+Projects!$D$23-1),Projects!$B$23*(Assumptions!$B$10+Assumptions!$B$11+Assumptions!$B$12)*0.05,0)</f>
        <v/>
      </c>
      <c r="BV32" s="399">
        <f>IF(AND(Projects!$G$23="Yes",BV$3&gt;=Projects!$C$23,BV$3&lt;Projects!$C$23+Projects!$D$23),Projects!$B$23*INDEX(Curves!$B$4:$AR$4,1,BV$3-Projects!$C$23+1),0)-IF(AND(Projects!$G$23="Yes",BV$3&gt;=Projects!$C$23,BV$3&lt;Projects!$C$23+Projects!$D$23),Projects!$B$23*(Assumptions!$B$10+Assumptions!$B$11+Assumptions!$B$12)/Projects!$D$23*0.95,0)-IF(AND(Projects!$G$23="Yes",BV$3=Projects!$C$23+Projects!$D$23-1),Projects!$B$23*(Assumptions!$B$10+Assumptions!$B$11+Assumptions!$B$12)*0.05,0)</f>
        <v/>
      </c>
      <c r="BW32" s="399">
        <f>IF(AND(Projects!$G$23="Yes",BW$3&gt;=Projects!$C$23,BW$3&lt;Projects!$C$23+Projects!$D$23),Projects!$B$23*INDEX(Curves!$B$4:$AR$4,1,BW$3-Projects!$C$23+1),0)-IF(AND(Projects!$G$23="Yes",BW$3&gt;=Projects!$C$23,BW$3&lt;Projects!$C$23+Projects!$D$23),Projects!$B$23*(Assumptions!$B$10+Assumptions!$B$11+Assumptions!$B$12)/Projects!$D$23*0.95,0)-IF(AND(Projects!$G$23="Yes",BW$3=Projects!$C$23+Projects!$D$23-1),Projects!$B$23*(Assumptions!$B$10+Assumptions!$B$11+Assumptions!$B$12)*0.05,0)</f>
        <v/>
      </c>
      <c r="BX32" s="399">
        <f>IF(AND(Projects!$G$23="Yes",BX$3&gt;=Projects!$C$23,BX$3&lt;Projects!$C$23+Projects!$D$23),Projects!$B$23*INDEX(Curves!$B$4:$AR$4,1,BX$3-Projects!$C$23+1),0)-IF(AND(Projects!$G$23="Yes",BX$3&gt;=Projects!$C$23,BX$3&lt;Projects!$C$23+Projects!$D$23),Projects!$B$23*(Assumptions!$B$10+Assumptions!$B$11+Assumptions!$B$12)/Projects!$D$23*0.95,0)-IF(AND(Projects!$G$23="Yes",BX$3=Projects!$C$23+Projects!$D$23-1),Projects!$B$23*(Assumptions!$B$10+Assumptions!$B$11+Assumptions!$B$12)*0.05,0)</f>
        <v/>
      </c>
      <c r="BY32" s="399">
        <f>IF(AND(Projects!$G$23="Yes",BY$3&gt;=Projects!$C$23,BY$3&lt;Projects!$C$23+Projects!$D$23),Projects!$B$23*INDEX(Curves!$B$4:$AR$4,1,BY$3-Projects!$C$23+1),0)-IF(AND(Projects!$G$23="Yes",BY$3&gt;=Projects!$C$23,BY$3&lt;Projects!$C$23+Projects!$D$23),Projects!$B$23*(Assumptions!$B$10+Assumptions!$B$11+Assumptions!$B$12)/Projects!$D$23*0.95,0)-IF(AND(Projects!$G$23="Yes",BY$3=Projects!$C$23+Projects!$D$23-1),Projects!$B$23*(Assumptions!$B$10+Assumptions!$B$11+Assumptions!$B$12)*0.05,0)</f>
        <v/>
      </c>
      <c r="BZ32" s="399">
        <f>IF(AND(Projects!$G$23="Yes",BZ$3&gt;=Projects!$C$23,BZ$3&lt;Projects!$C$23+Projects!$D$23),Projects!$B$23*INDEX(Curves!$B$4:$AR$4,1,BZ$3-Projects!$C$23+1),0)-IF(AND(Projects!$G$23="Yes",BZ$3&gt;=Projects!$C$23,BZ$3&lt;Projects!$C$23+Projects!$D$23),Projects!$B$23*(Assumptions!$B$10+Assumptions!$B$11+Assumptions!$B$12)/Projects!$D$23*0.95,0)-IF(AND(Projects!$G$23="Yes",BZ$3=Projects!$C$23+Projects!$D$23-1),Projects!$B$23*(Assumptions!$B$10+Assumptions!$B$11+Assumptions!$B$12)*0.05,0)</f>
        <v/>
      </c>
      <c r="CA32" s="399">
        <f>IF(AND(Projects!$G$23="Yes",CA$3&gt;=Projects!$C$23,CA$3&lt;Projects!$C$23+Projects!$D$23),Projects!$B$23*INDEX(Curves!$B$4:$AR$4,1,CA$3-Projects!$C$23+1),0)-IF(AND(Projects!$G$23="Yes",CA$3&gt;=Projects!$C$23,CA$3&lt;Projects!$C$23+Projects!$D$23),Projects!$B$23*(Assumptions!$B$10+Assumptions!$B$11+Assumptions!$B$12)/Projects!$D$23*0.95,0)-IF(AND(Projects!$G$23="Yes",CA$3=Projects!$C$23+Projects!$D$23-1),Projects!$B$23*(Assumptions!$B$10+Assumptions!$B$11+Assumptions!$B$12)*0.05,0)</f>
        <v/>
      </c>
      <c r="CB32" s="399">
        <f>IF(AND(Projects!$G$23="Yes",CB$3&gt;=Projects!$C$23,CB$3&lt;Projects!$C$23+Projects!$D$23),Projects!$B$23*INDEX(Curves!$B$4:$AR$4,1,CB$3-Projects!$C$23+1),0)-IF(AND(Projects!$G$23="Yes",CB$3&gt;=Projects!$C$23,CB$3&lt;Projects!$C$23+Projects!$D$23),Projects!$B$23*(Assumptions!$B$10+Assumptions!$B$11+Assumptions!$B$12)/Projects!$D$23*0.95,0)-IF(AND(Projects!$G$23="Yes",CB$3=Projects!$C$23+Projects!$D$23-1),Projects!$B$23*(Assumptions!$B$10+Assumptions!$B$11+Assumptions!$B$12)*0.05,0)</f>
        <v/>
      </c>
      <c r="CC32" s="399">
        <f>IF(AND(Projects!$G$23="Yes",CC$3&gt;=Projects!$C$23,CC$3&lt;Projects!$C$23+Projects!$D$23),Projects!$B$23*INDEX(Curves!$B$4:$AR$4,1,CC$3-Projects!$C$23+1),0)-IF(AND(Projects!$G$23="Yes",CC$3&gt;=Projects!$C$23,CC$3&lt;Projects!$C$23+Projects!$D$23),Projects!$B$23*(Assumptions!$B$10+Assumptions!$B$11+Assumptions!$B$12)/Projects!$D$23*0.95,0)-IF(AND(Projects!$G$23="Yes",CC$3=Projects!$C$23+Projects!$D$23-1),Projects!$B$23*(Assumptions!$B$10+Assumptions!$B$11+Assumptions!$B$12)*0.05,0)</f>
        <v/>
      </c>
      <c r="CD32" s="399">
        <f>IF(AND(Projects!$G$23="Yes",CD$3&gt;=Projects!$C$23,CD$3&lt;Projects!$C$23+Projects!$D$23),Projects!$B$23*INDEX(Curves!$B$4:$AR$4,1,CD$3-Projects!$C$23+1),0)-IF(AND(Projects!$G$23="Yes",CD$3&gt;=Projects!$C$23,CD$3&lt;Projects!$C$23+Projects!$D$23),Projects!$B$23*(Assumptions!$B$10+Assumptions!$B$11+Assumptions!$B$12)/Projects!$D$23*0.95,0)-IF(AND(Projects!$G$23="Yes",CD$3=Projects!$C$23+Projects!$D$23-1),Projects!$B$23*(Assumptions!$B$10+Assumptions!$B$11+Assumptions!$B$12)*0.05,0)</f>
        <v/>
      </c>
      <c r="CE32" s="399">
        <f>IF(AND(Projects!$G$23="Yes",CE$3&gt;=Projects!$C$23,CE$3&lt;Projects!$C$23+Projects!$D$23),Projects!$B$23*INDEX(Curves!$B$4:$AR$4,1,CE$3-Projects!$C$23+1),0)-IF(AND(Projects!$G$23="Yes",CE$3&gt;=Projects!$C$23,CE$3&lt;Projects!$C$23+Projects!$D$23),Projects!$B$23*(Assumptions!$B$10+Assumptions!$B$11+Assumptions!$B$12)/Projects!$D$23*0.95,0)-IF(AND(Projects!$G$23="Yes",CE$3=Projects!$C$23+Projects!$D$23-1),Projects!$B$23*(Assumptions!$B$10+Assumptions!$B$11+Assumptions!$B$12)*0.05,0)</f>
        <v/>
      </c>
      <c r="CF32" s="399">
        <f>IF(AND(Projects!$G$23="Yes",CF$3&gt;=Projects!$C$23,CF$3&lt;Projects!$C$23+Projects!$D$23),Projects!$B$23*INDEX(Curves!$B$4:$AR$4,1,CF$3-Projects!$C$23+1),0)-IF(AND(Projects!$G$23="Yes",CF$3&gt;=Projects!$C$23,CF$3&lt;Projects!$C$23+Projects!$D$23),Projects!$B$23*(Assumptions!$B$10+Assumptions!$B$11+Assumptions!$B$12)/Projects!$D$23*0.95,0)-IF(AND(Projects!$G$23="Yes",CF$3=Projects!$C$23+Projects!$D$23-1),Projects!$B$23*(Assumptions!$B$10+Assumptions!$B$11+Assumptions!$B$12)*0.05,0)</f>
        <v/>
      </c>
      <c r="CG32" s="399">
        <f>IF(AND(Projects!$G$23="Yes",CG$3&gt;=Projects!$C$23,CG$3&lt;Projects!$C$23+Projects!$D$23),Projects!$B$23*INDEX(Curves!$B$4:$AR$4,1,CG$3-Projects!$C$23+1),0)-IF(AND(Projects!$G$23="Yes",CG$3&gt;=Projects!$C$23,CG$3&lt;Projects!$C$23+Projects!$D$23),Projects!$B$23*(Assumptions!$B$10+Assumptions!$B$11+Assumptions!$B$12)/Projects!$D$23*0.95,0)-IF(AND(Projects!$G$23="Yes",CG$3=Projects!$C$23+Projects!$D$23-1),Projects!$B$23*(Assumptions!$B$10+Assumptions!$B$11+Assumptions!$B$12)*0.05,0)</f>
        <v/>
      </c>
      <c r="CH32" s="399">
        <f>IF(AND(Projects!$G$23="Yes",CH$3&gt;=Projects!$C$23,CH$3&lt;Projects!$C$23+Projects!$D$23),Projects!$B$23*INDEX(Curves!$B$4:$AR$4,1,CH$3-Projects!$C$23+1),0)-IF(AND(Projects!$G$23="Yes",CH$3&gt;=Projects!$C$23,CH$3&lt;Projects!$C$23+Projects!$D$23),Projects!$B$23*(Assumptions!$B$10+Assumptions!$B$11+Assumptions!$B$12)/Projects!$D$23*0.95,0)-IF(AND(Projects!$G$23="Yes",CH$3=Projects!$C$23+Projects!$D$23-1),Projects!$B$23*(Assumptions!$B$10+Assumptions!$B$11+Assumptions!$B$12)*0.05,0)</f>
        <v/>
      </c>
      <c r="CI32" s="399">
        <f>IF(AND(Projects!$G$23="Yes",CI$3&gt;=Projects!$C$23,CI$3&lt;Projects!$C$23+Projects!$D$23),Projects!$B$23*INDEX(Curves!$B$4:$AR$4,1,CI$3-Projects!$C$23+1),0)-IF(AND(Projects!$G$23="Yes",CI$3&gt;=Projects!$C$23,CI$3&lt;Projects!$C$23+Projects!$D$23),Projects!$B$23*(Assumptions!$B$10+Assumptions!$B$11+Assumptions!$B$12)/Projects!$D$23*0.95,0)-IF(AND(Projects!$G$23="Yes",CI$3=Projects!$C$23+Projects!$D$23-1),Projects!$B$23*(Assumptions!$B$10+Assumptions!$B$11+Assumptions!$B$12)*0.05,0)</f>
        <v/>
      </c>
      <c r="CJ32" s="399">
        <f>IF(AND(Projects!$G$23="Yes",CJ$3&gt;=Projects!$C$23,CJ$3&lt;Projects!$C$23+Projects!$D$23),Projects!$B$23*INDEX(Curves!$B$4:$AR$4,1,CJ$3-Projects!$C$23+1),0)-IF(AND(Projects!$G$23="Yes",CJ$3&gt;=Projects!$C$23,CJ$3&lt;Projects!$C$23+Projects!$D$23),Projects!$B$23*(Assumptions!$B$10+Assumptions!$B$11+Assumptions!$B$12)/Projects!$D$23*0.95,0)-IF(AND(Projects!$G$23="Yes",CJ$3=Projects!$C$23+Projects!$D$23-1),Projects!$B$23*(Assumptions!$B$10+Assumptions!$B$11+Assumptions!$B$12)*0.05,0)</f>
        <v/>
      </c>
      <c r="CK32" s="399">
        <f>IF(AND(Projects!$G$23="Yes",CK$3&gt;=Projects!$C$23,CK$3&lt;Projects!$C$23+Projects!$D$23),Projects!$B$23*INDEX(Curves!$B$4:$AR$4,1,CK$3-Projects!$C$23+1),0)-IF(AND(Projects!$G$23="Yes",CK$3&gt;=Projects!$C$23,CK$3&lt;Projects!$C$23+Projects!$D$23),Projects!$B$23*(Assumptions!$B$10+Assumptions!$B$11+Assumptions!$B$12)/Projects!$D$23*0.95,0)-IF(AND(Projects!$G$23="Yes",CK$3=Projects!$C$23+Projects!$D$23-1),Projects!$B$23*(Assumptions!$B$10+Assumptions!$B$11+Assumptions!$B$12)*0.05,0)</f>
        <v/>
      </c>
      <c r="CL32" s="399">
        <f>IF(AND(Projects!$G$23="Yes",CL$3&gt;=Projects!$C$23,CL$3&lt;Projects!$C$23+Projects!$D$23),Projects!$B$23*INDEX(Curves!$B$4:$AR$4,1,CL$3-Projects!$C$23+1),0)-IF(AND(Projects!$G$23="Yes",CL$3&gt;=Projects!$C$23,CL$3&lt;Projects!$C$23+Projects!$D$23),Projects!$B$23*(Assumptions!$B$10+Assumptions!$B$11+Assumptions!$B$12)/Projects!$D$23*0.95,0)-IF(AND(Projects!$G$23="Yes",CL$3=Projects!$C$23+Projects!$D$23-1),Projects!$B$23*(Assumptions!$B$10+Assumptions!$B$11+Assumptions!$B$12)*0.05,0)</f>
        <v/>
      </c>
      <c r="CM32" s="399">
        <f>IF(AND(Projects!$G$23="Yes",CM$3&gt;=Projects!$C$23,CM$3&lt;Projects!$C$23+Projects!$D$23),Projects!$B$23*INDEX(Curves!$B$4:$AR$4,1,CM$3-Projects!$C$23+1),0)-IF(AND(Projects!$G$23="Yes",CM$3&gt;=Projects!$C$23,CM$3&lt;Projects!$C$23+Projects!$D$23),Projects!$B$23*(Assumptions!$B$10+Assumptions!$B$11+Assumptions!$B$12)/Projects!$D$23*0.95,0)-IF(AND(Projects!$G$23="Yes",CM$3=Projects!$C$23+Projects!$D$23-1),Projects!$B$23*(Assumptions!$B$10+Assumptions!$B$11+Assumptions!$B$12)*0.05,0)</f>
        <v/>
      </c>
      <c r="CN32" s="399">
        <f>IF(AND(Projects!$G$23="Yes",CN$3&gt;=Projects!$C$23,CN$3&lt;Projects!$C$23+Projects!$D$23),Projects!$B$23*INDEX(Curves!$B$4:$AR$4,1,CN$3-Projects!$C$23+1),0)-IF(AND(Projects!$G$23="Yes",CN$3&gt;=Projects!$C$23,CN$3&lt;Projects!$C$23+Projects!$D$23),Projects!$B$23*(Assumptions!$B$10+Assumptions!$B$11+Assumptions!$B$12)/Projects!$D$23*0.95,0)-IF(AND(Projects!$G$23="Yes",CN$3=Projects!$C$23+Projects!$D$23-1),Projects!$B$23*(Assumptions!$B$10+Assumptions!$B$11+Assumptions!$B$12)*0.05,0)</f>
        <v/>
      </c>
      <c r="CO32" s="399">
        <f>IF(AND(Projects!$G$23="Yes",CO$3&gt;=Projects!$C$23,CO$3&lt;Projects!$C$23+Projects!$D$23),Projects!$B$23*INDEX(Curves!$B$4:$AR$4,1,CO$3-Projects!$C$23+1),0)-IF(AND(Projects!$G$23="Yes",CO$3&gt;=Projects!$C$23,CO$3&lt;Projects!$C$23+Projects!$D$23),Projects!$B$23*(Assumptions!$B$10+Assumptions!$B$11+Assumptions!$B$12)/Projects!$D$23*0.95,0)-IF(AND(Projects!$G$23="Yes",CO$3=Projects!$C$23+Projects!$D$23-1),Projects!$B$23*(Assumptions!$B$10+Assumptions!$B$11+Assumptions!$B$12)*0.05,0)</f>
        <v/>
      </c>
      <c r="CP32" s="399">
        <f>IF(AND(Projects!$G$23="Yes",CP$3&gt;=Projects!$C$23,CP$3&lt;Projects!$C$23+Projects!$D$23),Projects!$B$23*INDEX(Curves!$B$4:$AR$4,1,CP$3-Projects!$C$23+1),0)-IF(AND(Projects!$G$23="Yes",CP$3&gt;=Projects!$C$23,CP$3&lt;Projects!$C$23+Projects!$D$23),Projects!$B$23*(Assumptions!$B$10+Assumptions!$B$11+Assumptions!$B$12)/Projects!$D$23*0.95,0)-IF(AND(Projects!$G$23="Yes",CP$3=Projects!$C$23+Projects!$D$23-1),Projects!$B$23*(Assumptions!$B$10+Assumptions!$B$11+Assumptions!$B$12)*0.05,0)</f>
        <v/>
      </c>
      <c r="CQ32" s="399">
        <f>IF(AND(Projects!$G$23="Yes",CQ$3&gt;=Projects!$C$23,CQ$3&lt;Projects!$C$23+Projects!$D$23),Projects!$B$23*INDEX(Curves!$B$4:$AR$4,1,CQ$3-Projects!$C$23+1),0)-IF(AND(Projects!$G$23="Yes",CQ$3&gt;=Projects!$C$23,CQ$3&lt;Projects!$C$23+Projects!$D$23),Projects!$B$23*(Assumptions!$B$10+Assumptions!$B$11+Assumptions!$B$12)/Projects!$D$23*0.95,0)-IF(AND(Projects!$G$23="Yes",CQ$3=Projects!$C$23+Projects!$D$23-1),Projects!$B$23*(Assumptions!$B$10+Assumptions!$B$11+Assumptions!$B$12)*0.05,0)</f>
        <v/>
      </c>
      <c r="CR32" s="399">
        <f>IF(AND(Projects!$G$23="Yes",CR$3&gt;=Projects!$C$23,CR$3&lt;Projects!$C$23+Projects!$D$23),Projects!$B$23*INDEX(Curves!$B$4:$AR$4,1,CR$3-Projects!$C$23+1),0)-IF(AND(Projects!$G$23="Yes",CR$3&gt;=Projects!$C$23,CR$3&lt;Projects!$C$23+Projects!$D$23),Projects!$B$23*(Assumptions!$B$10+Assumptions!$B$11+Assumptions!$B$12)/Projects!$D$23*0.95,0)-IF(AND(Projects!$G$23="Yes",CR$3=Projects!$C$23+Projects!$D$23-1),Projects!$B$23*(Assumptions!$B$10+Assumptions!$B$11+Assumptions!$B$12)*0.05,0)</f>
        <v/>
      </c>
      <c r="CS32" s="399">
        <f>IF(AND(Projects!$G$23="Yes",CS$3&gt;=Projects!$C$23,CS$3&lt;Projects!$C$23+Projects!$D$23),Projects!$B$23*INDEX(Curves!$B$4:$AR$4,1,CS$3-Projects!$C$23+1),0)-IF(AND(Projects!$G$23="Yes",CS$3&gt;=Projects!$C$23,CS$3&lt;Projects!$C$23+Projects!$D$23),Projects!$B$23*(Assumptions!$B$10+Assumptions!$B$11+Assumptions!$B$12)/Projects!$D$23*0.95,0)-IF(AND(Projects!$G$23="Yes",CS$3=Projects!$C$23+Projects!$D$23-1),Projects!$B$23*(Assumptions!$B$10+Assumptions!$B$11+Assumptions!$B$12)*0.05,0)</f>
        <v/>
      </c>
      <c r="CT32" s="399">
        <f>IF(AND(Projects!$G$23="Yes",CT$3&gt;=Projects!$C$23,CT$3&lt;Projects!$C$23+Projects!$D$23),Projects!$B$23*INDEX(Curves!$B$4:$AR$4,1,CT$3-Projects!$C$23+1),0)-IF(AND(Projects!$G$23="Yes",CT$3&gt;=Projects!$C$23,CT$3&lt;Projects!$C$23+Projects!$D$23),Projects!$B$23*(Assumptions!$B$10+Assumptions!$B$11+Assumptions!$B$12)/Projects!$D$23*0.95,0)-IF(AND(Projects!$G$23="Yes",CT$3=Projects!$C$23+Projects!$D$23-1),Projects!$B$23*(Assumptions!$B$10+Assumptions!$B$11+Assumptions!$B$12)*0.05,0)</f>
        <v/>
      </c>
      <c r="CU32" s="399">
        <f>IF(AND(Projects!$G$23="Yes",CU$3&gt;=Projects!$C$23,CU$3&lt;Projects!$C$23+Projects!$D$23),Projects!$B$23*INDEX(Curves!$B$4:$AR$4,1,CU$3-Projects!$C$23+1),0)-IF(AND(Projects!$G$23="Yes",CU$3&gt;=Projects!$C$23,CU$3&lt;Projects!$C$23+Projects!$D$23),Projects!$B$23*(Assumptions!$B$10+Assumptions!$B$11+Assumptions!$B$12)/Projects!$D$23*0.95,0)-IF(AND(Projects!$G$23="Yes",CU$3=Projects!$C$23+Projects!$D$23-1),Projects!$B$23*(Assumptions!$B$10+Assumptions!$B$11+Assumptions!$B$12)*0.05,0)</f>
        <v/>
      </c>
      <c r="CV32" s="399">
        <f>IF(AND(Projects!$G$23="Yes",CV$3&gt;=Projects!$C$23,CV$3&lt;Projects!$C$23+Projects!$D$23),Projects!$B$23*INDEX(Curves!$B$4:$AR$4,1,CV$3-Projects!$C$23+1),0)-IF(AND(Projects!$G$23="Yes",CV$3&gt;=Projects!$C$23,CV$3&lt;Projects!$C$23+Projects!$D$23),Projects!$B$23*(Assumptions!$B$10+Assumptions!$B$11+Assumptions!$B$12)/Projects!$D$23*0.95,0)-IF(AND(Projects!$G$23="Yes",CV$3=Projects!$C$23+Projects!$D$23-1),Projects!$B$23*(Assumptions!$B$10+Assumptions!$B$11+Assumptions!$B$12)*0.05,0)</f>
        <v/>
      </c>
      <c r="CW32" s="399">
        <f>IF(AND(Projects!$G$23="Yes",CW$3&gt;=Projects!$C$23,CW$3&lt;Projects!$C$23+Projects!$D$23),Projects!$B$23*INDEX(Curves!$B$4:$AR$4,1,CW$3-Projects!$C$23+1),0)-IF(AND(Projects!$G$23="Yes",CW$3&gt;=Projects!$C$23,CW$3&lt;Projects!$C$23+Projects!$D$23),Projects!$B$23*(Assumptions!$B$10+Assumptions!$B$11+Assumptions!$B$12)/Projects!$D$23*0.95,0)-IF(AND(Projects!$G$23="Yes",CW$3=Projects!$C$23+Projects!$D$23-1),Projects!$B$23*(Assumptions!$B$10+Assumptions!$B$11+Assumptions!$B$12)*0.05,0)</f>
        <v/>
      </c>
      <c r="CX32" s="399">
        <f>IF(AND(Projects!$G$23="Yes",CX$3&gt;=Projects!$C$23,CX$3&lt;Projects!$C$23+Projects!$D$23),Projects!$B$23*INDEX(Curves!$B$4:$AR$4,1,CX$3-Projects!$C$23+1),0)-IF(AND(Projects!$G$23="Yes",CX$3&gt;=Projects!$C$23,CX$3&lt;Projects!$C$23+Projects!$D$23),Projects!$B$23*(Assumptions!$B$10+Assumptions!$B$11+Assumptions!$B$12)/Projects!$D$23*0.95,0)-IF(AND(Projects!$G$23="Yes",CX$3=Projects!$C$23+Projects!$D$23-1),Projects!$B$23*(Assumptions!$B$10+Assumptions!$B$11+Assumptions!$B$12)*0.05,0)</f>
        <v/>
      </c>
      <c r="CY32" s="399">
        <f>IF(AND(Projects!$G$23="Yes",CY$3&gt;=Projects!$C$23,CY$3&lt;Projects!$C$23+Projects!$D$23),Projects!$B$23*INDEX(Curves!$B$4:$AR$4,1,CY$3-Projects!$C$23+1),0)-IF(AND(Projects!$G$23="Yes",CY$3&gt;=Projects!$C$23,CY$3&lt;Projects!$C$23+Projects!$D$23),Projects!$B$23*(Assumptions!$B$10+Assumptions!$B$11+Assumptions!$B$12)/Projects!$D$23*0.95,0)-IF(AND(Projects!$G$23="Yes",CY$3=Projects!$C$23+Projects!$D$23-1),Projects!$B$23*(Assumptions!$B$10+Assumptions!$B$11+Assumptions!$B$12)*0.05,0)</f>
        <v/>
      </c>
      <c r="CZ32" s="399">
        <f>IF(AND(Projects!$G$23="Yes",CZ$3&gt;=Projects!$C$23,CZ$3&lt;Projects!$C$23+Projects!$D$23),Projects!$B$23*INDEX(Curves!$B$4:$AR$4,1,CZ$3-Projects!$C$23+1),0)-IF(AND(Projects!$G$23="Yes",CZ$3&gt;=Projects!$C$23,CZ$3&lt;Projects!$C$23+Projects!$D$23),Projects!$B$23*(Assumptions!$B$10+Assumptions!$B$11+Assumptions!$B$12)/Projects!$D$23*0.95,0)-IF(AND(Projects!$G$23="Yes",CZ$3=Projects!$C$23+Projects!$D$23-1),Projects!$B$23*(Assumptions!$B$10+Assumptions!$B$11+Assumptions!$B$12)*0.05,0)</f>
        <v/>
      </c>
      <c r="DA32" s="399">
        <f>IF(AND(Projects!$G$23="Yes",DA$3&gt;=Projects!$C$23,DA$3&lt;Projects!$C$23+Projects!$D$23),Projects!$B$23*INDEX(Curves!$B$4:$AR$4,1,DA$3-Projects!$C$23+1),0)-IF(AND(Projects!$G$23="Yes",DA$3&gt;=Projects!$C$23,DA$3&lt;Projects!$C$23+Projects!$D$23),Projects!$B$23*(Assumptions!$B$10+Assumptions!$B$11+Assumptions!$B$12)/Projects!$D$23*0.95,0)-IF(AND(Projects!$G$23="Yes",DA$3=Projects!$C$23+Projects!$D$23-1),Projects!$B$23*(Assumptions!$B$10+Assumptions!$B$11+Assumptions!$B$12)*0.05,0)</f>
        <v/>
      </c>
      <c r="DB32" s="399">
        <f>IF(AND(Projects!$G$23="Yes",DB$3&gt;=Projects!$C$23,DB$3&lt;Projects!$C$23+Projects!$D$23),Projects!$B$23*INDEX(Curves!$B$4:$AR$4,1,DB$3-Projects!$C$23+1),0)-IF(AND(Projects!$G$23="Yes",DB$3&gt;=Projects!$C$23,DB$3&lt;Projects!$C$23+Projects!$D$23),Projects!$B$23*(Assumptions!$B$10+Assumptions!$B$11+Assumptions!$B$12)/Projects!$D$23*0.95,0)-IF(AND(Projects!$G$23="Yes",DB$3=Projects!$C$23+Projects!$D$23-1),Projects!$B$23*(Assumptions!$B$10+Assumptions!$B$11+Assumptions!$B$12)*0.05,0)</f>
        <v/>
      </c>
      <c r="DC32" s="399">
        <f>IF(AND(Projects!$G$23="Yes",DC$3&gt;=Projects!$C$23,DC$3&lt;Projects!$C$23+Projects!$D$23),Projects!$B$23*INDEX(Curves!$B$4:$AR$4,1,DC$3-Projects!$C$23+1),0)-IF(AND(Projects!$G$23="Yes",DC$3&gt;=Projects!$C$23,DC$3&lt;Projects!$C$23+Projects!$D$23),Projects!$B$23*(Assumptions!$B$10+Assumptions!$B$11+Assumptions!$B$12)/Projects!$D$23*0.95,0)-IF(AND(Projects!$G$23="Yes",DC$3=Projects!$C$23+Projects!$D$23-1),Projects!$B$23*(Assumptions!$B$10+Assumptions!$B$11+Assumptions!$B$12)*0.05,0)</f>
        <v/>
      </c>
      <c r="DD32" s="399">
        <f>IF(AND(Projects!$G$23="Yes",DD$3&gt;=Projects!$C$23,DD$3&lt;Projects!$C$23+Projects!$D$23),Projects!$B$23*INDEX(Curves!$B$4:$AR$4,1,DD$3-Projects!$C$23+1),0)-IF(AND(Projects!$G$23="Yes",DD$3&gt;=Projects!$C$23,DD$3&lt;Projects!$C$23+Projects!$D$23),Projects!$B$23*(Assumptions!$B$10+Assumptions!$B$11+Assumptions!$B$12)/Projects!$D$23*0.95,0)-IF(AND(Projects!$G$23="Yes",DD$3=Projects!$C$23+Projects!$D$23-1),Projects!$B$23*(Assumptions!$B$10+Assumptions!$B$11+Assumptions!$B$12)*0.05,0)</f>
        <v/>
      </c>
      <c r="DE32" s="399">
        <f>IF(AND(Projects!$G$23="Yes",DE$3&gt;=Projects!$C$23,DE$3&lt;Projects!$C$23+Projects!$D$23),Projects!$B$23*INDEX(Curves!$B$4:$AR$4,1,DE$3-Projects!$C$23+1),0)-IF(AND(Projects!$G$23="Yes",DE$3&gt;=Projects!$C$23,DE$3&lt;Projects!$C$23+Projects!$D$23),Projects!$B$23*(Assumptions!$B$10+Assumptions!$B$11+Assumptions!$B$12)/Projects!$D$23*0.95,0)-IF(AND(Projects!$G$23="Yes",DE$3=Projects!$C$23+Projects!$D$23-1),Projects!$B$23*(Assumptions!$B$10+Assumptions!$B$11+Assumptions!$B$12)*0.05,0)</f>
        <v/>
      </c>
    </row>
    <row r="33" hidden="1" outlineLevel="1" ht="15" customFormat="1" customHeight="1" s="380">
      <c r="A33" s="407" t="inlineStr">
        <is>
          <t>BD-08</t>
        </is>
      </c>
      <c r="B33" s="399" t="n">
        <v>0</v>
      </c>
      <c r="C33" s="399" t="n">
        <v>0</v>
      </c>
      <c r="D33" s="399" t="n">
        <v>0</v>
      </c>
      <c r="E33" s="399" t="n">
        <v>0</v>
      </c>
      <c r="F33" s="399">
        <f>IF(AND(Projects!$G$24="Yes",F$3&gt;=Projects!$C$24,F$3&lt;Projects!$C$24+Projects!$D$24),Projects!$B$24*INDEX(Curves!$B$4:$AR$4,1,F$3-Projects!$C$24+1),0)-IF(AND(Projects!$G$24="Yes",F$3&gt;=Projects!$C$24,F$3&lt;Projects!$C$24+Projects!$D$24),Projects!$B$24*(Assumptions!$B$10+Assumptions!$B$11+Assumptions!$B$12)/Projects!$D$24*0.95,0)-IF(AND(Projects!$G$24="Yes",F$3=Projects!$C$24+Projects!$D$24-1),Projects!$B$24*(Assumptions!$B$10+Assumptions!$B$11+Assumptions!$B$12)*0.05,0)</f>
        <v/>
      </c>
      <c r="G33" s="399">
        <f>IF(AND(Projects!$G$24="Yes",G$3&gt;=Projects!$C$24,G$3&lt;Projects!$C$24+Projects!$D$24),Projects!$B$24*INDEX(Curves!$B$4:$AR$4,1,G$3-Projects!$C$24+1),0)-IF(AND(Projects!$G$24="Yes",G$3&gt;=Projects!$C$24,G$3&lt;Projects!$C$24+Projects!$D$24),Projects!$B$24*(Assumptions!$B$10+Assumptions!$B$11+Assumptions!$B$12)/Projects!$D$24*0.95,0)-IF(AND(Projects!$G$24="Yes",G$3=Projects!$C$24+Projects!$D$24-1),Projects!$B$24*(Assumptions!$B$10+Assumptions!$B$11+Assumptions!$B$12)*0.05,0)</f>
        <v/>
      </c>
      <c r="H33" s="399">
        <f>IF(AND(Projects!$G$24="Yes",H$3&gt;=Projects!$C$24,H$3&lt;Projects!$C$24+Projects!$D$24),Projects!$B$24*INDEX(Curves!$B$4:$AR$4,1,H$3-Projects!$C$24+1),0)-IF(AND(Projects!$G$24="Yes",H$3&gt;=Projects!$C$24,H$3&lt;Projects!$C$24+Projects!$D$24),Projects!$B$24*(Assumptions!$B$10+Assumptions!$B$11+Assumptions!$B$12)/Projects!$D$24*0.95,0)-IF(AND(Projects!$G$24="Yes",H$3=Projects!$C$24+Projects!$D$24-1),Projects!$B$24*(Assumptions!$B$10+Assumptions!$B$11+Assumptions!$B$12)*0.05,0)</f>
        <v/>
      </c>
      <c r="I33" s="399">
        <f>IF(AND(Projects!$G$24="Yes",I$3&gt;=Projects!$C$24,I$3&lt;Projects!$C$24+Projects!$D$24),Projects!$B$24*INDEX(Curves!$B$4:$AR$4,1,I$3-Projects!$C$24+1),0)-IF(AND(Projects!$G$24="Yes",I$3&gt;=Projects!$C$24,I$3&lt;Projects!$C$24+Projects!$D$24),Projects!$B$24*(Assumptions!$B$10+Assumptions!$B$11+Assumptions!$B$12)/Projects!$D$24*0.95,0)-IF(AND(Projects!$G$24="Yes",I$3=Projects!$C$24+Projects!$D$24-1),Projects!$B$24*(Assumptions!$B$10+Assumptions!$B$11+Assumptions!$B$12)*0.05,0)</f>
        <v/>
      </c>
      <c r="J33" s="399">
        <f>IF(AND(Projects!$G$24="Yes",J$3&gt;=Projects!$C$24,J$3&lt;Projects!$C$24+Projects!$D$24),Projects!$B$24*INDEX(Curves!$B$4:$AR$4,1,J$3-Projects!$C$24+1),0)-IF(AND(Projects!$G$24="Yes",J$3&gt;=Projects!$C$24,J$3&lt;Projects!$C$24+Projects!$D$24),Projects!$B$24*(Assumptions!$B$10+Assumptions!$B$11+Assumptions!$B$12)/Projects!$D$24*0.95,0)-IF(AND(Projects!$G$24="Yes",J$3=Projects!$C$24+Projects!$D$24-1),Projects!$B$24*(Assumptions!$B$10+Assumptions!$B$11+Assumptions!$B$12)*0.05,0)</f>
        <v/>
      </c>
      <c r="K33" s="399">
        <f>IF(AND(Projects!$G$24="Yes",K$3&gt;=Projects!$C$24,K$3&lt;Projects!$C$24+Projects!$D$24),Projects!$B$24*INDEX(Curves!$B$4:$AR$4,1,K$3-Projects!$C$24+1),0)-IF(AND(Projects!$G$24="Yes",K$3&gt;=Projects!$C$24,K$3&lt;Projects!$C$24+Projects!$D$24),Projects!$B$24*(Assumptions!$B$10+Assumptions!$B$11+Assumptions!$B$12)/Projects!$D$24*0.95,0)-IF(AND(Projects!$G$24="Yes",K$3=Projects!$C$24+Projects!$D$24-1),Projects!$B$24*(Assumptions!$B$10+Assumptions!$B$11+Assumptions!$B$12)*0.05,0)</f>
        <v/>
      </c>
      <c r="L33" s="399">
        <f>IF(AND(Projects!$G$24="Yes",L$3&gt;=Projects!$C$24,L$3&lt;Projects!$C$24+Projects!$D$24),Projects!$B$24*INDEX(Curves!$B$4:$AR$4,1,L$3-Projects!$C$24+1),0)-IF(AND(Projects!$G$24="Yes",L$3&gt;=Projects!$C$24,L$3&lt;Projects!$C$24+Projects!$D$24),Projects!$B$24*(Assumptions!$B$10+Assumptions!$B$11+Assumptions!$B$12)/Projects!$D$24*0.95,0)-IF(AND(Projects!$G$24="Yes",L$3=Projects!$C$24+Projects!$D$24-1),Projects!$B$24*(Assumptions!$B$10+Assumptions!$B$11+Assumptions!$B$12)*0.05,0)</f>
        <v/>
      </c>
      <c r="M33" s="399">
        <f>IF(AND(Projects!$G$24="Yes",M$3&gt;=Projects!$C$24,M$3&lt;Projects!$C$24+Projects!$D$24),Projects!$B$24*INDEX(Curves!$B$4:$AR$4,1,M$3-Projects!$C$24+1),0)-IF(AND(Projects!$G$24="Yes",M$3&gt;=Projects!$C$24,M$3&lt;Projects!$C$24+Projects!$D$24),Projects!$B$24*(Assumptions!$B$10+Assumptions!$B$11+Assumptions!$B$12)/Projects!$D$24*0.95,0)-IF(AND(Projects!$G$24="Yes",M$3=Projects!$C$24+Projects!$D$24-1),Projects!$B$24*(Assumptions!$B$10+Assumptions!$B$11+Assumptions!$B$12)*0.05,0)</f>
        <v/>
      </c>
      <c r="N33" s="399">
        <f>IF(AND(Projects!$G$24="Yes",N$3&gt;=Projects!$C$24,N$3&lt;Projects!$C$24+Projects!$D$24),Projects!$B$24*INDEX(Curves!$B$4:$AR$4,1,N$3-Projects!$C$24+1),0)-IF(AND(Projects!$G$24="Yes",N$3&gt;=Projects!$C$24,N$3&lt;Projects!$C$24+Projects!$D$24),Projects!$B$24*(Assumptions!$B$10+Assumptions!$B$11+Assumptions!$B$12)/Projects!$D$24*0.95,0)-IF(AND(Projects!$G$24="Yes",N$3=Projects!$C$24+Projects!$D$24-1),Projects!$B$24*(Assumptions!$B$10+Assumptions!$B$11+Assumptions!$B$12)*0.05,0)</f>
        <v/>
      </c>
      <c r="O33" s="399">
        <f>IF(AND(Projects!$G$24="Yes",O$3&gt;=Projects!$C$24,O$3&lt;Projects!$C$24+Projects!$D$24),Projects!$B$24*INDEX(Curves!$B$4:$AR$4,1,O$3-Projects!$C$24+1),0)-IF(AND(Projects!$G$24="Yes",O$3&gt;=Projects!$C$24,O$3&lt;Projects!$C$24+Projects!$D$24),Projects!$B$24*(Assumptions!$B$10+Assumptions!$B$11+Assumptions!$B$12)/Projects!$D$24*0.95,0)-IF(AND(Projects!$G$24="Yes",O$3=Projects!$C$24+Projects!$D$24-1),Projects!$B$24*(Assumptions!$B$10+Assumptions!$B$11+Assumptions!$B$12)*0.05,0)</f>
        <v/>
      </c>
      <c r="P33" s="399">
        <f>IF(AND(Projects!$G$24="Yes",P$3&gt;=Projects!$C$24,P$3&lt;Projects!$C$24+Projects!$D$24),Projects!$B$24*INDEX(Curves!$B$4:$AR$4,1,P$3-Projects!$C$24+1),0)-IF(AND(Projects!$G$24="Yes",P$3&gt;=Projects!$C$24,P$3&lt;Projects!$C$24+Projects!$D$24),Projects!$B$24*(Assumptions!$B$10+Assumptions!$B$11+Assumptions!$B$12)/Projects!$D$24*0.95,0)-IF(AND(Projects!$G$24="Yes",P$3=Projects!$C$24+Projects!$D$24-1),Projects!$B$24*(Assumptions!$B$10+Assumptions!$B$11+Assumptions!$B$12)*0.05,0)</f>
        <v/>
      </c>
      <c r="Q33" s="399">
        <f>IF(AND(Projects!$G$24="Yes",Q$3&gt;=Projects!$C$24,Q$3&lt;Projects!$C$24+Projects!$D$24),Projects!$B$24*INDEX(Curves!$B$4:$AR$4,1,Q$3-Projects!$C$24+1),0)-IF(AND(Projects!$G$24="Yes",Q$3&gt;=Projects!$C$24,Q$3&lt;Projects!$C$24+Projects!$D$24),Projects!$B$24*(Assumptions!$B$10+Assumptions!$B$11+Assumptions!$B$12)/Projects!$D$24*0.95,0)-IF(AND(Projects!$G$24="Yes",Q$3=Projects!$C$24+Projects!$D$24-1),Projects!$B$24*(Assumptions!$B$10+Assumptions!$B$11+Assumptions!$B$12)*0.05,0)</f>
        <v/>
      </c>
      <c r="R33" s="399">
        <f>IF(AND(Projects!$G$24="Yes",R$3&gt;=Projects!$C$24,R$3&lt;Projects!$C$24+Projects!$D$24),Projects!$B$24*INDEX(Curves!$B$4:$AR$4,1,R$3-Projects!$C$24+1),0)-IF(AND(Projects!$G$24="Yes",R$3&gt;=Projects!$C$24,R$3&lt;Projects!$C$24+Projects!$D$24),Projects!$B$24*(Assumptions!$B$10+Assumptions!$B$11+Assumptions!$B$12)/Projects!$D$24*0.95,0)-IF(AND(Projects!$G$24="Yes",R$3=Projects!$C$24+Projects!$D$24-1),Projects!$B$24*(Assumptions!$B$10+Assumptions!$B$11+Assumptions!$B$12)*0.05,0)</f>
        <v/>
      </c>
      <c r="S33" s="399">
        <f>IF(AND(Projects!$G$24="Yes",S$3&gt;=Projects!$C$24,S$3&lt;Projects!$C$24+Projects!$D$24),Projects!$B$24*INDEX(Curves!$B$4:$AR$4,1,S$3-Projects!$C$24+1),0)-IF(AND(Projects!$G$24="Yes",S$3&gt;=Projects!$C$24,S$3&lt;Projects!$C$24+Projects!$D$24),Projects!$B$24*(Assumptions!$B$10+Assumptions!$B$11+Assumptions!$B$12)/Projects!$D$24*0.95,0)-IF(AND(Projects!$G$24="Yes",S$3=Projects!$C$24+Projects!$D$24-1),Projects!$B$24*(Assumptions!$B$10+Assumptions!$B$11+Assumptions!$B$12)*0.05,0)</f>
        <v/>
      </c>
      <c r="T33" s="399">
        <f>IF(AND(Projects!$G$24="Yes",T$3&gt;=Projects!$C$24,T$3&lt;Projects!$C$24+Projects!$D$24),Projects!$B$24*INDEX(Curves!$B$4:$AR$4,1,T$3-Projects!$C$24+1),0)-IF(AND(Projects!$G$24="Yes",T$3&gt;=Projects!$C$24,T$3&lt;Projects!$C$24+Projects!$D$24),Projects!$B$24*(Assumptions!$B$10+Assumptions!$B$11+Assumptions!$B$12)/Projects!$D$24*0.95,0)-IF(AND(Projects!$G$24="Yes",T$3=Projects!$C$24+Projects!$D$24-1),Projects!$B$24*(Assumptions!$B$10+Assumptions!$B$11+Assumptions!$B$12)*0.05,0)</f>
        <v/>
      </c>
      <c r="U33" s="399">
        <f>IF(AND(Projects!$G$24="Yes",U$3&gt;=Projects!$C$24,U$3&lt;Projects!$C$24+Projects!$D$24),Projects!$B$24*INDEX(Curves!$B$4:$AR$4,1,U$3-Projects!$C$24+1),0)-IF(AND(Projects!$G$24="Yes",U$3&gt;=Projects!$C$24,U$3&lt;Projects!$C$24+Projects!$D$24),Projects!$B$24*(Assumptions!$B$10+Assumptions!$B$11+Assumptions!$B$12)/Projects!$D$24*0.95,0)-IF(AND(Projects!$G$24="Yes",U$3=Projects!$C$24+Projects!$D$24-1),Projects!$B$24*(Assumptions!$B$10+Assumptions!$B$11+Assumptions!$B$12)*0.05,0)</f>
        <v/>
      </c>
      <c r="V33" s="399">
        <f>IF(AND(Projects!$G$24="Yes",V$3&gt;=Projects!$C$24,V$3&lt;Projects!$C$24+Projects!$D$24),Projects!$B$24*INDEX(Curves!$B$4:$AR$4,1,V$3-Projects!$C$24+1),0)-IF(AND(Projects!$G$24="Yes",V$3&gt;=Projects!$C$24,V$3&lt;Projects!$C$24+Projects!$D$24),Projects!$B$24*(Assumptions!$B$10+Assumptions!$B$11+Assumptions!$B$12)/Projects!$D$24*0.95,0)-IF(AND(Projects!$G$24="Yes",V$3=Projects!$C$24+Projects!$D$24-1),Projects!$B$24*(Assumptions!$B$10+Assumptions!$B$11+Assumptions!$B$12)*0.05,0)</f>
        <v/>
      </c>
      <c r="W33" s="399">
        <f>IF(AND(Projects!$G$24="Yes",W$3&gt;=Projects!$C$24,W$3&lt;Projects!$C$24+Projects!$D$24),Projects!$B$24*INDEX(Curves!$B$4:$AR$4,1,W$3-Projects!$C$24+1),0)-IF(AND(Projects!$G$24="Yes",W$3&gt;=Projects!$C$24,W$3&lt;Projects!$C$24+Projects!$D$24),Projects!$B$24*(Assumptions!$B$10+Assumptions!$B$11+Assumptions!$B$12)/Projects!$D$24*0.95,0)-IF(AND(Projects!$G$24="Yes",W$3=Projects!$C$24+Projects!$D$24-1),Projects!$B$24*(Assumptions!$B$10+Assumptions!$B$11+Assumptions!$B$12)*0.05,0)</f>
        <v/>
      </c>
      <c r="X33" s="399">
        <f>IF(AND(Projects!$G$24="Yes",X$3&gt;=Projects!$C$24,X$3&lt;Projects!$C$24+Projects!$D$24),Projects!$B$24*INDEX(Curves!$B$4:$AR$4,1,X$3-Projects!$C$24+1),0)-IF(AND(Projects!$G$24="Yes",X$3&gt;=Projects!$C$24,X$3&lt;Projects!$C$24+Projects!$D$24),Projects!$B$24*(Assumptions!$B$10+Assumptions!$B$11+Assumptions!$B$12)/Projects!$D$24*0.95,0)-IF(AND(Projects!$G$24="Yes",X$3=Projects!$C$24+Projects!$D$24-1),Projects!$B$24*(Assumptions!$B$10+Assumptions!$B$11+Assumptions!$B$12)*0.05,0)</f>
        <v/>
      </c>
      <c r="Y33" s="399">
        <f>IF(AND(Projects!$G$24="Yes",Y$3&gt;=Projects!$C$24,Y$3&lt;Projects!$C$24+Projects!$D$24),Projects!$B$24*INDEX(Curves!$B$4:$AR$4,1,Y$3-Projects!$C$24+1),0)-IF(AND(Projects!$G$24="Yes",Y$3&gt;=Projects!$C$24,Y$3&lt;Projects!$C$24+Projects!$D$24),Projects!$B$24*(Assumptions!$B$10+Assumptions!$B$11+Assumptions!$B$12)/Projects!$D$24*0.95,0)-IF(AND(Projects!$G$24="Yes",Y$3=Projects!$C$24+Projects!$D$24-1),Projects!$B$24*(Assumptions!$B$10+Assumptions!$B$11+Assumptions!$B$12)*0.05,0)</f>
        <v/>
      </c>
      <c r="Z33" s="399">
        <f>IF(AND(Projects!$G$24="Yes",Z$3&gt;=Projects!$C$24,Z$3&lt;Projects!$C$24+Projects!$D$24),Projects!$B$24*INDEX(Curves!$B$4:$AR$4,1,Z$3-Projects!$C$24+1),0)-IF(AND(Projects!$G$24="Yes",Z$3&gt;=Projects!$C$24,Z$3&lt;Projects!$C$24+Projects!$D$24),Projects!$B$24*(Assumptions!$B$10+Assumptions!$B$11+Assumptions!$B$12)/Projects!$D$24*0.95,0)-IF(AND(Projects!$G$24="Yes",Z$3=Projects!$C$24+Projects!$D$24-1),Projects!$B$24*(Assumptions!$B$10+Assumptions!$B$11+Assumptions!$B$12)*0.05,0)</f>
        <v/>
      </c>
      <c r="AA33" s="399">
        <f>IF(AND(Projects!$G$24="Yes",AA$3&gt;=Projects!$C$24,AA$3&lt;Projects!$C$24+Projects!$D$24),Projects!$B$24*INDEX(Curves!$B$4:$AR$4,1,AA$3-Projects!$C$24+1),0)-IF(AND(Projects!$G$24="Yes",AA$3&gt;=Projects!$C$24,AA$3&lt;Projects!$C$24+Projects!$D$24),Projects!$B$24*(Assumptions!$B$10+Assumptions!$B$11+Assumptions!$B$12)/Projects!$D$24*0.95,0)-IF(AND(Projects!$G$24="Yes",AA$3=Projects!$C$24+Projects!$D$24-1),Projects!$B$24*(Assumptions!$B$10+Assumptions!$B$11+Assumptions!$B$12)*0.05,0)</f>
        <v/>
      </c>
      <c r="AB33" s="399">
        <f>IF(AND(Projects!$G$24="Yes",AB$3&gt;=Projects!$C$24,AB$3&lt;Projects!$C$24+Projects!$D$24),Projects!$B$24*INDEX(Curves!$B$4:$AR$4,1,AB$3-Projects!$C$24+1),0)-IF(AND(Projects!$G$24="Yes",AB$3&gt;=Projects!$C$24,AB$3&lt;Projects!$C$24+Projects!$D$24),Projects!$B$24*(Assumptions!$B$10+Assumptions!$B$11+Assumptions!$B$12)/Projects!$D$24*0.95,0)-IF(AND(Projects!$G$24="Yes",AB$3=Projects!$C$24+Projects!$D$24-1),Projects!$B$24*(Assumptions!$B$10+Assumptions!$B$11+Assumptions!$B$12)*0.05,0)</f>
        <v/>
      </c>
      <c r="AC33" s="399">
        <f>IF(AND(Projects!$G$24="Yes",AC$3&gt;=Projects!$C$24,AC$3&lt;Projects!$C$24+Projects!$D$24),Projects!$B$24*INDEX(Curves!$B$4:$AR$4,1,AC$3-Projects!$C$24+1),0)-IF(AND(Projects!$G$24="Yes",AC$3&gt;=Projects!$C$24,AC$3&lt;Projects!$C$24+Projects!$D$24),Projects!$B$24*(Assumptions!$B$10+Assumptions!$B$11+Assumptions!$B$12)/Projects!$D$24*0.95,0)-IF(AND(Projects!$G$24="Yes",AC$3=Projects!$C$24+Projects!$D$24-1),Projects!$B$24*(Assumptions!$B$10+Assumptions!$B$11+Assumptions!$B$12)*0.05,0)</f>
        <v/>
      </c>
      <c r="AD33" s="399">
        <f>IF(AND(Projects!$G$24="Yes",AD$3&gt;=Projects!$C$24,AD$3&lt;Projects!$C$24+Projects!$D$24),Projects!$B$24*INDEX(Curves!$B$4:$AR$4,1,AD$3-Projects!$C$24+1),0)-IF(AND(Projects!$G$24="Yes",AD$3&gt;=Projects!$C$24,AD$3&lt;Projects!$C$24+Projects!$D$24),Projects!$B$24*(Assumptions!$B$10+Assumptions!$B$11+Assumptions!$B$12)/Projects!$D$24*0.95,0)-IF(AND(Projects!$G$24="Yes",AD$3=Projects!$C$24+Projects!$D$24-1),Projects!$B$24*(Assumptions!$B$10+Assumptions!$B$11+Assumptions!$B$12)*0.05,0)</f>
        <v/>
      </c>
      <c r="AE33" s="399">
        <f>IF(AND(Projects!$G$24="Yes",AE$3&gt;=Projects!$C$24,AE$3&lt;Projects!$C$24+Projects!$D$24),Projects!$B$24*INDEX(Curves!$B$4:$AR$4,1,AE$3-Projects!$C$24+1),0)-IF(AND(Projects!$G$24="Yes",AE$3&gt;=Projects!$C$24,AE$3&lt;Projects!$C$24+Projects!$D$24),Projects!$B$24*(Assumptions!$B$10+Assumptions!$B$11+Assumptions!$B$12)/Projects!$D$24*0.95,0)-IF(AND(Projects!$G$24="Yes",AE$3=Projects!$C$24+Projects!$D$24-1),Projects!$B$24*(Assumptions!$B$10+Assumptions!$B$11+Assumptions!$B$12)*0.05,0)</f>
        <v/>
      </c>
      <c r="AF33" s="399">
        <f>IF(AND(Projects!$G$24="Yes",AF$3&gt;=Projects!$C$24,AF$3&lt;Projects!$C$24+Projects!$D$24),Projects!$B$24*INDEX(Curves!$B$4:$AR$4,1,AF$3-Projects!$C$24+1),0)-IF(AND(Projects!$G$24="Yes",AF$3&gt;=Projects!$C$24,AF$3&lt;Projects!$C$24+Projects!$D$24),Projects!$B$24*(Assumptions!$B$10+Assumptions!$B$11+Assumptions!$B$12)/Projects!$D$24*0.95,0)-IF(AND(Projects!$G$24="Yes",AF$3=Projects!$C$24+Projects!$D$24-1),Projects!$B$24*(Assumptions!$B$10+Assumptions!$B$11+Assumptions!$B$12)*0.05,0)</f>
        <v/>
      </c>
      <c r="AG33" s="399">
        <f>IF(AND(Projects!$G$24="Yes",AG$3&gt;=Projects!$C$24,AG$3&lt;Projects!$C$24+Projects!$D$24),Projects!$B$24*INDEX(Curves!$B$4:$AR$4,1,AG$3-Projects!$C$24+1),0)-IF(AND(Projects!$G$24="Yes",AG$3&gt;=Projects!$C$24,AG$3&lt;Projects!$C$24+Projects!$D$24),Projects!$B$24*(Assumptions!$B$10+Assumptions!$B$11+Assumptions!$B$12)/Projects!$D$24*0.95,0)-IF(AND(Projects!$G$24="Yes",AG$3=Projects!$C$24+Projects!$D$24-1),Projects!$B$24*(Assumptions!$B$10+Assumptions!$B$11+Assumptions!$B$12)*0.05,0)</f>
        <v/>
      </c>
      <c r="AH33" s="399">
        <f>IF(AND(Projects!$G$24="Yes",AH$3&gt;=Projects!$C$24,AH$3&lt;Projects!$C$24+Projects!$D$24),Projects!$B$24*INDEX(Curves!$B$4:$AR$4,1,AH$3-Projects!$C$24+1),0)-IF(AND(Projects!$G$24="Yes",AH$3&gt;=Projects!$C$24,AH$3&lt;Projects!$C$24+Projects!$D$24),Projects!$B$24*(Assumptions!$B$10+Assumptions!$B$11+Assumptions!$B$12)/Projects!$D$24*0.95,0)-IF(AND(Projects!$G$24="Yes",AH$3=Projects!$C$24+Projects!$D$24-1),Projects!$B$24*(Assumptions!$B$10+Assumptions!$B$11+Assumptions!$B$12)*0.05,0)</f>
        <v/>
      </c>
      <c r="AI33" s="399">
        <f>IF(AND(Projects!$G$24="Yes",AI$3&gt;=Projects!$C$24,AI$3&lt;Projects!$C$24+Projects!$D$24),Projects!$B$24*INDEX(Curves!$B$4:$AR$4,1,AI$3-Projects!$C$24+1),0)-IF(AND(Projects!$G$24="Yes",AI$3&gt;=Projects!$C$24,AI$3&lt;Projects!$C$24+Projects!$D$24),Projects!$B$24*(Assumptions!$B$10+Assumptions!$B$11+Assumptions!$B$12)/Projects!$D$24*0.95,0)-IF(AND(Projects!$G$24="Yes",AI$3=Projects!$C$24+Projects!$D$24-1),Projects!$B$24*(Assumptions!$B$10+Assumptions!$B$11+Assumptions!$B$12)*0.05,0)</f>
        <v/>
      </c>
      <c r="AJ33" s="399">
        <f>IF(AND(Projects!$G$24="Yes",AJ$3&gt;=Projects!$C$24,AJ$3&lt;Projects!$C$24+Projects!$D$24),Projects!$B$24*INDEX(Curves!$B$4:$AR$4,1,AJ$3-Projects!$C$24+1),0)-IF(AND(Projects!$G$24="Yes",AJ$3&gt;=Projects!$C$24,AJ$3&lt;Projects!$C$24+Projects!$D$24),Projects!$B$24*(Assumptions!$B$10+Assumptions!$B$11+Assumptions!$B$12)/Projects!$D$24*0.95,0)-IF(AND(Projects!$G$24="Yes",AJ$3=Projects!$C$24+Projects!$D$24-1),Projects!$B$24*(Assumptions!$B$10+Assumptions!$B$11+Assumptions!$B$12)*0.05,0)</f>
        <v/>
      </c>
      <c r="AK33" s="399">
        <f>IF(AND(Projects!$G$24="Yes",AK$3&gt;=Projects!$C$24,AK$3&lt;Projects!$C$24+Projects!$D$24),Projects!$B$24*INDEX(Curves!$B$4:$AR$4,1,AK$3-Projects!$C$24+1),0)-IF(AND(Projects!$G$24="Yes",AK$3&gt;=Projects!$C$24,AK$3&lt;Projects!$C$24+Projects!$D$24),Projects!$B$24*(Assumptions!$B$10+Assumptions!$B$11+Assumptions!$B$12)/Projects!$D$24*0.95,0)-IF(AND(Projects!$G$24="Yes",AK$3=Projects!$C$24+Projects!$D$24-1),Projects!$B$24*(Assumptions!$B$10+Assumptions!$B$11+Assumptions!$B$12)*0.05,0)</f>
        <v/>
      </c>
      <c r="AL33" s="399">
        <f>IF(AND(Projects!$G$24="Yes",AL$3&gt;=Projects!$C$24,AL$3&lt;Projects!$C$24+Projects!$D$24),Projects!$B$24*INDEX(Curves!$B$4:$AR$4,1,AL$3-Projects!$C$24+1),0)-IF(AND(Projects!$G$24="Yes",AL$3&gt;=Projects!$C$24,AL$3&lt;Projects!$C$24+Projects!$D$24),Projects!$B$24*(Assumptions!$B$10+Assumptions!$B$11+Assumptions!$B$12)/Projects!$D$24*0.95,0)-IF(AND(Projects!$G$24="Yes",AL$3=Projects!$C$24+Projects!$D$24-1),Projects!$B$24*(Assumptions!$B$10+Assumptions!$B$11+Assumptions!$B$12)*0.05,0)</f>
        <v/>
      </c>
      <c r="AM33" s="399">
        <f>IF(AND(Projects!$G$24="Yes",AM$3&gt;=Projects!$C$24,AM$3&lt;Projects!$C$24+Projects!$D$24),Projects!$B$24*INDEX(Curves!$B$4:$AR$4,1,AM$3-Projects!$C$24+1),0)-IF(AND(Projects!$G$24="Yes",AM$3&gt;=Projects!$C$24,AM$3&lt;Projects!$C$24+Projects!$D$24),Projects!$B$24*(Assumptions!$B$10+Assumptions!$B$11+Assumptions!$B$12)/Projects!$D$24*0.95,0)-IF(AND(Projects!$G$24="Yes",AM$3=Projects!$C$24+Projects!$D$24-1),Projects!$B$24*(Assumptions!$B$10+Assumptions!$B$11+Assumptions!$B$12)*0.05,0)</f>
        <v/>
      </c>
      <c r="AN33" s="399">
        <f>IF(AND(Projects!$G$24="Yes",AN$3&gt;=Projects!$C$24,AN$3&lt;Projects!$C$24+Projects!$D$24),Projects!$B$24*INDEX(Curves!$B$4:$AR$4,1,AN$3-Projects!$C$24+1),0)-IF(AND(Projects!$G$24="Yes",AN$3&gt;=Projects!$C$24,AN$3&lt;Projects!$C$24+Projects!$D$24),Projects!$B$24*(Assumptions!$B$10+Assumptions!$B$11+Assumptions!$B$12)/Projects!$D$24*0.95,0)-IF(AND(Projects!$G$24="Yes",AN$3=Projects!$C$24+Projects!$D$24-1),Projects!$B$24*(Assumptions!$B$10+Assumptions!$B$11+Assumptions!$B$12)*0.05,0)</f>
        <v/>
      </c>
      <c r="AO33" s="399">
        <f>IF(AND(Projects!$G$24="Yes",AO$3&gt;=Projects!$C$24,AO$3&lt;Projects!$C$24+Projects!$D$24),Projects!$B$24*INDEX(Curves!$B$4:$AR$4,1,AO$3-Projects!$C$24+1),0)-IF(AND(Projects!$G$24="Yes",AO$3&gt;=Projects!$C$24,AO$3&lt;Projects!$C$24+Projects!$D$24),Projects!$B$24*(Assumptions!$B$10+Assumptions!$B$11+Assumptions!$B$12)/Projects!$D$24*0.95,0)-IF(AND(Projects!$G$24="Yes",AO$3=Projects!$C$24+Projects!$D$24-1),Projects!$B$24*(Assumptions!$B$10+Assumptions!$B$11+Assumptions!$B$12)*0.05,0)</f>
        <v/>
      </c>
      <c r="AP33" s="399">
        <f>IF(AND(Projects!$G$24="Yes",AP$3&gt;=Projects!$C$24,AP$3&lt;Projects!$C$24+Projects!$D$24),Projects!$B$24*INDEX(Curves!$B$4:$AR$4,1,AP$3-Projects!$C$24+1),0)-IF(AND(Projects!$G$24="Yes",AP$3&gt;=Projects!$C$24,AP$3&lt;Projects!$C$24+Projects!$D$24),Projects!$B$24*(Assumptions!$B$10+Assumptions!$B$11+Assumptions!$B$12)/Projects!$D$24*0.95,0)-IF(AND(Projects!$G$24="Yes",AP$3=Projects!$C$24+Projects!$D$24-1),Projects!$B$24*(Assumptions!$B$10+Assumptions!$B$11+Assumptions!$B$12)*0.05,0)</f>
        <v/>
      </c>
      <c r="AQ33" s="399">
        <f>IF(AND(Projects!$G$24="Yes",AQ$3&gt;=Projects!$C$24,AQ$3&lt;Projects!$C$24+Projects!$D$24),Projects!$B$24*INDEX(Curves!$B$4:$AR$4,1,AQ$3-Projects!$C$24+1),0)-IF(AND(Projects!$G$24="Yes",AQ$3&gt;=Projects!$C$24,AQ$3&lt;Projects!$C$24+Projects!$D$24),Projects!$B$24*(Assumptions!$B$10+Assumptions!$B$11+Assumptions!$B$12)/Projects!$D$24*0.95,0)-IF(AND(Projects!$G$24="Yes",AQ$3=Projects!$C$24+Projects!$D$24-1),Projects!$B$24*(Assumptions!$B$10+Assumptions!$B$11+Assumptions!$B$12)*0.05,0)</f>
        <v/>
      </c>
      <c r="AR33" s="399">
        <f>IF(AND(Projects!$G$24="Yes",AR$3&gt;=Projects!$C$24,AR$3&lt;Projects!$C$24+Projects!$D$24),Projects!$B$24*INDEX(Curves!$B$4:$AR$4,1,AR$3-Projects!$C$24+1),0)-IF(AND(Projects!$G$24="Yes",AR$3&gt;=Projects!$C$24,AR$3&lt;Projects!$C$24+Projects!$D$24),Projects!$B$24*(Assumptions!$B$10+Assumptions!$B$11+Assumptions!$B$12)/Projects!$D$24*0.95,0)-IF(AND(Projects!$G$24="Yes",AR$3=Projects!$C$24+Projects!$D$24-1),Projects!$B$24*(Assumptions!$B$10+Assumptions!$B$11+Assumptions!$B$12)*0.05,0)</f>
        <v/>
      </c>
      <c r="AS33" s="399">
        <f>IF(AND(Projects!$G$24="Yes",AS$3&gt;=Projects!$C$24,AS$3&lt;Projects!$C$24+Projects!$D$24),Projects!$B$24*INDEX(Curves!$B$4:$AR$4,1,AS$3-Projects!$C$24+1),0)-IF(AND(Projects!$G$24="Yes",AS$3&gt;=Projects!$C$24,AS$3&lt;Projects!$C$24+Projects!$D$24),Projects!$B$24*(Assumptions!$B$10+Assumptions!$B$11+Assumptions!$B$12)/Projects!$D$24*0.95,0)-IF(AND(Projects!$G$24="Yes",AS$3=Projects!$C$24+Projects!$D$24-1),Projects!$B$24*(Assumptions!$B$10+Assumptions!$B$11+Assumptions!$B$12)*0.05,0)</f>
        <v/>
      </c>
      <c r="AT33" s="399">
        <f>IF(AND(Projects!$G$24="Yes",AT$3&gt;=Projects!$C$24,AT$3&lt;Projects!$C$24+Projects!$D$24),Projects!$B$24*INDEX(Curves!$B$4:$AR$4,1,AT$3-Projects!$C$24+1),0)-IF(AND(Projects!$G$24="Yes",AT$3&gt;=Projects!$C$24,AT$3&lt;Projects!$C$24+Projects!$D$24),Projects!$B$24*(Assumptions!$B$10+Assumptions!$B$11+Assumptions!$B$12)/Projects!$D$24*0.95,0)-IF(AND(Projects!$G$24="Yes",AT$3=Projects!$C$24+Projects!$D$24-1),Projects!$B$24*(Assumptions!$B$10+Assumptions!$B$11+Assumptions!$B$12)*0.05,0)</f>
        <v/>
      </c>
      <c r="AU33" s="399">
        <f>IF(AND(Projects!$G$24="Yes",AU$3&gt;=Projects!$C$24,AU$3&lt;Projects!$C$24+Projects!$D$24),Projects!$B$24*INDEX(Curves!$B$4:$AR$4,1,AU$3-Projects!$C$24+1),0)-IF(AND(Projects!$G$24="Yes",AU$3&gt;=Projects!$C$24,AU$3&lt;Projects!$C$24+Projects!$D$24),Projects!$B$24*(Assumptions!$B$10+Assumptions!$B$11+Assumptions!$B$12)/Projects!$D$24*0.95,0)-IF(AND(Projects!$G$24="Yes",AU$3=Projects!$C$24+Projects!$D$24-1),Projects!$B$24*(Assumptions!$B$10+Assumptions!$B$11+Assumptions!$B$12)*0.05,0)</f>
        <v/>
      </c>
      <c r="AV33" s="399">
        <f>IF(AND(Projects!$G$24="Yes",AV$3&gt;=Projects!$C$24,AV$3&lt;Projects!$C$24+Projects!$D$24),Projects!$B$24*INDEX(Curves!$B$4:$AR$4,1,AV$3-Projects!$C$24+1),0)-IF(AND(Projects!$G$24="Yes",AV$3&gt;=Projects!$C$24,AV$3&lt;Projects!$C$24+Projects!$D$24),Projects!$B$24*(Assumptions!$B$10+Assumptions!$B$11+Assumptions!$B$12)/Projects!$D$24*0.95,0)-IF(AND(Projects!$G$24="Yes",AV$3=Projects!$C$24+Projects!$D$24-1),Projects!$B$24*(Assumptions!$B$10+Assumptions!$B$11+Assumptions!$B$12)*0.05,0)</f>
        <v/>
      </c>
      <c r="AW33" s="399">
        <f>IF(AND(Projects!$G$24="Yes",AW$3&gt;=Projects!$C$24,AW$3&lt;Projects!$C$24+Projects!$D$24),Projects!$B$24*INDEX(Curves!$B$4:$AR$4,1,AW$3-Projects!$C$24+1),0)-IF(AND(Projects!$G$24="Yes",AW$3&gt;=Projects!$C$24,AW$3&lt;Projects!$C$24+Projects!$D$24),Projects!$B$24*(Assumptions!$B$10+Assumptions!$B$11+Assumptions!$B$12)/Projects!$D$24*0.95,0)-IF(AND(Projects!$G$24="Yes",AW$3=Projects!$C$24+Projects!$D$24-1),Projects!$B$24*(Assumptions!$B$10+Assumptions!$B$11+Assumptions!$B$12)*0.05,0)</f>
        <v/>
      </c>
      <c r="AX33" s="399">
        <f>IF(AND(Projects!$G$24="Yes",AX$3&gt;=Projects!$C$24,AX$3&lt;Projects!$C$24+Projects!$D$24),Projects!$B$24*INDEX(Curves!$B$4:$AR$4,1,AX$3-Projects!$C$24+1),0)-IF(AND(Projects!$G$24="Yes",AX$3&gt;=Projects!$C$24,AX$3&lt;Projects!$C$24+Projects!$D$24),Projects!$B$24*(Assumptions!$B$10+Assumptions!$B$11+Assumptions!$B$12)/Projects!$D$24*0.95,0)-IF(AND(Projects!$G$24="Yes",AX$3=Projects!$C$24+Projects!$D$24-1),Projects!$B$24*(Assumptions!$B$10+Assumptions!$B$11+Assumptions!$B$12)*0.05,0)</f>
        <v/>
      </c>
      <c r="AY33" s="399">
        <f>IF(AND(Projects!$G$24="Yes",AY$3&gt;=Projects!$C$24,AY$3&lt;Projects!$C$24+Projects!$D$24),Projects!$B$24*INDEX(Curves!$B$4:$AR$4,1,AY$3-Projects!$C$24+1),0)-IF(AND(Projects!$G$24="Yes",AY$3&gt;=Projects!$C$24,AY$3&lt;Projects!$C$24+Projects!$D$24),Projects!$B$24*(Assumptions!$B$10+Assumptions!$B$11+Assumptions!$B$12)/Projects!$D$24*0.95,0)-IF(AND(Projects!$G$24="Yes",AY$3=Projects!$C$24+Projects!$D$24-1),Projects!$B$24*(Assumptions!$B$10+Assumptions!$B$11+Assumptions!$B$12)*0.05,0)</f>
        <v/>
      </c>
      <c r="AZ33" s="399">
        <f>IF(AND(Projects!$G$24="Yes",AZ$3&gt;=Projects!$C$24,AZ$3&lt;Projects!$C$24+Projects!$D$24),Projects!$B$24*INDEX(Curves!$B$4:$AR$4,1,AZ$3-Projects!$C$24+1),0)-IF(AND(Projects!$G$24="Yes",AZ$3&gt;=Projects!$C$24,AZ$3&lt;Projects!$C$24+Projects!$D$24),Projects!$B$24*(Assumptions!$B$10+Assumptions!$B$11+Assumptions!$B$12)/Projects!$D$24*0.95,0)-IF(AND(Projects!$G$24="Yes",AZ$3=Projects!$C$24+Projects!$D$24-1),Projects!$B$24*(Assumptions!$B$10+Assumptions!$B$11+Assumptions!$B$12)*0.05,0)</f>
        <v/>
      </c>
      <c r="BA33" s="399">
        <f>IF(AND(Projects!$G$24="Yes",BA$3&gt;=Projects!$C$24,BA$3&lt;Projects!$C$24+Projects!$D$24),Projects!$B$24*INDEX(Curves!$B$4:$AR$4,1,BA$3-Projects!$C$24+1),0)-IF(AND(Projects!$G$24="Yes",BA$3&gt;=Projects!$C$24,BA$3&lt;Projects!$C$24+Projects!$D$24),Projects!$B$24*(Assumptions!$B$10+Assumptions!$B$11+Assumptions!$B$12)/Projects!$D$24*0.95,0)-IF(AND(Projects!$G$24="Yes",BA$3=Projects!$C$24+Projects!$D$24-1),Projects!$B$24*(Assumptions!$B$10+Assumptions!$B$11+Assumptions!$B$12)*0.05,0)</f>
        <v/>
      </c>
      <c r="BB33" s="399">
        <f>IF(AND(Projects!$G$24="Yes",BB$3&gt;=Projects!$C$24,BB$3&lt;Projects!$C$24+Projects!$D$24),Projects!$B$24*INDEX(Curves!$B$4:$AR$4,1,BB$3-Projects!$C$24+1),0)-IF(AND(Projects!$G$24="Yes",BB$3&gt;=Projects!$C$24,BB$3&lt;Projects!$C$24+Projects!$D$24),Projects!$B$24*(Assumptions!$B$10+Assumptions!$B$11+Assumptions!$B$12)/Projects!$D$24*0.95,0)-IF(AND(Projects!$G$24="Yes",BB$3=Projects!$C$24+Projects!$D$24-1),Projects!$B$24*(Assumptions!$B$10+Assumptions!$B$11+Assumptions!$B$12)*0.05,0)</f>
        <v/>
      </c>
      <c r="BC33" s="399">
        <f>IF(AND(Projects!$G$24="Yes",BC$3&gt;=Projects!$C$24,BC$3&lt;Projects!$C$24+Projects!$D$24),Projects!$B$24*INDEX(Curves!$B$4:$AR$4,1,BC$3-Projects!$C$24+1),0)-IF(AND(Projects!$G$24="Yes",BC$3&gt;=Projects!$C$24,BC$3&lt;Projects!$C$24+Projects!$D$24),Projects!$B$24*(Assumptions!$B$10+Assumptions!$B$11+Assumptions!$B$12)/Projects!$D$24*0.95,0)-IF(AND(Projects!$G$24="Yes",BC$3=Projects!$C$24+Projects!$D$24-1),Projects!$B$24*(Assumptions!$B$10+Assumptions!$B$11+Assumptions!$B$12)*0.05,0)</f>
        <v/>
      </c>
      <c r="BD33" s="399">
        <f>IF(AND(Projects!$G$24="Yes",BD$3&gt;=Projects!$C$24,BD$3&lt;Projects!$C$24+Projects!$D$24),Projects!$B$24*INDEX(Curves!$B$4:$AR$4,1,BD$3-Projects!$C$24+1),0)-IF(AND(Projects!$G$24="Yes",BD$3&gt;=Projects!$C$24,BD$3&lt;Projects!$C$24+Projects!$D$24),Projects!$B$24*(Assumptions!$B$10+Assumptions!$B$11+Assumptions!$B$12)/Projects!$D$24*0.95,0)-IF(AND(Projects!$G$24="Yes",BD$3=Projects!$C$24+Projects!$D$24-1),Projects!$B$24*(Assumptions!$B$10+Assumptions!$B$11+Assumptions!$B$12)*0.05,0)</f>
        <v/>
      </c>
      <c r="BE33" s="399">
        <f>IF(AND(Projects!$G$24="Yes",BE$3&gt;=Projects!$C$24,BE$3&lt;Projects!$C$24+Projects!$D$24),Projects!$B$24*INDEX(Curves!$B$4:$AR$4,1,BE$3-Projects!$C$24+1),0)-IF(AND(Projects!$G$24="Yes",BE$3&gt;=Projects!$C$24,BE$3&lt;Projects!$C$24+Projects!$D$24),Projects!$B$24*(Assumptions!$B$10+Assumptions!$B$11+Assumptions!$B$12)/Projects!$D$24*0.95,0)-IF(AND(Projects!$G$24="Yes",BE$3=Projects!$C$24+Projects!$D$24-1),Projects!$B$24*(Assumptions!$B$10+Assumptions!$B$11+Assumptions!$B$12)*0.05,0)</f>
        <v/>
      </c>
      <c r="BF33" s="399">
        <f>IF(AND(Projects!$G$24="Yes",BF$3&gt;=Projects!$C$24,BF$3&lt;Projects!$C$24+Projects!$D$24),Projects!$B$24*INDEX(Curves!$B$4:$AR$4,1,BF$3-Projects!$C$24+1),0)-IF(AND(Projects!$G$24="Yes",BF$3&gt;=Projects!$C$24,BF$3&lt;Projects!$C$24+Projects!$D$24),Projects!$B$24*(Assumptions!$B$10+Assumptions!$B$11+Assumptions!$B$12)/Projects!$D$24*0.95,0)-IF(AND(Projects!$G$24="Yes",BF$3=Projects!$C$24+Projects!$D$24-1),Projects!$B$24*(Assumptions!$B$10+Assumptions!$B$11+Assumptions!$B$12)*0.05,0)</f>
        <v/>
      </c>
      <c r="BG33" s="399">
        <f>IF(AND(Projects!$G$24="Yes",BG$3&gt;=Projects!$C$24,BG$3&lt;Projects!$C$24+Projects!$D$24),Projects!$B$24*INDEX(Curves!$B$4:$AR$4,1,BG$3-Projects!$C$24+1),0)-IF(AND(Projects!$G$24="Yes",BG$3&gt;=Projects!$C$24,BG$3&lt;Projects!$C$24+Projects!$D$24),Projects!$B$24*(Assumptions!$B$10+Assumptions!$B$11+Assumptions!$B$12)/Projects!$D$24*0.95,0)-IF(AND(Projects!$G$24="Yes",BG$3=Projects!$C$24+Projects!$D$24-1),Projects!$B$24*(Assumptions!$B$10+Assumptions!$B$11+Assumptions!$B$12)*0.05,0)</f>
        <v/>
      </c>
      <c r="BH33" s="399">
        <f>IF(AND(Projects!$G$24="Yes",BH$3&gt;=Projects!$C$24,BH$3&lt;Projects!$C$24+Projects!$D$24),Projects!$B$24*INDEX(Curves!$B$4:$AR$4,1,BH$3-Projects!$C$24+1),0)-IF(AND(Projects!$G$24="Yes",BH$3&gt;=Projects!$C$24,BH$3&lt;Projects!$C$24+Projects!$D$24),Projects!$B$24*(Assumptions!$B$10+Assumptions!$B$11+Assumptions!$B$12)/Projects!$D$24*0.95,0)-IF(AND(Projects!$G$24="Yes",BH$3=Projects!$C$24+Projects!$D$24-1),Projects!$B$24*(Assumptions!$B$10+Assumptions!$B$11+Assumptions!$B$12)*0.05,0)</f>
        <v/>
      </c>
      <c r="BI33" s="399">
        <f>IF(AND(Projects!$G$24="Yes",BI$3&gt;=Projects!$C$24,BI$3&lt;Projects!$C$24+Projects!$D$24),Projects!$B$24*INDEX(Curves!$B$4:$AR$4,1,BI$3-Projects!$C$24+1),0)-IF(AND(Projects!$G$24="Yes",BI$3&gt;=Projects!$C$24,BI$3&lt;Projects!$C$24+Projects!$D$24),Projects!$B$24*(Assumptions!$B$10+Assumptions!$B$11+Assumptions!$B$12)/Projects!$D$24*0.95,0)-IF(AND(Projects!$G$24="Yes",BI$3=Projects!$C$24+Projects!$D$24-1),Projects!$B$24*(Assumptions!$B$10+Assumptions!$B$11+Assumptions!$B$12)*0.05,0)</f>
        <v/>
      </c>
      <c r="BJ33" s="399">
        <f>IF(AND(Projects!$G$24="Yes",BJ$3&gt;=Projects!$C$24,BJ$3&lt;Projects!$C$24+Projects!$D$24),Projects!$B$24*INDEX(Curves!$B$4:$AR$4,1,BJ$3-Projects!$C$24+1),0)-IF(AND(Projects!$G$24="Yes",BJ$3&gt;=Projects!$C$24,BJ$3&lt;Projects!$C$24+Projects!$D$24),Projects!$B$24*(Assumptions!$B$10+Assumptions!$B$11+Assumptions!$B$12)/Projects!$D$24*0.95,0)-IF(AND(Projects!$G$24="Yes",BJ$3=Projects!$C$24+Projects!$D$24-1),Projects!$B$24*(Assumptions!$B$10+Assumptions!$B$11+Assumptions!$B$12)*0.05,0)</f>
        <v/>
      </c>
      <c r="BK33" s="399">
        <f>IF(AND(Projects!$G$24="Yes",BK$3&gt;=Projects!$C$24,BK$3&lt;Projects!$C$24+Projects!$D$24),Projects!$B$24*INDEX(Curves!$B$4:$AR$4,1,BK$3-Projects!$C$24+1),0)-IF(AND(Projects!$G$24="Yes",BK$3&gt;=Projects!$C$24,BK$3&lt;Projects!$C$24+Projects!$D$24),Projects!$B$24*(Assumptions!$B$10+Assumptions!$B$11+Assumptions!$B$12)/Projects!$D$24*0.95,0)-IF(AND(Projects!$G$24="Yes",BK$3=Projects!$C$24+Projects!$D$24-1),Projects!$B$24*(Assumptions!$B$10+Assumptions!$B$11+Assumptions!$B$12)*0.05,0)</f>
        <v/>
      </c>
      <c r="BL33" s="399">
        <f>IF(AND(Projects!$G$24="Yes",BL$3&gt;=Projects!$C$24,BL$3&lt;Projects!$C$24+Projects!$D$24),Projects!$B$24*INDEX(Curves!$B$4:$AR$4,1,BL$3-Projects!$C$24+1),0)-IF(AND(Projects!$G$24="Yes",BL$3&gt;=Projects!$C$24,BL$3&lt;Projects!$C$24+Projects!$D$24),Projects!$B$24*(Assumptions!$B$10+Assumptions!$B$11+Assumptions!$B$12)/Projects!$D$24*0.95,0)-IF(AND(Projects!$G$24="Yes",BL$3=Projects!$C$24+Projects!$D$24-1),Projects!$B$24*(Assumptions!$B$10+Assumptions!$B$11+Assumptions!$B$12)*0.05,0)</f>
        <v/>
      </c>
      <c r="BM33" s="399">
        <f>IF(AND(Projects!$G$24="Yes",BM$3&gt;=Projects!$C$24,BM$3&lt;Projects!$C$24+Projects!$D$24),Projects!$B$24*INDEX(Curves!$B$4:$AR$4,1,BM$3-Projects!$C$24+1),0)-IF(AND(Projects!$G$24="Yes",BM$3&gt;=Projects!$C$24,BM$3&lt;Projects!$C$24+Projects!$D$24),Projects!$B$24*(Assumptions!$B$10+Assumptions!$B$11+Assumptions!$B$12)/Projects!$D$24*0.95,0)-IF(AND(Projects!$G$24="Yes",BM$3=Projects!$C$24+Projects!$D$24-1),Projects!$B$24*(Assumptions!$B$10+Assumptions!$B$11+Assumptions!$B$12)*0.05,0)</f>
        <v/>
      </c>
      <c r="BN33" s="399">
        <f>IF(AND(Projects!$G$24="Yes",BN$3&gt;=Projects!$C$24,BN$3&lt;Projects!$C$24+Projects!$D$24),Projects!$B$24*INDEX(Curves!$B$4:$AR$4,1,BN$3-Projects!$C$24+1),0)-IF(AND(Projects!$G$24="Yes",BN$3&gt;=Projects!$C$24,BN$3&lt;Projects!$C$24+Projects!$D$24),Projects!$B$24*(Assumptions!$B$10+Assumptions!$B$11+Assumptions!$B$12)/Projects!$D$24*0.95,0)-IF(AND(Projects!$G$24="Yes",BN$3=Projects!$C$24+Projects!$D$24-1),Projects!$B$24*(Assumptions!$B$10+Assumptions!$B$11+Assumptions!$B$12)*0.05,0)</f>
        <v/>
      </c>
      <c r="BO33" s="399">
        <f>IF(AND(Projects!$G$24="Yes",BO$3&gt;=Projects!$C$24,BO$3&lt;Projects!$C$24+Projects!$D$24),Projects!$B$24*INDEX(Curves!$B$4:$AR$4,1,BO$3-Projects!$C$24+1),0)-IF(AND(Projects!$G$24="Yes",BO$3&gt;=Projects!$C$24,BO$3&lt;Projects!$C$24+Projects!$D$24),Projects!$B$24*(Assumptions!$B$10+Assumptions!$B$11+Assumptions!$B$12)/Projects!$D$24*0.95,0)-IF(AND(Projects!$G$24="Yes",BO$3=Projects!$C$24+Projects!$D$24-1),Projects!$B$24*(Assumptions!$B$10+Assumptions!$B$11+Assumptions!$B$12)*0.05,0)</f>
        <v/>
      </c>
      <c r="BP33" s="399">
        <f>IF(AND(Projects!$G$24="Yes",BP$3&gt;=Projects!$C$24,BP$3&lt;Projects!$C$24+Projects!$D$24),Projects!$B$24*INDEX(Curves!$B$4:$AR$4,1,BP$3-Projects!$C$24+1),0)-IF(AND(Projects!$G$24="Yes",BP$3&gt;=Projects!$C$24,BP$3&lt;Projects!$C$24+Projects!$D$24),Projects!$B$24*(Assumptions!$B$10+Assumptions!$B$11+Assumptions!$B$12)/Projects!$D$24*0.95,0)-IF(AND(Projects!$G$24="Yes",BP$3=Projects!$C$24+Projects!$D$24-1),Projects!$B$24*(Assumptions!$B$10+Assumptions!$B$11+Assumptions!$B$12)*0.05,0)</f>
        <v/>
      </c>
      <c r="BQ33" s="399">
        <f>IF(AND(Projects!$G$24="Yes",BQ$3&gt;=Projects!$C$24,BQ$3&lt;Projects!$C$24+Projects!$D$24),Projects!$B$24*INDEX(Curves!$B$4:$AR$4,1,BQ$3-Projects!$C$24+1),0)-IF(AND(Projects!$G$24="Yes",BQ$3&gt;=Projects!$C$24,BQ$3&lt;Projects!$C$24+Projects!$D$24),Projects!$B$24*(Assumptions!$B$10+Assumptions!$B$11+Assumptions!$B$12)/Projects!$D$24*0.95,0)-IF(AND(Projects!$G$24="Yes",BQ$3=Projects!$C$24+Projects!$D$24-1),Projects!$B$24*(Assumptions!$B$10+Assumptions!$B$11+Assumptions!$B$12)*0.05,0)</f>
        <v/>
      </c>
      <c r="BR33" s="399">
        <f>IF(AND(Projects!$G$24="Yes",BR$3&gt;=Projects!$C$24,BR$3&lt;Projects!$C$24+Projects!$D$24),Projects!$B$24*INDEX(Curves!$B$4:$AR$4,1,BR$3-Projects!$C$24+1),0)-IF(AND(Projects!$G$24="Yes",BR$3&gt;=Projects!$C$24,BR$3&lt;Projects!$C$24+Projects!$D$24),Projects!$B$24*(Assumptions!$B$10+Assumptions!$B$11+Assumptions!$B$12)/Projects!$D$24*0.95,0)-IF(AND(Projects!$G$24="Yes",BR$3=Projects!$C$24+Projects!$D$24-1),Projects!$B$24*(Assumptions!$B$10+Assumptions!$B$11+Assumptions!$B$12)*0.05,0)</f>
        <v/>
      </c>
      <c r="BS33" s="399">
        <f>IF(AND(Projects!$G$24="Yes",BS$3&gt;=Projects!$C$24,BS$3&lt;Projects!$C$24+Projects!$D$24),Projects!$B$24*INDEX(Curves!$B$4:$AR$4,1,BS$3-Projects!$C$24+1),0)-IF(AND(Projects!$G$24="Yes",BS$3&gt;=Projects!$C$24,BS$3&lt;Projects!$C$24+Projects!$D$24),Projects!$B$24*(Assumptions!$B$10+Assumptions!$B$11+Assumptions!$B$12)/Projects!$D$24*0.95,0)-IF(AND(Projects!$G$24="Yes",BS$3=Projects!$C$24+Projects!$D$24-1),Projects!$B$24*(Assumptions!$B$10+Assumptions!$B$11+Assumptions!$B$12)*0.05,0)</f>
        <v/>
      </c>
      <c r="BT33" s="399">
        <f>IF(AND(Projects!$G$24="Yes",BT$3&gt;=Projects!$C$24,BT$3&lt;Projects!$C$24+Projects!$D$24),Projects!$B$24*INDEX(Curves!$B$4:$AR$4,1,BT$3-Projects!$C$24+1),0)-IF(AND(Projects!$G$24="Yes",BT$3&gt;=Projects!$C$24,BT$3&lt;Projects!$C$24+Projects!$D$24),Projects!$B$24*(Assumptions!$B$10+Assumptions!$B$11+Assumptions!$B$12)/Projects!$D$24*0.95,0)-IF(AND(Projects!$G$24="Yes",BT$3=Projects!$C$24+Projects!$D$24-1),Projects!$B$24*(Assumptions!$B$10+Assumptions!$B$11+Assumptions!$B$12)*0.05,0)</f>
        <v/>
      </c>
      <c r="BU33" s="399">
        <f>IF(AND(Projects!$G$24="Yes",BU$3&gt;=Projects!$C$24,BU$3&lt;Projects!$C$24+Projects!$D$24),Projects!$B$24*INDEX(Curves!$B$4:$AR$4,1,BU$3-Projects!$C$24+1),0)-IF(AND(Projects!$G$24="Yes",BU$3&gt;=Projects!$C$24,BU$3&lt;Projects!$C$24+Projects!$D$24),Projects!$B$24*(Assumptions!$B$10+Assumptions!$B$11+Assumptions!$B$12)/Projects!$D$24*0.95,0)-IF(AND(Projects!$G$24="Yes",BU$3=Projects!$C$24+Projects!$D$24-1),Projects!$B$24*(Assumptions!$B$10+Assumptions!$B$11+Assumptions!$B$12)*0.05,0)</f>
        <v/>
      </c>
      <c r="BV33" s="399">
        <f>IF(AND(Projects!$G$24="Yes",BV$3&gt;=Projects!$C$24,BV$3&lt;Projects!$C$24+Projects!$D$24),Projects!$B$24*INDEX(Curves!$B$4:$AR$4,1,BV$3-Projects!$C$24+1),0)-IF(AND(Projects!$G$24="Yes",BV$3&gt;=Projects!$C$24,BV$3&lt;Projects!$C$24+Projects!$D$24),Projects!$B$24*(Assumptions!$B$10+Assumptions!$B$11+Assumptions!$B$12)/Projects!$D$24*0.95,0)-IF(AND(Projects!$G$24="Yes",BV$3=Projects!$C$24+Projects!$D$24-1),Projects!$B$24*(Assumptions!$B$10+Assumptions!$B$11+Assumptions!$B$12)*0.05,0)</f>
        <v/>
      </c>
      <c r="BW33" s="399">
        <f>IF(AND(Projects!$G$24="Yes",BW$3&gt;=Projects!$C$24,BW$3&lt;Projects!$C$24+Projects!$D$24),Projects!$B$24*INDEX(Curves!$B$4:$AR$4,1,BW$3-Projects!$C$24+1),0)-IF(AND(Projects!$G$24="Yes",BW$3&gt;=Projects!$C$24,BW$3&lt;Projects!$C$24+Projects!$D$24),Projects!$B$24*(Assumptions!$B$10+Assumptions!$B$11+Assumptions!$B$12)/Projects!$D$24*0.95,0)-IF(AND(Projects!$G$24="Yes",BW$3=Projects!$C$24+Projects!$D$24-1),Projects!$B$24*(Assumptions!$B$10+Assumptions!$B$11+Assumptions!$B$12)*0.05,0)</f>
        <v/>
      </c>
      <c r="BX33" s="399">
        <f>IF(AND(Projects!$G$24="Yes",BX$3&gt;=Projects!$C$24,BX$3&lt;Projects!$C$24+Projects!$D$24),Projects!$B$24*INDEX(Curves!$B$4:$AR$4,1,BX$3-Projects!$C$24+1),0)-IF(AND(Projects!$G$24="Yes",BX$3&gt;=Projects!$C$24,BX$3&lt;Projects!$C$24+Projects!$D$24),Projects!$B$24*(Assumptions!$B$10+Assumptions!$B$11+Assumptions!$B$12)/Projects!$D$24*0.95,0)-IF(AND(Projects!$G$24="Yes",BX$3=Projects!$C$24+Projects!$D$24-1),Projects!$B$24*(Assumptions!$B$10+Assumptions!$B$11+Assumptions!$B$12)*0.05,0)</f>
        <v/>
      </c>
      <c r="BY33" s="399">
        <f>IF(AND(Projects!$G$24="Yes",BY$3&gt;=Projects!$C$24,BY$3&lt;Projects!$C$24+Projects!$D$24),Projects!$B$24*INDEX(Curves!$B$4:$AR$4,1,BY$3-Projects!$C$24+1),0)-IF(AND(Projects!$G$24="Yes",BY$3&gt;=Projects!$C$24,BY$3&lt;Projects!$C$24+Projects!$D$24),Projects!$B$24*(Assumptions!$B$10+Assumptions!$B$11+Assumptions!$B$12)/Projects!$D$24*0.95,0)-IF(AND(Projects!$G$24="Yes",BY$3=Projects!$C$24+Projects!$D$24-1),Projects!$B$24*(Assumptions!$B$10+Assumptions!$B$11+Assumptions!$B$12)*0.05,0)</f>
        <v/>
      </c>
      <c r="BZ33" s="399">
        <f>IF(AND(Projects!$G$24="Yes",BZ$3&gt;=Projects!$C$24,BZ$3&lt;Projects!$C$24+Projects!$D$24),Projects!$B$24*INDEX(Curves!$B$4:$AR$4,1,BZ$3-Projects!$C$24+1),0)-IF(AND(Projects!$G$24="Yes",BZ$3&gt;=Projects!$C$24,BZ$3&lt;Projects!$C$24+Projects!$D$24),Projects!$B$24*(Assumptions!$B$10+Assumptions!$B$11+Assumptions!$B$12)/Projects!$D$24*0.95,0)-IF(AND(Projects!$G$24="Yes",BZ$3=Projects!$C$24+Projects!$D$24-1),Projects!$B$24*(Assumptions!$B$10+Assumptions!$B$11+Assumptions!$B$12)*0.05,0)</f>
        <v/>
      </c>
      <c r="CA33" s="399">
        <f>IF(AND(Projects!$G$24="Yes",CA$3&gt;=Projects!$C$24,CA$3&lt;Projects!$C$24+Projects!$D$24),Projects!$B$24*INDEX(Curves!$B$4:$AR$4,1,CA$3-Projects!$C$24+1),0)-IF(AND(Projects!$G$24="Yes",CA$3&gt;=Projects!$C$24,CA$3&lt;Projects!$C$24+Projects!$D$24),Projects!$B$24*(Assumptions!$B$10+Assumptions!$B$11+Assumptions!$B$12)/Projects!$D$24*0.95,0)-IF(AND(Projects!$G$24="Yes",CA$3=Projects!$C$24+Projects!$D$24-1),Projects!$B$24*(Assumptions!$B$10+Assumptions!$B$11+Assumptions!$B$12)*0.05,0)</f>
        <v/>
      </c>
      <c r="CB33" s="399">
        <f>IF(AND(Projects!$G$24="Yes",CB$3&gt;=Projects!$C$24,CB$3&lt;Projects!$C$24+Projects!$D$24),Projects!$B$24*INDEX(Curves!$B$4:$AR$4,1,CB$3-Projects!$C$24+1),0)-IF(AND(Projects!$G$24="Yes",CB$3&gt;=Projects!$C$24,CB$3&lt;Projects!$C$24+Projects!$D$24),Projects!$B$24*(Assumptions!$B$10+Assumptions!$B$11+Assumptions!$B$12)/Projects!$D$24*0.95,0)-IF(AND(Projects!$G$24="Yes",CB$3=Projects!$C$24+Projects!$D$24-1),Projects!$B$24*(Assumptions!$B$10+Assumptions!$B$11+Assumptions!$B$12)*0.05,0)</f>
        <v/>
      </c>
      <c r="CC33" s="399">
        <f>IF(AND(Projects!$G$24="Yes",CC$3&gt;=Projects!$C$24,CC$3&lt;Projects!$C$24+Projects!$D$24),Projects!$B$24*INDEX(Curves!$B$4:$AR$4,1,CC$3-Projects!$C$24+1),0)-IF(AND(Projects!$G$24="Yes",CC$3&gt;=Projects!$C$24,CC$3&lt;Projects!$C$24+Projects!$D$24),Projects!$B$24*(Assumptions!$B$10+Assumptions!$B$11+Assumptions!$B$12)/Projects!$D$24*0.95,0)-IF(AND(Projects!$G$24="Yes",CC$3=Projects!$C$24+Projects!$D$24-1),Projects!$B$24*(Assumptions!$B$10+Assumptions!$B$11+Assumptions!$B$12)*0.05,0)</f>
        <v/>
      </c>
      <c r="CD33" s="399">
        <f>IF(AND(Projects!$G$24="Yes",CD$3&gt;=Projects!$C$24,CD$3&lt;Projects!$C$24+Projects!$D$24),Projects!$B$24*INDEX(Curves!$B$4:$AR$4,1,CD$3-Projects!$C$24+1),0)-IF(AND(Projects!$G$24="Yes",CD$3&gt;=Projects!$C$24,CD$3&lt;Projects!$C$24+Projects!$D$24),Projects!$B$24*(Assumptions!$B$10+Assumptions!$B$11+Assumptions!$B$12)/Projects!$D$24*0.95,0)-IF(AND(Projects!$G$24="Yes",CD$3=Projects!$C$24+Projects!$D$24-1),Projects!$B$24*(Assumptions!$B$10+Assumptions!$B$11+Assumptions!$B$12)*0.05,0)</f>
        <v/>
      </c>
      <c r="CE33" s="399">
        <f>IF(AND(Projects!$G$24="Yes",CE$3&gt;=Projects!$C$24,CE$3&lt;Projects!$C$24+Projects!$D$24),Projects!$B$24*INDEX(Curves!$B$4:$AR$4,1,CE$3-Projects!$C$24+1),0)-IF(AND(Projects!$G$24="Yes",CE$3&gt;=Projects!$C$24,CE$3&lt;Projects!$C$24+Projects!$D$24),Projects!$B$24*(Assumptions!$B$10+Assumptions!$B$11+Assumptions!$B$12)/Projects!$D$24*0.95,0)-IF(AND(Projects!$G$24="Yes",CE$3=Projects!$C$24+Projects!$D$24-1),Projects!$B$24*(Assumptions!$B$10+Assumptions!$B$11+Assumptions!$B$12)*0.05,0)</f>
        <v/>
      </c>
      <c r="CF33" s="399">
        <f>IF(AND(Projects!$G$24="Yes",CF$3&gt;=Projects!$C$24,CF$3&lt;Projects!$C$24+Projects!$D$24),Projects!$B$24*INDEX(Curves!$B$4:$AR$4,1,CF$3-Projects!$C$24+1),0)-IF(AND(Projects!$G$24="Yes",CF$3&gt;=Projects!$C$24,CF$3&lt;Projects!$C$24+Projects!$D$24),Projects!$B$24*(Assumptions!$B$10+Assumptions!$B$11+Assumptions!$B$12)/Projects!$D$24*0.95,0)-IF(AND(Projects!$G$24="Yes",CF$3=Projects!$C$24+Projects!$D$24-1),Projects!$B$24*(Assumptions!$B$10+Assumptions!$B$11+Assumptions!$B$12)*0.05,0)</f>
        <v/>
      </c>
      <c r="CG33" s="399">
        <f>IF(AND(Projects!$G$24="Yes",CG$3&gt;=Projects!$C$24,CG$3&lt;Projects!$C$24+Projects!$D$24),Projects!$B$24*INDEX(Curves!$B$4:$AR$4,1,CG$3-Projects!$C$24+1),0)-IF(AND(Projects!$G$24="Yes",CG$3&gt;=Projects!$C$24,CG$3&lt;Projects!$C$24+Projects!$D$24),Projects!$B$24*(Assumptions!$B$10+Assumptions!$B$11+Assumptions!$B$12)/Projects!$D$24*0.95,0)-IF(AND(Projects!$G$24="Yes",CG$3=Projects!$C$24+Projects!$D$24-1),Projects!$B$24*(Assumptions!$B$10+Assumptions!$B$11+Assumptions!$B$12)*0.05,0)</f>
        <v/>
      </c>
      <c r="CH33" s="399">
        <f>IF(AND(Projects!$G$24="Yes",CH$3&gt;=Projects!$C$24,CH$3&lt;Projects!$C$24+Projects!$D$24),Projects!$B$24*INDEX(Curves!$B$4:$AR$4,1,CH$3-Projects!$C$24+1),0)-IF(AND(Projects!$G$24="Yes",CH$3&gt;=Projects!$C$24,CH$3&lt;Projects!$C$24+Projects!$D$24),Projects!$B$24*(Assumptions!$B$10+Assumptions!$B$11+Assumptions!$B$12)/Projects!$D$24*0.95,0)-IF(AND(Projects!$G$24="Yes",CH$3=Projects!$C$24+Projects!$D$24-1),Projects!$B$24*(Assumptions!$B$10+Assumptions!$B$11+Assumptions!$B$12)*0.05,0)</f>
        <v/>
      </c>
      <c r="CI33" s="399">
        <f>IF(AND(Projects!$G$24="Yes",CI$3&gt;=Projects!$C$24,CI$3&lt;Projects!$C$24+Projects!$D$24),Projects!$B$24*INDEX(Curves!$B$4:$AR$4,1,CI$3-Projects!$C$24+1),0)-IF(AND(Projects!$G$24="Yes",CI$3&gt;=Projects!$C$24,CI$3&lt;Projects!$C$24+Projects!$D$24),Projects!$B$24*(Assumptions!$B$10+Assumptions!$B$11+Assumptions!$B$12)/Projects!$D$24*0.95,0)-IF(AND(Projects!$G$24="Yes",CI$3=Projects!$C$24+Projects!$D$24-1),Projects!$B$24*(Assumptions!$B$10+Assumptions!$B$11+Assumptions!$B$12)*0.05,0)</f>
        <v/>
      </c>
      <c r="CJ33" s="399">
        <f>IF(AND(Projects!$G$24="Yes",CJ$3&gt;=Projects!$C$24,CJ$3&lt;Projects!$C$24+Projects!$D$24),Projects!$B$24*INDEX(Curves!$B$4:$AR$4,1,CJ$3-Projects!$C$24+1),0)-IF(AND(Projects!$G$24="Yes",CJ$3&gt;=Projects!$C$24,CJ$3&lt;Projects!$C$24+Projects!$D$24),Projects!$B$24*(Assumptions!$B$10+Assumptions!$B$11+Assumptions!$B$12)/Projects!$D$24*0.95,0)-IF(AND(Projects!$G$24="Yes",CJ$3=Projects!$C$24+Projects!$D$24-1),Projects!$B$24*(Assumptions!$B$10+Assumptions!$B$11+Assumptions!$B$12)*0.05,0)</f>
        <v/>
      </c>
      <c r="CK33" s="399">
        <f>IF(AND(Projects!$G$24="Yes",CK$3&gt;=Projects!$C$24,CK$3&lt;Projects!$C$24+Projects!$D$24),Projects!$B$24*INDEX(Curves!$B$4:$AR$4,1,CK$3-Projects!$C$24+1),0)-IF(AND(Projects!$G$24="Yes",CK$3&gt;=Projects!$C$24,CK$3&lt;Projects!$C$24+Projects!$D$24),Projects!$B$24*(Assumptions!$B$10+Assumptions!$B$11+Assumptions!$B$12)/Projects!$D$24*0.95,0)-IF(AND(Projects!$G$24="Yes",CK$3=Projects!$C$24+Projects!$D$24-1),Projects!$B$24*(Assumptions!$B$10+Assumptions!$B$11+Assumptions!$B$12)*0.05,0)</f>
        <v/>
      </c>
      <c r="CL33" s="399">
        <f>IF(AND(Projects!$G$24="Yes",CL$3&gt;=Projects!$C$24,CL$3&lt;Projects!$C$24+Projects!$D$24),Projects!$B$24*INDEX(Curves!$B$4:$AR$4,1,CL$3-Projects!$C$24+1),0)-IF(AND(Projects!$G$24="Yes",CL$3&gt;=Projects!$C$24,CL$3&lt;Projects!$C$24+Projects!$D$24),Projects!$B$24*(Assumptions!$B$10+Assumptions!$B$11+Assumptions!$B$12)/Projects!$D$24*0.95,0)-IF(AND(Projects!$G$24="Yes",CL$3=Projects!$C$24+Projects!$D$24-1),Projects!$B$24*(Assumptions!$B$10+Assumptions!$B$11+Assumptions!$B$12)*0.05,0)</f>
        <v/>
      </c>
      <c r="CM33" s="399">
        <f>IF(AND(Projects!$G$24="Yes",CM$3&gt;=Projects!$C$24,CM$3&lt;Projects!$C$24+Projects!$D$24),Projects!$B$24*INDEX(Curves!$B$4:$AR$4,1,CM$3-Projects!$C$24+1),0)-IF(AND(Projects!$G$24="Yes",CM$3&gt;=Projects!$C$24,CM$3&lt;Projects!$C$24+Projects!$D$24),Projects!$B$24*(Assumptions!$B$10+Assumptions!$B$11+Assumptions!$B$12)/Projects!$D$24*0.95,0)-IF(AND(Projects!$G$24="Yes",CM$3=Projects!$C$24+Projects!$D$24-1),Projects!$B$24*(Assumptions!$B$10+Assumptions!$B$11+Assumptions!$B$12)*0.05,0)</f>
        <v/>
      </c>
      <c r="CN33" s="399">
        <f>IF(AND(Projects!$G$24="Yes",CN$3&gt;=Projects!$C$24,CN$3&lt;Projects!$C$24+Projects!$D$24),Projects!$B$24*INDEX(Curves!$B$4:$AR$4,1,CN$3-Projects!$C$24+1),0)-IF(AND(Projects!$G$24="Yes",CN$3&gt;=Projects!$C$24,CN$3&lt;Projects!$C$24+Projects!$D$24),Projects!$B$24*(Assumptions!$B$10+Assumptions!$B$11+Assumptions!$B$12)/Projects!$D$24*0.95,0)-IF(AND(Projects!$G$24="Yes",CN$3=Projects!$C$24+Projects!$D$24-1),Projects!$B$24*(Assumptions!$B$10+Assumptions!$B$11+Assumptions!$B$12)*0.05,0)</f>
        <v/>
      </c>
      <c r="CO33" s="399">
        <f>IF(AND(Projects!$G$24="Yes",CO$3&gt;=Projects!$C$24,CO$3&lt;Projects!$C$24+Projects!$D$24),Projects!$B$24*INDEX(Curves!$B$4:$AR$4,1,CO$3-Projects!$C$24+1),0)-IF(AND(Projects!$G$24="Yes",CO$3&gt;=Projects!$C$24,CO$3&lt;Projects!$C$24+Projects!$D$24),Projects!$B$24*(Assumptions!$B$10+Assumptions!$B$11+Assumptions!$B$12)/Projects!$D$24*0.95,0)-IF(AND(Projects!$G$24="Yes",CO$3=Projects!$C$24+Projects!$D$24-1),Projects!$B$24*(Assumptions!$B$10+Assumptions!$B$11+Assumptions!$B$12)*0.05,0)</f>
        <v/>
      </c>
      <c r="CP33" s="399">
        <f>IF(AND(Projects!$G$24="Yes",CP$3&gt;=Projects!$C$24,CP$3&lt;Projects!$C$24+Projects!$D$24),Projects!$B$24*INDEX(Curves!$B$4:$AR$4,1,CP$3-Projects!$C$24+1),0)-IF(AND(Projects!$G$24="Yes",CP$3&gt;=Projects!$C$24,CP$3&lt;Projects!$C$24+Projects!$D$24),Projects!$B$24*(Assumptions!$B$10+Assumptions!$B$11+Assumptions!$B$12)/Projects!$D$24*0.95,0)-IF(AND(Projects!$G$24="Yes",CP$3=Projects!$C$24+Projects!$D$24-1),Projects!$B$24*(Assumptions!$B$10+Assumptions!$B$11+Assumptions!$B$12)*0.05,0)</f>
        <v/>
      </c>
      <c r="CQ33" s="399">
        <f>IF(AND(Projects!$G$24="Yes",CQ$3&gt;=Projects!$C$24,CQ$3&lt;Projects!$C$24+Projects!$D$24),Projects!$B$24*INDEX(Curves!$B$4:$AR$4,1,CQ$3-Projects!$C$24+1),0)-IF(AND(Projects!$G$24="Yes",CQ$3&gt;=Projects!$C$24,CQ$3&lt;Projects!$C$24+Projects!$D$24),Projects!$B$24*(Assumptions!$B$10+Assumptions!$B$11+Assumptions!$B$12)/Projects!$D$24*0.95,0)-IF(AND(Projects!$G$24="Yes",CQ$3=Projects!$C$24+Projects!$D$24-1),Projects!$B$24*(Assumptions!$B$10+Assumptions!$B$11+Assumptions!$B$12)*0.05,0)</f>
        <v/>
      </c>
      <c r="CR33" s="399">
        <f>IF(AND(Projects!$G$24="Yes",CR$3&gt;=Projects!$C$24,CR$3&lt;Projects!$C$24+Projects!$D$24),Projects!$B$24*INDEX(Curves!$B$4:$AR$4,1,CR$3-Projects!$C$24+1),0)-IF(AND(Projects!$G$24="Yes",CR$3&gt;=Projects!$C$24,CR$3&lt;Projects!$C$24+Projects!$D$24),Projects!$B$24*(Assumptions!$B$10+Assumptions!$B$11+Assumptions!$B$12)/Projects!$D$24*0.95,0)-IF(AND(Projects!$G$24="Yes",CR$3=Projects!$C$24+Projects!$D$24-1),Projects!$B$24*(Assumptions!$B$10+Assumptions!$B$11+Assumptions!$B$12)*0.05,0)</f>
        <v/>
      </c>
      <c r="CS33" s="399">
        <f>IF(AND(Projects!$G$24="Yes",CS$3&gt;=Projects!$C$24,CS$3&lt;Projects!$C$24+Projects!$D$24),Projects!$B$24*INDEX(Curves!$B$4:$AR$4,1,CS$3-Projects!$C$24+1),0)-IF(AND(Projects!$G$24="Yes",CS$3&gt;=Projects!$C$24,CS$3&lt;Projects!$C$24+Projects!$D$24),Projects!$B$24*(Assumptions!$B$10+Assumptions!$B$11+Assumptions!$B$12)/Projects!$D$24*0.95,0)-IF(AND(Projects!$G$24="Yes",CS$3=Projects!$C$24+Projects!$D$24-1),Projects!$B$24*(Assumptions!$B$10+Assumptions!$B$11+Assumptions!$B$12)*0.05,0)</f>
        <v/>
      </c>
      <c r="CT33" s="399">
        <f>IF(AND(Projects!$G$24="Yes",CT$3&gt;=Projects!$C$24,CT$3&lt;Projects!$C$24+Projects!$D$24),Projects!$B$24*INDEX(Curves!$B$4:$AR$4,1,CT$3-Projects!$C$24+1),0)-IF(AND(Projects!$G$24="Yes",CT$3&gt;=Projects!$C$24,CT$3&lt;Projects!$C$24+Projects!$D$24),Projects!$B$24*(Assumptions!$B$10+Assumptions!$B$11+Assumptions!$B$12)/Projects!$D$24*0.95,0)-IF(AND(Projects!$G$24="Yes",CT$3=Projects!$C$24+Projects!$D$24-1),Projects!$B$24*(Assumptions!$B$10+Assumptions!$B$11+Assumptions!$B$12)*0.05,0)</f>
        <v/>
      </c>
      <c r="CU33" s="399">
        <f>IF(AND(Projects!$G$24="Yes",CU$3&gt;=Projects!$C$24,CU$3&lt;Projects!$C$24+Projects!$D$24),Projects!$B$24*INDEX(Curves!$B$4:$AR$4,1,CU$3-Projects!$C$24+1),0)-IF(AND(Projects!$G$24="Yes",CU$3&gt;=Projects!$C$24,CU$3&lt;Projects!$C$24+Projects!$D$24),Projects!$B$24*(Assumptions!$B$10+Assumptions!$B$11+Assumptions!$B$12)/Projects!$D$24*0.95,0)-IF(AND(Projects!$G$24="Yes",CU$3=Projects!$C$24+Projects!$D$24-1),Projects!$B$24*(Assumptions!$B$10+Assumptions!$B$11+Assumptions!$B$12)*0.05,0)</f>
        <v/>
      </c>
      <c r="CV33" s="399">
        <f>IF(AND(Projects!$G$24="Yes",CV$3&gt;=Projects!$C$24,CV$3&lt;Projects!$C$24+Projects!$D$24),Projects!$B$24*INDEX(Curves!$B$4:$AR$4,1,CV$3-Projects!$C$24+1),0)-IF(AND(Projects!$G$24="Yes",CV$3&gt;=Projects!$C$24,CV$3&lt;Projects!$C$24+Projects!$D$24),Projects!$B$24*(Assumptions!$B$10+Assumptions!$B$11+Assumptions!$B$12)/Projects!$D$24*0.95,0)-IF(AND(Projects!$G$24="Yes",CV$3=Projects!$C$24+Projects!$D$24-1),Projects!$B$24*(Assumptions!$B$10+Assumptions!$B$11+Assumptions!$B$12)*0.05,0)</f>
        <v/>
      </c>
      <c r="CW33" s="399">
        <f>IF(AND(Projects!$G$24="Yes",CW$3&gt;=Projects!$C$24,CW$3&lt;Projects!$C$24+Projects!$D$24),Projects!$B$24*INDEX(Curves!$B$4:$AR$4,1,CW$3-Projects!$C$24+1),0)-IF(AND(Projects!$G$24="Yes",CW$3&gt;=Projects!$C$24,CW$3&lt;Projects!$C$24+Projects!$D$24),Projects!$B$24*(Assumptions!$B$10+Assumptions!$B$11+Assumptions!$B$12)/Projects!$D$24*0.95,0)-IF(AND(Projects!$G$24="Yes",CW$3=Projects!$C$24+Projects!$D$24-1),Projects!$B$24*(Assumptions!$B$10+Assumptions!$B$11+Assumptions!$B$12)*0.05,0)</f>
        <v/>
      </c>
      <c r="CX33" s="399">
        <f>IF(AND(Projects!$G$24="Yes",CX$3&gt;=Projects!$C$24,CX$3&lt;Projects!$C$24+Projects!$D$24),Projects!$B$24*INDEX(Curves!$B$4:$AR$4,1,CX$3-Projects!$C$24+1),0)-IF(AND(Projects!$G$24="Yes",CX$3&gt;=Projects!$C$24,CX$3&lt;Projects!$C$24+Projects!$D$24),Projects!$B$24*(Assumptions!$B$10+Assumptions!$B$11+Assumptions!$B$12)/Projects!$D$24*0.95,0)-IF(AND(Projects!$G$24="Yes",CX$3=Projects!$C$24+Projects!$D$24-1),Projects!$B$24*(Assumptions!$B$10+Assumptions!$B$11+Assumptions!$B$12)*0.05,0)</f>
        <v/>
      </c>
      <c r="CY33" s="399">
        <f>IF(AND(Projects!$G$24="Yes",CY$3&gt;=Projects!$C$24,CY$3&lt;Projects!$C$24+Projects!$D$24),Projects!$B$24*INDEX(Curves!$B$4:$AR$4,1,CY$3-Projects!$C$24+1),0)-IF(AND(Projects!$G$24="Yes",CY$3&gt;=Projects!$C$24,CY$3&lt;Projects!$C$24+Projects!$D$24),Projects!$B$24*(Assumptions!$B$10+Assumptions!$B$11+Assumptions!$B$12)/Projects!$D$24*0.95,0)-IF(AND(Projects!$G$24="Yes",CY$3=Projects!$C$24+Projects!$D$24-1),Projects!$B$24*(Assumptions!$B$10+Assumptions!$B$11+Assumptions!$B$12)*0.05,0)</f>
        <v/>
      </c>
      <c r="CZ33" s="399">
        <f>IF(AND(Projects!$G$24="Yes",CZ$3&gt;=Projects!$C$24,CZ$3&lt;Projects!$C$24+Projects!$D$24),Projects!$B$24*INDEX(Curves!$B$4:$AR$4,1,CZ$3-Projects!$C$24+1),0)-IF(AND(Projects!$G$24="Yes",CZ$3&gt;=Projects!$C$24,CZ$3&lt;Projects!$C$24+Projects!$D$24),Projects!$B$24*(Assumptions!$B$10+Assumptions!$B$11+Assumptions!$B$12)/Projects!$D$24*0.95,0)-IF(AND(Projects!$G$24="Yes",CZ$3=Projects!$C$24+Projects!$D$24-1),Projects!$B$24*(Assumptions!$B$10+Assumptions!$B$11+Assumptions!$B$12)*0.05,0)</f>
        <v/>
      </c>
      <c r="DA33" s="399">
        <f>IF(AND(Projects!$G$24="Yes",DA$3&gt;=Projects!$C$24,DA$3&lt;Projects!$C$24+Projects!$D$24),Projects!$B$24*INDEX(Curves!$B$4:$AR$4,1,DA$3-Projects!$C$24+1),0)-IF(AND(Projects!$G$24="Yes",DA$3&gt;=Projects!$C$24,DA$3&lt;Projects!$C$24+Projects!$D$24),Projects!$B$24*(Assumptions!$B$10+Assumptions!$B$11+Assumptions!$B$12)/Projects!$D$24*0.95,0)-IF(AND(Projects!$G$24="Yes",DA$3=Projects!$C$24+Projects!$D$24-1),Projects!$B$24*(Assumptions!$B$10+Assumptions!$B$11+Assumptions!$B$12)*0.05,0)</f>
        <v/>
      </c>
      <c r="DB33" s="399">
        <f>IF(AND(Projects!$G$24="Yes",DB$3&gt;=Projects!$C$24,DB$3&lt;Projects!$C$24+Projects!$D$24),Projects!$B$24*INDEX(Curves!$B$4:$AR$4,1,DB$3-Projects!$C$24+1),0)-IF(AND(Projects!$G$24="Yes",DB$3&gt;=Projects!$C$24,DB$3&lt;Projects!$C$24+Projects!$D$24),Projects!$B$24*(Assumptions!$B$10+Assumptions!$B$11+Assumptions!$B$12)/Projects!$D$24*0.95,0)-IF(AND(Projects!$G$24="Yes",DB$3=Projects!$C$24+Projects!$D$24-1),Projects!$B$24*(Assumptions!$B$10+Assumptions!$B$11+Assumptions!$B$12)*0.05,0)</f>
        <v/>
      </c>
      <c r="DC33" s="399">
        <f>IF(AND(Projects!$G$24="Yes",DC$3&gt;=Projects!$C$24,DC$3&lt;Projects!$C$24+Projects!$D$24),Projects!$B$24*INDEX(Curves!$B$4:$AR$4,1,DC$3-Projects!$C$24+1),0)-IF(AND(Projects!$G$24="Yes",DC$3&gt;=Projects!$C$24,DC$3&lt;Projects!$C$24+Projects!$D$24),Projects!$B$24*(Assumptions!$B$10+Assumptions!$B$11+Assumptions!$B$12)/Projects!$D$24*0.95,0)-IF(AND(Projects!$G$24="Yes",DC$3=Projects!$C$24+Projects!$D$24-1),Projects!$B$24*(Assumptions!$B$10+Assumptions!$B$11+Assumptions!$B$12)*0.05,0)</f>
        <v/>
      </c>
      <c r="DD33" s="399">
        <f>IF(AND(Projects!$G$24="Yes",DD$3&gt;=Projects!$C$24,DD$3&lt;Projects!$C$24+Projects!$D$24),Projects!$B$24*INDEX(Curves!$B$4:$AR$4,1,DD$3-Projects!$C$24+1),0)-IF(AND(Projects!$G$24="Yes",DD$3&gt;=Projects!$C$24,DD$3&lt;Projects!$C$24+Projects!$D$24),Projects!$B$24*(Assumptions!$B$10+Assumptions!$B$11+Assumptions!$B$12)/Projects!$D$24*0.95,0)-IF(AND(Projects!$G$24="Yes",DD$3=Projects!$C$24+Projects!$D$24-1),Projects!$B$24*(Assumptions!$B$10+Assumptions!$B$11+Assumptions!$B$12)*0.05,0)</f>
        <v/>
      </c>
      <c r="DE33" s="399">
        <f>IF(AND(Projects!$G$24="Yes",DE$3&gt;=Projects!$C$24,DE$3&lt;Projects!$C$24+Projects!$D$24),Projects!$B$24*INDEX(Curves!$B$4:$AR$4,1,DE$3-Projects!$C$24+1),0)-IF(AND(Projects!$G$24="Yes",DE$3&gt;=Projects!$C$24,DE$3&lt;Projects!$C$24+Projects!$D$24),Projects!$B$24*(Assumptions!$B$10+Assumptions!$B$11+Assumptions!$B$12)/Projects!$D$24*0.95,0)-IF(AND(Projects!$G$24="Yes",DE$3=Projects!$C$24+Projects!$D$24-1),Projects!$B$24*(Assumptions!$B$10+Assumptions!$B$11+Assumptions!$B$12)*0.05,0)</f>
        <v/>
      </c>
    </row>
    <row r="34" hidden="1" outlineLevel="1" ht="15" customFormat="1" customHeight="1" s="380">
      <c r="A34" s="407" t="inlineStr">
        <is>
          <t>BD-09</t>
        </is>
      </c>
      <c r="B34" s="399" t="n">
        <v>0</v>
      </c>
      <c r="C34" s="399" t="n">
        <v>0</v>
      </c>
      <c r="D34" s="399" t="n">
        <v>0</v>
      </c>
      <c r="E34" s="399" t="n">
        <v>0</v>
      </c>
      <c r="F34" s="399">
        <f>IF(AND(Projects!$G$25="Yes",F$3&gt;=Projects!$C$25,F$3&lt;Projects!$C$25+Projects!$D$25),Projects!$B$25*INDEX(Curves!$B$4:$AR$4,1,F$3-Projects!$C$25+1),0)-IF(AND(Projects!$G$25="Yes",F$3&gt;=Projects!$C$25,F$3&lt;Projects!$C$25+Projects!$D$25),Projects!$B$25*(Assumptions!$B$10+Assumptions!$B$11+Assumptions!$B$12)/Projects!$D$25*0.95,0)-IF(AND(Projects!$G$25="Yes",F$3=Projects!$C$25+Projects!$D$25-1),Projects!$B$25*(Assumptions!$B$10+Assumptions!$B$11+Assumptions!$B$12)*0.05,0)</f>
        <v/>
      </c>
      <c r="G34" s="399">
        <f>IF(AND(Projects!$G$25="Yes",G$3&gt;=Projects!$C$25,G$3&lt;Projects!$C$25+Projects!$D$25),Projects!$B$25*INDEX(Curves!$B$4:$AR$4,1,G$3-Projects!$C$25+1),0)-IF(AND(Projects!$G$25="Yes",G$3&gt;=Projects!$C$25,G$3&lt;Projects!$C$25+Projects!$D$25),Projects!$B$25*(Assumptions!$B$10+Assumptions!$B$11+Assumptions!$B$12)/Projects!$D$25*0.95,0)-IF(AND(Projects!$G$25="Yes",G$3=Projects!$C$25+Projects!$D$25-1),Projects!$B$25*(Assumptions!$B$10+Assumptions!$B$11+Assumptions!$B$12)*0.05,0)</f>
        <v/>
      </c>
      <c r="H34" s="399">
        <f>IF(AND(Projects!$G$25="Yes",H$3&gt;=Projects!$C$25,H$3&lt;Projects!$C$25+Projects!$D$25),Projects!$B$25*INDEX(Curves!$B$4:$AR$4,1,H$3-Projects!$C$25+1),0)-IF(AND(Projects!$G$25="Yes",H$3&gt;=Projects!$C$25,H$3&lt;Projects!$C$25+Projects!$D$25),Projects!$B$25*(Assumptions!$B$10+Assumptions!$B$11+Assumptions!$B$12)/Projects!$D$25*0.95,0)-IF(AND(Projects!$G$25="Yes",H$3=Projects!$C$25+Projects!$D$25-1),Projects!$B$25*(Assumptions!$B$10+Assumptions!$B$11+Assumptions!$B$12)*0.05,0)</f>
        <v/>
      </c>
      <c r="I34" s="399">
        <f>IF(AND(Projects!$G$25="Yes",I$3&gt;=Projects!$C$25,I$3&lt;Projects!$C$25+Projects!$D$25),Projects!$B$25*INDEX(Curves!$B$4:$AR$4,1,I$3-Projects!$C$25+1),0)-IF(AND(Projects!$G$25="Yes",I$3&gt;=Projects!$C$25,I$3&lt;Projects!$C$25+Projects!$D$25),Projects!$B$25*(Assumptions!$B$10+Assumptions!$B$11+Assumptions!$B$12)/Projects!$D$25*0.95,0)-IF(AND(Projects!$G$25="Yes",I$3=Projects!$C$25+Projects!$D$25-1),Projects!$B$25*(Assumptions!$B$10+Assumptions!$B$11+Assumptions!$B$12)*0.05,0)</f>
        <v/>
      </c>
      <c r="J34" s="399">
        <f>IF(AND(Projects!$G$25="Yes",J$3&gt;=Projects!$C$25,J$3&lt;Projects!$C$25+Projects!$D$25),Projects!$B$25*INDEX(Curves!$B$4:$AR$4,1,J$3-Projects!$C$25+1),0)-IF(AND(Projects!$G$25="Yes",J$3&gt;=Projects!$C$25,J$3&lt;Projects!$C$25+Projects!$D$25),Projects!$B$25*(Assumptions!$B$10+Assumptions!$B$11+Assumptions!$B$12)/Projects!$D$25*0.95,0)-IF(AND(Projects!$G$25="Yes",J$3=Projects!$C$25+Projects!$D$25-1),Projects!$B$25*(Assumptions!$B$10+Assumptions!$B$11+Assumptions!$B$12)*0.05,0)</f>
        <v/>
      </c>
      <c r="K34" s="399">
        <f>IF(AND(Projects!$G$25="Yes",K$3&gt;=Projects!$C$25,K$3&lt;Projects!$C$25+Projects!$D$25),Projects!$B$25*INDEX(Curves!$B$4:$AR$4,1,K$3-Projects!$C$25+1),0)-IF(AND(Projects!$G$25="Yes",K$3&gt;=Projects!$C$25,K$3&lt;Projects!$C$25+Projects!$D$25),Projects!$B$25*(Assumptions!$B$10+Assumptions!$B$11+Assumptions!$B$12)/Projects!$D$25*0.95,0)-IF(AND(Projects!$G$25="Yes",K$3=Projects!$C$25+Projects!$D$25-1),Projects!$B$25*(Assumptions!$B$10+Assumptions!$B$11+Assumptions!$B$12)*0.05,0)</f>
        <v/>
      </c>
      <c r="L34" s="399">
        <f>IF(AND(Projects!$G$25="Yes",L$3&gt;=Projects!$C$25,L$3&lt;Projects!$C$25+Projects!$D$25),Projects!$B$25*INDEX(Curves!$B$4:$AR$4,1,L$3-Projects!$C$25+1),0)-IF(AND(Projects!$G$25="Yes",L$3&gt;=Projects!$C$25,L$3&lt;Projects!$C$25+Projects!$D$25),Projects!$B$25*(Assumptions!$B$10+Assumptions!$B$11+Assumptions!$B$12)/Projects!$D$25*0.95,0)-IF(AND(Projects!$G$25="Yes",L$3=Projects!$C$25+Projects!$D$25-1),Projects!$B$25*(Assumptions!$B$10+Assumptions!$B$11+Assumptions!$B$12)*0.05,0)</f>
        <v/>
      </c>
      <c r="M34" s="399">
        <f>IF(AND(Projects!$G$25="Yes",M$3&gt;=Projects!$C$25,M$3&lt;Projects!$C$25+Projects!$D$25),Projects!$B$25*INDEX(Curves!$B$4:$AR$4,1,M$3-Projects!$C$25+1),0)-IF(AND(Projects!$G$25="Yes",M$3&gt;=Projects!$C$25,M$3&lt;Projects!$C$25+Projects!$D$25),Projects!$B$25*(Assumptions!$B$10+Assumptions!$B$11+Assumptions!$B$12)/Projects!$D$25*0.95,0)-IF(AND(Projects!$G$25="Yes",M$3=Projects!$C$25+Projects!$D$25-1),Projects!$B$25*(Assumptions!$B$10+Assumptions!$B$11+Assumptions!$B$12)*0.05,0)</f>
        <v/>
      </c>
      <c r="N34" s="399">
        <f>IF(AND(Projects!$G$25="Yes",N$3&gt;=Projects!$C$25,N$3&lt;Projects!$C$25+Projects!$D$25),Projects!$B$25*INDEX(Curves!$B$4:$AR$4,1,N$3-Projects!$C$25+1),0)-IF(AND(Projects!$G$25="Yes",N$3&gt;=Projects!$C$25,N$3&lt;Projects!$C$25+Projects!$D$25),Projects!$B$25*(Assumptions!$B$10+Assumptions!$B$11+Assumptions!$B$12)/Projects!$D$25*0.95,0)-IF(AND(Projects!$G$25="Yes",N$3=Projects!$C$25+Projects!$D$25-1),Projects!$B$25*(Assumptions!$B$10+Assumptions!$B$11+Assumptions!$B$12)*0.05,0)</f>
        <v/>
      </c>
      <c r="O34" s="399">
        <f>IF(AND(Projects!$G$25="Yes",O$3&gt;=Projects!$C$25,O$3&lt;Projects!$C$25+Projects!$D$25),Projects!$B$25*INDEX(Curves!$B$4:$AR$4,1,O$3-Projects!$C$25+1),0)-IF(AND(Projects!$G$25="Yes",O$3&gt;=Projects!$C$25,O$3&lt;Projects!$C$25+Projects!$D$25),Projects!$B$25*(Assumptions!$B$10+Assumptions!$B$11+Assumptions!$B$12)/Projects!$D$25*0.95,0)-IF(AND(Projects!$G$25="Yes",O$3=Projects!$C$25+Projects!$D$25-1),Projects!$B$25*(Assumptions!$B$10+Assumptions!$B$11+Assumptions!$B$12)*0.05,0)</f>
        <v/>
      </c>
      <c r="P34" s="399">
        <f>IF(AND(Projects!$G$25="Yes",P$3&gt;=Projects!$C$25,P$3&lt;Projects!$C$25+Projects!$D$25),Projects!$B$25*INDEX(Curves!$B$4:$AR$4,1,P$3-Projects!$C$25+1),0)-IF(AND(Projects!$G$25="Yes",P$3&gt;=Projects!$C$25,P$3&lt;Projects!$C$25+Projects!$D$25),Projects!$B$25*(Assumptions!$B$10+Assumptions!$B$11+Assumptions!$B$12)/Projects!$D$25*0.95,0)-IF(AND(Projects!$G$25="Yes",P$3=Projects!$C$25+Projects!$D$25-1),Projects!$B$25*(Assumptions!$B$10+Assumptions!$B$11+Assumptions!$B$12)*0.05,0)</f>
        <v/>
      </c>
      <c r="Q34" s="399">
        <f>IF(AND(Projects!$G$25="Yes",Q$3&gt;=Projects!$C$25,Q$3&lt;Projects!$C$25+Projects!$D$25),Projects!$B$25*INDEX(Curves!$B$4:$AR$4,1,Q$3-Projects!$C$25+1),0)-IF(AND(Projects!$G$25="Yes",Q$3&gt;=Projects!$C$25,Q$3&lt;Projects!$C$25+Projects!$D$25),Projects!$B$25*(Assumptions!$B$10+Assumptions!$B$11+Assumptions!$B$12)/Projects!$D$25*0.95,0)-IF(AND(Projects!$G$25="Yes",Q$3=Projects!$C$25+Projects!$D$25-1),Projects!$B$25*(Assumptions!$B$10+Assumptions!$B$11+Assumptions!$B$12)*0.05,0)</f>
        <v/>
      </c>
      <c r="R34" s="399">
        <f>IF(AND(Projects!$G$25="Yes",R$3&gt;=Projects!$C$25,R$3&lt;Projects!$C$25+Projects!$D$25),Projects!$B$25*INDEX(Curves!$B$4:$AR$4,1,R$3-Projects!$C$25+1),0)-IF(AND(Projects!$G$25="Yes",R$3&gt;=Projects!$C$25,R$3&lt;Projects!$C$25+Projects!$D$25),Projects!$B$25*(Assumptions!$B$10+Assumptions!$B$11+Assumptions!$B$12)/Projects!$D$25*0.95,0)-IF(AND(Projects!$G$25="Yes",R$3=Projects!$C$25+Projects!$D$25-1),Projects!$B$25*(Assumptions!$B$10+Assumptions!$B$11+Assumptions!$B$12)*0.05,0)</f>
        <v/>
      </c>
      <c r="S34" s="399">
        <f>IF(AND(Projects!$G$25="Yes",S$3&gt;=Projects!$C$25,S$3&lt;Projects!$C$25+Projects!$D$25),Projects!$B$25*INDEX(Curves!$B$4:$AR$4,1,S$3-Projects!$C$25+1),0)-IF(AND(Projects!$G$25="Yes",S$3&gt;=Projects!$C$25,S$3&lt;Projects!$C$25+Projects!$D$25),Projects!$B$25*(Assumptions!$B$10+Assumptions!$B$11+Assumptions!$B$12)/Projects!$D$25*0.95,0)-IF(AND(Projects!$G$25="Yes",S$3=Projects!$C$25+Projects!$D$25-1),Projects!$B$25*(Assumptions!$B$10+Assumptions!$B$11+Assumptions!$B$12)*0.05,0)</f>
        <v/>
      </c>
      <c r="T34" s="399">
        <f>IF(AND(Projects!$G$25="Yes",T$3&gt;=Projects!$C$25,T$3&lt;Projects!$C$25+Projects!$D$25),Projects!$B$25*INDEX(Curves!$B$4:$AR$4,1,T$3-Projects!$C$25+1),0)-IF(AND(Projects!$G$25="Yes",T$3&gt;=Projects!$C$25,T$3&lt;Projects!$C$25+Projects!$D$25),Projects!$B$25*(Assumptions!$B$10+Assumptions!$B$11+Assumptions!$B$12)/Projects!$D$25*0.95,0)-IF(AND(Projects!$G$25="Yes",T$3=Projects!$C$25+Projects!$D$25-1),Projects!$B$25*(Assumptions!$B$10+Assumptions!$B$11+Assumptions!$B$12)*0.05,0)</f>
        <v/>
      </c>
      <c r="U34" s="399">
        <f>IF(AND(Projects!$G$25="Yes",U$3&gt;=Projects!$C$25,U$3&lt;Projects!$C$25+Projects!$D$25),Projects!$B$25*INDEX(Curves!$B$4:$AR$4,1,U$3-Projects!$C$25+1),0)-IF(AND(Projects!$G$25="Yes",U$3&gt;=Projects!$C$25,U$3&lt;Projects!$C$25+Projects!$D$25),Projects!$B$25*(Assumptions!$B$10+Assumptions!$B$11+Assumptions!$B$12)/Projects!$D$25*0.95,0)-IF(AND(Projects!$G$25="Yes",U$3=Projects!$C$25+Projects!$D$25-1),Projects!$B$25*(Assumptions!$B$10+Assumptions!$B$11+Assumptions!$B$12)*0.05,0)</f>
        <v/>
      </c>
      <c r="V34" s="399">
        <f>IF(AND(Projects!$G$25="Yes",V$3&gt;=Projects!$C$25,V$3&lt;Projects!$C$25+Projects!$D$25),Projects!$B$25*INDEX(Curves!$B$4:$AR$4,1,V$3-Projects!$C$25+1),0)-IF(AND(Projects!$G$25="Yes",V$3&gt;=Projects!$C$25,V$3&lt;Projects!$C$25+Projects!$D$25),Projects!$B$25*(Assumptions!$B$10+Assumptions!$B$11+Assumptions!$B$12)/Projects!$D$25*0.95,0)-IF(AND(Projects!$G$25="Yes",V$3=Projects!$C$25+Projects!$D$25-1),Projects!$B$25*(Assumptions!$B$10+Assumptions!$B$11+Assumptions!$B$12)*0.05,0)</f>
        <v/>
      </c>
      <c r="W34" s="399">
        <f>IF(AND(Projects!$G$25="Yes",W$3&gt;=Projects!$C$25,W$3&lt;Projects!$C$25+Projects!$D$25),Projects!$B$25*INDEX(Curves!$B$4:$AR$4,1,W$3-Projects!$C$25+1),0)-IF(AND(Projects!$G$25="Yes",W$3&gt;=Projects!$C$25,W$3&lt;Projects!$C$25+Projects!$D$25),Projects!$B$25*(Assumptions!$B$10+Assumptions!$B$11+Assumptions!$B$12)/Projects!$D$25*0.95,0)-IF(AND(Projects!$G$25="Yes",W$3=Projects!$C$25+Projects!$D$25-1),Projects!$B$25*(Assumptions!$B$10+Assumptions!$B$11+Assumptions!$B$12)*0.05,0)</f>
        <v/>
      </c>
      <c r="X34" s="399">
        <f>IF(AND(Projects!$G$25="Yes",X$3&gt;=Projects!$C$25,X$3&lt;Projects!$C$25+Projects!$D$25),Projects!$B$25*INDEX(Curves!$B$4:$AR$4,1,X$3-Projects!$C$25+1),0)-IF(AND(Projects!$G$25="Yes",X$3&gt;=Projects!$C$25,X$3&lt;Projects!$C$25+Projects!$D$25),Projects!$B$25*(Assumptions!$B$10+Assumptions!$B$11+Assumptions!$B$12)/Projects!$D$25*0.95,0)-IF(AND(Projects!$G$25="Yes",X$3=Projects!$C$25+Projects!$D$25-1),Projects!$B$25*(Assumptions!$B$10+Assumptions!$B$11+Assumptions!$B$12)*0.05,0)</f>
        <v/>
      </c>
      <c r="Y34" s="399">
        <f>IF(AND(Projects!$G$25="Yes",Y$3&gt;=Projects!$C$25,Y$3&lt;Projects!$C$25+Projects!$D$25),Projects!$B$25*INDEX(Curves!$B$4:$AR$4,1,Y$3-Projects!$C$25+1),0)-IF(AND(Projects!$G$25="Yes",Y$3&gt;=Projects!$C$25,Y$3&lt;Projects!$C$25+Projects!$D$25),Projects!$B$25*(Assumptions!$B$10+Assumptions!$B$11+Assumptions!$B$12)/Projects!$D$25*0.95,0)-IF(AND(Projects!$G$25="Yes",Y$3=Projects!$C$25+Projects!$D$25-1),Projects!$B$25*(Assumptions!$B$10+Assumptions!$B$11+Assumptions!$B$12)*0.05,0)</f>
        <v/>
      </c>
      <c r="Z34" s="399">
        <f>IF(AND(Projects!$G$25="Yes",Z$3&gt;=Projects!$C$25,Z$3&lt;Projects!$C$25+Projects!$D$25),Projects!$B$25*INDEX(Curves!$B$4:$AR$4,1,Z$3-Projects!$C$25+1),0)-IF(AND(Projects!$G$25="Yes",Z$3&gt;=Projects!$C$25,Z$3&lt;Projects!$C$25+Projects!$D$25),Projects!$B$25*(Assumptions!$B$10+Assumptions!$B$11+Assumptions!$B$12)/Projects!$D$25*0.95,0)-IF(AND(Projects!$G$25="Yes",Z$3=Projects!$C$25+Projects!$D$25-1),Projects!$B$25*(Assumptions!$B$10+Assumptions!$B$11+Assumptions!$B$12)*0.05,0)</f>
        <v/>
      </c>
      <c r="AA34" s="399">
        <f>IF(AND(Projects!$G$25="Yes",AA$3&gt;=Projects!$C$25,AA$3&lt;Projects!$C$25+Projects!$D$25),Projects!$B$25*INDEX(Curves!$B$4:$AR$4,1,AA$3-Projects!$C$25+1),0)-IF(AND(Projects!$G$25="Yes",AA$3&gt;=Projects!$C$25,AA$3&lt;Projects!$C$25+Projects!$D$25),Projects!$B$25*(Assumptions!$B$10+Assumptions!$B$11+Assumptions!$B$12)/Projects!$D$25*0.95,0)-IF(AND(Projects!$G$25="Yes",AA$3=Projects!$C$25+Projects!$D$25-1),Projects!$B$25*(Assumptions!$B$10+Assumptions!$B$11+Assumptions!$B$12)*0.05,0)</f>
        <v/>
      </c>
      <c r="AB34" s="399">
        <f>IF(AND(Projects!$G$25="Yes",AB$3&gt;=Projects!$C$25,AB$3&lt;Projects!$C$25+Projects!$D$25),Projects!$B$25*INDEX(Curves!$B$4:$AR$4,1,AB$3-Projects!$C$25+1),0)-IF(AND(Projects!$G$25="Yes",AB$3&gt;=Projects!$C$25,AB$3&lt;Projects!$C$25+Projects!$D$25),Projects!$B$25*(Assumptions!$B$10+Assumptions!$B$11+Assumptions!$B$12)/Projects!$D$25*0.95,0)-IF(AND(Projects!$G$25="Yes",AB$3=Projects!$C$25+Projects!$D$25-1),Projects!$B$25*(Assumptions!$B$10+Assumptions!$B$11+Assumptions!$B$12)*0.05,0)</f>
        <v/>
      </c>
      <c r="AC34" s="399">
        <f>IF(AND(Projects!$G$25="Yes",AC$3&gt;=Projects!$C$25,AC$3&lt;Projects!$C$25+Projects!$D$25),Projects!$B$25*INDEX(Curves!$B$4:$AR$4,1,AC$3-Projects!$C$25+1),0)-IF(AND(Projects!$G$25="Yes",AC$3&gt;=Projects!$C$25,AC$3&lt;Projects!$C$25+Projects!$D$25),Projects!$B$25*(Assumptions!$B$10+Assumptions!$B$11+Assumptions!$B$12)/Projects!$D$25*0.95,0)-IF(AND(Projects!$G$25="Yes",AC$3=Projects!$C$25+Projects!$D$25-1),Projects!$B$25*(Assumptions!$B$10+Assumptions!$B$11+Assumptions!$B$12)*0.05,0)</f>
        <v/>
      </c>
      <c r="AD34" s="399">
        <f>IF(AND(Projects!$G$25="Yes",AD$3&gt;=Projects!$C$25,AD$3&lt;Projects!$C$25+Projects!$D$25),Projects!$B$25*INDEX(Curves!$B$4:$AR$4,1,AD$3-Projects!$C$25+1),0)-IF(AND(Projects!$G$25="Yes",AD$3&gt;=Projects!$C$25,AD$3&lt;Projects!$C$25+Projects!$D$25),Projects!$B$25*(Assumptions!$B$10+Assumptions!$B$11+Assumptions!$B$12)/Projects!$D$25*0.95,0)-IF(AND(Projects!$G$25="Yes",AD$3=Projects!$C$25+Projects!$D$25-1),Projects!$B$25*(Assumptions!$B$10+Assumptions!$B$11+Assumptions!$B$12)*0.05,0)</f>
        <v/>
      </c>
      <c r="AE34" s="399">
        <f>IF(AND(Projects!$G$25="Yes",AE$3&gt;=Projects!$C$25,AE$3&lt;Projects!$C$25+Projects!$D$25),Projects!$B$25*INDEX(Curves!$B$4:$AR$4,1,AE$3-Projects!$C$25+1),0)-IF(AND(Projects!$G$25="Yes",AE$3&gt;=Projects!$C$25,AE$3&lt;Projects!$C$25+Projects!$D$25),Projects!$B$25*(Assumptions!$B$10+Assumptions!$B$11+Assumptions!$B$12)/Projects!$D$25*0.95,0)-IF(AND(Projects!$G$25="Yes",AE$3=Projects!$C$25+Projects!$D$25-1),Projects!$B$25*(Assumptions!$B$10+Assumptions!$B$11+Assumptions!$B$12)*0.05,0)</f>
        <v/>
      </c>
      <c r="AF34" s="399">
        <f>IF(AND(Projects!$G$25="Yes",AF$3&gt;=Projects!$C$25,AF$3&lt;Projects!$C$25+Projects!$D$25),Projects!$B$25*INDEX(Curves!$B$4:$AR$4,1,AF$3-Projects!$C$25+1),0)-IF(AND(Projects!$G$25="Yes",AF$3&gt;=Projects!$C$25,AF$3&lt;Projects!$C$25+Projects!$D$25),Projects!$B$25*(Assumptions!$B$10+Assumptions!$B$11+Assumptions!$B$12)/Projects!$D$25*0.95,0)-IF(AND(Projects!$G$25="Yes",AF$3=Projects!$C$25+Projects!$D$25-1),Projects!$B$25*(Assumptions!$B$10+Assumptions!$B$11+Assumptions!$B$12)*0.05,0)</f>
        <v/>
      </c>
      <c r="AG34" s="399">
        <f>IF(AND(Projects!$G$25="Yes",AG$3&gt;=Projects!$C$25,AG$3&lt;Projects!$C$25+Projects!$D$25),Projects!$B$25*INDEX(Curves!$B$4:$AR$4,1,AG$3-Projects!$C$25+1),0)-IF(AND(Projects!$G$25="Yes",AG$3&gt;=Projects!$C$25,AG$3&lt;Projects!$C$25+Projects!$D$25),Projects!$B$25*(Assumptions!$B$10+Assumptions!$B$11+Assumptions!$B$12)/Projects!$D$25*0.95,0)-IF(AND(Projects!$G$25="Yes",AG$3=Projects!$C$25+Projects!$D$25-1),Projects!$B$25*(Assumptions!$B$10+Assumptions!$B$11+Assumptions!$B$12)*0.05,0)</f>
        <v/>
      </c>
      <c r="AH34" s="399">
        <f>IF(AND(Projects!$G$25="Yes",AH$3&gt;=Projects!$C$25,AH$3&lt;Projects!$C$25+Projects!$D$25),Projects!$B$25*INDEX(Curves!$B$4:$AR$4,1,AH$3-Projects!$C$25+1),0)-IF(AND(Projects!$G$25="Yes",AH$3&gt;=Projects!$C$25,AH$3&lt;Projects!$C$25+Projects!$D$25),Projects!$B$25*(Assumptions!$B$10+Assumptions!$B$11+Assumptions!$B$12)/Projects!$D$25*0.95,0)-IF(AND(Projects!$G$25="Yes",AH$3=Projects!$C$25+Projects!$D$25-1),Projects!$B$25*(Assumptions!$B$10+Assumptions!$B$11+Assumptions!$B$12)*0.05,0)</f>
        <v/>
      </c>
      <c r="AI34" s="399">
        <f>IF(AND(Projects!$G$25="Yes",AI$3&gt;=Projects!$C$25,AI$3&lt;Projects!$C$25+Projects!$D$25),Projects!$B$25*INDEX(Curves!$B$4:$AR$4,1,AI$3-Projects!$C$25+1),0)-IF(AND(Projects!$G$25="Yes",AI$3&gt;=Projects!$C$25,AI$3&lt;Projects!$C$25+Projects!$D$25),Projects!$B$25*(Assumptions!$B$10+Assumptions!$B$11+Assumptions!$B$12)/Projects!$D$25*0.95,0)-IF(AND(Projects!$G$25="Yes",AI$3=Projects!$C$25+Projects!$D$25-1),Projects!$B$25*(Assumptions!$B$10+Assumptions!$B$11+Assumptions!$B$12)*0.05,0)</f>
        <v/>
      </c>
      <c r="AJ34" s="399">
        <f>IF(AND(Projects!$G$25="Yes",AJ$3&gt;=Projects!$C$25,AJ$3&lt;Projects!$C$25+Projects!$D$25),Projects!$B$25*INDEX(Curves!$B$4:$AR$4,1,AJ$3-Projects!$C$25+1),0)-IF(AND(Projects!$G$25="Yes",AJ$3&gt;=Projects!$C$25,AJ$3&lt;Projects!$C$25+Projects!$D$25),Projects!$B$25*(Assumptions!$B$10+Assumptions!$B$11+Assumptions!$B$12)/Projects!$D$25*0.95,0)-IF(AND(Projects!$G$25="Yes",AJ$3=Projects!$C$25+Projects!$D$25-1),Projects!$B$25*(Assumptions!$B$10+Assumptions!$B$11+Assumptions!$B$12)*0.05,0)</f>
        <v/>
      </c>
      <c r="AK34" s="399">
        <f>IF(AND(Projects!$G$25="Yes",AK$3&gt;=Projects!$C$25,AK$3&lt;Projects!$C$25+Projects!$D$25),Projects!$B$25*INDEX(Curves!$B$4:$AR$4,1,AK$3-Projects!$C$25+1),0)-IF(AND(Projects!$G$25="Yes",AK$3&gt;=Projects!$C$25,AK$3&lt;Projects!$C$25+Projects!$D$25),Projects!$B$25*(Assumptions!$B$10+Assumptions!$B$11+Assumptions!$B$12)/Projects!$D$25*0.95,0)-IF(AND(Projects!$G$25="Yes",AK$3=Projects!$C$25+Projects!$D$25-1),Projects!$B$25*(Assumptions!$B$10+Assumptions!$B$11+Assumptions!$B$12)*0.05,0)</f>
        <v/>
      </c>
      <c r="AL34" s="399">
        <f>IF(AND(Projects!$G$25="Yes",AL$3&gt;=Projects!$C$25,AL$3&lt;Projects!$C$25+Projects!$D$25),Projects!$B$25*INDEX(Curves!$B$4:$AR$4,1,AL$3-Projects!$C$25+1),0)-IF(AND(Projects!$G$25="Yes",AL$3&gt;=Projects!$C$25,AL$3&lt;Projects!$C$25+Projects!$D$25),Projects!$B$25*(Assumptions!$B$10+Assumptions!$B$11+Assumptions!$B$12)/Projects!$D$25*0.95,0)-IF(AND(Projects!$G$25="Yes",AL$3=Projects!$C$25+Projects!$D$25-1),Projects!$B$25*(Assumptions!$B$10+Assumptions!$B$11+Assumptions!$B$12)*0.05,0)</f>
        <v/>
      </c>
      <c r="AM34" s="399">
        <f>IF(AND(Projects!$G$25="Yes",AM$3&gt;=Projects!$C$25,AM$3&lt;Projects!$C$25+Projects!$D$25),Projects!$B$25*INDEX(Curves!$B$4:$AR$4,1,AM$3-Projects!$C$25+1),0)-IF(AND(Projects!$G$25="Yes",AM$3&gt;=Projects!$C$25,AM$3&lt;Projects!$C$25+Projects!$D$25),Projects!$B$25*(Assumptions!$B$10+Assumptions!$B$11+Assumptions!$B$12)/Projects!$D$25*0.95,0)-IF(AND(Projects!$G$25="Yes",AM$3=Projects!$C$25+Projects!$D$25-1),Projects!$B$25*(Assumptions!$B$10+Assumptions!$B$11+Assumptions!$B$12)*0.05,0)</f>
        <v/>
      </c>
      <c r="AN34" s="399">
        <f>IF(AND(Projects!$G$25="Yes",AN$3&gt;=Projects!$C$25,AN$3&lt;Projects!$C$25+Projects!$D$25),Projects!$B$25*INDEX(Curves!$B$4:$AR$4,1,AN$3-Projects!$C$25+1),0)-IF(AND(Projects!$G$25="Yes",AN$3&gt;=Projects!$C$25,AN$3&lt;Projects!$C$25+Projects!$D$25),Projects!$B$25*(Assumptions!$B$10+Assumptions!$B$11+Assumptions!$B$12)/Projects!$D$25*0.95,0)-IF(AND(Projects!$G$25="Yes",AN$3=Projects!$C$25+Projects!$D$25-1),Projects!$B$25*(Assumptions!$B$10+Assumptions!$B$11+Assumptions!$B$12)*0.05,0)</f>
        <v/>
      </c>
      <c r="AO34" s="399">
        <f>IF(AND(Projects!$G$25="Yes",AO$3&gt;=Projects!$C$25,AO$3&lt;Projects!$C$25+Projects!$D$25),Projects!$B$25*INDEX(Curves!$B$4:$AR$4,1,AO$3-Projects!$C$25+1),0)-IF(AND(Projects!$G$25="Yes",AO$3&gt;=Projects!$C$25,AO$3&lt;Projects!$C$25+Projects!$D$25),Projects!$B$25*(Assumptions!$B$10+Assumptions!$B$11+Assumptions!$B$12)/Projects!$D$25*0.95,0)-IF(AND(Projects!$G$25="Yes",AO$3=Projects!$C$25+Projects!$D$25-1),Projects!$B$25*(Assumptions!$B$10+Assumptions!$B$11+Assumptions!$B$12)*0.05,0)</f>
        <v/>
      </c>
      <c r="AP34" s="399">
        <f>IF(AND(Projects!$G$25="Yes",AP$3&gt;=Projects!$C$25,AP$3&lt;Projects!$C$25+Projects!$D$25),Projects!$B$25*INDEX(Curves!$B$4:$AR$4,1,AP$3-Projects!$C$25+1),0)-IF(AND(Projects!$G$25="Yes",AP$3&gt;=Projects!$C$25,AP$3&lt;Projects!$C$25+Projects!$D$25),Projects!$B$25*(Assumptions!$B$10+Assumptions!$B$11+Assumptions!$B$12)/Projects!$D$25*0.95,0)-IF(AND(Projects!$G$25="Yes",AP$3=Projects!$C$25+Projects!$D$25-1),Projects!$B$25*(Assumptions!$B$10+Assumptions!$B$11+Assumptions!$B$12)*0.05,0)</f>
        <v/>
      </c>
      <c r="AQ34" s="399">
        <f>IF(AND(Projects!$G$25="Yes",AQ$3&gt;=Projects!$C$25,AQ$3&lt;Projects!$C$25+Projects!$D$25),Projects!$B$25*INDEX(Curves!$B$4:$AR$4,1,AQ$3-Projects!$C$25+1),0)-IF(AND(Projects!$G$25="Yes",AQ$3&gt;=Projects!$C$25,AQ$3&lt;Projects!$C$25+Projects!$D$25),Projects!$B$25*(Assumptions!$B$10+Assumptions!$B$11+Assumptions!$B$12)/Projects!$D$25*0.95,0)-IF(AND(Projects!$G$25="Yes",AQ$3=Projects!$C$25+Projects!$D$25-1),Projects!$B$25*(Assumptions!$B$10+Assumptions!$B$11+Assumptions!$B$12)*0.05,0)</f>
        <v/>
      </c>
      <c r="AR34" s="399">
        <f>IF(AND(Projects!$G$25="Yes",AR$3&gt;=Projects!$C$25,AR$3&lt;Projects!$C$25+Projects!$D$25),Projects!$B$25*INDEX(Curves!$B$4:$AR$4,1,AR$3-Projects!$C$25+1),0)-IF(AND(Projects!$G$25="Yes",AR$3&gt;=Projects!$C$25,AR$3&lt;Projects!$C$25+Projects!$D$25),Projects!$B$25*(Assumptions!$B$10+Assumptions!$B$11+Assumptions!$B$12)/Projects!$D$25*0.95,0)-IF(AND(Projects!$G$25="Yes",AR$3=Projects!$C$25+Projects!$D$25-1),Projects!$B$25*(Assumptions!$B$10+Assumptions!$B$11+Assumptions!$B$12)*0.05,0)</f>
        <v/>
      </c>
      <c r="AS34" s="399">
        <f>IF(AND(Projects!$G$25="Yes",AS$3&gt;=Projects!$C$25,AS$3&lt;Projects!$C$25+Projects!$D$25),Projects!$B$25*INDEX(Curves!$B$4:$AR$4,1,AS$3-Projects!$C$25+1),0)-IF(AND(Projects!$G$25="Yes",AS$3&gt;=Projects!$C$25,AS$3&lt;Projects!$C$25+Projects!$D$25),Projects!$B$25*(Assumptions!$B$10+Assumptions!$B$11+Assumptions!$B$12)/Projects!$D$25*0.95,0)-IF(AND(Projects!$G$25="Yes",AS$3=Projects!$C$25+Projects!$D$25-1),Projects!$B$25*(Assumptions!$B$10+Assumptions!$B$11+Assumptions!$B$12)*0.05,0)</f>
        <v/>
      </c>
      <c r="AT34" s="399">
        <f>IF(AND(Projects!$G$25="Yes",AT$3&gt;=Projects!$C$25,AT$3&lt;Projects!$C$25+Projects!$D$25),Projects!$B$25*INDEX(Curves!$B$4:$AR$4,1,AT$3-Projects!$C$25+1),0)-IF(AND(Projects!$G$25="Yes",AT$3&gt;=Projects!$C$25,AT$3&lt;Projects!$C$25+Projects!$D$25),Projects!$B$25*(Assumptions!$B$10+Assumptions!$B$11+Assumptions!$B$12)/Projects!$D$25*0.95,0)-IF(AND(Projects!$G$25="Yes",AT$3=Projects!$C$25+Projects!$D$25-1),Projects!$B$25*(Assumptions!$B$10+Assumptions!$B$11+Assumptions!$B$12)*0.05,0)</f>
        <v/>
      </c>
      <c r="AU34" s="399">
        <f>IF(AND(Projects!$G$25="Yes",AU$3&gt;=Projects!$C$25,AU$3&lt;Projects!$C$25+Projects!$D$25),Projects!$B$25*INDEX(Curves!$B$4:$AR$4,1,AU$3-Projects!$C$25+1),0)-IF(AND(Projects!$G$25="Yes",AU$3&gt;=Projects!$C$25,AU$3&lt;Projects!$C$25+Projects!$D$25),Projects!$B$25*(Assumptions!$B$10+Assumptions!$B$11+Assumptions!$B$12)/Projects!$D$25*0.95,0)-IF(AND(Projects!$G$25="Yes",AU$3=Projects!$C$25+Projects!$D$25-1),Projects!$B$25*(Assumptions!$B$10+Assumptions!$B$11+Assumptions!$B$12)*0.05,0)</f>
        <v/>
      </c>
      <c r="AV34" s="399">
        <f>IF(AND(Projects!$G$25="Yes",AV$3&gt;=Projects!$C$25,AV$3&lt;Projects!$C$25+Projects!$D$25),Projects!$B$25*INDEX(Curves!$B$4:$AR$4,1,AV$3-Projects!$C$25+1),0)-IF(AND(Projects!$G$25="Yes",AV$3&gt;=Projects!$C$25,AV$3&lt;Projects!$C$25+Projects!$D$25),Projects!$B$25*(Assumptions!$B$10+Assumptions!$B$11+Assumptions!$B$12)/Projects!$D$25*0.95,0)-IF(AND(Projects!$G$25="Yes",AV$3=Projects!$C$25+Projects!$D$25-1),Projects!$B$25*(Assumptions!$B$10+Assumptions!$B$11+Assumptions!$B$12)*0.05,0)</f>
        <v/>
      </c>
      <c r="AW34" s="399">
        <f>IF(AND(Projects!$G$25="Yes",AW$3&gt;=Projects!$C$25,AW$3&lt;Projects!$C$25+Projects!$D$25),Projects!$B$25*INDEX(Curves!$B$4:$AR$4,1,AW$3-Projects!$C$25+1),0)-IF(AND(Projects!$G$25="Yes",AW$3&gt;=Projects!$C$25,AW$3&lt;Projects!$C$25+Projects!$D$25),Projects!$B$25*(Assumptions!$B$10+Assumptions!$B$11+Assumptions!$B$12)/Projects!$D$25*0.95,0)-IF(AND(Projects!$G$25="Yes",AW$3=Projects!$C$25+Projects!$D$25-1),Projects!$B$25*(Assumptions!$B$10+Assumptions!$B$11+Assumptions!$B$12)*0.05,0)</f>
        <v/>
      </c>
      <c r="AX34" s="399">
        <f>IF(AND(Projects!$G$25="Yes",AX$3&gt;=Projects!$C$25,AX$3&lt;Projects!$C$25+Projects!$D$25),Projects!$B$25*INDEX(Curves!$B$4:$AR$4,1,AX$3-Projects!$C$25+1),0)-IF(AND(Projects!$G$25="Yes",AX$3&gt;=Projects!$C$25,AX$3&lt;Projects!$C$25+Projects!$D$25),Projects!$B$25*(Assumptions!$B$10+Assumptions!$B$11+Assumptions!$B$12)/Projects!$D$25*0.95,0)-IF(AND(Projects!$G$25="Yes",AX$3=Projects!$C$25+Projects!$D$25-1),Projects!$B$25*(Assumptions!$B$10+Assumptions!$B$11+Assumptions!$B$12)*0.05,0)</f>
        <v/>
      </c>
      <c r="AY34" s="399">
        <f>IF(AND(Projects!$G$25="Yes",AY$3&gt;=Projects!$C$25,AY$3&lt;Projects!$C$25+Projects!$D$25),Projects!$B$25*INDEX(Curves!$B$4:$AR$4,1,AY$3-Projects!$C$25+1),0)-IF(AND(Projects!$G$25="Yes",AY$3&gt;=Projects!$C$25,AY$3&lt;Projects!$C$25+Projects!$D$25),Projects!$B$25*(Assumptions!$B$10+Assumptions!$B$11+Assumptions!$B$12)/Projects!$D$25*0.95,0)-IF(AND(Projects!$G$25="Yes",AY$3=Projects!$C$25+Projects!$D$25-1),Projects!$B$25*(Assumptions!$B$10+Assumptions!$B$11+Assumptions!$B$12)*0.05,0)</f>
        <v/>
      </c>
      <c r="AZ34" s="399">
        <f>IF(AND(Projects!$G$25="Yes",AZ$3&gt;=Projects!$C$25,AZ$3&lt;Projects!$C$25+Projects!$D$25),Projects!$B$25*INDEX(Curves!$B$4:$AR$4,1,AZ$3-Projects!$C$25+1),0)-IF(AND(Projects!$G$25="Yes",AZ$3&gt;=Projects!$C$25,AZ$3&lt;Projects!$C$25+Projects!$D$25),Projects!$B$25*(Assumptions!$B$10+Assumptions!$B$11+Assumptions!$B$12)/Projects!$D$25*0.95,0)-IF(AND(Projects!$G$25="Yes",AZ$3=Projects!$C$25+Projects!$D$25-1),Projects!$B$25*(Assumptions!$B$10+Assumptions!$B$11+Assumptions!$B$12)*0.05,0)</f>
        <v/>
      </c>
      <c r="BA34" s="399">
        <f>IF(AND(Projects!$G$25="Yes",BA$3&gt;=Projects!$C$25,BA$3&lt;Projects!$C$25+Projects!$D$25),Projects!$B$25*INDEX(Curves!$B$4:$AR$4,1,BA$3-Projects!$C$25+1),0)-IF(AND(Projects!$G$25="Yes",BA$3&gt;=Projects!$C$25,BA$3&lt;Projects!$C$25+Projects!$D$25),Projects!$B$25*(Assumptions!$B$10+Assumptions!$B$11+Assumptions!$B$12)/Projects!$D$25*0.95,0)-IF(AND(Projects!$G$25="Yes",BA$3=Projects!$C$25+Projects!$D$25-1),Projects!$B$25*(Assumptions!$B$10+Assumptions!$B$11+Assumptions!$B$12)*0.05,0)</f>
        <v/>
      </c>
      <c r="BB34" s="399">
        <f>IF(AND(Projects!$G$25="Yes",BB$3&gt;=Projects!$C$25,BB$3&lt;Projects!$C$25+Projects!$D$25),Projects!$B$25*INDEX(Curves!$B$4:$AR$4,1,BB$3-Projects!$C$25+1),0)-IF(AND(Projects!$G$25="Yes",BB$3&gt;=Projects!$C$25,BB$3&lt;Projects!$C$25+Projects!$D$25),Projects!$B$25*(Assumptions!$B$10+Assumptions!$B$11+Assumptions!$B$12)/Projects!$D$25*0.95,0)-IF(AND(Projects!$G$25="Yes",BB$3=Projects!$C$25+Projects!$D$25-1),Projects!$B$25*(Assumptions!$B$10+Assumptions!$B$11+Assumptions!$B$12)*0.05,0)</f>
        <v/>
      </c>
      <c r="BC34" s="399">
        <f>IF(AND(Projects!$G$25="Yes",BC$3&gt;=Projects!$C$25,BC$3&lt;Projects!$C$25+Projects!$D$25),Projects!$B$25*INDEX(Curves!$B$4:$AR$4,1,BC$3-Projects!$C$25+1),0)-IF(AND(Projects!$G$25="Yes",BC$3&gt;=Projects!$C$25,BC$3&lt;Projects!$C$25+Projects!$D$25),Projects!$B$25*(Assumptions!$B$10+Assumptions!$B$11+Assumptions!$B$12)/Projects!$D$25*0.95,0)-IF(AND(Projects!$G$25="Yes",BC$3=Projects!$C$25+Projects!$D$25-1),Projects!$B$25*(Assumptions!$B$10+Assumptions!$B$11+Assumptions!$B$12)*0.05,0)</f>
        <v/>
      </c>
      <c r="BD34" s="399">
        <f>IF(AND(Projects!$G$25="Yes",BD$3&gt;=Projects!$C$25,BD$3&lt;Projects!$C$25+Projects!$D$25),Projects!$B$25*INDEX(Curves!$B$4:$AR$4,1,BD$3-Projects!$C$25+1),0)-IF(AND(Projects!$G$25="Yes",BD$3&gt;=Projects!$C$25,BD$3&lt;Projects!$C$25+Projects!$D$25),Projects!$B$25*(Assumptions!$B$10+Assumptions!$B$11+Assumptions!$B$12)/Projects!$D$25*0.95,0)-IF(AND(Projects!$G$25="Yes",BD$3=Projects!$C$25+Projects!$D$25-1),Projects!$B$25*(Assumptions!$B$10+Assumptions!$B$11+Assumptions!$B$12)*0.05,0)</f>
        <v/>
      </c>
      <c r="BE34" s="399">
        <f>IF(AND(Projects!$G$25="Yes",BE$3&gt;=Projects!$C$25,BE$3&lt;Projects!$C$25+Projects!$D$25),Projects!$B$25*INDEX(Curves!$B$4:$AR$4,1,BE$3-Projects!$C$25+1),0)-IF(AND(Projects!$G$25="Yes",BE$3&gt;=Projects!$C$25,BE$3&lt;Projects!$C$25+Projects!$D$25),Projects!$B$25*(Assumptions!$B$10+Assumptions!$B$11+Assumptions!$B$12)/Projects!$D$25*0.95,0)-IF(AND(Projects!$G$25="Yes",BE$3=Projects!$C$25+Projects!$D$25-1),Projects!$B$25*(Assumptions!$B$10+Assumptions!$B$11+Assumptions!$B$12)*0.05,0)</f>
        <v/>
      </c>
      <c r="BF34" s="399">
        <f>IF(AND(Projects!$G$25="Yes",BF$3&gt;=Projects!$C$25,BF$3&lt;Projects!$C$25+Projects!$D$25),Projects!$B$25*INDEX(Curves!$B$4:$AR$4,1,BF$3-Projects!$C$25+1),0)-IF(AND(Projects!$G$25="Yes",BF$3&gt;=Projects!$C$25,BF$3&lt;Projects!$C$25+Projects!$D$25),Projects!$B$25*(Assumptions!$B$10+Assumptions!$B$11+Assumptions!$B$12)/Projects!$D$25*0.95,0)-IF(AND(Projects!$G$25="Yes",BF$3=Projects!$C$25+Projects!$D$25-1),Projects!$B$25*(Assumptions!$B$10+Assumptions!$B$11+Assumptions!$B$12)*0.05,0)</f>
        <v/>
      </c>
      <c r="BG34" s="399">
        <f>IF(AND(Projects!$G$25="Yes",BG$3&gt;=Projects!$C$25,BG$3&lt;Projects!$C$25+Projects!$D$25),Projects!$B$25*INDEX(Curves!$B$4:$AR$4,1,BG$3-Projects!$C$25+1),0)-IF(AND(Projects!$G$25="Yes",BG$3&gt;=Projects!$C$25,BG$3&lt;Projects!$C$25+Projects!$D$25),Projects!$B$25*(Assumptions!$B$10+Assumptions!$B$11+Assumptions!$B$12)/Projects!$D$25*0.95,0)-IF(AND(Projects!$G$25="Yes",BG$3=Projects!$C$25+Projects!$D$25-1),Projects!$B$25*(Assumptions!$B$10+Assumptions!$B$11+Assumptions!$B$12)*0.05,0)</f>
        <v/>
      </c>
      <c r="BH34" s="399">
        <f>IF(AND(Projects!$G$25="Yes",BH$3&gt;=Projects!$C$25,BH$3&lt;Projects!$C$25+Projects!$D$25),Projects!$B$25*INDEX(Curves!$B$4:$AR$4,1,BH$3-Projects!$C$25+1),0)-IF(AND(Projects!$G$25="Yes",BH$3&gt;=Projects!$C$25,BH$3&lt;Projects!$C$25+Projects!$D$25),Projects!$B$25*(Assumptions!$B$10+Assumptions!$B$11+Assumptions!$B$12)/Projects!$D$25*0.95,0)-IF(AND(Projects!$G$25="Yes",BH$3=Projects!$C$25+Projects!$D$25-1),Projects!$B$25*(Assumptions!$B$10+Assumptions!$B$11+Assumptions!$B$12)*0.05,0)</f>
        <v/>
      </c>
      <c r="BI34" s="399">
        <f>IF(AND(Projects!$G$25="Yes",BI$3&gt;=Projects!$C$25,BI$3&lt;Projects!$C$25+Projects!$D$25),Projects!$B$25*INDEX(Curves!$B$4:$AR$4,1,BI$3-Projects!$C$25+1),0)-IF(AND(Projects!$G$25="Yes",BI$3&gt;=Projects!$C$25,BI$3&lt;Projects!$C$25+Projects!$D$25),Projects!$B$25*(Assumptions!$B$10+Assumptions!$B$11+Assumptions!$B$12)/Projects!$D$25*0.95,0)-IF(AND(Projects!$G$25="Yes",BI$3=Projects!$C$25+Projects!$D$25-1),Projects!$B$25*(Assumptions!$B$10+Assumptions!$B$11+Assumptions!$B$12)*0.05,0)</f>
        <v/>
      </c>
      <c r="BJ34" s="399">
        <f>IF(AND(Projects!$G$25="Yes",BJ$3&gt;=Projects!$C$25,BJ$3&lt;Projects!$C$25+Projects!$D$25),Projects!$B$25*INDEX(Curves!$B$4:$AR$4,1,BJ$3-Projects!$C$25+1),0)-IF(AND(Projects!$G$25="Yes",BJ$3&gt;=Projects!$C$25,BJ$3&lt;Projects!$C$25+Projects!$D$25),Projects!$B$25*(Assumptions!$B$10+Assumptions!$B$11+Assumptions!$B$12)/Projects!$D$25*0.95,0)-IF(AND(Projects!$G$25="Yes",BJ$3=Projects!$C$25+Projects!$D$25-1),Projects!$B$25*(Assumptions!$B$10+Assumptions!$B$11+Assumptions!$B$12)*0.05,0)</f>
        <v/>
      </c>
      <c r="BK34" s="399">
        <f>IF(AND(Projects!$G$25="Yes",BK$3&gt;=Projects!$C$25,BK$3&lt;Projects!$C$25+Projects!$D$25),Projects!$B$25*INDEX(Curves!$B$4:$AR$4,1,BK$3-Projects!$C$25+1),0)-IF(AND(Projects!$G$25="Yes",BK$3&gt;=Projects!$C$25,BK$3&lt;Projects!$C$25+Projects!$D$25),Projects!$B$25*(Assumptions!$B$10+Assumptions!$B$11+Assumptions!$B$12)/Projects!$D$25*0.95,0)-IF(AND(Projects!$G$25="Yes",BK$3=Projects!$C$25+Projects!$D$25-1),Projects!$B$25*(Assumptions!$B$10+Assumptions!$B$11+Assumptions!$B$12)*0.05,0)</f>
        <v/>
      </c>
      <c r="BL34" s="399">
        <f>IF(AND(Projects!$G$25="Yes",BL$3&gt;=Projects!$C$25,BL$3&lt;Projects!$C$25+Projects!$D$25),Projects!$B$25*INDEX(Curves!$B$4:$AR$4,1,BL$3-Projects!$C$25+1),0)-IF(AND(Projects!$G$25="Yes",BL$3&gt;=Projects!$C$25,BL$3&lt;Projects!$C$25+Projects!$D$25),Projects!$B$25*(Assumptions!$B$10+Assumptions!$B$11+Assumptions!$B$12)/Projects!$D$25*0.95,0)-IF(AND(Projects!$G$25="Yes",BL$3=Projects!$C$25+Projects!$D$25-1),Projects!$B$25*(Assumptions!$B$10+Assumptions!$B$11+Assumptions!$B$12)*0.05,0)</f>
        <v/>
      </c>
      <c r="BM34" s="399">
        <f>IF(AND(Projects!$G$25="Yes",BM$3&gt;=Projects!$C$25,BM$3&lt;Projects!$C$25+Projects!$D$25),Projects!$B$25*INDEX(Curves!$B$4:$AR$4,1,BM$3-Projects!$C$25+1),0)-IF(AND(Projects!$G$25="Yes",BM$3&gt;=Projects!$C$25,BM$3&lt;Projects!$C$25+Projects!$D$25),Projects!$B$25*(Assumptions!$B$10+Assumptions!$B$11+Assumptions!$B$12)/Projects!$D$25*0.95,0)-IF(AND(Projects!$G$25="Yes",BM$3=Projects!$C$25+Projects!$D$25-1),Projects!$B$25*(Assumptions!$B$10+Assumptions!$B$11+Assumptions!$B$12)*0.05,0)</f>
        <v/>
      </c>
      <c r="BN34" s="399">
        <f>IF(AND(Projects!$G$25="Yes",BN$3&gt;=Projects!$C$25,BN$3&lt;Projects!$C$25+Projects!$D$25),Projects!$B$25*INDEX(Curves!$B$4:$AR$4,1,BN$3-Projects!$C$25+1),0)-IF(AND(Projects!$G$25="Yes",BN$3&gt;=Projects!$C$25,BN$3&lt;Projects!$C$25+Projects!$D$25),Projects!$B$25*(Assumptions!$B$10+Assumptions!$B$11+Assumptions!$B$12)/Projects!$D$25*0.95,0)-IF(AND(Projects!$G$25="Yes",BN$3=Projects!$C$25+Projects!$D$25-1),Projects!$B$25*(Assumptions!$B$10+Assumptions!$B$11+Assumptions!$B$12)*0.05,0)</f>
        <v/>
      </c>
      <c r="BO34" s="399">
        <f>IF(AND(Projects!$G$25="Yes",BO$3&gt;=Projects!$C$25,BO$3&lt;Projects!$C$25+Projects!$D$25),Projects!$B$25*INDEX(Curves!$B$4:$AR$4,1,BO$3-Projects!$C$25+1),0)-IF(AND(Projects!$G$25="Yes",BO$3&gt;=Projects!$C$25,BO$3&lt;Projects!$C$25+Projects!$D$25),Projects!$B$25*(Assumptions!$B$10+Assumptions!$B$11+Assumptions!$B$12)/Projects!$D$25*0.95,0)-IF(AND(Projects!$G$25="Yes",BO$3=Projects!$C$25+Projects!$D$25-1),Projects!$B$25*(Assumptions!$B$10+Assumptions!$B$11+Assumptions!$B$12)*0.05,0)</f>
        <v/>
      </c>
      <c r="BP34" s="399">
        <f>IF(AND(Projects!$G$25="Yes",BP$3&gt;=Projects!$C$25,BP$3&lt;Projects!$C$25+Projects!$D$25),Projects!$B$25*INDEX(Curves!$B$4:$AR$4,1,BP$3-Projects!$C$25+1),0)-IF(AND(Projects!$G$25="Yes",BP$3&gt;=Projects!$C$25,BP$3&lt;Projects!$C$25+Projects!$D$25),Projects!$B$25*(Assumptions!$B$10+Assumptions!$B$11+Assumptions!$B$12)/Projects!$D$25*0.95,0)-IF(AND(Projects!$G$25="Yes",BP$3=Projects!$C$25+Projects!$D$25-1),Projects!$B$25*(Assumptions!$B$10+Assumptions!$B$11+Assumptions!$B$12)*0.05,0)</f>
        <v/>
      </c>
      <c r="BQ34" s="399">
        <f>IF(AND(Projects!$G$25="Yes",BQ$3&gt;=Projects!$C$25,BQ$3&lt;Projects!$C$25+Projects!$D$25),Projects!$B$25*INDEX(Curves!$B$4:$AR$4,1,BQ$3-Projects!$C$25+1),0)-IF(AND(Projects!$G$25="Yes",BQ$3&gt;=Projects!$C$25,BQ$3&lt;Projects!$C$25+Projects!$D$25),Projects!$B$25*(Assumptions!$B$10+Assumptions!$B$11+Assumptions!$B$12)/Projects!$D$25*0.95,0)-IF(AND(Projects!$G$25="Yes",BQ$3=Projects!$C$25+Projects!$D$25-1),Projects!$B$25*(Assumptions!$B$10+Assumptions!$B$11+Assumptions!$B$12)*0.05,0)</f>
        <v/>
      </c>
      <c r="BR34" s="399">
        <f>IF(AND(Projects!$G$25="Yes",BR$3&gt;=Projects!$C$25,BR$3&lt;Projects!$C$25+Projects!$D$25),Projects!$B$25*INDEX(Curves!$B$4:$AR$4,1,BR$3-Projects!$C$25+1),0)-IF(AND(Projects!$G$25="Yes",BR$3&gt;=Projects!$C$25,BR$3&lt;Projects!$C$25+Projects!$D$25),Projects!$B$25*(Assumptions!$B$10+Assumptions!$B$11+Assumptions!$B$12)/Projects!$D$25*0.95,0)-IF(AND(Projects!$G$25="Yes",BR$3=Projects!$C$25+Projects!$D$25-1),Projects!$B$25*(Assumptions!$B$10+Assumptions!$B$11+Assumptions!$B$12)*0.05,0)</f>
        <v/>
      </c>
      <c r="BS34" s="399">
        <f>IF(AND(Projects!$G$25="Yes",BS$3&gt;=Projects!$C$25,BS$3&lt;Projects!$C$25+Projects!$D$25),Projects!$B$25*INDEX(Curves!$B$4:$AR$4,1,BS$3-Projects!$C$25+1),0)-IF(AND(Projects!$G$25="Yes",BS$3&gt;=Projects!$C$25,BS$3&lt;Projects!$C$25+Projects!$D$25),Projects!$B$25*(Assumptions!$B$10+Assumptions!$B$11+Assumptions!$B$12)/Projects!$D$25*0.95,0)-IF(AND(Projects!$G$25="Yes",BS$3=Projects!$C$25+Projects!$D$25-1),Projects!$B$25*(Assumptions!$B$10+Assumptions!$B$11+Assumptions!$B$12)*0.05,0)</f>
        <v/>
      </c>
      <c r="BT34" s="399">
        <f>IF(AND(Projects!$G$25="Yes",BT$3&gt;=Projects!$C$25,BT$3&lt;Projects!$C$25+Projects!$D$25),Projects!$B$25*INDEX(Curves!$B$4:$AR$4,1,BT$3-Projects!$C$25+1),0)-IF(AND(Projects!$G$25="Yes",BT$3&gt;=Projects!$C$25,BT$3&lt;Projects!$C$25+Projects!$D$25),Projects!$B$25*(Assumptions!$B$10+Assumptions!$B$11+Assumptions!$B$12)/Projects!$D$25*0.95,0)-IF(AND(Projects!$G$25="Yes",BT$3=Projects!$C$25+Projects!$D$25-1),Projects!$B$25*(Assumptions!$B$10+Assumptions!$B$11+Assumptions!$B$12)*0.05,0)</f>
        <v/>
      </c>
      <c r="BU34" s="399">
        <f>IF(AND(Projects!$G$25="Yes",BU$3&gt;=Projects!$C$25,BU$3&lt;Projects!$C$25+Projects!$D$25),Projects!$B$25*INDEX(Curves!$B$4:$AR$4,1,BU$3-Projects!$C$25+1),0)-IF(AND(Projects!$G$25="Yes",BU$3&gt;=Projects!$C$25,BU$3&lt;Projects!$C$25+Projects!$D$25),Projects!$B$25*(Assumptions!$B$10+Assumptions!$B$11+Assumptions!$B$12)/Projects!$D$25*0.95,0)-IF(AND(Projects!$G$25="Yes",BU$3=Projects!$C$25+Projects!$D$25-1),Projects!$B$25*(Assumptions!$B$10+Assumptions!$B$11+Assumptions!$B$12)*0.05,0)</f>
        <v/>
      </c>
      <c r="BV34" s="399">
        <f>IF(AND(Projects!$G$25="Yes",BV$3&gt;=Projects!$C$25,BV$3&lt;Projects!$C$25+Projects!$D$25),Projects!$B$25*INDEX(Curves!$B$4:$AR$4,1,BV$3-Projects!$C$25+1),0)-IF(AND(Projects!$G$25="Yes",BV$3&gt;=Projects!$C$25,BV$3&lt;Projects!$C$25+Projects!$D$25),Projects!$B$25*(Assumptions!$B$10+Assumptions!$B$11+Assumptions!$B$12)/Projects!$D$25*0.95,0)-IF(AND(Projects!$G$25="Yes",BV$3=Projects!$C$25+Projects!$D$25-1),Projects!$B$25*(Assumptions!$B$10+Assumptions!$B$11+Assumptions!$B$12)*0.05,0)</f>
        <v/>
      </c>
      <c r="BW34" s="399">
        <f>IF(AND(Projects!$G$25="Yes",BW$3&gt;=Projects!$C$25,BW$3&lt;Projects!$C$25+Projects!$D$25),Projects!$B$25*INDEX(Curves!$B$4:$AR$4,1,BW$3-Projects!$C$25+1),0)-IF(AND(Projects!$G$25="Yes",BW$3&gt;=Projects!$C$25,BW$3&lt;Projects!$C$25+Projects!$D$25),Projects!$B$25*(Assumptions!$B$10+Assumptions!$B$11+Assumptions!$B$12)/Projects!$D$25*0.95,0)-IF(AND(Projects!$G$25="Yes",BW$3=Projects!$C$25+Projects!$D$25-1),Projects!$B$25*(Assumptions!$B$10+Assumptions!$B$11+Assumptions!$B$12)*0.05,0)</f>
        <v/>
      </c>
      <c r="BX34" s="399">
        <f>IF(AND(Projects!$G$25="Yes",BX$3&gt;=Projects!$C$25,BX$3&lt;Projects!$C$25+Projects!$D$25),Projects!$B$25*INDEX(Curves!$B$4:$AR$4,1,BX$3-Projects!$C$25+1),0)-IF(AND(Projects!$G$25="Yes",BX$3&gt;=Projects!$C$25,BX$3&lt;Projects!$C$25+Projects!$D$25),Projects!$B$25*(Assumptions!$B$10+Assumptions!$B$11+Assumptions!$B$12)/Projects!$D$25*0.95,0)-IF(AND(Projects!$G$25="Yes",BX$3=Projects!$C$25+Projects!$D$25-1),Projects!$B$25*(Assumptions!$B$10+Assumptions!$B$11+Assumptions!$B$12)*0.05,0)</f>
        <v/>
      </c>
      <c r="BY34" s="399">
        <f>IF(AND(Projects!$G$25="Yes",BY$3&gt;=Projects!$C$25,BY$3&lt;Projects!$C$25+Projects!$D$25),Projects!$B$25*INDEX(Curves!$B$4:$AR$4,1,BY$3-Projects!$C$25+1),0)-IF(AND(Projects!$G$25="Yes",BY$3&gt;=Projects!$C$25,BY$3&lt;Projects!$C$25+Projects!$D$25),Projects!$B$25*(Assumptions!$B$10+Assumptions!$B$11+Assumptions!$B$12)/Projects!$D$25*0.95,0)-IF(AND(Projects!$G$25="Yes",BY$3=Projects!$C$25+Projects!$D$25-1),Projects!$B$25*(Assumptions!$B$10+Assumptions!$B$11+Assumptions!$B$12)*0.05,0)</f>
        <v/>
      </c>
      <c r="BZ34" s="399">
        <f>IF(AND(Projects!$G$25="Yes",BZ$3&gt;=Projects!$C$25,BZ$3&lt;Projects!$C$25+Projects!$D$25),Projects!$B$25*INDEX(Curves!$B$4:$AR$4,1,BZ$3-Projects!$C$25+1),0)-IF(AND(Projects!$G$25="Yes",BZ$3&gt;=Projects!$C$25,BZ$3&lt;Projects!$C$25+Projects!$D$25),Projects!$B$25*(Assumptions!$B$10+Assumptions!$B$11+Assumptions!$B$12)/Projects!$D$25*0.95,0)-IF(AND(Projects!$G$25="Yes",BZ$3=Projects!$C$25+Projects!$D$25-1),Projects!$B$25*(Assumptions!$B$10+Assumptions!$B$11+Assumptions!$B$12)*0.05,0)</f>
        <v/>
      </c>
      <c r="CA34" s="399">
        <f>IF(AND(Projects!$G$25="Yes",CA$3&gt;=Projects!$C$25,CA$3&lt;Projects!$C$25+Projects!$D$25),Projects!$B$25*INDEX(Curves!$B$4:$AR$4,1,CA$3-Projects!$C$25+1),0)-IF(AND(Projects!$G$25="Yes",CA$3&gt;=Projects!$C$25,CA$3&lt;Projects!$C$25+Projects!$D$25),Projects!$B$25*(Assumptions!$B$10+Assumptions!$B$11+Assumptions!$B$12)/Projects!$D$25*0.95,0)-IF(AND(Projects!$G$25="Yes",CA$3=Projects!$C$25+Projects!$D$25-1),Projects!$B$25*(Assumptions!$B$10+Assumptions!$B$11+Assumptions!$B$12)*0.05,0)</f>
        <v/>
      </c>
      <c r="CB34" s="399">
        <f>IF(AND(Projects!$G$25="Yes",CB$3&gt;=Projects!$C$25,CB$3&lt;Projects!$C$25+Projects!$D$25),Projects!$B$25*INDEX(Curves!$B$4:$AR$4,1,CB$3-Projects!$C$25+1),0)-IF(AND(Projects!$G$25="Yes",CB$3&gt;=Projects!$C$25,CB$3&lt;Projects!$C$25+Projects!$D$25),Projects!$B$25*(Assumptions!$B$10+Assumptions!$B$11+Assumptions!$B$12)/Projects!$D$25*0.95,0)-IF(AND(Projects!$G$25="Yes",CB$3=Projects!$C$25+Projects!$D$25-1),Projects!$B$25*(Assumptions!$B$10+Assumptions!$B$11+Assumptions!$B$12)*0.05,0)</f>
        <v/>
      </c>
      <c r="CC34" s="399">
        <f>IF(AND(Projects!$G$25="Yes",CC$3&gt;=Projects!$C$25,CC$3&lt;Projects!$C$25+Projects!$D$25),Projects!$B$25*INDEX(Curves!$B$4:$AR$4,1,CC$3-Projects!$C$25+1),0)-IF(AND(Projects!$G$25="Yes",CC$3&gt;=Projects!$C$25,CC$3&lt;Projects!$C$25+Projects!$D$25),Projects!$B$25*(Assumptions!$B$10+Assumptions!$B$11+Assumptions!$B$12)/Projects!$D$25*0.95,0)-IF(AND(Projects!$G$25="Yes",CC$3=Projects!$C$25+Projects!$D$25-1),Projects!$B$25*(Assumptions!$B$10+Assumptions!$B$11+Assumptions!$B$12)*0.05,0)</f>
        <v/>
      </c>
      <c r="CD34" s="399">
        <f>IF(AND(Projects!$G$25="Yes",CD$3&gt;=Projects!$C$25,CD$3&lt;Projects!$C$25+Projects!$D$25),Projects!$B$25*INDEX(Curves!$B$4:$AR$4,1,CD$3-Projects!$C$25+1),0)-IF(AND(Projects!$G$25="Yes",CD$3&gt;=Projects!$C$25,CD$3&lt;Projects!$C$25+Projects!$D$25),Projects!$B$25*(Assumptions!$B$10+Assumptions!$B$11+Assumptions!$B$12)/Projects!$D$25*0.95,0)-IF(AND(Projects!$G$25="Yes",CD$3=Projects!$C$25+Projects!$D$25-1),Projects!$B$25*(Assumptions!$B$10+Assumptions!$B$11+Assumptions!$B$12)*0.05,0)</f>
        <v/>
      </c>
      <c r="CE34" s="399">
        <f>IF(AND(Projects!$G$25="Yes",CE$3&gt;=Projects!$C$25,CE$3&lt;Projects!$C$25+Projects!$D$25),Projects!$B$25*INDEX(Curves!$B$4:$AR$4,1,CE$3-Projects!$C$25+1),0)-IF(AND(Projects!$G$25="Yes",CE$3&gt;=Projects!$C$25,CE$3&lt;Projects!$C$25+Projects!$D$25),Projects!$B$25*(Assumptions!$B$10+Assumptions!$B$11+Assumptions!$B$12)/Projects!$D$25*0.95,0)-IF(AND(Projects!$G$25="Yes",CE$3=Projects!$C$25+Projects!$D$25-1),Projects!$B$25*(Assumptions!$B$10+Assumptions!$B$11+Assumptions!$B$12)*0.05,0)</f>
        <v/>
      </c>
      <c r="CF34" s="399">
        <f>IF(AND(Projects!$G$25="Yes",CF$3&gt;=Projects!$C$25,CF$3&lt;Projects!$C$25+Projects!$D$25),Projects!$B$25*INDEX(Curves!$B$4:$AR$4,1,CF$3-Projects!$C$25+1),0)-IF(AND(Projects!$G$25="Yes",CF$3&gt;=Projects!$C$25,CF$3&lt;Projects!$C$25+Projects!$D$25),Projects!$B$25*(Assumptions!$B$10+Assumptions!$B$11+Assumptions!$B$12)/Projects!$D$25*0.95,0)-IF(AND(Projects!$G$25="Yes",CF$3=Projects!$C$25+Projects!$D$25-1),Projects!$B$25*(Assumptions!$B$10+Assumptions!$B$11+Assumptions!$B$12)*0.05,0)</f>
        <v/>
      </c>
      <c r="CG34" s="399">
        <f>IF(AND(Projects!$G$25="Yes",CG$3&gt;=Projects!$C$25,CG$3&lt;Projects!$C$25+Projects!$D$25),Projects!$B$25*INDEX(Curves!$B$4:$AR$4,1,CG$3-Projects!$C$25+1),0)-IF(AND(Projects!$G$25="Yes",CG$3&gt;=Projects!$C$25,CG$3&lt;Projects!$C$25+Projects!$D$25),Projects!$B$25*(Assumptions!$B$10+Assumptions!$B$11+Assumptions!$B$12)/Projects!$D$25*0.95,0)-IF(AND(Projects!$G$25="Yes",CG$3=Projects!$C$25+Projects!$D$25-1),Projects!$B$25*(Assumptions!$B$10+Assumptions!$B$11+Assumptions!$B$12)*0.05,0)</f>
        <v/>
      </c>
      <c r="CH34" s="399">
        <f>IF(AND(Projects!$G$25="Yes",CH$3&gt;=Projects!$C$25,CH$3&lt;Projects!$C$25+Projects!$D$25),Projects!$B$25*INDEX(Curves!$B$4:$AR$4,1,CH$3-Projects!$C$25+1),0)-IF(AND(Projects!$G$25="Yes",CH$3&gt;=Projects!$C$25,CH$3&lt;Projects!$C$25+Projects!$D$25),Projects!$B$25*(Assumptions!$B$10+Assumptions!$B$11+Assumptions!$B$12)/Projects!$D$25*0.95,0)-IF(AND(Projects!$G$25="Yes",CH$3=Projects!$C$25+Projects!$D$25-1),Projects!$B$25*(Assumptions!$B$10+Assumptions!$B$11+Assumptions!$B$12)*0.05,0)</f>
        <v/>
      </c>
      <c r="CI34" s="399">
        <f>IF(AND(Projects!$G$25="Yes",CI$3&gt;=Projects!$C$25,CI$3&lt;Projects!$C$25+Projects!$D$25),Projects!$B$25*INDEX(Curves!$B$4:$AR$4,1,CI$3-Projects!$C$25+1),0)-IF(AND(Projects!$G$25="Yes",CI$3&gt;=Projects!$C$25,CI$3&lt;Projects!$C$25+Projects!$D$25),Projects!$B$25*(Assumptions!$B$10+Assumptions!$B$11+Assumptions!$B$12)/Projects!$D$25*0.95,0)-IF(AND(Projects!$G$25="Yes",CI$3=Projects!$C$25+Projects!$D$25-1),Projects!$B$25*(Assumptions!$B$10+Assumptions!$B$11+Assumptions!$B$12)*0.05,0)</f>
        <v/>
      </c>
      <c r="CJ34" s="399">
        <f>IF(AND(Projects!$G$25="Yes",CJ$3&gt;=Projects!$C$25,CJ$3&lt;Projects!$C$25+Projects!$D$25),Projects!$B$25*INDEX(Curves!$B$4:$AR$4,1,CJ$3-Projects!$C$25+1),0)-IF(AND(Projects!$G$25="Yes",CJ$3&gt;=Projects!$C$25,CJ$3&lt;Projects!$C$25+Projects!$D$25),Projects!$B$25*(Assumptions!$B$10+Assumptions!$B$11+Assumptions!$B$12)/Projects!$D$25*0.95,0)-IF(AND(Projects!$G$25="Yes",CJ$3=Projects!$C$25+Projects!$D$25-1),Projects!$B$25*(Assumptions!$B$10+Assumptions!$B$11+Assumptions!$B$12)*0.05,0)</f>
        <v/>
      </c>
      <c r="CK34" s="399">
        <f>IF(AND(Projects!$G$25="Yes",CK$3&gt;=Projects!$C$25,CK$3&lt;Projects!$C$25+Projects!$D$25),Projects!$B$25*INDEX(Curves!$B$4:$AR$4,1,CK$3-Projects!$C$25+1),0)-IF(AND(Projects!$G$25="Yes",CK$3&gt;=Projects!$C$25,CK$3&lt;Projects!$C$25+Projects!$D$25),Projects!$B$25*(Assumptions!$B$10+Assumptions!$B$11+Assumptions!$B$12)/Projects!$D$25*0.95,0)-IF(AND(Projects!$G$25="Yes",CK$3=Projects!$C$25+Projects!$D$25-1),Projects!$B$25*(Assumptions!$B$10+Assumptions!$B$11+Assumptions!$B$12)*0.05,0)</f>
        <v/>
      </c>
      <c r="CL34" s="399">
        <f>IF(AND(Projects!$G$25="Yes",CL$3&gt;=Projects!$C$25,CL$3&lt;Projects!$C$25+Projects!$D$25),Projects!$B$25*INDEX(Curves!$B$4:$AR$4,1,CL$3-Projects!$C$25+1),0)-IF(AND(Projects!$G$25="Yes",CL$3&gt;=Projects!$C$25,CL$3&lt;Projects!$C$25+Projects!$D$25),Projects!$B$25*(Assumptions!$B$10+Assumptions!$B$11+Assumptions!$B$12)/Projects!$D$25*0.95,0)-IF(AND(Projects!$G$25="Yes",CL$3=Projects!$C$25+Projects!$D$25-1),Projects!$B$25*(Assumptions!$B$10+Assumptions!$B$11+Assumptions!$B$12)*0.05,0)</f>
        <v/>
      </c>
      <c r="CM34" s="399">
        <f>IF(AND(Projects!$G$25="Yes",CM$3&gt;=Projects!$C$25,CM$3&lt;Projects!$C$25+Projects!$D$25),Projects!$B$25*INDEX(Curves!$B$4:$AR$4,1,CM$3-Projects!$C$25+1),0)-IF(AND(Projects!$G$25="Yes",CM$3&gt;=Projects!$C$25,CM$3&lt;Projects!$C$25+Projects!$D$25),Projects!$B$25*(Assumptions!$B$10+Assumptions!$B$11+Assumptions!$B$12)/Projects!$D$25*0.95,0)-IF(AND(Projects!$G$25="Yes",CM$3=Projects!$C$25+Projects!$D$25-1),Projects!$B$25*(Assumptions!$B$10+Assumptions!$B$11+Assumptions!$B$12)*0.05,0)</f>
        <v/>
      </c>
      <c r="CN34" s="399">
        <f>IF(AND(Projects!$G$25="Yes",CN$3&gt;=Projects!$C$25,CN$3&lt;Projects!$C$25+Projects!$D$25),Projects!$B$25*INDEX(Curves!$B$4:$AR$4,1,CN$3-Projects!$C$25+1),0)-IF(AND(Projects!$G$25="Yes",CN$3&gt;=Projects!$C$25,CN$3&lt;Projects!$C$25+Projects!$D$25),Projects!$B$25*(Assumptions!$B$10+Assumptions!$B$11+Assumptions!$B$12)/Projects!$D$25*0.95,0)-IF(AND(Projects!$G$25="Yes",CN$3=Projects!$C$25+Projects!$D$25-1),Projects!$B$25*(Assumptions!$B$10+Assumptions!$B$11+Assumptions!$B$12)*0.05,0)</f>
        <v/>
      </c>
      <c r="CO34" s="399">
        <f>IF(AND(Projects!$G$25="Yes",CO$3&gt;=Projects!$C$25,CO$3&lt;Projects!$C$25+Projects!$D$25),Projects!$B$25*INDEX(Curves!$B$4:$AR$4,1,CO$3-Projects!$C$25+1),0)-IF(AND(Projects!$G$25="Yes",CO$3&gt;=Projects!$C$25,CO$3&lt;Projects!$C$25+Projects!$D$25),Projects!$B$25*(Assumptions!$B$10+Assumptions!$B$11+Assumptions!$B$12)/Projects!$D$25*0.95,0)-IF(AND(Projects!$G$25="Yes",CO$3=Projects!$C$25+Projects!$D$25-1),Projects!$B$25*(Assumptions!$B$10+Assumptions!$B$11+Assumptions!$B$12)*0.05,0)</f>
        <v/>
      </c>
      <c r="CP34" s="399">
        <f>IF(AND(Projects!$G$25="Yes",CP$3&gt;=Projects!$C$25,CP$3&lt;Projects!$C$25+Projects!$D$25),Projects!$B$25*INDEX(Curves!$B$4:$AR$4,1,CP$3-Projects!$C$25+1),0)-IF(AND(Projects!$G$25="Yes",CP$3&gt;=Projects!$C$25,CP$3&lt;Projects!$C$25+Projects!$D$25),Projects!$B$25*(Assumptions!$B$10+Assumptions!$B$11+Assumptions!$B$12)/Projects!$D$25*0.95,0)-IF(AND(Projects!$G$25="Yes",CP$3=Projects!$C$25+Projects!$D$25-1),Projects!$B$25*(Assumptions!$B$10+Assumptions!$B$11+Assumptions!$B$12)*0.05,0)</f>
        <v/>
      </c>
      <c r="CQ34" s="399">
        <f>IF(AND(Projects!$G$25="Yes",CQ$3&gt;=Projects!$C$25,CQ$3&lt;Projects!$C$25+Projects!$D$25),Projects!$B$25*INDEX(Curves!$B$4:$AR$4,1,CQ$3-Projects!$C$25+1),0)-IF(AND(Projects!$G$25="Yes",CQ$3&gt;=Projects!$C$25,CQ$3&lt;Projects!$C$25+Projects!$D$25),Projects!$B$25*(Assumptions!$B$10+Assumptions!$B$11+Assumptions!$B$12)/Projects!$D$25*0.95,0)-IF(AND(Projects!$G$25="Yes",CQ$3=Projects!$C$25+Projects!$D$25-1),Projects!$B$25*(Assumptions!$B$10+Assumptions!$B$11+Assumptions!$B$12)*0.05,0)</f>
        <v/>
      </c>
      <c r="CR34" s="399">
        <f>IF(AND(Projects!$G$25="Yes",CR$3&gt;=Projects!$C$25,CR$3&lt;Projects!$C$25+Projects!$D$25),Projects!$B$25*INDEX(Curves!$B$4:$AR$4,1,CR$3-Projects!$C$25+1),0)-IF(AND(Projects!$G$25="Yes",CR$3&gt;=Projects!$C$25,CR$3&lt;Projects!$C$25+Projects!$D$25),Projects!$B$25*(Assumptions!$B$10+Assumptions!$B$11+Assumptions!$B$12)/Projects!$D$25*0.95,0)-IF(AND(Projects!$G$25="Yes",CR$3=Projects!$C$25+Projects!$D$25-1),Projects!$B$25*(Assumptions!$B$10+Assumptions!$B$11+Assumptions!$B$12)*0.05,0)</f>
        <v/>
      </c>
      <c r="CS34" s="399">
        <f>IF(AND(Projects!$G$25="Yes",CS$3&gt;=Projects!$C$25,CS$3&lt;Projects!$C$25+Projects!$D$25),Projects!$B$25*INDEX(Curves!$B$4:$AR$4,1,CS$3-Projects!$C$25+1),0)-IF(AND(Projects!$G$25="Yes",CS$3&gt;=Projects!$C$25,CS$3&lt;Projects!$C$25+Projects!$D$25),Projects!$B$25*(Assumptions!$B$10+Assumptions!$B$11+Assumptions!$B$12)/Projects!$D$25*0.95,0)-IF(AND(Projects!$G$25="Yes",CS$3=Projects!$C$25+Projects!$D$25-1),Projects!$B$25*(Assumptions!$B$10+Assumptions!$B$11+Assumptions!$B$12)*0.05,0)</f>
        <v/>
      </c>
      <c r="CT34" s="399">
        <f>IF(AND(Projects!$G$25="Yes",CT$3&gt;=Projects!$C$25,CT$3&lt;Projects!$C$25+Projects!$D$25),Projects!$B$25*INDEX(Curves!$B$4:$AR$4,1,CT$3-Projects!$C$25+1),0)-IF(AND(Projects!$G$25="Yes",CT$3&gt;=Projects!$C$25,CT$3&lt;Projects!$C$25+Projects!$D$25),Projects!$B$25*(Assumptions!$B$10+Assumptions!$B$11+Assumptions!$B$12)/Projects!$D$25*0.95,0)-IF(AND(Projects!$G$25="Yes",CT$3=Projects!$C$25+Projects!$D$25-1),Projects!$B$25*(Assumptions!$B$10+Assumptions!$B$11+Assumptions!$B$12)*0.05,0)</f>
        <v/>
      </c>
      <c r="CU34" s="399">
        <f>IF(AND(Projects!$G$25="Yes",CU$3&gt;=Projects!$C$25,CU$3&lt;Projects!$C$25+Projects!$D$25),Projects!$B$25*INDEX(Curves!$B$4:$AR$4,1,CU$3-Projects!$C$25+1),0)-IF(AND(Projects!$G$25="Yes",CU$3&gt;=Projects!$C$25,CU$3&lt;Projects!$C$25+Projects!$D$25),Projects!$B$25*(Assumptions!$B$10+Assumptions!$B$11+Assumptions!$B$12)/Projects!$D$25*0.95,0)-IF(AND(Projects!$G$25="Yes",CU$3=Projects!$C$25+Projects!$D$25-1),Projects!$B$25*(Assumptions!$B$10+Assumptions!$B$11+Assumptions!$B$12)*0.05,0)</f>
        <v/>
      </c>
      <c r="CV34" s="399">
        <f>IF(AND(Projects!$G$25="Yes",CV$3&gt;=Projects!$C$25,CV$3&lt;Projects!$C$25+Projects!$D$25),Projects!$B$25*INDEX(Curves!$B$4:$AR$4,1,CV$3-Projects!$C$25+1),0)-IF(AND(Projects!$G$25="Yes",CV$3&gt;=Projects!$C$25,CV$3&lt;Projects!$C$25+Projects!$D$25),Projects!$B$25*(Assumptions!$B$10+Assumptions!$B$11+Assumptions!$B$12)/Projects!$D$25*0.95,0)-IF(AND(Projects!$G$25="Yes",CV$3=Projects!$C$25+Projects!$D$25-1),Projects!$B$25*(Assumptions!$B$10+Assumptions!$B$11+Assumptions!$B$12)*0.05,0)</f>
        <v/>
      </c>
      <c r="CW34" s="399">
        <f>IF(AND(Projects!$G$25="Yes",CW$3&gt;=Projects!$C$25,CW$3&lt;Projects!$C$25+Projects!$D$25),Projects!$B$25*INDEX(Curves!$B$4:$AR$4,1,CW$3-Projects!$C$25+1),0)-IF(AND(Projects!$G$25="Yes",CW$3&gt;=Projects!$C$25,CW$3&lt;Projects!$C$25+Projects!$D$25),Projects!$B$25*(Assumptions!$B$10+Assumptions!$B$11+Assumptions!$B$12)/Projects!$D$25*0.95,0)-IF(AND(Projects!$G$25="Yes",CW$3=Projects!$C$25+Projects!$D$25-1),Projects!$B$25*(Assumptions!$B$10+Assumptions!$B$11+Assumptions!$B$12)*0.05,0)</f>
        <v/>
      </c>
      <c r="CX34" s="399">
        <f>IF(AND(Projects!$G$25="Yes",CX$3&gt;=Projects!$C$25,CX$3&lt;Projects!$C$25+Projects!$D$25),Projects!$B$25*INDEX(Curves!$B$4:$AR$4,1,CX$3-Projects!$C$25+1),0)-IF(AND(Projects!$G$25="Yes",CX$3&gt;=Projects!$C$25,CX$3&lt;Projects!$C$25+Projects!$D$25),Projects!$B$25*(Assumptions!$B$10+Assumptions!$B$11+Assumptions!$B$12)/Projects!$D$25*0.95,0)-IF(AND(Projects!$G$25="Yes",CX$3=Projects!$C$25+Projects!$D$25-1),Projects!$B$25*(Assumptions!$B$10+Assumptions!$B$11+Assumptions!$B$12)*0.05,0)</f>
        <v/>
      </c>
      <c r="CY34" s="399">
        <f>IF(AND(Projects!$G$25="Yes",CY$3&gt;=Projects!$C$25,CY$3&lt;Projects!$C$25+Projects!$D$25),Projects!$B$25*INDEX(Curves!$B$4:$AR$4,1,CY$3-Projects!$C$25+1),0)-IF(AND(Projects!$G$25="Yes",CY$3&gt;=Projects!$C$25,CY$3&lt;Projects!$C$25+Projects!$D$25),Projects!$B$25*(Assumptions!$B$10+Assumptions!$B$11+Assumptions!$B$12)/Projects!$D$25*0.95,0)-IF(AND(Projects!$G$25="Yes",CY$3=Projects!$C$25+Projects!$D$25-1),Projects!$B$25*(Assumptions!$B$10+Assumptions!$B$11+Assumptions!$B$12)*0.05,0)</f>
        <v/>
      </c>
      <c r="CZ34" s="399">
        <f>IF(AND(Projects!$G$25="Yes",CZ$3&gt;=Projects!$C$25,CZ$3&lt;Projects!$C$25+Projects!$D$25),Projects!$B$25*INDEX(Curves!$B$4:$AR$4,1,CZ$3-Projects!$C$25+1),0)-IF(AND(Projects!$G$25="Yes",CZ$3&gt;=Projects!$C$25,CZ$3&lt;Projects!$C$25+Projects!$D$25),Projects!$B$25*(Assumptions!$B$10+Assumptions!$B$11+Assumptions!$B$12)/Projects!$D$25*0.95,0)-IF(AND(Projects!$G$25="Yes",CZ$3=Projects!$C$25+Projects!$D$25-1),Projects!$B$25*(Assumptions!$B$10+Assumptions!$B$11+Assumptions!$B$12)*0.05,0)</f>
        <v/>
      </c>
      <c r="DA34" s="399">
        <f>IF(AND(Projects!$G$25="Yes",DA$3&gt;=Projects!$C$25,DA$3&lt;Projects!$C$25+Projects!$D$25),Projects!$B$25*INDEX(Curves!$B$4:$AR$4,1,DA$3-Projects!$C$25+1),0)-IF(AND(Projects!$G$25="Yes",DA$3&gt;=Projects!$C$25,DA$3&lt;Projects!$C$25+Projects!$D$25),Projects!$B$25*(Assumptions!$B$10+Assumptions!$B$11+Assumptions!$B$12)/Projects!$D$25*0.95,0)-IF(AND(Projects!$G$25="Yes",DA$3=Projects!$C$25+Projects!$D$25-1),Projects!$B$25*(Assumptions!$B$10+Assumptions!$B$11+Assumptions!$B$12)*0.05,0)</f>
        <v/>
      </c>
      <c r="DB34" s="399">
        <f>IF(AND(Projects!$G$25="Yes",DB$3&gt;=Projects!$C$25,DB$3&lt;Projects!$C$25+Projects!$D$25),Projects!$B$25*INDEX(Curves!$B$4:$AR$4,1,DB$3-Projects!$C$25+1),0)-IF(AND(Projects!$G$25="Yes",DB$3&gt;=Projects!$C$25,DB$3&lt;Projects!$C$25+Projects!$D$25),Projects!$B$25*(Assumptions!$B$10+Assumptions!$B$11+Assumptions!$B$12)/Projects!$D$25*0.95,0)-IF(AND(Projects!$G$25="Yes",DB$3=Projects!$C$25+Projects!$D$25-1),Projects!$B$25*(Assumptions!$B$10+Assumptions!$B$11+Assumptions!$B$12)*0.05,0)</f>
        <v/>
      </c>
      <c r="DC34" s="399">
        <f>IF(AND(Projects!$G$25="Yes",DC$3&gt;=Projects!$C$25,DC$3&lt;Projects!$C$25+Projects!$D$25),Projects!$B$25*INDEX(Curves!$B$4:$AR$4,1,DC$3-Projects!$C$25+1),0)-IF(AND(Projects!$G$25="Yes",DC$3&gt;=Projects!$C$25,DC$3&lt;Projects!$C$25+Projects!$D$25),Projects!$B$25*(Assumptions!$B$10+Assumptions!$B$11+Assumptions!$B$12)/Projects!$D$25*0.95,0)-IF(AND(Projects!$G$25="Yes",DC$3=Projects!$C$25+Projects!$D$25-1),Projects!$B$25*(Assumptions!$B$10+Assumptions!$B$11+Assumptions!$B$12)*0.05,0)</f>
        <v/>
      </c>
      <c r="DD34" s="399">
        <f>IF(AND(Projects!$G$25="Yes",DD$3&gt;=Projects!$C$25,DD$3&lt;Projects!$C$25+Projects!$D$25),Projects!$B$25*INDEX(Curves!$B$4:$AR$4,1,DD$3-Projects!$C$25+1),0)-IF(AND(Projects!$G$25="Yes",DD$3&gt;=Projects!$C$25,DD$3&lt;Projects!$C$25+Projects!$D$25),Projects!$B$25*(Assumptions!$B$10+Assumptions!$B$11+Assumptions!$B$12)/Projects!$D$25*0.95,0)-IF(AND(Projects!$G$25="Yes",DD$3=Projects!$C$25+Projects!$D$25-1),Projects!$B$25*(Assumptions!$B$10+Assumptions!$B$11+Assumptions!$B$12)*0.05,0)</f>
        <v/>
      </c>
      <c r="DE34" s="399">
        <f>IF(AND(Projects!$G$25="Yes",DE$3&gt;=Projects!$C$25,DE$3&lt;Projects!$C$25+Projects!$D$25),Projects!$B$25*INDEX(Curves!$B$4:$AR$4,1,DE$3-Projects!$C$25+1),0)-IF(AND(Projects!$G$25="Yes",DE$3&gt;=Projects!$C$25,DE$3&lt;Projects!$C$25+Projects!$D$25),Projects!$B$25*(Assumptions!$B$10+Assumptions!$B$11+Assumptions!$B$12)/Projects!$D$25*0.95,0)-IF(AND(Projects!$G$25="Yes",DE$3=Projects!$C$25+Projects!$D$25-1),Projects!$B$25*(Assumptions!$B$10+Assumptions!$B$11+Assumptions!$B$12)*0.05,0)</f>
        <v/>
      </c>
    </row>
    <row r="35" hidden="1" outlineLevel="1" ht="15" customFormat="1" customHeight="1" s="380">
      <c r="A35" s="407" t="inlineStr">
        <is>
          <t>BD-10</t>
        </is>
      </c>
      <c r="B35" s="399" t="n">
        <v>0</v>
      </c>
      <c r="C35" s="399" t="n">
        <v>0</v>
      </c>
      <c r="D35" s="399" t="n">
        <v>0</v>
      </c>
      <c r="E35" s="399" t="n">
        <v>0</v>
      </c>
      <c r="F35" s="399">
        <f>IF(AND(Projects!$G$26="Yes",F$3&gt;=Projects!$C$26,F$3&lt;Projects!$C$26+Projects!$D$26),Projects!$B$26*INDEX(Curves!$B$4:$AR$4,1,F$3-Projects!$C$26+1),0)-IF(AND(Projects!$G$26="Yes",F$3&gt;=Projects!$C$26,F$3&lt;Projects!$C$26+Projects!$D$26),Projects!$B$26*(Assumptions!$B$10+Assumptions!$B$11+Assumptions!$B$12)/Projects!$D$26*0.95,0)-IF(AND(Projects!$G$26="Yes",F$3=Projects!$C$26+Projects!$D$26-1),Projects!$B$26*(Assumptions!$B$10+Assumptions!$B$11+Assumptions!$B$12)*0.05,0)</f>
        <v/>
      </c>
      <c r="G35" s="399">
        <f>IF(AND(Projects!$G$26="Yes",G$3&gt;=Projects!$C$26,G$3&lt;Projects!$C$26+Projects!$D$26),Projects!$B$26*INDEX(Curves!$B$4:$AR$4,1,G$3-Projects!$C$26+1),0)-IF(AND(Projects!$G$26="Yes",G$3&gt;=Projects!$C$26,G$3&lt;Projects!$C$26+Projects!$D$26),Projects!$B$26*(Assumptions!$B$10+Assumptions!$B$11+Assumptions!$B$12)/Projects!$D$26*0.95,0)-IF(AND(Projects!$G$26="Yes",G$3=Projects!$C$26+Projects!$D$26-1),Projects!$B$26*(Assumptions!$B$10+Assumptions!$B$11+Assumptions!$B$12)*0.05,0)</f>
        <v/>
      </c>
      <c r="H35" s="399">
        <f>IF(AND(Projects!$G$26="Yes",H$3&gt;=Projects!$C$26,H$3&lt;Projects!$C$26+Projects!$D$26),Projects!$B$26*INDEX(Curves!$B$4:$AR$4,1,H$3-Projects!$C$26+1),0)-IF(AND(Projects!$G$26="Yes",H$3&gt;=Projects!$C$26,H$3&lt;Projects!$C$26+Projects!$D$26),Projects!$B$26*(Assumptions!$B$10+Assumptions!$B$11+Assumptions!$B$12)/Projects!$D$26*0.95,0)-IF(AND(Projects!$G$26="Yes",H$3=Projects!$C$26+Projects!$D$26-1),Projects!$B$26*(Assumptions!$B$10+Assumptions!$B$11+Assumptions!$B$12)*0.05,0)</f>
        <v/>
      </c>
      <c r="I35" s="399">
        <f>IF(AND(Projects!$G$26="Yes",I$3&gt;=Projects!$C$26,I$3&lt;Projects!$C$26+Projects!$D$26),Projects!$B$26*INDEX(Curves!$B$4:$AR$4,1,I$3-Projects!$C$26+1),0)-IF(AND(Projects!$G$26="Yes",I$3&gt;=Projects!$C$26,I$3&lt;Projects!$C$26+Projects!$D$26),Projects!$B$26*(Assumptions!$B$10+Assumptions!$B$11+Assumptions!$B$12)/Projects!$D$26*0.95,0)-IF(AND(Projects!$G$26="Yes",I$3=Projects!$C$26+Projects!$D$26-1),Projects!$B$26*(Assumptions!$B$10+Assumptions!$B$11+Assumptions!$B$12)*0.05,0)</f>
        <v/>
      </c>
      <c r="J35" s="399">
        <f>IF(AND(Projects!$G$26="Yes",J$3&gt;=Projects!$C$26,J$3&lt;Projects!$C$26+Projects!$D$26),Projects!$B$26*INDEX(Curves!$B$4:$AR$4,1,J$3-Projects!$C$26+1),0)-IF(AND(Projects!$G$26="Yes",J$3&gt;=Projects!$C$26,J$3&lt;Projects!$C$26+Projects!$D$26),Projects!$B$26*(Assumptions!$B$10+Assumptions!$B$11+Assumptions!$B$12)/Projects!$D$26*0.95,0)-IF(AND(Projects!$G$26="Yes",J$3=Projects!$C$26+Projects!$D$26-1),Projects!$B$26*(Assumptions!$B$10+Assumptions!$B$11+Assumptions!$B$12)*0.05,0)</f>
        <v/>
      </c>
      <c r="K35" s="399">
        <f>IF(AND(Projects!$G$26="Yes",K$3&gt;=Projects!$C$26,K$3&lt;Projects!$C$26+Projects!$D$26),Projects!$B$26*INDEX(Curves!$B$4:$AR$4,1,K$3-Projects!$C$26+1),0)-IF(AND(Projects!$G$26="Yes",K$3&gt;=Projects!$C$26,K$3&lt;Projects!$C$26+Projects!$D$26),Projects!$B$26*(Assumptions!$B$10+Assumptions!$B$11+Assumptions!$B$12)/Projects!$D$26*0.95,0)-IF(AND(Projects!$G$26="Yes",K$3=Projects!$C$26+Projects!$D$26-1),Projects!$B$26*(Assumptions!$B$10+Assumptions!$B$11+Assumptions!$B$12)*0.05,0)</f>
        <v/>
      </c>
      <c r="L35" s="399">
        <f>IF(AND(Projects!$G$26="Yes",L$3&gt;=Projects!$C$26,L$3&lt;Projects!$C$26+Projects!$D$26),Projects!$B$26*INDEX(Curves!$B$4:$AR$4,1,L$3-Projects!$C$26+1),0)-IF(AND(Projects!$G$26="Yes",L$3&gt;=Projects!$C$26,L$3&lt;Projects!$C$26+Projects!$D$26),Projects!$B$26*(Assumptions!$B$10+Assumptions!$B$11+Assumptions!$B$12)/Projects!$D$26*0.95,0)-IF(AND(Projects!$G$26="Yes",L$3=Projects!$C$26+Projects!$D$26-1),Projects!$B$26*(Assumptions!$B$10+Assumptions!$B$11+Assumptions!$B$12)*0.05,0)</f>
        <v/>
      </c>
      <c r="M35" s="399">
        <f>IF(AND(Projects!$G$26="Yes",M$3&gt;=Projects!$C$26,M$3&lt;Projects!$C$26+Projects!$D$26),Projects!$B$26*INDEX(Curves!$B$4:$AR$4,1,M$3-Projects!$C$26+1),0)-IF(AND(Projects!$G$26="Yes",M$3&gt;=Projects!$C$26,M$3&lt;Projects!$C$26+Projects!$D$26),Projects!$B$26*(Assumptions!$B$10+Assumptions!$B$11+Assumptions!$B$12)/Projects!$D$26*0.95,0)-IF(AND(Projects!$G$26="Yes",M$3=Projects!$C$26+Projects!$D$26-1),Projects!$B$26*(Assumptions!$B$10+Assumptions!$B$11+Assumptions!$B$12)*0.05,0)</f>
        <v/>
      </c>
      <c r="N35" s="399">
        <f>IF(AND(Projects!$G$26="Yes",N$3&gt;=Projects!$C$26,N$3&lt;Projects!$C$26+Projects!$D$26),Projects!$B$26*INDEX(Curves!$B$4:$AR$4,1,N$3-Projects!$C$26+1),0)-IF(AND(Projects!$G$26="Yes",N$3&gt;=Projects!$C$26,N$3&lt;Projects!$C$26+Projects!$D$26),Projects!$B$26*(Assumptions!$B$10+Assumptions!$B$11+Assumptions!$B$12)/Projects!$D$26*0.95,0)-IF(AND(Projects!$G$26="Yes",N$3=Projects!$C$26+Projects!$D$26-1),Projects!$B$26*(Assumptions!$B$10+Assumptions!$B$11+Assumptions!$B$12)*0.05,0)</f>
        <v/>
      </c>
      <c r="O35" s="399">
        <f>IF(AND(Projects!$G$26="Yes",O$3&gt;=Projects!$C$26,O$3&lt;Projects!$C$26+Projects!$D$26),Projects!$B$26*INDEX(Curves!$B$4:$AR$4,1,O$3-Projects!$C$26+1),0)-IF(AND(Projects!$G$26="Yes",O$3&gt;=Projects!$C$26,O$3&lt;Projects!$C$26+Projects!$D$26),Projects!$B$26*(Assumptions!$B$10+Assumptions!$B$11+Assumptions!$B$12)/Projects!$D$26*0.95,0)-IF(AND(Projects!$G$26="Yes",O$3=Projects!$C$26+Projects!$D$26-1),Projects!$B$26*(Assumptions!$B$10+Assumptions!$B$11+Assumptions!$B$12)*0.05,0)</f>
        <v/>
      </c>
      <c r="P35" s="399">
        <f>IF(AND(Projects!$G$26="Yes",P$3&gt;=Projects!$C$26,P$3&lt;Projects!$C$26+Projects!$D$26),Projects!$B$26*INDEX(Curves!$B$4:$AR$4,1,P$3-Projects!$C$26+1),0)-IF(AND(Projects!$G$26="Yes",P$3&gt;=Projects!$C$26,P$3&lt;Projects!$C$26+Projects!$D$26),Projects!$B$26*(Assumptions!$B$10+Assumptions!$B$11+Assumptions!$B$12)/Projects!$D$26*0.95,0)-IF(AND(Projects!$G$26="Yes",P$3=Projects!$C$26+Projects!$D$26-1),Projects!$B$26*(Assumptions!$B$10+Assumptions!$B$11+Assumptions!$B$12)*0.05,0)</f>
        <v/>
      </c>
      <c r="Q35" s="399">
        <f>IF(AND(Projects!$G$26="Yes",Q$3&gt;=Projects!$C$26,Q$3&lt;Projects!$C$26+Projects!$D$26),Projects!$B$26*INDEX(Curves!$B$4:$AR$4,1,Q$3-Projects!$C$26+1),0)-IF(AND(Projects!$G$26="Yes",Q$3&gt;=Projects!$C$26,Q$3&lt;Projects!$C$26+Projects!$D$26),Projects!$B$26*(Assumptions!$B$10+Assumptions!$B$11+Assumptions!$B$12)/Projects!$D$26*0.95,0)-IF(AND(Projects!$G$26="Yes",Q$3=Projects!$C$26+Projects!$D$26-1),Projects!$B$26*(Assumptions!$B$10+Assumptions!$B$11+Assumptions!$B$12)*0.05,0)</f>
        <v/>
      </c>
      <c r="R35" s="399">
        <f>IF(AND(Projects!$G$26="Yes",R$3&gt;=Projects!$C$26,R$3&lt;Projects!$C$26+Projects!$D$26),Projects!$B$26*INDEX(Curves!$B$4:$AR$4,1,R$3-Projects!$C$26+1),0)-IF(AND(Projects!$G$26="Yes",R$3&gt;=Projects!$C$26,R$3&lt;Projects!$C$26+Projects!$D$26),Projects!$B$26*(Assumptions!$B$10+Assumptions!$B$11+Assumptions!$B$12)/Projects!$D$26*0.95,0)-IF(AND(Projects!$G$26="Yes",R$3=Projects!$C$26+Projects!$D$26-1),Projects!$B$26*(Assumptions!$B$10+Assumptions!$B$11+Assumptions!$B$12)*0.05,0)</f>
        <v/>
      </c>
      <c r="S35" s="399">
        <f>IF(AND(Projects!$G$26="Yes",S$3&gt;=Projects!$C$26,S$3&lt;Projects!$C$26+Projects!$D$26),Projects!$B$26*INDEX(Curves!$B$4:$AR$4,1,S$3-Projects!$C$26+1),0)-IF(AND(Projects!$G$26="Yes",S$3&gt;=Projects!$C$26,S$3&lt;Projects!$C$26+Projects!$D$26),Projects!$B$26*(Assumptions!$B$10+Assumptions!$B$11+Assumptions!$B$12)/Projects!$D$26*0.95,0)-IF(AND(Projects!$G$26="Yes",S$3=Projects!$C$26+Projects!$D$26-1),Projects!$B$26*(Assumptions!$B$10+Assumptions!$B$11+Assumptions!$B$12)*0.05,0)</f>
        <v/>
      </c>
      <c r="T35" s="399">
        <f>IF(AND(Projects!$G$26="Yes",T$3&gt;=Projects!$C$26,T$3&lt;Projects!$C$26+Projects!$D$26),Projects!$B$26*INDEX(Curves!$B$4:$AR$4,1,T$3-Projects!$C$26+1),0)-IF(AND(Projects!$G$26="Yes",T$3&gt;=Projects!$C$26,T$3&lt;Projects!$C$26+Projects!$D$26),Projects!$B$26*(Assumptions!$B$10+Assumptions!$B$11+Assumptions!$B$12)/Projects!$D$26*0.95,0)-IF(AND(Projects!$G$26="Yes",T$3=Projects!$C$26+Projects!$D$26-1),Projects!$B$26*(Assumptions!$B$10+Assumptions!$B$11+Assumptions!$B$12)*0.05,0)</f>
        <v/>
      </c>
      <c r="U35" s="399">
        <f>IF(AND(Projects!$G$26="Yes",U$3&gt;=Projects!$C$26,U$3&lt;Projects!$C$26+Projects!$D$26),Projects!$B$26*INDEX(Curves!$B$4:$AR$4,1,U$3-Projects!$C$26+1),0)-IF(AND(Projects!$G$26="Yes",U$3&gt;=Projects!$C$26,U$3&lt;Projects!$C$26+Projects!$D$26),Projects!$B$26*(Assumptions!$B$10+Assumptions!$B$11+Assumptions!$B$12)/Projects!$D$26*0.95,0)-IF(AND(Projects!$G$26="Yes",U$3=Projects!$C$26+Projects!$D$26-1),Projects!$B$26*(Assumptions!$B$10+Assumptions!$B$11+Assumptions!$B$12)*0.05,0)</f>
        <v/>
      </c>
      <c r="V35" s="399">
        <f>IF(AND(Projects!$G$26="Yes",V$3&gt;=Projects!$C$26,V$3&lt;Projects!$C$26+Projects!$D$26),Projects!$B$26*INDEX(Curves!$B$4:$AR$4,1,V$3-Projects!$C$26+1),0)-IF(AND(Projects!$G$26="Yes",V$3&gt;=Projects!$C$26,V$3&lt;Projects!$C$26+Projects!$D$26),Projects!$B$26*(Assumptions!$B$10+Assumptions!$B$11+Assumptions!$B$12)/Projects!$D$26*0.95,0)-IF(AND(Projects!$G$26="Yes",V$3=Projects!$C$26+Projects!$D$26-1),Projects!$B$26*(Assumptions!$B$10+Assumptions!$B$11+Assumptions!$B$12)*0.05,0)</f>
        <v/>
      </c>
      <c r="W35" s="399">
        <f>IF(AND(Projects!$G$26="Yes",W$3&gt;=Projects!$C$26,W$3&lt;Projects!$C$26+Projects!$D$26),Projects!$B$26*INDEX(Curves!$B$4:$AR$4,1,W$3-Projects!$C$26+1),0)-IF(AND(Projects!$G$26="Yes",W$3&gt;=Projects!$C$26,W$3&lt;Projects!$C$26+Projects!$D$26),Projects!$B$26*(Assumptions!$B$10+Assumptions!$B$11+Assumptions!$B$12)/Projects!$D$26*0.95,0)-IF(AND(Projects!$G$26="Yes",W$3=Projects!$C$26+Projects!$D$26-1),Projects!$B$26*(Assumptions!$B$10+Assumptions!$B$11+Assumptions!$B$12)*0.05,0)</f>
        <v/>
      </c>
      <c r="X35" s="399">
        <f>IF(AND(Projects!$G$26="Yes",X$3&gt;=Projects!$C$26,X$3&lt;Projects!$C$26+Projects!$D$26),Projects!$B$26*INDEX(Curves!$B$4:$AR$4,1,X$3-Projects!$C$26+1),0)-IF(AND(Projects!$G$26="Yes",X$3&gt;=Projects!$C$26,X$3&lt;Projects!$C$26+Projects!$D$26),Projects!$B$26*(Assumptions!$B$10+Assumptions!$B$11+Assumptions!$B$12)/Projects!$D$26*0.95,0)-IF(AND(Projects!$G$26="Yes",X$3=Projects!$C$26+Projects!$D$26-1),Projects!$B$26*(Assumptions!$B$10+Assumptions!$B$11+Assumptions!$B$12)*0.05,0)</f>
        <v/>
      </c>
      <c r="Y35" s="399">
        <f>IF(AND(Projects!$G$26="Yes",Y$3&gt;=Projects!$C$26,Y$3&lt;Projects!$C$26+Projects!$D$26),Projects!$B$26*INDEX(Curves!$B$4:$AR$4,1,Y$3-Projects!$C$26+1),0)-IF(AND(Projects!$G$26="Yes",Y$3&gt;=Projects!$C$26,Y$3&lt;Projects!$C$26+Projects!$D$26),Projects!$B$26*(Assumptions!$B$10+Assumptions!$B$11+Assumptions!$B$12)/Projects!$D$26*0.95,0)-IF(AND(Projects!$G$26="Yes",Y$3=Projects!$C$26+Projects!$D$26-1),Projects!$B$26*(Assumptions!$B$10+Assumptions!$B$11+Assumptions!$B$12)*0.05,0)</f>
        <v/>
      </c>
      <c r="Z35" s="399">
        <f>IF(AND(Projects!$G$26="Yes",Z$3&gt;=Projects!$C$26,Z$3&lt;Projects!$C$26+Projects!$D$26),Projects!$B$26*INDEX(Curves!$B$4:$AR$4,1,Z$3-Projects!$C$26+1),0)-IF(AND(Projects!$G$26="Yes",Z$3&gt;=Projects!$C$26,Z$3&lt;Projects!$C$26+Projects!$D$26),Projects!$B$26*(Assumptions!$B$10+Assumptions!$B$11+Assumptions!$B$12)/Projects!$D$26*0.95,0)-IF(AND(Projects!$G$26="Yes",Z$3=Projects!$C$26+Projects!$D$26-1),Projects!$B$26*(Assumptions!$B$10+Assumptions!$B$11+Assumptions!$B$12)*0.05,0)</f>
        <v/>
      </c>
      <c r="AA35" s="399">
        <f>IF(AND(Projects!$G$26="Yes",AA$3&gt;=Projects!$C$26,AA$3&lt;Projects!$C$26+Projects!$D$26),Projects!$B$26*INDEX(Curves!$B$4:$AR$4,1,AA$3-Projects!$C$26+1),0)-IF(AND(Projects!$G$26="Yes",AA$3&gt;=Projects!$C$26,AA$3&lt;Projects!$C$26+Projects!$D$26),Projects!$B$26*(Assumptions!$B$10+Assumptions!$B$11+Assumptions!$B$12)/Projects!$D$26*0.95,0)-IF(AND(Projects!$G$26="Yes",AA$3=Projects!$C$26+Projects!$D$26-1),Projects!$B$26*(Assumptions!$B$10+Assumptions!$B$11+Assumptions!$B$12)*0.05,0)</f>
        <v/>
      </c>
      <c r="AB35" s="399">
        <f>IF(AND(Projects!$G$26="Yes",AB$3&gt;=Projects!$C$26,AB$3&lt;Projects!$C$26+Projects!$D$26),Projects!$B$26*INDEX(Curves!$B$4:$AR$4,1,AB$3-Projects!$C$26+1),0)-IF(AND(Projects!$G$26="Yes",AB$3&gt;=Projects!$C$26,AB$3&lt;Projects!$C$26+Projects!$D$26),Projects!$B$26*(Assumptions!$B$10+Assumptions!$B$11+Assumptions!$B$12)/Projects!$D$26*0.95,0)-IF(AND(Projects!$G$26="Yes",AB$3=Projects!$C$26+Projects!$D$26-1),Projects!$B$26*(Assumptions!$B$10+Assumptions!$B$11+Assumptions!$B$12)*0.05,0)</f>
        <v/>
      </c>
      <c r="AC35" s="399">
        <f>IF(AND(Projects!$G$26="Yes",AC$3&gt;=Projects!$C$26,AC$3&lt;Projects!$C$26+Projects!$D$26),Projects!$B$26*INDEX(Curves!$B$4:$AR$4,1,AC$3-Projects!$C$26+1),0)-IF(AND(Projects!$G$26="Yes",AC$3&gt;=Projects!$C$26,AC$3&lt;Projects!$C$26+Projects!$D$26),Projects!$B$26*(Assumptions!$B$10+Assumptions!$B$11+Assumptions!$B$12)/Projects!$D$26*0.95,0)-IF(AND(Projects!$G$26="Yes",AC$3=Projects!$C$26+Projects!$D$26-1),Projects!$B$26*(Assumptions!$B$10+Assumptions!$B$11+Assumptions!$B$12)*0.05,0)</f>
        <v/>
      </c>
      <c r="AD35" s="399">
        <f>IF(AND(Projects!$G$26="Yes",AD$3&gt;=Projects!$C$26,AD$3&lt;Projects!$C$26+Projects!$D$26),Projects!$B$26*INDEX(Curves!$B$4:$AR$4,1,AD$3-Projects!$C$26+1),0)-IF(AND(Projects!$G$26="Yes",AD$3&gt;=Projects!$C$26,AD$3&lt;Projects!$C$26+Projects!$D$26),Projects!$B$26*(Assumptions!$B$10+Assumptions!$B$11+Assumptions!$B$12)/Projects!$D$26*0.95,0)-IF(AND(Projects!$G$26="Yes",AD$3=Projects!$C$26+Projects!$D$26-1),Projects!$B$26*(Assumptions!$B$10+Assumptions!$B$11+Assumptions!$B$12)*0.05,0)</f>
        <v/>
      </c>
      <c r="AE35" s="399">
        <f>IF(AND(Projects!$G$26="Yes",AE$3&gt;=Projects!$C$26,AE$3&lt;Projects!$C$26+Projects!$D$26),Projects!$B$26*INDEX(Curves!$B$4:$AR$4,1,AE$3-Projects!$C$26+1),0)-IF(AND(Projects!$G$26="Yes",AE$3&gt;=Projects!$C$26,AE$3&lt;Projects!$C$26+Projects!$D$26),Projects!$B$26*(Assumptions!$B$10+Assumptions!$B$11+Assumptions!$B$12)/Projects!$D$26*0.95,0)-IF(AND(Projects!$G$26="Yes",AE$3=Projects!$C$26+Projects!$D$26-1),Projects!$B$26*(Assumptions!$B$10+Assumptions!$B$11+Assumptions!$B$12)*0.05,0)</f>
        <v/>
      </c>
      <c r="AF35" s="399">
        <f>IF(AND(Projects!$G$26="Yes",AF$3&gt;=Projects!$C$26,AF$3&lt;Projects!$C$26+Projects!$D$26),Projects!$B$26*INDEX(Curves!$B$4:$AR$4,1,AF$3-Projects!$C$26+1),0)-IF(AND(Projects!$G$26="Yes",AF$3&gt;=Projects!$C$26,AF$3&lt;Projects!$C$26+Projects!$D$26),Projects!$B$26*(Assumptions!$B$10+Assumptions!$B$11+Assumptions!$B$12)/Projects!$D$26*0.95,0)-IF(AND(Projects!$G$26="Yes",AF$3=Projects!$C$26+Projects!$D$26-1),Projects!$B$26*(Assumptions!$B$10+Assumptions!$B$11+Assumptions!$B$12)*0.05,0)</f>
        <v/>
      </c>
      <c r="AG35" s="399">
        <f>IF(AND(Projects!$G$26="Yes",AG$3&gt;=Projects!$C$26,AG$3&lt;Projects!$C$26+Projects!$D$26),Projects!$B$26*INDEX(Curves!$B$4:$AR$4,1,AG$3-Projects!$C$26+1),0)-IF(AND(Projects!$G$26="Yes",AG$3&gt;=Projects!$C$26,AG$3&lt;Projects!$C$26+Projects!$D$26),Projects!$B$26*(Assumptions!$B$10+Assumptions!$B$11+Assumptions!$B$12)/Projects!$D$26*0.95,0)-IF(AND(Projects!$G$26="Yes",AG$3=Projects!$C$26+Projects!$D$26-1),Projects!$B$26*(Assumptions!$B$10+Assumptions!$B$11+Assumptions!$B$12)*0.05,0)</f>
        <v/>
      </c>
      <c r="AH35" s="399">
        <f>IF(AND(Projects!$G$26="Yes",AH$3&gt;=Projects!$C$26,AH$3&lt;Projects!$C$26+Projects!$D$26),Projects!$B$26*INDEX(Curves!$B$4:$AR$4,1,AH$3-Projects!$C$26+1),0)-IF(AND(Projects!$G$26="Yes",AH$3&gt;=Projects!$C$26,AH$3&lt;Projects!$C$26+Projects!$D$26),Projects!$B$26*(Assumptions!$B$10+Assumptions!$B$11+Assumptions!$B$12)/Projects!$D$26*0.95,0)-IF(AND(Projects!$G$26="Yes",AH$3=Projects!$C$26+Projects!$D$26-1),Projects!$B$26*(Assumptions!$B$10+Assumptions!$B$11+Assumptions!$B$12)*0.05,0)</f>
        <v/>
      </c>
      <c r="AI35" s="399">
        <f>IF(AND(Projects!$G$26="Yes",AI$3&gt;=Projects!$C$26,AI$3&lt;Projects!$C$26+Projects!$D$26),Projects!$B$26*INDEX(Curves!$B$4:$AR$4,1,AI$3-Projects!$C$26+1),0)-IF(AND(Projects!$G$26="Yes",AI$3&gt;=Projects!$C$26,AI$3&lt;Projects!$C$26+Projects!$D$26),Projects!$B$26*(Assumptions!$B$10+Assumptions!$B$11+Assumptions!$B$12)/Projects!$D$26*0.95,0)-IF(AND(Projects!$G$26="Yes",AI$3=Projects!$C$26+Projects!$D$26-1),Projects!$B$26*(Assumptions!$B$10+Assumptions!$B$11+Assumptions!$B$12)*0.05,0)</f>
        <v/>
      </c>
      <c r="AJ35" s="399">
        <f>IF(AND(Projects!$G$26="Yes",AJ$3&gt;=Projects!$C$26,AJ$3&lt;Projects!$C$26+Projects!$D$26),Projects!$B$26*INDEX(Curves!$B$4:$AR$4,1,AJ$3-Projects!$C$26+1),0)-IF(AND(Projects!$G$26="Yes",AJ$3&gt;=Projects!$C$26,AJ$3&lt;Projects!$C$26+Projects!$D$26),Projects!$B$26*(Assumptions!$B$10+Assumptions!$B$11+Assumptions!$B$12)/Projects!$D$26*0.95,0)-IF(AND(Projects!$G$26="Yes",AJ$3=Projects!$C$26+Projects!$D$26-1),Projects!$B$26*(Assumptions!$B$10+Assumptions!$B$11+Assumptions!$B$12)*0.05,0)</f>
        <v/>
      </c>
      <c r="AK35" s="399">
        <f>IF(AND(Projects!$G$26="Yes",AK$3&gt;=Projects!$C$26,AK$3&lt;Projects!$C$26+Projects!$D$26),Projects!$B$26*INDEX(Curves!$B$4:$AR$4,1,AK$3-Projects!$C$26+1),0)-IF(AND(Projects!$G$26="Yes",AK$3&gt;=Projects!$C$26,AK$3&lt;Projects!$C$26+Projects!$D$26),Projects!$B$26*(Assumptions!$B$10+Assumptions!$B$11+Assumptions!$B$12)/Projects!$D$26*0.95,0)-IF(AND(Projects!$G$26="Yes",AK$3=Projects!$C$26+Projects!$D$26-1),Projects!$B$26*(Assumptions!$B$10+Assumptions!$B$11+Assumptions!$B$12)*0.05,0)</f>
        <v/>
      </c>
      <c r="AL35" s="399">
        <f>IF(AND(Projects!$G$26="Yes",AL$3&gt;=Projects!$C$26,AL$3&lt;Projects!$C$26+Projects!$D$26),Projects!$B$26*INDEX(Curves!$B$4:$AR$4,1,AL$3-Projects!$C$26+1),0)-IF(AND(Projects!$G$26="Yes",AL$3&gt;=Projects!$C$26,AL$3&lt;Projects!$C$26+Projects!$D$26),Projects!$B$26*(Assumptions!$B$10+Assumptions!$B$11+Assumptions!$B$12)/Projects!$D$26*0.95,0)-IF(AND(Projects!$G$26="Yes",AL$3=Projects!$C$26+Projects!$D$26-1),Projects!$B$26*(Assumptions!$B$10+Assumptions!$B$11+Assumptions!$B$12)*0.05,0)</f>
        <v/>
      </c>
      <c r="AM35" s="399">
        <f>IF(AND(Projects!$G$26="Yes",AM$3&gt;=Projects!$C$26,AM$3&lt;Projects!$C$26+Projects!$D$26),Projects!$B$26*INDEX(Curves!$B$4:$AR$4,1,AM$3-Projects!$C$26+1),0)-IF(AND(Projects!$G$26="Yes",AM$3&gt;=Projects!$C$26,AM$3&lt;Projects!$C$26+Projects!$D$26),Projects!$B$26*(Assumptions!$B$10+Assumptions!$B$11+Assumptions!$B$12)/Projects!$D$26*0.95,0)-IF(AND(Projects!$G$26="Yes",AM$3=Projects!$C$26+Projects!$D$26-1),Projects!$B$26*(Assumptions!$B$10+Assumptions!$B$11+Assumptions!$B$12)*0.05,0)</f>
        <v/>
      </c>
      <c r="AN35" s="399">
        <f>IF(AND(Projects!$G$26="Yes",AN$3&gt;=Projects!$C$26,AN$3&lt;Projects!$C$26+Projects!$D$26),Projects!$B$26*INDEX(Curves!$B$4:$AR$4,1,AN$3-Projects!$C$26+1),0)-IF(AND(Projects!$G$26="Yes",AN$3&gt;=Projects!$C$26,AN$3&lt;Projects!$C$26+Projects!$D$26),Projects!$B$26*(Assumptions!$B$10+Assumptions!$B$11+Assumptions!$B$12)/Projects!$D$26*0.95,0)-IF(AND(Projects!$G$26="Yes",AN$3=Projects!$C$26+Projects!$D$26-1),Projects!$B$26*(Assumptions!$B$10+Assumptions!$B$11+Assumptions!$B$12)*0.05,0)</f>
        <v/>
      </c>
      <c r="AO35" s="399">
        <f>IF(AND(Projects!$G$26="Yes",AO$3&gt;=Projects!$C$26,AO$3&lt;Projects!$C$26+Projects!$D$26),Projects!$B$26*INDEX(Curves!$B$4:$AR$4,1,AO$3-Projects!$C$26+1),0)-IF(AND(Projects!$G$26="Yes",AO$3&gt;=Projects!$C$26,AO$3&lt;Projects!$C$26+Projects!$D$26),Projects!$B$26*(Assumptions!$B$10+Assumptions!$B$11+Assumptions!$B$12)/Projects!$D$26*0.95,0)-IF(AND(Projects!$G$26="Yes",AO$3=Projects!$C$26+Projects!$D$26-1),Projects!$B$26*(Assumptions!$B$10+Assumptions!$B$11+Assumptions!$B$12)*0.05,0)</f>
        <v/>
      </c>
      <c r="AP35" s="399">
        <f>IF(AND(Projects!$G$26="Yes",AP$3&gt;=Projects!$C$26,AP$3&lt;Projects!$C$26+Projects!$D$26),Projects!$B$26*INDEX(Curves!$B$4:$AR$4,1,AP$3-Projects!$C$26+1),0)-IF(AND(Projects!$G$26="Yes",AP$3&gt;=Projects!$C$26,AP$3&lt;Projects!$C$26+Projects!$D$26),Projects!$B$26*(Assumptions!$B$10+Assumptions!$B$11+Assumptions!$B$12)/Projects!$D$26*0.95,0)-IF(AND(Projects!$G$26="Yes",AP$3=Projects!$C$26+Projects!$D$26-1),Projects!$B$26*(Assumptions!$B$10+Assumptions!$B$11+Assumptions!$B$12)*0.05,0)</f>
        <v/>
      </c>
      <c r="AQ35" s="399">
        <f>IF(AND(Projects!$G$26="Yes",AQ$3&gt;=Projects!$C$26,AQ$3&lt;Projects!$C$26+Projects!$D$26),Projects!$B$26*INDEX(Curves!$B$4:$AR$4,1,AQ$3-Projects!$C$26+1),0)-IF(AND(Projects!$G$26="Yes",AQ$3&gt;=Projects!$C$26,AQ$3&lt;Projects!$C$26+Projects!$D$26),Projects!$B$26*(Assumptions!$B$10+Assumptions!$B$11+Assumptions!$B$12)/Projects!$D$26*0.95,0)-IF(AND(Projects!$G$26="Yes",AQ$3=Projects!$C$26+Projects!$D$26-1),Projects!$B$26*(Assumptions!$B$10+Assumptions!$B$11+Assumptions!$B$12)*0.05,0)</f>
        <v/>
      </c>
      <c r="AR35" s="399">
        <f>IF(AND(Projects!$G$26="Yes",AR$3&gt;=Projects!$C$26,AR$3&lt;Projects!$C$26+Projects!$D$26),Projects!$B$26*INDEX(Curves!$B$4:$AR$4,1,AR$3-Projects!$C$26+1),0)-IF(AND(Projects!$G$26="Yes",AR$3&gt;=Projects!$C$26,AR$3&lt;Projects!$C$26+Projects!$D$26),Projects!$B$26*(Assumptions!$B$10+Assumptions!$B$11+Assumptions!$B$12)/Projects!$D$26*0.95,0)-IF(AND(Projects!$G$26="Yes",AR$3=Projects!$C$26+Projects!$D$26-1),Projects!$B$26*(Assumptions!$B$10+Assumptions!$B$11+Assumptions!$B$12)*0.05,0)</f>
        <v/>
      </c>
      <c r="AS35" s="399">
        <f>IF(AND(Projects!$G$26="Yes",AS$3&gt;=Projects!$C$26,AS$3&lt;Projects!$C$26+Projects!$D$26),Projects!$B$26*INDEX(Curves!$B$4:$AR$4,1,AS$3-Projects!$C$26+1),0)-IF(AND(Projects!$G$26="Yes",AS$3&gt;=Projects!$C$26,AS$3&lt;Projects!$C$26+Projects!$D$26),Projects!$B$26*(Assumptions!$B$10+Assumptions!$B$11+Assumptions!$B$12)/Projects!$D$26*0.95,0)-IF(AND(Projects!$G$26="Yes",AS$3=Projects!$C$26+Projects!$D$26-1),Projects!$B$26*(Assumptions!$B$10+Assumptions!$B$11+Assumptions!$B$12)*0.05,0)</f>
        <v/>
      </c>
      <c r="AT35" s="399">
        <f>IF(AND(Projects!$G$26="Yes",AT$3&gt;=Projects!$C$26,AT$3&lt;Projects!$C$26+Projects!$D$26),Projects!$B$26*INDEX(Curves!$B$4:$AR$4,1,AT$3-Projects!$C$26+1),0)-IF(AND(Projects!$G$26="Yes",AT$3&gt;=Projects!$C$26,AT$3&lt;Projects!$C$26+Projects!$D$26),Projects!$B$26*(Assumptions!$B$10+Assumptions!$B$11+Assumptions!$B$12)/Projects!$D$26*0.95,0)-IF(AND(Projects!$G$26="Yes",AT$3=Projects!$C$26+Projects!$D$26-1),Projects!$B$26*(Assumptions!$B$10+Assumptions!$B$11+Assumptions!$B$12)*0.05,0)</f>
        <v/>
      </c>
      <c r="AU35" s="399">
        <f>IF(AND(Projects!$G$26="Yes",AU$3&gt;=Projects!$C$26,AU$3&lt;Projects!$C$26+Projects!$D$26),Projects!$B$26*INDEX(Curves!$B$4:$AR$4,1,AU$3-Projects!$C$26+1),0)-IF(AND(Projects!$G$26="Yes",AU$3&gt;=Projects!$C$26,AU$3&lt;Projects!$C$26+Projects!$D$26),Projects!$B$26*(Assumptions!$B$10+Assumptions!$B$11+Assumptions!$B$12)/Projects!$D$26*0.95,0)-IF(AND(Projects!$G$26="Yes",AU$3=Projects!$C$26+Projects!$D$26-1),Projects!$B$26*(Assumptions!$B$10+Assumptions!$B$11+Assumptions!$B$12)*0.05,0)</f>
        <v/>
      </c>
      <c r="AV35" s="399">
        <f>IF(AND(Projects!$G$26="Yes",AV$3&gt;=Projects!$C$26,AV$3&lt;Projects!$C$26+Projects!$D$26),Projects!$B$26*INDEX(Curves!$B$4:$AR$4,1,AV$3-Projects!$C$26+1),0)-IF(AND(Projects!$G$26="Yes",AV$3&gt;=Projects!$C$26,AV$3&lt;Projects!$C$26+Projects!$D$26),Projects!$B$26*(Assumptions!$B$10+Assumptions!$B$11+Assumptions!$B$12)/Projects!$D$26*0.95,0)-IF(AND(Projects!$G$26="Yes",AV$3=Projects!$C$26+Projects!$D$26-1),Projects!$B$26*(Assumptions!$B$10+Assumptions!$B$11+Assumptions!$B$12)*0.05,0)</f>
        <v/>
      </c>
      <c r="AW35" s="399">
        <f>IF(AND(Projects!$G$26="Yes",AW$3&gt;=Projects!$C$26,AW$3&lt;Projects!$C$26+Projects!$D$26),Projects!$B$26*INDEX(Curves!$B$4:$AR$4,1,AW$3-Projects!$C$26+1),0)-IF(AND(Projects!$G$26="Yes",AW$3&gt;=Projects!$C$26,AW$3&lt;Projects!$C$26+Projects!$D$26),Projects!$B$26*(Assumptions!$B$10+Assumptions!$B$11+Assumptions!$B$12)/Projects!$D$26*0.95,0)-IF(AND(Projects!$G$26="Yes",AW$3=Projects!$C$26+Projects!$D$26-1),Projects!$B$26*(Assumptions!$B$10+Assumptions!$B$11+Assumptions!$B$12)*0.05,0)</f>
        <v/>
      </c>
      <c r="AX35" s="399">
        <f>IF(AND(Projects!$G$26="Yes",AX$3&gt;=Projects!$C$26,AX$3&lt;Projects!$C$26+Projects!$D$26),Projects!$B$26*INDEX(Curves!$B$4:$AR$4,1,AX$3-Projects!$C$26+1),0)-IF(AND(Projects!$G$26="Yes",AX$3&gt;=Projects!$C$26,AX$3&lt;Projects!$C$26+Projects!$D$26),Projects!$B$26*(Assumptions!$B$10+Assumptions!$B$11+Assumptions!$B$12)/Projects!$D$26*0.95,0)-IF(AND(Projects!$G$26="Yes",AX$3=Projects!$C$26+Projects!$D$26-1),Projects!$B$26*(Assumptions!$B$10+Assumptions!$B$11+Assumptions!$B$12)*0.05,0)</f>
        <v/>
      </c>
      <c r="AY35" s="399">
        <f>IF(AND(Projects!$G$26="Yes",AY$3&gt;=Projects!$C$26,AY$3&lt;Projects!$C$26+Projects!$D$26),Projects!$B$26*INDEX(Curves!$B$4:$AR$4,1,AY$3-Projects!$C$26+1),0)-IF(AND(Projects!$G$26="Yes",AY$3&gt;=Projects!$C$26,AY$3&lt;Projects!$C$26+Projects!$D$26),Projects!$B$26*(Assumptions!$B$10+Assumptions!$B$11+Assumptions!$B$12)/Projects!$D$26*0.95,0)-IF(AND(Projects!$G$26="Yes",AY$3=Projects!$C$26+Projects!$D$26-1),Projects!$B$26*(Assumptions!$B$10+Assumptions!$B$11+Assumptions!$B$12)*0.05,0)</f>
        <v/>
      </c>
      <c r="AZ35" s="399">
        <f>IF(AND(Projects!$G$26="Yes",AZ$3&gt;=Projects!$C$26,AZ$3&lt;Projects!$C$26+Projects!$D$26),Projects!$B$26*INDEX(Curves!$B$4:$AR$4,1,AZ$3-Projects!$C$26+1),0)-IF(AND(Projects!$G$26="Yes",AZ$3&gt;=Projects!$C$26,AZ$3&lt;Projects!$C$26+Projects!$D$26),Projects!$B$26*(Assumptions!$B$10+Assumptions!$B$11+Assumptions!$B$12)/Projects!$D$26*0.95,0)-IF(AND(Projects!$G$26="Yes",AZ$3=Projects!$C$26+Projects!$D$26-1),Projects!$B$26*(Assumptions!$B$10+Assumptions!$B$11+Assumptions!$B$12)*0.05,0)</f>
        <v/>
      </c>
      <c r="BA35" s="399">
        <f>IF(AND(Projects!$G$26="Yes",BA$3&gt;=Projects!$C$26,BA$3&lt;Projects!$C$26+Projects!$D$26),Projects!$B$26*INDEX(Curves!$B$4:$AR$4,1,BA$3-Projects!$C$26+1),0)-IF(AND(Projects!$G$26="Yes",BA$3&gt;=Projects!$C$26,BA$3&lt;Projects!$C$26+Projects!$D$26),Projects!$B$26*(Assumptions!$B$10+Assumptions!$B$11+Assumptions!$B$12)/Projects!$D$26*0.95,0)-IF(AND(Projects!$G$26="Yes",BA$3=Projects!$C$26+Projects!$D$26-1),Projects!$B$26*(Assumptions!$B$10+Assumptions!$B$11+Assumptions!$B$12)*0.05,0)</f>
        <v/>
      </c>
      <c r="BB35" s="399">
        <f>IF(AND(Projects!$G$26="Yes",BB$3&gt;=Projects!$C$26,BB$3&lt;Projects!$C$26+Projects!$D$26),Projects!$B$26*INDEX(Curves!$B$4:$AR$4,1,BB$3-Projects!$C$26+1),0)-IF(AND(Projects!$G$26="Yes",BB$3&gt;=Projects!$C$26,BB$3&lt;Projects!$C$26+Projects!$D$26),Projects!$B$26*(Assumptions!$B$10+Assumptions!$B$11+Assumptions!$B$12)/Projects!$D$26*0.95,0)-IF(AND(Projects!$G$26="Yes",BB$3=Projects!$C$26+Projects!$D$26-1),Projects!$B$26*(Assumptions!$B$10+Assumptions!$B$11+Assumptions!$B$12)*0.05,0)</f>
        <v/>
      </c>
      <c r="BC35" s="399">
        <f>IF(AND(Projects!$G$26="Yes",BC$3&gt;=Projects!$C$26,BC$3&lt;Projects!$C$26+Projects!$D$26),Projects!$B$26*INDEX(Curves!$B$4:$AR$4,1,BC$3-Projects!$C$26+1),0)-IF(AND(Projects!$G$26="Yes",BC$3&gt;=Projects!$C$26,BC$3&lt;Projects!$C$26+Projects!$D$26),Projects!$B$26*(Assumptions!$B$10+Assumptions!$B$11+Assumptions!$B$12)/Projects!$D$26*0.95,0)-IF(AND(Projects!$G$26="Yes",BC$3=Projects!$C$26+Projects!$D$26-1),Projects!$B$26*(Assumptions!$B$10+Assumptions!$B$11+Assumptions!$B$12)*0.05,0)</f>
        <v/>
      </c>
      <c r="BD35" s="399">
        <f>IF(AND(Projects!$G$26="Yes",BD$3&gt;=Projects!$C$26,BD$3&lt;Projects!$C$26+Projects!$D$26),Projects!$B$26*INDEX(Curves!$B$4:$AR$4,1,BD$3-Projects!$C$26+1),0)-IF(AND(Projects!$G$26="Yes",BD$3&gt;=Projects!$C$26,BD$3&lt;Projects!$C$26+Projects!$D$26),Projects!$B$26*(Assumptions!$B$10+Assumptions!$B$11+Assumptions!$B$12)/Projects!$D$26*0.95,0)-IF(AND(Projects!$G$26="Yes",BD$3=Projects!$C$26+Projects!$D$26-1),Projects!$B$26*(Assumptions!$B$10+Assumptions!$B$11+Assumptions!$B$12)*0.05,0)</f>
        <v/>
      </c>
      <c r="BE35" s="399">
        <f>IF(AND(Projects!$G$26="Yes",BE$3&gt;=Projects!$C$26,BE$3&lt;Projects!$C$26+Projects!$D$26),Projects!$B$26*INDEX(Curves!$B$4:$AR$4,1,BE$3-Projects!$C$26+1),0)-IF(AND(Projects!$G$26="Yes",BE$3&gt;=Projects!$C$26,BE$3&lt;Projects!$C$26+Projects!$D$26),Projects!$B$26*(Assumptions!$B$10+Assumptions!$B$11+Assumptions!$B$12)/Projects!$D$26*0.95,0)-IF(AND(Projects!$G$26="Yes",BE$3=Projects!$C$26+Projects!$D$26-1),Projects!$B$26*(Assumptions!$B$10+Assumptions!$B$11+Assumptions!$B$12)*0.05,0)</f>
        <v/>
      </c>
      <c r="BF35" s="399">
        <f>IF(AND(Projects!$G$26="Yes",BF$3&gt;=Projects!$C$26,BF$3&lt;Projects!$C$26+Projects!$D$26),Projects!$B$26*INDEX(Curves!$B$4:$AR$4,1,BF$3-Projects!$C$26+1),0)-IF(AND(Projects!$G$26="Yes",BF$3&gt;=Projects!$C$26,BF$3&lt;Projects!$C$26+Projects!$D$26),Projects!$B$26*(Assumptions!$B$10+Assumptions!$B$11+Assumptions!$B$12)/Projects!$D$26*0.95,0)-IF(AND(Projects!$G$26="Yes",BF$3=Projects!$C$26+Projects!$D$26-1),Projects!$B$26*(Assumptions!$B$10+Assumptions!$B$11+Assumptions!$B$12)*0.05,0)</f>
        <v/>
      </c>
      <c r="BG35" s="399">
        <f>IF(AND(Projects!$G$26="Yes",BG$3&gt;=Projects!$C$26,BG$3&lt;Projects!$C$26+Projects!$D$26),Projects!$B$26*INDEX(Curves!$B$4:$AR$4,1,BG$3-Projects!$C$26+1),0)-IF(AND(Projects!$G$26="Yes",BG$3&gt;=Projects!$C$26,BG$3&lt;Projects!$C$26+Projects!$D$26),Projects!$B$26*(Assumptions!$B$10+Assumptions!$B$11+Assumptions!$B$12)/Projects!$D$26*0.95,0)-IF(AND(Projects!$G$26="Yes",BG$3=Projects!$C$26+Projects!$D$26-1),Projects!$B$26*(Assumptions!$B$10+Assumptions!$B$11+Assumptions!$B$12)*0.05,0)</f>
        <v/>
      </c>
      <c r="BH35" s="399">
        <f>IF(AND(Projects!$G$26="Yes",BH$3&gt;=Projects!$C$26,BH$3&lt;Projects!$C$26+Projects!$D$26),Projects!$B$26*INDEX(Curves!$B$4:$AR$4,1,BH$3-Projects!$C$26+1),0)-IF(AND(Projects!$G$26="Yes",BH$3&gt;=Projects!$C$26,BH$3&lt;Projects!$C$26+Projects!$D$26),Projects!$B$26*(Assumptions!$B$10+Assumptions!$B$11+Assumptions!$B$12)/Projects!$D$26*0.95,0)-IF(AND(Projects!$G$26="Yes",BH$3=Projects!$C$26+Projects!$D$26-1),Projects!$B$26*(Assumptions!$B$10+Assumptions!$B$11+Assumptions!$B$12)*0.05,0)</f>
        <v/>
      </c>
      <c r="BI35" s="399">
        <f>IF(AND(Projects!$G$26="Yes",BI$3&gt;=Projects!$C$26,BI$3&lt;Projects!$C$26+Projects!$D$26),Projects!$B$26*INDEX(Curves!$B$4:$AR$4,1,BI$3-Projects!$C$26+1),0)-IF(AND(Projects!$G$26="Yes",BI$3&gt;=Projects!$C$26,BI$3&lt;Projects!$C$26+Projects!$D$26),Projects!$B$26*(Assumptions!$B$10+Assumptions!$B$11+Assumptions!$B$12)/Projects!$D$26*0.95,0)-IF(AND(Projects!$G$26="Yes",BI$3=Projects!$C$26+Projects!$D$26-1),Projects!$B$26*(Assumptions!$B$10+Assumptions!$B$11+Assumptions!$B$12)*0.05,0)</f>
        <v/>
      </c>
      <c r="BJ35" s="399">
        <f>IF(AND(Projects!$G$26="Yes",BJ$3&gt;=Projects!$C$26,BJ$3&lt;Projects!$C$26+Projects!$D$26),Projects!$B$26*INDEX(Curves!$B$4:$AR$4,1,BJ$3-Projects!$C$26+1),0)-IF(AND(Projects!$G$26="Yes",BJ$3&gt;=Projects!$C$26,BJ$3&lt;Projects!$C$26+Projects!$D$26),Projects!$B$26*(Assumptions!$B$10+Assumptions!$B$11+Assumptions!$B$12)/Projects!$D$26*0.95,0)-IF(AND(Projects!$G$26="Yes",BJ$3=Projects!$C$26+Projects!$D$26-1),Projects!$B$26*(Assumptions!$B$10+Assumptions!$B$11+Assumptions!$B$12)*0.05,0)</f>
        <v/>
      </c>
      <c r="BK35" s="399">
        <f>IF(AND(Projects!$G$26="Yes",BK$3&gt;=Projects!$C$26,BK$3&lt;Projects!$C$26+Projects!$D$26),Projects!$B$26*INDEX(Curves!$B$4:$AR$4,1,BK$3-Projects!$C$26+1),0)-IF(AND(Projects!$G$26="Yes",BK$3&gt;=Projects!$C$26,BK$3&lt;Projects!$C$26+Projects!$D$26),Projects!$B$26*(Assumptions!$B$10+Assumptions!$B$11+Assumptions!$B$12)/Projects!$D$26*0.95,0)-IF(AND(Projects!$G$26="Yes",BK$3=Projects!$C$26+Projects!$D$26-1),Projects!$B$26*(Assumptions!$B$10+Assumptions!$B$11+Assumptions!$B$12)*0.05,0)</f>
        <v/>
      </c>
      <c r="BL35" s="399">
        <f>IF(AND(Projects!$G$26="Yes",BL$3&gt;=Projects!$C$26,BL$3&lt;Projects!$C$26+Projects!$D$26),Projects!$B$26*INDEX(Curves!$B$4:$AR$4,1,BL$3-Projects!$C$26+1),0)-IF(AND(Projects!$G$26="Yes",BL$3&gt;=Projects!$C$26,BL$3&lt;Projects!$C$26+Projects!$D$26),Projects!$B$26*(Assumptions!$B$10+Assumptions!$B$11+Assumptions!$B$12)/Projects!$D$26*0.95,0)-IF(AND(Projects!$G$26="Yes",BL$3=Projects!$C$26+Projects!$D$26-1),Projects!$B$26*(Assumptions!$B$10+Assumptions!$B$11+Assumptions!$B$12)*0.05,0)</f>
        <v/>
      </c>
      <c r="BM35" s="399">
        <f>IF(AND(Projects!$G$26="Yes",BM$3&gt;=Projects!$C$26,BM$3&lt;Projects!$C$26+Projects!$D$26),Projects!$B$26*INDEX(Curves!$B$4:$AR$4,1,BM$3-Projects!$C$26+1),0)-IF(AND(Projects!$G$26="Yes",BM$3&gt;=Projects!$C$26,BM$3&lt;Projects!$C$26+Projects!$D$26),Projects!$B$26*(Assumptions!$B$10+Assumptions!$B$11+Assumptions!$B$12)/Projects!$D$26*0.95,0)-IF(AND(Projects!$G$26="Yes",BM$3=Projects!$C$26+Projects!$D$26-1),Projects!$B$26*(Assumptions!$B$10+Assumptions!$B$11+Assumptions!$B$12)*0.05,0)</f>
        <v/>
      </c>
      <c r="BN35" s="399">
        <f>IF(AND(Projects!$G$26="Yes",BN$3&gt;=Projects!$C$26,BN$3&lt;Projects!$C$26+Projects!$D$26),Projects!$B$26*INDEX(Curves!$B$4:$AR$4,1,BN$3-Projects!$C$26+1),0)-IF(AND(Projects!$G$26="Yes",BN$3&gt;=Projects!$C$26,BN$3&lt;Projects!$C$26+Projects!$D$26),Projects!$B$26*(Assumptions!$B$10+Assumptions!$B$11+Assumptions!$B$12)/Projects!$D$26*0.95,0)-IF(AND(Projects!$G$26="Yes",BN$3=Projects!$C$26+Projects!$D$26-1),Projects!$B$26*(Assumptions!$B$10+Assumptions!$B$11+Assumptions!$B$12)*0.05,0)</f>
        <v/>
      </c>
      <c r="BO35" s="399">
        <f>IF(AND(Projects!$G$26="Yes",BO$3&gt;=Projects!$C$26,BO$3&lt;Projects!$C$26+Projects!$D$26),Projects!$B$26*INDEX(Curves!$B$4:$AR$4,1,BO$3-Projects!$C$26+1),0)-IF(AND(Projects!$G$26="Yes",BO$3&gt;=Projects!$C$26,BO$3&lt;Projects!$C$26+Projects!$D$26),Projects!$B$26*(Assumptions!$B$10+Assumptions!$B$11+Assumptions!$B$12)/Projects!$D$26*0.95,0)-IF(AND(Projects!$G$26="Yes",BO$3=Projects!$C$26+Projects!$D$26-1),Projects!$B$26*(Assumptions!$B$10+Assumptions!$B$11+Assumptions!$B$12)*0.05,0)</f>
        <v/>
      </c>
      <c r="BP35" s="399">
        <f>IF(AND(Projects!$G$26="Yes",BP$3&gt;=Projects!$C$26,BP$3&lt;Projects!$C$26+Projects!$D$26),Projects!$B$26*INDEX(Curves!$B$4:$AR$4,1,BP$3-Projects!$C$26+1),0)-IF(AND(Projects!$G$26="Yes",BP$3&gt;=Projects!$C$26,BP$3&lt;Projects!$C$26+Projects!$D$26),Projects!$B$26*(Assumptions!$B$10+Assumptions!$B$11+Assumptions!$B$12)/Projects!$D$26*0.95,0)-IF(AND(Projects!$G$26="Yes",BP$3=Projects!$C$26+Projects!$D$26-1),Projects!$B$26*(Assumptions!$B$10+Assumptions!$B$11+Assumptions!$B$12)*0.05,0)</f>
        <v/>
      </c>
      <c r="BQ35" s="399">
        <f>IF(AND(Projects!$G$26="Yes",BQ$3&gt;=Projects!$C$26,BQ$3&lt;Projects!$C$26+Projects!$D$26),Projects!$B$26*INDEX(Curves!$B$4:$AR$4,1,BQ$3-Projects!$C$26+1),0)-IF(AND(Projects!$G$26="Yes",BQ$3&gt;=Projects!$C$26,BQ$3&lt;Projects!$C$26+Projects!$D$26),Projects!$B$26*(Assumptions!$B$10+Assumptions!$B$11+Assumptions!$B$12)/Projects!$D$26*0.95,0)-IF(AND(Projects!$G$26="Yes",BQ$3=Projects!$C$26+Projects!$D$26-1),Projects!$B$26*(Assumptions!$B$10+Assumptions!$B$11+Assumptions!$B$12)*0.05,0)</f>
        <v/>
      </c>
      <c r="BR35" s="399">
        <f>IF(AND(Projects!$G$26="Yes",BR$3&gt;=Projects!$C$26,BR$3&lt;Projects!$C$26+Projects!$D$26),Projects!$B$26*INDEX(Curves!$B$4:$AR$4,1,BR$3-Projects!$C$26+1),0)-IF(AND(Projects!$G$26="Yes",BR$3&gt;=Projects!$C$26,BR$3&lt;Projects!$C$26+Projects!$D$26),Projects!$B$26*(Assumptions!$B$10+Assumptions!$B$11+Assumptions!$B$12)/Projects!$D$26*0.95,0)-IF(AND(Projects!$G$26="Yes",BR$3=Projects!$C$26+Projects!$D$26-1),Projects!$B$26*(Assumptions!$B$10+Assumptions!$B$11+Assumptions!$B$12)*0.05,0)</f>
        <v/>
      </c>
      <c r="BS35" s="399">
        <f>IF(AND(Projects!$G$26="Yes",BS$3&gt;=Projects!$C$26,BS$3&lt;Projects!$C$26+Projects!$D$26),Projects!$B$26*INDEX(Curves!$B$4:$AR$4,1,BS$3-Projects!$C$26+1),0)-IF(AND(Projects!$G$26="Yes",BS$3&gt;=Projects!$C$26,BS$3&lt;Projects!$C$26+Projects!$D$26),Projects!$B$26*(Assumptions!$B$10+Assumptions!$B$11+Assumptions!$B$12)/Projects!$D$26*0.95,0)-IF(AND(Projects!$G$26="Yes",BS$3=Projects!$C$26+Projects!$D$26-1),Projects!$B$26*(Assumptions!$B$10+Assumptions!$B$11+Assumptions!$B$12)*0.05,0)</f>
        <v/>
      </c>
      <c r="BT35" s="399">
        <f>IF(AND(Projects!$G$26="Yes",BT$3&gt;=Projects!$C$26,BT$3&lt;Projects!$C$26+Projects!$D$26),Projects!$B$26*INDEX(Curves!$B$4:$AR$4,1,BT$3-Projects!$C$26+1),0)-IF(AND(Projects!$G$26="Yes",BT$3&gt;=Projects!$C$26,BT$3&lt;Projects!$C$26+Projects!$D$26),Projects!$B$26*(Assumptions!$B$10+Assumptions!$B$11+Assumptions!$B$12)/Projects!$D$26*0.95,0)-IF(AND(Projects!$G$26="Yes",BT$3=Projects!$C$26+Projects!$D$26-1),Projects!$B$26*(Assumptions!$B$10+Assumptions!$B$11+Assumptions!$B$12)*0.05,0)</f>
        <v/>
      </c>
      <c r="BU35" s="399">
        <f>IF(AND(Projects!$G$26="Yes",BU$3&gt;=Projects!$C$26,BU$3&lt;Projects!$C$26+Projects!$D$26),Projects!$B$26*INDEX(Curves!$B$4:$AR$4,1,BU$3-Projects!$C$26+1),0)-IF(AND(Projects!$G$26="Yes",BU$3&gt;=Projects!$C$26,BU$3&lt;Projects!$C$26+Projects!$D$26),Projects!$B$26*(Assumptions!$B$10+Assumptions!$B$11+Assumptions!$B$12)/Projects!$D$26*0.95,0)-IF(AND(Projects!$G$26="Yes",BU$3=Projects!$C$26+Projects!$D$26-1),Projects!$B$26*(Assumptions!$B$10+Assumptions!$B$11+Assumptions!$B$12)*0.05,0)</f>
        <v/>
      </c>
      <c r="BV35" s="399">
        <f>IF(AND(Projects!$G$26="Yes",BV$3&gt;=Projects!$C$26,BV$3&lt;Projects!$C$26+Projects!$D$26),Projects!$B$26*INDEX(Curves!$B$4:$AR$4,1,BV$3-Projects!$C$26+1),0)-IF(AND(Projects!$G$26="Yes",BV$3&gt;=Projects!$C$26,BV$3&lt;Projects!$C$26+Projects!$D$26),Projects!$B$26*(Assumptions!$B$10+Assumptions!$B$11+Assumptions!$B$12)/Projects!$D$26*0.95,0)-IF(AND(Projects!$G$26="Yes",BV$3=Projects!$C$26+Projects!$D$26-1),Projects!$B$26*(Assumptions!$B$10+Assumptions!$B$11+Assumptions!$B$12)*0.05,0)</f>
        <v/>
      </c>
      <c r="BW35" s="399">
        <f>IF(AND(Projects!$G$26="Yes",BW$3&gt;=Projects!$C$26,BW$3&lt;Projects!$C$26+Projects!$D$26),Projects!$B$26*INDEX(Curves!$B$4:$AR$4,1,BW$3-Projects!$C$26+1),0)-IF(AND(Projects!$G$26="Yes",BW$3&gt;=Projects!$C$26,BW$3&lt;Projects!$C$26+Projects!$D$26),Projects!$B$26*(Assumptions!$B$10+Assumptions!$B$11+Assumptions!$B$12)/Projects!$D$26*0.95,0)-IF(AND(Projects!$G$26="Yes",BW$3=Projects!$C$26+Projects!$D$26-1),Projects!$B$26*(Assumptions!$B$10+Assumptions!$B$11+Assumptions!$B$12)*0.05,0)</f>
        <v/>
      </c>
      <c r="BX35" s="399">
        <f>IF(AND(Projects!$G$26="Yes",BX$3&gt;=Projects!$C$26,BX$3&lt;Projects!$C$26+Projects!$D$26),Projects!$B$26*INDEX(Curves!$B$4:$AR$4,1,BX$3-Projects!$C$26+1),0)-IF(AND(Projects!$G$26="Yes",BX$3&gt;=Projects!$C$26,BX$3&lt;Projects!$C$26+Projects!$D$26),Projects!$B$26*(Assumptions!$B$10+Assumptions!$B$11+Assumptions!$B$12)/Projects!$D$26*0.95,0)-IF(AND(Projects!$G$26="Yes",BX$3=Projects!$C$26+Projects!$D$26-1),Projects!$B$26*(Assumptions!$B$10+Assumptions!$B$11+Assumptions!$B$12)*0.05,0)</f>
        <v/>
      </c>
      <c r="BY35" s="399">
        <f>IF(AND(Projects!$G$26="Yes",BY$3&gt;=Projects!$C$26,BY$3&lt;Projects!$C$26+Projects!$D$26),Projects!$B$26*INDEX(Curves!$B$4:$AR$4,1,BY$3-Projects!$C$26+1),0)-IF(AND(Projects!$G$26="Yes",BY$3&gt;=Projects!$C$26,BY$3&lt;Projects!$C$26+Projects!$D$26),Projects!$B$26*(Assumptions!$B$10+Assumptions!$B$11+Assumptions!$B$12)/Projects!$D$26*0.95,0)-IF(AND(Projects!$G$26="Yes",BY$3=Projects!$C$26+Projects!$D$26-1),Projects!$B$26*(Assumptions!$B$10+Assumptions!$B$11+Assumptions!$B$12)*0.05,0)</f>
        <v/>
      </c>
      <c r="BZ35" s="399">
        <f>IF(AND(Projects!$G$26="Yes",BZ$3&gt;=Projects!$C$26,BZ$3&lt;Projects!$C$26+Projects!$D$26),Projects!$B$26*INDEX(Curves!$B$4:$AR$4,1,BZ$3-Projects!$C$26+1),0)-IF(AND(Projects!$G$26="Yes",BZ$3&gt;=Projects!$C$26,BZ$3&lt;Projects!$C$26+Projects!$D$26),Projects!$B$26*(Assumptions!$B$10+Assumptions!$B$11+Assumptions!$B$12)/Projects!$D$26*0.95,0)-IF(AND(Projects!$G$26="Yes",BZ$3=Projects!$C$26+Projects!$D$26-1),Projects!$B$26*(Assumptions!$B$10+Assumptions!$B$11+Assumptions!$B$12)*0.05,0)</f>
        <v/>
      </c>
      <c r="CA35" s="399">
        <f>IF(AND(Projects!$G$26="Yes",CA$3&gt;=Projects!$C$26,CA$3&lt;Projects!$C$26+Projects!$D$26),Projects!$B$26*INDEX(Curves!$B$4:$AR$4,1,CA$3-Projects!$C$26+1),0)-IF(AND(Projects!$G$26="Yes",CA$3&gt;=Projects!$C$26,CA$3&lt;Projects!$C$26+Projects!$D$26),Projects!$B$26*(Assumptions!$B$10+Assumptions!$B$11+Assumptions!$B$12)/Projects!$D$26*0.95,0)-IF(AND(Projects!$G$26="Yes",CA$3=Projects!$C$26+Projects!$D$26-1),Projects!$B$26*(Assumptions!$B$10+Assumptions!$B$11+Assumptions!$B$12)*0.05,0)</f>
        <v/>
      </c>
      <c r="CB35" s="399">
        <f>IF(AND(Projects!$G$26="Yes",CB$3&gt;=Projects!$C$26,CB$3&lt;Projects!$C$26+Projects!$D$26),Projects!$B$26*INDEX(Curves!$B$4:$AR$4,1,CB$3-Projects!$C$26+1),0)-IF(AND(Projects!$G$26="Yes",CB$3&gt;=Projects!$C$26,CB$3&lt;Projects!$C$26+Projects!$D$26),Projects!$B$26*(Assumptions!$B$10+Assumptions!$B$11+Assumptions!$B$12)/Projects!$D$26*0.95,0)-IF(AND(Projects!$G$26="Yes",CB$3=Projects!$C$26+Projects!$D$26-1),Projects!$B$26*(Assumptions!$B$10+Assumptions!$B$11+Assumptions!$B$12)*0.05,0)</f>
        <v/>
      </c>
      <c r="CC35" s="399">
        <f>IF(AND(Projects!$G$26="Yes",CC$3&gt;=Projects!$C$26,CC$3&lt;Projects!$C$26+Projects!$D$26),Projects!$B$26*INDEX(Curves!$B$4:$AR$4,1,CC$3-Projects!$C$26+1),0)-IF(AND(Projects!$G$26="Yes",CC$3&gt;=Projects!$C$26,CC$3&lt;Projects!$C$26+Projects!$D$26),Projects!$B$26*(Assumptions!$B$10+Assumptions!$B$11+Assumptions!$B$12)/Projects!$D$26*0.95,0)-IF(AND(Projects!$G$26="Yes",CC$3=Projects!$C$26+Projects!$D$26-1),Projects!$B$26*(Assumptions!$B$10+Assumptions!$B$11+Assumptions!$B$12)*0.05,0)</f>
        <v/>
      </c>
      <c r="CD35" s="399">
        <f>IF(AND(Projects!$G$26="Yes",CD$3&gt;=Projects!$C$26,CD$3&lt;Projects!$C$26+Projects!$D$26),Projects!$B$26*INDEX(Curves!$B$4:$AR$4,1,CD$3-Projects!$C$26+1),0)-IF(AND(Projects!$G$26="Yes",CD$3&gt;=Projects!$C$26,CD$3&lt;Projects!$C$26+Projects!$D$26),Projects!$B$26*(Assumptions!$B$10+Assumptions!$B$11+Assumptions!$B$12)/Projects!$D$26*0.95,0)-IF(AND(Projects!$G$26="Yes",CD$3=Projects!$C$26+Projects!$D$26-1),Projects!$B$26*(Assumptions!$B$10+Assumptions!$B$11+Assumptions!$B$12)*0.05,0)</f>
        <v/>
      </c>
      <c r="CE35" s="399">
        <f>IF(AND(Projects!$G$26="Yes",CE$3&gt;=Projects!$C$26,CE$3&lt;Projects!$C$26+Projects!$D$26),Projects!$B$26*INDEX(Curves!$B$4:$AR$4,1,CE$3-Projects!$C$26+1),0)-IF(AND(Projects!$G$26="Yes",CE$3&gt;=Projects!$C$26,CE$3&lt;Projects!$C$26+Projects!$D$26),Projects!$B$26*(Assumptions!$B$10+Assumptions!$B$11+Assumptions!$B$12)/Projects!$D$26*0.95,0)-IF(AND(Projects!$G$26="Yes",CE$3=Projects!$C$26+Projects!$D$26-1),Projects!$B$26*(Assumptions!$B$10+Assumptions!$B$11+Assumptions!$B$12)*0.05,0)</f>
        <v/>
      </c>
      <c r="CF35" s="399">
        <f>IF(AND(Projects!$G$26="Yes",CF$3&gt;=Projects!$C$26,CF$3&lt;Projects!$C$26+Projects!$D$26),Projects!$B$26*INDEX(Curves!$B$4:$AR$4,1,CF$3-Projects!$C$26+1),0)-IF(AND(Projects!$G$26="Yes",CF$3&gt;=Projects!$C$26,CF$3&lt;Projects!$C$26+Projects!$D$26),Projects!$B$26*(Assumptions!$B$10+Assumptions!$B$11+Assumptions!$B$12)/Projects!$D$26*0.95,0)-IF(AND(Projects!$G$26="Yes",CF$3=Projects!$C$26+Projects!$D$26-1),Projects!$B$26*(Assumptions!$B$10+Assumptions!$B$11+Assumptions!$B$12)*0.05,0)</f>
        <v/>
      </c>
      <c r="CG35" s="399">
        <f>IF(AND(Projects!$G$26="Yes",CG$3&gt;=Projects!$C$26,CG$3&lt;Projects!$C$26+Projects!$D$26),Projects!$B$26*INDEX(Curves!$B$4:$AR$4,1,CG$3-Projects!$C$26+1),0)-IF(AND(Projects!$G$26="Yes",CG$3&gt;=Projects!$C$26,CG$3&lt;Projects!$C$26+Projects!$D$26),Projects!$B$26*(Assumptions!$B$10+Assumptions!$B$11+Assumptions!$B$12)/Projects!$D$26*0.95,0)-IF(AND(Projects!$G$26="Yes",CG$3=Projects!$C$26+Projects!$D$26-1),Projects!$B$26*(Assumptions!$B$10+Assumptions!$B$11+Assumptions!$B$12)*0.05,0)</f>
        <v/>
      </c>
      <c r="CH35" s="399">
        <f>IF(AND(Projects!$G$26="Yes",CH$3&gt;=Projects!$C$26,CH$3&lt;Projects!$C$26+Projects!$D$26),Projects!$B$26*INDEX(Curves!$B$4:$AR$4,1,CH$3-Projects!$C$26+1),0)-IF(AND(Projects!$G$26="Yes",CH$3&gt;=Projects!$C$26,CH$3&lt;Projects!$C$26+Projects!$D$26),Projects!$B$26*(Assumptions!$B$10+Assumptions!$B$11+Assumptions!$B$12)/Projects!$D$26*0.95,0)-IF(AND(Projects!$G$26="Yes",CH$3=Projects!$C$26+Projects!$D$26-1),Projects!$B$26*(Assumptions!$B$10+Assumptions!$B$11+Assumptions!$B$12)*0.05,0)</f>
        <v/>
      </c>
      <c r="CI35" s="399">
        <f>IF(AND(Projects!$G$26="Yes",CI$3&gt;=Projects!$C$26,CI$3&lt;Projects!$C$26+Projects!$D$26),Projects!$B$26*INDEX(Curves!$B$4:$AR$4,1,CI$3-Projects!$C$26+1),0)-IF(AND(Projects!$G$26="Yes",CI$3&gt;=Projects!$C$26,CI$3&lt;Projects!$C$26+Projects!$D$26),Projects!$B$26*(Assumptions!$B$10+Assumptions!$B$11+Assumptions!$B$12)/Projects!$D$26*0.95,0)-IF(AND(Projects!$G$26="Yes",CI$3=Projects!$C$26+Projects!$D$26-1),Projects!$B$26*(Assumptions!$B$10+Assumptions!$B$11+Assumptions!$B$12)*0.05,0)</f>
        <v/>
      </c>
      <c r="CJ35" s="399">
        <f>IF(AND(Projects!$G$26="Yes",CJ$3&gt;=Projects!$C$26,CJ$3&lt;Projects!$C$26+Projects!$D$26),Projects!$B$26*INDEX(Curves!$B$4:$AR$4,1,CJ$3-Projects!$C$26+1),0)-IF(AND(Projects!$G$26="Yes",CJ$3&gt;=Projects!$C$26,CJ$3&lt;Projects!$C$26+Projects!$D$26),Projects!$B$26*(Assumptions!$B$10+Assumptions!$B$11+Assumptions!$B$12)/Projects!$D$26*0.95,0)-IF(AND(Projects!$G$26="Yes",CJ$3=Projects!$C$26+Projects!$D$26-1),Projects!$B$26*(Assumptions!$B$10+Assumptions!$B$11+Assumptions!$B$12)*0.05,0)</f>
        <v/>
      </c>
      <c r="CK35" s="399">
        <f>IF(AND(Projects!$G$26="Yes",CK$3&gt;=Projects!$C$26,CK$3&lt;Projects!$C$26+Projects!$D$26),Projects!$B$26*INDEX(Curves!$B$4:$AR$4,1,CK$3-Projects!$C$26+1),0)-IF(AND(Projects!$G$26="Yes",CK$3&gt;=Projects!$C$26,CK$3&lt;Projects!$C$26+Projects!$D$26),Projects!$B$26*(Assumptions!$B$10+Assumptions!$B$11+Assumptions!$B$12)/Projects!$D$26*0.95,0)-IF(AND(Projects!$G$26="Yes",CK$3=Projects!$C$26+Projects!$D$26-1),Projects!$B$26*(Assumptions!$B$10+Assumptions!$B$11+Assumptions!$B$12)*0.05,0)</f>
        <v/>
      </c>
      <c r="CL35" s="399">
        <f>IF(AND(Projects!$G$26="Yes",CL$3&gt;=Projects!$C$26,CL$3&lt;Projects!$C$26+Projects!$D$26),Projects!$B$26*INDEX(Curves!$B$4:$AR$4,1,CL$3-Projects!$C$26+1),0)-IF(AND(Projects!$G$26="Yes",CL$3&gt;=Projects!$C$26,CL$3&lt;Projects!$C$26+Projects!$D$26),Projects!$B$26*(Assumptions!$B$10+Assumptions!$B$11+Assumptions!$B$12)/Projects!$D$26*0.95,0)-IF(AND(Projects!$G$26="Yes",CL$3=Projects!$C$26+Projects!$D$26-1),Projects!$B$26*(Assumptions!$B$10+Assumptions!$B$11+Assumptions!$B$12)*0.05,0)</f>
        <v/>
      </c>
      <c r="CM35" s="399">
        <f>IF(AND(Projects!$G$26="Yes",CM$3&gt;=Projects!$C$26,CM$3&lt;Projects!$C$26+Projects!$D$26),Projects!$B$26*INDEX(Curves!$B$4:$AR$4,1,CM$3-Projects!$C$26+1),0)-IF(AND(Projects!$G$26="Yes",CM$3&gt;=Projects!$C$26,CM$3&lt;Projects!$C$26+Projects!$D$26),Projects!$B$26*(Assumptions!$B$10+Assumptions!$B$11+Assumptions!$B$12)/Projects!$D$26*0.95,0)-IF(AND(Projects!$G$26="Yes",CM$3=Projects!$C$26+Projects!$D$26-1),Projects!$B$26*(Assumptions!$B$10+Assumptions!$B$11+Assumptions!$B$12)*0.05,0)</f>
        <v/>
      </c>
      <c r="CN35" s="399">
        <f>IF(AND(Projects!$G$26="Yes",CN$3&gt;=Projects!$C$26,CN$3&lt;Projects!$C$26+Projects!$D$26),Projects!$B$26*INDEX(Curves!$B$4:$AR$4,1,CN$3-Projects!$C$26+1),0)-IF(AND(Projects!$G$26="Yes",CN$3&gt;=Projects!$C$26,CN$3&lt;Projects!$C$26+Projects!$D$26),Projects!$B$26*(Assumptions!$B$10+Assumptions!$B$11+Assumptions!$B$12)/Projects!$D$26*0.95,0)-IF(AND(Projects!$G$26="Yes",CN$3=Projects!$C$26+Projects!$D$26-1),Projects!$B$26*(Assumptions!$B$10+Assumptions!$B$11+Assumptions!$B$12)*0.05,0)</f>
        <v/>
      </c>
      <c r="CO35" s="399">
        <f>IF(AND(Projects!$G$26="Yes",CO$3&gt;=Projects!$C$26,CO$3&lt;Projects!$C$26+Projects!$D$26),Projects!$B$26*INDEX(Curves!$B$4:$AR$4,1,CO$3-Projects!$C$26+1),0)-IF(AND(Projects!$G$26="Yes",CO$3&gt;=Projects!$C$26,CO$3&lt;Projects!$C$26+Projects!$D$26),Projects!$B$26*(Assumptions!$B$10+Assumptions!$B$11+Assumptions!$B$12)/Projects!$D$26*0.95,0)-IF(AND(Projects!$G$26="Yes",CO$3=Projects!$C$26+Projects!$D$26-1),Projects!$B$26*(Assumptions!$B$10+Assumptions!$B$11+Assumptions!$B$12)*0.05,0)</f>
        <v/>
      </c>
      <c r="CP35" s="399">
        <f>IF(AND(Projects!$G$26="Yes",CP$3&gt;=Projects!$C$26,CP$3&lt;Projects!$C$26+Projects!$D$26),Projects!$B$26*INDEX(Curves!$B$4:$AR$4,1,CP$3-Projects!$C$26+1),0)-IF(AND(Projects!$G$26="Yes",CP$3&gt;=Projects!$C$26,CP$3&lt;Projects!$C$26+Projects!$D$26),Projects!$B$26*(Assumptions!$B$10+Assumptions!$B$11+Assumptions!$B$12)/Projects!$D$26*0.95,0)-IF(AND(Projects!$G$26="Yes",CP$3=Projects!$C$26+Projects!$D$26-1),Projects!$B$26*(Assumptions!$B$10+Assumptions!$B$11+Assumptions!$B$12)*0.05,0)</f>
        <v/>
      </c>
      <c r="CQ35" s="399">
        <f>IF(AND(Projects!$G$26="Yes",CQ$3&gt;=Projects!$C$26,CQ$3&lt;Projects!$C$26+Projects!$D$26),Projects!$B$26*INDEX(Curves!$B$4:$AR$4,1,CQ$3-Projects!$C$26+1),0)-IF(AND(Projects!$G$26="Yes",CQ$3&gt;=Projects!$C$26,CQ$3&lt;Projects!$C$26+Projects!$D$26),Projects!$B$26*(Assumptions!$B$10+Assumptions!$B$11+Assumptions!$B$12)/Projects!$D$26*0.95,0)-IF(AND(Projects!$G$26="Yes",CQ$3=Projects!$C$26+Projects!$D$26-1),Projects!$B$26*(Assumptions!$B$10+Assumptions!$B$11+Assumptions!$B$12)*0.05,0)</f>
        <v/>
      </c>
      <c r="CR35" s="399">
        <f>IF(AND(Projects!$G$26="Yes",CR$3&gt;=Projects!$C$26,CR$3&lt;Projects!$C$26+Projects!$D$26),Projects!$B$26*INDEX(Curves!$B$4:$AR$4,1,CR$3-Projects!$C$26+1),0)-IF(AND(Projects!$G$26="Yes",CR$3&gt;=Projects!$C$26,CR$3&lt;Projects!$C$26+Projects!$D$26),Projects!$B$26*(Assumptions!$B$10+Assumptions!$B$11+Assumptions!$B$12)/Projects!$D$26*0.95,0)-IF(AND(Projects!$G$26="Yes",CR$3=Projects!$C$26+Projects!$D$26-1),Projects!$B$26*(Assumptions!$B$10+Assumptions!$B$11+Assumptions!$B$12)*0.05,0)</f>
        <v/>
      </c>
      <c r="CS35" s="399">
        <f>IF(AND(Projects!$G$26="Yes",CS$3&gt;=Projects!$C$26,CS$3&lt;Projects!$C$26+Projects!$D$26),Projects!$B$26*INDEX(Curves!$B$4:$AR$4,1,CS$3-Projects!$C$26+1),0)-IF(AND(Projects!$G$26="Yes",CS$3&gt;=Projects!$C$26,CS$3&lt;Projects!$C$26+Projects!$D$26),Projects!$B$26*(Assumptions!$B$10+Assumptions!$B$11+Assumptions!$B$12)/Projects!$D$26*0.95,0)-IF(AND(Projects!$G$26="Yes",CS$3=Projects!$C$26+Projects!$D$26-1),Projects!$B$26*(Assumptions!$B$10+Assumptions!$B$11+Assumptions!$B$12)*0.05,0)</f>
        <v/>
      </c>
      <c r="CT35" s="399">
        <f>IF(AND(Projects!$G$26="Yes",CT$3&gt;=Projects!$C$26,CT$3&lt;Projects!$C$26+Projects!$D$26),Projects!$B$26*INDEX(Curves!$B$4:$AR$4,1,CT$3-Projects!$C$26+1),0)-IF(AND(Projects!$G$26="Yes",CT$3&gt;=Projects!$C$26,CT$3&lt;Projects!$C$26+Projects!$D$26),Projects!$B$26*(Assumptions!$B$10+Assumptions!$B$11+Assumptions!$B$12)/Projects!$D$26*0.95,0)-IF(AND(Projects!$G$26="Yes",CT$3=Projects!$C$26+Projects!$D$26-1),Projects!$B$26*(Assumptions!$B$10+Assumptions!$B$11+Assumptions!$B$12)*0.05,0)</f>
        <v/>
      </c>
      <c r="CU35" s="399">
        <f>IF(AND(Projects!$G$26="Yes",CU$3&gt;=Projects!$C$26,CU$3&lt;Projects!$C$26+Projects!$D$26),Projects!$B$26*INDEX(Curves!$B$4:$AR$4,1,CU$3-Projects!$C$26+1),0)-IF(AND(Projects!$G$26="Yes",CU$3&gt;=Projects!$C$26,CU$3&lt;Projects!$C$26+Projects!$D$26),Projects!$B$26*(Assumptions!$B$10+Assumptions!$B$11+Assumptions!$B$12)/Projects!$D$26*0.95,0)-IF(AND(Projects!$G$26="Yes",CU$3=Projects!$C$26+Projects!$D$26-1),Projects!$B$26*(Assumptions!$B$10+Assumptions!$B$11+Assumptions!$B$12)*0.05,0)</f>
        <v/>
      </c>
      <c r="CV35" s="399">
        <f>IF(AND(Projects!$G$26="Yes",CV$3&gt;=Projects!$C$26,CV$3&lt;Projects!$C$26+Projects!$D$26),Projects!$B$26*INDEX(Curves!$B$4:$AR$4,1,CV$3-Projects!$C$26+1),0)-IF(AND(Projects!$G$26="Yes",CV$3&gt;=Projects!$C$26,CV$3&lt;Projects!$C$26+Projects!$D$26),Projects!$B$26*(Assumptions!$B$10+Assumptions!$B$11+Assumptions!$B$12)/Projects!$D$26*0.95,0)-IF(AND(Projects!$G$26="Yes",CV$3=Projects!$C$26+Projects!$D$26-1),Projects!$B$26*(Assumptions!$B$10+Assumptions!$B$11+Assumptions!$B$12)*0.05,0)</f>
        <v/>
      </c>
      <c r="CW35" s="399">
        <f>IF(AND(Projects!$G$26="Yes",CW$3&gt;=Projects!$C$26,CW$3&lt;Projects!$C$26+Projects!$D$26),Projects!$B$26*INDEX(Curves!$B$4:$AR$4,1,CW$3-Projects!$C$26+1),0)-IF(AND(Projects!$G$26="Yes",CW$3&gt;=Projects!$C$26,CW$3&lt;Projects!$C$26+Projects!$D$26),Projects!$B$26*(Assumptions!$B$10+Assumptions!$B$11+Assumptions!$B$12)/Projects!$D$26*0.95,0)-IF(AND(Projects!$G$26="Yes",CW$3=Projects!$C$26+Projects!$D$26-1),Projects!$B$26*(Assumptions!$B$10+Assumptions!$B$11+Assumptions!$B$12)*0.05,0)</f>
        <v/>
      </c>
      <c r="CX35" s="399">
        <f>IF(AND(Projects!$G$26="Yes",CX$3&gt;=Projects!$C$26,CX$3&lt;Projects!$C$26+Projects!$D$26),Projects!$B$26*INDEX(Curves!$B$4:$AR$4,1,CX$3-Projects!$C$26+1),0)-IF(AND(Projects!$G$26="Yes",CX$3&gt;=Projects!$C$26,CX$3&lt;Projects!$C$26+Projects!$D$26),Projects!$B$26*(Assumptions!$B$10+Assumptions!$B$11+Assumptions!$B$12)/Projects!$D$26*0.95,0)-IF(AND(Projects!$G$26="Yes",CX$3=Projects!$C$26+Projects!$D$26-1),Projects!$B$26*(Assumptions!$B$10+Assumptions!$B$11+Assumptions!$B$12)*0.05,0)</f>
        <v/>
      </c>
      <c r="CY35" s="399">
        <f>IF(AND(Projects!$G$26="Yes",CY$3&gt;=Projects!$C$26,CY$3&lt;Projects!$C$26+Projects!$D$26),Projects!$B$26*INDEX(Curves!$B$4:$AR$4,1,CY$3-Projects!$C$26+1),0)-IF(AND(Projects!$G$26="Yes",CY$3&gt;=Projects!$C$26,CY$3&lt;Projects!$C$26+Projects!$D$26),Projects!$B$26*(Assumptions!$B$10+Assumptions!$B$11+Assumptions!$B$12)/Projects!$D$26*0.95,0)-IF(AND(Projects!$G$26="Yes",CY$3=Projects!$C$26+Projects!$D$26-1),Projects!$B$26*(Assumptions!$B$10+Assumptions!$B$11+Assumptions!$B$12)*0.05,0)</f>
        <v/>
      </c>
      <c r="CZ35" s="399">
        <f>IF(AND(Projects!$G$26="Yes",CZ$3&gt;=Projects!$C$26,CZ$3&lt;Projects!$C$26+Projects!$D$26),Projects!$B$26*INDEX(Curves!$B$4:$AR$4,1,CZ$3-Projects!$C$26+1),0)-IF(AND(Projects!$G$26="Yes",CZ$3&gt;=Projects!$C$26,CZ$3&lt;Projects!$C$26+Projects!$D$26),Projects!$B$26*(Assumptions!$B$10+Assumptions!$B$11+Assumptions!$B$12)/Projects!$D$26*0.95,0)-IF(AND(Projects!$G$26="Yes",CZ$3=Projects!$C$26+Projects!$D$26-1),Projects!$B$26*(Assumptions!$B$10+Assumptions!$B$11+Assumptions!$B$12)*0.05,0)</f>
        <v/>
      </c>
      <c r="DA35" s="399">
        <f>IF(AND(Projects!$G$26="Yes",DA$3&gt;=Projects!$C$26,DA$3&lt;Projects!$C$26+Projects!$D$26),Projects!$B$26*INDEX(Curves!$B$4:$AR$4,1,DA$3-Projects!$C$26+1),0)-IF(AND(Projects!$G$26="Yes",DA$3&gt;=Projects!$C$26,DA$3&lt;Projects!$C$26+Projects!$D$26),Projects!$B$26*(Assumptions!$B$10+Assumptions!$B$11+Assumptions!$B$12)/Projects!$D$26*0.95,0)-IF(AND(Projects!$G$26="Yes",DA$3=Projects!$C$26+Projects!$D$26-1),Projects!$B$26*(Assumptions!$B$10+Assumptions!$B$11+Assumptions!$B$12)*0.05,0)</f>
        <v/>
      </c>
      <c r="DB35" s="399">
        <f>IF(AND(Projects!$G$26="Yes",DB$3&gt;=Projects!$C$26,DB$3&lt;Projects!$C$26+Projects!$D$26),Projects!$B$26*INDEX(Curves!$B$4:$AR$4,1,DB$3-Projects!$C$26+1),0)-IF(AND(Projects!$G$26="Yes",DB$3&gt;=Projects!$C$26,DB$3&lt;Projects!$C$26+Projects!$D$26),Projects!$B$26*(Assumptions!$B$10+Assumptions!$B$11+Assumptions!$B$12)/Projects!$D$26*0.95,0)-IF(AND(Projects!$G$26="Yes",DB$3=Projects!$C$26+Projects!$D$26-1),Projects!$B$26*(Assumptions!$B$10+Assumptions!$B$11+Assumptions!$B$12)*0.05,0)</f>
        <v/>
      </c>
      <c r="DC35" s="399">
        <f>IF(AND(Projects!$G$26="Yes",DC$3&gt;=Projects!$C$26,DC$3&lt;Projects!$C$26+Projects!$D$26),Projects!$B$26*INDEX(Curves!$B$4:$AR$4,1,DC$3-Projects!$C$26+1),0)-IF(AND(Projects!$G$26="Yes",DC$3&gt;=Projects!$C$26,DC$3&lt;Projects!$C$26+Projects!$D$26),Projects!$B$26*(Assumptions!$B$10+Assumptions!$B$11+Assumptions!$B$12)/Projects!$D$26*0.95,0)-IF(AND(Projects!$G$26="Yes",DC$3=Projects!$C$26+Projects!$D$26-1),Projects!$B$26*(Assumptions!$B$10+Assumptions!$B$11+Assumptions!$B$12)*0.05,0)</f>
        <v/>
      </c>
      <c r="DD35" s="399">
        <f>IF(AND(Projects!$G$26="Yes",DD$3&gt;=Projects!$C$26,DD$3&lt;Projects!$C$26+Projects!$D$26),Projects!$B$26*INDEX(Curves!$B$4:$AR$4,1,DD$3-Projects!$C$26+1),0)-IF(AND(Projects!$G$26="Yes",DD$3&gt;=Projects!$C$26,DD$3&lt;Projects!$C$26+Projects!$D$26),Projects!$B$26*(Assumptions!$B$10+Assumptions!$B$11+Assumptions!$B$12)/Projects!$D$26*0.95,0)-IF(AND(Projects!$G$26="Yes",DD$3=Projects!$C$26+Projects!$D$26-1),Projects!$B$26*(Assumptions!$B$10+Assumptions!$B$11+Assumptions!$B$12)*0.05,0)</f>
        <v/>
      </c>
      <c r="DE35" s="399">
        <f>IF(AND(Projects!$G$26="Yes",DE$3&gt;=Projects!$C$26,DE$3&lt;Projects!$C$26+Projects!$D$26),Projects!$B$26*INDEX(Curves!$B$4:$AR$4,1,DE$3-Projects!$C$26+1),0)-IF(AND(Projects!$G$26="Yes",DE$3&gt;=Projects!$C$26,DE$3&lt;Projects!$C$26+Projects!$D$26),Projects!$B$26*(Assumptions!$B$10+Assumptions!$B$11+Assumptions!$B$12)/Projects!$D$26*0.95,0)-IF(AND(Projects!$G$26="Yes",DE$3=Projects!$C$26+Projects!$D$26-1),Projects!$B$26*(Assumptions!$B$10+Assumptions!$B$11+Assumptions!$B$12)*0.05,0)</f>
        <v/>
      </c>
    </row>
    <row r="36" hidden="1" outlineLevel="1" ht="15" customFormat="1" customHeight="1" s="380">
      <c r="A36" s="407" t="inlineStr">
        <is>
          <t>BD-11</t>
        </is>
      </c>
      <c r="B36" s="399" t="n">
        <v>0</v>
      </c>
      <c r="C36" s="399" t="n">
        <v>0</v>
      </c>
      <c r="D36" s="399" t="n">
        <v>0</v>
      </c>
      <c r="E36" s="399" t="n">
        <v>0</v>
      </c>
      <c r="F36" s="399">
        <f>IF(AND(Projects!$G$27="Yes",F$3&gt;=Projects!$C$27,F$3&lt;Projects!$C$27+Projects!$D$27),Projects!$B$27*INDEX(Curves!$B$4:$AR$4,1,F$3-Projects!$C$27+1),0)-IF(AND(Projects!$G$27="Yes",F$3&gt;=Projects!$C$27,F$3&lt;Projects!$C$27+Projects!$D$27),Projects!$B$27*(Assumptions!$B$10+Assumptions!$B$11+Assumptions!$B$12)/Projects!$D$27*0.95,0)-IF(AND(Projects!$G$27="Yes",F$3=Projects!$C$27+Projects!$D$27-1),Projects!$B$27*(Assumptions!$B$10+Assumptions!$B$11+Assumptions!$B$12)*0.05,0)</f>
        <v/>
      </c>
      <c r="G36" s="399">
        <f>IF(AND(Projects!$G$27="Yes",G$3&gt;=Projects!$C$27,G$3&lt;Projects!$C$27+Projects!$D$27),Projects!$B$27*INDEX(Curves!$B$4:$AR$4,1,G$3-Projects!$C$27+1),0)-IF(AND(Projects!$G$27="Yes",G$3&gt;=Projects!$C$27,G$3&lt;Projects!$C$27+Projects!$D$27),Projects!$B$27*(Assumptions!$B$10+Assumptions!$B$11+Assumptions!$B$12)/Projects!$D$27*0.95,0)-IF(AND(Projects!$G$27="Yes",G$3=Projects!$C$27+Projects!$D$27-1),Projects!$B$27*(Assumptions!$B$10+Assumptions!$B$11+Assumptions!$B$12)*0.05,0)</f>
        <v/>
      </c>
      <c r="H36" s="399">
        <f>IF(AND(Projects!$G$27="Yes",H$3&gt;=Projects!$C$27,H$3&lt;Projects!$C$27+Projects!$D$27),Projects!$B$27*INDEX(Curves!$B$4:$AR$4,1,H$3-Projects!$C$27+1),0)-IF(AND(Projects!$G$27="Yes",H$3&gt;=Projects!$C$27,H$3&lt;Projects!$C$27+Projects!$D$27),Projects!$B$27*(Assumptions!$B$10+Assumptions!$B$11+Assumptions!$B$12)/Projects!$D$27*0.95,0)-IF(AND(Projects!$G$27="Yes",H$3=Projects!$C$27+Projects!$D$27-1),Projects!$B$27*(Assumptions!$B$10+Assumptions!$B$11+Assumptions!$B$12)*0.05,0)</f>
        <v/>
      </c>
      <c r="I36" s="399">
        <f>IF(AND(Projects!$G$27="Yes",I$3&gt;=Projects!$C$27,I$3&lt;Projects!$C$27+Projects!$D$27),Projects!$B$27*INDEX(Curves!$B$4:$AR$4,1,I$3-Projects!$C$27+1),0)-IF(AND(Projects!$G$27="Yes",I$3&gt;=Projects!$C$27,I$3&lt;Projects!$C$27+Projects!$D$27),Projects!$B$27*(Assumptions!$B$10+Assumptions!$B$11+Assumptions!$B$12)/Projects!$D$27*0.95,0)-IF(AND(Projects!$G$27="Yes",I$3=Projects!$C$27+Projects!$D$27-1),Projects!$B$27*(Assumptions!$B$10+Assumptions!$B$11+Assumptions!$B$12)*0.05,0)</f>
        <v/>
      </c>
      <c r="J36" s="399">
        <f>IF(AND(Projects!$G$27="Yes",J$3&gt;=Projects!$C$27,J$3&lt;Projects!$C$27+Projects!$D$27),Projects!$B$27*INDEX(Curves!$B$4:$AR$4,1,J$3-Projects!$C$27+1),0)-IF(AND(Projects!$G$27="Yes",J$3&gt;=Projects!$C$27,J$3&lt;Projects!$C$27+Projects!$D$27),Projects!$B$27*(Assumptions!$B$10+Assumptions!$B$11+Assumptions!$B$12)/Projects!$D$27*0.95,0)-IF(AND(Projects!$G$27="Yes",J$3=Projects!$C$27+Projects!$D$27-1),Projects!$B$27*(Assumptions!$B$10+Assumptions!$B$11+Assumptions!$B$12)*0.05,0)</f>
        <v/>
      </c>
      <c r="K36" s="399">
        <f>IF(AND(Projects!$G$27="Yes",K$3&gt;=Projects!$C$27,K$3&lt;Projects!$C$27+Projects!$D$27),Projects!$B$27*INDEX(Curves!$B$4:$AR$4,1,K$3-Projects!$C$27+1),0)-IF(AND(Projects!$G$27="Yes",K$3&gt;=Projects!$C$27,K$3&lt;Projects!$C$27+Projects!$D$27),Projects!$B$27*(Assumptions!$B$10+Assumptions!$B$11+Assumptions!$B$12)/Projects!$D$27*0.95,0)-IF(AND(Projects!$G$27="Yes",K$3=Projects!$C$27+Projects!$D$27-1),Projects!$B$27*(Assumptions!$B$10+Assumptions!$B$11+Assumptions!$B$12)*0.05,0)</f>
        <v/>
      </c>
      <c r="L36" s="399">
        <f>IF(AND(Projects!$G$27="Yes",L$3&gt;=Projects!$C$27,L$3&lt;Projects!$C$27+Projects!$D$27),Projects!$B$27*INDEX(Curves!$B$4:$AR$4,1,L$3-Projects!$C$27+1),0)-IF(AND(Projects!$G$27="Yes",L$3&gt;=Projects!$C$27,L$3&lt;Projects!$C$27+Projects!$D$27),Projects!$B$27*(Assumptions!$B$10+Assumptions!$B$11+Assumptions!$B$12)/Projects!$D$27*0.95,0)-IF(AND(Projects!$G$27="Yes",L$3=Projects!$C$27+Projects!$D$27-1),Projects!$B$27*(Assumptions!$B$10+Assumptions!$B$11+Assumptions!$B$12)*0.05,0)</f>
        <v/>
      </c>
      <c r="M36" s="399">
        <f>IF(AND(Projects!$G$27="Yes",M$3&gt;=Projects!$C$27,M$3&lt;Projects!$C$27+Projects!$D$27),Projects!$B$27*INDEX(Curves!$B$4:$AR$4,1,M$3-Projects!$C$27+1),0)-IF(AND(Projects!$G$27="Yes",M$3&gt;=Projects!$C$27,M$3&lt;Projects!$C$27+Projects!$D$27),Projects!$B$27*(Assumptions!$B$10+Assumptions!$B$11+Assumptions!$B$12)/Projects!$D$27*0.95,0)-IF(AND(Projects!$G$27="Yes",M$3=Projects!$C$27+Projects!$D$27-1),Projects!$B$27*(Assumptions!$B$10+Assumptions!$B$11+Assumptions!$B$12)*0.05,0)</f>
        <v/>
      </c>
      <c r="N36" s="399">
        <f>IF(AND(Projects!$G$27="Yes",N$3&gt;=Projects!$C$27,N$3&lt;Projects!$C$27+Projects!$D$27),Projects!$B$27*INDEX(Curves!$B$4:$AR$4,1,N$3-Projects!$C$27+1),0)-IF(AND(Projects!$G$27="Yes",N$3&gt;=Projects!$C$27,N$3&lt;Projects!$C$27+Projects!$D$27),Projects!$B$27*(Assumptions!$B$10+Assumptions!$B$11+Assumptions!$B$12)/Projects!$D$27*0.95,0)-IF(AND(Projects!$G$27="Yes",N$3=Projects!$C$27+Projects!$D$27-1),Projects!$B$27*(Assumptions!$B$10+Assumptions!$B$11+Assumptions!$B$12)*0.05,0)</f>
        <v/>
      </c>
      <c r="O36" s="399">
        <f>IF(AND(Projects!$G$27="Yes",O$3&gt;=Projects!$C$27,O$3&lt;Projects!$C$27+Projects!$D$27),Projects!$B$27*INDEX(Curves!$B$4:$AR$4,1,O$3-Projects!$C$27+1),0)-IF(AND(Projects!$G$27="Yes",O$3&gt;=Projects!$C$27,O$3&lt;Projects!$C$27+Projects!$D$27),Projects!$B$27*(Assumptions!$B$10+Assumptions!$B$11+Assumptions!$B$12)/Projects!$D$27*0.95,0)-IF(AND(Projects!$G$27="Yes",O$3=Projects!$C$27+Projects!$D$27-1),Projects!$B$27*(Assumptions!$B$10+Assumptions!$B$11+Assumptions!$B$12)*0.05,0)</f>
        <v/>
      </c>
      <c r="P36" s="399">
        <f>IF(AND(Projects!$G$27="Yes",P$3&gt;=Projects!$C$27,P$3&lt;Projects!$C$27+Projects!$D$27),Projects!$B$27*INDEX(Curves!$B$4:$AR$4,1,P$3-Projects!$C$27+1),0)-IF(AND(Projects!$G$27="Yes",P$3&gt;=Projects!$C$27,P$3&lt;Projects!$C$27+Projects!$D$27),Projects!$B$27*(Assumptions!$B$10+Assumptions!$B$11+Assumptions!$B$12)/Projects!$D$27*0.95,0)-IF(AND(Projects!$G$27="Yes",P$3=Projects!$C$27+Projects!$D$27-1),Projects!$B$27*(Assumptions!$B$10+Assumptions!$B$11+Assumptions!$B$12)*0.05,0)</f>
        <v/>
      </c>
      <c r="Q36" s="399">
        <f>IF(AND(Projects!$G$27="Yes",Q$3&gt;=Projects!$C$27,Q$3&lt;Projects!$C$27+Projects!$D$27),Projects!$B$27*INDEX(Curves!$B$4:$AR$4,1,Q$3-Projects!$C$27+1),0)-IF(AND(Projects!$G$27="Yes",Q$3&gt;=Projects!$C$27,Q$3&lt;Projects!$C$27+Projects!$D$27),Projects!$B$27*(Assumptions!$B$10+Assumptions!$B$11+Assumptions!$B$12)/Projects!$D$27*0.95,0)-IF(AND(Projects!$G$27="Yes",Q$3=Projects!$C$27+Projects!$D$27-1),Projects!$B$27*(Assumptions!$B$10+Assumptions!$B$11+Assumptions!$B$12)*0.05,0)</f>
        <v/>
      </c>
      <c r="R36" s="399">
        <f>IF(AND(Projects!$G$27="Yes",R$3&gt;=Projects!$C$27,R$3&lt;Projects!$C$27+Projects!$D$27),Projects!$B$27*INDEX(Curves!$B$4:$AR$4,1,R$3-Projects!$C$27+1),0)-IF(AND(Projects!$G$27="Yes",R$3&gt;=Projects!$C$27,R$3&lt;Projects!$C$27+Projects!$D$27),Projects!$B$27*(Assumptions!$B$10+Assumptions!$B$11+Assumptions!$B$12)/Projects!$D$27*0.95,0)-IF(AND(Projects!$G$27="Yes",R$3=Projects!$C$27+Projects!$D$27-1),Projects!$B$27*(Assumptions!$B$10+Assumptions!$B$11+Assumptions!$B$12)*0.05,0)</f>
        <v/>
      </c>
      <c r="S36" s="399">
        <f>IF(AND(Projects!$G$27="Yes",S$3&gt;=Projects!$C$27,S$3&lt;Projects!$C$27+Projects!$D$27),Projects!$B$27*INDEX(Curves!$B$4:$AR$4,1,S$3-Projects!$C$27+1),0)-IF(AND(Projects!$G$27="Yes",S$3&gt;=Projects!$C$27,S$3&lt;Projects!$C$27+Projects!$D$27),Projects!$B$27*(Assumptions!$B$10+Assumptions!$B$11+Assumptions!$B$12)/Projects!$D$27*0.95,0)-IF(AND(Projects!$G$27="Yes",S$3=Projects!$C$27+Projects!$D$27-1),Projects!$B$27*(Assumptions!$B$10+Assumptions!$B$11+Assumptions!$B$12)*0.05,0)</f>
        <v/>
      </c>
      <c r="T36" s="399">
        <f>IF(AND(Projects!$G$27="Yes",T$3&gt;=Projects!$C$27,T$3&lt;Projects!$C$27+Projects!$D$27),Projects!$B$27*INDEX(Curves!$B$4:$AR$4,1,T$3-Projects!$C$27+1),0)-IF(AND(Projects!$G$27="Yes",T$3&gt;=Projects!$C$27,T$3&lt;Projects!$C$27+Projects!$D$27),Projects!$B$27*(Assumptions!$B$10+Assumptions!$B$11+Assumptions!$B$12)/Projects!$D$27*0.95,0)-IF(AND(Projects!$G$27="Yes",T$3=Projects!$C$27+Projects!$D$27-1),Projects!$B$27*(Assumptions!$B$10+Assumptions!$B$11+Assumptions!$B$12)*0.05,0)</f>
        <v/>
      </c>
      <c r="U36" s="399">
        <f>IF(AND(Projects!$G$27="Yes",U$3&gt;=Projects!$C$27,U$3&lt;Projects!$C$27+Projects!$D$27),Projects!$B$27*INDEX(Curves!$B$4:$AR$4,1,U$3-Projects!$C$27+1),0)-IF(AND(Projects!$G$27="Yes",U$3&gt;=Projects!$C$27,U$3&lt;Projects!$C$27+Projects!$D$27),Projects!$B$27*(Assumptions!$B$10+Assumptions!$B$11+Assumptions!$B$12)/Projects!$D$27*0.95,0)-IF(AND(Projects!$G$27="Yes",U$3=Projects!$C$27+Projects!$D$27-1),Projects!$B$27*(Assumptions!$B$10+Assumptions!$B$11+Assumptions!$B$12)*0.05,0)</f>
        <v/>
      </c>
      <c r="V36" s="399">
        <f>IF(AND(Projects!$G$27="Yes",V$3&gt;=Projects!$C$27,V$3&lt;Projects!$C$27+Projects!$D$27),Projects!$B$27*INDEX(Curves!$B$4:$AR$4,1,V$3-Projects!$C$27+1),0)-IF(AND(Projects!$G$27="Yes",V$3&gt;=Projects!$C$27,V$3&lt;Projects!$C$27+Projects!$D$27),Projects!$B$27*(Assumptions!$B$10+Assumptions!$B$11+Assumptions!$B$12)/Projects!$D$27*0.95,0)-IF(AND(Projects!$G$27="Yes",V$3=Projects!$C$27+Projects!$D$27-1),Projects!$B$27*(Assumptions!$B$10+Assumptions!$B$11+Assumptions!$B$12)*0.05,0)</f>
        <v/>
      </c>
      <c r="W36" s="399">
        <f>IF(AND(Projects!$G$27="Yes",W$3&gt;=Projects!$C$27,W$3&lt;Projects!$C$27+Projects!$D$27),Projects!$B$27*INDEX(Curves!$B$4:$AR$4,1,W$3-Projects!$C$27+1),0)-IF(AND(Projects!$G$27="Yes",W$3&gt;=Projects!$C$27,W$3&lt;Projects!$C$27+Projects!$D$27),Projects!$B$27*(Assumptions!$B$10+Assumptions!$B$11+Assumptions!$B$12)/Projects!$D$27*0.95,0)-IF(AND(Projects!$G$27="Yes",W$3=Projects!$C$27+Projects!$D$27-1),Projects!$B$27*(Assumptions!$B$10+Assumptions!$B$11+Assumptions!$B$12)*0.05,0)</f>
        <v/>
      </c>
      <c r="X36" s="399">
        <f>IF(AND(Projects!$G$27="Yes",X$3&gt;=Projects!$C$27,X$3&lt;Projects!$C$27+Projects!$D$27),Projects!$B$27*INDEX(Curves!$B$4:$AR$4,1,X$3-Projects!$C$27+1),0)-IF(AND(Projects!$G$27="Yes",X$3&gt;=Projects!$C$27,X$3&lt;Projects!$C$27+Projects!$D$27),Projects!$B$27*(Assumptions!$B$10+Assumptions!$B$11+Assumptions!$B$12)/Projects!$D$27*0.95,0)-IF(AND(Projects!$G$27="Yes",X$3=Projects!$C$27+Projects!$D$27-1),Projects!$B$27*(Assumptions!$B$10+Assumptions!$B$11+Assumptions!$B$12)*0.05,0)</f>
        <v/>
      </c>
      <c r="Y36" s="399">
        <f>IF(AND(Projects!$G$27="Yes",Y$3&gt;=Projects!$C$27,Y$3&lt;Projects!$C$27+Projects!$D$27),Projects!$B$27*INDEX(Curves!$B$4:$AR$4,1,Y$3-Projects!$C$27+1),0)-IF(AND(Projects!$G$27="Yes",Y$3&gt;=Projects!$C$27,Y$3&lt;Projects!$C$27+Projects!$D$27),Projects!$B$27*(Assumptions!$B$10+Assumptions!$B$11+Assumptions!$B$12)/Projects!$D$27*0.95,0)-IF(AND(Projects!$G$27="Yes",Y$3=Projects!$C$27+Projects!$D$27-1),Projects!$B$27*(Assumptions!$B$10+Assumptions!$B$11+Assumptions!$B$12)*0.05,0)</f>
        <v/>
      </c>
      <c r="Z36" s="399">
        <f>IF(AND(Projects!$G$27="Yes",Z$3&gt;=Projects!$C$27,Z$3&lt;Projects!$C$27+Projects!$D$27),Projects!$B$27*INDEX(Curves!$B$4:$AR$4,1,Z$3-Projects!$C$27+1),0)-IF(AND(Projects!$G$27="Yes",Z$3&gt;=Projects!$C$27,Z$3&lt;Projects!$C$27+Projects!$D$27),Projects!$B$27*(Assumptions!$B$10+Assumptions!$B$11+Assumptions!$B$12)/Projects!$D$27*0.95,0)-IF(AND(Projects!$G$27="Yes",Z$3=Projects!$C$27+Projects!$D$27-1),Projects!$B$27*(Assumptions!$B$10+Assumptions!$B$11+Assumptions!$B$12)*0.05,0)</f>
        <v/>
      </c>
      <c r="AA36" s="399">
        <f>IF(AND(Projects!$G$27="Yes",AA$3&gt;=Projects!$C$27,AA$3&lt;Projects!$C$27+Projects!$D$27),Projects!$B$27*INDEX(Curves!$B$4:$AR$4,1,AA$3-Projects!$C$27+1),0)-IF(AND(Projects!$G$27="Yes",AA$3&gt;=Projects!$C$27,AA$3&lt;Projects!$C$27+Projects!$D$27),Projects!$B$27*(Assumptions!$B$10+Assumptions!$B$11+Assumptions!$B$12)/Projects!$D$27*0.95,0)-IF(AND(Projects!$G$27="Yes",AA$3=Projects!$C$27+Projects!$D$27-1),Projects!$B$27*(Assumptions!$B$10+Assumptions!$B$11+Assumptions!$B$12)*0.05,0)</f>
        <v/>
      </c>
      <c r="AB36" s="399">
        <f>IF(AND(Projects!$G$27="Yes",AB$3&gt;=Projects!$C$27,AB$3&lt;Projects!$C$27+Projects!$D$27),Projects!$B$27*INDEX(Curves!$B$4:$AR$4,1,AB$3-Projects!$C$27+1),0)-IF(AND(Projects!$G$27="Yes",AB$3&gt;=Projects!$C$27,AB$3&lt;Projects!$C$27+Projects!$D$27),Projects!$B$27*(Assumptions!$B$10+Assumptions!$B$11+Assumptions!$B$12)/Projects!$D$27*0.95,0)-IF(AND(Projects!$G$27="Yes",AB$3=Projects!$C$27+Projects!$D$27-1),Projects!$B$27*(Assumptions!$B$10+Assumptions!$B$11+Assumptions!$B$12)*0.05,0)</f>
        <v/>
      </c>
      <c r="AC36" s="399">
        <f>IF(AND(Projects!$G$27="Yes",AC$3&gt;=Projects!$C$27,AC$3&lt;Projects!$C$27+Projects!$D$27),Projects!$B$27*INDEX(Curves!$B$4:$AR$4,1,AC$3-Projects!$C$27+1),0)-IF(AND(Projects!$G$27="Yes",AC$3&gt;=Projects!$C$27,AC$3&lt;Projects!$C$27+Projects!$D$27),Projects!$B$27*(Assumptions!$B$10+Assumptions!$B$11+Assumptions!$B$12)/Projects!$D$27*0.95,0)-IF(AND(Projects!$G$27="Yes",AC$3=Projects!$C$27+Projects!$D$27-1),Projects!$B$27*(Assumptions!$B$10+Assumptions!$B$11+Assumptions!$B$12)*0.05,0)</f>
        <v/>
      </c>
      <c r="AD36" s="399">
        <f>IF(AND(Projects!$G$27="Yes",AD$3&gt;=Projects!$C$27,AD$3&lt;Projects!$C$27+Projects!$D$27),Projects!$B$27*INDEX(Curves!$B$4:$AR$4,1,AD$3-Projects!$C$27+1),0)-IF(AND(Projects!$G$27="Yes",AD$3&gt;=Projects!$C$27,AD$3&lt;Projects!$C$27+Projects!$D$27),Projects!$B$27*(Assumptions!$B$10+Assumptions!$B$11+Assumptions!$B$12)/Projects!$D$27*0.95,0)-IF(AND(Projects!$G$27="Yes",AD$3=Projects!$C$27+Projects!$D$27-1),Projects!$B$27*(Assumptions!$B$10+Assumptions!$B$11+Assumptions!$B$12)*0.05,0)</f>
        <v/>
      </c>
      <c r="AE36" s="399">
        <f>IF(AND(Projects!$G$27="Yes",AE$3&gt;=Projects!$C$27,AE$3&lt;Projects!$C$27+Projects!$D$27),Projects!$B$27*INDEX(Curves!$B$4:$AR$4,1,AE$3-Projects!$C$27+1),0)-IF(AND(Projects!$G$27="Yes",AE$3&gt;=Projects!$C$27,AE$3&lt;Projects!$C$27+Projects!$D$27),Projects!$B$27*(Assumptions!$B$10+Assumptions!$B$11+Assumptions!$B$12)/Projects!$D$27*0.95,0)-IF(AND(Projects!$G$27="Yes",AE$3=Projects!$C$27+Projects!$D$27-1),Projects!$B$27*(Assumptions!$B$10+Assumptions!$B$11+Assumptions!$B$12)*0.05,0)</f>
        <v/>
      </c>
      <c r="AF36" s="399">
        <f>IF(AND(Projects!$G$27="Yes",AF$3&gt;=Projects!$C$27,AF$3&lt;Projects!$C$27+Projects!$D$27),Projects!$B$27*INDEX(Curves!$B$4:$AR$4,1,AF$3-Projects!$C$27+1),0)-IF(AND(Projects!$G$27="Yes",AF$3&gt;=Projects!$C$27,AF$3&lt;Projects!$C$27+Projects!$D$27),Projects!$B$27*(Assumptions!$B$10+Assumptions!$B$11+Assumptions!$B$12)/Projects!$D$27*0.95,0)-IF(AND(Projects!$G$27="Yes",AF$3=Projects!$C$27+Projects!$D$27-1),Projects!$B$27*(Assumptions!$B$10+Assumptions!$B$11+Assumptions!$B$12)*0.05,0)</f>
        <v/>
      </c>
      <c r="AG36" s="399">
        <f>IF(AND(Projects!$G$27="Yes",AG$3&gt;=Projects!$C$27,AG$3&lt;Projects!$C$27+Projects!$D$27),Projects!$B$27*INDEX(Curves!$B$4:$AR$4,1,AG$3-Projects!$C$27+1),0)-IF(AND(Projects!$G$27="Yes",AG$3&gt;=Projects!$C$27,AG$3&lt;Projects!$C$27+Projects!$D$27),Projects!$B$27*(Assumptions!$B$10+Assumptions!$B$11+Assumptions!$B$12)/Projects!$D$27*0.95,0)-IF(AND(Projects!$G$27="Yes",AG$3=Projects!$C$27+Projects!$D$27-1),Projects!$B$27*(Assumptions!$B$10+Assumptions!$B$11+Assumptions!$B$12)*0.05,0)</f>
        <v/>
      </c>
      <c r="AH36" s="399">
        <f>IF(AND(Projects!$G$27="Yes",AH$3&gt;=Projects!$C$27,AH$3&lt;Projects!$C$27+Projects!$D$27),Projects!$B$27*INDEX(Curves!$B$4:$AR$4,1,AH$3-Projects!$C$27+1),0)-IF(AND(Projects!$G$27="Yes",AH$3&gt;=Projects!$C$27,AH$3&lt;Projects!$C$27+Projects!$D$27),Projects!$B$27*(Assumptions!$B$10+Assumptions!$B$11+Assumptions!$B$12)/Projects!$D$27*0.95,0)-IF(AND(Projects!$G$27="Yes",AH$3=Projects!$C$27+Projects!$D$27-1),Projects!$B$27*(Assumptions!$B$10+Assumptions!$B$11+Assumptions!$B$12)*0.05,0)</f>
        <v/>
      </c>
      <c r="AI36" s="399">
        <f>IF(AND(Projects!$G$27="Yes",AI$3&gt;=Projects!$C$27,AI$3&lt;Projects!$C$27+Projects!$D$27),Projects!$B$27*INDEX(Curves!$B$4:$AR$4,1,AI$3-Projects!$C$27+1),0)-IF(AND(Projects!$G$27="Yes",AI$3&gt;=Projects!$C$27,AI$3&lt;Projects!$C$27+Projects!$D$27),Projects!$B$27*(Assumptions!$B$10+Assumptions!$B$11+Assumptions!$B$12)/Projects!$D$27*0.95,0)-IF(AND(Projects!$G$27="Yes",AI$3=Projects!$C$27+Projects!$D$27-1),Projects!$B$27*(Assumptions!$B$10+Assumptions!$B$11+Assumptions!$B$12)*0.05,0)</f>
        <v/>
      </c>
      <c r="AJ36" s="399">
        <f>IF(AND(Projects!$G$27="Yes",AJ$3&gt;=Projects!$C$27,AJ$3&lt;Projects!$C$27+Projects!$D$27),Projects!$B$27*INDEX(Curves!$B$4:$AR$4,1,AJ$3-Projects!$C$27+1),0)-IF(AND(Projects!$G$27="Yes",AJ$3&gt;=Projects!$C$27,AJ$3&lt;Projects!$C$27+Projects!$D$27),Projects!$B$27*(Assumptions!$B$10+Assumptions!$B$11+Assumptions!$B$12)/Projects!$D$27*0.95,0)-IF(AND(Projects!$G$27="Yes",AJ$3=Projects!$C$27+Projects!$D$27-1),Projects!$B$27*(Assumptions!$B$10+Assumptions!$B$11+Assumptions!$B$12)*0.05,0)</f>
        <v/>
      </c>
      <c r="AK36" s="399">
        <f>IF(AND(Projects!$G$27="Yes",AK$3&gt;=Projects!$C$27,AK$3&lt;Projects!$C$27+Projects!$D$27),Projects!$B$27*INDEX(Curves!$B$4:$AR$4,1,AK$3-Projects!$C$27+1),0)-IF(AND(Projects!$G$27="Yes",AK$3&gt;=Projects!$C$27,AK$3&lt;Projects!$C$27+Projects!$D$27),Projects!$B$27*(Assumptions!$B$10+Assumptions!$B$11+Assumptions!$B$12)/Projects!$D$27*0.95,0)-IF(AND(Projects!$G$27="Yes",AK$3=Projects!$C$27+Projects!$D$27-1),Projects!$B$27*(Assumptions!$B$10+Assumptions!$B$11+Assumptions!$B$12)*0.05,0)</f>
        <v/>
      </c>
      <c r="AL36" s="399">
        <f>IF(AND(Projects!$G$27="Yes",AL$3&gt;=Projects!$C$27,AL$3&lt;Projects!$C$27+Projects!$D$27),Projects!$B$27*INDEX(Curves!$B$4:$AR$4,1,AL$3-Projects!$C$27+1),0)-IF(AND(Projects!$G$27="Yes",AL$3&gt;=Projects!$C$27,AL$3&lt;Projects!$C$27+Projects!$D$27),Projects!$B$27*(Assumptions!$B$10+Assumptions!$B$11+Assumptions!$B$12)/Projects!$D$27*0.95,0)-IF(AND(Projects!$G$27="Yes",AL$3=Projects!$C$27+Projects!$D$27-1),Projects!$B$27*(Assumptions!$B$10+Assumptions!$B$11+Assumptions!$B$12)*0.05,0)</f>
        <v/>
      </c>
      <c r="AM36" s="399">
        <f>IF(AND(Projects!$G$27="Yes",AM$3&gt;=Projects!$C$27,AM$3&lt;Projects!$C$27+Projects!$D$27),Projects!$B$27*INDEX(Curves!$B$4:$AR$4,1,AM$3-Projects!$C$27+1),0)-IF(AND(Projects!$G$27="Yes",AM$3&gt;=Projects!$C$27,AM$3&lt;Projects!$C$27+Projects!$D$27),Projects!$B$27*(Assumptions!$B$10+Assumptions!$B$11+Assumptions!$B$12)/Projects!$D$27*0.95,0)-IF(AND(Projects!$G$27="Yes",AM$3=Projects!$C$27+Projects!$D$27-1),Projects!$B$27*(Assumptions!$B$10+Assumptions!$B$11+Assumptions!$B$12)*0.05,0)</f>
        <v/>
      </c>
      <c r="AN36" s="399">
        <f>IF(AND(Projects!$G$27="Yes",AN$3&gt;=Projects!$C$27,AN$3&lt;Projects!$C$27+Projects!$D$27),Projects!$B$27*INDEX(Curves!$B$4:$AR$4,1,AN$3-Projects!$C$27+1),0)-IF(AND(Projects!$G$27="Yes",AN$3&gt;=Projects!$C$27,AN$3&lt;Projects!$C$27+Projects!$D$27),Projects!$B$27*(Assumptions!$B$10+Assumptions!$B$11+Assumptions!$B$12)/Projects!$D$27*0.95,0)-IF(AND(Projects!$G$27="Yes",AN$3=Projects!$C$27+Projects!$D$27-1),Projects!$B$27*(Assumptions!$B$10+Assumptions!$B$11+Assumptions!$B$12)*0.05,0)</f>
        <v/>
      </c>
      <c r="AO36" s="399">
        <f>IF(AND(Projects!$G$27="Yes",AO$3&gt;=Projects!$C$27,AO$3&lt;Projects!$C$27+Projects!$D$27),Projects!$B$27*INDEX(Curves!$B$4:$AR$4,1,AO$3-Projects!$C$27+1),0)-IF(AND(Projects!$G$27="Yes",AO$3&gt;=Projects!$C$27,AO$3&lt;Projects!$C$27+Projects!$D$27),Projects!$B$27*(Assumptions!$B$10+Assumptions!$B$11+Assumptions!$B$12)/Projects!$D$27*0.95,0)-IF(AND(Projects!$G$27="Yes",AO$3=Projects!$C$27+Projects!$D$27-1),Projects!$B$27*(Assumptions!$B$10+Assumptions!$B$11+Assumptions!$B$12)*0.05,0)</f>
        <v/>
      </c>
      <c r="AP36" s="399">
        <f>IF(AND(Projects!$G$27="Yes",AP$3&gt;=Projects!$C$27,AP$3&lt;Projects!$C$27+Projects!$D$27),Projects!$B$27*INDEX(Curves!$B$4:$AR$4,1,AP$3-Projects!$C$27+1),0)-IF(AND(Projects!$G$27="Yes",AP$3&gt;=Projects!$C$27,AP$3&lt;Projects!$C$27+Projects!$D$27),Projects!$B$27*(Assumptions!$B$10+Assumptions!$B$11+Assumptions!$B$12)/Projects!$D$27*0.95,0)-IF(AND(Projects!$G$27="Yes",AP$3=Projects!$C$27+Projects!$D$27-1),Projects!$B$27*(Assumptions!$B$10+Assumptions!$B$11+Assumptions!$B$12)*0.05,0)</f>
        <v/>
      </c>
      <c r="AQ36" s="399">
        <f>IF(AND(Projects!$G$27="Yes",AQ$3&gt;=Projects!$C$27,AQ$3&lt;Projects!$C$27+Projects!$D$27),Projects!$B$27*INDEX(Curves!$B$4:$AR$4,1,AQ$3-Projects!$C$27+1),0)-IF(AND(Projects!$G$27="Yes",AQ$3&gt;=Projects!$C$27,AQ$3&lt;Projects!$C$27+Projects!$D$27),Projects!$B$27*(Assumptions!$B$10+Assumptions!$B$11+Assumptions!$B$12)/Projects!$D$27*0.95,0)-IF(AND(Projects!$G$27="Yes",AQ$3=Projects!$C$27+Projects!$D$27-1),Projects!$B$27*(Assumptions!$B$10+Assumptions!$B$11+Assumptions!$B$12)*0.05,0)</f>
        <v/>
      </c>
      <c r="AR36" s="399">
        <f>IF(AND(Projects!$G$27="Yes",AR$3&gt;=Projects!$C$27,AR$3&lt;Projects!$C$27+Projects!$D$27),Projects!$B$27*INDEX(Curves!$B$4:$AR$4,1,AR$3-Projects!$C$27+1),0)-IF(AND(Projects!$G$27="Yes",AR$3&gt;=Projects!$C$27,AR$3&lt;Projects!$C$27+Projects!$D$27),Projects!$B$27*(Assumptions!$B$10+Assumptions!$B$11+Assumptions!$B$12)/Projects!$D$27*0.95,0)-IF(AND(Projects!$G$27="Yes",AR$3=Projects!$C$27+Projects!$D$27-1),Projects!$B$27*(Assumptions!$B$10+Assumptions!$B$11+Assumptions!$B$12)*0.05,0)</f>
        <v/>
      </c>
      <c r="AS36" s="399">
        <f>IF(AND(Projects!$G$27="Yes",AS$3&gt;=Projects!$C$27,AS$3&lt;Projects!$C$27+Projects!$D$27),Projects!$B$27*INDEX(Curves!$B$4:$AR$4,1,AS$3-Projects!$C$27+1),0)-IF(AND(Projects!$G$27="Yes",AS$3&gt;=Projects!$C$27,AS$3&lt;Projects!$C$27+Projects!$D$27),Projects!$B$27*(Assumptions!$B$10+Assumptions!$B$11+Assumptions!$B$12)/Projects!$D$27*0.95,0)-IF(AND(Projects!$G$27="Yes",AS$3=Projects!$C$27+Projects!$D$27-1),Projects!$B$27*(Assumptions!$B$10+Assumptions!$B$11+Assumptions!$B$12)*0.05,0)</f>
        <v/>
      </c>
      <c r="AT36" s="399">
        <f>IF(AND(Projects!$G$27="Yes",AT$3&gt;=Projects!$C$27,AT$3&lt;Projects!$C$27+Projects!$D$27),Projects!$B$27*INDEX(Curves!$B$4:$AR$4,1,AT$3-Projects!$C$27+1),0)-IF(AND(Projects!$G$27="Yes",AT$3&gt;=Projects!$C$27,AT$3&lt;Projects!$C$27+Projects!$D$27),Projects!$B$27*(Assumptions!$B$10+Assumptions!$B$11+Assumptions!$B$12)/Projects!$D$27*0.95,0)-IF(AND(Projects!$G$27="Yes",AT$3=Projects!$C$27+Projects!$D$27-1),Projects!$B$27*(Assumptions!$B$10+Assumptions!$B$11+Assumptions!$B$12)*0.05,0)</f>
        <v/>
      </c>
      <c r="AU36" s="399">
        <f>IF(AND(Projects!$G$27="Yes",AU$3&gt;=Projects!$C$27,AU$3&lt;Projects!$C$27+Projects!$D$27),Projects!$B$27*INDEX(Curves!$B$4:$AR$4,1,AU$3-Projects!$C$27+1),0)-IF(AND(Projects!$G$27="Yes",AU$3&gt;=Projects!$C$27,AU$3&lt;Projects!$C$27+Projects!$D$27),Projects!$B$27*(Assumptions!$B$10+Assumptions!$B$11+Assumptions!$B$12)/Projects!$D$27*0.95,0)-IF(AND(Projects!$G$27="Yes",AU$3=Projects!$C$27+Projects!$D$27-1),Projects!$B$27*(Assumptions!$B$10+Assumptions!$B$11+Assumptions!$B$12)*0.05,0)</f>
        <v/>
      </c>
      <c r="AV36" s="399">
        <f>IF(AND(Projects!$G$27="Yes",AV$3&gt;=Projects!$C$27,AV$3&lt;Projects!$C$27+Projects!$D$27),Projects!$B$27*INDEX(Curves!$B$4:$AR$4,1,AV$3-Projects!$C$27+1),0)-IF(AND(Projects!$G$27="Yes",AV$3&gt;=Projects!$C$27,AV$3&lt;Projects!$C$27+Projects!$D$27),Projects!$B$27*(Assumptions!$B$10+Assumptions!$B$11+Assumptions!$B$12)/Projects!$D$27*0.95,0)-IF(AND(Projects!$G$27="Yes",AV$3=Projects!$C$27+Projects!$D$27-1),Projects!$B$27*(Assumptions!$B$10+Assumptions!$B$11+Assumptions!$B$12)*0.05,0)</f>
        <v/>
      </c>
      <c r="AW36" s="399">
        <f>IF(AND(Projects!$G$27="Yes",AW$3&gt;=Projects!$C$27,AW$3&lt;Projects!$C$27+Projects!$D$27),Projects!$B$27*INDEX(Curves!$B$4:$AR$4,1,AW$3-Projects!$C$27+1),0)-IF(AND(Projects!$G$27="Yes",AW$3&gt;=Projects!$C$27,AW$3&lt;Projects!$C$27+Projects!$D$27),Projects!$B$27*(Assumptions!$B$10+Assumptions!$B$11+Assumptions!$B$12)/Projects!$D$27*0.95,0)-IF(AND(Projects!$G$27="Yes",AW$3=Projects!$C$27+Projects!$D$27-1),Projects!$B$27*(Assumptions!$B$10+Assumptions!$B$11+Assumptions!$B$12)*0.05,0)</f>
        <v/>
      </c>
      <c r="AX36" s="399">
        <f>IF(AND(Projects!$G$27="Yes",AX$3&gt;=Projects!$C$27,AX$3&lt;Projects!$C$27+Projects!$D$27),Projects!$B$27*INDEX(Curves!$B$4:$AR$4,1,AX$3-Projects!$C$27+1),0)-IF(AND(Projects!$G$27="Yes",AX$3&gt;=Projects!$C$27,AX$3&lt;Projects!$C$27+Projects!$D$27),Projects!$B$27*(Assumptions!$B$10+Assumptions!$B$11+Assumptions!$B$12)/Projects!$D$27*0.95,0)-IF(AND(Projects!$G$27="Yes",AX$3=Projects!$C$27+Projects!$D$27-1),Projects!$B$27*(Assumptions!$B$10+Assumptions!$B$11+Assumptions!$B$12)*0.05,0)</f>
        <v/>
      </c>
      <c r="AY36" s="399">
        <f>IF(AND(Projects!$G$27="Yes",AY$3&gt;=Projects!$C$27,AY$3&lt;Projects!$C$27+Projects!$D$27),Projects!$B$27*INDEX(Curves!$B$4:$AR$4,1,AY$3-Projects!$C$27+1),0)-IF(AND(Projects!$G$27="Yes",AY$3&gt;=Projects!$C$27,AY$3&lt;Projects!$C$27+Projects!$D$27),Projects!$B$27*(Assumptions!$B$10+Assumptions!$B$11+Assumptions!$B$12)/Projects!$D$27*0.95,0)-IF(AND(Projects!$G$27="Yes",AY$3=Projects!$C$27+Projects!$D$27-1),Projects!$B$27*(Assumptions!$B$10+Assumptions!$B$11+Assumptions!$B$12)*0.05,0)</f>
        <v/>
      </c>
      <c r="AZ36" s="399">
        <f>IF(AND(Projects!$G$27="Yes",AZ$3&gt;=Projects!$C$27,AZ$3&lt;Projects!$C$27+Projects!$D$27),Projects!$B$27*INDEX(Curves!$B$4:$AR$4,1,AZ$3-Projects!$C$27+1),0)-IF(AND(Projects!$G$27="Yes",AZ$3&gt;=Projects!$C$27,AZ$3&lt;Projects!$C$27+Projects!$D$27),Projects!$B$27*(Assumptions!$B$10+Assumptions!$B$11+Assumptions!$B$12)/Projects!$D$27*0.95,0)-IF(AND(Projects!$G$27="Yes",AZ$3=Projects!$C$27+Projects!$D$27-1),Projects!$B$27*(Assumptions!$B$10+Assumptions!$B$11+Assumptions!$B$12)*0.05,0)</f>
        <v/>
      </c>
      <c r="BA36" s="399">
        <f>IF(AND(Projects!$G$27="Yes",BA$3&gt;=Projects!$C$27,BA$3&lt;Projects!$C$27+Projects!$D$27),Projects!$B$27*INDEX(Curves!$B$4:$AR$4,1,BA$3-Projects!$C$27+1),0)-IF(AND(Projects!$G$27="Yes",BA$3&gt;=Projects!$C$27,BA$3&lt;Projects!$C$27+Projects!$D$27),Projects!$B$27*(Assumptions!$B$10+Assumptions!$B$11+Assumptions!$B$12)/Projects!$D$27*0.95,0)-IF(AND(Projects!$G$27="Yes",BA$3=Projects!$C$27+Projects!$D$27-1),Projects!$B$27*(Assumptions!$B$10+Assumptions!$B$11+Assumptions!$B$12)*0.05,0)</f>
        <v/>
      </c>
      <c r="BB36" s="399">
        <f>IF(AND(Projects!$G$27="Yes",BB$3&gt;=Projects!$C$27,BB$3&lt;Projects!$C$27+Projects!$D$27),Projects!$B$27*INDEX(Curves!$B$4:$AR$4,1,BB$3-Projects!$C$27+1),0)-IF(AND(Projects!$G$27="Yes",BB$3&gt;=Projects!$C$27,BB$3&lt;Projects!$C$27+Projects!$D$27),Projects!$B$27*(Assumptions!$B$10+Assumptions!$B$11+Assumptions!$B$12)/Projects!$D$27*0.95,0)-IF(AND(Projects!$G$27="Yes",BB$3=Projects!$C$27+Projects!$D$27-1),Projects!$B$27*(Assumptions!$B$10+Assumptions!$B$11+Assumptions!$B$12)*0.05,0)</f>
        <v/>
      </c>
      <c r="BC36" s="399">
        <f>IF(AND(Projects!$G$27="Yes",BC$3&gt;=Projects!$C$27,BC$3&lt;Projects!$C$27+Projects!$D$27),Projects!$B$27*INDEX(Curves!$B$4:$AR$4,1,BC$3-Projects!$C$27+1),0)-IF(AND(Projects!$G$27="Yes",BC$3&gt;=Projects!$C$27,BC$3&lt;Projects!$C$27+Projects!$D$27),Projects!$B$27*(Assumptions!$B$10+Assumptions!$B$11+Assumptions!$B$12)/Projects!$D$27*0.95,0)-IF(AND(Projects!$G$27="Yes",BC$3=Projects!$C$27+Projects!$D$27-1),Projects!$B$27*(Assumptions!$B$10+Assumptions!$B$11+Assumptions!$B$12)*0.05,0)</f>
        <v/>
      </c>
      <c r="BD36" s="399">
        <f>IF(AND(Projects!$G$27="Yes",BD$3&gt;=Projects!$C$27,BD$3&lt;Projects!$C$27+Projects!$D$27),Projects!$B$27*INDEX(Curves!$B$4:$AR$4,1,BD$3-Projects!$C$27+1),0)-IF(AND(Projects!$G$27="Yes",BD$3&gt;=Projects!$C$27,BD$3&lt;Projects!$C$27+Projects!$D$27),Projects!$B$27*(Assumptions!$B$10+Assumptions!$B$11+Assumptions!$B$12)/Projects!$D$27*0.95,0)-IF(AND(Projects!$G$27="Yes",BD$3=Projects!$C$27+Projects!$D$27-1),Projects!$B$27*(Assumptions!$B$10+Assumptions!$B$11+Assumptions!$B$12)*0.05,0)</f>
        <v/>
      </c>
      <c r="BE36" s="399">
        <f>IF(AND(Projects!$G$27="Yes",BE$3&gt;=Projects!$C$27,BE$3&lt;Projects!$C$27+Projects!$D$27),Projects!$B$27*INDEX(Curves!$B$4:$AR$4,1,BE$3-Projects!$C$27+1),0)-IF(AND(Projects!$G$27="Yes",BE$3&gt;=Projects!$C$27,BE$3&lt;Projects!$C$27+Projects!$D$27),Projects!$B$27*(Assumptions!$B$10+Assumptions!$B$11+Assumptions!$B$12)/Projects!$D$27*0.95,0)-IF(AND(Projects!$G$27="Yes",BE$3=Projects!$C$27+Projects!$D$27-1),Projects!$B$27*(Assumptions!$B$10+Assumptions!$B$11+Assumptions!$B$12)*0.05,0)</f>
        <v/>
      </c>
      <c r="BF36" s="399">
        <f>IF(AND(Projects!$G$27="Yes",BF$3&gt;=Projects!$C$27,BF$3&lt;Projects!$C$27+Projects!$D$27),Projects!$B$27*INDEX(Curves!$B$4:$AR$4,1,BF$3-Projects!$C$27+1),0)-IF(AND(Projects!$G$27="Yes",BF$3&gt;=Projects!$C$27,BF$3&lt;Projects!$C$27+Projects!$D$27),Projects!$B$27*(Assumptions!$B$10+Assumptions!$B$11+Assumptions!$B$12)/Projects!$D$27*0.95,0)-IF(AND(Projects!$G$27="Yes",BF$3=Projects!$C$27+Projects!$D$27-1),Projects!$B$27*(Assumptions!$B$10+Assumptions!$B$11+Assumptions!$B$12)*0.05,0)</f>
        <v/>
      </c>
      <c r="BG36" s="399">
        <f>IF(AND(Projects!$G$27="Yes",BG$3&gt;=Projects!$C$27,BG$3&lt;Projects!$C$27+Projects!$D$27),Projects!$B$27*INDEX(Curves!$B$4:$AR$4,1,BG$3-Projects!$C$27+1),0)-IF(AND(Projects!$G$27="Yes",BG$3&gt;=Projects!$C$27,BG$3&lt;Projects!$C$27+Projects!$D$27),Projects!$B$27*(Assumptions!$B$10+Assumptions!$B$11+Assumptions!$B$12)/Projects!$D$27*0.95,0)-IF(AND(Projects!$G$27="Yes",BG$3=Projects!$C$27+Projects!$D$27-1),Projects!$B$27*(Assumptions!$B$10+Assumptions!$B$11+Assumptions!$B$12)*0.05,0)</f>
        <v/>
      </c>
      <c r="BH36" s="399">
        <f>IF(AND(Projects!$G$27="Yes",BH$3&gt;=Projects!$C$27,BH$3&lt;Projects!$C$27+Projects!$D$27),Projects!$B$27*INDEX(Curves!$B$4:$AR$4,1,BH$3-Projects!$C$27+1),0)-IF(AND(Projects!$G$27="Yes",BH$3&gt;=Projects!$C$27,BH$3&lt;Projects!$C$27+Projects!$D$27),Projects!$B$27*(Assumptions!$B$10+Assumptions!$B$11+Assumptions!$B$12)/Projects!$D$27*0.95,0)-IF(AND(Projects!$G$27="Yes",BH$3=Projects!$C$27+Projects!$D$27-1),Projects!$B$27*(Assumptions!$B$10+Assumptions!$B$11+Assumptions!$B$12)*0.05,0)</f>
        <v/>
      </c>
      <c r="BI36" s="399">
        <f>IF(AND(Projects!$G$27="Yes",BI$3&gt;=Projects!$C$27,BI$3&lt;Projects!$C$27+Projects!$D$27),Projects!$B$27*INDEX(Curves!$B$4:$AR$4,1,BI$3-Projects!$C$27+1),0)-IF(AND(Projects!$G$27="Yes",BI$3&gt;=Projects!$C$27,BI$3&lt;Projects!$C$27+Projects!$D$27),Projects!$B$27*(Assumptions!$B$10+Assumptions!$B$11+Assumptions!$B$12)/Projects!$D$27*0.95,0)-IF(AND(Projects!$G$27="Yes",BI$3=Projects!$C$27+Projects!$D$27-1),Projects!$B$27*(Assumptions!$B$10+Assumptions!$B$11+Assumptions!$B$12)*0.05,0)</f>
        <v/>
      </c>
      <c r="BJ36" s="399">
        <f>IF(AND(Projects!$G$27="Yes",BJ$3&gt;=Projects!$C$27,BJ$3&lt;Projects!$C$27+Projects!$D$27),Projects!$B$27*INDEX(Curves!$B$4:$AR$4,1,BJ$3-Projects!$C$27+1),0)-IF(AND(Projects!$G$27="Yes",BJ$3&gt;=Projects!$C$27,BJ$3&lt;Projects!$C$27+Projects!$D$27),Projects!$B$27*(Assumptions!$B$10+Assumptions!$B$11+Assumptions!$B$12)/Projects!$D$27*0.95,0)-IF(AND(Projects!$G$27="Yes",BJ$3=Projects!$C$27+Projects!$D$27-1),Projects!$B$27*(Assumptions!$B$10+Assumptions!$B$11+Assumptions!$B$12)*0.05,0)</f>
        <v/>
      </c>
      <c r="BK36" s="399">
        <f>IF(AND(Projects!$G$27="Yes",BK$3&gt;=Projects!$C$27,BK$3&lt;Projects!$C$27+Projects!$D$27),Projects!$B$27*INDEX(Curves!$B$4:$AR$4,1,BK$3-Projects!$C$27+1),0)-IF(AND(Projects!$G$27="Yes",BK$3&gt;=Projects!$C$27,BK$3&lt;Projects!$C$27+Projects!$D$27),Projects!$B$27*(Assumptions!$B$10+Assumptions!$B$11+Assumptions!$B$12)/Projects!$D$27*0.95,0)-IF(AND(Projects!$G$27="Yes",BK$3=Projects!$C$27+Projects!$D$27-1),Projects!$B$27*(Assumptions!$B$10+Assumptions!$B$11+Assumptions!$B$12)*0.05,0)</f>
        <v/>
      </c>
      <c r="BL36" s="399">
        <f>IF(AND(Projects!$G$27="Yes",BL$3&gt;=Projects!$C$27,BL$3&lt;Projects!$C$27+Projects!$D$27),Projects!$B$27*INDEX(Curves!$B$4:$AR$4,1,BL$3-Projects!$C$27+1),0)-IF(AND(Projects!$G$27="Yes",BL$3&gt;=Projects!$C$27,BL$3&lt;Projects!$C$27+Projects!$D$27),Projects!$B$27*(Assumptions!$B$10+Assumptions!$B$11+Assumptions!$B$12)/Projects!$D$27*0.95,0)-IF(AND(Projects!$G$27="Yes",BL$3=Projects!$C$27+Projects!$D$27-1),Projects!$B$27*(Assumptions!$B$10+Assumptions!$B$11+Assumptions!$B$12)*0.05,0)</f>
        <v/>
      </c>
      <c r="BM36" s="399">
        <f>IF(AND(Projects!$G$27="Yes",BM$3&gt;=Projects!$C$27,BM$3&lt;Projects!$C$27+Projects!$D$27),Projects!$B$27*INDEX(Curves!$B$4:$AR$4,1,BM$3-Projects!$C$27+1),0)-IF(AND(Projects!$G$27="Yes",BM$3&gt;=Projects!$C$27,BM$3&lt;Projects!$C$27+Projects!$D$27),Projects!$B$27*(Assumptions!$B$10+Assumptions!$B$11+Assumptions!$B$12)/Projects!$D$27*0.95,0)-IF(AND(Projects!$G$27="Yes",BM$3=Projects!$C$27+Projects!$D$27-1),Projects!$B$27*(Assumptions!$B$10+Assumptions!$B$11+Assumptions!$B$12)*0.05,0)</f>
        <v/>
      </c>
      <c r="BN36" s="399">
        <f>IF(AND(Projects!$G$27="Yes",BN$3&gt;=Projects!$C$27,BN$3&lt;Projects!$C$27+Projects!$D$27),Projects!$B$27*INDEX(Curves!$B$4:$AR$4,1,BN$3-Projects!$C$27+1),0)-IF(AND(Projects!$G$27="Yes",BN$3&gt;=Projects!$C$27,BN$3&lt;Projects!$C$27+Projects!$D$27),Projects!$B$27*(Assumptions!$B$10+Assumptions!$B$11+Assumptions!$B$12)/Projects!$D$27*0.95,0)-IF(AND(Projects!$G$27="Yes",BN$3=Projects!$C$27+Projects!$D$27-1),Projects!$B$27*(Assumptions!$B$10+Assumptions!$B$11+Assumptions!$B$12)*0.05,0)</f>
        <v/>
      </c>
      <c r="BO36" s="399">
        <f>IF(AND(Projects!$G$27="Yes",BO$3&gt;=Projects!$C$27,BO$3&lt;Projects!$C$27+Projects!$D$27),Projects!$B$27*INDEX(Curves!$B$4:$AR$4,1,BO$3-Projects!$C$27+1),0)-IF(AND(Projects!$G$27="Yes",BO$3&gt;=Projects!$C$27,BO$3&lt;Projects!$C$27+Projects!$D$27),Projects!$B$27*(Assumptions!$B$10+Assumptions!$B$11+Assumptions!$B$12)/Projects!$D$27*0.95,0)-IF(AND(Projects!$G$27="Yes",BO$3=Projects!$C$27+Projects!$D$27-1),Projects!$B$27*(Assumptions!$B$10+Assumptions!$B$11+Assumptions!$B$12)*0.05,0)</f>
        <v/>
      </c>
      <c r="BP36" s="399">
        <f>IF(AND(Projects!$G$27="Yes",BP$3&gt;=Projects!$C$27,BP$3&lt;Projects!$C$27+Projects!$D$27),Projects!$B$27*INDEX(Curves!$B$4:$AR$4,1,BP$3-Projects!$C$27+1),0)-IF(AND(Projects!$G$27="Yes",BP$3&gt;=Projects!$C$27,BP$3&lt;Projects!$C$27+Projects!$D$27),Projects!$B$27*(Assumptions!$B$10+Assumptions!$B$11+Assumptions!$B$12)/Projects!$D$27*0.95,0)-IF(AND(Projects!$G$27="Yes",BP$3=Projects!$C$27+Projects!$D$27-1),Projects!$B$27*(Assumptions!$B$10+Assumptions!$B$11+Assumptions!$B$12)*0.05,0)</f>
        <v/>
      </c>
      <c r="BQ36" s="399">
        <f>IF(AND(Projects!$G$27="Yes",BQ$3&gt;=Projects!$C$27,BQ$3&lt;Projects!$C$27+Projects!$D$27),Projects!$B$27*INDEX(Curves!$B$4:$AR$4,1,BQ$3-Projects!$C$27+1),0)-IF(AND(Projects!$G$27="Yes",BQ$3&gt;=Projects!$C$27,BQ$3&lt;Projects!$C$27+Projects!$D$27),Projects!$B$27*(Assumptions!$B$10+Assumptions!$B$11+Assumptions!$B$12)/Projects!$D$27*0.95,0)-IF(AND(Projects!$G$27="Yes",BQ$3=Projects!$C$27+Projects!$D$27-1),Projects!$B$27*(Assumptions!$B$10+Assumptions!$B$11+Assumptions!$B$12)*0.05,0)</f>
        <v/>
      </c>
      <c r="BR36" s="399">
        <f>IF(AND(Projects!$G$27="Yes",BR$3&gt;=Projects!$C$27,BR$3&lt;Projects!$C$27+Projects!$D$27),Projects!$B$27*INDEX(Curves!$B$4:$AR$4,1,BR$3-Projects!$C$27+1),0)-IF(AND(Projects!$G$27="Yes",BR$3&gt;=Projects!$C$27,BR$3&lt;Projects!$C$27+Projects!$D$27),Projects!$B$27*(Assumptions!$B$10+Assumptions!$B$11+Assumptions!$B$12)/Projects!$D$27*0.95,0)-IF(AND(Projects!$G$27="Yes",BR$3=Projects!$C$27+Projects!$D$27-1),Projects!$B$27*(Assumptions!$B$10+Assumptions!$B$11+Assumptions!$B$12)*0.05,0)</f>
        <v/>
      </c>
      <c r="BS36" s="399">
        <f>IF(AND(Projects!$G$27="Yes",BS$3&gt;=Projects!$C$27,BS$3&lt;Projects!$C$27+Projects!$D$27),Projects!$B$27*INDEX(Curves!$B$4:$AR$4,1,BS$3-Projects!$C$27+1),0)-IF(AND(Projects!$G$27="Yes",BS$3&gt;=Projects!$C$27,BS$3&lt;Projects!$C$27+Projects!$D$27),Projects!$B$27*(Assumptions!$B$10+Assumptions!$B$11+Assumptions!$B$12)/Projects!$D$27*0.95,0)-IF(AND(Projects!$G$27="Yes",BS$3=Projects!$C$27+Projects!$D$27-1),Projects!$B$27*(Assumptions!$B$10+Assumptions!$B$11+Assumptions!$B$12)*0.05,0)</f>
        <v/>
      </c>
      <c r="BT36" s="399">
        <f>IF(AND(Projects!$G$27="Yes",BT$3&gt;=Projects!$C$27,BT$3&lt;Projects!$C$27+Projects!$D$27),Projects!$B$27*INDEX(Curves!$B$4:$AR$4,1,BT$3-Projects!$C$27+1),0)-IF(AND(Projects!$G$27="Yes",BT$3&gt;=Projects!$C$27,BT$3&lt;Projects!$C$27+Projects!$D$27),Projects!$B$27*(Assumptions!$B$10+Assumptions!$B$11+Assumptions!$B$12)/Projects!$D$27*0.95,0)-IF(AND(Projects!$G$27="Yes",BT$3=Projects!$C$27+Projects!$D$27-1),Projects!$B$27*(Assumptions!$B$10+Assumptions!$B$11+Assumptions!$B$12)*0.05,0)</f>
        <v/>
      </c>
      <c r="BU36" s="399">
        <f>IF(AND(Projects!$G$27="Yes",BU$3&gt;=Projects!$C$27,BU$3&lt;Projects!$C$27+Projects!$D$27),Projects!$B$27*INDEX(Curves!$B$4:$AR$4,1,BU$3-Projects!$C$27+1),0)-IF(AND(Projects!$G$27="Yes",BU$3&gt;=Projects!$C$27,BU$3&lt;Projects!$C$27+Projects!$D$27),Projects!$B$27*(Assumptions!$B$10+Assumptions!$B$11+Assumptions!$B$12)/Projects!$D$27*0.95,0)-IF(AND(Projects!$G$27="Yes",BU$3=Projects!$C$27+Projects!$D$27-1),Projects!$B$27*(Assumptions!$B$10+Assumptions!$B$11+Assumptions!$B$12)*0.05,0)</f>
        <v/>
      </c>
      <c r="BV36" s="399">
        <f>IF(AND(Projects!$G$27="Yes",BV$3&gt;=Projects!$C$27,BV$3&lt;Projects!$C$27+Projects!$D$27),Projects!$B$27*INDEX(Curves!$B$4:$AR$4,1,BV$3-Projects!$C$27+1),0)-IF(AND(Projects!$G$27="Yes",BV$3&gt;=Projects!$C$27,BV$3&lt;Projects!$C$27+Projects!$D$27),Projects!$B$27*(Assumptions!$B$10+Assumptions!$B$11+Assumptions!$B$12)/Projects!$D$27*0.95,0)-IF(AND(Projects!$G$27="Yes",BV$3=Projects!$C$27+Projects!$D$27-1),Projects!$B$27*(Assumptions!$B$10+Assumptions!$B$11+Assumptions!$B$12)*0.05,0)</f>
        <v/>
      </c>
      <c r="BW36" s="399">
        <f>IF(AND(Projects!$G$27="Yes",BW$3&gt;=Projects!$C$27,BW$3&lt;Projects!$C$27+Projects!$D$27),Projects!$B$27*INDEX(Curves!$B$4:$AR$4,1,BW$3-Projects!$C$27+1),0)-IF(AND(Projects!$G$27="Yes",BW$3&gt;=Projects!$C$27,BW$3&lt;Projects!$C$27+Projects!$D$27),Projects!$B$27*(Assumptions!$B$10+Assumptions!$B$11+Assumptions!$B$12)/Projects!$D$27*0.95,0)-IF(AND(Projects!$G$27="Yes",BW$3=Projects!$C$27+Projects!$D$27-1),Projects!$B$27*(Assumptions!$B$10+Assumptions!$B$11+Assumptions!$B$12)*0.05,0)</f>
        <v/>
      </c>
      <c r="BX36" s="399">
        <f>IF(AND(Projects!$G$27="Yes",BX$3&gt;=Projects!$C$27,BX$3&lt;Projects!$C$27+Projects!$D$27),Projects!$B$27*INDEX(Curves!$B$4:$AR$4,1,BX$3-Projects!$C$27+1),0)-IF(AND(Projects!$G$27="Yes",BX$3&gt;=Projects!$C$27,BX$3&lt;Projects!$C$27+Projects!$D$27),Projects!$B$27*(Assumptions!$B$10+Assumptions!$B$11+Assumptions!$B$12)/Projects!$D$27*0.95,0)-IF(AND(Projects!$G$27="Yes",BX$3=Projects!$C$27+Projects!$D$27-1),Projects!$B$27*(Assumptions!$B$10+Assumptions!$B$11+Assumptions!$B$12)*0.05,0)</f>
        <v/>
      </c>
      <c r="BY36" s="399">
        <f>IF(AND(Projects!$G$27="Yes",BY$3&gt;=Projects!$C$27,BY$3&lt;Projects!$C$27+Projects!$D$27),Projects!$B$27*INDEX(Curves!$B$4:$AR$4,1,BY$3-Projects!$C$27+1),0)-IF(AND(Projects!$G$27="Yes",BY$3&gt;=Projects!$C$27,BY$3&lt;Projects!$C$27+Projects!$D$27),Projects!$B$27*(Assumptions!$B$10+Assumptions!$B$11+Assumptions!$B$12)/Projects!$D$27*0.95,0)-IF(AND(Projects!$G$27="Yes",BY$3=Projects!$C$27+Projects!$D$27-1),Projects!$B$27*(Assumptions!$B$10+Assumptions!$B$11+Assumptions!$B$12)*0.05,0)</f>
        <v/>
      </c>
      <c r="BZ36" s="399">
        <f>IF(AND(Projects!$G$27="Yes",BZ$3&gt;=Projects!$C$27,BZ$3&lt;Projects!$C$27+Projects!$D$27),Projects!$B$27*INDEX(Curves!$B$4:$AR$4,1,BZ$3-Projects!$C$27+1),0)-IF(AND(Projects!$G$27="Yes",BZ$3&gt;=Projects!$C$27,BZ$3&lt;Projects!$C$27+Projects!$D$27),Projects!$B$27*(Assumptions!$B$10+Assumptions!$B$11+Assumptions!$B$12)/Projects!$D$27*0.95,0)-IF(AND(Projects!$G$27="Yes",BZ$3=Projects!$C$27+Projects!$D$27-1),Projects!$B$27*(Assumptions!$B$10+Assumptions!$B$11+Assumptions!$B$12)*0.05,0)</f>
        <v/>
      </c>
      <c r="CA36" s="399">
        <f>IF(AND(Projects!$G$27="Yes",CA$3&gt;=Projects!$C$27,CA$3&lt;Projects!$C$27+Projects!$D$27),Projects!$B$27*INDEX(Curves!$B$4:$AR$4,1,CA$3-Projects!$C$27+1),0)-IF(AND(Projects!$G$27="Yes",CA$3&gt;=Projects!$C$27,CA$3&lt;Projects!$C$27+Projects!$D$27),Projects!$B$27*(Assumptions!$B$10+Assumptions!$B$11+Assumptions!$B$12)/Projects!$D$27*0.95,0)-IF(AND(Projects!$G$27="Yes",CA$3=Projects!$C$27+Projects!$D$27-1),Projects!$B$27*(Assumptions!$B$10+Assumptions!$B$11+Assumptions!$B$12)*0.05,0)</f>
        <v/>
      </c>
      <c r="CB36" s="399">
        <f>IF(AND(Projects!$G$27="Yes",CB$3&gt;=Projects!$C$27,CB$3&lt;Projects!$C$27+Projects!$D$27),Projects!$B$27*INDEX(Curves!$B$4:$AR$4,1,CB$3-Projects!$C$27+1),0)-IF(AND(Projects!$G$27="Yes",CB$3&gt;=Projects!$C$27,CB$3&lt;Projects!$C$27+Projects!$D$27),Projects!$B$27*(Assumptions!$B$10+Assumptions!$B$11+Assumptions!$B$12)/Projects!$D$27*0.95,0)-IF(AND(Projects!$G$27="Yes",CB$3=Projects!$C$27+Projects!$D$27-1),Projects!$B$27*(Assumptions!$B$10+Assumptions!$B$11+Assumptions!$B$12)*0.05,0)</f>
        <v/>
      </c>
      <c r="CC36" s="399">
        <f>IF(AND(Projects!$G$27="Yes",CC$3&gt;=Projects!$C$27,CC$3&lt;Projects!$C$27+Projects!$D$27),Projects!$B$27*INDEX(Curves!$B$4:$AR$4,1,CC$3-Projects!$C$27+1),0)-IF(AND(Projects!$G$27="Yes",CC$3&gt;=Projects!$C$27,CC$3&lt;Projects!$C$27+Projects!$D$27),Projects!$B$27*(Assumptions!$B$10+Assumptions!$B$11+Assumptions!$B$12)/Projects!$D$27*0.95,0)-IF(AND(Projects!$G$27="Yes",CC$3=Projects!$C$27+Projects!$D$27-1),Projects!$B$27*(Assumptions!$B$10+Assumptions!$B$11+Assumptions!$B$12)*0.05,0)</f>
        <v/>
      </c>
      <c r="CD36" s="399">
        <f>IF(AND(Projects!$G$27="Yes",CD$3&gt;=Projects!$C$27,CD$3&lt;Projects!$C$27+Projects!$D$27),Projects!$B$27*INDEX(Curves!$B$4:$AR$4,1,CD$3-Projects!$C$27+1),0)-IF(AND(Projects!$G$27="Yes",CD$3&gt;=Projects!$C$27,CD$3&lt;Projects!$C$27+Projects!$D$27),Projects!$B$27*(Assumptions!$B$10+Assumptions!$B$11+Assumptions!$B$12)/Projects!$D$27*0.95,0)-IF(AND(Projects!$G$27="Yes",CD$3=Projects!$C$27+Projects!$D$27-1),Projects!$B$27*(Assumptions!$B$10+Assumptions!$B$11+Assumptions!$B$12)*0.05,0)</f>
        <v/>
      </c>
      <c r="CE36" s="399">
        <f>IF(AND(Projects!$G$27="Yes",CE$3&gt;=Projects!$C$27,CE$3&lt;Projects!$C$27+Projects!$D$27),Projects!$B$27*INDEX(Curves!$B$4:$AR$4,1,CE$3-Projects!$C$27+1),0)-IF(AND(Projects!$G$27="Yes",CE$3&gt;=Projects!$C$27,CE$3&lt;Projects!$C$27+Projects!$D$27),Projects!$B$27*(Assumptions!$B$10+Assumptions!$B$11+Assumptions!$B$12)/Projects!$D$27*0.95,0)-IF(AND(Projects!$G$27="Yes",CE$3=Projects!$C$27+Projects!$D$27-1),Projects!$B$27*(Assumptions!$B$10+Assumptions!$B$11+Assumptions!$B$12)*0.05,0)</f>
        <v/>
      </c>
      <c r="CF36" s="399">
        <f>IF(AND(Projects!$G$27="Yes",CF$3&gt;=Projects!$C$27,CF$3&lt;Projects!$C$27+Projects!$D$27),Projects!$B$27*INDEX(Curves!$B$4:$AR$4,1,CF$3-Projects!$C$27+1),0)-IF(AND(Projects!$G$27="Yes",CF$3&gt;=Projects!$C$27,CF$3&lt;Projects!$C$27+Projects!$D$27),Projects!$B$27*(Assumptions!$B$10+Assumptions!$B$11+Assumptions!$B$12)/Projects!$D$27*0.95,0)-IF(AND(Projects!$G$27="Yes",CF$3=Projects!$C$27+Projects!$D$27-1),Projects!$B$27*(Assumptions!$B$10+Assumptions!$B$11+Assumptions!$B$12)*0.05,0)</f>
        <v/>
      </c>
      <c r="CG36" s="399">
        <f>IF(AND(Projects!$G$27="Yes",CG$3&gt;=Projects!$C$27,CG$3&lt;Projects!$C$27+Projects!$D$27),Projects!$B$27*INDEX(Curves!$B$4:$AR$4,1,CG$3-Projects!$C$27+1),0)-IF(AND(Projects!$G$27="Yes",CG$3&gt;=Projects!$C$27,CG$3&lt;Projects!$C$27+Projects!$D$27),Projects!$B$27*(Assumptions!$B$10+Assumptions!$B$11+Assumptions!$B$12)/Projects!$D$27*0.95,0)-IF(AND(Projects!$G$27="Yes",CG$3=Projects!$C$27+Projects!$D$27-1),Projects!$B$27*(Assumptions!$B$10+Assumptions!$B$11+Assumptions!$B$12)*0.05,0)</f>
        <v/>
      </c>
      <c r="CH36" s="399">
        <f>IF(AND(Projects!$G$27="Yes",CH$3&gt;=Projects!$C$27,CH$3&lt;Projects!$C$27+Projects!$D$27),Projects!$B$27*INDEX(Curves!$B$4:$AR$4,1,CH$3-Projects!$C$27+1),0)-IF(AND(Projects!$G$27="Yes",CH$3&gt;=Projects!$C$27,CH$3&lt;Projects!$C$27+Projects!$D$27),Projects!$B$27*(Assumptions!$B$10+Assumptions!$B$11+Assumptions!$B$12)/Projects!$D$27*0.95,0)-IF(AND(Projects!$G$27="Yes",CH$3=Projects!$C$27+Projects!$D$27-1),Projects!$B$27*(Assumptions!$B$10+Assumptions!$B$11+Assumptions!$B$12)*0.05,0)</f>
        <v/>
      </c>
      <c r="CI36" s="399">
        <f>IF(AND(Projects!$G$27="Yes",CI$3&gt;=Projects!$C$27,CI$3&lt;Projects!$C$27+Projects!$D$27),Projects!$B$27*INDEX(Curves!$B$4:$AR$4,1,CI$3-Projects!$C$27+1),0)-IF(AND(Projects!$G$27="Yes",CI$3&gt;=Projects!$C$27,CI$3&lt;Projects!$C$27+Projects!$D$27),Projects!$B$27*(Assumptions!$B$10+Assumptions!$B$11+Assumptions!$B$12)/Projects!$D$27*0.95,0)-IF(AND(Projects!$G$27="Yes",CI$3=Projects!$C$27+Projects!$D$27-1),Projects!$B$27*(Assumptions!$B$10+Assumptions!$B$11+Assumptions!$B$12)*0.05,0)</f>
        <v/>
      </c>
      <c r="CJ36" s="399">
        <f>IF(AND(Projects!$G$27="Yes",CJ$3&gt;=Projects!$C$27,CJ$3&lt;Projects!$C$27+Projects!$D$27),Projects!$B$27*INDEX(Curves!$B$4:$AR$4,1,CJ$3-Projects!$C$27+1),0)-IF(AND(Projects!$G$27="Yes",CJ$3&gt;=Projects!$C$27,CJ$3&lt;Projects!$C$27+Projects!$D$27),Projects!$B$27*(Assumptions!$B$10+Assumptions!$B$11+Assumptions!$B$12)/Projects!$D$27*0.95,0)-IF(AND(Projects!$G$27="Yes",CJ$3=Projects!$C$27+Projects!$D$27-1),Projects!$B$27*(Assumptions!$B$10+Assumptions!$B$11+Assumptions!$B$12)*0.05,0)</f>
        <v/>
      </c>
      <c r="CK36" s="399">
        <f>IF(AND(Projects!$G$27="Yes",CK$3&gt;=Projects!$C$27,CK$3&lt;Projects!$C$27+Projects!$D$27),Projects!$B$27*INDEX(Curves!$B$4:$AR$4,1,CK$3-Projects!$C$27+1),0)-IF(AND(Projects!$G$27="Yes",CK$3&gt;=Projects!$C$27,CK$3&lt;Projects!$C$27+Projects!$D$27),Projects!$B$27*(Assumptions!$B$10+Assumptions!$B$11+Assumptions!$B$12)/Projects!$D$27*0.95,0)-IF(AND(Projects!$G$27="Yes",CK$3=Projects!$C$27+Projects!$D$27-1),Projects!$B$27*(Assumptions!$B$10+Assumptions!$B$11+Assumptions!$B$12)*0.05,0)</f>
        <v/>
      </c>
      <c r="CL36" s="399">
        <f>IF(AND(Projects!$G$27="Yes",CL$3&gt;=Projects!$C$27,CL$3&lt;Projects!$C$27+Projects!$D$27),Projects!$B$27*INDEX(Curves!$B$4:$AR$4,1,CL$3-Projects!$C$27+1),0)-IF(AND(Projects!$G$27="Yes",CL$3&gt;=Projects!$C$27,CL$3&lt;Projects!$C$27+Projects!$D$27),Projects!$B$27*(Assumptions!$B$10+Assumptions!$B$11+Assumptions!$B$12)/Projects!$D$27*0.95,0)-IF(AND(Projects!$G$27="Yes",CL$3=Projects!$C$27+Projects!$D$27-1),Projects!$B$27*(Assumptions!$B$10+Assumptions!$B$11+Assumptions!$B$12)*0.05,0)</f>
        <v/>
      </c>
      <c r="CM36" s="399">
        <f>IF(AND(Projects!$G$27="Yes",CM$3&gt;=Projects!$C$27,CM$3&lt;Projects!$C$27+Projects!$D$27),Projects!$B$27*INDEX(Curves!$B$4:$AR$4,1,CM$3-Projects!$C$27+1),0)-IF(AND(Projects!$G$27="Yes",CM$3&gt;=Projects!$C$27,CM$3&lt;Projects!$C$27+Projects!$D$27),Projects!$B$27*(Assumptions!$B$10+Assumptions!$B$11+Assumptions!$B$12)/Projects!$D$27*0.95,0)-IF(AND(Projects!$G$27="Yes",CM$3=Projects!$C$27+Projects!$D$27-1),Projects!$B$27*(Assumptions!$B$10+Assumptions!$B$11+Assumptions!$B$12)*0.05,0)</f>
        <v/>
      </c>
      <c r="CN36" s="399">
        <f>IF(AND(Projects!$G$27="Yes",CN$3&gt;=Projects!$C$27,CN$3&lt;Projects!$C$27+Projects!$D$27),Projects!$B$27*INDEX(Curves!$B$4:$AR$4,1,CN$3-Projects!$C$27+1),0)-IF(AND(Projects!$G$27="Yes",CN$3&gt;=Projects!$C$27,CN$3&lt;Projects!$C$27+Projects!$D$27),Projects!$B$27*(Assumptions!$B$10+Assumptions!$B$11+Assumptions!$B$12)/Projects!$D$27*0.95,0)-IF(AND(Projects!$G$27="Yes",CN$3=Projects!$C$27+Projects!$D$27-1),Projects!$B$27*(Assumptions!$B$10+Assumptions!$B$11+Assumptions!$B$12)*0.05,0)</f>
        <v/>
      </c>
      <c r="CO36" s="399">
        <f>IF(AND(Projects!$G$27="Yes",CO$3&gt;=Projects!$C$27,CO$3&lt;Projects!$C$27+Projects!$D$27),Projects!$B$27*INDEX(Curves!$B$4:$AR$4,1,CO$3-Projects!$C$27+1),0)-IF(AND(Projects!$G$27="Yes",CO$3&gt;=Projects!$C$27,CO$3&lt;Projects!$C$27+Projects!$D$27),Projects!$B$27*(Assumptions!$B$10+Assumptions!$B$11+Assumptions!$B$12)/Projects!$D$27*0.95,0)-IF(AND(Projects!$G$27="Yes",CO$3=Projects!$C$27+Projects!$D$27-1),Projects!$B$27*(Assumptions!$B$10+Assumptions!$B$11+Assumptions!$B$12)*0.05,0)</f>
        <v/>
      </c>
      <c r="CP36" s="399">
        <f>IF(AND(Projects!$G$27="Yes",CP$3&gt;=Projects!$C$27,CP$3&lt;Projects!$C$27+Projects!$D$27),Projects!$B$27*INDEX(Curves!$B$4:$AR$4,1,CP$3-Projects!$C$27+1),0)-IF(AND(Projects!$G$27="Yes",CP$3&gt;=Projects!$C$27,CP$3&lt;Projects!$C$27+Projects!$D$27),Projects!$B$27*(Assumptions!$B$10+Assumptions!$B$11+Assumptions!$B$12)/Projects!$D$27*0.95,0)-IF(AND(Projects!$G$27="Yes",CP$3=Projects!$C$27+Projects!$D$27-1),Projects!$B$27*(Assumptions!$B$10+Assumptions!$B$11+Assumptions!$B$12)*0.05,0)</f>
        <v/>
      </c>
      <c r="CQ36" s="399">
        <f>IF(AND(Projects!$G$27="Yes",CQ$3&gt;=Projects!$C$27,CQ$3&lt;Projects!$C$27+Projects!$D$27),Projects!$B$27*INDEX(Curves!$B$4:$AR$4,1,CQ$3-Projects!$C$27+1),0)-IF(AND(Projects!$G$27="Yes",CQ$3&gt;=Projects!$C$27,CQ$3&lt;Projects!$C$27+Projects!$D$27),Projects!$B$27*(Assumptions!$B$10+Assumptions!$B$11+Assumptions!$B$12)/Projects!$D$27*0.95,0)-IF(AND(Projects!$G$27="Yes",CQ$3=Projects!$C$27+Projects!$D$27-1),Projects!$B$27*(Assumptions!$B$10+Assumptions!$B$11+Assumptions!$B$12)*0.05,0)</f>
        <v/>
      </c>
      <c r="CR36" s="399">
        <f>IF(AND(Projects!$G$27="Yes",CR$3&gt;=Projects!$C$27,CR$3&lt;Projects!$C$27+Projects!$D$27),Projects!$B$27*INDEX(Curves!$B$4:$AR$4,1,CR$3-Projects!$C$27+1),0)-IF(AND(Projects!$G$27="Yes",CR$3&gt;=Projects!$C$27,CR$3&lt;Projects!$C$27+Projects!$D$27),Projects!$B$27*(Assumptions!$B$10+Assumptions!$B$11+Assumptions!$B$12)/Projects!$D$27*0.95,0)-IF(AND(Projects!$G$27="Yes",CR$3=Projects!$C$27+Projects!$D$27-1),Projects!$B$27*(Assumptions!$B$10+Assumptions!$B$11+Assumptions!$B$12)*0.05,0)</f>
        <v/>
      </c>
      <c r="CS36" s="399">
        <f>IF(AND(Projects!$G$27="Yes",CS$3&gt;=Projects!$C$27,CS$3&lt;Projects!$C$27+Projects!$D$27),Projects!$B$27*INDEX(Curves!$B$4:$AR$4,1,CS$3-Projects!$C$27+1),0)-IF(AND(Projects!$G$27="Yes",CS$3&gt;=Projects!$C$27,CS$3&lt;Projects!$C$27+Projects!$D$27),Projects!$B$27*(Assumptions!$B$10+Assumptions!$B$11+Assumptions!$B$12)/Projects!$D$27*0.95,0)-IF(AND(Projects!$G$27="Yes",CS$3=Projects!$C$27+Projects!$D$27-1),Projects!$B$27*(Assumptions!$B$10+Assumptions!$B$11+Assumptions!$B$12)*0.05,0)</f>
        <v/>
      </c>
      <c r="CT36" s="399">
        <f>IF(AND(Projects!$G$27="Yes",CT$3&gt;=Projects!$C$27,CT$3&lt;Projects!$C$27+Projects!$D$27),Projects!$B$27*INDEX(Curves!$B$4:$AR$4,1,CT$3-Projects!$C$27+1),0)-IF(AND(Projects!$G$27="Yes",CT$3&gt;=Projects!$C$27,CT$3&lt;Projects!$C$27+Projects!$D$27),Projects!$B$27*(Assumptions!$B$10+Assumptions!$B$11+Assumptions!$B$12)/Projects!$D$27*0.95,0)-IF(AND(Projects!$G$27="Yes",CT$3=Projects!$C$27+Projects!$D$27-1),Projects!$B$27*(Assumptions!$B$10+Assumptions!$B$11+Assumptions!$B$12)*0.05,0)</f>
        <v/>
      </c>
      <c r="CU36" s="399">
        <f>IF(AND(Projects!$G$27="Yes",CU$3&gt;=Projects!$C$27,CU$3&lt;Projects!$C$27+Projects!$D$27),Projects!$B$27*INDEX(Curves!$B$4:$AR$4,1,CU$3-Projects!$C$27+1),0)-IF(AND(Projects!$G$27="Yes",CU$3&gt;=Projects!$C$27,CU$3&lt;Projects!$C$27+Projects!$D$27),Projects!$B$27*(Assumptions!$B$10+Assumptions!$B$11+Assumptions!$B$12)/Projects!$D$27*0.95,0)-IF(AND(Projects!$G$27="Yes",CU$3=Projects!$C$27+Projects!$D$27-1),Projects!$B$27*(Assumptions!$B$10+Assumptions!$B$11+Assumptions!$B$12)*0.05,0)</f>
        <v/>
      </c>
      <c r="CV36" s="399">
        <f>IF(AND(Projects!$G$27="Yes",CV$3&gt;=Projects!$C$27,CV$3&lt;Projects!$C$27+Projects!$D$27),Projects!$B$27*INDEX(Curves!$B$4:$AR$4,1,CV$3-Projects!$C$27+1),0)-IF(AND(Projects!$G$27="Yes",CV$3&gt;=Projects!$C$27,CV$3&lt;Projects!$C$27+Projects!$D$27),Projects!$B$27*(Assumptions!$B$10+Assumptions!$B$11+Assumptions!$B$12)/Projects!$D$27*0.95,0)-IF(AND(Projects!$G$27="Yes",CV$3=Projects!$C$27+Projects!$D$27-1),Projects!$B$27*(Assumptions!$B$10+Assumptions!$B$11+Assumptions!$B$12)*0.05,0)</f>
        <v/>
      </c>
      <c r="CW36" s="399">
        <f>IF(AND(Projects!$G$27="Yes",CW$3&gt;=Projects!$C$27,CW$3&lt;Projects!$C$27+Projects!$D$27),Projects!$B$27*INDEX(Curves!$B$4:$AR$4,1,CW$3-Projects!$C$27+1),0)-IF(AND(Projects!$G$27="Yes",CW$3&gt;=Projects!$C$27,CW$3&lt;Projects!$C$27+Projects!$D$27),Projects!$B$27*(Assumptions!$B$10+Assumptions!$B$11+Assumptions!$B$12)/Projects!$D$27*0.95,0)-IF(AND(Projects!$G$27="Yes",CW$3=Projects!$C$27+Projects!$D$27-1),Projects!$B$27*(Assumptions!$B$10+Assumptions!$B$11+Assumptions!$B$12)*0.05,0)</f>
        <v/>
      </c>
      <c r="CX36" s="399">
        <f>IF(AND(Projects!$G$27="Yes",CX$3&gt;=Projects!$C$27,CX$3&lt;Projects!$C$27+Projects!$D$27),Projects!$B$27*INDEX(Curves!$B$4:$AR$4,1,CX$3-Projects!$C$27+1),0)-IF(AND(Projects!$G$27="Yes",CX$3&gt;=Projects!$C$27,CX$3&lt;Projects!$C$27+Projects!$D$27),Projects!$B$27*(Assumptions!$B$10+Assumptions!$B$11+Assumptions!$B$12)/Projects!$D$27*0.95,0)-IF(AND(Projects!$G$27="Yes",CX$3=Projects!$C$27+Projects!$D$27-1),Projects!$B$27*(Assumptions!$B$10+Assumptions!$B$11+Assumptions!$B$12)*0.05,0)</f>
        <v/>
      </c>
      <c r="CY36" s="399">
        <f>IF(AND(Projects!$G$27="Yes",CY$3&gt;=Projects!$C$27,CY$3&lt;Projects!$C$27+Projects!$D$27),Projects!$B$27*INDEX(Curves!$B$4:$AR$4,1,CY$3-Projects!$C$27+1),0)-IF(AND(Projects!$G$27="Yes",CY$3&gt;=Projects!$C$27,CY$3&lt;Projects!$C$27+Projects!$D$27),Projects!$B$27*(Assumptions!$B$10+Assumptions!$B$11+Assumptions!$B$12)/Projects!$D$27*0.95,0)-IF(AND(Projects!$G$27="Yes",CY$3=Projects!$C$27+Projects!$D$27-1),Projects!$B$27*(Assumptions!$B$10+Assumptions!$B$11+Assumptions!$B$12)*0.05,0)</f>
        <v/>
      </c>
      <c r="CZ36" s="399">
        <f>IF(AND(Projects!$G$27="Yes",CZ$3&gt;=Projects!$C$27,CZ$3&lt;Projects!$C$27+Projects!$D$27),Projects!$B$27*INDEX(Curves!$B$4:$AR$4,1,CZ$3-Projects!$C$27+1),0)-IF(AND(Projects!$G$27="Yes",CZ$3&gt;=Projects!$C$27,CZ$3&lt;Projects!$C$27+Projects!$D$27),Projects!$B$27*(Assumptions!$B$10+Assumptions!$B$11+Assumptions!$B$12)/Projects!$D$27*0.95,0)-IF(AND(Projects!$G$27="Yes",CZ$3=Projects!$C$27+Projects!$D$27-1),Projects!$B$27*(Assumptions!$B$10+Assumptions!$B$11+Assumptions!$B$12)*0.05,0)</f>
        <v/>
      </c>
      <c r="DA36" s="399">
        <f>IF(AND(Projects!$G$27="Yes",DA$3&gt;=Projects!$C$27,DA$3&lt;Projects!$C$27+Projects!$D$27),Projects!$B$27*INDEX(Curves!$B$4:$AR$4,1,DA$3-Projects!$C$27+1),0)-IF(AND(Projects!$G$27="Yes",DA$3&gt;=Projects!$C$27,DA$3&lt;Projects!$C$27+Projects!$D$27),Projects!$B$27*(Assumptions!$B$10+Assumptions!$B$11+Assumptions!$B$12)/Projects!$D$27*0.95,0)-IF(AND(Projects!$G$27="Yes",DA$3=Projects!$C$27+Projects!$D$27-1),Projects!$B$27*(Assumptions!$B$10+Assumptions!$B$11+Assumptions!$B$12)*0.05,0)</f>
        <v/>
      </c>
      <c r="DB36" s="399">
        <f>IF(AND(Projects!$G$27="Yes",DB$3&gt;=Projects!$C$27,DB$3&lt;Projects!$C$27+Projects!$D$27),Projects!$B$27*INDEX(Curves!$B$4:$AR$4,1,DB$3-Projects!$C$27+1),0)-IF(AND(Projects!$G$27="Yes",DB$3&gt;=Projects!$C$27,DB$3&lt;Projects!$C$27+Projects!$D$27),Projects!$B$27*(Assumptions!$B$10+Assumptions!$B$11+Assumptions!$B$12)/Projects!$D$27*0.95,0)-IF(AND(Projects!$G$27="Yes",DB$3=Projects!$C$27+Projects!$D$27-1),Projects!$B$27*(Assumptions!$B$10+Assumptions!$B$11+Assumptions!$B$12)*0.05,0)</f>
        <v/>
      </c>
      <c r="DC36" s="399">
        <f>IF(AND(Projects!$G$27="Yes",DC$3&gt;=Projects!$C$27,DC$3&lt;Projects!$C$27+Projects!$D$27),Projects!$B$27*INDEX(Curves!$B$4:$AR$4,1,DC$3-Projects!$C$27+1),0)-IF(AND(Projects!$G$27="Yes",DC$3&gt;=Projects!$C$27,DC$3&lt;Projects!$C$27+Projects!$D$27),Projects!$B$27*(Assumptions!$B$10+Assumptions!$B$11+Assumptions!$B$12)/Projects!$D$27*0.95,0)-IF(AND(Projects!$G$27="Yes",DC$3=Projects!$C$27+Projects!$D$27-1),Projects!$B$27*(Assumptions!$B$10+Assumptions!$B$11+Assumptions!$B$12)*0.05,0)</f>
        <v/>
      </c>
      <c r="DD36" s="399">
        <f>IF(AND(Projects!$G$27="Yes",DD$3&gt;=Projects!$C$27,DD$3&lt;Projects!$C$27+Projects!$D$27),Projects!$B$27*INDEX(Curves!$B$4:$AR$4,1,DD$3-Projects!$C$27+1),0)-IF(AND(Projects!$G$27="Yes",DD$3&gt;=Projects!$C$27,DD$3&lt;Projects!$C$27+Projects!$D$27),Projects!$B$27*(Assumptions!$B$10+Assumptions!$B$11+Assumptions!$B$12)/Projects!$D$27*0.95,0)-IF(AND(Projects!$G$27="Yes",DD$3=Projects!$C$27+Projects!$D$27-1),Projects!$B$27*(Assumptions!$B$10+Assumptions!$B$11+Assumptions!$B$12)*0.05,0)</f>
        <v/>
      </c>
      <c r="DE36" s="399">
        <f>IF(AND(Projects!$G$27="Yes",DE$3&gt;=Projects!$C$27,DE$3&lt;Projects!$C$27+Projects!$D$27),Projects!$B$27*INDEX(Curves!$B$4:$AR$4,1,DE$3-Projects!$C$27+1),0)-IF(AND(Projects!$G$27="Yes",DE$3&gt;=Projects!$C$27,DE$3&lt;Projects!$C$27+Projects!$D$27),Projects!$B$27*(Assumptions!$B$10+Assumptions!$B$11+Assumptions!$B$12)/Projects!$D$27*0.95,0)-IF(AND(Projects!$G$27="Yes",DE$3=Projects!$C$27+Projects!$D$27-1),Projects!$B$27*(Assumptions!$B$10+Assumptions!$B$11+Assumptions!$B$12)*0.05,0)</f>
        <v/>
      </c>
    </row>
    <row r="37" hidden="1" outlineLevel="1" ht="15" customFormat="1" customHeight="1" s="380">
      <c r="A37" s="407" t="inlineStr">
        <is>
          <t>BD-12</t>
        </is>
      </c>
      <c r="B37" s="399" t="n">
        <v>0</v>
      </c>
      <c r="C37" s="399" t="n">
        <v>0</v>
      </c>
      <c r="D37" s="399" t="n">
        <v>0</v>
      </c>
      <c r="E37" s="399" t="n">
        <v>0</v>
      </c>
      <c r="F37" s="399">
        <f>IF(AND(Projects!$G$28="Yes",F$3&gt;=Projects!$C$28,F$3&lt;Projects!$C$28+Projects!$D$28),Projects!$B$28*INDEX(Curves!$B$4:$AR$4,1,F$3-Projects!$C$28+1),0)-IF(AND(Projects!$G$28="Yes",F$3&gt;=Projects!$C$28,F$3&lt;Projects!$C$28+Projects!$D$28),Projects!$B$28*(Assumptions!$B$10+Assumptions!$B$11+Assumptions!$B$12)/Projects!$D$28*0.95,0)-IF(AND(Projects!$G$28="Yes",F$3=Projects!$C$28+Projects!$D$28-1),Projects!$B$28*(Assumptions!$B$10+Assumptions!$B$11+Assumptions!$B$12)*0.05,0)</f>
        <v/>
      </c>
      <c r="G37" s="399">
        <f>IF(AND(Projects!$G$28="Yes",G$3&gt;=Projects!$C$28,G$3&lt;Projects!$C$28+Projects!$D$28),Projects!$B$28*INDEX(Curves!$B$4:$AR$4,1,G$3-Projects!$C$28+1),0)-IF(AND(Projects!$G$28="Yes",G$3&gt;=Projects!$C$28,G$3&lt;Projects!$C$28+Projects!$D$28),Projects!$B$28*(Assumptions!$B$10+Assumptions!$B$11+Assumptions!$B$12)/Projects!$D$28*0.95,0)-IF(AND(Projects!$G$28="Yes",G$3=Projects!$C$28+Projects!$D$28-1),Projects!$B$28*(Assumptions!$B$10+Assumptions!$B$11+Assumptions!$B$12)*0.05,0)</f>
        <v/>
      </c>
      <c r="H37" s="399">
        <f>IF(AND(Projects!$G$28="Yes",H$3&gt;=Projects!$C$28,H$3&lt;Projects!$C$28+Projects!$D$28),Projects!$B$28*INDEX(Curves!$B$4:$AR$4,1,H$3-Projects!$C$28+1),0)-IF(AND(Projects!$G$28="Yes",H$3&gt;=Projects!$C$28,H$3&lt;Projects!$C$28+Projects!$D$28),Projects!$B$28*(Assumptions!$B$10+Assumptions!$B$11+Assumptions!$B$12)/Projects!$D$28*0.95,0)-IF(AND(Projects!$G$28="Yes",H$3=Projects!$C$28+Projects!$D$28-1),Projects!$B$28*(Assumptions!$B$10+Assumptions!$B$11+Assumptions!$B$12)*0.05,0)</f>
        <v/>
      </c>
      <c r="I37" s="399">
        <f>IF(AND(Projects!$G$28="Yes",I$3&gt;=Projects!$C$28,I$3&lt;Projects!$C$28+Projects!$D$28),Projects!$B$28*INDEX(Curves!$B$4:$AR$4,1,I$3-Projects!$C$28+1),0)-IF(AND(Projects!$G$28="Yes",I$3&gt;=Projects!$C$28,I$3&lt;Projects!$C$28+Projects!$D$28),Projects!$B$28*(Assumptions!$B$10+Assumptions!$B$11+Assumptions!$B$12)/Projects!$D$28*0.95,0)-IF(AND(Projects!$G$28="Yes",I$3=Projects!$C$28+Projects!$D$28-1),Projects!$B$28*(Assumptions!$B$10+Assumptions!$B$11+Assumptions!$B$12)*0.05,0)</f>
        <v/>
      </c>
      <c r="J37" s="399">
        <f>IF(AND(Projects!$G$28="Yes",J$3&gt;=Projects!$C$28,J$3&lt;Projects!$C$28+Projects!$D$28),Projects!$B$28*INDEX(Curves!$B$4:$AR$4,1,J$3-Projects!$C$28+1),0)-IF(AND(Projects!$G$28="Yes",J$3&gt;=Projects!$C$28,J$3&lt;Projects!$C$28+Projects!$D$28),Projects!$B$28*(Assumptions!$B$10+Assumptions!$B$11+Assumptions!$B$12)/Projects!$D$28*0.95,0)-IF(AND(Projects!$G$28="Yes",J$3=Projects!$C$28+Projects!$D$28-1),Projects!$B$28*(Assumptions!$B$10+Assumptions!$B$11+Assumptions!$B$12)*0.05,0)</f>
        <v/>
      </c>
      <c r="K37" s="399">
        <f>IF(AND(Projects!$G$28="Yes",K$3&gt;=Projects!$C$28,K$3&lt;Projects!$C$28+Projects!$D$28),Projects!$B$28*INDEX(Curves!$B$4:$AR$4,1,K$3-Projects!$C$28+1),0)-IF(AND(Projects!$G$28="Yes",K$3&gt;=Projects!$C$28,K$3&lt;Projects!$C$28+Projects!$D$28),Projects!$B$28*(Assumptions!$B$10+Assumptions!$B$11+Assumptions!$B$12)/Projects!$D$28*0.95,0)-IF(AND(Projects!$G$28="Yes",K$3=Projects!$C$28+Projects!$D$28-1),Projects!$B$28*(Assumptions!$B$10+Assumptions!$B$11+Assumptions!$B$12)*0.05,0)</f>
        <v/>
      </c>
      <c r="L37" s="399">
        <f>IF(AND(Projects!$G$28="Yes",L$3&gt;=Projects!$C$28,L$3&lt;Projects!$C$28+Projects!$D$28),Projects!$B$28*INDEX(Curves!$B$4:$AR$4,1,L$3-Projects!$C$28+1),0)-IF(AND(Projects!$G$28="Yes",L$3&gt;=Projects!$C$28,L$3&lt;Projects!$C$28+Projects!$D$28),Projects!$B$28*(Assumptions!$B$10+Assumptions!$B$11+Assumptions!$B$12)/Projects!$D$28*0.95,0)-IF(AND(Projects!$G$28="Yes",L$3=Projects!$C$28+Projects!$D$28-1),Projects!$B$28*(Assumptions!$B$10+Assumptions!$B$11+Assumptions!$B$12)*0.05,0)</f>
        <v/>
      </c>
      <c r="M37" s="399">
        <f>IF(AND(Projects!$G$28="Yes",M$3&gt;=Projects!$C$28,M$3&lt;Projects!$C$28+Projects!$D$28),Projects!$B$28*INDEX(Curves!$B$4:$AR$4,1,M$3-Projects!$C$28+1),0)-IF(AND(Projects!$G$28="Yes",M$3&gt;=Projects!$C$28,M$3&lt;Projects!$C$28+Projects!$D$28),Projects!$B$28*(Assumptions!$B$10+Assumptions!$B$11+Assumptions!$B$12)/Projects!$D$28*0.95,0)-IF(AND(Projects!$G$28="Yes",M$3=Projects!$C$28+Projects!$D$28-1),Projects!$B$28*(Assumptions!$B$10+Assumptions!$B$11+Assumptions!$B$12)*0.05,0)</f>
        <v/>
      </c>
      <c r="N37" s="399">
        <f>IF(AND(Projects!$G$28="Yes",N$3&gt;=Projects!$C$28,N$3&lt;Projects!$C$28+Projects!$D$28),Projects!$B$28*INDEX(Curves!$B$4:$AR$4,1,N$3-Projects!$C$28+1),0)-IF(AND(Projects!$G$28="Yes",N$3&gt;=Projects!$C$28,N$3&lt;Projects!$C$28+Projects!$D$28),Projects!$B$28*(Assumptions!$B$10+Assumptions!$B$11+Assumptions!$B$12)/Projects!$D$28*0.95,0)-IF(AND(Projects!$G$28="Yes",N$3=Projects!$C$28+Projects!$D$28-1),Projects!$B$28*(Assumptions!$B$10+Assumptions!$B$11+Assumptions!$B$12)*0.05,0)</f>
        <v/>
      </c>
      <c r="O37" s="399">
        <f>IF(AND(Projects!$G$28="Yes",O$3&gt;=Projects!$C$28,O$3&lt;Projects!$C$28+Projects!$D$28),Projects!$B$28*INDEX(Curves!$B$4:$AR$4,1,O$3-Projects!$C$28+1),0)-IF(AND(Projects!$G$28="Yes",O$3&gt;=Projects!$C$28,O$3&lt;Projects!$C$28+Projects!$D$28),Projects!$B$28*(Assumptions!$B$10+Assumptions!$B$11+Assumptions!$B$12)/Projects!$D$28*0.95,0)-IF(AND(Projects!$G$28="Yes",O$3=Projects!$C$28+Projects!$D$28-1),Projects!$B$28*(Assumptions!$B$10+Assumptions!$B$11+Assumptions!$B$12)*0.05,0)</f>
        <v/>
      </c>
      <c r="P37" s="399">
        <f>IF(AND(Projects!$G$28="Yes",P$3&gt;=Projects!$C$28,P$3&lt;Projects!$C$28+Projects!$D$28),Projects!$B$28*INDEX(Curves!$B$4:$AR$4,1,P$3-Projects!$C$28+1),0)-IF(AND(Projects!$G$28="Yes",P$3&gt;=Projects!$C$28,P$3&lt;Projects!$C$28+Projects!$D$28),Projects!$B$28*(Assumptions!$B$10+Assumptions!$B$11+Assumptions!$B$12)/Projects!$D$28*0.95,0)-IF(AND(Projects!$G$28="Yes",P$3=Projects!$C$28+Projects!$D$28-1),Projects!$B$28*(Assumptions!$B$10+Assumptions!$B$11+Assumptions!$B$12)*0.05,0)</f>
        <v/>
      </c>
      <c r="Q37" s="399">
        <f>IF(AND(Projects!$G$28="Yes",Q$3&gt;=Projects!$C$28,Q$3&lt;Projects!$C$28+Projects!$D$28),Projects!$B$28*INDEX(Curves!$B$4:$AR$4,1,Q$3-Projects!$C$28+1),0)-IF(AND(Projects!$G$28="Yes",Q$3&gt;=Projects!$C$28,Q$3&lt;Projects!$C$28+Projects!$D$28),Projects!$B$28*(Assumptions!$B$10+Assumptions!$B$11+Assumptions!$B$12)/Projects!$D$28*0.95,0)-IF(AND(Projects!$G$28="Yes",Q$3=Projects!$C$28+Projects!$D$28-1),Projects!$B$28*(Assumptions!$B$10+Assumptions!$B$11+Assumptions!$B$12)*0.05,0)</f>
        <v/>
      </c>
      <c r="R37" s="399">
        <f>IF(AND(Projects!$G$28="Yes",R$3&gt;=Projects!$C$28,R$3&lt;Projects!$C$28+Projects!$D$28),Projects!$B$28*INDEX(Curves!$B$4:$AR$4,1,R$3-Projects!$C$28+1),0)-IF(AND(Projects!$G$28="Yes",R$3&gt;=Projects!$C$28,R$3&lt;Projects!$C$28+Projects!$D$28),Projects!$B$28*(Assumptions!$B$10+Assumptions!$B$11+Assumptions!$B$12)/Projects!$D$28*0.95,0)-IF(AND(Projects!$G$28="Yes",R$3=Projects!$C$28+Projects!$D$28-1),Projects!$B$28*(Assumptions!$B$10+Assumptions!$B$11+Assumptions!$B$12)*0.05,0)</f>
        <v/>
      </c>
      <c r="S37" s="399">
        <f>IF(AND(Projects!$G$28="Yes",S$3&gt;=Projects!$C$28,S$3&lt;Projects!$C$28+Projects!$D$28),Projects!$B$28*INDEX(Curves!$B$4:$AR$4,1,S$3-Projects!$C$28+1),0)-IF(AND(Projects!$G$28="Yes",S$3&gt;=Projects!$C$28,S$3&lt;Projects!$C$28+Projects!$D$28),Projects!$B$28*(Assumptions!$B$10+Assumptions!$B$11+Assumptions!$B$12)/Projects!$D$28*0.95,0)-IF(AND(Projects!$G$28="Yes",S$3=Projects!$C$28+Projects!$D$28-1),Projects!$B$28*(Assumptions!$B$10+Assumptions!$B$11+Assumptions!$B$12)*0.05,0)</f>
        <v/>
      </c>
      <c r="T37" s="399">
        <f>IF(AND(Projects!$G$28="Yes",T$3&gt;=Projects!$C$28,T$3&lt;Projects!$C$28+Projects!$D$28),Projects!$B$28*INDEX(Curves!$B$4:$AR$4,1,T$3-Projects!$C$28+1),0)-IF(AND(Projects!$G$28="Yes",T$3&gt;=Projects!$C$28,T$3&lt;Projects!$C$28+Projects!$D$28),Projects!$B$28*(Assumptions!$B$10+Assumptions!$B$11+Assumptions!$B$12)/Projects!$D$28*0.95,0)-IF(AND(Projects!$G$28="Yes",T$3=Projects!$C$28+Projects!$D$28-1),Projects!$B$28*(Assumptions!$B$10+Assumptions!$B$11+Assumptions!$B$12)*0.05,0)</f>
        <v/>
      </c>
      <c r="U37" s="399">
        <f>IF(AND(Projects!$G$28="Yes",U$3&gt;=Projects!$C$28,U$3&lt;Projects!$C$28+Projects!$D$28),Projects!$B$28*INDEX(Curves!$B$4:$AR$4,1,U$3-Projects!$C$28+1),0)-IF(AND(Projects!$G$28="Yes",U$3&gt;=Projects!$C$28,U$3&lt;Projects!$C$28+Projects!$D$28),Projects!$B$28*(Assumptions!$B$10+Assumptions!$B$11+Assumptions!$B$12)/Projects!$D$28*0.95,0)-IF(AND(Projects!$G$28="Yes",U$3=Projects!$C$28+Projects!$D$28-1),Projects!$B$28*(Assumptions!$B$10+Assumptions!$B$11+Assumptions!$B$12)*0.05,0)</f>
        <v/>
      </c>
      <c r="V37" s="399">
        <f>IF(AND(Projects!$G$28="Yes",V$3&gt;=Projects!$C$28,V$3&lt;Projects!$C$28+Projects!$D$28),Projects!$B$28*INDEX(Curves!$B$4:$AR$4,1,V$3-Projects!$C$28+1),0)-IF(AND(Projects!$G$28="Yes",V$3&gt;=Projects!$C$28,V$3&lt;Projects!$C$28+Projects!$D$28),Projects!$B$28*(Assumptions!$B$10+Assumptions!$B$11+Assumptions!$B$12)/Projects!$D$28*0.95,0)-IF(AND(Projects!$G$28="Yes",V$3=Projects!$C$28+Projects!$D$28-1),Projects!$B$28*(Assumptions!$B$10+Assumptions!$B$11+Assumptions!$B$12)*0.05,0)</f>
        <v/>
      </c>
      <c r="W37" s="399">
        <f>IF(AND(Projects!$G$28="Yes",W$3&gt;=Projects!$C$28,W$3&lt;Projects!$C$28+Projects!$D$28),Projects!$B$28*INDEX(Curves!$B$4:$AR$4,1,W$3-Projects!$C$28+1),0)-IF(AND(Projects!$G$28="Yes",W$3&gt;=Projects!$C$28,W$3&lt;Projects!$C$28+Projects!$D$28),Projects!$B$28*(Assumptions!$B$10+Assumptions!$B$11+Assumptions!$B$12)/Projects!$D$28*0.95,0)-IF(AND(Projects!$G$28="Yes",W$3=Projects!$C$28+Projects!$D$28-1),Projects!$B$28*(Assumptions!$B$10+Assumptions!$B$11+Assumptions!$B$12)*0.05,0)</f>
        <v/>
      </c>
      <c r="X37" s="399">
        <f>IF(AND(Projects!$G$28="Yes",X$3&gt;=Projects!$C$28,X$3&lt;Projects!$C$28+Projects!$D$28),Projects!$B$28*INDEX(Curves!$B$4:$AR$4,1,X$3-Projects!$C$28+1),0)-IF(AND(Projects!$G$28="Yes",X$3&gt;=Projects!$C$28,X$3&lt;Projects!$C$28+Projects!$D$28),Projects!$B$28*(Assumptions!$B$10+Assumptions!$B$11+Assumptions!$B$12)/Projects!$D$28*0.95,0)-IF(AND(Projects!$G$28="Yes",X$3=Projects!$C$28+Projects!$D$28-1),Projects!$B$28*(Assumptions!$B$10+Assumptions!$B$11+Assumptions!$B$12)*0.05,0)</f>
        <v/>
      </c>
      <c r="Y37" s="399">
        <f>IF(AND(Projects!$G$28="Yes",Y$3&gt;=Projects!$C$28,Y$3&lt;Projects!$C$28+Projects!$D$28),Projects!$B$28*INDEX(Curves!$B$4:$AR$4,1,Y$3-Projects!$C$28+1),0)-IF(AND(Projects!$G$28="Yes",Y$3&gt;=Projects!$C$28,Y$3&lt;Projects!$C$28+Projects!$D$28),Projects!$B$28*(Assumptions!$B$10+Assumptions!$B$11+Assumptions!$B$12)/Projects!$D$28*0.95,0)-IF(AND(Projects!$G$28="Yes",Y$3=Projects!$C$28+Projects!$D$28-1),Projects!$B$28*(Assumptions!$B$10+Assumptions!$B$11+Assumptions!$B$12)*0.05,0)</f>
        <v/>
      </c>
      <c r="Z37" s="399">
        <f>IF(AND(Projects!$G$28="Yes",Z$3&gt;=Projects!$C$28,Z$3&lt;Projects!$C$28+Projects!$D$28),Projects!$B$28*INDEX(Curves!$B$4:$AR$4,1,Z$3-Projects!$C$28+1),0)-IF(AND(Projects!$G$28="Yes",Z$3&gt;=Projects!$C$28,Z$3&lt;Projects!$C$28+Projects!$D$28),Projects!$B$28*(Assumptions!$B$10+Assumptions!$B$11+Assumptions!$B$12)/Projects!$D$28*0.95,0)-IF(AND(Projects!$G$28="Yes",Z$3=Projects!$C$28+Projects!$D$28-1),Projects!$B$28*(Assumptions!$B$10+Assumptions!$B$11+Assumptions!$B$12)*0.05,0)</f>
        <v/>
      </c>
      <c r="AA37" s="399">
        <f>IF(AND(Projects!$G$28="Yes",AA$3&gt;=Projects!$C$28,AA$3&lt;Projects!$C$28+Projects!$D$28),Projects!$B$28*INDEX(Curves!$B$4:$AR$4,1,AA$3-Projects!$C$28+1),0)-IF(AND(Projects!$G$28="Yes",AA$3&gt;=Projects!$C$28,AA$3&lt;Projects!$C$28+Projects!$D$28),Projects!$B$28*(Assumptions!$B$10+Assumptions!$B$11+Assumptions!$B$12)/Projects!$D$28*0.95,0)-IF(AND(Projects!$G$28="Yes",AA$3=Projects!$C$28+Projects!$D$28-1),Projects!$B$28*(Assumptions!$B$10+Assumptions!$B$11+Assumptions!$B$12)*0.05,0)</f>
        <v/>
      </c>
      <c r="AB37" s="399">
        <f>IF(AND(Projects!$G$28="Yes",AB$3&gt;=Projects!$C$28,AB$3&lt;Projects!$C$28+Projects!$D$28),Projects!$B$28*INDEX(Curves!$B$4:$AR$4,1,AB$3-Projects!$C$28+1),0)-IF(AND(Projects!$G$28="Yes",AB$3&gt;=Projects!$C$28,AB$3&lt;Projects!$C$28+Projects!$D$28),Projects!$B$28*(Assumptions!$B$10+Assumptions!$B$11+Assumptions!$B$12)/Projects!$D$28*0.95,0)-IF(AND(Projects!$G$28="Yes",AB$3=Projects!$C$28+Projects!$D$28-1),Projects!$B$28*(Assumptions!$B$10+Assumptions!$B$11+Assumptions!$B$12)*0.05,0)</f>
        <v/>
      </c>
      <c r="AC37" s="399">
        <f>IF(AND(Projects!$G$28="Yes",AC$3&gt;=Projects!$C$28,AC$3&lt;Projects!$C$28+Projects!$D$28),Projects!$B$28*INDEX(Curves!$B$4:$AR$4,1,AC$3-Projects!$C$28+1),0)-IF(AND(Projects!$G$28="Yes",AC$3&gt;=Projects!$C$28,AC$3&lt;Projects!$C$28+Projects!$D$28),Projects!$B$28*(Assumptions!$B$10+Assumptions!$B$11+Assumptions!$B$12)/Projects!$D$28*0.95,0)-IF(AND(Projects!$G$28="Yes",AC$3=Projects!$C$28+Projects!$D$28-1),Projects!$B$28*(Assumptions!$B$10+Assumptions!$B$11+Assumptions!$B$12)*0.05,0)</f>
        <v/>
      </c>
      <c r="AD37" s="399">
        <f>IF(AND(Projects!$G$28="Yes",AD$3&gt;=Projects!$C$28,AD$3&lt;Projects!$C$28+Projects!$D$28),Projects!$B$28*INDEX(Curves!$B$4:$AR$4,1,AD$3-Projects!$C$28+1),0)-IF(AND(Projects!$G$28="Yes",AD$3&gt;=Projects!$C$28,AD$3&lt;Projects!$C$28+Projects!$D$28),Projects!$B$28*(Assumptions!$B$10+Assumptions!$B$11+Assumptions!$B$12)/Projects!$D$28*0.95,0)-IF(AND(Projects!$G$28="Yes",AD$3=Projects!$C$28+Projects!$D$28-1),Projects!$B$28*(Assumptions!$B$10+Assumptions!$B$11+Assumptions!$B$12)*0.05,0)</f>
        <v/>
      </c>
      <c r="AE37" s="399">
        <f>IF(AND(Projects!$G$28="Yes",AE$3&gt;=Projects!$C$28,AE$3&lt;Projects!$C$28+Projects!$D$28),Projects!$B$28*INDEX(Curves!$B$4:$AR$4,1,AE$3-Projects!$C$28+1),0)-IF(AND(Projects!$G$28="Yes",AE$3&gt;=Projects!$C$28,AE$3&lt;Projects!$C$28+Projects!$D$28),Projects!$B$28*(Assumptions!$B$10+Assumptions!$B$11+Assumptions!$B$12)/Projects!$D$28*0.95,0)-IF(AND(Projects!$G$28="Yes",AE$3=Projects!$C$28+Projects!$D$28-1),Projects!$B$28*(Assumptions!$B$10+Assumptions!$B$11+Assumptions!$B$12)*0.05,0)</f>
        <v/>
      </c>
      <c r="AF37" s="399">
        <f>IF(AND(Projects!$G$28="Yes",AF$3&gt;=Projects!$C$28,AF$3&lt;Projects!$C$28+Projects!$D$28),Projects!$B$28*INDEX(Curves!$B$4:$AR$4,1,AF$3-Projects!$C$28+1),0)-IF(AND(Projects!$G$28="Yes",AF$3&gt;=Projects!$C$28,AF$3&lt;Projects!$C$28+Projects!$D$28),Projects!$B$28*(Assumptions!$B$10+Assumptions!$B$11+Assumptions!$B$12)/Projects!$D$28*0.95,0)-IF(AND(Projects!$G$28="Yes",AF$3=Projects!$C$28+Projects!$D$28-1),Projects!$B$28*(Assumptions!$B$10+Assumptions!$B$11+Assumptions!$B$12)*0.05,0)</f>
        <v/>
      </c>
      <c r="AG37" s="399">
        <f>IF(AND(Projects!$G$28="Yes",AG$3&gt;=Projects!$C$28,AG$3&lt;Projects!$C$28+Projects!$D$28),Projects!$B$28*INDEX(Curves!$B$4:$AR$4,1,AG$3-Projects!$C$28+1),0)-IF(AND(Projects!$G$28="Yes",AG$3&gt;=Projects!$C$28,AG$3&lt;Projects!$C$28+Projects!$D$28),Projects!$B$28*(Assumptions!$B$10+Assumptions!$B$11+Assumptions!$B$12)/Projects!$D$28*0.95,0)-IF(AND(Projects!$G$28="Yes",AG$3=Projects!$C$28+Projects!$D$28-1),Projects!$B$28*(Assumptions!$B$10+Assumptions!$B$11+Assumptions!$B$12)*0.05,0)</f>
        <v/>
      </c>
      <c r="AH37" s="399">
        <f>IF(AND(Projects!$G$28="Yes",AH$3&gt;=Projects!$C$28,AH$3&lt;Projects!$C$28+Projects!$D$28),Projects!$B$28*INDEX(Curves!$B$4:$AR$4,1,AH$3-Projects!$C$28+1),0)-IF(AND(Projects!$G$28="Yes",AH$3&gt;=Projects!$C$28,AH$3&lt;Projects!$C$28+Projects!$D$28),Projects!$B$28*(Assumptions!$B$10+Assumptions!$B$11+Assumptions!$B$12)/Projects!$D$28*0.95,0)-IF(AND(Projects!$G$28="Yes",AH$3=Projects!$C$28+Projects!$D$28-1),Projects!$B$28*(Assumptions!$B$10+Assumptions!$B$11+Assumptions!$B$12)*0.05,0)</f>
        <v/>
      </c>
      <c r="AI37" s="399">
        <f>IF(AND(Projects!$G$28="Yes",AI$3&gt;=Projects!$C$28,AI$3&lt;Projects!$C$28+Projects!$D$28),Projects!$B$28*INDEX(Curves!$B$4:$AR$4,1,AI$3-Projects!$C$28+1),0)-IF(AND(Projects!$G$28="Yes",AI$3&gt;=Projects!$C$28,AI$3&lt;Projects!$C$28+Projects!$D$28),Projects!$B$28*(Assumptions!$B$10+Assumptions!$B$11+Assumptions!$B$12)/Projects!$D$28*0.95,0)-IF(AND(Projects!$G$28="Yes",AI$3=Projects!$C$28+Projects!$D$28-1),Projects!$B$28*(Assumptions!$B$10+Assumptions!$B$11+Assumptions!$B$12)*0.05,0)</f>
        <v/>
      </c>
      <c r="AJ37" s="399">
        <f>IF(AND(Projects!$G$28="Yes",AJ$3&gt;=Projects!$C$28,AJ$3&lt;Projects!$C$28+Projects!$D$28),Projects!$B$28*INDEX(Curves!$B$4:$AR$4,1,AJ$3-Projects!$C$28+1),0)-IF(AND(Projects!$G$28="Yes",AJ$3&gt;=Projects!$C$28,AJ$3&lt;Projects!$C$28+Projects!$D$28),Projects!$B$28*(Assumptions!$B$10+Assumptions!$B$11+Assumptions!$B$12)/Projects!$D$28*0.95,0)-IF(AND(Projects!$G$28="Yes",AJ$3=Projects!$C$28+Projects!$D$28-1),Projects!$B$28*(Assumptions!$B$10+Assumptions!$B$11+Assumptions!$B$12)*0.05,0)</f>
        <v/>
      </c>
      <c r="AK37" s="399">
        <f>IF(AND(Projects!$G$28="Yes",AK$3&gt;=Projects!$C$28,AK$3&lt;Projects!$C$28+Projects!$D$28),Projects!$B$28*INDEX(Curves!$B$4:$AR$4,1,AK$3-Projects!$C$28+1),0)-IF(AND(Projects!$G$28="Yes",AK$3&gt;=Projects!$C$28,AK$3&lt;Projects!$C$28+Projects!$D$28),Projects!$B$28*(Assumptions!$B$10+Assumptions!$B$11+Assumptions!$B$12)/Projects!$D$28*0.95,0)-IF(AND(Projects!$G$28="Yes",AK$3=Projects!$C$28+Projects!$D$28-1),Projects!$B$28*(Assumptions!$B$10+Assumptions!$B$11+Assumptions!$B$12)*0.05,0)</f>
        <v/>
      </c>
      <c r="AL37" s="399">
        <f>IF(AND(Projects!$G$28="Yes",AL$3&gt;=Projects!$C$28,AL$3&lt;Projects!$C$28+Projects!$D$28),Projects!$B$28*INDEX(Curves!$B$4:$AR$4,1,AL$3-Projects!$C$28+1),0)-IF(AND(Projects!$G$28="Yes",AL$3&gt;=Projects!$C$28,AL$3&lt;Projects!$C$28+Projects!$D$28),Projects!$B$28*(Assumptions!$B$10+Assumptions!$B$11+Assumptions!$B$12)/Projects!$D$28*0.95,0)-IF(AND(Projects!$G$28="Yes",AL$3=Projects!$C$28+Projects!$D$28-1),Projects!$B$28*(Assumptions!$B$10+Assumptions!$B$11+Assumptions!$B$12)*0.05,0)</f>
        <v/>
      </c>
      <c r="AM37" s="399">
        <f>IF(AND(Projects!$G$28="Yes",AM$3&gt;=Projects!$C$28,AM$3&lt;Projects!$C$28+Projects!$D$28),Projects!$B$28*INDEX(Curves!$B$4:$AR$4,1,AM$3-Projects!$C$28+1),0)-IF(AND(Projects!$G$28="Yes",AM$3&gt;=Projects!$C$28,AM$3&lt;Projects!$C$28+Projects!$D$28),Projects!$B$28*(Assumptions!$B$10+Assumptions!$B$11+Assumptions!$B$12)/Projects!$D$28*0.95,0)-IF(AND(Projects!$G$28="Yes",AM$3=Projects!$C$28+Projects!$D$28-1),Projects!$B$28*(Assumptions!$B$10+Assumptions!$B$11+Assumptions!$B$12)*0.05,0)</f>
        <v/>
      </c>
      <c r="AN37" s="399">
        <f>IF(AND(Projects!$G$28="Yes",AN$3&gt;=Projects!$C$28,AN$3&lt;Projects!$C$28+Projects!$D$28),Projects!$B$28*INDEX(Curves!$B$4:$AR$4,1,AN$3-Projects!$C$28+1),0)-IF(AND(Projects!$G$28="Yes",AN$3&gt;=Projects!$C$28,AN$3&lt;Projects!$C$28+Projects!$D$28),Projects!$B$28*(Assumptions!$B$10+Assumptions!$B$11+Assumptions!$B$12)/Projects!$D$28*0.95,0)-IF(AND(Projects!$G$28="Yes",AN$3=Projects!$C$28+Projects!$D$28-1),Projects!$B$28*(Assumptions!$B$10+Assumptions!$B$11+Assumptions!$B$12)*0.05,0)</f>
        <v/>
      </c>
      <c r="AO37" s="399">
        <f>IF(AND(Projects!$G$28="Yes",AO$3&gt;=Projects!$C$28,AO$3&lt;Projects!$C$28+Projects!$D$28),Projects!$B$28*INDEX(Curves!$B$4:$AR$4,1,AO$3-Projects!$C$28+1),0)-IF(AND(Projects!$G$28="Yes",AO$3&gt;=Projects!$C$28,AO$3&lt;Projects!$C$28+Projects!$D$28),Projects!$B$28*(Assumptions!$B$10+Assumptions!$B$11+Assumptions!$B$12)/Projects!$D$28*0.95,0)-IF(AND(Projects!$G$28="Yes",AO$3=Projects!$C$28+Projects!$D$28-1),Projects!$B$28*(Assumptions!$B$10+Assumptions!$B$11+Assumptions!$B$12)*0.05,0)</f>
        <v/>
      </c>
      <c r="AP37" s="399">
        <f>IF(AND(Projects!$G$28="Yes",AP$3&gt;=Projects!$C$28,AP$3&lt;Projects!$C$28+Projects!$D$28),Projects!$B$28*INDEX(Curves!$B$4:$AR$4,1,AP$3-Projects!$C$28+1),0)-IF(AND(Projects!$G$28="Yes",AP$3&gt;=Projects!$C$28,AP$3&lt;Projects!$C$28+Projects!$D$28),Projects!$B$28*(Assumptions!$B$10+Assumptions!$B$11+Assumptions!$B$12)/Projects!$D$28*0.95,0)-IF(AND(Projects!$G$28="Yes",AP$3=Projects!$C$28+Projects!$D$28-1),Projects!$B$28*(Assumptions!$B$10+Assumptions!$B$11+Assumptions!$B$12)*0.05,0)</f>
        <v/>
      </c>
      <c r="AQ37" s="399">
        <f>IF(AND(Projects!$G$28="Yes",AQ$3&gt;=Projects!$C$28,AQ$3&lt;Projects!$C$28+Projects!$D$28),Projects!$B$28*INDEX(Curves!$B$4:$AR$4,1,AQ$3-Projects!$C$28+1),0)-IF(AND(Projects!$G$28="Yes",AQ$3&gt;=Projects!$C$28,AQ$3&lt;Projects!$C$28+Projects!$D$28),Projects!$B$28*(Assumptions!$B$10+Assumptions!$B$11+Assumptions!$B$12)/Projects!$D$28*0.95,0)-IF(AND(Projects!$G$28="Yes",AQ$3=Projects!$C$28+Projects!$D$28-1),Projects!$B$28*(Assumptions!$B$10+Assumptions!$B$11+Assumptions!$B$12)*0.05,0)</f>
        <v/>
      </c>
      <c r="AR37" s="399">
        <f>IF(AND(Projects!$G$28="Yes",AR$3&gt;=Projects!$C$28,AR$3&lt;Projects!$C$28+Projects!$D$28),Projects!$B$28*INDEX(Curves!$B$4:$AR$4,1,AR$3-Projects!$C$28+1),0)-IF(AND(Projects!$G$28="Yes",AR$3&gt;=Projects!$C$28,AR$3&lt;Projects!$C$28+Projects!$D$28),Projects!$B$28*(Assumptions!$B$10+Assumptions!$B$11+Assumptions!$B$12)/Projects!$D$28*0.95,0)-IF(AND(Projects!$G$28="Yes",AR$3=Projects!$C$28+Projects!$D$28-1),Projects!$B$28*(Assumptions!$B$10+Assumptions!$B$11+Assumptions!$B$12)*0.05,0)</f>
        <v/>
      </c>
      <c r="AS37" s="399">
        <f>IF(AND(Projects!$G$28="Yes",AS$3&gt;=Projects!$C$28,AS$3&lt;Projects!$C$28+Projects!$D$28),Projects!$B$28*INDEX(Curves!$B$4:$AR$4,1,AS$3-Projects!$C$28+1),0)-IF(AND(Projects!$G$28="Yes",AS$3&gt;=Projects!$C$28,AS$3&lt;Projects!$C$28+Projects!$D$28),Projects!$B$28*(Assumptions!$B$10+Assumptions!$B$11+Assumptions!$B$12)/Projects!$D$28*0.95,0)-IF(AND(Projects!$G$28="Yes",AS$3=Projects!$C$28+Projects!$D$28-1),Projects!$B$28*(Assumptions!$B$10+Assumptions!$B$11+Assumptions!$B$12)*0.05,0)</f>
        <v/>
      </c>
      <c r="AT37" s="399">
        <f>IF(AND(Projects!$G$28="Yes",AT$3&gt;=Projects!$C$28,AT$3&lt;Projects!$C$28+Projects!$D$28),Projects!$B$28*INDEX(Curves!$B$4:$AR$4,1,AT$3-Projects!$C$28+1),0)-IF(AND(Projects!$G$28="Yes",AT$3&gt;=Projects!$C$28,AT$3&lt;Projects!$C$28+Projects!$D$28),Projects!$B$28*(Assumptions!$B$10+Assumptions!$B$11+Assumptions!$B$12)/Projects!$D$28*0.95,0)-IF(AND(Projects!$G$28="Yes",AT$3=Projects!$C$28+Projects!$D$28-1),Projects!$B$28*(Assumptions!$B$10+Assumptions!$B$11+Assumptions!$B$12)*0.05,0)</f>
        <v/>
      </c>
      <c r="AU37" s="399">
        <f>IF(AND(Projects!$G$28="Yes",AU$3&gt;=Projects!$C$28,AU$3&lt;Projects!$C$28+Projects!$D$28),Projects!$B$28*INDEX(Curves!$B$4:$AR$4,1,AU$3-Projects!$C$28+1),0)-IF(AND(Projects!$G$28="Yes",AU$3&gt;=Projects!$C$28,AU$3&lt;Projects!$C$28+Projects!$D$28),Projects!$B$28*(Assumptions!$B$10+Assumptions!$B$11+Assumptions!$B$12)/Projects!$D$28*0.95,0)-IF(AND(Projects!$G$28="Yes",AU$3=Projects!$C$28+Projects!$D$28-1),Projects!$B$28*(Assumptions!$B$10+Assumptions!$B$11+Assumptions!$B$12)*0.05,0)</f>
        <v/>
      </c>
      <c r="AV37" s="399">
        <f>IF(AND(Projects!$G$28="Yes",AV$3&gt;=Projects!$C$28,AV$3&lt;Projects!$C$28+Projects!$D$28),Projects!$B$28*INDEX(Curves!$B$4:$AR$4,1,AV$3-Projects!$C$28+1),0)-IF(AND(Projects!$G$28="Yes",AV$3&gt;=Projects!$C$28,AV$3&lt;Projects!$C$28+Projects!$D$28),Projects!$B$28*(Assumptions!$B$10+Assumptions!$B$11+Assumptions!$B$12)/Projects!$D$28*0.95,0)-IF(AND(Projects!$G$28="Yes",AV$3=Projects!$C$28+Projects!$D$28-1),Projects!$B$28*(Assumptions!$B$10+Assumptions!$B$11+Assumptions!$B$12)*0.05,0)</f>
        <v/>
      </c>
      <c r="AW37" s="399">
        <f>IF(AND(Projects!$G$28="Yes",AW$3&gt;=Projects!$C$28,AW$3&lt;Projects!$C$28+Projects!$D$28),Projects!$B$28*INDEX(Curves!$B$4:$AR$4,1,AW$3-Projects!$C$28+1),0)-IF(AND(Projects!$G$28="Yes",AW$3&gt;=Projects!$C$28,AW$3&lt;Projects!$C$28+Projects!$D$28),Projects!$B$28*(Assumptions!$B$10+Assumptions!$B$11+Assumptions!$B$12)/Projects!$D$28*0.95,0)-IF(AND(Projects!$G$28="Yes",AW$3=Projects!$C$28+Projects!$D$28-1),Projects!$B$28*(Assumptions!$B$10+Assumptions!$B$11+Assumptions!$B$12)*0.05,0)</f>
        <v/>
      </c>
      <c r="AX37" s="399">
        <f>IF(AND(Projects!$G$28="Yes",AX$3&gt;=Projects!$C$28,AX$3&lt;Projects!$C$28+Projects!$D$28),Projects!$B$28*INDEX(Curves!$B$4:$AR$4,1,AX$3-Projects!$C$28+1),0)-IF(AND(Projects!$G$28="Yes",AX$3&gt;=Projects!$C$28,AX$3&lt;Projects!$C$28+Projects!$D$28),Projects!$B$28*(Assumptions!$B$10+Assumptions!$B$11+Assumptions!$B$12)/Projects!$D$28*0.95,0)-IF(AND(Projects!$G$28="Yes",AX$3=Projects!$C$28+Projects!$D$28-1),Projects!$B$28*(Assumptions!$B$10+Assumptions!$B$11+Assumptions!$B$12)*0.05,0)</f>
        <v/>
      </c>
      <c r="AY37" s="399">
        <f>IF(AND(Projects!$G$28="Yes",AY$3&gt;=Projects!$C$28,AY$3&lt;Projects!$C$28+Projects!$D$28),Projects!$B$28*INDEX(Curves!$B$4:$AR$4,1,AY$3-Projects!$C$28+1),0)-IF(AND(Projects!$G$28="Yes",AY$3&gt;=Projects!$C$28,AY$3&lt;Projects!$C$28+Projects!$D$28),Projects!$B$28*(Assumptions!$B$10+Assumptions!$B$11+Assumptions!$B$12)/Projects!$D$28*0.95,0)-IF(AND(Projects!$G$28="Yes",AY$3=Projects!$C$28+Projects!$D$28-1),Projects!$B$28*(Assumptions!$B$10+Assumptions!$B$11+Assumptions!$B$12)*0.05,0)</f>
        <v/>
      </c>
      <c r="AZ37" s="399">
        <f>IF(AND(Projects!$G$28="Yes",AZ$3&gt;=Projects!$C$28,AZ$3&lt;Projects!$C$28+Projects!$D$28),Projects!$B$28*INDEX(Curves!$B$4:$AR$4,1,AZ$3-Projects!$C$28+1),0)-IF(AND(Projects!$G$28="Yes",AZ$3&gt;=Projects!$C$28,AZ$3&lt;Projects!$C$28+Projects!$D$28),Projects!$B$28*(Assumptions!$B$10+Assumptions!$B$11+Assumptions!$B$12)/Projects!$D$28*0.95,0)-IF(AND(Projects!$G$28="Yes",AZ$3=Projects!$C$28+Projects!$D$28-1),Projects!$B$28*(Assumptions!$B$10+Assumptions!$B$11+Assumptions!$B$12)*0.05,0)</f>
        <v/>
      </c>
      <c r="BA37" s="399">
        <f>IF(AND(Projects!$G$28="Yes",BA$3&gt;=Projects!$C$28,BA$3&lt;Projects!$C$28+Projects!$D$28),Projects!$B$28*INDEX(Curves!$B$4:$AR$4,1,BA$3-Projects!$C$28+1),0)-IF(AND(Projects!$G$28="Yes",BA$3&gt;=Projects!$C$28,BA$3&lt;Projects!$C$28+Projects!$D$28),Projects!$B$28*(Assumptions!$B$10+Assumptions!$B$11+Assumptions!$B$12)/Projects!$D$28*0.95,0)-IF(AND(Projects!$G$28="Yes",BA$3=Projects!$C$28+Projects!$D$28-1),Projects!$B$28*(Assumptions!$B$10+Assumptions!$B$11+Assumptions!$B$12)*0.05,0)</f>
        <v/>
      </c>
      <c r="BB37" s="399">
        <f>IF(AND(Projects!$G$28="Yes",BB$3&gt;=Projects!$C$28,BB$3&lt;Projects!$C$28+Projects!$D$28),Projects!$B$28*INDEX(Curves!$B$4:$AR$4,1,BB$3-Projects!$C$28+1),0)-IF(AND(Projects!$G$28="Yes",BB$3&gt;=Projects!$C$28,BB$3&lt;Projects!$C$28+Projects!$D$28),Projects!$B$28*(Assumptions!$B$10+Assumptions!$B$11+Assumptions!$B$12)/Projects!$D$28*0.95,0)-IF(AND(Projects!$G$28="Yes",BB$3=Projects!$C$28+Projects!$D$28-1),Projects!$B$28*(Assumptions!$B$10+Assumptions!$B$11+Assumptions!$B$12)*0.05,0)</f>
        <v/>
      </c>
      <c r="BC37" s="399">
        <f>IF(AND(Projects!$G$28="Yes",BC$3&gt;=Projects!$C$28,BC$3&lt;Projects!$C$28+Projects!$D$28),Projects!$B$28*INDEX(Curves!$B$4:$AR$4,1,BC$3-Projects!$C$28+1),0)-IF(AND(Projects!$G$28="Yes",BC$3&gt;=Projects!$C$28,BC$3&lt;Projects!$C$28+Projects!$D$28),Projects!$B$28*(Assumptions!$B$10+Assumptions!$B$11+Assumptions!$B$12)/Projects!$D$28*0.95,0)-IF(AND(Projects!$G$28="Yes",BC$3=Projects!$C$28+Projects!$D$28-1),Projects!$B$28*(Assumptions!$B$10+Assumptions!$B$11+Assumptions!$B$12)*0.05,0)</f>
        <v/>
      </c>
      <c r="BD37" s="399">
        <f>IF(AND(Projects!$G$28="Yes",BD$3&gt;=Projects!$C$28,BD$3&lt;Projects!$C$28+Projects!$D$28),Projects!$B$28*INDEX(Curves!$B$4:$AR$4,1,BD$3-Projects!$C$28+1),0)-IF(AND(Projects!$G$28="Yes",BD$3&gt;=Projects!$C$28,BD$3&lt;Projects!$C$28+Projects!$D$28),Projects!$B$28*(Assumptions!$B$10+Assumptions!$B$11+Assumptions!$B$12)/Projects!$D$28*0.95,0)-IF(AND(Projects!$G$28="Yes",BD$3=Projects!$C$28+Projects!$D$28-1),Projects!$B$28*(Assumptions!$B$10+Assumptions!$B$11+Assumptions!$B$12)*0.05,0)</f>
        <v/>
      </c>
      <c r="BE37" s="399">
        <f>IF(AND(Projects!$G$28="Yes",BE$3&gt;=Projects!$C$28,BE$3&lt;Projects!$C$28+Projects!$D$28),Projects!$B$28*INDEX(Curves!$B$4:$AR$4,1,BE$3-Projects!$C$28+1),0)-IF(AND(Projects!$G$28="Yes",BE$3&gt;=Projects!$C$28,BE$3&lt;Projects!$C$28+Projects!$D$28),Projects!$B$28*(Assumptions!$B$10+Assumptions!$B$11+Assumptions!$B$12)/Projects!$D$28*0.95,0)-IF(AND(Projects!$G$28="Yes",BE$3=Projects!$C$28+Projects!$D$28-1),Projects!$B$28*(Assumptions!$B$10+Assumptions!$B$11+Assumptions!$B$12)*0.05,0)</f>
        <v/>
      </c>
      <c r="BF37" s="399">
        <f>IF(AND(Projects!$G$28="Yes",BF$3&gt;=Projects!$C$28,BF$3&lt;Projects!$C$28+Projects!$D$28),Projects!$B$28*INDEX(Curves!$B$4:$AR$4,1,BF$3-Projects!$C$28+1),0)-IF(AND(Projects!$G$28="Yes",BF$3&gt;=Projects!$C$28,BF$3&lt;Projects!$C$28+Projects!$D$28),Projects!$B$28*(Assumptions!$B$10+Assumptions!$B$11+Assumptions!$B$12)/Projects!$D$28*0.95,0)-IF(AND(Projects!$G$28="Yes",BF$3=Projects!$C$28+Projects!$D$28-1),Projects!$B$28*(Assumptions!$B$10+Assumptions!$B$11+Assumptions!$B$12)*0.05,0)</f>
        <v/>
      </c>
      <c r="BG37" s="399">
        <f>IF(AND(Projects!$G$28="Yes",BG$3&gt;=Projects!$C$28,BG$3&lt;Projects!$C$28+Projects!$D$28),Projects!$B$28*INDEX(Curves!$B$4:$AR$4,1,BG$3-Projects!$C$28+1),0)-IF(AND(Projects!$G$28="Yes",BG$3&gt;=Projects!$C$28,BG$3&lt;Projects!$C$28+Projects!$D$28),Projects!$B$28*(Assumptions!$B$10+Assumptions!$B$11+Assumptions!$B$12)/Projects!$D$28*0.95,0)-IF(AND(Projects!$G$28="Yes",BG$3=Projects!$C$28+Projects!$D$28-1),Projects!$B$28*(Assumptions!$B$10+Assumptions!$B$11+Assumptions!$B$12)*0.05,0)</f>
        <v/>
      </c>
      <c r="BH37" s="399">
        <f>IF(AND(Projects!$G$28="Yes",BH$3&gt;=Projects!$C$28,BH$3&lt;Projects!$C$28+Projects!$D$28),Projects!$B$28*INDEX(Curves!$B$4:$AR$4,1,BH$3-Projects!$C$28+1),0)-IF(AND(Projects!$G$28="Yes",BH$3&gt;=Projects!$C$28,BH$3&lt;Projects!$C$28+Projects!$D$28),Projects!$B$28*(Assumptions!$B$10+Assumptions!$B$11+Assumptions!$B$12)/Projects!$D$28*0.95,0)-IF(AND(Projects!$G$28="Yes",BH$3=Projects!$C$28+Projects!$D$28-1),Projects!$B$28*(Assumptions!$B$10+Assumptions!$B$11+Assumptions!$B$12)*0.05,0)</f>
        <v/>
      </c>
      <c r="BI37" s="399">
        <f>IF(AND(Projects!$G$28="Yes",BI$3&gt;=Projects!$C$28,BI$3&lt;Projects!$C$28+Projects!$D$28),Projects!$B$28*INDEX(Curves!$B$4:$AR$4,1,BI$3-Projects!$C$28+1),0)-IF(AND(Projects!$G$28="Yes",BI$3&gt;=Projects!$C$28,BI$3&lt;Projects!$C$28+Projects!$D$28),Projects!$B$28*(Assumptions!$B$10+Assumptions!$B$11+Assumptions!$B$12)/Projects!$D$28*0.95,0)-IF(AND(Projects!$G$28="Yes",BI$3=Projects!$C$28+Projects!$D$28-1),Projects!$B$28*(Assumptions!$B$10+Assumptions!$B$11+Assumptions!$B$12)*0.05,0)</f>
        <v/>
      </c>
      <c r="BJ37" s="399">
        <f>IF(AND(Projects!$G$28="Yes",BJ$3&gt;=Projects!$C$28,BJ$3&lt;Projects!$C$28+Projects!$D$28),Projects!$B$28*INDEX(Curves!$B$4:$AR$4,1,BJ$3-Projects!$C$28+1),0)-IF(AND(Projects!$G$28="Yes",BJ$3&gt;=Projects!$C$28,BJ$3&lt;Projects!$C$28+Projects!$D$28),Projects!$B$28*(Assumptions!$B$10+Assumptions!$B$11+Assumptions!$B$12)/Projects!$D$28*0.95,0)-IF(AND(Projects!$G$28="Yes",BJ$3=Projects!$C$28+Projects!$D$28-1),Projects!$B$28*(Assumptions!$B$10+Assumptions!$B$11+Assumptions!$B$12)*0.05,0)</f>
        <v/>
      </c>
      <c r="BK37" s="399">
        <f>IF(AND(Projects!$G$28="Yes",BK$3&gt;=Projects!$C$28,BK$3&lt;Projects!$C$28+Projects!$D$28),Projects!$B$28*INDEX(Curves!$B$4:$AR$4,1,BK$3-Projects!$C$28+1),0)-IF(AND(Projects!$G$28="Yes",BK$3&gt;=Projects!$C$28,BK$3&lt;Projects!$C$28+Projects!$D$28),Projects!$B$28*(Assumptions!$B$10+Assumptions!$B$11+Assumptions!$B$12)/Projects!$D$28*0.95,0)-IF(AND(Projects!$G$28="Yes",BK$3=Projects!$C$28+Projects!$D$28-1),Projects!$B$28*(Assumptions!$B$10+Assumptions!$B$11+Assumptions!$B$12)*0.05,0)</f>
        <v/>
      </c>
      <c r="BL37" s="399">
        <f>IF(AND(Projects!$G$28="Yes",BL$3&gt;=Projects!$C$28,BL$3&lt;Projects!$C$28+Projects!$D$28),Projects!$B$28*INDEX(Curves!$B$4:$AR$4,1,BL$3-Projects!$C$28+1),0)-IF(AND(Projects!$G$28="Yes",BL$3&gt;=Projects!$C$28,BL$3&lt;Projects!$C$28+Projects!$D$28),Projects!$B$28*(Assumptions!$B$10+Assumptions!$B$11+Assumptions!$B$12)/Projects!$D$28*0.95,0)-IF(AND(Projects!$G$28="Yes",BL$3=Projects!$C$28+Projects!$D$28-1),Projects!$B$28*(Assumptions!$B$10+Assumptions!$B$11+Assumptions!$B$12)*0.05,0)</f>
        <v/>
      </c>
      <c r="BM37" s="399">
        <f>IF(AND(Projects!$G$28="Yes",BM$3&gt;=Projects!$C$28,BM$3&lt;Projects!$C$28+Projects!$D$28),Projects!$B$28*INDEX(Curves!$B$4:$AR$4,1,BM$3-Projects!$C$28+1),0)-IF(AND(Projects!$G$28="Yes",BM$3&gt;=Projects!$C$28,BM$3&lt;Projects!$C$28+Projects!$D$28),Projects!$B$28*(Assumptions!$B$10+Assumptions!$B$11+Assumptions!$B$12)/Projects!$D$28*0.95,0)-IF(AND(Projects!$G$28="Yes",BM$3=Projects!$C$28+Projects!$D$28-1),Projects!$B$28*(Assumptions!$B$10+Assumptions!$B$11+Assumptions!$B$12)*0.05,0)</f>
        <v/>
      </c>
      <c r="BN37" s="399">
        <f>IF(AND(Projects!$G$28="Yes",BN$3&gt;=Projects!$C$28,BN$3&lt;Projects!$C$28+Projects!$D$28),Projects!$B$28*INDEX(Curves!$B$4:$AR$4,1,BN$3-Projects!$C$28+1),0)-IF(AND(Projects!$G$28="Yes",BN$3&gt;=Projects!$C$28,BN$3&lt;Projects!$C$28+Projects!$D$28),Projects!$B$28*(Assumptions!$B$10+Assumptions!$B$11+Assumptions!$B$12)/Projects!$D$28*0.95,0)-IF(AND(Projects!$G$28="Yes",BN$3=Projects!$C$28+Projects!$D$28-1),Projects!$B$28*(Assumptions!$B$10+Assumptions!$B$11+Assumptions!$B$12)*0.05,0)</f>
        <v/>
      </c>
      <c r="BO37" s="399">
        <f>IF(AND(Projects!$G$28="Yes",BO$3&gt;=Projects!$C$28,BO$3&lt;Projects!$C$28+Projects!$D$28),Projects!$B$28*INDEX(Curves!$B$4:$AR$4,1,BO$3-Projects!$C$28+1),0)-IF(AND(Projects!$G$28="Yes",BO$3&gt;=Projects!$C$28,BO$3&lt;Projects!$C$28+Projects!$D$28),Projects!$B$28*(Assumptions!$B$10+Assumptions!$B$11+Assumptions!$B$12)/Projects!$D$28*0.95,0)-IF(AND(Projects!$G$28="Yes",BO$3=Projects!$C$28+Projects!$D$28-1),Projects!$B$28*(Assumptions!$B$10+Assumptions!$B$11+Assumptions!$B$12)*0.05,0)</f>
        <v/>
      </c>
      <c r="BP37" s="399">
        <f>IF(AND(Projects!$G$28="Yes",BP$3&gt;=Projects!$C$28,BP$3&lt;Projects!$C$28+Projects!$D$28),Projects!$B$28*INDEX(Curves!$B$4:$AR$4,1,BP$3-Projects!$C$28+1),0)-IF(AND(Projects!$G$28="Yes",BP$3&gt;=Projects!$C$28,BP$3&lt;Projects!$C$28+Projects!$D$28),Projects!$B$28*(Assumptions!$B$10+Assumptions!$B$11+Assumptions!$B$12)/Projects!$D$28*0.95,0)-IF(AND(Projects!$G$28="Yes",BP$3=Projects!$C$28+Projects!$D$28-1),Projects!$B$28*(Assumptions!$B$10+Assumptions!$B$11+Assumptions!$B$12)*0.05,0)</f>
        <v/>
      </c>
      <c r="BQ37" s="399">
        <f>IF(AND(Projects!$G$28="Yes",BQ$3&gt;=Projects!$C$28,BQ$3&lt;Projects!$C$28+Projects!$D$28),Projects!$B$28*INDEX(Curves!$B$4:$AR$4,1,BQ$3-Projects!$C$28+1),0)-IF(AND(Projects!$G$28="Yes",BQ$3&gt;=Projects!$C$28,BQ$3&lt;Projects!$C$28+Projects!$D$28),Projects!$B$28*(Assumptions!$B$10+Assumptions!$B$11+Assumptions!$B$12)/Projects!$D$28*0.95,0)-IF(AND(Projects!$G$28="Yes",BQ$3=Projects!$C$28+Projects!$D$28-1),Projects!$B$28*(Assumptions!$B$10+Assumptions!$B$11+Assumptions!$B$12)*0.05,0)</f>
        <v/>
      </c>
      <c r="BR37" s="399">
        <f>IF(AND(Projects!$G$28="Yes",BR$3&gt;=Projects!$C$28,BR$3&lt;Projects!$C$28+Projects!$D$28),Projects!$B$28*INDEX(Curves!$B$4:$AR$4,1,BR$3-Projects!$C$28+1),0)-IF(AND(Projects!$G$28="Yes",BR$3&gt;=Projects!$C$28,BR$3&lt;Projects!$C$28+Projects!$D$28),Projects!$B$28*(Assumptions!$B$10+Assumptions!$B$11+Assumptions!$B$12)/Projects!$D$28*0.95,0)-IF(AND(Projects!$G$28="Yes",BR$3=Projects!$C$28+Projects!$D$28-1),Projects!$B$28*(Assumptions!$B$10+Assumptions!$B$11+Assumptions!$B$12)*0.05,0)</f>
        <v/>
      </c>
      <c r="BS37" s="399">
        <f>IF(AND(Projects!$G$28="Yes",BS$3&gt;=Projects!$C$28,BS$3&lt;Projects!$C$28+Projects!$D$28),Projects!$B$28*INDEX(Curves!$B$4:$AR$4,1,BS$3-Projects!$C$28+1),0)-IF(AND(Projects!$G$28="Yes",BS$3&gt;=Projects!$C$28,BS$3&lt;Projects!$C$28+Projects!$D$28),Projects!$B$28*(Assumptions!$B$10+Assumptions!$B$11+Assumptions!$B$12)/Projects!$D$28*0.95,0)-IF(AND(Projects!$G$28="Yes",BS$3=Projects!$C$28+Projects!$D$28-1),Projects!$B$28*(Assumptions!$B$10+Assumptions!$B$11+Assumptions!$B$12)*0.05,0)</f>
        <v/>
      </c>
      <c r="BT37" s="399">
        <f>IF(AND(Projects!$G$28="Yes",BT$3&gt;=Projects!$C$28,BT$3&lt;Projects!$C$28+Projects!$D$28),Projects!$B$28*INDEX(Curves!$B$4:$AR$4,1,BT$3-Projects!$C$28+1),0)-IF(AND(Projects!$G$28="Yes",BT$3&gt;=Projects!$C$28,BT$3&lt;Projects!$C$28+Projects!$D$28),Projects!$B$28*(Assumptions!$B$10+Assumptions!$B$11+Assumptions!$B$12)/Projects!$D$28*0.95,0)-IF(AND(Projects!$G$28="Yes",BT$3=Projects!$C$28+Projects!$D$28-1),Projects!$B$28*(Assumptions!$B$10+Assumptions!$B$11+Assumptions!$B$12)*0.05,0)</f>
        <v/>
      </c>
      <c r="BU37" s="399">
        <f>IF(AND(Projects!$G$28="Yes",BU$3&gt;=Projects!$C$28,BU$3&lt;Projects!$C$28+Projects!$D$28),Projects!$B$28*INDEX(Curves!$B$4:$AR$4,1,BU$3-Projects!$C$28+1),0)-IF(AND(Projects!$G$28="Yes",BU$3&gt;=Projects!$C$28,BU$3&lt;Projects!$C$28+Projects!$D$28),Projects!$B$28*(Assumptions!$B$10+Assumptions!$B$11+Assumptions!$B$12)/Projects!$D$28*0.95,0)-IF(AND(Projects!$G$28="Yes",BU$3=Projects!$C$28+Projects!$D$28-1),Projects!$B$28*(Assumptions!$B$10+Assumptions!$B$11+Assumptions!$B$12)*0.05,0)</f>
        <v/>
      </c>
      <c r="BV37" s="399">
        <f>IF(AND(Projects!$G$28="Yes",BV$3&gt;=Projects!$C$28,BV$3&lt;Projects!$C$28+Projects!$D$28),Projects!$B$28*INDEX(Curves!$B$4:$AR$4,1,BV$3-Projects!$C$28+1),0)-IF(AND(Projects!$G$28="Yes",BV$3&gt;=Projects!$C$28,BV$3&lt;Projects!$C$28+Projects!$D$28),Projects!$B$28*(Assumptions!$B$10+Assumptions!$B$11+Assumptions!$B$12)/Projects!$D$28*0.95,0)-IF(AND(Projects!$G$28="Yes",BV$3=Projects!$C$28+Projects!$D$28-1),Projects!$B$28*(Assumptions!$B$10+Assumptions!$B$11+Assumptions!$B$12)*0.05,0)</f>
        <v/>
      </c>
      <c r="BW37" s="399">
        <f>IF(AND(Projects!$G$28="Yes",BW$3&gt;=Projects!$C$28,BW$3&lt;Projects!$C$28+Projects!$D$28),Projects!$B$28*INDEX(Curves!$B$4:$AR$4,1,BW$3-Projects!$C$28+1),0)-IF(AND(Projects!$G$28="Yes",BW$3&gt;=Projects!$C$28,BW$3&lt;Projects!$C$28+Projects!$D$28),Projects!$B$28*(Assumptions!$B$10+Assumptions!$B$11+Assumptions!$B$12)/Projects!$D$28*0.95,0)-IF(AND(Projects!$G$28="Yes",BW$3=Projects!$C$28+Projects!$D$28-1),Projects!$B$28*(Assumptions!$B$10+Assumptions!$B$11+Assumptions!$B$12)*0.05,0)</f>
        <v/>
      </c>
      <c r="BX37" s="399">
        <f>IF(AND(Projects!$G$28="Yes",BX$3&gt;=Projects!$C$28,BX$3&lt;Projects!$C$28+Projects!$D$28),Projects!$B$28*INDEX(Curves!$B$4:$AR$4,1,BX$3-Projects!$C$28+1),0)-IF(AND(Projects!$G$28="Yes",BX$3&gt;=Projects!$C$28,BX$3&lt;Projects!$C$28+Projects!$D$28),Projects!$B$28*(Assumptions!$B$10+Assumptions!$B$11+Assumptions!$B$12)/Projects!$D$28*0.95,0)-IF(AND(Projects!$G$28="Yes",BX$3=Projects!$C$28+Projects!$D$28-1),Projects!$B$28*(Assumptions!$B$10+Assumptions!$B$11+Assumptions!$B$12)*0.05,0)</f>
        <v/>
      </c>
      <c r="BY37" s="399">
        <f>IF(AND(Projects!$G$28="Yes",BY$3&gt;=Projects!$C$28,BY$3&lt;Projects!$C$28+Projects!$D$28),Projects!$B$28*INDEX(Curves!$B$4:$AR$4,1,BY$3-Projects!$C$28+1),0)-IF(AND(Projects!$G$28="Yes",BY$3&gt;=Projects!$C$28,BY$3&lt;Projects!$C$28+Projects!$D$28),Projects!$B$28*(Assumptions!$B$10+Assumptions!$B$11+Assumptions!$B$12)/Projects!$D$28*0.95,0)-IF(AND(Projects!$G$28="Yes",BY$3=Projects!$C$28+Projects!$D$28-1),Projects!$B$28*(Assumptions!$B$10+Assumptions!$B$11+Assumptions!$B$12)*0.05,0)</f>
        <v/>
      </c>
      <c r="BZ37" s="399">
        <f>IF(AND(Projects!$G$28="Yes",BZ$3&gt;=Projects!$C$28,BZ$3&lt;Projects!$C$28+Projects!$D$28),Projects!$B$28*INDEX(Curves!$B$4:$AR$4,1,BZ$3-Projects!$C$28+1),0)-IF(AND(Projects!$G$28="Yes",BZ$3&gt;=Projects!$C$28,BZ$3&lt;Projects!$C$28+Projects!$D$28),Projects!$B$28*(Assumptions!$B$10+Assumptions!$B$11+Assumptions!$B$12)/Projects!$D$28*0.95,0)-IF(AND(Projects!$G$28="Yes",BZ$3=Projects!$C$28+Projects!$D$28-1),Projects!$B$28*(Assumptions!$B$10+Assumptions!$B$11+Assumptions!$B$12)*0.05,0)</f>
        <v/>
      </c>
      <c r="CA37" s="399">
        <f>IF(AND(Projects!$G$28="Yes",CA$3&gt;=Projects!$C$28,CA$3&lt;Projects!$C$28+Projects!$D$28),Projects!$B$28*INDEX(Curves!$B$4:$AR$4,1,CA$3-Projects!$C$28+1),0)-IF(AND(Projects!$G$28="Yes",CA$3&gt;=Projects!$C$28,CA$3&lt;Projects!$C$28+Projects!$D$28),Projects!$B$28*(Assumptions!$B$10+Assumptions!$B$11+Assumptions!$B$12)/Projects!$D$28*0.95,0)-IF(AND(Projects!$G$28="Yes",CA$3=Projects!$C$28+Projects!$D$28-1),Projects!$B$28*(Assumptions!$B$10+Assumptions!$B$11+Assumptions!$B$12)*0.05,0)</f>
        <v/>
      </c>
      <c r="CB37" s="399">
        <f>IF(AND(Projects!$G$28="Yes",CB$3&gt;=Projects!$C$28,CB$3&lt;Projects!$C$28+Projects!$D$28),Projects!$B$28*INDEX(Curves!$B$4:$AR$4,1,CB$3-Projects!$C$28+1),0)-IF(AND(Projects!$G$28="Yes",CB$3&gt;=Projects!$C$28,CB$3&lt;Projects!$C$28+Projects!$D$28),Projects!$B$28*(Assumptions!$B$10+Assumptions!$B$11+Assumptions!$B$12)/Projects!$D$28*0.95,0)-IF(AND(Projects!$G$28="Yes",CB$3=Projects!$C$28+Projects!$D$28-1),Projects!$B$28*(Assumptions!$B$10+Assumptions!$B$11+Assumptions!$B$12)*0.05,0)</f>
        <v/>
      </c>
      <c r="CC37" s="399">
        <f>IF(AND(Projects!$G$28="Yes",CC$3&gt;=Projects!$C$28,CC$3&lt;Projects!$C$28+Projects!$D$28),Projects!$B$28*INDEX(Curves!$B$4:$AR$4,1,CC$3-Projects!$C$28+1),0)-IF(AND(Projects!$G$28="Yes",CC$3&gt;=Projects!$C$28,CC$3&lt;Projects!$C$28+Projects!$D$28),Projects!$B$28*(Assumptions!$B$10+Assumptions!$B$11+Assumptions!$B$12)/Projects!$D$28*0.95,0)-IF(AND(Projects!$G$28="Yes",CC$3=Projects!$C$28+Projects!$D$28-1),Projects!$B$28*(Assumptions!$B$10+Assumptions!$B$11+Assumptions!$B$12)*0.05,0)</f>
        <v/>
      </c>
      <c r="CD37" s="399">
        <f>IF(AND(Projects!$G$28="Yes",CD$3&gt;=Projects!$C$28,CD$3&lt;Projects!$C$28+Projects!$D$28),Projects!$B$28*INDEX(Curves!$B$4:$AR$4,1,CD$3-Projects!$C$28+1),0)-IF(AND(Projects!$G$28="Yes",CD$3&gt;=Projects!$C$28,CD$3&lt;Projects!$C$28+Projects!$D$28),Projects!$B$28*(Assumptions!$B$10+Assumptions!$B$11+Assumptions!$B$12)/Projects!$D$28*0.95,0)-IF(AND(Projects!$G$28="Yes",CD$3=Projects!$C$28+Projects!$D$28-1),Projects!$B$28*(Assumptions!$B$10+Assumptions!$B$11+Assumptions!$B$12)*0.05,0)</f>
        <v/>
      </c>
      <c r="CE37" s="399">
        <f>IF(AND(Projects!$G$28="Yes",CE$3&gt;=Projects!$C$28,CE$3&lt;Projects!$C$28+Projects!$D$28),Projects!$B$28*INDEX(Curves!$B$4:$AR$4,1,CE$3-Projects!$C$28+1),0)-IF(AND(Projects!$G$28="Yes",CE$3&gt;=Projects!$C$28,CE$3&lt;Projects!$C$28+Projects!$D$28),Projects!$B$28*(Assumptions!$B$10+Assumptions!$B$11+Assumptions!$B$12)/Projects!$D$28*0.95,0)-IF(AND(Projects!$G$28="Yes",CE$3=Projects!$C$28+Projects!$D$28-1),Projects!$B$28*(Assumptions!$B$10+Assumptions!$B$11+Assumptions!$B$12)*0.05,0)</f>
        <v/>
      </c>
      <c r="CF37" s="399">
        <f>IF(AND(Projects!$G$28="Yes",CF$3&gt;=Projects!$C$28,CF$3&lt;Projects!$C$28+Projects!$D$28),Projects!$B$28*INDEX(Curves!$B$4:$AR$4,1,CF$3-Projects!$C$28+1),0)-IF(AND(Projects!$G$28="Yes",CF$3&gt;=Projects!$C$28,CF$3&lt;Projects!$C$28+Projects!$D$28),Projects!$B$28*(Assumptions!$B$10+Assumptions!$B$11+Assumptions!$B$12)/Projects!$D$28*0.95,0)-IF(AND(Projects!$G$28="Yes",CF$3=Projects!$C$28+Projects!$D$28-1),Projects!$B$28*(Assumptions!$B$10+Assumptions!$B$11+Assumptions!$B$12)*0.05,0)</f>
        <v/>
      </c>
      <c r="CG37" s="399">
        <f>IF(AND(Projects!$G$28="Yes",CG$3&gt;=Projects!$C$28,CG$3&lt;Projects!$C$28+Projects!$D$28),Projects!$B$28*INDEX(Curves!$B$4:$AR$4,1,CG$3-Projects!$C$28+1),0)-IF(AND(Projects!$G$28="Yes",CG$3&gt;=Projects!$C$28,CG$3&lt;Projects!$C$28+Projects!$D$28),Projects!$B$28*(Assumptions!$B$10+Assumptions!$B$11+Assumptions!$B$12)/Projects!$D$28*0.95,0)-IF(AND(Projects!$G$28="Yes",CG$3=Projects!$C$28+Projects!$D$28-1),Projects!$B$28*(Assumptions!$B$10+Assumptions!$B$11+Assumptions!$B$12)*0.05,0)</f>
        <v/>
      </c>
      <c r="CH37" s="399">
        <f>IF(AND(Projects!$G$28="Yes",CH$3&gt;=Projects!$C$28,CH$3&lt;Projects!$C$28+Projects!$D$28),Projects!$B$28*INDEX(Curves!$B$4:$AR$4,1,CH$3-Projects!$C$28+1),0)-IF(AND(Projects!$G$28="Yes",CH$3&gt;=Projects!$C$28,CH$3&lt;Projects!$C$28+Projects!$D$28),Projects!$B$28*(Assumptions!$B$10+Assumptions!$B$11+Assumptions!$B$12)/Projects!$D$28*0.95,0)-IF(AND(Projects!$G$28="Yes",CH$3=Projects!$C$28+Projects!$D$28-1),Projects!$B$28*(Assumptions!$B$10+Assumptions!$B$11+Assumptions!$B$12)*0.05,0)</f>
        <v/>
      </c>
      <c r="CI37" s="399">
        <f>IF(AND(Projects!$G$28="Yes",CI$3&gt;=Projects!$C$28,CI$3&lt;Projects!$C$28+Projects!$D$28),Projects!$B$28*INDEX(Curves!$B$4:$AR$4,1,CI$3-Projects!$C$28+1),0)-IF(AND(Projects!$G$28="Yes",CI$3&gt;=Projects!$C$28,CI$3&lt;Projects!$C$28+Projects!$D$28),Projects!$B$28*(Assumptions!$B$10+Assumptions!$B$11+Assumptions!$B$12)/Projects!$D$28*0.95,0)-IF(AND(Projects!$G$28="Yes",CI$3=Projects!$C$28+Projects!$D$28-1),Projects!$B$28*(Assumptions!$B$10+Assumptions!$B$11+Assumptions!$B$12)*0.05,0)</f>
        <v/>
      </c>
      <c r="CJ37" s="399">
        <f>IF(AND(Projects!$G$28="Yes",CJ$3&gt;=Projects!$C$28,CJ$3&lt;Projects!$C$28+Projects!$D$28),Projects!$B$28*INDEX(Curves!$B$4:$AR$4,1,CJ$3-Projects!$C$28+1),0)-IF(AND(Projects!$G$28="Yes",CJ$3&gt;=Projects!$C$28,CJ$3&lt;Projects!$C$28+Projects!$D$28),Projects!$B$28*(Assumptions!$B$10+Assumptions!$B$11+Assumptions!$B$12)/Projects!$D$28*0.95,0)-IF(AND(Projects!$G$28="Yes",CJ$3=Projects!$C$28+Projects!$D$28-1),Projects!$B$28*(Assumptions!$B$10+Assumptions!$B$11+Assumptions!$B$12)*0.05,0)</f>
        <v/>
      </c>
      <c r="CK37" s="399">
        <f>IF(AND(Projects!$G$28="Yes",CK$3&gt;=Projects!$C$28,CK$3&lt;Projects!$C$28+Projects!$D$28),Projects!$B$28*INDEX(Curves!$B$4:$AR$4,1,CK$3-Projects!$C$28+1),0)-IF(AND(Projects!$G$28="Yes",CK$3&gt;=Projects!$C$28,CK$3&lt;Projects!$C$28+Projects!$D$28),Projects!$B$28*(Assumptions!$B$10+Assumptions!$B$11+Assumptions!$B$12)/Projects!$D$28*0.95,0)-IF(AND(Projects!$G$28="Yes",CK$3=Projects!$C$28+Projects!$D$28-1),Projects!$B$28*(Assumptions!$B$10+Assumptions!$B$11+Assumptions!$B$12)*0.05,0)</f>
        <v/>
      </c>
      <c r="CL37" s="399">
        <f>IF(AND(Projects!$G$28="Yes",CL$3&gt;=Projects!$C$28,CL$3&lt;Projects!$C$28+Projects!$D$28),Projects!$B$28*INDEX(Curves!$B$4:$AR$4,1,CL$3-Projects!$C$28+1),0)-IF(AND(Projects!$G$28="Yes",CL$3&gt;=Projects!$C$28,CL$3&lt;Projects!$C$28+Projects!$D$28),Projects!$B$28*(Assumptions!$B$10+Assumptions!$B$11+Assumptions!$B$12)/Projects!$D$28*0.95,0)-IF(AND(Projects!$G$28="Yes",CL$3=Projects!$C$28+Projects!$D$28-1),Projects!$B$28*(Assumptions!$B$10+Assumptions!$B$11+Assumptions!$B$12)*0.05,0)</f>
        <v/>
      </c>
      <c r="CM37" s="399">
        <f>IF(AND(Projects!$G$28="Yes",CM$3&gt;=Projects!$C$28,CM$3&lt;Projects!$C$28+Projects!$D$28),Projects!$B$28*INDEX(Curves!$B$4:$AR$4,1,CM$3-Projects!$C$28+1),0)-IF(AND(Projects!$G$28="Yes",CM$3&gt;=Projects!$C$28,CM$3&lt;Projects!$C$28+Projects!$D$28),Projects!$B$28*(Assumptions!$B$10+Assumptions!$B$11+Assumptions!$B$12)/Projects!$D$28*0.95,0)-IF(AND(Projects!$G$28="Yes",CM$3=Projects!$C$28+Projects!$D$28-1),Projects!$B$28*(Assumptions!$B$10+Assumptions!$B$11+Assumptions!$B$12)*0.05,0)</f>
        <v/>
      </c>
      <c r="CN37" s="399">
        <f>IF(AND(Projects!$G$28="Yes",CN$3&gt;=Projects!$C$28,CN$3&lt;Projects!$C$28+Projects!$D$28),Projects!$B$28*INDEX(Curves!$B$4:$AR$4,1,CN$3-Projects!$C$28+1),0)-IF(AND(Projects!$G$28="Yes",CN$3&gt;=Projects!$C$28,CN$3&lt;Projects!$C$28+Projects!$D$28),Projects!$B$28*(Assumptions!$B$10+Assumptions!$B$11+Assumptions!$B$12)/Projects!$D$28*0.95,0)-IF(AND(Projects!$G$28="Yes",CN$3=Projects!$C$28+Projects!$D$28-1),Projects!$B$28*(Assumptions!$B$10+Assumptions!$B$11+Assumptions!$B$12)*0.05,0)</f>
        <v/>
      </c>
      <c r="CO37" s="399">
        <f>IF(AND(Projects!$G$28="Yes",CO$3&gt;=Projects!$C$28,CO$3&lt;Projects!$C$28+Projects!$D$28),Projects!$B$28*INDEX(Curves!$B$4:$AR$4,1,CO$3-Projects!$C$28+1),0)-IF(AND(Projects!$G$28="Yes",CO$3&gt;=Projects!$C$28,CO$3&lt;Projects!$C$28+Projects!$D$28),Projects!$B$28*(Assumptions!$B$10+Assumptions!$B$11+Assumptions!$B$12)/Projects!$D$28*0.95,0)-IF(AND(Projects!$G$28="Yes",CO$3=Projects!$C$28+Projects!$D$28-1),Projects!$B$28*(Assumptions!$B$10+Assumptions!$B$11+Assumptions!$B$12)*0.05,0)</f>
        <v/>
      </c>
      <c r="CP37" s="399">
        <f>IF(AND(Projects!$G$28="Yes",CP$3&gt;=Projects!$C$28,CP$3&lt;Projects!$C$28+Projects!$D$28),Projects!$B$28*INDEX(Curves!$B$4:$AR$4,1,CP$3-Projects!$C$28+1),0)-IF(AND(Projects!$G$28="Yes",CP$3&gt;=Projects!$C$28,CP$3&lt;Projects!$C$28+Projects!$D$28),Projects!$B$28*(Assumptions!$B$10+Assumptions!$B$11+Assumptions!$B$12)/Projects!$D$28*0.95,0)-IF(AND(Projects!$G$28="Yes",CP$3=Projects!$C$28+Projects!$D$28-1),Projects!$B$28*(Assumptions!$B$10+Assumptions!$B$11+Assumptions!$B$12)*0.05,0)</f>
        <v/>
      </c>
      <c r="CQ37" s="399">
        <f>IF(AND(Projects!$G$28="Yes",CQ$3&gt;=Projects!$C$28,CQ$3&lt;Projects!$C$28+Projects!$D$28),Projects!$B$28*INDEX(Curves!$B$4:$AR$4,1,CQ$3-Projects!$C$28+1),0)-IF(AND(Projects!$G$28="Yes",CQ$3&gt;=Projects!$C$28,CQ$3&lt;Projects!$C$28+Projects!$D$28),Projects!$B$28*(Assumptions!$B$10+Assumptions!$B$11+Assumptions!$B$12)/Projects!$D$28*0.95,0)-IF(AND(Projects!$G$28="Yes",CQ$3=Projects!$C$28+Projects!$D$28-1),Projects!$B$28*(Assumptions!$B$10+Assumptions!$B$11+Assumptions!$B$12)*0.05,0)</f>
        <v/>
      </c>
      <c r="CR37" s="399">
        <f>IF(AND(Projects!$G$28="Yes",CR$3&gt;=Projects!$C$28,CR$3&lt;Projects!$C$28+Projects!$D$28),Projects!$B$28*INDEX(Curves!$B$4:$AR$4,1,CR$3-Projects!$C$28+1),0)-IF(AND(Projects!$G$28="Yes",CR$3&gt;=Projects!$C$28,CR$3&lt;Projects!$C$28+Projects!$D$28),Projects!$B$28*(Assumptions!$B$10+Assumptions!$B$11+Assumptions!$B$12)/Projects!$D$28*0.95,0)-IF(AND(Projects!$G$28="Yes",CR$3=Projects!$C$28+Projects!$D$28-1),Projects!$B$28*(Assumptions!$B$10+Assumptions!$B$11+Assumptions!$B$12)*0.05,0)</f>
        <v/>
      </c>
      <c r="CS37" s="399">
        <f>IF(AND(Projects!$G$28="Yes",CS$3&gt;=Projects!$C$28,CS$3&lt;Projects!$C$28+Projects!$D$28),Projects!$B$28*INDEX(Curves!$B$4:$AR$4,1,CS$3-Projects!$C$28+1),0)-IF(AND(Projects!$G$28="Yes",CS$3&gt;=Projects!$C$28,CS$3&lt;Projects!$C$28+Projects!$D$28),Projects!$B$28*(Assumptions!$B$10+Assumptions!$B$11+Assumptions!$B$12)/Projects!$D$28*0.95,0)-IF(AND(Projects!$G$28="Yes",CS$3=Projects!$C$28+Projects!$D$28-1),Projects!$B$28*(Assumptions!$B$10+Assumptions!$B$11+Assumptions!$B$12)*0.05,0)</f>
        <v/>
      </c>
      <c r="CT37" s="399">
        <f>IF(AND(Projects!$G$28="Yes",CT$3&gt;=Projects!$C$28,CT$3&lt;Projects!$C$28+Projects!$D$28),Projects!$B$28*INDEX(Curves!$B$4:$AR$4,1,CT$3-Projects!$C$28+1),0)-IF(AND(Projects!$G$28="Yes",CT$3&gt;=Projects!$C$28,CT$3&lt;Projects!$C$28+Projects!$D$28),Projects!$B$28*(Assumptions!$B$10+Assumptions!$B$11+Assumptions!$B$12)/Projects!$D$28*0.95,0)-IF(AND(Projects!$G$28="Yes",CT$3=Projects!$C$28+Projects!$D$28-1),Projects!$B$28*(Assumptions!$B$10+Assumptions!$B$11+Assumptions!$B$12)*0.05,0)</f>
        <v/>
      </c>
      <c r="CU37" s="399">
        <f>IF(AND(Projects!$G$28="Yes",CU$3&gt;=Projects!$C$28,CU$3&lt;Projects!$C$28+Projects!$D$28),Projects!$B$28*INDEX(Curves!$B$4:$AR$4,1,CU$3-Projects!$C$28+1),0)-IF(AND(Projects!$G$28="Yes",CU$3&gt;=Projects!$C$28,CU$3&lt;Projects!$C$28+Projects!$D$28),Projects!$B$28*(Assumptions!$B$10+Assumptions!$B$11+Assumptions!$B$12)/Projects!$D$28*0.95,0)-IF(AND(Projects!$G$28="Yes",CU$3=Projects!$C$28+Projects!$D$28-1),Projects!$B$28*(Assumptions!$B$10+Assumptions!$B$11+Assumptions!$B$12)*0.05,0)</f>
        <v/>
      </c>
      <c r="CV37" s="399">
        <f>IF(AND(Projects!$G$28="Yes",CV$3&gt;=Projects!$C$28,CV$3&lt;Projects!$C$28+Projects!$D$28),Projects!$B$28*INDEX(Curves!$B$4:$AR$4,1,CV$3-Projects!$C$28+1),0)-IF(AND(Projects!$G$28="Yes",CV$3&gt;=Projects!$C$28,CV$3&lt;Projects!$C$28+Projects!$D$28),Projects!$B$28*(Assumptions!$B$10+Assumptions!$B$11+Assumptions!$B$12)/Projects!$D$28*0.95,0)-IF(AND(Projects!$G$28="Yes",CV$3=Projects!$C$28+Projects!$D$28-1),Projects!$B$28*(Assumptions!$B$10+Assumptions!$B$11+Assumptions!$B$12)*0.05,0)</f>
        <v/>
      </c>
      <c r="CW37" s="399">
        <f>IF(AND(Projects!$G$28="Yes",CW$3&gt;=Projects!$C$28,CW$3&lt;Projects!$C$28+Projects!$D$28),Projects!$B$28*INDEX(Curves!$B$4:$AR$4,1,CW$3-Projects!$C$28+1),0)-IF(AND(Projects!$G$28="Yes",CW$3&gt;=Projects!$C$28,CW$3&lt;Projects!$C$28+Projects!$D$28),Projects!$B$28*(Assumptions!$B$10+Assumptions!$B$11+Assumptions!$B$12)/Projects!$D$28*0.95,0)-IF(AND(Projects!$G$28="Yes",CW$3=Projects!$C$28+Projects!$D$28-1),Projects!$B$28*(Assumptions!$B$10+Assumptions!$B$11+Assumptions!$B$12)*0.05,0)</f>
        <v/>
      </c>
      <c r="CX37" s="399">
        <f>IF(AND(Projects!$G$28="Yes",CX$3&gt;=Projects!$C$28,CX$3&lt;Projects!$C$28+Projects!$D$28),Projects!$B$28*INDEX(Curves!$B$4:$AR$4,1,CX$3-Projects!$C$28+1),0)-IF(AND(Projects!$G$28="Yes",CX$3&gt;=Projects!$C$28,CX$3&lt;Projects!$C$28+Projects!$D$28),Projects!$B$28*(Assumptions!$B$10+Assumptions!$B$11+Assumptions!$B$12)/Projects!$D$28*0.95,0)-IF(AND(Projects!$G$28="Yes",CX$3=Projects!$C$28+Projects!$D$28-1),Projects!$B$28*(Assumptions!$B$10+Assumptions!$B$11+Assumptions!$B$12)*0.05,0)</f>
        <v/>
      </c>
      <c r="CY37" s="399">
        <f>IF(AND(Projects!$G$28="Yes",CY$3&gt;=Projects!$C$28,CY$3&lt;Projects!$C$28+Projects!$D$28),Projects!$B$28*INDEX(Curves!$B$4:$AR$4,1,CY$3-Projects!$C$28+1),0)-IF(AND(Projects!$G$28="Yes",CY$3&gt;=Projects!$C$28,CY$3&lt;Projects!$C$28+Projects!$D$28),Projects!$B$28*(Assumptions!$B$10+Assumptions!$B$11+Assumptions!$B$12)/Projects!$D$28*0.95,0)-IF(AND(Projects!$G$28="Yes",CY$3=Projects!$C$28+Projects!$D$28-1),Projects!$B$28*(Assumptions!$B$10+Assumptions!$B$11+Assumptions!$B$12)*0.05,0)</f>
        <v/>
      </c>
      <c r="CZ37" s="399">
        <f>IF(AND(Projects!$G$28="Yes",CZ$3&gt;=Projects!$C$28,CZ$3&lt;Projects!$C$28+Projects!$D$28),Projects!$B$28*INDEX(Curves!$B$4:$AR$4,1,CZ$3-Projects!$C$28+1),0)-IF(AND(Projects!$G$28="Yes",CZ$3&gt;=Projects!$C$28,CZ$3&lt;Projects!$C$28+Projects!$D$28),Projects!$B$28*(Assumptions!$B$10+Assumptions!$B$11+Assumptions!$B$12)/Projects!$D$28*0.95,0)-IF(AND(Projects!$G$28="Yes",CZ$3=Projects!$C$28+Projects!$D$28-1),Projects!$B$28*(Assumptions!$B$10+Assumptions!$B$11+Assumptions!$B$12)*0.05,0)</f>
        <v/>
      </c>
      <c r="DA37" s="399">
        <f>IF(AND(Projects!$G$28="Yes",DA$3&gt;=Projects!$C$28,DA$3&lt;Projects!$C$28+Projects!$D$28),Projects!$B$28*INDEX(Curves!$B$4:$AR$4,1,DA$3-Projects!$C$28+1),0)-IF(AND(Projects!$G$28="Yes",DA$3&gt;=Projects!$C$28,DA$3&lt;Projects!$C$28+Projects!$D$28),Projects!$B$28*(Assumptions!$B$10+Assumptions!$B$11+Assumptions!$B$12)/Projects!$D$28*0.95,0)-IF(AND(Projects!$G$28="Yes",DA$3=Projects!$C$28+Projects!$D$28-1),Projects!$B$28*(Assumptions!$B$10+Assumptions!$B$11+Assumptions!$B$12)*0.05,0)</f>
        <v/>
      </c>
      <c r="DB37" s="399">
        <f>IF(AND(Projects!$G$28="Yes",DB$3&gt;=Projects!$C$28,DB$3&lt;Projects!$C$28+Projects!$D$28),Projects!$B$28*INDEX(Curves!$B$4:$AR$4,1,DB$3-Projects!$C$28+1),0)-IF(AND(Projects!$G$28="Yes",DB$3&gt;=Projects!$C$28,DB$3&lt;Projects!$C$28+Projects!$D$28),Projects!$B$28*(Assumptions!$B$10+Assumptions!$B$11+Assumptions!$B$12)/Projects!$D$28*0.95,0)-IF(AND(Projects!$G$28="Yes",DB$3=Projects!$C$28+Projects!$D$28-1),Projects!$B$28*(Assumptions!$B$10+Assumptions!$B$11+Assumptions!$B$12)*0.05,0)</f>
        <v/>
      </c>
      <c r="DC37" s="399">
        <f>IF(AND(Projects!$G$28="Yes",DC$3&gt;=Projects!$C$28,DC$3&lt;Projects!$C$28+Projects!$D$28),Projects!$B$28*INDEX(Curves!$B$4:$AR$4,1,DC$3-Projects!$C$28+1),0)-IF(AND(Projects!$G$28="Yes",DC$3&gt;=Projects!$C$28,DC$3&lt;Projects!$C$28+Projects!$D$28),Projects!$B$28*(Assumptions!$B$10+Assumptions!$B$11+Assumptions!$B$12)/Projects!$D$28*0.95,0)-IF(AND(Projects!$G$28="Yes",DC$3=Projects!$C$28+Projects!$D$28-1),Projects!$B$28*(Assumptions!$B$10+Assumptions!$B$11+Assumptions!$B$12)*0.05,0)</f>
        <v/>
      </c>
      <c r="DD37" s="399">
        <f>IF(AND(Projects!$G$28="Yes",DD$3&gt;=Projects!$C$28,DD$3&lt;Projects!$C$28+Projects!$D$28),Projects!$B$28*INDEX(Curves!$B$4:$AR$4,1,DD$3-Projects!$C$28+1),0)-IF(AND(Projects!$G$28="Yes",DD$3&gt;=Projects!$C$28,DD$3&lt;Projects!$C$28+Projects!$D$28),Projects!$B$28*(Assumptions!$B$10+Assumptions!$B$11+Assumptions!$B$12)/Projects!$D$28*0.95,0)-IF(AND(Projects!$G$28="Yes",DD$3=Projects!$C$28+Projects!$D$28-1),Projects!$B$28*(Assumptions!$B$10+Assumptions!$B$11+Assumptions!$B$12)*0.05,0)</f>
        <v/>
      </c>
      <c r="DE37" s="399">
        <f>IF(AND(Projects!$G$28="Yes",DE$3&gt;=Projects!$C$28,DE$3&lt;Projects!$C$28+Projects!$D$28),Projects!$B$28*INDEX(Curves!$B$4:$AR$4,1,DE$3-Projects!$C$28+1),0)-IF(AND(Projects!$G$28="Yes",DE$3&gt;=Projects!$C$28,DE$3&lt;Projects!$C$28+Projects!$D$28),Projects!$B$28*(Assumptions!$B$10+Assumptions!$B$11+Assumptions!$B$12)/Projects!$D$28*0.95,0)-IF(AND(Projects!$G$28="Yes",DE$3=Projects!$C$28+Projects!$D$28-1),Projects!$B$28*(Assumptions!$B$10+Assumptions!$B$11+Assumptions!$B$12)*0.05,0)</f>
        <v/>
      </c>
    </row>
    <row r="38" hidden="1" outlineLevel="1" ht="15" customFormat="1" customHeight="1" s="380">
      <c r="A38" s="407" t="inlineStr">
        <is>
          <t>BD-13</t>
        </is>
      </c>
      <c r="B38" s="399" t="n">
        <v>0</v>
      </c>
      <c r="C38" s="399" t="n">
        <v>0</v>
      </c>
      <c r="D38" s="399" t="n">
        <v>0</v>
      </c>
      <c r="E38" s="399" t="n">
        <v>0</v>
      </c>
      <c r="F38" s="399">
        <f>IF(AND(Projects!$G$29="Yes",F$3&gt;=Projects!$C$29,F$3&lt;Projects!$C$29+Projects!$D$29),Projects!$B$29*INDEX(Curves!$B$4:$AR$4,1,F$3-Projects!$C$29+1),0)-IF(AND(Projects!$G$29="Yes",F$3&gt;=Projects!$C$29,F$3&lt;Projects!$C$29+Projects!$D$29),Projects!$B$29*(Assumptions!$B$10+Assumptions!$B$11+Assumptions!$B$12)/Projects!$D$29*0.95,0)-IF(AND(Projects!$G$29="Yes",F$3=Projects!$C$29+Projects!$D$29-1),Projects!$B$29*(Assumptions!$B$10+Assumptions!$B$11+Assumptions!$B$12)*0.05,0)</f>
        <v/>
      </c>
      <c r="G38" s="399">
        <f>IF(AND(Projects!$G$29="Yes",G$3&gt;=Projects!$C$29,G$3&lt;Projects!$C$29+Projects!$D$29),Projects!$B$29*INDEX(Curves!$B$4:$AR$4,1,G$3-Projects!$C$29+1),0)-IF(AND(Projects!$G$29="Yes",G$3&gt;=Projects!$C$29,G$3&lt;Projects!$C$29+Projects!$D$29),Projects!$B$29*(Assumptions!$B$10+Assumptions!$B$11+Assumptions!$B$12)/Projects!$D$29*0.95,0)-IF(AND(Projects!$G$29="Yes",G$3=Projects!$C$29+Projects!$D$29-1),Projects!$B$29*(Assumptions!$B$10+Assumptions!$B$11+Assumptions!$B$12)*0.05,0)</f>
        <v/>
      </c>
      <c r="H38" s="399">
        <f>IF(AND(Projects!$G$29="Yes",H$3&gt;=Projects!$C$29,H$3&lt;Projects!$C$29+Projects!$D$29),Projects!$B$29*INDEX(Curves!$B$4:$AR$4,1,H$3-Projects!$C$29+1),0)-IF(AND(Projects!$G$29="Yes",H$3&gt;=Projects!$C$29,H$3&lt;Projects!$C$29+Projects!$D$29),Projects!$B$29*(Assumptions!$B$10+Assumptions!$B$11+Assumptions!$B$12)/Projects!$D$29*0.95,0)-IF(AND(Projects!$G$29="Yes",H$3=Projects!$C$29+Projects!$D$29-1),Projects!$B$29*(Assumptions!$B$10+Assumptions!$B$11+Assumptions!$B$12)*0.05,0)</f>
        <v/>
      </c>
      <c r="I38" s="399">
        <f>IF(AND(Projects!$G$29="Yes",I$3&gt;=Projects!$C$29,I$3&lt;Projects!$C$29+Projects!$D$29),Projects!$B$29*INDEX(Curves!$B$4:$AR$4,1,I$3-Projects!$C$29+1),0)-IF(AND(Projects!$G$29="Yes",I$3&gt;=Projects!$C$29,I$3&lt;Projects!$C$29+Projects!$D$29),Projects!$B$29*(Assumptions!$B$10+Assumptions!$B$11+Assumptions!$B$12)/Projects!$D$29*0.95,0)-IF(AND(Projects!$G$29="Yes",I$3=Projects!$C$29+Projects!$D$29-1),Projects!$B$29*(Assumptions!$B$10+Assumptions!$B$11+Assumptions!$B$12)*0.05,0)</f>
        <v/>
      </c>
      <c r="J38" s="399">
        <f>IF(AND(Projects!$G$29="Yes",J$3&gt;=Projects!$C$29,J$3&lt;Projects!$C$29+Projects!$D$29),Projects!$B$29*INDEX(Curves!$B$4:$AR$4,1,J$3-Projects!$C$29+1),0)-IF(AND(Projects!$G$29="Yes",J$3&gt;=Projects!$C$29,J$3&lt;Projects!$C$29+Projects!$D$29),Projects!$B$29*(Assumptions!$B$10+Assumptions!$B$11+Assumptions!$B$12)/Projects!$D$29*0.95,0)-IF(AND(Projects!$G$29="Yes",J$3=Projects!$C$29+Projects!$D$29-1),Projects!$B$29*(Assumptions!$B$10+Assumptions!$B$11+Assumptions!$B$12)*0.05,0)</f>
        <v/>
      </c>
      <c r="K38" s="399">
        <f>IF(AND(Projects!$G$29="Yes",K$3&gt;=Projects!$C$29,K$3&lt;Projects!$C$29+Projects!$D$29),Projects!$B$29*INDEX(Curves!$B$4:$AR$4,1,K$3-Projects!$C$29+1),0)-IF(AND(Projects!$G$29="Yes",K$3&gt;=Projects!$C$29,K$3&lt;Projects!$C$29+Projects!$D$29),Projects!$B$29*(Assumptions!$B$10+Assumptions!$B$11+Assumptions!$B$12)/Projects!$D$29*0.95,0)-IF(AND(Projects!$G$29="Yes",K$3=Projects!$C$29+Projects!$D$29-1),Projects!$B$29*(Assumptions!$B$10+Assumptions!$B$11+Assumptions!$B$12)*0.05,0)</f>
        <v/>
      </c>
      <c r="L38" s="399">
        <f>IF(AND(Projects!$G$29="Yes",L$3&gt;=Projects!$C$29,L$3&lt;Projects!$C$29+Projects!$D$29),Projects!$B$29*INDEX(Curves!$B$4:$AR$4,1,L$3-Projects!$C$29+1),0)-IF(AND(Projects!$G$29="Yes",L$3&gt;=Projects!$C$29,L$3&lt;Projects!$C$29+Projects!$D$29),Projects!$B$29*(Assumptions!$B$10+Assumptions!$B$11+Assumptions!$B$12)/Projects!$D$29*0.95,0)-IF(AND(Projects!$G$29="Yes",L$3=Projects!$C$29+Projects!$D$29-1),Projects!$B$29*(Assumptions!$B$10+Assumptions!$B$11+Assumptions!$B$12)*0.05,0)</f>
        <v/>
      </c>
      <c r="M38" s="399">
        <f>IF(AND(Projects!$G$29="Yes",M$3&gt;=Projects!$C$29,M$3&lt;Projects!$C$29+Projects!$D$29),Projects!$B$29*INDEX(Curves!$B$4:$AR$4,1,M$3-Projects!$C$29+1),0)-IF(AND(Projects!$G$29="Yes",M$3&gt;=Projects!$C$29,M$3&lt;Projects!$C$29+Projects!$D$29),Projects!$B$29*(Assumptions!$B$10+Assumptions!$B$11+Assumptions!$B$12)/Projects!$D$29*0.95,0)-IF(AND(Projects!$G$29="Yes",M$3=Projects!$C$29+Projects!$D$29-1),Projects!$B$29*(Assumptions!$B$10+Assumptions!$B$11+Assumptions!$B$12)*0.05,0)</f>
        <v/>
      </c>
      <c r="N38" s="399">
        <f>IF(AND(Projects!$G$29="Yes",N$3&gt;=Projects!$C$29,N$3&lt;Projects!$C$29+Projects!$D$29),Projects!$B$29*INDEX(Curves!$B$4:$AR$4,1,N$3-Projects!$C$29+1),0)-IF(AND(Projects!$G$29="Yes",N$3&gt;=Projects!$C$29,N$3&lt;Projects!$C$29+Projects!$D$29),Projects!$B$29*(Assumptions!$B$10+Assumptions!$B$11+Assumptions!$B$12)/Projects!$D$29*0.95,0)-IF(AND(Projects!$G$29="Yes",N$3=Projects!$C$29+Projects!$D$29-1),Projects!$B$29*(Assumptions!$B$10+Assumptions!$B$11+Assumptions!$B$12)*0.05,0)</f>
        <v/>
      </c>
      <c r="O38" s="399">
        <f>IF(AND(Projects!$G$29="Yes",O$3&gt;=Projects!$C$29,O$3&lt;Projects!$C$29+Projects!$D$29),Projects!$B$29*INDEX(Curves!$B$4:$AR$4,1,O$3-Projects!$C$29+1),0)-IF(AND(Projects!$G$29="Yes",O$3&gt;=Projects!$C$29,O$3&lt;Projects!$C$29+Projects!$D$29),Projects!$B$29*(Assumptions!$B$10+Assumptions!$B$11+Assumptions!$B$12)/Projects!$D$29*0.95,0)-IF(AND(Projects!$G$29="Yes",O$3=Projects!$C$29+Projects!$D$29-1),Projects!$B$29*(Assumptions!$B$10+Assumptions!$B$11+Assumptions!$B$12)*0.05,0)</f>
        <v/>
      </c>
      <c r="P38" s="399">
        <f>IF(AND(Projects!$G$29="Yes",P$3&gt;=Projects!$C$29,P$3&lt;Projects!$C$29+Projects!$D$29),Projects!$B$29*INDEX(Curves!$B$4:$AR$4,1,P$3-Projects!$C$29+1),0)-IF(AND(Projects!$G$29="Yes",P$3&gt;=Projects!$C$29,P$3&lt;Projects!$C$29+Projects!$D$29),Projects!$B$29*(Assumptions!$B$10+Assumptions!$B$11+Assumptions!$B$12)/Projects!$D$29*0.95,0)-IF(AND(Projects!$G$29="Yes",P$3=Projects!$C$29+Projects!$D$29-1),Projects!$B$29*(Assumptions!$B$10+Assumptions!$B$11+Assumptions!$B$12)*0.05,0)</f>
        <v/>
      </c>
      <c r="Q38" s="399">
        <f>IF(AND(Projects!$G$29="Yes",Q$3&gt;=Projects!$C$29,Q$3&lt;Projects!$C$29+Projects!$D$29),Projects!$B$29*INDEX(Curves!$B$4:$AR$4,1,Q$3-Projects!$C$29+1),0)-IF(AND(Projects!$G$29="Yes",Q$3&gt;=Projects!$C$29,Q$3&lt;Projects!$C$29+Projects!$D$29),Projects!$B$29*(Assumptions!$B$10+Assumptions!$B$11+Assumptions!$B$12)/Projects!$D$29*0.95,0)-IF(AND(Projects!$G$29="Yes",Q$3=Projects!$C$29+Projects!$D$29-1),Projects!$B$29*(Assumptions!$B$10+Assumptions!$B$11+Assumptions!$B$12)*0.05,0)</f>
        <v/>
      </c>
      <c r="R38" s="399">
        <f>IF(AND(Projects!$G$29="Yes",R$3&gt;=Projects!$C$29,R$3&lt;Projects!$C$29+Projects!$D$29),Projects!$B$29*INDEX(Curves!$B$4:$AR$4,1,R$3-Projects!$C$29+1),0)-IF(AND(Projects!$G$29="Yes",R$3&gt;=Projects!$C$29,R$3&lt;Projects!$C$29+Projects!$D$29),Projects!$B$29*(Assumptions!$B$10+Assumptions!$B$11+Assumptions!$B$12)/Projects!$D$29*0.95,0)-IF(AND(Projects!$G$29="Yes",R$3=Projects!$C$29+Projects!$D$29-1),Projects!$B$29*(Assumptions!$B$10+Assumptions!$B$11+Assumptions!$B$12)*0.05,0)</f>
        <v/>
      </c>
      <c r="S38" s="399">
        <f>IF(AND(Projects!$G$29="Yes",S$3&gt;=Projects!$C$29,S$3&lt;Projects!$C$29+Projects!$D$29),Projects!$B$29*INDEX(Curves!$B$4:$AR$4,1,S$3-Projects!$C$29+1),0)-IF(AND(Projects!$G$29="Yes",S$3&gt;=Projects!$C$29,S$3&lt;Projects!$C$29+Projects!$D$29),Projects!$B$29*(Assumptions!$B$10+Assumptions!$B$11+Assumptions!$B$12)/Projects!$D$29*0.95,0)-IF(AND(Projects!$G$29="Yes",S$3=Projects!$C$29+Projects!$D$29-1),Projects!$B$29*(Assumptions!$B$10+Assumptions!$B$11+Assumptions!$B$12)*0.05,0)</f>
        <v/>
      </c>
      <c r="T38" s="399">
        <f>IF(AND(Projects!$G$29="Yes",T$3&gt;=Projects!$C$29,T$3&lt;Projects!$C$29+Projects!$D$29),Projects!$B$29*INDEX(Curves!$B$4:$AR$4,1,T$3-Projects!$C$29+1),0)-IF(AND(Projects!$G$29="Yes",T$3&gt;=Projects!$C$29,T$3&lt;Projects!$C$29+Projects!$D$29),Projects!$B$29*(Assumptions!$B$10+Assumptions!$B$11+Assumptions!$B$12)/Projects!$D$29*0.95,0)-IF(AND(Projects!$G$29="Yes",T$3=Projects!$C$29+Projects!$D$29-1),Projects!$B$29*(Assumptions!$B$10+Assumptions!$B$11+Assumptions!$B$12)*0.05,0)</f>
        <v/>
      </c>
      <c r="U38" s="399">
        <f>IF(AND(Projects!$G$29="Yes",U$3&gt;=Projects!$C$29,U$3&lt;Projects!$C$29+Projects!$D$29),Projects!$B$29*INDEX(Curves!$B$4:$AR$4,1,U$3-Projects!$C$29+1),0)-IF(AND(Projects!$G$29="Yes",U$3&gt;=Projects!$C$29,U$3&lt;Projects!$C$29+Projects!$D$29),Projects!$B$29*(Assumptions!$B$10+Assumptions!$B$11+Assumptions!$B$12)/Projects!$D$29*0.95,0)-IF(AND(Projects!$G$29="Yes",U$3=Projects!$C$29+Projects!$D$29-1),Projects!$B$29*(Assumptions!$B$10+Assumptions!$B$11+Assumptions!$B$12)*0.05,0)</f>
        <v/>
      </c>
      <c r="V38" s="399">
        <f>IF(AND(Projects!$G$29="Yes",V$3&gt;=Projects!$C$29,V$3&lt;Projects!$C$29+Projects!$D$29),Projects!$B$29*INDEX(Curves!$B$4:$AR$4,1,V$3-Projects!$C$29+1),0)-IF(AND(Projects!$G$29="Yes",V$3&gt;=Projects!$C$29,V$3&lt;Projects!$C$29+Projects!$D$29),Projects!$B$29*(Assumptions!$B$10+Assumptions!$B$11+Assumptions!$B$12)/Projects!$D$29*0.95,0)-IF(AND(Projects!$G$29="Yes",V$3=Projects!$C$29+Projects!$D$29-1),Projects!$B$29*(Assumptions!$B$10+Assumptions!$B$11+Assumptions!$B$12)*0.05,0)</f>
        <v/>
      </c>
      <c r="W38" s="399">
        <f>IF(AND(Projects!$G$29="Yes",W$3&gt;=Projects!$C$29,W$3&lt;Projects!$C$29+Projects!$D$29),Projects!$B$29*INDEX(Curves!$B$4:$AR$4,1,W$3-Projects!$C$29+1),0)-IF(AND(Projects!$G$29="Yes",W$3&gt;=Projects!$C$29,W$3&lt;Projects!$C$29+Projects!$D$29),Projects!$B$29*(Assumptions!$B$10+Assumptions!$B$11+Assumptions!$B$12)/Projects!$D$29*0.95,0)-IF(AND(Projects!$G$29="Yes",W$3=Projects!$C$29+Projects!$D$29-1),Projects!$B$29*(Assumptions!$B$10+Assumptions!$B$11+Assumptions!$B$12)*0.05,0)</f>
        <v/>
      </c>
      <c r="X38" s="399">
        <f>IF(AND(Projects!$G$29="Yes",X$3&gt;=Projects!$C$29,X$3&lt;Projects!$C$29+Projects!$D$29),Projects!$B$29*INDEX(Curves!$B$4:$AR$4,1,X$3-Projects!$C$29+1),0)-IF(AND(Projects!$G$29="Yes",X$3&gt;=Projects!$C$29,X$3&lt;Projects!$C$29+Projects!$D$29),Projects!$B$29*(Assumptions!$B$10+Assumptions!$B$11+Assumptions!$B$12)/Projects!$D$29*0.95,0)-IF(AND(Projects!$G$29="Yes",X$3=Projects!$C$29+Projects!$D$29-1),Projects!$B$29*(Assumptions!$B$10+Assumptions!$B$11+Assumptions!$B$12)*0.05,0)</f>
        <v/>
      </c>
      <c r="Y38" s="399">
        <f>IF(AND(Projects!$G$29="Yes",Y$3&gt;=Projects!$C$29,Y$3&lt;Projects!$C$29+Projects!$D$29),Projects!$B$29*INDEX(Curves!$B$4:$AR$4,1,Y$3-Projects!$C$29+1),0)-IF(AND(Projects!$G$29="Yes",Y$3&gt;=Projects!$C$29,Y$3&lt;Projects!$C$29+Projects!$D$29),Projects!$B$29*(Assumptions!$B$10+Assumptions!$B$11+Assumptions!$B$12)/Projects!$D$29*0.95,0)-IF(AND(Projects!$G$29="Yes",Y$3=Projects!$C$29+Projects!$D$29-1),Projects!$B$29*(Assumptions!$B$10+Assumptions!$B$11+Assumptions!$B$12)*0.05,0)</f>
        <v/>
      </c>
      <c r="Z38" s="399">
        <f>IF(AND(Projects!$G$29="Yes",Z$3&gt;=Projects!$C$29,Z$3&lt;Projects!$C$29+Projects!$D$29),Projects!$B$29*INDEX(Curves!$B$4:$AR$4,1,Z$3-Projects!$C$29+1),0)-IF(AND(Projects!$G$29="Yes",Z$3&gt;=Projects!$C$29,Z$3&lt;Projects!$C$29+Projects!$D$29),Projects!$B$29*(Assumptions!$B$10+Assumptions!$B$11+Assumptions!$B$12)/Projects!$D$29*0.95,0)-IF(AND(Projects!$G$29="Yes",Z$3=Projects!$C$29+Projects!$D$29-1),Projects!$B$29*(Assumptions!$B$10+Assumptions!$B$11+Assumptions!$B$12)*0.05,0)</f>
        <v/>
      </c>
      <c r="AA38" s="399">
        <f>IF(AND(Projects!$G$29="Yes",AA$3&gt;=Projects!$C$29,AA$3&lt;Projects!$C$29+Projects!$D$29),Projects!$B$29*INDEX(Curves!$B$4:$AR$4,1,AA$3-Projects!$C$29+1),0)-IF(AND(Projects!$G$29="Yes",AA$3&gt;=Projects!$C$29,AA$3&lt;Projects!$C$29+Projects!$D$29),Projects!$B$29*(Assumptions!$B$10+Assumptions!$B$11+Assumptions!$B$12)/Projects!$D$29*0.95,0)-IF(AND(Projects!$G$29="Yes",AA$3=Projects!$C$29+Projects!$D$29-1),Projects!$B$29*(Assumptions!$B$10+Assumptions!$B$11+Assumptions!$B$12)*0.05,0)</f>
        <v/>
      </c>
      <c r="AB38" s="399">
        <f>IF(AND(Projects!$G$29="Yes",AB$3&gt;=Projects!$C$29,AB$3&lt;Projects!$C$29+Projects!$D$29),Projects!$B$29*INDEX(Curves!$B$4:$AR$4,1,AB$3-Projects!$C$29+1),0)-IF(AND(Projects!$G$29="Yes",AB$3&gt;=Projects!$C$29,AB$3&lt;Projects!$C$29+Projects!$D$29),Projects!$B$29*(Assumptions!$B$10+Assumptions!$B$11+Assumptions!$B$12)/Projects!$D$29*0.95,0)-IF(AND(Projects!$G$29="Yes",AB$3=Projects!$C$29+Projects!$D$29-1),Projects!$B$29*(Assumptions!$B$10+Assumptions!$B$11+Assumptions!$B$12)*0.05,0)</f>
        <v/>
      </c>
      <c r="AC38" s="399">
        <f>IF(AND(Projects!$G$29="Yes",AC$3&gt;=Projects!$C$29,AC$3&lt;Projects!$C$29+Projects!$D$29),Projects!$B$29*INDEX(Curves!$B$4:$AR$4,1,AC$3-Projects!$C$29+1),0)-IF(AND(Projects!$G$29="Yes",AC$3&gt;=Projects!$C$29,AC$3&lt;Projects!$C$29+Projects!$D$29),Projects!$B$29*(Assumptions!$B$10+Assumptions!$B$11+Assumptions!$B$12)/Projects!$D$29*0.95,0)-IF(AND(Projects!$G$29="Yes",AC$3=Projects!$C$29+Projects!$D$29-1),Projects!$B$29*(Assumptions!$B$10+Assumptions!$B$11+Assumptions!$B$12)*0.05,0)</f>
        <v/>
      </c>
      <c r="AD38" s="399">
        <f>IF(AND(Projects!$G$29="Yes",AD$3&gt;=Projects!$C$29,AD$3&lt;Projects!$C$29+Projects!$D$29),Projects!$B$29*INDEX(Curves!$B$4:$AR$4,1,AD$3-Projects!$C$29+1),0)-IF(AND(Projects!$G$29="Yes",AD$3&gt;=Projects!$C$29,AD$3&lt;Projects!$C$29+Projects!$D$29),Projects!$B$29*(Assumptions!$B$10+Assumptions!$B$11+Assumptions!$B$12)/Projects!$D$29*0.95,0)-IF(AND(Projects!$G$29="Yes",AD$3=Projects!$C$29+Projects!$D$29-1),Projects!$B$29*(Assumptions!$B$10+Assumptions!$B$11+Assumptions!$B$12)*0.05,0)</f>
        <v/>
      </c>
      <c r="AE38" s="399">
        <f>IF(AND(Projects!$G$29="Yes",AE$3&gt;=Projects!$C$29,AE$3&lt;Projects!$C$29+Projects!$D$29),Projects!$B$29*INDEX(Curves!$B$4:$AR$4,1,AE$3-Projects!$C$29+1),0)-IF(AND(Projects!$G$29="Yes",AE$3&gt;=Projects!$C$29,AE$3&lt;Projects!$C$29+Projects!$D$29),Projects!$B$29*(Assumptions!$B$10+Assumptions!$B$11+Assumptions!$B$12)/Projects!$D$29*0.95,0)-IF(AND(Projects!$G$29="Yes",AE$3=Projects!$C$29+Projects!$D$29-1),Projects!$B$29*(Assumptions!$B$10+Assumptions!$B$11+Assumptions!$B$12)*0.05,0)</f>
        <v/>
      </c>
      <c r="AF38" s="399">
        <f>IF(AND(Projects!$G$29="Yes",AF$3&gt;=Projects!$C$29,AF$3&lt;Projects!$C$29+Projects!$D$29),Projects!$B$29*INDEX(Curves!$B$4:$AR$4,1,AF$3-Projects!$C$29+1),0)-IF(AND(Projects!$G$29="Yes",AF$3&gt;=Projects!$C$29,AF$3&lt;Projects!$C$29+Projects!$D$29),Projects!$B$29*(Assumptions!$B$10+Assumptions!$B$11+Assumptions!$B$12)/Projects!$D$29*0.95,0)-IF(AND(Projects!$G$29="Yes",AF$3=Projects!$C$29+Projects!$D$29-1),Projects!$B$29*(Assumptions!$B$10+Assumptions!$B$11+Assumptions!$B$12)*0.05,0)</f>
        <v/>
      </c>
      <c r="AG38" s="399">
        <f>IF(AND(Projects!$G$29="Yes",AG$3&gt;=Projects!$C$29,AG$3&lt;Projects!$C$29+Projects!$D$29),Projects!$B$29*INDEX(Curves!$B$4:$AR$4,1,AG$3-Projects!$C$29+1),0)-IF(AND(Projects!$G$29="Yes",AG$3&gt;=Projects!$C$29,AG$3&lt;Projects!$C$29+Projects!$D$29),Projects!$B$29*(Assumptions!$B$10+Assumptions!$B$11+Assumptions!$B$12)/Projects!$D$29*0.95,0)-IF(AND(Projects!$G$29="Yes",AG$3=Projects!$C$29+Projects!$D$29-1),Projects!$B$29*(Assumptions!$B$10+Assumptions!$B$11+Assumptions!$B$12)*0.05,0)</f>
        <v/>
      </c>
      <c r="AH38" s="399">
        <f>IF(AND(Projects!$G$29="Yes",AH$3&gt;=Projects!$C$29,AH$3&lt;Projects!$C$29+Projects!$D$29),Projects!$B$29*INDEX(Curves!$B$4:$AR$4,1,AH$3-Projects!$C$29+1),0)-IF(AND(Projects!$G$29="Yes",AH$3&gt;=Projects!$C$29,AH$3&lt;Projects!$C$29+Projects!$D$29),Projects!$B$29*(Assumptions!$B$10+Assumptions!$B$11+Assumptions!$B$12)/Projects!$D$29*0.95,0)-IF(AND(Projects!$G$29="Yes",AH$3=Projects!$C$29+Projects!$D$29-1),Projects!$B$29*(Assumptions!$B$10+Assumptions!$B$11+Assumptions!$B$12)*0.05,0)</f>
        <v/>
      </c>
      <c r="AI38" s="399">
        <f>IF(AND(Projects!$G$29="Yes",AI$3&gt;=Projects!$C$29,AI$3&lt;Projects!$C$29+Projects!$D$29),Projects!$B$29*INDEX(Curves!$B$4:$AR$4,1,AI$3-Projects!$C$29+1),0)-IF(AND(Projects!$G$29="Yes",AI$3&gt;=Projects!$C$29,AI$3&lt;Projects!$C$29+Projects!$D$29),Projects!$B$29*(Assumptions!$B$10+Assumptions!$B$11+Assumptions!$B$12)/Projects!$D$29*0.95,0)-IF(AND(Projects!$G$29="Yes",AI$3=Projects!$C$29+Projects!$D$29-1),Projects!$B$29*(Assumptions!$B$10+Assumptions!$B$11+Assumptions!$B$12)*0.05,0)</f>
        <v/>
      </c>
      <c r="AJ38" s="399">
        <f>IF(AND(Projects!$G$29="Yes",AJ$3&gt;=Projects!$C$29,AJ$3&lt;Projects!$C$29+Projects!$D$29),Projects!$B$29*INDEX(Curves!$B$4:$AR$4,1,AJ$3-Projects!$C$29+1),0)-IF(AND(Projects!$G$29="Yes",AJ$3&gt;=Projects!$C$29,AJ$3&lt;Projects!$C$29+Projects!$D$29),Projects!$B$29*(Assumptions!$B$10+Assumptions!$B$11+Assumptions!$B$12)/Projects!$D$29*0.95,0)-IF(AND(Projects!$G$29="Yes",AJ$3=Projects!$C$29+Projects!$D$29-1),Projects!$B$29*(Assumptions!$B$10+Assumptions!$B$11+Assumptions!$B$12)*0.05,0)</f>
        <v/>
      </c>
      <c r="AK38" s="399">
        <f>IF(AND(Projects!$G$29="Yes",AK$3&gt;=Projects!$C$29,AK$3&lt;Projects!$C$29+Projects!$D$29),Projects!$B$29*INDEX(Curves!$B$4:$AR$4,1,AK$3-Projects!$C$29+1),0)-IF(AND(Projects!$G$29="Yes",AK$3&gt;=Projects!$C$29,AK$3&lt;Projects!$C$29+Projects!$D$29),Projects!$B$29*(Assumptions!$B$10+Assumptions!$B$11+Assumptions!$B$12)/Projects!$D$29*0.95,0)-IF(AND(Projects!$G$29="Yes",AK$3=Projects!$C$29+Projects!$D$29-1),Projects!$B$29*(Assumptions!$B$10+Assumptions!$B$11+Assumptions!$B$12)*0.05,0)</f>
        <v/>
      </c>
      <c r="AL38" s="399">
        <f>IF(AND(Projects!$G$29="Yes",AL$3&gt;=Projects!$C$29,AL$3&lt;Projects!$C$29+Projects!$D$29),Projects!$B$29*INDEX(Curves!$B$4:$AR$4,1,AL$3-Projects!$C$29+1),0)-IF(AND(Projects!$G$29="Yes",AL$3&gt;=Projects!$C$29,AL$3&lt;Projects!$C$29+Projects!$D$29),Projects!$B$29*(Assumptions!$B$10+Assumptions!$B$11+Assumptions!$B$12)/Projects!$D$29*0.95,0)-IF(AND(Projects!$G$29="Yes",AL$3=Projects!$C$29+Projects!$D$29-1),Projects!$B$29*(Assumptions!$B$10+Assumptions!$B$11+Assumptions!$B$12)*0.05,0)</f>
        <v/>
      </c>
      <c r="AM38" s="399">
        <f>IF(AND(Projects!$G$29="Yes",AM$3&gt;=Projects!$C$29,AM$3&lt;Projects!$C$29+Projects!$D$29),Projects!$B$29*INDEX(Curves!$B$4:$AR$4,1,AM$3-Projects!$C$29+1),0)-IF(AND(Projects!$G$29="Yes",AM$3&gt;=Projects!$C$29,AM$3&lt;Projects!$C$29+Projects!$D$29),Projects!$B$29*(Assumptions!$B$10+Assumptions!$B$11+Assumptions!$B$12)/Projects!$D$29*0.95,0)-IF(AND(Projects!$G$29="Yes",AM$3=Projects!$C$29+Projects!$D$29-1),Projects!$B$29*(Assumptions!$B$10+Assumptions!$B$11+Assumptions!$B$12)*0.05,0)</f>
        <v/>
      </c>
      <c r="AN38" s="399">
        <f>IF(AND(Projects!$G$29="Yes",AN$3&gt;=Projects!$C$29,AN$3&lt;Projects!$C$29+Projects!$D$29),Projects!$B$29*INDEX(Curves!$B$4:$AR$4,1,AN$3-Projects!$C$29+1),0)-IF(AND(Projects!$G$29="Yes",AN$3&gt;=Projects!$C$29,AN$3&lt;Projects!$C$29+Projects!$D$29),Projects!$B$29*(Assumptions!$B$10+Assumptions!$B$11+Assumptions!$B$12)/Projects!$D$29*0.95,0)-IF(AND(Projects!$G$29="Yes",AN$3=Projects!$C$29+Projects!$D$29-1),Projects!$B$29*(Assumptions!$B$10+Assumptions!$B$11+Assumptions!$B$12)*0.05,0)</f>
        <v/>
      </c>
      <c r="AO38" s="399">
        <f>IF(AND(Projects!$G$29="Yes",AO$3&gt;=Projects!$C$29,AO$3&lt;Projects!$C$29+Projects!$D$29),Projects!$B$29*INDEX(Curves!$B$4:$AR$4,1,AO$3-Projects!$C$29+1),0)-IF(AND(Projects!$G$29="Yes",AO$3&gt;=Projects!$C$29,AO$3&lt;Projects!$C$29+Projects!$D$29),Projects!$B$29*(Assumptions!$B$10+Assumptions!$B$11+Assumptions!$B$12)/Projects!$D$29*0.95,0)-IF(AND(Projects!$G$29="Yes",AO$3=Projects!$C$29+Projects!$D$29-1),Projects!$B$29*(Assumptions!$B$10+Assumptions!$B$11+Assumptions!$B$12)*0.05,0)</f>
        <v/>
      </c>
      <c r="AP38" s="399">
        <f>IF(AND(Projects!$G$29="Yes",AP$3&gt;=Projects!$C$29,AP$3&lt;Projects!$C$29+Projects!$D$29),Projects!$B$29*INDEX(Curves!$B$4:$AR$4,1,AP$3-Projects!$C$29+1),0)-IF(AND(Projects!$G$29="Yes",AP$3&gt;=Projects!$C$29,AP$3&lt;Projects!$C$29+Projects!$D$29),Projects!$B$29*(Assumptions!$B$10+Assumptions!$B$11+Assumptions!$B$12)/Projects!$D$29*0.95,0)-IF(AND(Projects!$G$29="Yes",AP$3=Projects!$C$29+Projects!$D$29-1),Projects!$B$29*(Assumptions!$B$10+Assumptions!$B$11+Assumptions!$B$12)*0.05,0)</f>
        <v/>
      </c>
      <c r="AQ38" s="399">
        <f>IF(AND(Projects!$G$29="Yes",AQ$3&gt;=Projects!$C$29,AQ$3&lt;Projects!$C$29+Projects!$D$29),Projects!$B$29*INDEX(Curves!$B$4:$AR$4,1,AQ$3-Projects!$C$29+1),0)-IF(AND(Projects!$G$29="Yes",AQ$3&gt;=Projects!$C$29,AQ$3&lt;Projects!$C$29+Projects!$D$29),Projects!$B$29*(Assumptions!$B$10+Assumptions!$B$11+Assumptions!$B$12)/Projects!$D$29*0.95,0)-IF(AND(Projects!$G$29="Yes",AQ$3=Projects!$C$29+Projects!$D$29-1),Projects!$B$29*(Assumptions!$B$10+Assumptions!$B$11+Assumptions!$B$12)*0.05,0)</f>
        <v/>
      </c>
      <c r="AR38" s="399">
        <f>IF(AND(Projects!$G$29="Yes",AR$3&gt;=Projects!$C$29,AR$3&lt;Projects!$C$29+Projects!$D$29),Projects!$B$29*INDEX(Curves!$B$4:$AR$4,1,AR$3-Projects!$C$29+1),0)-IF(AND(Projects!$G$29="Yes",AR$3&gt;=Projects!$C$29,AR$3&lt;Projects!$C$29+Projects!$D$29),Projects!$B$29*(Assumptions!$B$10+Assumptions!$B$11+Assumptions!$B$12)/Projects!$D$29*0.95,0)-IF(AND(Projects!$G$29="Yes",AR$3=Projects!$C$29+Projects!$D$29-1),Projects!$B$29*(Assumptions!$B$10+Assumptions!$B$11+Assumptions!$B$12)*0.05,0)</f>
        <v/>
      </c>
      <c r="AS38" s="399">
        <f>IF(AND(Projects!$G$29="Yes",AS$3&gt;=Projects!$C$29,AS$3&lt;Projects!$C$29+Projects!$D$29),Projects!$B$29*INDEX(Curves!$B$4:$AR$4,1,AS$3-Projects!$C$29+1),0)-IF(AND(Projects!$G$29="Yes",AS$3&gt;=Projects!$C$29,AS$3&lt;Projects!$C$29+Projects!$D$29),Projects!$B$29*(Assumptions!$B$10+Assumptions!$B$11+Assumptions!$B$12)/Projects!$D$29*0.95,0)-IF(AND(Projects!$G$29="Yes",AS$3=Projects!$C$29+Projects!$D$29-1),Projects!$B$29*(Assumptions!$B$10+Assumptions!$B$11+Assumptions!$B$12)*0.05,0)</f>
        <v/>
      </c>
      <c r="AT38" s="399">
        <f>IF(AND(Projects!$G$29="Yes",AT$3&gt;=Projects!$C$29,AT$3&lt;Projects!$C$29+Projects!$D$29),Projects!$B$29*INDEX(Curves!$B$4:$AR$4,1,AT$3-Projects!$C$29+1),0)-IF(AND(Projects!$G$29="Yes",AT$3&gt;=Projects!$C$29,AT$3&lt;Projects!$C$29+Projects!$D$29),Projects!$B$29*(Assumptions!$B$10+Assumptions!$B$11+Assumptions!$B$12)/Projects!$D$29*0.95,0)-IF(AND(Projects!$G$29="Yes",AT$3=Projects!$C$29+Projects!$D$29-1),Projects!$B$29*(Assumptions!$B$10+Assumptions!$B$11+Assumptions!$B$12)*0.05,0)</f>
        <v/>
      </c>
      <c r="AU38" s="399">
        <f>IF(AND(Projects!$G$29="Yes",AU$3&gt;=Projects!$C$29,AU$3&lt;Projects!$C$29+Projects!$D$29),Projects!$B$29*INDEX(Curves!$B$4:$AR$4,1,AU$3-Projects!$C$29+1),0)-IF(AND(Projects!$G$29="Yes",AU$3&gt;=Projects!$C$29,AU$3&lt;Projects!$C$29+Projects!$D$29),Projects!$B$29*(Assumptions!$B$10+Assumptions!$B$11+Assumptions!$B$12)/Projects!$D$29*0.95,0)-IF(AND(Projects!$G$29="Yes",AU$3=Projects!$C$29+Projects!$D$29-1),Projects!$B$29*(Assumptions!$B$10+Assumptions!$B$11+Assumptions!$B$12)*0.05,0)</f>
        <v/>
      </c>
      <c r="AV38" s="399">
        <f>IF(AND(Projects!$G$29="Yes",AV$3&gt;=Projects!$C$29,AV$3&lt;Projects!$C$29+Projects!$D$29),Projects!$B$29*INDEX(Curves!$B$4:$AR$4,1,AV$3-Projects!$C$29+1),0)-IF(AND(Projects!$G$29="Yes",AV$3&gt;=Projects!$C$29,AV$3&lt;Projects!$C$29+Projects!$D$29),Projects!$B$29*(Assumptions!$B$10+Assumptions!$B$11+Assumptions!$B$12)/Projects!$D$29*0.95,0)-IF(AND(Projects!$G$29="Yes",AV$3=Projects!$C$29+Projects!$D$29-1),Projects!$B$29*(Assumptions!$B$10+Assumptions!$B$11+Assumptions!$B$12)*0.05,0)</f>
        <v/>
      </c>
      <c r="AW38" s="399">
        <f>IF(AND(Projects!$G$29="Yes",AW$3&gt;=Projects!$C$29,AW$3&lt;Projects!$C$29+Projects!$D$29),Projects!$B$29*INDEX(Curves!$B$4:$AR$4,1,AW$3-Projects!$C$29+1),0)-IF(AND(Projects!$G$29="Yes",AW$3&gt;=Projects!$C$29,AW$3&lt;Projects!$C$29+Projects!$D$29),Projects!$B$29*(Assumptions!$B$10+Assumptions!$B$11+Assumptions!$B$12)/Projects!$D$29*0.95,0)-IF(AND(Projects!$G$29="Yes",AW$3=Projects!$C$29+Projects!$D$29-1),Projects!$B$29*(Assumptions!$B$10+Assumptions!$B$11+Assumptions!$B$12)*0.05,0)</f>
        <v/>
      </c>
      <c r="AX38" s="399">
        <f>IF(AND(Projects!$G$29="Yes",AX$3&gt;=Projects!$C$29,AX$3&lt;Projects!$C$29+Projects!$D$29),Projects!$B$29*INDEX(Curves!$B$4:$AR$4,1,AX$3-Projects!$C$29+1),0)-IF(AND(Projects!$G$29="Yes",AX$3&gt;=Projects!$C$29,AX$3&lt;Projects!$C$29+Projects!$D$29),Projects!$B$29*(Assumptions!$B$10+Assumptions!$B$11+Assumptions!$B$12)/Projects!$D$29*0.95,0)-IF(AND(Projects!$G$29="Yes",AX$3=Projects!$C$29+Projects!$D$29-1),Projects!$B$29*(Assumptions!$B$10+Assumptions!$B$11+Assumptions!$B$12)*0.05,0)</f>
        <v/>
      </c>
      <c r="AY38" s="399">
        <f>IF(AND(Projects!$G$29="Yes",AY$3&gt;=Projects!$C$29,AY$3&lt;Projects!$C$29+Projects!$D$29),Projects!$B$29*INDEX(Curves!$B$4:$AR$4,1,AY$3-Projects!$C$29+1),0)-IF(AND(Projects!$G$29="Yes",AY$3&gt;=Projects!$C$29,AY$3&lt;Projects!$C$29+Projects!$D$29),Projects!$B$29*(Assumptions!$B$10+Assumptions!$B$11+Assumptions!$B$12)/Projects!$D$29*0.95,0)-IF(AND(Projects!$G$29="Yes",AY$3=Projects!$C$29+Projects!$D$29-1),Projects!$B$29*(Assumptions!$B$10+Assumptions!$B$11+Assumptions!$B$12)*0.05,0)</f>
        <v/>
      </c>
      <c r="AZ38" s="399">
        <f>IF(AND(Projects!$G$29="Yes",AZ$3&gt;=Projects!$C$29,AZ$3&lt;Projects!$C$29+Projects!$D$29),Projects!$B$29*INDEX(Curves!$B$4:$AR$4,1,AZ$3-Projects!$C$29+1),0)-IF(AND(Projects!$G$29="Yes",AZ$3&gt;=Projects!$C$29,AZ$3&lt;Projects!$C$29+Projects!$D$29),Projects!$B$29*(Assumptions!$B$10+Assumptions!$B$11+Assumptions!$B$12)/Projects!$D$29*0.95,0)-IF(AND(Projects!$G$29="Yes",AZ$3=Projects!$C$29+Projects!$D$29-1),Projects!$B$29*(Assumptions!$B$10+Assumptions!$B$11+Assumptions!$B$12)*0.05,0)</f>
        <v/>
      </c>
      <c r="BA38" s="399">
        <f>IF(AND(Projects!$G$29="Yes",BA$3&gt;=Projects!$C$29,BA$3&lt;Projects!$C$29+Projects!$D$29),Projects!$B$29*INDEX(Curves!$B$4:$AR$4,1,BA$3-Projects!$C$29+1),0)-IF(AND(Projects!$G$29="Yes",BA$3&gt;=Projects!$C$29,BA$3&lt;Projects!$C$29+Projects!$D$29),Projects!$B$29*(Assumptions!$B$10+Assumptions!$B$11+Assumptions!$B$12)/Projects!$D$29*0.95,0)-IF(AND(Projects!$G$29="Yes",BA$3=Projects!$C$29+Projects!$D$29-1),Projects!$B$29*(Assumptions!$B$10+Assumptions!$B$11+Assumptions!$B$12)*0.05,0)</f>
        <v/>
      </c>
      <c r="BB38" s="399">
        <f>IF(AND(Projects!$G$29="Yes",BB$3&gt;=Projects!$C$29,BB$3&lt;Projects!$C$29+Projects!$D$29),Projects!$B$29*INDEX(Curves!$B$4:$AR$4,1,BB$3-Projects!$C$29+1),0)-IF(AND(Projects!$G$29="Yes",BB$3&gt;=Projects!$C$29,BB$3&lt;Projects!$C$29+Projects!$D$29),Projects!$B$29*(Assumptions!$B$10+Assumptions!$B$11+Assumptions!$B$12)/Projects!$D$29*0.95,0)-IF(AND(Projects!$G$29="Yes",BB$3=Projects!$C$29+Projects!$D$29-1),Projects!$B$29*(Assumptions!$B$10+Assumptions!$B$11+Assumptions!$B$12)*0.05,0)</f>
        <v/>
      </c>
      <c r="BC38" s="399">
        <f>IF(AND(Projects!$G$29="Yes",BC$3&gt;=Projects!$C$29,BC$3&lt;Projects!$C$29+Projects!$D$29),Projects!$B$29*INDEX(Curves!$B$4:$AR$4,1,BC$3-Projects!$C$29+1),0)-IF(AND(Projects!$G$29="Yes",BC$3&gt;=Projects!$C$29,BC$3&lt;Projects!$C$29+Projects!$D$29),Projects!$B$29*(Assumptions!$B$10+Assumptions!$B$11+Assumptions!$B$12)/Projects!$D$29*0.95,0)-IF(AND(Projects!$G$29="Yes",BC$3=Projects!$C$29+Projects!$D$29-1),Projects!$B$29*(Assumptions!$B$10+Assumptions!$B$11+Assumptions!$B$12)*0.05,0)</f>
        <v/>
      </c>
      <c r="BD38" s="399">
        <f>IF(AND(Projects!$G$29="Yes",BD$3&gt;=Projects!$C$29,BD$3&lt;Projects!$C$29+Projects!$D$29),Projects!$B$29*INDEX(Curves!$B$4:$AR$4,1,BD$3-Projects!$C$29+1),0)-IF(AND(Projects!$G$29="Yes",BD$3&gt;=Projects!$C$29,BD$3&lt;Projects!$C$29+Projects!$D$29),Projects!$B$29*(Assumptions!$B$10+Assumptions!$B$11+Assumptions!$B$12)/Projects!$D$29*0.95,0)-IF(AND(Projects!$G$29="Yes",BD$3=Projects!$C$29+Projects!$D$29-1),Projects!$B$29*(Assumptions!$B$10+Assumptions!$B$11+Assumptions!$B$12)*0.05,0)</f>
        <v/>
      </c>
      <c r="BE38" s="399">
        <f>IF(AND(Projects!$G$29="Yes",BE$3&gt;=Projects!$C$29,BE$3&lt;Projects!$C$29+Projects!$D$29),Projects!$B$29*INDEX(Curves!$B$4:$AR$4,1,BE$3-Projects!$C$29+1),0)-IF(AND(Projects!$G$29="Yes",BE$3&gt;=Projects!$C$29,BE$3&lt;Projects!$C$29+Projects!$D$29),Projects!$B$29*(Assumptions!$B$10+Assumptions!$B$11+Assumptions!$B$12)/Projects!$D$29*0.95,0)-IF(AND(Projects!$G$29="Yes",BE$3=Projects!$C$29+Projects!$D$29-1),Projects!$B$29*(Assumptions!$B$10+Assumptions!$B$11+Assumptions!$B$12)*0.05,0)</f>
        <v/>
      </c>
      <c r="BF38" s="399">
        <f>IF(AND(Projects!$G$29="Yes",BF$3&gt;=Projects!$C$29,BF$3&lt;Projects!$C$29+Projects!$D$29),Projects!$B$29*INDEX(Curves!$B$4:$AR$4,1,BF$3-Projects!$C$29+1),0)-IF(AND(Projects!$G$29="Yes",BF$3&gt;=Projects!$C$29,BF$3&lt;Projects!$C$29+Projects!$D$29),Projects!$B$29*(Assumptions!$B$10+Assumptions!$B$11+Assumptions!$B$12)/Projects!$D$29*0.95,0)-IF(AND(Projects!$G$29="Yes",BF$3=Projects!$C$29+Projects!$D$29-1),Projects!$B$29*(Assumptions!$B$10+Assumptions!$B$11+Assumptions!$B$12)*0.05,0)</f>
        <v/>
      </c>
      <c r="BG38" s="399">
        <f>IF(AND(Projects!$G$29="Yes",BG$3&gt;=Projects!$C$29,BG$3&lt;Projects!$C$29+Projects!$D$29),Projects!$B$29*INDEX(Curves!$B$4:$AR$4,1,BG$3-Projects!$C$29+1),0)-IF(AND(Projects!$G$29="Yes",BG$3&gt;=Projects!$C$29,BG$3&lt;Projects!$C$29+Projects!$D$29),Projects!$B$29*(Assumptions!$B$10+Assumptions!$B$11+Assumptions!$B$12)/Projects!$D$29*0.95,0)-IF(AND(Projects!$G$29="Yes",BG$3=Projects!$C$29+Projects!$D$29-1),Projects!$B$29*(Assumptions!$B$10+Assumptions!$B$11+Assumptions!$B$12)*0.05,0)</f>
        <v/>
      </c>
      <c r="BH38" s="399">
        <f>IF(AND(Projects!$G$29="Yes",BH$3&gt;=Projects!$C$29,BH$3&lt;Projects!$C$29+Projects!$D$29),Projects!$B$29*INDEX(Curves!$B$4:$AR$4,1,BH$3-Projects!$C$29+1),0)-IF(AND(Projects!$G$29="Yes",BH$3&gt;=Projects!$C$29,BH$3&lt;Projects!$C$29+Projects!$D$29),Projects!$B$29*(Assumptions!$B$10+Assumptions!$B$11+Assumptions!$B$12)/Projects!$D$29*0.95,0)-IF(AND(Projects!$G$29="Yes",BH$3=Projects!$C$29+Projects!$D$29-1),Projects!$B$29*(Assumptions!$B$10+Assumptions!$B$11+Assumptions!$B$12)*0.05,0)</f>
        <v/>
      </c>
      <c r="BI38" s="399">
        <f>IF(AND(Projects!$G$29="Yes",BI$3&gt;=Projects!$C$29,BI$3&lt;Projects!$C$29+Projects!$D$29),Projects!$B$29*INDEX(Curves!$B$4:$AR$4,1,BI$3-Projects!$C$29+1),0)-IF(AND(Projects!$G$29="Yes",BI$3&gt;=Projects!$C$29,BI$3&lt;Projects!$C$29+Projects!$D$29),Projects!$B$29*(Assumptions!$B$10+Assumptions!$B$11+Assumptions!$B$12)/Projects!$D$29*0.95,0)-IF(AND(Projects!$G$29="Yes",BI$3=Projects!$C$29+Projects!$D$29-1),Projects!$B$29*(Assumptions!$B$10+Assumptions!$B$11+Assumptions!$B$12)*0.05,0)</f>
        <v/>
      </c>
      <c r="BJ38" s="399">
        <f>IF(AND(Projects!$G$29="Yes",BJ$3&gt;=Projects!$C$29,BJ$3&lt;Projects!$C$29+Projects!$D$29),Projects!$B$29*INDEX(Curves!$B$4:$AR$4,1,BJ$3-Projects!$C$29+1),0)-IF(AND(Projects!$G$29="Yes",BJ$3&gt;=Projects!$C$29,BJ$3&lt;Projects!$C$29+Projects!$D$29),Projects!$B$29*(Assumptions!$B$10+Assumptions!$B$11+Assumptions!$B$12)/Projects!$D$29*0.95,0)-IF(AND(Projects!$G$29="Yes",BJ$3=Projects!$C$29+Projects!$D$29-1),Projects!$B$29*(Assumptions!$B$10+Assumptions!$B$11+Assumptions!$B$12)*0.05,0)</f>
        <v/>
      </c>
      <c r="BK38" s="399">
        <f>IF(AND(Projects!$G$29="Yes",BK$3&gt;=Projects!$C$29,BK$3&lt;Projects!$C$29+Projects!$D$29),Projects!$B$29*INDEX(Curves!$B$4:$AR$4,1,BK$3-Projects!$C$29+1),0)-IF(AND(Projects!$G$29="Yes",BK$3&gt;=Projects!$C$29,BK$3&lt;Projects!$C$29+Projects!$D$29),Projects!$B$29*(Assumptions!$B$10+Assumptions!$B$11+Assumptions!$B$12)/Projects!$D$29*0.95,0)-IF(AND(Projects!$G$29="Yes",BK$3=Projects!$C$29+Projects!$D$29-1),Projects!$B$29*(Assumptions!$B$10+Assumptions!$B$11+Assumptions!$B$12)*0.05,0)</f>
        <v/>
      </c>
      <c r="BL38" s="399">
        <f>IF(AND(Projects!$G$29="Yes",BL$3&gt;=Projects!$C$29,BL$3&lt;Projects!$C$29+Projects!$D$29),Projects!$B$29*INDEX(Curves!$B$4:$AR$4,1,BL$3-Projects!$C$29+1),0)-IF(AND(Projects!$G$29="Yes",BL$3&gt;=Projects!$C$29,BL$3&lt;Projects!$C$29+Projects!$D$29),Projects!$B$29*(Assumptions!$B$10+Assumptions!$B$11+Assumptions!$B$12)/Projects!$D$29*0.95,0)-IF(AND(Projects!$G$29="Yes",BL$3=Projects!$C$29+Projects!$D$29-1),Projects!$B$29*(Assumptions!$B$10+Assumptions!$B$11+Assumptions!$B$12)*0.05,0)</f>
        <v/>
      </c>
      <c r="BM38" s="399">
        <f>IF(AND(Projects!$G$29="Yes",BM$3&gt;=Projects!$C$29,BM$3&lt;Projects!$C$29+Projects!$D$29),Projects!$B$29*INDEX(Curves!$B$4:$AR$4,1,BM$3-Projects!$C$29+1),0)-IF(AND(Projects!$G$29="Yes",BM$3&gt;=Projects!$C$29,BM$3&lt;Projects!$C$29+Projects!$D$29),Projects!$B$29*(Assumptions!$B$10+Assumptions!$B$11+Assumptions!$B$12)/Projects!$D$29*0.95,0)-IF(AND(Projects!$G$29="Yes",BM$3=Projects!$C$29+Projects!$D$29-1),Projects!$B$29*(Assumptions!$B$10+Assumptions!$B$11+Assumptions!$B$12)*0.05,0)</f>
        <v/>
      </c>
      <c r="BN38" s="399">
        <f>IF(AND(Projects!$G$29="Yes",BN$3&gt;=Projects!$C$29,BN$3&lt;Projects!$C$29+Projects!$D$29),Projects!$B$29*INDEX(Curves!$B$4:$AR$4,1,BN$3-Projects!$C$29+1),0)-IF(AND(Projects!$G$29="Yes",BN$3&gt;=Projects!$C$29,BN$3&lt;Projects!$C$29+Projects!$D$29),Projects!$B$29*(Assumptions!$B$10+Assumptions!$B$11+Assumptions!$B$12)/Projects!$D$29*0.95,0)-IF(AND(Projects!$G$29="Yes",BN$3=Projects!$C$29+Projects!$D$29-1),Projects!$B$29*(Assumptions!$B$10+Assumptions!$B$11+Assumptions!$B$12)*0.05,0)</f>
        <v/>
      </c>
      <c r="BO38" s="399">
        <f>IF(AND(Projects!$G$29="Yes",BO$3&gt;=Projects!$C$29,BO$3&lt;Projects!$C$29+Projects!$D$29),Projects!$B$29*INDEX(Curves!$B$4:$AR$4,1,BO$3-Projects!$C$29+1),0)-IF(AND(Projects!$G$29="Yes",BO$3&gt;=Projects!$C$29,BO$3&lt;Projects!$C$29+Projects!$D$29),Projects!$B$29*(Assumptions!$B$10+Assumptions!$B$11+Assumptions!$B$12)/Projects!$D$29*0.95,0)-IF(AND(Projects!$G$29="Yes",BO$3=Projects!$C$29+Projects!$D$29-1),Projects!$B$29*(Assumptions!$B$10+Assumptions!$B$11+Assumptions!$B$12)*0.05,0)</f>
        <v/>
      </c>
      <c r="BP38" s="399">
        <f>IF(AND(Projects!$G$29="Yes",BP$3&gt;=Projects!$C$29,BP$3&lt;Projects!$C$29+Projects!$D$29),Projects!$B$29*INDEX(Curves!$B$4:$AR$4,1,BP$3-Projects!$C$29+1),0)-IF(AND(Projects!$G$29="Yes",BP$3&gt;=Projects!$C$29,BP$3&lt;Projects!$C$29+Projects!$D$29),Projects!$B$29*(Assumptions!$B$10+Assumptions!$B$11+Assumptions!$B$12)/Projects!$D$29*0.95,0)-IF(AND(Projects!$G$29="Yes",BP$3=Projects!$C$29+Projects!$D$29-1),Projects!$B$29*(Assumptions!$B$10+Assumptions!$B$11+Assumptions!$B$12)*0.05,0)</f>
        <v/>
      </c>
      <c r="BQ38" s="399">
        <f>IF(AND(Projects!$G$29="Yes",BQ$3&gt;=Projects!$C$29,BQ$3&lt;Projects!$C$29+Projects!$D$29),Projects!$B$29*INDEX(Curves!$B$4:$AR$4,1,BQ$3-Projects!$C$29+1),0)-IF(AND(Projects!$G$29="Yes",BQ$3&gt;=Projects!$C$29,BQ$3&lt;Projects!$C$29+Projects!$D$29),Projects!$B$29*(Assumptions!$B$10+Assumptions!$B$11+Assumptions!$B$12)/Projects!$D$29*0.95,0)-IF(AND(Projects!$G$29="Yes",BQ$3=Projects!$C$29+Projects!$D$29-1),Projects!$B$29*(Assumptions!$B$10+Assumptions!$B$11+Assumptions!$B$12)*0.05,0)</f>
        <v/>
      </c>
      <c r="BR38" s="399">
        <f>IF(AND(Projects!$G$29="Yes",BR$3&gt;=Projects!$C$29,BR$3&lt;Projects!$C$29+Projects!$D$29),Projects!$B$29*INDEX(Curves!$B$4:$AR$4,1,BR$3-Projects!$C$29+1),0)-IF(AND(Projects!$G$29="Yes",BR$3&gt;=Projects!$C$29,BR$3&lt;Projects!$C$29+Projects!$D$29),Projects!$B$29*(Assumptions!$B$10+Assumptions!$B$11+Assumptions!$B$12)/Projects!$D$29*0.95,0)-IF(AND(Projects!$G$29="Yes",BR$3=Projects!$C$29+Projects!$D$29-1),Projects!$B$29*(Assumptions!$B$10+Assumptions!$B$11+Assumptions!$B$12)*0.05,0)</f>
        <v/>
      </c>
      <c r="BS38" s="399">
        <f>IF(AND(Projects!$G$29="Yes",BS$3&gt;=Projects!$C$29,BS$3&lt;Projects!$C$29+Projects!$D$29),Projects!$B$29*INDEX(Curves!$B$4:$AR$4,1,BS$3-Projects!$C$29+1),0)-IF(AND(Projects!$G$29="Yes",BS$3&gt;=Projects!$C$29,BS$3&lt;Projects!$C$29+Projects!$D$29),Projects!$B$29*(Assumptions!$B$10+Assumptions!$B$11+Assumptions!$B$12)/Projects!$D$29*0.95,0)-IF(AND(Projects!$G$29="Yes",BS$3=Projects!$C$29+Projects!$D$29-1),Projects!$B$29*(Assumptions!$B$10+Assumptions!$B$11+Assumptions!$B$12)*0.05,0)</f>
        <v/>
      </c>
      <c r="BT38" s="399">
        <f>IF(AND(Projects!$G$29="Yes",BT$3&gt;=Projects!$C$29,BT$3&lt;Projects!$C$29+Projects!$D$29),Projects!$B$29*INDEX(Curves!$B$4:$AR$4,1,BT$3-Projects!$C$29+1),0)-IF(AND(Projects!$G$29="Yes",BT$3&gt;=Projects!$C$29,BT$3&lt;Projects!$C$29+Projects!$D$29),Projects!$B$29*(Assumptions!$B$10+Assumptions!$B$11+Assumptions!$B$12)/Projects!$D$29*0.95,0)-IF(AND(Projects!$G$29="Yes",BT$3=Projects!$C$29+Projects!$D$29-1),Projects!$B$29*(Assumptions!$B$10+Assumptions!$B$11+Assumptions!$B$12)*0.05,0)</f>
        <v/>
      </c>
      <c r="BU38" s="399">
        <f>IF(AND(Projects!$G$29="Yes",BU$3&gt;=Projects!$C$29,BU$3&lt;Projects!$C$29+Projects!$D$29),Projects!$B$29*INDEX(Curves!$B$4:$AR$4,1,BU$3-Projects!$C$29+1),0)-IF(AND(Projects!$G$29="Yes",BU$3&gt;=Projects!$C$29,BU$3&lt;Projects!$C$29+Projects!$D$29),Projects!$B$29*(Assumptions!$B$10+Assumptions!$B$11+Assumptions!$B$12)/Projects!$D$29*0.95,0)-IF(AND(Projects!$G$29="Yes",BU$3=Projects!$C$29+Projects!$D$29-1),Projects!$B$29*(Assumptions!$B$10+Assumptions!$B$11+Assumptions!$B$12)*0.05,0)</f>
        <v/>
      </c>
      <c r="BV38" s="399">
        <f>IF(AND(Projects!$G$29="Yes",BV$3&gt;=Projects!$C$29,BV$3&lt;Projects!$C$29+Projects!$D$29),Projects!$B$29*INDEX(Curves!$B$4:$AR$4,1,BV$3-Projects!$C$29+1),0)-IF(AND(Projects!$G$29="Yes",BV$3&gt;=Projects!$C$29,BV$3&lt;Projects!$C$29+Projects!$D$29),Projects!$B$29*(Assumptions!$B$10+Assumptions!$B$11+Assumptions!$B$12)/Projects!$D$29*0.95,0)-IF(AND(Projects!$G$29="Yes",BV$3=Projects!$C$29+Projects!$D$29-1),Projects!$B$29*(Assumptions!$B$10+Assumptions!$B$11+Assumptions!$B$12)*0.05,0)</f>
        <v/>
      </c>
      <c r="BW38" s="399">
        <f>IF(AND(Projects!$G$29="Yes",BW$3&gt;=Projects!$C$29,BW$3&lt;Projects!$C$29+Projects!$D$29),Projects!$B$29*INDEX(Curves!$B$4:$AR$4,1,BW$3-Projects!$C$29+1),0)-IF(AND(Projects!$G$29="Yes",BW$3&gt;=Projects!$C$29,BW$3&lt;Projects!$C$29+Projects!$D$29),Projects!$B$29*(Assumptions!$B$10+Assumptions!$B$11+Assumptions!$B$12)/Projects!$D$29*0.95,0)-IF(AND(Projects!$G$29="Yes",BW$3=Projects!$C$29+Projects!$D$29-1),Projects!$B$29*(Assumptions!$B$10+Assumptions!$B$11+Assumptions!$B$12)*0.05,0)</f>
        <v/>
      </c>
      <c r="BX38" s="399">
        <f>IF(AND(Projects!$G$29="Yes",BX$3&gt;=Projects!$C$29,BX$3&lt;Projects!$C$29+Projects!$D$29),Projects!$B$29*INDEX(Curves!$B$4:$AR$4,1,BX$3-Projects!$C$29+1),0)-IF(AND(Projects!$G$29="Yes",BX$3&gt;=Projects!$C$29,BX$3&lt;Projects!$C$29+Projects!$D$29),Projects!$B$29*(Assumptions!$B$10+Assumptions!$B$11+Assumptions!$B$12)/Projects!$D$29*0.95,0)-IF(AND(Projects!$G$29="Yes",BX$3=Projects!$C$29+Projects!$D$29-1),Projects!$B$29*(Assumptions!$B$10+Assumptions!$B$11+Assumptions!$B$12)*0.05,0)</f>
        <v/>
      </c>
      <c r="BY38" s="399">
        <f>IF(AND(Projects!$G$29="Yes",BY$3&gt;=Projects!$C$29,BY$3&lt;Projects!$C$29+Projects!$D$29),Projects!$B$29*INDEX(Curves!$B$4:$AR$4,1,BY$3-Projects!$C$29+1),0)-IF(AND(Projects!$G$29="Yes",BY$3&gt;=Projects!$C$29,BY$3&lt;Projects!$C$29+Projects!$D$29),Projects!$B$29*(Assumptions!$B$10+Assumptions!$B$11+Assumptions!$B$12)/Projects!$D$29*0.95,0)-IF(AND(Projects!$G$29="Yes",BY$3=Projects!$C$29+Projects!$D$29-1),Projects!$B$29*(Assumptions!$B$10+Assumptions!$B$11+Assumptions!$B$12)*0.05,0)</f>
        <v/>
      </c>
      <c r="BZ38" s="399">
        <f>IF(AND(Projects!$G$29="Yes",BZ$3&gt;=Projects!$C$29,BZ$3&lt;Projects!$C$29+Projects!$D$29),Projects!$B$29*INDEX(Curves!$B$4:$AR$4,1,BZ$3-Projects!$C$29+1),0)-IF(AND(Projects!$G$29="Yes",BZ$3&gt;=Projects!$C$29,BZ$3&lt;Projects!$C$29+Projects!$D$29),Projects!$B$29*(Assumptions!$B$10+Assumptions!$B$11+Assumptions!$B$12)/Projects!$D$29*0.95,0)-IF(AND(Projects!$G$29="Yes",BZ$3=Projects!$C$29+Projects!$D$29-1),Projects!$B$29*(Assumptions!$B$10+Assumptions!$B$11+Assumptions!$B$12)*0.05,0)</f>
        <v/>
      </c>
      <c r="CA38" s="399">
        <f>IF(AND(Projects!$G$29="Yes",CA$3&gt;=Projects!$C$29,CA$3&lt;Projects!$C$29+Projects!$D$29),Projects!$B$29*INDEX(Curves!$B$4:$AR$4,1,CA$3-Projects!$C$29+1),0)-IF(AND(Projects!$G$29="Yes",CA$3&gt;=Projects!$C$29,CA$3&lt;Projects!$C$29+Projects!$D$29),Projects!$B$29*(Assumptions!$B$10+Assumptions!$B$11+Assumptions!$B$12)/Projects!$D$29*0.95,0)-IF(AND(Projects!$G$29="Yes",CA$3=Projects!$C$29+Projects!$D$29-1),Projects!$B$29*(Assumptions!$B$10+Assumptions!$B$11+Assumptions!$B$12)*0.05,0)</f>
        <v/>
      </c>
      <c r="CB38" s="399">
        <f>IF(AND(Projects!$G$29="Yes",CB$3&gt;=Projects!$C$29,CB$3&lt;Projects!$C$29+Projects!$D$29),Projects!$B$29*INDEX(Curves!$B$4:$AR$4,1,CB$3-Projects!$C$29+1),0)-IF(AND(Projects!$G$29="Yes",CB$3&gt;=Projects!$C$29,CB$3&lt;Projects!$C$29+Projects!$D$29),Projects!$B$29*(Assumptions!$B$10+Assumptions!$B$11+Assumptions!$B$12)/Projects!$D$29*0.95,0)-IF(AND(Projects!$G$29="Yes",CB$3=Projects!$C$29+Projects!$D$29-1),Projects!$B$29*(Assumptions!$B$10+Assumptions!$B$11+Assumptions!$B$12)*0.05,0)</f>
        <v/>
      </c>
      <c r="CC38" s="399">
        <f>IF(AND(Projects!$G$29="Yes",CC$3&gt;=Projects!$C$29,CC$3&lt;Projects!$C$29+Projects!$D$29),Projects!$B$29*INDEX(Curves!$B$4:$AR$4,1,CC$3-Projects!$C$29+1),0)-IF(AND(Projects!$G$29="Yes",CC$3&gt;=Projects!$C$29,CC$3&lt;Projects!$C$29+Projects!$D$29),Projects!$B$29*(Assumptions!$B$10+Assumptions!$B$11+Assumptions!$B$12)/Projects!$D$29*0.95,0)-IF(AND(Projects!$G$29="Yes",CC$3=Projects!$C$29+Projects!$D$29-1),Projects!$B$29*(Assumptions!$B$10+Assumptions!$B$11+Assumptions!$B$12)*0.05,0)</f>
        <v/>
      </c>
      <c r="CD38" s="399">
        <f>IF(AND(Projects!$G$29="Yes",CD$3&gt;=Projects!$C$29,CD$3&lt;Projects!$C$29+Projects!$D$29),Projects!$B$29*INDEX(Curves!$B$4:$AR$4,1,CD$3-Projects!$C$29+1),0)-IF(AND(Projects!$G$29="Yes",CD$3&gt;=Projects!$C$29,CD$3&lt;Projects!$C$29+Projects!$D$29),Projects!$B$29*(Assumptions!$B$10+Assumptions!$B$11+Assumptions!$B$12)/Projects!$D$29*0.95,0)-IF(AND(Projects!$G$29="Yes",CD$3=Projects!$C$29+Projects!$D$29-1),Projects!$B$29*(Assumptions!$B$10+Assumptions!$B$11+Assumptions!$B$12)*0.05,0)</f>
        <v/>
      </c>
      <c r="CE38" s="399">
        <f>IF(AND(Projects!$G$29="Yes",CE$3&gt;=Projects!$C$29,CE$3&lt;Projects!$C$29+Projects!$D$29),Projects!$B$29*INDEX(Curves!$B$4:$AR$4,1,CE$3-Projects!$C$29+1),0)-IF(AND(Projects!$G$29="Yes",CE$3&gt;=Projects!$C$29,CE$3&lt;Projects!$C$29+Projects!$D$29),Projects!$B$29*(Assumptions!$B$10+Assumptions!$B$11+Assumptions!$B$12)/Projects!$D$29*0.95,0)-IF(AND(Projects!$G$29="Yes",CE$3=Projects!$C$29+Projects!$D$29-1),Projects!$B$29*(Assumptions!$B$10+Assumptions!$B$11+Assumptions!$B$12)*0.05,0)</f>
        <v/>
      </c>
      <c r="CF38" s="399">
        <f>IF(AND(Projects!$G$29="Yes",CF$3&gt;=Projects!$C$29,CF$3&lt;Projects!$C$29+Projects!$D$29),Projects!$B$29*INDEX(Curves!$B$4:$AR$4,1,CF$3-Projects!$C$29+1),0)-IF(AND(Projects!$G$29="Yes",CF$3&gt;=Projects!$C$29,CF$3&lt;Projects!$C$29+Projects!$D$29),Projects!$B$29*(Assumptions!$B$10+Assumptions!$B$11+Assumptions!$B$12)/Projects!$D$29*0.95,0)-IF(AND(Projects!$G$29="Yes",CF$3=Projects!$C$29+Projects!$D$29-1),Projects!$B$29*(Assumptions!$B$10+Assumptions!$B$11+Assumptions!$B$12)*0.05,0)</f>
        <v/>
      </c>
      <c r="CG38" s="399">
        <f>IF(AND(Projects!$G$29="Yes",CG$3&gt;=Projects!$C$29,CG$3&lt;Projects!$C$29+Projects!$D$29),Projects!$B$29*INDEX(Curves!$B$4:$AR$4,1,CG$3-Projects!$C$29+1),0)-IF(AND(Projects!$G$29="Yes",CG$3&gt;=Projects!$C$29,CG$3&lt;Projects!$C$29+Projects!$D$29),Projects!$B$29*(Assumptions!$B$10+Assumptions!$B$11+Assumptions!$B$12)/Projects!$D$29*0.95,0)-IF(AND(Projects!$G$29="Yes",CG$3=Projects!$C$29+Projects!$D$29-1),Projects!$B$29*(Assumptions!$B$10+Assumptions!$B$11+Assumptions!$B$12)*0.05,0)</f>
        <v/>
      </c>
      <c r="CH38" s="399">
        <f>IF(AND(Projects!$G$29="Yes",CH$3&gt;=Projects!$C$29,CH$3&lt;Projects!$C$29+Projects!$D$29),Projects!$B$29*INDEX(Curves!$B$4:$AR$4,1,CH$3-Projects!$C$29+1),0)-IF(AND(Projects!$G$29="Yes",CH$3&gt;=Projects!$C$29,CH$3&lt;Projects!$C$29+Projects!$D$29),Projects!$B$29*(Assumptions!$B$10+Assumptions!$B$11+Assumptions!$B$12)/Projects!$D$29*0.95,0)-IF(AND(Projects!$G$29="Yes",CH$3=Projects!$C$29+Projects!$D$29-1),Projects!$B$29*(Assumptions!$B$10+Assumptions!$B$11+Assumptions!$B$12)*0.05,0)</f>
        <v/>
      </c>
      <c r="CI38" s="399">
        <f>IF(AND(Projects!$G$29="Yes",CI$3&gt;=Projects!$C$29,CI$3&lt;Projects!$C$29+Projects!$D$29),Projects!$B$29*INDEX(Curves!$B$4:$AR$4,1,CI$3-Projects!$C$29+1),0)-IF(AND(Projects!$G$29="Yes",CI$3&gt;=Projects!$C$29,CI$3&lt;Projects!$C$29+Projects!$D$29),Projects!$B$29*(Assumptions!$B$10+Assumptions!$B$11+Assumptions!$B$12)/Projects!$D$29*0.95,0)-IF(AND(Projects!$G$29="Yes",CI$3=Projects!$C$29+Projects!$D$29-1),Projects!$B$29*(Assumptions!$B$10+Assumptions!$B$11+Assumptions!$B$12)*0.05,0)</f>
        <v/>
      </c>
      <c r="CJ38" s="399">
        <f>IF(AND(Projects!$G$29="Yes",CJ$3&gt;=Projects!$C$29,CJ$3&lt;Projects!$C$29+Projects!$D$29),Projects!$B$29*INDEX(Curves!$B$4:$AR$4,1,CJ$3-Projects!$C$29+1),0)-IF(AND(Projects!$G$29="Yes",CJ$3&gt;=Projects!$C$29,CJ$3&lt;Projects!$C$29+Projects!$D$29),Projects!$B$29*(Assumptions!$B$10+Assumptions!$B$11+Assumptions!$B$12)/Projects!$D$29*0.95,0)-IF(AND(Projects!$G$29="Yes",CJ$3=Projects!$C$29+Projects!$D$29-1),Projects!$B$29*(Assumptions!$B$10+Assumptions!$B$11+Assumptions!$B$12)*0.05,0)</f>
        <v/>
      </c>
      <c r="CK38" s="399">
        <f>IF(AND(Projects!$G$29="Yes",CK$3&gt;=Projects!$C$29,CK$3&lt;Projects!$C$29+Projects!$D$29),Projects!$B$29*INDEX(Curves!$B$4:$AR$4,1,CK$3-Projects!$C$29+1),0)-IF(AND(Projects!$G$29="Yes",CK$3&gt;=Projects!$C$29,CK$3&lt;Projects!$C$29+Projects!$D$29),Projects!$B$29*(Assumptions!$B$10+Assumptions!$B$11+Assumptions!$B$12)/Projects!$D$29*0.95,0)-IF(AND(Projects!$G$29="Yes",CK$3=Projects!$C$29+Projects!$D$29-1),Projects!$B$29*(Assumptions!$B$10+Assumptions!$B$11+Assumptions!$B$12)*0.05,0)</f>
        <v/>
      </c>
      <c r="CL38" s="399">
        <f>IF(AND(Projects!$G$29="Yes",CL$3&gt;=Projects!$C$29,CL$3&lt;Projects!$C$29+Projects!$D$29),Projects!$B$29*INDEX(Curves!$B$4:$AR$4,1,CL$3-Projects!$C$29+1),0)-IF(AND(Projects!$G$29="Yes",CL$3&gt;=Projects!$C$29,CL$3&lt;Projects!$C$29+Projects!$D$29),Projects!$B$29*(Assumptions!$B$10+Assumptions!$B$11+Assumptions!$B$12)/Projects!$D$29*0.95,0)-IF(AND(Projects!$G$29="Yes",CL$3=Projects!$C$29+Projects!$D$29-1),Projects!$B$29*(Assumptions!$B$10+Assumptions!$B$11+Assumptions!$B$12)*0.05,0)</f>
        <v/>
      </c>
      <c r="CM38" s="399">
        <f>IF(AND(Projects!$G$29="Yes",CM$3&gt;=Projects!$C$29,CM$3&lt;Projects!$C$29+Projects!$D$29),Projects!$B$29*INDEX(Curves!$B$4:$AR$4,1,CM$3-Projects!$C$29+1),0)-IF(AND(Projects!$G$29="Yes",CM$3&gt;=Projects!$C$29,CM$3&lt;Projects!$C$29+Projects!$D$29),Projects!$B$29*(Assumptions!$B$10+Assumptions!$B$11+Assumptions!$B$12)/Projects!$D$29*0.95,0)-IF(AND(Projects!$G$29="Yes",CM$3=Projects!$C$29+Projects!$D$29-1),Projects!$B$29*(Assumptions!$B$10+Assumptions!$B$11+Assumptions!$B$12)*0.05,0)</f>
        <v/>
      </c>
      <c r="CN38" s="399">
        <f>IF(AND(Projects!$G$29="Yes",CN$3&gt;=Projects!$C$29,CN$3&lt;Projects!$C$29+Projects!$D$29),Projects!$B$29*INDEX(Curves!$B$4:$AR$4,1,CN$3-Projects!$C$29+1),0)-IF(AND(Projects!$G$29="Yes",CN$3&gt;=Projects!$C$29,CN$3&lt;Projects!$C$29+Projects!$D$29),Projects!$B$29*(Assumptions!$B$10+Assumptions!$B$11+Assumptions!$B$12)/Projects!$D$29*0.95,0)-IF(AND(Projects!$G$29="Yes",CN$3=Projects!$C$29+Projects!$D$29-1),Projects!$B$29*(Assumptions!$B$10+Assumptions!$B$11+Assumptions!$B$12)*0.05,0)</f>
        <v/>
      </c>
      <c r="CO38" s="399">
        <f>IF(AND(Projects!$G$29="Yes",CO$3&gt;=Projects!$C$29,CO$3&lt;Projects!$C$29+Projects!$D$29),Projects!$B$29*INDEX(Curves!$B$4:$AR$4,1,CO$3-Projects!$C$29+1),0)-IF(AND(Projects!$G$29="Yes",CO$3&gt;=Projects!$C$29,CO$3&lt;Projects!$C$29+Projects!$D$29),Projects!$B$29*(Assumptions!$B$10+Assumptions!$B$11+Assumptions!$B$12)/Projects!$D$29*0.95,0)-IF(AND(Projects!$G$29="Yes",CO$3=Projects!$C$29+Projects!$D$29-1),Projects!$B$29*(Assumptions!$B$10+Assumptions!$B$11+Assumptions!$B$12)*0.05,0)</f>
        <v/>
      </c>
      <c r="CP38" s="399">
        <f>IF(AND(Projects!$G$29="Yes",CP$3&gt;=Projects!$C$29,CP$3&lt;Projects!$C$29+Projects!$D$29),Projects!$B$29*INDEX(Curves!$B$4:$AR$4,1,CP$3-Projects!$C$29+1),0)-IF(AND(Projects!$G$29="Yes",CP$3&gt;=Projects!$C$29,CP$3&lt;Projects!$C$29+Projects!$D$29),Projects!$B$29*(Assumptions!$B$10+Assumptions!$B$11+Assumptions!$B$12)/Projects!$D$29*0.95,0)-IF(AND(Projects!$G$29="Yes",CP$3=Projects!$C$29+Projects!$D$29-1),Projects!$B$29*(Assumptions!$B$10+Assumptions!$B$11+Assumptions!$B$12)*0.05,0)</f>
        <v/>
      </c>
      <c r="CQ38" s="399">
        <f>IF(AND(Projects!$G$29="Yes",CQ$3&gt;=Projects!$C$29,CQ$3&lt;Projects!$C$29+Projects!$D$29),Projects!$B$29*INDEX(Curves!$B$4:$AR$4,1,CQ$3-Projects!$C$29+1),0)-IF(AND(Projects!$G$29="Yes",CQ$3&gt;=Projects!$C$29,CQ$3&lt;Projects!$C$29+Projects!$D$29),Projects!$B$29*(Assumptions!$B$10+Assumptions!$B$11+Assumptions!$B$12)/Projects!$D$29*0.95,0)-IF(AND(Projects!$G$29="Yes",CQ$3=Projects!$C$29+Projects!$D$29-1),Projects!$B$29*(Assumptions!$B$10+Assumptions!$B$11+Assumptions!$B$12)*0.05,0)</f>
        <v/>
      </c>
      <c r="CR38" s="399">
        <f>IF(AND(Projects!$G$29="Yes",CR$3&gt;=Projects!$C$29,CR$3&lt;Projects!$C$29+Projects!$D$29),Projects!$B$29*INDEX(Curves!$B$4:$AR$4,1,CR$3-Projects!$C$29+1),0)-IF(AND(Projects!$G$29="Yes",CR$3&gt;=Projects!$C$29,CR$3&lt;Projects!$C$29+Projects!$D$29),Projects!$B$29*(Assumptions!$B$10+Assumptions!$B$11+Assumptions!$B$12)/Projects!$D$29*0.95,0)-IF(AND(Projects!$G$29="Yes",CR$3=Projects!$C$29+Projects!$D$29-1),Projects!$B$29*(Assumptions!$B$10+Assumptions!$B$11+Assumptions!$B$12)*0.05,0)</f>
        <v/>
      </c>
      <c r="CS38" s="399">
        <f>IF(AND(Projects!$G$29="Yes",CS$3&gt;=Projects!$C$29,CS$3&lt;Projects!$C$29+Projects!$D$29),Projects!$B$29*INDEX(Curves!$B$4:$AR$4,1,CS$3-Projects!$C$29+1),0)-IF(AND(Projects!$G$29="Yes",CS$3&gt;=Projects!$C$29,CS$3&lt;Projects!$C$29+Projects!$D$29),Projects!$B$29*(Assumptions!$B$10+Assumptions!$B$11+Assumptions!$B$12)/Projects!$D$29*0.95,0)-IF(AND(Projects!$G$29="Yes",CS$3=Projects!$C$29+Projects!$D$29-1),Projects!$B$29*(Assumptions!$B$10+Assumptions!$B$11+Assumptions!$B$12)*0.05,0)</f>
        <v/>
      </c>
      <c r="CT38" s="399">
        <f>IF(AND(Projects!$G$29="Yes",CT$3&gt;=Projects!$C$29,CT$3&lt;Projects!$C$29+Projects!$D$29),Projects!$B$29*INDEX(Curves!$B$4:$AR$4,1,CT$3-Projects!$C$29+1),0)-IF(AND(Projects!$G$29="Yes",CT$3&gt;=Projects!$C$29,CT$3&lt;Projects!$C$29+Projects!$D$29),Projects!$B$29*(Assumptions!$B$10+Assumptions!$B$11+Assumptions!$B$12)/Projects!$D$29*0.95,0)-IF(AND(Projects!$G$29="Yes",CT$3=Projects!$C$29+Projects!$D$29-1),Projects!$B$29*(Assumptions!$B$10+Assumptions!$B$11+Assumptions!$B$12)*0.05,0)</f>
        <v/>
      </c>
      <c r="CU38" s="399">
        <f>IF(AND(Projects!$G$29="Yes",CU$3&gt;=Projects!$C$29,CU$3&lt;Projects!$C$29+Projects!$D$29),Projects!$B$29*INDEX(Curves!$B$4:$AR$4,1,CU$3-Projects!$C$29+1),0)-IF(AND(Projects!$G$29="Yes",CU$3&gt;=Projects!$C$29,CU$3&lt;Projects!$C$29+Projects!$D$29),Projects!$B$29*(Assumptions!$B$10+Assumptions!$B$11+Assumptions!$B$12)/Projects!$D$29*0.95,0)-IF(AND(Projects!$G$29="Yes",CU$3=Projects!$C$29+Projects!$D$29-1),Projects!$B$29*(Assumptions!$B$10+Assumptions!$B$11+Assumptions!$B$12)*0.05,0)</f>
        <v/>
      </c>
      <c r="CV38" s="399">
        <f>IF(AND(Projects!$G$29="Yes",CV$3&gt;=Projects!$C$29,CV$3&lt;Projects!$C$29+Projects!$D$29),Projects!$B$29*INDEX(Curves!$B$4:$AR$4,1,CV$3-Projects!$C$29+1),0)-IF(AND(Projects!$G$29="Yes",CV$3&gt;=Projects!$C$29,CV$3&lt;Projects!$C$29+Projects!$D$29),Projects!$B$29*(Assumptions!$B$10+Assumptions!$B$11+Assumptions!$B$12)/Projects!$D$29*0.95,0)-IF(AND(Projects!$G$29="Yes",CV$3=Projects!$C$29+Projects!$D$29-1),Projects!$B$29*(Assumptions!$B$10+Assumptions!$B$11+Assumptions!$B$12)*0.05,0)</f>
        <v/>
      </c>
      <c r="CW38" s="399">
        <f>IF(AND(Projects!$G$29="Yes",CW$3&gt;=Projects!$C$29,CW$3&lt;Projects!$C$29+Projects!$D$29),Projects!$B$29*INDEX(Curves!$B$4:$AR$4,1,CW$3-Projects!$C$29+1),0)-IF(AND(Projects!$G$29="Yes",CW$3&gt;=Projects!$C$29,CW$3&lt;Projects!$C$29+Projects!$D$29),Projects!$B$29*(Assumptions!$B$10+Assumptions!$B$11+Assumptions!$B$12)/Projects!$D$29*0.95,0)-IF(AND(Projects!$G$29="Yes",CW$3=Projects!$C$29+Projects!$D$29-1),Projects!$B$29*(Assumptions!$B$10+Assumptions!$B$11+Assumptions!$B$12)*0.05,0)</f>
        <v/>
      </c>
      <c r="CX38" s="399">
        <f>IF(AND(Projects!$G$29="Yes",CX$3&gt;=Projects!$C$29,CX$3&lt;Projects!$C$29+Projects!$D$29),Projects!$B$29*INDEX(Curves!$B$4:$AR$4,1,CX$3-Projects!$C$29+1),0)-IF(AND(Projects!$G$29="Yes",CX$3&gt;=Projects!$C$29,CX$3&lt;Projects!$C$29+Projects!$D$29),Projects!$B$29*(Assumptions!$B$10+Assumptions!$B$11+Assumptions!$B$12)/Projects!$D$29*0.95,0)-IF(AND(Projects!$G$29="Yes",CX$3=Projects!$C$29+Projects!$D$29-1),Projects!$B$29*(Assumptions!$B$10+Assumptions!$B$11+Assumptions!$B$12)*0.05,0)</f>
        <v/>
      </c>
      <c r="CY38" s="399">
        <f>IF(AND(Projects!$G$29="Yes",CY$3&gt;=Projects!$C$29,CY$3&lt;Projects!$C$29+Projects!$D$29),Projects!$B$29*INDEX(Curves!$B$4:$AR$4,1,CY$3-Projects!$C$29+1),0)-IF(AND(Projects!$G$29="Yes",CY$3&gt;=Projects!$C$29,CY$3&lt;Projects!$C$29+Projects!$D$29),Projects!$B$29*(Assumptions!$B$10+Assumptions!$B$11+Assumptions!$B$12)/Projects!$D$29*0.95,0)-IF(AND(Projects!$G$29="Yes",CY$3=Projects!$C$29+Projects!$D$29-1),Projects!$B$29*(Assumptions!$B$10+Assumptions!$B$11+Assumptions!$B$12)*0.05,0)</f>
        <v/>
      </c>
      <c r="CZ38" s="399">
        <f>IF(AND(Projects!$G$29="Yes",CZ$3&gt;=Projects!$C$29,CZ$3&lt;Projects!$C$29+Projects!$D$29),Projects!$B$29*INDEX(Curves!$B$4:$AR$4,1,CZ$3-Projects!$C$29+1),0)-IF(AND(Projects!$G$29="Yes",CZ$3&gt;=Projects!$C$29,CZ$3&lt;Projects!$C$29+Projects!$D$29),Projects!$B$29*(Assumptions!$B$10+Assumptions!$B$11+Assumptions!$B$12)/Projects!$D$29*0.95,0)-IF(AND(Projects!$G$29="Yes",CZ$3=Projects!$C$29+Projects!$D$29-1),Projects!$B$29*(Assumptions!$B$10+Assumptions!$B$11+Assumptions!$B$12)*0.05,0)</f>
        <v/>
      </c>
      <c r="DA38" s="399">
        <f>IF(AND(Projects!$G$29="Yes",DA$3&gt;=Projects!$C$29,DA$3&lt;Projects!$C$29+Projects!$D$29),Projects!$B$29*INDEX(Curves!$B$4:$AR$4,1,DA$3-Projects!$C$29+1),0)-IF(AND(Projects!$G$29="Yes",DA$3&gt;=Projects!$C$29,DA$3&lt;Projects!$C$29+Projects!$D$29),Projects!$B$29*(Assumptions!$B$10+Assumptions!$B$11+Assumptions!$B$12)/Projects!$D$29*0.95,0)-IF(AND(Projects!$G$29="Yes",DA$3=Projects!$C$29+Projects!$D$29-1),Projects!$B$29*(Assumptions!$B$10+Assumptions!$B$11+Assumptions!$B$12)*0.05,0)</f>
        <v/>
      </c>
      <c r="DB38" s="399">
        <f>IF(AND(Projects!$G$29="Yes",DB$3&gt;=Projects!$C$29,DB$3&lt;Projects!$C$29+Projects!$D$29),Projects!$B$29*INDEX(Curves!$B$4:$AR$4,1,DB$3-Projects!$C$29+1),0)-IF(AND(Projects!$G$29="Yes",DB$3&gt;=Projects!$C$29,DB$3&lt;Projects!$C$29+Projects!$D$29),Projects!$B$29*(Assumptions!$B$10+Assumptions!$B$11+Assumptions!$B$12)/Projects!$D$29*0.95,0)-IF(AND(Projects!$G$29="Yes",DB$3=Projects!$C$29+Projects!$D$29-1),Projects!$B$29*(Assumptions!$B$10+Assumptions!$B$11+Assumptions!$B$12)*0.05,0)</f>
        <v/>
      </c>
      <c r="DC38" s="399">
        <f>IF(AND(Projects!$G$29="Yes",DC$3&gt;=Projects!$C$29,DC$3&lt;Projects!$C$29+Projects!$D$29),Projects!$B$29*INDEX(Curves!$B$4:$AR$4,1,DC$3-Projects!$C$29+1),0)-IF(AND(Projects!$G$29="Yes",DC$3&gt;=Projects!$C$29,DC$3&lt;Projects!$C$29+Projects!$D$29),Projects!$B$29*(Assumptions!$B$10+Assumptions!$B$11+Assumptions!$B$12)/Projects!$D$29*0.95,0)-IF(AND(Projects!$G$29="Yes",DC$3=Projects!$C$29+Projects!$D$29-1),Projects!$B$29*(Assumptions!$B$10+Assumptions!$B$11+Assumptions!$B$12)*0.05,0)</f>
        <v/>
      </c>
      <c r="DD38" s="399">
        <f>IF(AND(Projects!$G$29="Yes",DD$3&gt;=Projects!$C$29,DD$3&lt;Projects!$C$29+Projects!$D$29),Projects!$B$29*INDEX(Curves!$B$4:$AR$4,1,DD$3-Projects!$C$29+1),0)-IF(AND(Projects!$G$29="Yes",DD$3&gt;=Projects!$C$29,DD$3&lt;Projects!$C$29+Projects!$D$29),Projects!$B$29*(Assumptions!$B$10+Assumptions!$B$11+Assumptions!$B$12)/Projects!$D$29*0.95,0)-IF(AND(Projects!$G$29="Yes",DD$3=Projects!$C$29+Projects!$D$29-1),Projects!$B$29*(Assumptions!$B$10+Assumptions!$B$11+Assumptions!$B$12)*0.05,0)</f>
        <v/>
      </c>
      <c r="DE38" s="399">
        <f>IF(AND(Projects!$G$29="Yes",DE$3&gt;=Projects!$C$29,DE$3&lt;Projects!$C$29+Projects!$D$29),Projects!$B$29*INDEX(Curves!$B$4:$AR$4,1,DE$3-Projects!$C$29+1),0)-IF(AND(Projects!$G$29="Yes",DE$3&gt;=Projects!$C$29,DE$3&lt;Projects!$C$29+Projects!$D$29),Projects!$B$29*(Assumptions!$B$10+Assumptions!$B$11+Assumptions!$B$12)/Projects!$D$29*0.95,0)-IF(AND(Projects!$G$29="Yes",DE$3=Projects!$C$29+Projects!$D$29-1),Projects!$B$29*(Assumptions!$B$10+Assumptions!$B$11+Assumptions!$B$12)*0.05,0)</f>
        <v/>
      </c>
    </row>
    <row r="39" hidden="1" outlineLevel="1" ht="15" customFormat="1" customHeight="1" s="380">
      <c r="A39" s="407" t="inlineStr">
        <is>
          <t>BD-14</t>
        </is>
      </c>
      <c r="B39" s="399" t="n">
        <v>0</v>
      </c>
      <c r="C39" s="399" t="n">
        <v>0</v>
      </c>
      <c r="D39" s="399" t="n">
        <v>0</v>
      </c>
      <c r="E39" s="399" t="n">
        <v>0</v>
      </c>
      <c r="F39" s="399">
        <f>IF(AND(Projects!$G$30="Yes",F$3&gt;=Projects!$C$30,F$3&lt;Projects!$C$30+Projects!$D$30),Projects!$B$30*INDEX(Curves!$B$4:$AR$4,1,F$3-Projects!$C$30+1),0)-IF(AND(Projects!$G$30="Yes",F$3&gt;=Projects!$C$30,F$3&lt;Projects!$C$30+Projects!$D$30),Projects!$B$30*(Assumptions!$B$10+Assumptions!$B$11+Assumptions!$B$12)/Projects!$D$30*0.95,0)-IF(AND(Projects!$G$30="Yes",F$3=Projects!$C$30+Projects!$D$30-1),Projects!$B$30*(Assumptions!$B$10+Assumptions!$B$11+Assumptions!$B$12)*0.05,0)</f>
        <v/>
      </c>
      <c r="G39" s="399">
        <f>IF(AND(Projects!$G$30="Yes",G$3&gt;=Projects!$C$30,G$3&lt;Projects!$C$30+Projects!$D$30),Projects!$B$30*INDEX(Curves!$B$4:$AR$4,1,G$3-Projects!$C$30+1),0)-IF(AND(Projects!$G$30="Yes",G$3&gt;=Projects!$C$30,G$3&lt;Projects!$C$30+Projects!$D$30),Projects!$B$30*(Assumptions!$B$10+Assumptions!$B$11+Assumptions!$B$12)/Projects!$D$30*0.95,0)-IF(AND(Projects!$G$30="Yes",G$3=Projects!$C$30+Projects!$D$30-1),Projects!$B$30*(Assumptions!$B$10+Assumptions!$B$11+Assumptions!$B$12)*0.05,0)</f>
        <v/>
      </c>
      <c r="H39" s="399">
        <f>IF(AND(Projects!$G$30="Yes",H$3&gt;=Projects!$C$30,H$3&lt;Projects!$C$30+Projects!$D$30),Projects!$B$30*INDEX(Curves!$B$4:$AR$4,1,H$3-Projects!$C$30+1),0)-IF(AND(Projects!$G$30="Yes",H$3&gt;=Projects!$C$30,H$3&lt;Projects!$C$30+Projects!$D$30),Projects!$B$30*(Assumptions!$B$10+Assumptions!$B$11+Assumptions!$B$12)/Projects!$D$30*0.95,0)-IF(AND(Projects!$G$30="Yes",H$3=Projects!$C$30+Projects!$D$30-1),Projects!$B$30*(Assumptions!$B$10+Assumptions!$B$11+Assumptions!$B$12)*0.05,0)</f>
        <v/>
      </c>
      <c r="I39" s="399">
        <f>IF(AND(Projects!$G$30="Yes",I$3&gt;=Projects!$C$30,I$3&lt;Projects!$C$30+Projects!$D$30),Projects!$B$30*INDEX(Curves!$B$4:$AR$4,1,I$3-Projects!$C$30+1),0)-IF(AND(Projects!$G$30="Yes",I$3&gt;=Projects!$C$30,I$3&lt;Projects!$C$30+Projects!$D$30),Projects!$B$30*(Assumptions!$B$10+Assumptions!$B$11+Assumptions!$B$12)/Projects!$D$30*0.95,0)-IF(AND(Projects!$G$30="Yes",I$3=Projects!$C$30+Projects!$D$30-1),Projects!$B$30*(Assumptions!$B$10+Assumptions!$B$11+Assumptions!$B$12)*0.05,0)</f>
        <v/>
      </c>
      <c r="J39" s="399">
        <f>IF(AND(Projects!$G$30="Yes",J$3&gt;=Projects!$C$30,J$3&lt;Projects!$C$30+Projects!$D$30),Projects!$B$30*INDEX(Curves!$B$4:$AR$4,1,J$3-Projects!$C$30+1),0)-IF(AND(Projects!$G$30="Yes",J$3&gt;=Projects!$C$30,J$3&lt;Projects!$C$30+Projects!$D$30),Projects!$B$30*(Assumptions!$B$10+Assumptions!$B$11+Assumptions!$B$12)/Projects!$D$30*0.95,0)-IF(AND(Projects!$G$30="Yes",J$3=Projects!$C$30+Projects!$D$30-1),Projects!$B$30*(Assumptions!$B$10+Assumptions!$B$11+Assumptions!$B$12)*0.05,0)</f>
        <v/>
      </c>
      <c r="K39" s="399">
        <f>IF(AND(Projects!$G$30="Yes",K$3&gt;=Projects!$C$30,K$3&lt;Projects!$C$30+Projects!$D$30),Projects!$B$30*INDEX(Curves!$B$4:$AR$4,1,K$3-Projects!$C$30+1),0)-IF(AND(Projects!$G$30="Yes",K$3&gt;=Projects!$C$30,K$3&lt;Projects!$C$30+Projects!$D$30),Projects!$B$30*(Assumptions!$B$10+Assumptions!$B$11+Assumptions!$B$12)/Projects!$D$30*0.95,0)-IF(AND(Projects!$G$30="Yes",K$3=Projects!$C$30+Projects!$D$30-1),Projects!$B$30*(Assumptions!$B$10+Assumptions!$B$11+Assumptions!$B$12)*0.05,0)</f>
        <v/>
      </c>
      <c r="L39" s="399">
        <f>IF(AND(Projects!$G$30="Yes",L$3&gt;=Projects!$C$30,L$3&lt;Projects!$C$30+Projects!$D$30),Projects!$B$30*INDEX(Curves!$B$4:$AR$4,1,L$3-Projects!$C$30+1),0)-IF(AND(Projects!$G$30="Yes",L$3&gt;=Projects!$C$30,L$3&lt;Projects!$C$30+Projects!$D$30),Projects!$B$30*(Assumptions!$B$10+Assumptions!$B$11+Assumptions!$B$12)/Projects!$D$30*0.95,0)-IF(AND(Projects!$G$30="Yes",L$3=Projects!$C$30+Projects!$D$30-1),Projects!$B$30*(Assumptions!$B$10+Assumptions!$B$11+Assumptions!$B$12)*0.05,0)</f>
        <v/>
      </c>
      <c r="M39" s="399">
        <f>IF(AND(Projects!$G$30="Yes",M$3&gt;=Projects!$C$30,M$3&lt;Projects!$C$30+Projects!$D$30),Projects!$B$30*INDEX(Curves!$B$4:$AR$4,1,M$3-Projects!$C$30+1),0)-IF(AND(Projects!$G$30="Yes",M$3&gt;=Projects!$C$30,M$3&lt;Projects!$C$30+Projects!$D$30),Projects!$B$30*(Assumptions!$B$10+Assumptions!$B$11+Assumptions!$B$12)/Projects!$D$30*0.95,0)-IF(AND(Projects!$G$30="Yes",M$3=Projects!$C$30+Projects!$D$30-1),Projects!$B$30*(Assumptions!$B$10+Assumptions!$B$11+Assumptions!$B$12)*0.05,0)</f>
        <v/>
      </c>
      <c r="N39" s="399">
        <f>IF(AND(Projects!$G$30="Yes",N$3&gt;=Projects!$C$30,N$3&lt;Projects!$C$30+Projects!$D$30),Projects!$B$30*INDEX(Curves!$B$4:$AR$4,1,N$3-Projects!$C$30+1),0)-IF(AND(Projects!$G$30="Yes",N$3&gt;=Projects!$C$30,N$3&lt;Projects!$C$30+Projects!$D$30),Projects!$B$30*(Assumptions!$B$10+Assumptions!$B$11+Assumptions!$B$12)/Projects!$D$30*0.95,0)-IF(AND(Projects!$G$30="Yes",N$3=Projects!$C$30+Projects!$D$30-1),Projects!$B$30*(Assumptions!$B$10+Assumptions!$B$11+Assumptions!$B$12)*0.05,0)</f>
        <v/>
      </c>
      <c r="O39" s="399">
        <f>IF(AND(Projects!$G$30="Yes",O$3&gt;=Projects!$C$30,O$3&lt;Projects!$C$30+Projects!$D$30),Projects!$B$30*INDEX(Curves!$B$4:$AR$4,1,O$3-Projects!$C$30+1),0)-IF(AND(Projects!$G$30="Yes",O$3&gt;=Projects!$C$30,O$3&lt;Projects!$C$30+Projects!$D$30),Projects!$B$30*(Assumptions!$B$10+Assumptions!$B$11+Assumptions!$B$12)/Projects!$D$30*0.95,0)-IF(AND(Projects!$G$30="Yes",O$3=Projects!$C$30+Projects!$D$30-1),Projects!$B$30*(Assumptions!$B$10+Assumptions!$B$11+Assumptions!$B$12)*0.05,0)</f>
        <v/>
      </c>
      <c r="P39" s="399">
        <f>IF(AND(Projects!$G$30="Yes",P$3&gt;=Projects!$C$30,P$3&lt;Projects!$C$30+Projects!$D$30),Projects!$B$30*INDEX(Curves!$B$4:$AR$4,1,P$3-Projects!$C$30+1),0)-IF(AND(Projects!$G$30="Yes",P$3&gt;=Projects!$C$30,P$3&lt;Projects!$C$30+Projects!$D$30),Projects!$B$30*(Assumptions!$B$10+Assumptions!$B$11+Assumptions!$B$12)/Projects!$D$30*0.95,0)-IF(AND(Projects!$G$30="Yes",P$3=Projects!$C$30+Projects!$D$30-1),Projects!$B$30*(Assumptions!$B$10+Assumptions!$B$11+Assumptions!$B$12)*0.05,0)</f>
        <v/>
      </c>
      <c r="Q39" s="399">
        <f>IF(AND(Projects!$G$30="Yes",Q$3&gt;=Projects!$C$30,Q$3&lt;Projects!$C$30+Projects!$D$30),Projects!$B$30*INDEX(Curves!$B$4:$AR$4,1,Q$3-Projects!$C$30+1),0)-IF(AND(Projects!$G$30="Yes",Q$3&gt;=Projects!$C$30,Q$3&lt;Projects!$C$30+Projects!$D$30),Projects!$B$30*(Assumptions!$B$10+Assumptions!$B$11+Assumptions!$B$12)/Projects!$D$30*0.95,0)-IF(AND(Projects!$G$30="Yes",Q$3=Projects!$C$30+Projects!$D$30-1),Projects!$B$30*(Assumptions!$B$10+Assumptions!$B$11+Assumptions!$B$12)*0.05,0)</f>
        <v/>
      </c>
      <c r="R39" s="399">
        <f>IF(AND(Projects!$G$30="Yes",R$3&gt;=Projects!$C$30,R$3&lt;Projects!$C$30+Projects!$D$30),Projects!$B$30*INDEX(Curves!$B$4:$AR$4,1,R$3-Projects!$C$30+1),0)-IF(AND(Projects!$G$30="Yes",R$3&gt;=Projects!$C$30,R$3&lt;Projects!$C$30+Projects!$D$30),Projects!$B$30*(Assumptions!$B$10+Assumptions!$B$11+Assumptions!$B$12)/Projects!$D$30*0.95,0)-IF(AND(Projects!$G$30="Yes",R$3=Projects!$C$30+Projects!$D$30-1),Projects!$B$30*(Assumptions!$B$10+Assumptions!$B$11+Assumptions!$B$12)*0.05,0)</f>
        <v/>
      </c>
      <c r="S39" s="399">
        <f>IF(AND(Projects!$G$30="Yes",S$3&gt;=Projects!$C$30,S$3&lt;Projects!$C$30+Projects!$D$30),Projects!$B$30*INDEX(Curves!$B$4:$AR$4,1,S$3-Projects!$C$30+1),0)-IF(AND(Projects!$G$30="Yes",S$3&gt;=Projects!$C$30,S$3&lt;Projects!$C$30+Projects!$D$30),Projects!$B$30*(Assumptions!$B$10+Assumptions!$B$11+Assumptions!$B$12)/Projects!$D$30*0.95,0)-IF(AND(Projects!$G$30="Yes",S$3=Projects!$C$30+Projects!$D$30-1),Projects!$B$30*(Assumptions!$B$10+Assumptions!$B$11+Assumptions!$B$12)*0.05,0)</f>
        <v/>
      </c>
      <c r="T39" s="399">
        <f>IF(AND(Projects!$G$30="Yes",T$3&gt;=Projects!$C$30,T$3&lt;Projects!$C$30+Projects!$D$30),Projects!$B$30*INDEX(Curves!$B$4:$AR$4,1,T$3-Projects!$C$30+1),0)-IF(AND(Projects!$G$30="Yes",T$3&gt;=Projects!$C$30,T$3&lt;Projects!$C$30+Projects!$D$30),Projects!$B$30*(Assumptions!$B$10+Assumptions!$B$11+Assumptions!$B$12)/Projects!$D$30*0.95,0)-IF(AND(Projects!$G$30="Yes",T$3=Projects!$C$30+Projects!$D$30-1),Projects!$B$30*(Assumptions!$B$10+Assumptions!$B$11+Assumptions!$B$12)*0.05,0)</f>
        <v/>
      </c>
      <c r="U39" s="399">
        <f>IF(AND(Projects!$G$30="Yes",U$3&gt;=Projects!$C$30,U$3&lt;Projects!$C$30+Projects!$D$30),Projects!$B$30*INDEX(Curves!$B$4:$AR$4,1,U$3-Projects!$C$30+1),0)-IF(AND(Projects!$G$30="Yes",U$3&gt;=Projects!$C$30,U$3&lt;Projects!$C$30+Projects!$D$30),Projects!$B$30*(Assumptions!$B$10+Assumptions!$B$11+Assumptions!$B$12)/Projects!$D$30*0.95,0)-IF(AND(Projects!$G$30="Yes",U$3=Projects!$C$30+Projects!$D$30-1),Projects!$B$30*(Assumptions!$B$10+Assumptions!$B$11+Assumptions!$B$12)*0.05,0)</f>
        <v/>
      </c>
      <c r="V39" s="399">
        <f>IF(AND(Projects!$G$30="Yes",V$3&gt;=Projects!$C$30,V$3&lt;Projects!$C$30+Projects!$D$30),Projects!$B$30*INDEX(Curves!$B$4:$AR$4,1,V$3-Projects!$C$30+1),0)-IF(AND(Projects!$G$30="Yes",V$3&gt;=Projects!$C$30,V$3&lt;Projects!$C$30+Projects!$D$30),Projects!$B$30*(Assumptions!$B$10+Assumptions!$B$11+Assumptions!$B$12)/Projects!$D$30*0.95,0)-IF(AND(Projects!$G$30="Yes",V$3=Projects!$C$30+Projects!$D$30-1),Projects!$B$30*(Assumptions!$B$10+Assumptions!$B$11+Assumptions!$B$12)*0.05,0)</f>
        <v/>
      </c>
      <c r="W39" s="399">
        <f>IF(AND(Projects!$G$30="Yes",W$3&gt;=Projects!$C$30,W$3&lt;Projects!$C$30+Projects!$D$30),Projects!$B$30*INDEX(Curves!$B$4:$AR$4,1,W$3-Projects!$C$30+1),0)-IF(AND(Projects!$G$30="Yes",W$3&gt;=Projects!$C$30,W$3&lt;Projects!$C$30+Projects!$D$30),Projects!$B$30*(Assumptions!$B$10+Assumptions!$B$11+Assumptions!$B$12)/Projects!$D$30*0.95,0)-IF(AND(Projects!$G$30="Yes",W$3=Projects!$C$30+Projects!$D$30-1),Projects!$B$30*(Assumptions!$B$10+Assumptions!$B$11+Assumptions!$B$12)*0.05,0)</f>
        <v/>
      </c>
      <c r="X39" s="399">
        <f>IF(AND(Projects!$G$30="Yes",X$3&gt;=Projects!$C$30,X$3&lt;Projects!$C$30+Projects!$D$30),Projects!$B$30*INDEX(Curves!$B$4:$AR$4,1,X$3-Projects!$C$30+1),0)-IF(AND(Projects!$G$30="Yes",X$3&gt;=Projects!$C$30,X$3&lt;Projects!$C$30+Projects!$D$30),Projects!$B$30*(Assumptions!$B$10+Assumptions!$B$11+Assumptions!$B$12)/Projects!$D$30*0.95,0)-IF(AND(Projects!$G$30="Yes",X$3=Projects!$C$30+Projects!$D$30-1),Projects!$B$30*(Assumptions!$B$10+Assumptions!$B$11+Assumptions!$B$12)*0.05,0)</f>
        <v/>
      </c>
      <c r="Y39" s="399">
        <f>IF(AND(Projects!$G$30="Yes",Y$3&gt;=Projects!$C$30,Y$3&lt;Projects!$C$30+Projects!$D$30),Projects!$B$30*INDEX(Curves!$B$4:$AR$4,1,Y$3-Projects!$C$30+1),0)-IF(AND(Projects!$G$30="Yes",Y$3&gt;=Projects!$C$30,Y$3&lt;Projects!$C$30+Projects!$D$30),Projects!$B$30*(Assumptions!$B$10+Assumptions!$B$11+Assumptions!$B$12)/Projects!$D$30*0.95,0)-IF(AND(Projects!$G$30="Yes",Y$3=Projects!$C$30+Projects!$D$30-1),Projects!$B$30*(Assumptions!$B$10+Assumptions!$B$11+Assumptions!$B$12)*0.05,0)</f>
        <v/>
      </c>
      <c r="Z39" s="399">
        <f>IF(AND(Projects!$G$30="Yes",Z$3&gt;=Projects!$C$30,Z$3&lt;Projects!$C$30+Projects!$D$30),Projects!$B$30*INDEX(Curves!$B$4:$AR$4,1,Z$3-Projects!$C$30+1),0)-IF(AND(Projects!$G$30="Yes",Z$3&gt;=Projects!$C$30,Z$3&lt;Projects!$C$30+Projects!$D$30),Projects!$B$30*(Assumptions!$B$10+Assumptions!$B$11+Assumptions!$B$12)/Projects!$D$30*0.95,0)-IF(AND(Projects!$G$30="Yes",Z$3=Projects!$C$30+Projects!$D$30-1),Projects!$B$30*(Assumptions!$B$10+Assumptions!$B$11+Assumptions!$B$12)*0.05,0)</f>
        <v/>
      </c>
      <c r="AA39" s="399">
        <f>IF(AND(Projects!$G$30="Yes",AA$3&gt;=Projects!$C$30,AA$3&lt;Projects!$C$30+Projects!$D$30),Projects!$B$30*INDEX(Curves!$B$4:$AR$4,1,AA$3-Projects!$C$30+1),0)-IF(AND(Projects!$G$30="Yes",AA$3&gt;=Projects!$C$30,AA$3&lt;Projects!$C$30+Projects!$D$30),Projects!$B$30*(Assumptions!$B$10+Assumptions!$B$11+Assumptions!$B$12)/Projects!$D$30*0.95,0)-IF(AND(Projects!$G$30="Yes",AA$3=Projects!$C$30+Projects!$D$30-1),Projects!$B$30*(Assumptions!$B$10+Assumptions!$B$11+Assumptions!$B$12)*0.05,0)</f>
        <v/>
      </c>
      <c r="AB39" s="399">
        <f>IF(AND(Projects!$G$30="Yes",AB$3&gt;=Projects!$C$30,AB$3&lt;Projects!$C$30+Projects!$D$30),Projects!$B$30*INDEX(Curves!$B$4:$AR$4,1,AB$3-Projects!$C$30+1),0)-IF(AND(Projects!$G$30="Yes",AB$3&gt;=Projects!$C$30,AB$3&lt;Projects!$C$30+Projects!$D$30),Projects!$B$30*(Assumptions!$B$10+Assumptions!$B$11+Assumptions!$B$12)/Projects!$D$30*0.95,0)-IF(AND(Projects!$G$30="Yes",AB$3=Projects!$C$30+Projects!$D$30-1),Projects!$B$30*(Assumptions!$B$10+Assumptions!$B$11+Assumptions!$B$12)*0.05,0)</f>
        <v/>
      </c>
      <c r="AC39" s="399">
        <f>IF(AND(Projects!$G$30="Yes",AC$3&gt;=Projects!$C$30,AC$3&lt;Projects!$C$30+Projects!$D$30),Projects!$B$30*INDEX(Curves!$B$4:$AR$4,1,AC$3-Projects!$C$30+1),0)-IF(AND(Projects!$G$30="Yes",AC$3&gt;=Projects!$C$30,AC$3&lt;Projects!$C$30+Projects!$D$30),Projects!$B$30*(Assumptions!$B$10+Assumptions!$B$11+Assumptions!$B$12)/Projects!$D$30*0.95,0)-IF(AND(Projects!$G$30="Yes",AC$3=Projects!$C$30+Projects!$D$30-1),Projects!$B$30*(Assumptions!$B$10+Assumptions!$B$11+Assumptions!$B$12)*0.05,0)</f>
        <v/>
      </c>
      <c r="AD39" s="399">
        <f>IF(AND(Projects!$G$30="Yes",AD$3&gt;=Projects!$C$30,AD$3&lt;Projects!$C$30+Projects!$D$30),Projects!$B$30*INDEX(Curves!$B$4:$AR$4,1,AD$3-Projects!$C$30+1),0)-IF(AND(Projects!$G$30="Yes",AD$3&gt;=Projects!$C$30,AD$3&lt;Projects!$C$30+Projects!$D$30),Projects!$B$30*(Assumptions!$B$10+Assumptions!$B$11+Assumptions!$B$12)/Projects!$D$30*0.95,0)-IF(AND(Projects!$G$30="Yes",AD$3=Projects!$C$30+Projects!$D$30-1),Projects!$B$30*(Assumptions!$B$10+Assumptions!$B$11+Assumptions!$B$12)*0.05,0)</f>
        <v/>
      </c>
      <c r="AE39" s="399">
        <f>IF(AND(Projects!$G$30="Yes",AE$3&gt;=Projects!$C$30,AE$3&lt;Projects!$C$30+Projects!$D$30),Projects!$B$30*INDEX(Curves!$B$4:$AR$4,1,AE$3-Projects!$C$30+1),0)-IF(AND(Projects!$G$30="Yes",AE$3&gt;=Projects!$C$30,AE$3&lt;Projects!$C$30+Projects!$D$30),Projects!$B$30*(Assumptions!$B$10+Assumptions!$B$11+Assumptions!$B$12)/Projects!$D$30*0.95,0)-IF(AND(Projects!$G$30="Yes",AE$3=Projects!$C$30+Projects!$D$30-1),Projects!$B$30*(Assumptions!$B$10+Assumptions!$B$11+Assumptions!$B$12)*0.05,0)</f>
        <v/>
      </c>
      <c r="AF39" s="399">
        <f>IF(AND(Projects!$G$30="Yes",AF$3&gt;=Projects!$C$30,AF$3&lt;Projects!$C$30+Projects!$D$30),Projects!$B$30*INDEX(Curves!$B$4:$AR$4,1,AF$3-Projects!$C$30+1),0)-IF(AND(Projects!$G$30="Yes",AF$3&gt;=Projects!$C$30,AF$3&lt;Projects!$C$30+Projects!$D$30),Projects!$B$30*(Assumptions!$B$10+Assumptions!$B$11+Assumptions!$B$12)/Projects!$D$30*0.95,0)-IF(AND(Projects!$G$30="Yes",AF$3=Projects!$C$30+Projects!$D$30-1),Projects!$B$30*(Assumptions!$B$10+Assumptions!$B$11+Assumptions!$B$12)*0.05,0)</f>
        <v/>
      </c>
      <c r="AG39" s="399">
        <f>IF(AND(Projects!$G$30="Yes",AG$3&gt;=Projects!$C$30,AG$3&lt;Projects!$C$30+Projects!$D$30),Projects!$B$30*INDEX(Curves!$B$4:$AR$4,1,AG$3-Projects!$C$30+1),0)-IF(AND(Projects!$G$30="Yes",AG$3&gt;=Projects!$C$30,AG$3&lt;Projects!$C$30+Projects!$D$30),Projects!$B$30*(Assumptions!$B$10+Assumptions!$B$11+Assumptions!$B$12)/Projects!$D$30*0.95,0)-IF(AND(Projects!$G$30="Yes",AG$3=Projects!$C$30+Projects!$D$30-1),Projects!$B$30*(Assumptions!$B$10+Assumptions!$B$11+Assumptions!$B$12)*0.05,0)</f>
        <v/>
      </c>
      <c r="AH39" s="399">
        <f>IF(AND(Projects!$G$30="Yes",AH$3&gt;=Projects!$C$30,AH$3&lt;Projects!$C$30+Projects!$D$30),Projects!$B$30*INDEX(Curves!$B$4:$AR$4,1,AH$3-Projects!$C$30+1),0)-IF(AND(Projects!$G$30="Yes",AH$3&gt;=Projects!$C$30,AH$3&lt;Projects!$C$30+Projects!$D$30),Projects!$B$30*(Assumptions!$B$10+Assumptions!$B$11+Assumptions!$B$12)/Projects!$D$30*0.95,0)-IF(AND(Projects!$G$30="Yes",AH$3=Projects!$C$30+Projects!$D$30-1),Projects!$B$30*(Assumptions!$B$10+Assumptions!$B$11+Assumptions!$B$12)*0.05,0)</f>
        <v/>
      </c>
      <c r="AI39" s="399">
        <f>IF(AND(Projects!$G$30="Yes",AI$3&gt;=Projects!$C$30,AI$3&lt;Projects!$C$30+Projects!$D$30),Projects!$B$30*INDEX(Curves!$B$4:$AR$4,1,AI$3-Projects!$C$30+1),0)-IF(AND(Projects!$G$30="Yes",AI$3&gt;=Projects!$C$30,AI$3&lt;Projects!$C$30+Projects!$D$30),Projects!$B$30*(Assumptions!$B$10+Assumptions!$B$11+Assumptions!$B$12)/Projects!$D$30*0.95,0)-IF(AND(Projects!$G$30="Yes",AI$3=Projects!$C$30+Projects!$D$30-1),Projects!$B$30*(Assumptions!$B$10+Assumptions!$B$11+Assumptions!$B$12)*0.05,0)</f>
        <v/>
      </c>
      <c r="AJ39" s="399">
        <f>IF(AND(Projects!$G$30="Yes",AJ$3&gt;=Projects!$C$30,AJ$3&lt;Projects!$C$30+Projects!$D$30),Projects!$B$30*INDEX(Curves!$B$4:$AR$4,1,AJ$3-Projects!$C$30+1),0)-IF(AND(Projects!$G$30="Yes",AJ$3&gt;=Projects!$C$30,AJ$3&lt;Projects!$C$30+Projects!$D$30),Projects!$B$30*(Assumptions!$B$10+Assumptions!$B$11+Assumptions!$B$12)/Projects!$D$30*0.95,0)-IF(AND(Projects!$G$30="Yes",AJ$3=Projects!$C$30+Projects!$D$30-1),Projects!$B$30*(Assumptions!$B$10+Assumptions!$B$11+Assumptions!$B$12)*0.05,0)</f>
        <v/>
      </c>
      <c r="AK39" s="399">
        <f>IF(AND(Projects!$G$30="Yes",AK$3&gt;=Projects!$C$30,AK$3&lt;Projects!$C$30+Projects!$D$30),Projects!$B$30*INDEX(Curves!$B$4:$AR$4,1,AK$3-Projects!$C$30+1),0)-IF(AND(Projects!$G$30="Yes",AK$3&gt;=Projects!$C$30,AK$3&lt;Projects!$C$30+Projects!$D$30),Projects!$B$30*(Assumptions!$B$10+Assumptions!$B$11+Assumptions!$B$12)/Projects!$D$30*0.95,0)-IF(AND(Projects!$G$30="Yes",AK$3=Projects!$C$30+Projects!$D$30-1),Projects!$B$30*(Assumptions!$B$10+Assumptions!$B$11+Assumptions!$B$12)*0.05,0)</f>
        <v/>
      </c>
      <c r="AL39" s="399">
        <f>IF(AND(Projects!$G$30="Yes",AL$3&gt;=Projects!$C$30,AL$3&lt;Projects!$C$30+Projects!$D$30),Projects!$B$30*INDEX(Curves!$B$4:$AR$4,1,AL$3-Projects!$C$30+1),0)-IF(AND(Projects!$G$30="Yes",AL$3&gt;=Projects!$C$30,AL$3&lt;Projects!$C$30+Projects!$D$30),Projects!$B$30*(Assumptions!$B$10+Assumptions!$B$11+Assumptions!$B$12)/Projects!$D$30*0.95,0)-IF(AND(Projects!$G$30="Yes",AL$3=Projects!$C$30+Projects!$D$30-1),Projects!$B$30*(Assumptions!$B$10+Assumptions!$B$11+Assumptions!$B$12)*0.05,0)</f>
        <v/>
      </c>
      <c r="AM39" s="399">
        <f>IF(AND(Projects!$G$30="Yes",AM$3&gt;=Projects!$C$30,AM$3&lt;Projects!$C$30+Projects!$D$30),Projects!$B$30*INDEX(Curves!$B$4:$AR$4,1,AM$3-Projects!$C$30+1),0)-IF(AND(Projects!$G$30="Yes",AM$3&gt;=Projects!$C$30,AM$3&lt;Projects!$C$30+Projects!$D$30),Projects!$B$30*(Assumptions!$B$10+Assumptions!$B$11+Assumptions!$B$12)/Projects!$D$30*0.95,0)-IF(AND(Projects!$G$30="Yes",AM$3=Projects!$C$30+Projects!$D$30-1),Projects!$B$30*(Assumptions!$B$10+Assumptions!$B$11+Assumptions!$B$12)*0.05,0)</f>
        <v/>
      </c>
      <c r="AN39" s="399">
        <f>IF(AND(Projects!$G$30="Yes",AN$3&gt;=Projects!$C$30,AN$3&lt;Projects!$C$30+Projects!$D$30),Projects!$B$30*INDEX(Curves!$B$4:$AR$4,1,AN$3-Projects!$C$30+1),0)-IF(AND(Projects!$G$30="Yes",AN$3&gt;=Projects!$C$30,AN$3&lt;Projects!$C$30+Projects!$D$30),Projects!$B$30*(Assumptions!$B$10+Assumptions!$B$11+Assumptions!$B$12)/Projects!$D$30*0.95,0)-IF(AND(Projects!$G$30="Yes",AN$3=Projects!$C$30+Projects!$D$30-1),Projects!$B$30*(Assumptions!$B$10+Assumptions!$B$11+Assumptions!$B$12)*0.05,0)</f>
        <v/>
      </c>
      <c r="AO39" s="399">
        <f>IF(AND(Projects!$G$30="Yes",AO$3&gt;=Projects!$C$30,AO$3&lt;Projects!$C$30+Projects!$D$30),Projects!$B$30*INDEX(Curves!$B$4:$AR$4,1,AO$3-Projects!$C$30+1),0)-IF(AND(Projects!$G$30="Yes",AO$3&gt;=Projects!$C$30,AO$3&lt;Projects!$C$30+Projects!$D$30),Projects!$B$30*(Assumptions!$B$10+Assumptions!$B$11+Assumptions!$B$12)/Projects!$D$30*0.95,0)-IF(AND(Projects!$G$30="Yes",AO$3=Projects!$C$30+Projects!$D$30-1),Projects!$B$30*(Assumptions!$B$10+Assumptions!$B$11+Assumptions!$B$12)*0.05,0)</f>
        <v/>
      </c>
      <c r="AP39" s="399">
        <f>IF(AND(Projects!$G$30="Yes",AP$3&gt;=Projects!$C$30,AP$3&lt;Projects!$C$30+Projects!$D$30),Projects!$B$30*INDEX(Curves!$B$4:$AR$4,1,AP$3-Projects!$C$30+1),0)-IF(AND(Projects!$G$30="Yes",AP$3&gt;=Projects!$C$30,AP$3&lt;Projects!$C$30+Projects!$D$30),Projects!$B$30*(Assumptions!$B$10+Assumptions!$B$11+Assumptions!$B$12)/Projects!$D$30*0.95,0)-IF(AND(Projects!$G$30="Yes",AP$3=Projects!$C$30+Projects!$D$30-1),Projects!$B$30*(Assumptions!$B$10+Assumptions!$B$11+Assumptions!$B$12)*0.05,0)</f>
        <v/>
      </c>
      <c r="AQ39" s="399">
        <f>IF(AND(Projects!$G$30="Yes",AQ$3&gt;=Projects!$C$30,AQ$3&lt;Projects!$C$30+Projects!$D$30),Projects!$B$30*INDEX(Curves!$B$4:$AR$4,1,AQ$3-Projects!$C$30+1),0)-IF(AND(Projects!$G$30="Yes",AQ$3&gt;=Projects!$C$30,AQ$3&lt;Projects!$C$30+Projects!$D$30),Projects!$B$30*(Assumptions!$B$10+Assumptions!$B$11+Assumptions!$B$12)/Projects!$D$30*0.95,0)-IF(AND(Projects!$G$30="Yes",AQ$3=Projects!$C$30+Projects!$D$30-1),Projects!$B$30*(Assumptions!$B$10+Assumptions!$B$11+Assumptions!$B$12)*0.05,0)</f>
        <v/>
      </c>
      <c r="AR39" s="399">
        <f>IF(AND(Projects!$G$30="Yes",AR$3&gt;=Projects!$C$30,AR$3&lt;Projects!$C$30+Projects!$D$30),Projects!$B$30*INDEX(Curves!$B$4:$AR$4,1,AR$3-Projects!$C$30+1),0)-IF(AND(Projects!$G$30="Yes",AR$3&gt;=Projects!$C$30,AR$3&lt;Projects!$C$30+Projects!$D$30),Projects!$B$30*(Assumptions!$B$10+Assumptions!$B$11+Assumptions!$B$12)/Projects!$D$30*0.95,0)-IF(AND(Projects!$G$30="Yes",AR$3=Projects!$C$30+Projects!$D$30-1),Projects!$B$30*(Assumptions!$B$10+Assumptions!$B$11+Assumptions!$B$12)*0.05,0)</f>
        <v/>
      </c>
      <c r="AS39" s="399">
        <f>IF(AND(Projects!$G$30="Yes",AS$3&gt;=Projects!$C$30,AS$3&lt;Projects!$C$30+Projects!$D$30),Projects!$B$30*INDEX(Curves!$B$4:$AR$4,1,AS$3-Projects!$C$30+1),0)-IF(AND(Projects!$G$30="Yes",AS$3&gt;=Projects!$C$30,AS$3&lt;Projects!$C$30+Projects!$D$30),Projects!$B$30*(Assumptions!$B$10+Assumptions!$B$11+Assumptions!$B$12)/Projects!$D$30*0.95,0)-IF(AND(Projects!$G$30="Yes",AS$3=Projects!$C$30+Projects!$D$30-1),Projects!$B$30*(Assumptions!$B$10+Assumptions!$B$11+Assumptions!$B$12)*0.05,0)</f>
        <v/>
      </c>
      <c r="AT39" s="399">
        <f>IF(AND(Projects!$G$30="Yes",AT$3&gt;=Projects!$C$30,AT$3&lt;Projects!$C$30+Projects!$D$30),Projects!$B$30*INDEX(Curves!$B$4:$AR$4,1,AT$3-Projects!$C$30+1),0)-IF(AND(Projects!$G$30="Yes",AT$3&gt;=Projects!$C$30,AT$3&lt;Projects!$C$30+Projects!$D$30),Projects!$B$30*(Assumptions!$B$10+Assumptions!$B$11+Assumptions!$B$12)/Projects!$D$30*0.95,0)-IF(AND(Projects!$G$30="Yes",AT$3=Projects!$C$30+Projects!$D$30-1),Projects!$B$30*(Assumptions!$B$10+Assumptions!$B$11+Assumptions!$B$12)*0.05,0)</f>
        <v/>
      </c>
      <c r="AU39" s="399">
        <f>IF(AND(Projects!$G$30="Yes",AU$3&gt;=Projects!$C$30,AU$3&lt;Projects!$C$30+Projects!$D$30),Projects!$B$30*INDEX(Curves!$B$4:$AR$4,1,AU$3-Projects!$C$30+1),0)-IF(AND(Projects!$G$30="Yes",AU$3&gt;=Projects!$C$30,AU$3&lt;Projects!$C$30+Projects!$D$30),Projects!$B$30*(Assumptions!$B$10+Assumptions!$B$11+Assumptions!$B$12)/Projects!$D$30*0.95,0)-IF(AND(Projects!$G$30="Yes",AU$3=Projects!$C$30+Projects!$D$30-1),Projects!$B$30*(Assumptions!$B$10+Assumptions!$B$11+Assumptions!$B$12)*0.05,0)</f>
        <v/>
      </c>
      <c r="AV39" s="399">
        <f>IF(AND(Projects!$G$30="Yes",AV$3&gt;=Projects!$C$30,AV$3&lt;Projects!$C$30+Projects!$D$30),Projects!$B$30*INDEX(Curves!$B$4:$AR$4,1,AV$3-Projects!$C$30+1),0)-IF(AND(Projects!$G$30="Yes",AV$3&gt;=Projects!$C$30,AV$3&lt;Projects!$C$30+Projects!$D$30),Projects!$B$30*(Assumptions!$B$10+Assumptions!$B$11+Assumptions!$B$12)/Projects!$D$30*0.95,0)-IF(AND(Projects!$G$30="Yes",AV$3=Projects!$C$30+Projects!$D$30-1),Projects!$B$30*(Assumptions!$B$10+Assumptions!$B$11+Assumptions!$B$12)*0.05,0)</f>
        <v/>
      </c>
      <c r="AW39" s="399">
        <f>IF(AND(Projects!$G$30="Yes",AW$3&gt;=Projects!$C$30,AW$3&lt;Projects!$C$30+Projects!$D$30),Projects!$B$30*INDEX(Curves!$B$4:$AR$4,1,AW$3-Projects!$C$30+1),0)-IF(AND(Projects!$G$30="Yes",AW$3&gt;=Projects!$C$30,AW$3&lt;Projects!$C$30+Projects!$D$30),Projects!$B$30*(Assumptions!$B$10+Assumptions!$B$11+Assumptions!$B$12)/Projects!$D$30*0.95,0)-IF(AND(Projects!$G$30="Yes",AW$3=Projects!$C$30+Projects!$D$30-1),Projects!$B$30*(Assumptions!$B$10+Assumptions!$B$11+Assumptions!$B$12)*0.05,0)</f>
        <v/>
      </c>
      <c r="AX39" s="399">
        <f>IF(AND(Projects!$G$30="Yes",AX$3&gt;=Projects!$C$30,AX$3&lt;Projects!$C$30+Projects!$D$30),Projects!$B$30*INDEX(Curves!$B$4:$AR$4,1,AX$3-Projects!$C$30+1),0)-IF(AND(Projects!$G$30="Yes",AX$3&gt;=Projects!$C$30,AX$3&lt;Projects!$C$30+Projects!$D$30),Projects!$B$30*(Assumptions!$B$10+Assumptions!$B$11+Assumptions!$B$12)/Projects!$D$30*0.95,0)-IF(AND(Projects!$G$30="Yes",AX$3=Projects!$C$30+Projects!$D$30-1),Projects!$B$30*(Assumptions!$B$10+Assumptions!$B$11+Assumptions!$B$12)*0.05,0)</f>
        <v/>
      </c>
      <c r="AY39" s="399">
        <f>IF(AND(Projects!$G$30="Yes",AY$3&gt;=Projects!$C$30,AY$3&lt;Projects!$C$30+Projects!$D$30),Projects!$B$30*INDEX(Curves!$B$4:$AR$4,1,AY$3-Projects!$C$30+1),0)-IF(AND(Projects!$G$30="Yes",AY$3&gt;=Projects!$C$30,AY$3&lt;Projects!$C$30+Projects!$D$30),Projects!$B$30*(Assumptions!$B$10+Assumptions!$B$11+Assumptions!$B$12)/Projects!$D$30*0.95,0)-IF(AND(Projects!$G$30="Yes",AY$3=Projects!$C$30+Projects!$D$30-1),Projects!$B$30*(Assumptions!$B$10+Assumptions!$B$11+Assumptions!$B$12)*0.05,0)</f>
        <v/>
      </c>
      <c r="AZ39" s="399">
        <f>IF(AND(Projects!$G$30="Yes",AZ$3&gt;=Projects!$C$30,AZ$3&lt;Projects!$C$30+Projects!$D$30),Projects!$B$30*INDEX(Curves!$B$4:$AR$4,1,AZ$3-Projects!$C$30+1),0)-IF(AND(Projects!$G$30="Yes",AZ$3&gt;=Projects!$C$30,AZ$3&lt;Projects!$C$30+Projects!$D$30),Projects!$B$30*(Assumptions!$B$10+Assumptions!$B$11+Assumptions!$B$12)/Projects!$D$30*0.95,0)-IF(AND(Projects!$G$30="Yes",AZ$3=Projects!$C$30+Projects!$D$30-1),Projects!$B$30*(Assumptions!$B$10+Assumptions!$B$11+Assumptions!$B$12)*0.05,0)</f>
        <v/>
      </c>
      <c r="BA39" s="399">
        <f>IF(AND(Projects!$G$30="Yes",BA$3&gt;=Projects!$C$30,BA$3&lt;Projects!$C$30+Projects!$D$30),Projects!$B$30*INDEX(Curves!$B$4:$AR$4,1,BA$3-Projects!$C$30+1),0)-IF(AND(Projects!$G$30="Yes",BA$3&gt;=Projects!$C$30,BA$3&lt;Projects!$C$30+Projects!$D$30),Projects!$B$30*(Assumptions!$B$10+Assumptions!$B$11+Assumptions!$B$12)/Projects!$D$30*0.95,0)-IF(AND(Projects!$G$30="Yes",BA$3=Projects!$C$30+Projects!$D$30-1),Projects!$B$30*(Assumptions!$B$10+Assumptions!$B$11+Assumptions!$B$12)*0.05,0)</f>
        <v/>
      </c>
      <c r="BB39" s="399">
        <f>IF(AND(Projects!$G$30="Yes",BB$3&gt;=Projects!$C$30,BB$3&lt;Projects!$C$30+Projects!$D$30),Projects!$B$30*INDEX(Curves!$B$4:$AR$4,1,BB$3-Projects!$C$30+1),0)-IF(AND(Projects!$G$30="Yes",BB$3&gt;=Projects!$C$30,BB$3&lt;Projects!$C$30+Projects!$D$30),Projects!$B$30*(Assumptions!$B$10+Assumptions!$B$11+Assumptions!$B$12)/Projects!$D$30*0.95,0)-IF(AND(Projects!$G$30="Yes",BB$3=Projects!$C$30+Projects!$D$30-1),Projects!$B$30*(Assumptions!$B$10+Assumptions!$B$11+Assumptions!$B$12)*0.05,0)</f>
        <v/>
      </c>
      <c r="BC39" s="399">
        <f>IF(AND(Projects!$G$30="Yes",BC$3&gt;=Projects!$C$30,BC$3&lt;Projects!$C$30+Projects!$D$30),Projects!$B$30*INDEX(Curves!$B$4:$AR$4,1,BC$3-Projects!$C$30+1),0)-IF(AND(Projects!$G$30="Yes",BC$3&gt;=Projects!$C$30,BC$3&lt;Projects!$C$30+Projects!$D$30),Projects!$B$30*(Assumptions!$B$10+Assumptions!$B$11+Assumptions!$B$12)/Projects!$D$30*0.95,0)-IF(AND(Projects!$G$30="Yes",BC$3=Projects!$C$30+Projects!$D$30-1),Projects!$B$30*(Assumptions!$B$10+Assumptions!$B$11+Assumptions!$B$12)*0.05,0)</f>
        <v/>
      </c>
      <c r="BD39" s="399">
        <f>IF(AND(Projects!$G$30="Yes",BD$3&gt;=Projects!$C$30,BD$3&lt;Projects!$C$30+Projects!$D$30),Projects!$B$30*INDEX(Curves!$B$4:$AR$4,1,BD$3-Projects!$C$30+1),0)-IF(AND(Projects!$G$30="Yes",BD$3&gt;=Projects!$C$30,BD$3&lt;Projects!$C$30+Projects!$D$30),Projects!$B$30*(Assumptions!$B$10+Assumptions!$B$11+Assumptions!$B$12)/Projects!$D$30*0.95,0)-IF(AND(Projects!$G$30="Yes",BD$3=Projects!$C$30+Projects!$D$30-1),Projects!$B$30*(Assumptions!$B$10+Assumptions!$B$11+Assumptions!$B$12)*0.05,0)</f>
        <v/>
      </c>
      <c r="BE39" s="399">
        <f>IF(AND(Projects!$G$30="Yes",BE$3&gt;=Projects!$C$30,BE$3&lt;Projects!$C$30+Projects!$D$30),Projects!$B$30*INDEX(Curves!$B$4:$AR$4,1,BE$3-Projects!$C$30+1),0)-IF(AND(Projects!$G$30="Yes",BE$3&gt;=Projects!$C$30,BE$3&lt;Projects!$C$30+Projects!$D$30),Projects!$B$30*(Assumptions!$B$10+Assumptions!$B$11+Assumptions!$B$12)/Projects!$D$30*0.95,0)-IF(AND(Projects!$G$30="Yes",BE$3=Projects!$C$30+Projects!$D$30-1),Projects!$B$30*(Assumptions!$B$10+Assumptions!$B$11+Assumptions!$B$12)*0.05,0)</f>
        <v/>
      </c>
      <c r="BF39" s="399">
        <f>IF(AND(Projects!$G$30="Yes",BF$3&gt;=Projects!$C$30,BF$3&lt;Projects!$C$30+Projects!$D$30),Projects!$B$30*INDEX(Curves!$B$4:$AR$4,1,BF$3-Projects!$C$30+1),0)-IF(AND(Projects!$G$30="Yes",BF$3&gt;=Projects!$C$30,BF$3&lt;Projects!$C$30+Projects!$D$30),Projects!$B$30*(Assumptions!$B$10+Assumptions!$B$11+Assumptions!$B$12)/Projects!$D$30*0.95,0)-IF(AND(Projects!$G$30="Yes",BF$3=Projects!$C$30+Projects!$D$30-1),Projects!$B$30*(Assumptions!$B$10+Assumptions!$B$11+Assumptions!$B$12)*0.05,0)</f>
        <v/>
      </c>
      <c r="BG39" s="399">
        <f>IF(AND(Projects!$G$30="Yes",BG$3&gt;=Projects!$C$30,BG$3&lt;Projects!$C$30+Projects!$D$30),Projects!$B$30*INDEX(Curves!$B$4:$AR$4,1,BG$3-Projects!$C$30+1),0)-IF(AND(Projects!$G$30="Yes",BG$3&gt;=Projects!$C$30,BG$3&lt;Projects!$C$30+Projects!$D$30),Projects!$B$30*(Assumptions!$B$10+Assumptions!$B$11+Assumptions!$B$12)/Projects!$D$30*0.95,0)-IF(AND(Projects!$G$30="Yes",BG$3=Projects!$C$30+Projects!$D$30-1),Projects!$B$30*(Assumptions!$B$10+Assumptions!$B$11+Assumptions!$B$12)*0.05,0)</f>
        <v/>
      </c>
      <c r="BH39" s="399">
        <f>IF(AND(Projects!$G$30="Yes",BH$3&gt;=Projects!$C$30,BH$3&lt;Projects!$C$30+Projects!$D$30),Projects!$B$30*INDEX(Curves!$B$4:$AR$4,1,BH$3-Projects!$C$30+1),0)-IF(AND(Projects!$G$30="Yes",BH$3&gt;=Projects!$C$30,BH$3&lt;Projects!$C$30+Projects!$D$30),Projects!$B$30*(Assumptions!$B$10+Assumptions!$B$11+Assumptions!$B$12)/Projects!$D$30*0.95,0)-IF(AND(Projects!$G$30="Yes",BH$3=Projects!$C$30+Projects!$D$30-1),Projects!$B$30*(Assumptions!$B$10+Assumptions!$B$11+Assumptions!$B$12)*0.05,0)</f>
        <v/>
      </c>
      <c r="BI39" s="399">
        <f>IF(AND(Projects!$G$30="Yes",BI$3&gt;=Projects!$C$30,BI$3&lt;Projects!$C$30+Projects!$D$30),Projects!$B$30*INDEX(Curves!$B$4:$AR$4,1,BI$3-Projects!$C$30+1),0)-IF(AND(Projects!$G$30="Yes",BI$3&gt;=Projects!$C$30,BI$3&lt;Projects!$C$30+Projects!$D$30),Projects!$B$30*(Assumptions!$B$10+Assumptions!$B$11+Assumptions!$B$12)/Projects!$D$30*0.95,0)-IF(AND(Projects!$G$30="Yes",BI$3=Projects!$C$30+Projects!$D$30-1),Projects!$B$30*(Assumptions!$B$10+Assumptions!$B$11+Assumptions!$B$12)*0.05,0)</f>
        <v/>
      </c>
      <c r="BJ39" s="399">
        <f>IF(AND(Projects!$G$30="Yes",BJ$3&gt;=Projects!$C$30,BJ$3&lt;Projects!$C$30+Projects!$D$30),Projects!$B$30*INDEX(Curves!$B$4:$AR$4,1,BJ$3-Projects!$C$30+1),0)-IF(AND(Projects!$G$30="Yes",BJ$3&gt;=Projects!$C$30,BJ$3&lt;Projects!$C$30+Projects!$D$30),Projects!$B$30*(Assumptions!$B$10+Assumptions!$B$11+Assumptions!$B$12)/Projects!$D$30*0.95,0)-IF(AND(Projects!$G$30="Yes",BJ$3=Projects!$C$30+Projects!$D$30-1),Projects!$B$30*(Assumptions!$B$10+Assumptions!$B$11+Assumptions!$B$12)*0.05,0)</f>
        <v/>
      </c>
      <c r="BK39" s="399">
        <f>IF(AND(Projects!$G$30="Yes",BK$3&gt;=Projects!$C$30,BK$3&lt;Projects!$C$30+Projects!$D$30),Projects!$B$30*INDEX(Curves!$B$4:$AR$4,1,BK$3-Projects!$C$30+1),0)-IF(AND(Projects!$G$30="Yes",BK$3&gt;=Projects!$C$30,BK$3&lt;Projects!$C$30+Projects!$D$30),Projects!$B$30*(Assumptions!$B$10+Assumptions!$B$11+Assumptions!$B$12)/Projects!$D$30*0.95,0)-IF(AND(Projects!$G$30="Yes",BK$3=Projects!$C$30+Projects!$D$30-1),Projects!$B$30*(Assumptions!$B$10+Assumptions!$B$11+Assumptions!$B$12)*0.05,0)</f>
        <v/>
      </c>
      <c r="BL39" s="399">
        <f>IF(AND(Projects!$G$30="Yes",BL$3&gt;=Projects!$C$30,BL$3&lt;Projects!$C$30+Projects!$D$30),Projects!$B$30*INDEX(Curves!$B$4:$AR$4,1,BL$3-Projects!$C$30+1),0)-IF(AND(Projects!$G$30="Yes",BL$3&gt;=Projects!$C$30,BL$3&lt;Projects!$C$30+Projects!$D$30),Projects!$B$30*(Assumptions!$B$10+Assumptions!$B$11+Assumptions!$B$12)/Projects!$D$30*0.95,0)-IF(AND(Projects!$G$30="Yes",BL$3=Projects!$C$30+Projects!$D$30-1),Projects!$B$30*(Assumptions!$B$10+Assumptions!$B$11+Assumptions!$B$12)*0.05,0)</f>
        <v/>
      </c>
      <c r="BM39" s="399">
        <f>IF(AND(Projects!$G$30="Yes",BM$3&gt;=Projects!$C$30,BM$3&lt;Projects!$C$30+Projects!$D$30),Projects!$B$30*INDEX(Curves!$B$4:$AR$4,1,BM$3-Projects!$C$30+1),0)-IF(AND(Projects!$G$30="Yes",BM$3&gt;=Projects!$C$30,BM$3&lt;Projects!$C$30+Projects!$D$30),Projects!$B$30*(Assumptions!$B$10+Assumptions!$B$11+Assumptions!$B$12)/Projects!$D$30*0.95,0)-IF(AND(Projects!$G$30="Yes",BM$3=Projects!$C$30+Projects!$D$30-1),Projects!$B$30*(Assumptions!$B$10+Assumptions!$B$11+Assumptions!$B$12)*0.05,0)</f>
        <v/>
      </c>
      <c r="BN39" s="399">
        <f>IF(AND(Projects!$G$30="Yes",BN$3&gt;=Projects!$C$30,BN$3&lt;Projects!$C$30+Projects!$D$30),Projects!$B$30*INDEX(Curves!$B$4:$AR$4,1,BN$3-Projects!$C$30+1),0)-IF(AND(Projects!$G$30="Yes",BN$3&gt;=Projects!$C$30,BN$3&lt;Projects!$C$30+Projects!$D$30),Projects!$B$30*(Assumptions!$B$10+Assumptions!$B$11+Assumptions!$B$12)/Projects!$D$30*0.95,0)-IF(AND(Projects!$G$30="Yes",BN$3=Projects!$C$30+Projects!$D$30-1),Projects!$B$30*(Assumptions!$B$10+Assumptions!$B$11+Assumptions!$B$12)*0.05,0)</f>
        <v/>
      </c>
      <c r="BO39" s="399">
        <f>IF(AND(Projects!$G$30="Yes",BO$3&gt;=Projects!$C$30,BO$3&lt;Projects!$C$30+Projects!$D$30),Projects!$B$30*INDEX(Curves!$B$4:$AR$4,1,BO$3-Projects!$C$30+1),0)-IF(AND(Projects!$G$30="Yes",BO$3&gt;=Projects!$C$30,BO$3&lt;Projects!$C$30+Projects!$D$30),Projects!$B$30*(Assumptions!$B$10+Assumptions!$B$11+Assumptions!$B$12)/Projects!$D$30*0.95,0)-IF(AND(Projects!$G$30="Yes",BO$3=Projects!$C$30+Projects!$D$30-1),Projects!$B$30*(Assumptions!$B$10+Assumptions!$B$11+Assumptions!$B$12)*0.05,0)</f>
        <v/>
      </c>
      <c r="BP39" s="399">
        <f>IF(AND(Projects!$G$30="Yes",BP$3&gt;=Projects!$C$30,BP$3&lt;Projects!$C$30+Projects!$D$30),Projects!$B$30*INDEX(Curves!$B$4:$AR$4,1,BP$3-Projects!$C$30+1),0)-IF(AND(Projects!$G$30="Yes",BP$3&gt;=Projects!$C$30,BP$3&lt;Projects!$C$30+Projects!$D$30),Projects!$B$30*(Assumptions!$B$10+Assumptions!$B$11+Assumptions!$B$12)/Projects!$D$30*0.95,0)-IF(AND(Projects!$G$30="Yes",BP$3=Projects!$C$30+Projects!$D$30-1),Projects!$B$30*(Assumptions!$B$10+Assumptions!$B$11+Assumptions!$B$12)*0.05,0)</f>
        <v/>
      </c>
      <c r="BQ39" s="399">
        <f>IF(AND(Projects!$G$30="Yes",BQ$3&gt;=Projects!$C$30,BQ$3&lt;Projects!$C$30+Projects!$D$30),Projects!$B$30*INDEX(Curves!$B$4:$AR$4,1,BQ$3-Projects!$C$30+1),0)-IF(AND(Projects!$G$30="Yes",BQ$3&gt;=Projects!$C$30,BQ$3&lt;Projects!$C$30+Projects!$D$30),Projects!$B$30*(Assumptions!$B$10+Assumptions!$B$11+Assumptions!$B$12)/Projects!$D$30*0.95,0)-IF(AND(Projects!$G$30="Yes",BQ$3=Projects!$C$30+Projects!$D$30-1),Projects!$B$30*(Assumptions!$B$10+Assumptions!$B$11+Assumptions!$B$12)*0.05,0)</f>
        <v/>
      </c>
      <c r="BR39" s="399">
        <f>IF(AND(Projects!$G$30="Yes",BR$3&gt;=Projects!$C$30,BR$3&lt;Projects!$C$30+Projects!$D$30),Projects!$B$30*INDEX(Curves!$B$4:$AR$4,1,BR$3-Projects!$C$30+1),0)-IF(AND(Projects!$G$30="Yes",BR$3&gt;=Projects!$C$30,BR$3&lt;Projects!$C$30+Projects!$D$30),Projects!$B$30*(Assumptions!$B$10+Assumptions!$B$11+Assumptions!$B$12)/Projects!$D$30*0.95,0)-IF(AND(Projects!$G$30="Yes",BR$3=Projects!$C$30+Projects!$D$30-1),Projects!$B$30*(Assumptions!$B$10+Assumptions!$B$11+Assumptions!$B$12)*0.05,0)</f>
        <v/>
      </c>
      <c r="BS39" s="399">
        <f>IF(AND(Projects!$G$30="Yes",BS$3&gt;=Projects!$C$30,BS$3&lt;Projects!$C$30+Projects!$D$30),Projects!$B$30*INDEX(Curves!$B$4:$AR$4,1,BS$3-Projects!$C$30+1),0)-IF(AND(Projects!$G$30="Yes",BS$3&gt;=Projects!$C$30,BS$3&lt;Projects!$C$30+Projects!$D$30),Projects!$B$30*(Assumptions!$B$10+Assumptions!$B$11+Assumptions!$B$12)/Projects!$D$30*0.95,0)-IF(AND(Projects!$G$30="Yes",BS$3=Projects!$C$30+Projects!$D$30-1),Projects!$B$30*(Assumptions!$B$10+Assumptions!$B$11+Assumptions!$B$12)*0.05,0)</f>
        <v/>
      </c>
      <c r="BT39" s="399">
        <f>IF(AND(Projects!$G$30="Yes",BT$3&gt;=Projects!$C$30,BT$3&lt;Projects!$C$30+Projects!$D$30),Projects!$B$30*INDEX(Curves!$B$4:$AR$4,1,BT$3-Projects!$C$30+1),0)-IF(AND(Projects!$G$30="Yes",BT$3&gt;=Projects!$C$30,BT$3&lt;Projects!$C$30+Projects!$D$30),Projects!$B$30*(Assumptions!$B$10+Assumptions!$B$11+Assumptions!$B$12)/Projects!$D$30*0.95,0)-IF(AND(Projects!$G$30="Yes",BT$3=Projects!$C$30+Projects!$D$30-1),Projects!$B$30*(Assumptions!$B$10+Assumptions!$B$11+Assumptions!$B$12)*0.05,0)</f>
        <v/>
      </c>
      <c r="BU39" s="399">
        <f>IF(AND(Projects!$G$30="Yes",BU$3&gt;=Projects!$C$30,BU$3&lt;Projects!$C$30+Projects!$D$30),Projects!$B$30*INDEX(Curves!$B$4:$AR$4,1,BU$3-Projects!$C$30+1),0)-IF(AND(Projects!$G$30="Yes",BU$3&gt;=Projects!$C$30,BU$3&lt;Projects!$C$30+Projects!$D$30),Projects!$B$30*(Assumptions!$B$10+Assumptions!$B$11+Assumptions!$B$12)/Projects!$D$30*0.95,0)-IF(AND(Projects!$G$30="Yes",BU$3=Projects!$C$30+Projects!$D$30-1),Projects!$B$30*(Assumptions!$B$10+Assumptions!$B$11+Assumptions!$B$12)*0.05,0)</f>
        <v/>
      </c>
      <c r="BV39" s="399">
        <f>IF(AND(Projects!$G$30="Yes",BV$3&gt;=Projects!$C$30,BV$3&lt;Projects!$C$30+Projects!$D$30),Projects!$B$30*INDEX(Curves!$B$4:$AR$4,1,BV$3-Projects!$C$30+1),0)-IF(AND(Projects!$G$30="Yes",BV$3&gt;=Projects!$C$30,BV$3&lt;Projects!$C$30+Projects!$D$30),Projects!$B$30*(Assumptions!$B$10+Assumptions!$B$11+Assumptions!$B$12)/Projects!$D$30*0.95,0)-IF(AND(Projects!$G$30="Yes",BV$3=Projects!$C$30+Projects!$D$30-1),Projects!$B$30*(Assumptions!$B$10+Assumptions!$B$11+Assumptions!$B$12)*0.05,0)</f>
        <v/>
      </c>
      <c r="BW39" s="399">
        <f>IF(AND(Projects!$G$30="Yes",BW$3&gt;=Projects!$C$30,BW$3&lt;Projects!$C$30+Projects!$D$30),Projects!$B$30*INDEX(Curves!$B$4:$AR$4,1,BW$3-Projects!$C$30+1),0)-IF(AND(Projects!$G$30="Yes",BW$3&gt;=Projects!$C$30,BW$3&lt;Projects!$C$30+Projects!$D$30),Projects!$B$30*(Assumptions!$B$10+Assumptions!$B$11+Assumptions!$B$12)/Projects!$D$30*0.95,0)-IF(AND(Projects!$G$30="Yes",BW$3=Projects!$C$30+Projects!$D$30-1),Projects!$B$30*(Assumptions!$B$10+Assumptions!$B$11+Assumptions!$B$12)*0.05,0)</f>
        <v/>
      </c>
      <c r="BX39" s="399">
        <f>IF(AND(Projects!$G$30="Yes",BX$3&gt;=Projects!$C$30,BX$3&lt;Projects!$C$30+Projects!$D$30),Projects!$B$30*INDEX(Curves!$B$4:$AR$4,1,BX$3-Projects!$C$30+1),0)-IF(AND(Projects!$G$30="Yes",BX$3&gt;=Projects!$C$30,BX$3&lt;Projects!$C$30+Projects!$D$30),Projects!$B$30*(Assumptions!$B$10+Assumptions!$B$11+Assumptions!$B$12)/Projects!$D$30*0.95,0)-IF(AND(Projects!$G$30="Yes",BX$3=Projects!$C$30+Projects!$D$30-1),Projects!$B$30*(Assumptions!$B$10+Assumptions!$B$11+Assumptions!$B$12)*0.05,0)</f>
        <v/>
      </c>
      <c r="BY39" s="399">
        <f>IF(AND(Projects!$G$30="Yes",BY$3&gt;=Projects!$C$30,BY$3&lt;Projects!$C$30+Projects!$D$30),Projects!$B$30*INDEX(Curves!$B$4:$AR$4,1,BY$3-Projects!$C$30+1),0)-IF(AND(Projects!$G$30="Yes",BY$3&gt;=Projects!$C$30,BY$3&lt;Projects!$C$30+Projects!$D$30),Projects!$B$30*(Assumptions!$B$10+Assumptions!$B$11+Assumptions!$B$12)/Projects!$D$30*0.95,0)-IF(AND(Projects!$G$30="Yes",BY$3=Projects!$C$30+Projects!$D$30-1),Projects!$B$30*(Assumptions!$B$10+Assumptions!$B$11+Assumptions!$B$12)*0.05,0)</f>
        <v/>
      </c>
      <c r="BZ39" s="399">
        <f>IF(AND(Projects!$G$30="Yes",BZ$3&gt;=Projects!$C$30,BZ$3&lt;Projects!$C$30+Projects!$D$30),Projects!$B$30*INDEX(Curves!$B$4:$AR$4,1,BZ$3-Projects!$C$30+1),0)-IF(AND(Projects!$G$30="Yes",BZ$3&gt;=Projects!$C$30,BZ$3&lt;Projects!$C$30+Projects!$D$30),Projects!$B$30*(Assumptions!$B$10+Assumptions!$B$11+Assumptions!$B$12)/Projects!$D$30*0.95,0)-IF(AND(Projects!$G$30="Yes",BZ$3=Projects!$C$30+Projects!$D$30-1),Projects!$B$30*(Assumptions!$B$10+Assumptions!$B$11+Assumptions!$B$12)*0.05,0)</f>
        <v/>
      </c>
      <c r="CA39" s="399">
        <f>IF(AND(Projects!$G$30="Yes",CA$3&gt;=Projects!$C$30,CA$3&lt;Projects!$C$30+Projects!$D$30),Projects!$B$30*INDEX(Curves!$B$4:$AR$4,1,CA$3-Projects!$C$30+1),0)-IF(AND(Projects!$G$30="Yes",CA$3&gt;=Projects!$C$30,CA$3&lt;Projects!$C$30+Projects!$D$30),Projects!$B$30*(Assumptions!$B$10+Assumptions!$B$11+Assumptions!$B$12)/Projects!$D$30*0.95,0)-IF(AND(Projects!$G$30="Yes",CA$3=Projects!$C$30+Projects!$D$30-1),Projects!$B$30*(Assumptions!$B$10+Assumptions!$B$11+Assumptions!$B$12)*0.05,0)</f>
        <v/>
      </c>
      <c r="CB39" s="399">
        <f>IF(AND(Projects!$G$30="Yes",CB$3&gt;=Projects!$C$30,CB$3&lt;Projects!$C$30+Projects!$D$30),Projects!$B$30*INDEX(Curves!$B$4:$AR$4,1,CB$3-Projects!$C$30+1),0)-IF(AND(Projects!$G$30="Yes",CB$3&gt;=Projects!$C$30,CB$3&lt;Projects!$C$30+Projects!$D$30),Projects!$B$30*(Assumptions!$B$10+Assumptions!$B$11+Assumptions!$B$12)/Projects!$D$30*0.95,0)-IF(AND(Projects!$G$30="Yes",CB$3=Projects!$C$30+Projects!$D$30-1),Projects!$B$30*(Assumptions!$B$10+Assumptions!$B$11+Assumptions!$B$12)*0.05,0)</f>
        <v/>
      </c>
      <c r="CC39" s="399">
        <f>IF(AND(Projects!$G$30="Yes",CC$3&gt;=Projects!$C$30,CC$3&lt;Projects!$C$30+Projects!$D$30),Projects!$B$30*INDEX(Curves!$B$4:$AR$4,1,CC$3-Projects!$C$30+1),0)-IF(AND(Projects!$G$30="Yes",CC$3&gt;=Projects!$C$30,CC$3&lt;Projects!$C$30+Projects!$D$30),Projects!$B$30*(Assumptions!$B$10+Assumptions!$B$11+Assumptions!$B$12)/Projects!$D$30*0.95,0)-IF(AND(Projects!$G$30="Yes",CC$3=Projects!$C$30+Projects!$D$30-1),Projects!$B$30*(Assumptions!$B$10+Assumptions!$B$11+Assumptions!$B$12)*0.05,0)</f>
        <v/>
      </c>
      <c r="CD39" s="399">
        <f>IF(AND(Projects!$G$30="Yes",CD$3&gt;=Projects!$C$30,CD$3&lt;Projects!$C$30+Projects!$D$30),Projects!$B$30*INDEX(Curves!$B$4:$AR$4,1,CD$3-Projects!$C$30+1),0)-IF(AND(Projects!$G$30="Yes",CD$3&gt;=Projects!$C$30,CD$3&lt;Projects!$C$30+Projects!$D$30),Projects!$B$30*(Assumptions!$B$10+Assumptions!$B$11+Assumptions!$B$12)/Projects!$D$30*0.95,0)-IF(AND(Projects!$G$30="Yes",CD$3=Projects!$C$30+Projects!$D$30-1),Projects!$B$30*(Assumptions!$B$10+Assumptions!$B$11+Assumptions!$B$12)*0.05,0)</f>
        <v/>
      </c>
      <c r="CE39" s="399">
        <f>IF(AND(Projects!$G$30="Yes",CE$3&gt;=Projects!$C$30,CE$3&lt;Projects!$C$30+Projects!$D$30),Projects!$B$30*INDEX(Curves!$B$4:$AR$4,1,CE$3-Projects!$C$30+1),0)-IF(AND(Projects!$G$30="Yes",CE$3&gt;=Projects!$C$30,CE$3&lt;Projects!$C$30+Projects!$D$30),Projects!$B$30*(Assumptions!$B$10+Assumptions!$B$11+Assumptions!$B$12)/Projects!$D$30*0.95,0)-IF(AND(Projects!$G$30="Yes",CE$3=Projects!$C$30+Projects!$D$30-1),Projects!$B$30*(Assumptions!$B$10+Assumptions!$B$11+Assumptions!$B$12)*0.05,0)</f>
        <v/>
      </c>
      <c r="CF39" s="399">
        <f>IF(AND(Projects!$G$30="Yes",CF$3&gt;=Projects!$C$30,CF$3&lt;Projects!$C$30+Projects!$D$30),Projects!$B$30*INDEX(Curves!$B$4:$AR$4,1,CF$3-Projects!$C$30+1),0)-IF(AND(Projects!$G$30="Yes",CF$3&gt;=Projects!$C$30,CF$3&lt;Projects!$C$30+Projects!$D$30),Projects!$B$30*(Assumptions!$B$10+Assumptions!$B$11+Assumptions!$B$12)/Projects!$D$30*0.95,0)-IF(AND(Projects!$G$30="Yes",CF$3=Projects!$C$30+Projects!$D$30-1),Projects!$B$30*(Assumptions!$B$10+Assumptions!$B$11+Assumptions!$B$12)*0.05,0)</f>
        <v/>
      </c>
      <c r="CG39" s="399">
        <f>IF(AND(Projects!$G$30="Yes",CG$3&gt;=Projects!$C$30,CG$3&lt;Projects!$C$30+Projects!$D$30),Projects!$B$30*INDEX(Curves!$B$4:$AR$4,1,CG$3-Projects!$C$30+1),0)-IF(AND(Projects!$G$30="Yes",CG$3&gt;=Projects!$C$30,CG$3&lt;Projects!$C$30+Projects!$D$30),Projects!$B$30*(Assumptions!$B$10+Assumptions!$B$11+Assumptions!$B$12)/Projects!$D$30*0.95,0)-IF(AND(Projects!$G$30="Yes",CG$3=Projects!$C$30+Projects!$D$30-1),Projects!$B$30*(Assumptions!$B$10+Assumptions!$B$11+Assumptions!$B$12)*0.05,0)</f>
        <v/>
      </c>
      <c r="CH39" s="399">
        <f>IF(AND(Projects!$G$30="Yes",CH$3&gt;=Projects!$C$30,CH$3&lt;Projects!$C$30+Projects!$D$30),Projects!$B$30*INDEX(Curves!$B$4:$AR$4,1,CH$3-Projects!$C$30+1),0)-IF(AND(Projects!$G$30="Yes",CH$3&gt;=Projects!$C$30,CH$3&lt;Projects!$C$30+Projects!$D$30),Projects!$B$30*(Assumptions!$B$10+Assumptions!$B$11+Assumptions!$B$12)/Projects!$D$30*0.95,0)-IF(AND(Projects!$G$30="Yes",CH$3=Projects!$C$30+Projects!$D$30-1),Projects!$B$30*(Assumptions!$B$10+Assumptions!$B$11+Assumptions!$B$12)*0.05,0)</f>
        <v/>
      </c>
      <c r="CI39" s="399">
        <f>IF(AND(Projects!$G$30="Yes",CI$3&gt;=Projects!$C$30,CI$3&lt;Projects!$C$30+Projects!$D$30),Projects!$B$30*INDEX(Curves!$B$4:$AR$4,1,CI$3-Projects!$C$30+1),0)-IF(AND(Projects!$G$30="Yes",CI$3&gt;=Projects!$C$30,CI$3&lt;Projects!$C$30+Projects!$D$30),Projects!$B$30*(Assumptions!$B$10+Assumptions!$B$11+Assumptions!$B$12)/Projects!$D$30*0.95,0)-IF(AND(Projects!$G$30="Yes",CI$3=Projects!$C$30+Projects!$D$30-1),Projects!$B$30*(Assumptions!$B$10+Assumptions!$B$11+Assumptions!$B$12)*0.05,0)</f>
        <v/>
      </c>
      <c r="CJ39" s="399">
        <f>IF(AND(Projects!$G$30="Yes",CJ$3&gt;=Projects!$C$30,CJ$3&lt;Projects!$C$30+Projects!$D$30),Projects!$B$30*INDEX(Curves!$B$4:$AR$4,1,CJ$3-Projects!$C$30+1),0)-IF(AND(Projects!$G$30="Yes",CJ$3&gt;=Projects!$C$30,CJ$3&lt;Projects!$C$30+Projects!$D$30),Projects!$B$30*(Assumptions!$B$10+Assumptions!$B$11+Assumptions!$B$12)/Projects!$D$30*0.95,0)-IF(AND(Projects!$G$30="Yes",CJ$3=Projects!$C$30+Projects!$D$30-1),Projects!$B$30*(Assumptions!$B$10+Assumptions!$B$11+Assumptions!$B$12)*0.05,0)</f>
        <v/>
      </c>
      <c r="CK39" s="399">
        <f>IF(AND(Projects!$G$30="Yes",CK$3&gt;=Projects!$C$30,CK$3&lt;Projects!$C$30+Projects!$D$30),Projects!$B$30*INDEX(Curves!$B$4:$AR$4,1,CK$3-Projects!$C$30+1),0)-IF(AND(Projects!$G$30="Yes",CK$3&gt;=Projects!$C$30,CK$3&lt;Projects!$C$30+Projects!$D$30),Projects!$B$30*(Assumptions!$B$10+Assumptions!$B$11+Assumptions!$B$12)/Projects!$D$30*0.95,0)-IF(AND(Projects!$G$30="Yes",CK$3=Projects!$C$30+Projects!$D$30-1),Projects!$B$30*(Assumptions!$B$10+Assumptions!$B$11+Assumptions!$B$12)*0.05,0)</f>
        <v/>
      </c>
      <c r="CL39" s="399">
        <f>IF(AND(Projects!$G$30="Yes",CL$3&gt;=Projects!$C$30,CL$3&lt;Projects!$C$30+Projects!$D$30),Projects!$B$30*INDEX(Curves!$B$4:$AR$4,1,CL$3-Projects!$C$30+1),0)-IF(AND(Projects!$G$30="Yes",CL$3&gt;=Projects!$C$30,CL$3&lt;Projects!$C$30+Projects!$D$30),Projects!$B$30*(Assumptions!$B$10+Assumptions!$B$11+Assumptions!$B$12)/Projects!$D$30*0.95,0)-IF(AND(Projects!$G$30="Yes",CL$3=Projects!$C$30+Projects!$D$30-1),Projects!$B$30*(Assumptions!$B$10+Assumptions!$B$11+Assumptions!$B$12)*0.05,0)</f>
        <v/>
      </c>
      <c r="CM39" s="399">
        <f>IF(AND(Projects!$G$30="Yes",CM$3&gt;=Projects!$C$30,CM$3&lt;Projects!$C$30+Projects!$D$30),Projects!$B$30*INDEX(Curves!$B$4:$AR$4,1,CM$3-Projects!$C$30+1),0)-IF(AND(Projects!$G$30="Yes",CM$3&gt;=Projects!$C$30,CM$3&lt;Projects!$C$30+Projects!$D$30),Projects!$B$30*(Assumptions!$B$10+Assumptions!$B$11+Assumptions!$B$12)/Projects!$D$30*0.95,0)-IF(AND(Projects!$G$30="Yes",CM$3=Projects!$C$30+Projects!$D$30-1),Projects!$B$30*(Assumptions!$B$10+Assumptions!$B$11+Assumptions!$B$12)*0.05,0)</f>
        <v/>
      </c>
      <c r="CN39" s="399">
        <f>IF(AND(Projects!$G$30="Yes",CN$3&gt;=Projects!$C$30,CN$3&lt;Projects!$C$30+Projects!$D$30),Projects!$B$30*INDEX(Curves!$B$4:$AR$4,1,CN$3-Projects!$C$30+1),0)-IF(AND(Projects!$G$30="Yes",CN$3&gt;=Projects!$C$30,CN$3&lt;Projects!$C$30+Projects!$D$30),Projects!$B$30*(Assumptions!$B$10+Assumptions!$B$11+Assumptions!$B$12)/Projects!$D$30*0.95,0)-IF(AND(Projects!$G$30="Yes",CN$3=Projects!$C$30+Projects!$D$30-1),Projects!$B$30*(Assumptions!$B$10+Assumptions!$B$11+Assumptions!$B$12)*0.05,0)</f>
        <v/>
      </c>
      <c r="CO39" s="399">
        <f>IF(AND(Projects!$G$30="Yes",CO$3&gt;=Projects!$C$30,CO$3&lt;Projects!$C$30+Projects!$D$30),Projects!$B$30*INDEX(Curves!$B$4:$AR$4,1,CO$3-Projects!$C$30+1),0)-IF(AND(Projects!$G$30="Yes",CO$3&gt;=Projects!$C$30,CO$3&lt;Projects!$C$30+Projects!$D$30),Projects!$B$30*(Assumptions!$B$10+Assumptions!$B$11+Assumptions!$B$12)/Projects!$D$30*0.95,0)-IF(AND(Projects!$G$30="Yes",CO$3=Projects!$C$30+Projects!$D$30-1),Projects!$B$30*(Assumptions!$B$10+Assumptions!$B$11+Assumptions!$B$12)*0.05,0)</f>
        <v/>
      </c>
      <c r="CP39" s="399">
        <f>IF(AND(Projects!$G$30="Yes",CP$3&gt;=Projects!$C$30,CP$3&lt;Projects!$C$30+Projects!$D$30),Projects!$B$30*INDEX(Curves!$B$4:$AR$4,1,CP$3-Projects!$C$30+1),0)-IF(AND(Projects!$G$30="Yes",CP$3&gt;=Projects!$C$30,CP$3&lt;Projects!$C$30+Projects!$D$30),Projects!$B$30*(Assumptions!$B$10+Assumptions!$B$11+Assumptions!$B$12)/Projects!$D$30*0.95,0)-IF(AND(Projects!$G$30="Yes",CP$3=Projects!$C$30+Projects!$D$30-1),Projects!$B$30*(Assumptions!$B$10+Assumptions!$B$11+Assumptions!$B$12)*0.05,0)</f>
        <v/>
      </c>
      <c r="CQ39" s="399">
        <f>IF(AND(Projects!$G$30="Yes",CQ$3&gt;=Projects!$C$30,CQ$3&lt;Projects!$C$30+Projects!$D$30),Projects!$B$30*INDEX(Curves!$B$4:$AR$4,1,CQ$3-Projects!$C$30+1),0)-IF(AND(Projects!$G$30="Yes",CQ$3&gt;=Projects!$C$30,CQ$3&lt;Projects!$C$30+Projects!$D$30),Projects!$B$30*(Assumptions!$B$10+Assumptions!$B$11+Assumptions!$B$12)/Projects!$D$30*0.95,0)-IF(AND(Projects!$G$30="Yes",CQ$3=Projects!$C$30+Projects!$D$30-1),Projects!$B$30*(Assumptions!$B$10+Assumptions!$B$11+Assumptions!$B$12)*0.05,0)</f>
        <v/>
      </c>
      <c r="CR39" s="399">
        <f>IF(AND(Projects!$G$30="Yes",CR$3&gt;=Projects!$C$30,CR$3&lt;Projects!$C$30+Projects!$D$30),Projects!$B$30*INDEX(Curves!$B$4:$AR$4,1,CR$3-Projects!$C$30+1),0)-IF(AND(Projects!$G$30="Yes",CR$3&gt;=Projects!$C$30,CR$3&lt;Projects!$C$30+Projects!$D$30),Projects!$B$30*(Assumptions!$B$10+Assumptions!$B$11+Assumptions!$B$12)/Projects!$D$30*0.95,0)-IF(AND(Projects!$G$30="Yes",CR$3=Projects!$C$30+Projects!$D$30-1),Projects!$B$30*(Assumptions!$B$10+Assumptions!$B$11+Assumptions!$B$12)*0.05,0)</f>
        <v/>
      </c>
      <c r="CS39" s="399">
        <f>IF(AND(Projects!$G$30="Yes",CS$3&gt;=Projects!$C$30,CS$3&lt;Projects!$C$30+Projects!$D$30),Projects!$B$30*INDEX(Curves!$B$4:$AR$4,1,CS$3-Projects!$C$30+1),0)-IF(AND(Projects!$G$30="Yes",CS$3&gt;=Projects!$C$30,CS$3&lt;Projects!$C$30+Projects!$D$30),Projects!$B$30*(Assumptions!$B$10+Assumptions!$B$11+Assumptions!$B$12)/Projects!$D$30*0.95,0)-IF(AND(Projects!$G$30="Yes",CS$3=Projects!$C$30+Projects!$D$30-1),Projects!$B$30*(Assumptions!$B$10+Assumptions!$B$11+Assumptions!$B$12)*0.05,0)</f>
        <v/>
      </c>
      <c r="CT39" s="399">
        <f>IF(AND(Projects!$G$30="Yes",CT$3&gt;=Projects!$C$30,CT$3&lt;Projects!$C$30+Projects!$D$30),Projects!$B$30*INDEX(Curves!$B$4:$AR$4,1,CT$3-Projects!$C$30+1),0)-IF(AND(Projects!$G$30="Yes",CT$3&gt;=Projects!$C$30,CT$3&lt;Projects!$C$30+Projects!$D$30),Projects!$B$30*(Assumptions!$B$10+Assumptions!$B$11+Assumptions!$B$12)/Projects!$D$30*0.95,0)-IF(AND(Projects!$G$30="Yes",CT$3=Projects!$C$30+Projects!$D$30-1),Projects!$B$30*(Assumptions!$B$10+Assumptions!$B$11+Assumptions!$B$12)*0.05,0)</f>
        <v/>
      </c>
      <c r="CU39" s="399">
        <f>IF(AND(Projects!$G$30="Yes",CU$3&gt;=Projects!$C$30,CU$3&lt;Projects!$C$30+Projects!$D$30),Projects!$B$30*INDEX(Curves!$B$4:$AR$4,1,CU$3-Projects!$C$30+1),0)-IF(AND(Projects!$G$30="Yes",CU$3&gt;=Projects!$C$30,CU$3&lt;Projects!$C$30+Projects!$D$30),Projects!$B$30*(Assumptions!$B$10+Assumptions!$B$11+Assumptions!$B$12)/Projects!$D$30*0.95,0)-IF(AND(Projects!$G$30="Yes",CU$3=Projects!$C$30+Projects!$D$30-1),Projects!$B$30*(Assumptions!$B$10+Assumptions!$B$11+Assumptions!$B$12)*0.05,0)</f>
        <v/>
      </c>
      <c r="CV39" s="399">
        <f>IF(AND(Projects!$G$30="Yes",CV$3&gt;=Projects!$C$30,CV$3&lt;Projects!$C$30+Projects!$D$30),Projects!$B$30*INDEX(Curves!$B$4:$AR$4,1,CV$3-Projects!$C$30+1),0)-IF(AND(Projects!$G$30="Yes",CV$3&gt;=Projects!$C$30,CV$3&lt;Projects!$C$30+Projects!$D$30),Projects!$B$30*(Assumptions!$B$10+Assumptions!$B$11+Assumptions!$B$12)/Projects!$D$30*0.95,0)-IF(AND(Projects!$G$30="Yes",CV$3=Projects!$C$30+Projects!$D$30-1),Projects!$B$30*(Assumptions!$B$10+Assumptions!$B$11+Assumptions!$B$12)*0.05,0)</f>
        <v/>
      </c>
      <c r="CW39" s="399">
        <f>IF(AND(Projects!$G$30="Yes",CW$3&gt;=Projects!$C$30,CW$3&lt;Projects!$C$30+Projects!$D$30),Projects!$B$30*INDEX(Curves!$B$4:$AR$4,1,CW$3-Projects!$C$30+1),0)-IF(AND(Projects!$G$30="Yes",CW$3&gt;=Projects!$C$30,CW$3&lt;Projects!$C$30+Projects!$D$30),Projects!$B$30*(Assumptions!$B$10+Assumptions!$B$11+Assumptions!$B$12)/Projects!$D$30*0.95,0)-IF(AND(Projects!$G$30="Yes",CW$3=Projects!$C$30+Projects!$D$30-1),Projects!$B$30*(Assumptions!$B$10+Assumptions!$B$11+Assumptions!$B$12)*0.05,0)</f>
        <v/>
      </c>
      <c r="CX39" s="399">
        <f>IF(AND(Projects!$G$30="Yes",CX$3&gt;=Projects!$C$30,CX$3&lt;Projects!$C$30+Projects!$D$30),Projects!$B$30*INDEX(Curves!$B$4:$AR$4,1,CX$3-Projects!$C$30+1),0)-IF(AND(Projects!$G$30="Yes",CX$3&gt;=Projects!$C$30,CX$3&lt;Projects!$C$30+Projects!$D$30),Projects!$B$30*(Assumptions!$B$10+Assumptions!$B$11+Assumptions!$B$12)/Projects!$D$30*0.95,0)-IF(AND(Projects!$G$30="Yes",CX$3=Projects!$C$30+Projects!$D$30-1),Projects!$B$30*(Assumptions!$B$10+Assumptions!$B$11+Assumptions!$B$12)*0.05,0)</f>
        <v/>
      </c>
      <c r="CY39" s="399">
        <f>IF(AND(Projects!$G$30="Yes",CY$3&gt;=Projects!$C$30,CY$3&lt;Projects!$C$30+Projects!$D$30),Projects!$B$30*INDEX(Curves!$B$4:$AR$4,1,CY$3-Projects!$C$30+1),0)-IF(AND(Projects!$G$30="Yes",CY$3&gt;=Projects!$C$30,CY$3&lt;Projects!$C$30+Projects!$D$30),Projects!$B$30*(Assumptions!$B$10+Assumptions!$B$11+Assumptions!$B$12)/Projects!$D$30*0.95,0)-IF(AND(Projects!$G$30="Yes",CY$3=Projects!$C$30+Projects!$D$30-1),Projects!$B$30*(Assumptions!$B$10+Assumptions!$B$11+Assumptions!$B$12)*0.05,0)</f>
        <v/>
      </c>
      <c r="CZ39" s="399">
        <f>IF(AND(Projects!$G$30="Yes",CZ$3&gt;=Projects!$C$30,CZ$3&lt;Projects!$C$30+Projects!$D$30),Projects!$B$30*INDEX(Curves!$B$4:$AR$4,1,CZ$3-Projects!$C$30+1),0)-IF(AND(Projects!$G$30="Yes",CZ$3&gt;=Projects!$C$30,CZ$3&lt;Projects!$C$30+Projects!$D$30),Projects!$B$30*(Assumptions!$B$10+Assumptions!$B$11+Assumptions!$B$12)/Projects!$D$30*0.95,0)-IF(AND(Projects!$G$30="Yes",CZ$3=Projects!$C$30+Projects!$D$30-1),Projects!$B$30*(Assumptions!$B$10+Assumptions!$B$11+Assumptions!$B$12)*0.05,0)</f>
        <v/>
      </c>
      <c r="DA39" s="399">
        <f>IF(AND(Projects!$G$30="Yes",DA$3&gt;=Projects!$C$30,DA$3&lt;Projects!$C$30+Projects!$D$30),Projects!$B$30*INDEX(Curves!$B$4:$AR$4,1,DA$3-Projects!$C$30+1),0)-IF(AND(Projects!$G$30="Yes",DA$3&gt;=Projects!$C$30,DA$3&lt;Projects!$C$30+Projects!$D$30),Projects!$B$30*(Assumptions!$B$10+Assumptions!$B$11+Assumptions!$B$12)/Projects!$D$30*0.95,0)-IF(AND(Projects!$G$30="Yes",DA$3=Projects!$C$30+Projects!$D$30-1),Projects!$B$30*(Assumptions!$B$10+Assumptions!$B$11+Assumptions!$B$12)*0.05,0)</f>
        <v/>
      </c>
      <c r="DB39" s="399">
        <f>IF(AND(Projects!$G$30="Yes",DB$3&gt;=Projects!$C$30,DB$3&lt;Projects!$C$30+Projects!$D$30),Projects!$B$30*INDEX(Curves!$B$4:$AR$4,1,DB$3-Projects!$C$30+1),0)-IF(AND(Projects!$G$30="Yes",DB$3&gt;=Projects!$C$30,DB$3&lt;Projects!$C$30+Projects!$D$30),Projects!$B$30*(Assumptions!$B$10+Assumptions!$B$11+Assumptions!$B$12)/Projects!$D$30*0.95,0)-IF(AND(Projects!$G$30="Yes",DB$3=Projects!$C$30+Projects!$D$30-1),Projects!$B$30*(Assumptions!$B$10+Assumptions!$B$11+Assumptions!$B$12)*0.05,0)</f>
        <v/>
      </c>
      <c r="DC39" s="399">
        <f>IF(AND(Projects!$G$30="Yes",DC$3&gt;=Projects!$C$30,DC$3&lt;Projects!$C$30+Projects!$D$30),Projects!$B$30*INDEX(Curves!$B$4:$AR$4,1,DC$3-Projects!$C$30+1),0)-IF(AND(Projects!$G$30="Yes",DC$3&gt;=Projects!$C$30,DC$3&lt;Projects!$C$30+Projects!$D$30),Projects!$B$30*(Assumptions!$B$10+Assumptions!$B$11+Assumptions!$B$12)/Projects!$D$30*0.95,0)-IF(AND(Projects!$G$30="Yes",DC$3=Projects!$C$30+Projects!$D$30-1),Projects!$B$30*(Assumptions!$B$10+Assumptions!$B$11+Assumptions!$B$12)*0.05,0)</f>
        <v/>
      </c>
      <c r="DD39" s="399">
        <f>IF(AND(Projects!$G$30="Yes",DD$3&gt;=Projects!$C$30,DD$3&lt;Projects!$C$30+Projects!$D$30),Projects!$B$30*INDEX(Curves!$B$4:$AR$4,1,DD$3-Projects!$C$30+1),0)-IF(AND(Projects!$G$30="Yes",DD$3&gt;=Projects!$C$30,DD$3&lt;Projects!$C$30+Projects!$D$30),Projects!$B$30*(Assumptions!$B$10+Assumptions!$B$11+Assumptions!$B$12)/Projects!$D$30*0.95,0)-IF(AND(Projects!$G$30="Yes",DD$3=Projects!$C$30+Projects!$D$30-1),Projects!$B$30*(Assumptions!$B$10+Assumptions!$B$11+Assumptions!$B$12)*0.05,0)</f>
        <v/>
      </c>
      <c r="DE39" s="399">
        <f>IF(AND(Projects!$G$30="Yes",DE$3&gt;=Projects!$C$30,DE$3&lt;Projects!$C$30+Projects!$D$30),Projects!$B$30*INDEX(Curves!$B$4:$AR$4,1,DE$3-Projects!$C$30+1),0)-IF(AND(Projects!$G$30="Yes",DE$3&gt;=Projects!$C$30,DE$3&lt;Projects!$C$30+Projects!$D$30),Projects!$B$30*(Assumptions!$B$10+Assumptions!$B$11+Assumptions!$B$12)/Projects!$D$30*0.95,0)-IF(AND(Projects!$G$30="Yes",DE$3=Projects!$C$30+Projects!$D$30-1),Projects!$B$30*(Assumptions!$B$10+Assumptions!$B$11+Assumptions!$B$12)*0.05,0)</f>
        <v/>
      </c>
    </row>
    <row r="40" hidden="1" outlineLevel="1" ht="15" customFormat="1" customHeight="1" s="380">
      <c r="A40" s="407" t="inlineStr">
        <is>
          <t>BD-15</t>
        </is>
      </c>
      <c r="B40" s="399" t="n">
        <v>0</v>
      </c>
      <c r="C40" s="399" t="n">
        <v>0</v>
      </c>
      <c r="D40" s="399" t="n">
        <v>0</v>
      </c>
      <c r="E40" s="399" t="n">
        <v>0</v>
      </c>
      <c r="F40" s="399">
        <f>IF(AND(Projects!$G$31="Yes",F$3&gt;=Projects!$C$31,F$3&lt;Projects!$C$31+Projects!$D$31),Projects!$B$31*INDEX(Curves!$B$4:$AR$4,1,F$3-Projects!$C$31+1),0)-IF(AND(Projects!$G$31="Yes",F$3&gt;=Projects!$C$31,F$3&lt;Projects!$C$31+Projects!$D$31),Projects!$B$31*(Assumptions!$B$10+Assumptions!$B$11+Assumptions!$B$12)/Projects!$D$31*0.95,0)-IF(AND(Projects!$G$31="Yes",F$3=Projects!$C$31+Projects!$D$31-1),Projects!$B$31*(Assumptions!$B$10+Assumptions!$B$11+Assumptions!$B$12)*0.05,0)</f>
        <v/>
      </c>
      <c r="G40" s="399">
        <f>IF(AND(Projects!$G$31="Yes",G$3&gt;=Projects!$C$31,G$3&lt;Projects!$C$31+Projects!$D$31),Projects!$B$31*INDEX(Curves!$B$4:$AR$4,1,G$3-Projects!$C$31+1),0)-IF(AND(Projects!$G$31="Yes",G$3&gt;=Projects!$C$31,G$3&lt;Projects!$C$31+Projects!$D$31),Projects!$B$31*(Assumptions!$B$10+Assumptions!$B$11+Assumptions!$B$12)/Projects!$D$31*0.95,0)-IF(AND(Projects!$G$31="Yes",G$3=Projects!$C$31+Projects!$D$31-1),Projects!$B$31*(Assumptions!$B$10+Assumptions!$B$11+Assumptions!$B$12)*0.05,0)</f>
        <v/>
      </c>
      <c r="H40" s="399">
        <f>IF(AND(Projects!$G$31="Yes",H$3&gt;=Projects!$C$31,H$3&lt;Projects!$C$31+Projects!$D$31),Projects!$B$31*INDEX(Curves!$B$4:$AR$4,1,H$3-Projects!$C$31+1),0)-IF(AND(Projects!$G$31="Yes",H$3&gt;=Projects!$C$31,H$3&lt;Projects!$C$31+Projects!$D$31),Projects!$B$31*(Assumptions!$B$10+Assumptions!$B$11+Assumptions!$B$12)/Projects!$D$31*0.95,0)-IF(AND(Projects!$G$31="Yes",H$3=Projects!$C$31+Projects!$D$31-1),Projects!$B$31*(Assumptions!$B$10+Assumptions!$B$11+Assumptions!$B$12)*0.05,0)</f>
        <v/>
      </c>
      <c r="I40" s="399">
        <f>IF(AND(Projects!$G$31="Yes",I$3&gt;=Projects!$C$31,I$3&lt;Projects!$C$31+Projects!$D$31),Projects!$B$31*INDEX(Curves!$B$4:$AR$4,1,I$3-Projects!$C$31+1),0)-IF(AND(Projects!$G$31="Yes",I$3&gt;=Projects!$C$31,I$3&lt;Projects!$C$31+Projects!$D$31),Projects!$B$31*(Assumptions!$B$10+Assumptions!$B$11+Assumptions!$B$12)/Projects!$D$31*0.95,0)-IF(AND(Projects!$G$31="Yes",I$3=Projects!$C$31+Projects!$D$31-1),Projects!$B$31*(Assumptions!$B$10+Assumptions!$B$11+Assumptions!$B$12)*0.05,0)</f>
        <v/>
      </c>
      <c r="J40" s="399">
        <f>IF(AND(Projects!$G$31="Yes",J$3&gt;=Projects!$C$31,J$3&lt;Projects!$C$31+Projects!$D$31),Projects!$B$31*INDEX(Curves!$B$4:$AR$4,1,J$3-Projects!$C$31+1),0)-IF(AND(Projects!$G$31="Yes",J$3&gt;=Projects!$C$31,J$3&lt;Projects!$C$31+Projects!$D$31),Projects!$B$31*(Assumptions!$B$10+Assumptions!$B$11+Assumptions!$B$12)/Projects!$D$31*0.95,0)-IF(AND(Projects!$G$31="Yes",J$3=Projects!$C$31+Projects!$D$31-1),Projects!$B$31*(Assumptions!$B$10+Assumptions!$B$11+Assumptions!$B$12)*0.05,0)</f>
        <v/>
      </c>
      <c r="K40" s="399">
        <f>IF(AND(Projects!$G$31="Yes",K$3&gt;=Projects!$C$31,K$3&lt;Projects!$C$31+Projects!$D$31),Projects!$B$31*INDEX(Curves!$B$4:$AR$4,1,K$3-Projects!$C$31+1),0)-IF(AND(Projects!$G$31="Yes",K$3&gt;=Projects!$C$31,K$3&lt;Projects!$C$31+Projects!$D$31),Projects!$B$31*(Assumptions!$B$10+Assumptions!$B$11+Assumptions!$B$12)/Projects!$D$31*0.95,0)-IF(AND(Projects!$G$31="Yes",K$3=Projects!$C$31+Projects!$D$31-1),Projects!$B$31*(Assumptions!$B$10+Assumptions!$B$11+Assumptions!$B$12)*0.05,0)</f>
        <v/>
      </c>
      <c r="L40" s="399">
        <f>IF(AND(Projects!$G$31="Yes",L$3&gt;=Projects!$C$31,L$3&lt;Projects!$C$31+Projects!$D$31),Projects!$B$31*INDEX(Curves!$B$4:$AR$4,1,L$3-Projects!$C$31+1),0)-IF(AND(Projects!$G$31="Yes",L$3&gt;=Projects!$C$31,L$3&lt;Projects!$C$31+Projects!$D$31),Projects!$B$31*(Assumptions!$B$10+Assumptions!$B$11+Assumptions!$B$12)/Projects!$D$31*0.95,0)-IF(AND(Projects!$G$31="Yes",L$3=Projects!$C$31+Projects!$D$31-1),Projects!$B$31*(Assumptions!$B$10+Assumptions!$B$11+Assumptions!$B$12)*0.05,0)</f>
        <v/>
      </c>
      <c r="M40" s="399">
        <f>IF(AND(Projects!$G$31="Yes",M$3&gt;=Projects!$C$31,M$3&lt;Projects!$C$31+Projects!$D$31),Projects!$B$31*INDEX(Curves!$B$4:$AR$4,1,M$3-Projects!$C$31+1),0)-IF(AND(Projects!$G$31="Yes",M$3&gt;=Projects!$C$31,M$3&lt;Projects!$C$31+Projects!$D$31),Projects!$B$31*(Assumptions!$B$10+Assumptions!$B$11+Assumptions!$B$12)/Projects!$D$31*0.95,0)-IF(AND(Projects!$G$31="Yes",M$3=Projects!$C$31+Projects!$D$31-1),Projects!$B$31*(Assumptions!$B$10+Assumptions!$B$11+Assumptions!$B$12)*0.05,0)</f>
        <v/>
      </c>
      <c r="N40" s="399">
        <f>IF(AND(Projects!$G$31="Yes",N$3&gt;=Projects!$C$31,N$3&lt;Projects!$C$31+Projects!$D$31),Projects!$B$31*INDEX(Curves!$B$4:$AR$4,1,N$3-Projects!$C$31+1),0)-IF(AND(Projects!$G$31="Yes",N$3&gt;=Projects!$C$31,N$3&lt;Projects!$C$31+Projects!$D$31),Projects!$B$31*(Assumptions!$B$10+Assumptions!$B$11+Assumptions!$B$12)/Projects!$D$31*0.95,0)-IF(AND(Projects!$G$31="Yes",N$3=Projects!$C$31+Projects!$D$31-1),Projects!$B$31*(Assumptions!$B$10+Assumptions!$B$11+Assumptions!$B$12)*0.05,0)</f>
        <v/>
      </c>
      <c r="O40" s="399">
        <f>IF(AND(Projects!$G$31="Yes",O$3&gt;=Projects!$C$31,O$3&lt;Projects!$C$31+Projects!$D$31),Projects!$B$31*INDEX(Curves!$B$4:$AR$4,1,O$3-Projects!$C$31+1),0)-IF(AND(Projects!$G$31="Yes",O$3&gt;=Projects!$C$31,O$3&lt;Projects!$C$31+Projects!$D$31),Projects!$B$31*(Assumptions!$B$10+Assumptions!$B$11+Assumptions!$B$12)/Projects!$D$31*0.95,0)-IF(AND(Projects!$G$31="Yes",O$3=Projects!$C$31+Projects!$D$31-1),Projects!$B$31*(Assumptions!$B$10+Assumptions!$B$11+Assumptions!$B$12)*0.05,0)</f>
        <v/>
      </c>
      <c r="P40" s="399">
        <f>IF(AND(Projects!$G$31="Yes",P$3&gt;=Projects!$C$31,P$3&lt;Projects!$C$31+Projects!$D$31),Projects!$B$31*INDEX(Curves!$B$4:$AR$4,1,P$3-Projects!$C$31+1),0)-IF(AND(Projects!$G$31="Yes",P$3&gt;=Projects!$C$31,P$3&lt;Projects!$C$31+Projects!$D$31),Projects!$B$31*(Assumptions!$B$10+Assumptions!$B$11+Assumptions!$B$12)/Projects!$D$31*0.95,0)-IF(AND(Projects!$G$31="Yes",P$3=Projects!$C$31+Projects!$D$31-1),Projects!$B$31*(Assumptions!$B$10+Assumptions!$B$11+Assumptions!$B$12)*0.05,0)</f>
        <v/>
      </c>
      <c r="Q40" s="399">
        <f>IF(AND(Projects!$G$31="Yes",Q$3&gt;=Projects!$C$31,Q$3&lt;Projects!$C$31+Projects!$D$31),Projects!$B$31*INDEX(Curves!$B$4:$AR$4,1,Q$3-Projects!$C$31+1),0)-IF(AND(Projects!$G$31="Yes",Q$3&gt;=Projects!$C$31,Q$3&lt;Projects!$C$31+Projects!$D$31),Projects!$B$31*(Assumptions!$B$10+Assumptions!$B$11+Assumptions!$B$12)/Projects!$D$31*0.95,0)-IF(AND(Projects!$G$31="Yes",Q$3=Projects!$C$31+Projects!$D$31-1),Projects!$B$31*(Assumptions!$B$10+Assumptions!$B$11+Assumptions!$B$12)*0.05,0)</f>
        <v/>
      </c>
      <c r="R40" s="399">
        <f>IF(AND(Projects!$G$31="Yes",R$3&gt;=Projects!$C$31,R$3&lt;Projects!$C$31+Projects!$D$31),Projects!$B$31*INDEX(Curves!$B$4:$AR$4,1,R$3-Projects!$C$31+1),0)-IF(AND(Projects!$G$31="Yes",R$3&gt;=Projects!$C$31,R$3&lt;Projects!$C$31+Projects!$D$31),Projects!$B$31*(Assumptions!$B$10+Assumptions!$B$11+Assumptions!$B$12)/Projects!$D$31*0.95,0)-IF(AND(Projects!$G$31="Yes",R$3=Projects!$C$31+Projects!$D$31-1),Projects!$B$31*(Assumptions!$B$10+Assumptions!$B$11+Assumptions!$B$12)*0.05,0)</f>
        <v/>
      </c>
      <c r="S40" s="399">
        <f>IF(AND(Projects!$G$31="Yes",S$3&gt;=Projects!$C$31,S$3&lt;Projects!$C$31+Projects!$D$31),Projects!$B$31*INDEX(Curves!$B$4:$AR$4,1,S$3-Projects!$C$31+1),0)-IF(AND(Projects!$G$31="Yes",S$3&gt;=Projects!$C$31,S$3&lt;Projects!$C$31+Projects!$D$31),Projects!$B$31*(Assumptions!$B$10+Assumptions!$B$11+Assumptions!$B$12)/Projects!$D$31*0.95,0)-IF(AND(Projects!$G$31="Yes",S$3=Projects!$C$31+Projects!$D$31-1),Projects!$B$31*(Assumptions!$B$10+Assumptions!$B$11+Assumptions!$B$12)*0.05,0)</f>
        <v/>
      </c>
      <c r="T40" s="399">
        <f>IF(AND(Projects!$G$31="Yes",T$3&gt;=Projects!$C$31,T$3&lt;Projects!$C$31+Projects!$D$31),Projects!$B$31*INDEX(Curves!$B$4:$AR$4,1,T$3-Projects!$C$31+1),0)-IF(AND(Projects!$G$31="Yes",T$3&gt;=Projects!$C$31,T$3&lt;Projects!$C$31+Projects!$D$31),Projects!$B$31*(Assumptions!$B$10+Assumptions!$B$11+Assumptions!$B$12)/Projects!$D$31*0.95,0)-IF(AND(Projects!$G$31="Yes",T$3=Projects!$C$31+Projects!$D$31-1),Projects!$B$31*(Assumptions!$B$10+Assumptions!$B$11+Assumptions!$B$12)*0.05,0)</f>
        <v/>
      </c>
      <c r="U40" s="399">
        <f>IF(AND(Projects!$G$31="Yes",U$3&gt;=Projects!$C$31,U$3&lt;Projects!$C$31+Projects!$D$31),Projects!$B$31*INDEX(Curves!$B$4:$AR$4,1,U$3-Projects!$C$31+1),0)-IF(AND(Projects!$G$31="Yes",U$3&gt;=Projects!$C$31,U$3&lt;Projects!$C$31+Projects!$D$31),Projects!$B$31*(Assumptions!$B$10+Assumptions!$B$11+Assumptions!$B$12)/Projects!$D$31*0.95,0)-IF(AND(Projects!$G$31="Yes",U$3=Projects!$C$31+Projects!$D$31-1),Projects!$B$31*(Assumptions!$B$10+Assumptions!$B$11+Assumptions!$B$12)*0.05,0)</f>
        <v/>
      </c>
      <c r="V40" s="399">
        <f>IF(AND(Projects!$G$31="Yes",V$3&gt;=Projects!$C$31,V$3&lt;Projects!$C$31+Projects!$D$31),Projects!$B$31*INDEX(Curves!$B$4:$AR$4,1,V$3-Projects!$C$31+1),0)-IF(AND(Projects!$G$31="Yes",V$3&gt;=Projects!$C$31,V$3&lt;Projects!$C$31+Projects!$D$31),Projects!$B$31*(Assumptions!$B$10+Assumptions!$B$11+Assumptions!$B$12)/Projects!$D$31*0.95,0)-IF(AND(Projects!$G$31="Yes",V$3=Projects!$C$31+Projects!$D$31-1),Projects!$B$31*(Assumptions!$B$10+Assumptions!$B$11+Assumptions!$B$12)*0.05,0)</f>
        <v/>
      </c>
      <c r="W40" s="399">
        <f>IF(AND(Projects!$G$31="Yes",W$3&gt;=Projects!$C$31,W$3&lt;Projects!$C$31+Projects!$D$31),Projects!$B$31*INDEX(Curves!$B$4:$AR$4,1,W$3-Projects!$C$31+1),0)-IF(AND(Projects!$G$31="Yes",W$3&gt;=Projects!$C$31,W$3&lt;Projects!$C$31+Projects!$D$31),Projects!$B$31*(Assumptions!$B$10+Assumptions!$B$11+Assumptions!$B$12)/Projects!$D$31*0.95,0)-IF(AND(Projects!$G$31="Yes",W$3=Projects!$C$31+Projects!$D$31-1),Projects!$B$31*(Assumptions!$B$10+Assumptions!$B$11+Assumptions!$B$12)*0.05,0)</f>
        <v/>
      </c>
      <c r="X40" s="399">
        <f>IF(AND(Projects!$G$31="Yes",X$3&gt;=Projects!$C$31,X$3&lt;Projects!$C$31+Projects!$D$31),Projects!$B$31*INDEX(Curves!$B$4:$AR$4,1,X$3-Projects!$C$31+1),0)-IF(AND(Projects!$G$31="Yes",X$3&gt;=Projects!$C$31,X$3&lt;Projects!$C$31+Projects!$D$31),Projects!$B$31*(Assumptions!$B$10+Assumptions!$B$11+Assumptions!$B$12)/Projects!$D$31*0.95,0)-IF(AND(Projects!$G$31="Yes",X$3=Projects!$C$31+Projects!$D$31-1),Projects!$B$31*(Assumptions!$B$10+Assumptions!$B$11+Assumptions!$B$12)*0.05,0)</f>
        <v/>
      </c>
      <c r="Y40" s="399">
        <f>IF(AND(Projects!$G$31="Yes",Y$3&gt;=Projects!$C$31,Y$3&lt;Projects!$C$31+Projects!$D$31),Projects!$B$31*INDEX(Curves!$B$4:$AR$4,1,Y$3-Projects!$C$31+1),0)-IF(AND(Projects!$G$31="Yes",Y$3&gt;=Projects!$C$31,Y$3&lt;Projects!$C$31+Projects!$D$31),Projects!$B$31*(Assumptions!$B$10+Assumptions!$B$11+Assumptions!$B$12)/Projects!$D$31*0.95,0)-IF(AND(Projects!$G$31="Yes",Y$3=Projects!$C$31+Projects!$D$31-1),Projects!$B$31*(Assumptions!$B$10+Assumptions!$B$11+Assumptions!$B$12)*0.05,0)</f>
        <v/>
      </c>
      <c r="Z40" s="399">
        <f>IF(AND(Projects!$G$31="Yes",Z$3&gt;=Projects!$C$31,Z$3&lt;Projects!$C$31+Projects!$D$31),Projects!$B$31*INDEX(Curves!$B$4:$AR$4,1,Z$3-Projects!$C$31+1),0)-IF(AND(Projects!$G$31="Yes",Z$3&gt;=Projects!$C$31,Z$3&lt;Projects!$C$31+Projects!$D$31),Projects!$B$31*(Assumptions!$B$10+Assumptions!$B$11+Assumptions!$B$12)/Projects!$D$31*0.95,0)-IF(AND(Projects!$G$31="Yes",Z$3=Projects!$C$31+Projects!$D$31-1),Projects!$B$31*(Assumptions!$B$10+Assumptions!$B$11+Assumptions!$B$12)*0.05,0)</f>
        <v/>
      </c>
      <c r="AA40" s="399">
        <f>IF(AND(Projects!$G$31="Yes",AA$3&gt;=Projects!$C$31,AA$3&lt;Projects!$C$31+Projects!$D$31),Projects!$B$31*INDEX(Curves!$B$4:$AR$4,1,AA$3-Projects!$C$31+1),0)-IF(AND(Projects!$G$31="Yes",AA$3&gt;=Projects!$C$31,AA$3&lt;Projects!$C$31+Projects!$D$31),Projects!$B$31*(Assumptions!$B$10+Assumptions!$B$11+Assumptions!$B$12)/Projects!$D$31*0.95,0)-IF(AND(Projects!$G$31="Yes",AA$3=Projects!$C$31+Projects!$D$31-1),Projects!$B$31*(Assumptions!$B$10+Assumptions!$B$11+Assumptions!$B$12)*0.05,0)</f>
        <v/>
      </c>
      <c r="AB40" s="399">
        <f>IF(AND(Projects!$G$31="Yes",AB$3&gt;=Projects!$C$31,AB$3&lt;Projects!$C$31+Projects!$D$31),Projects!$B$31*INDEX(Curves!$B$4:$AR$4,1,AB$3-Projects!$C$31+1),0)-IF(AND(Projects!$G$31="Yes",AB$3&gt;=Projects!$C$31,AB$3&lt;Projects!$C$31+Projects!$D$31),Projects!$B$31*(Assumptions!$B$10+Assumptions!$B$11+Assumptions!$B$12)/Projects!$D$31*0.95,0)-IF(AND(Projects!$G$31="Yes",AB$3=Projects!$C$31+Projects!$D$31-1),Projects!$B$31*(Assumptions!$B$10+Assumptions!$B$11+Assumptions!$B$12)*0.05,0)</f>
        <v/>
      </c>
      <c r="AC40" s="399">
        <f>IF(AND(Projects!$G$31="Yes",AC$3&gt;=Projects!$C$31,AC$3&lt;Projects!$C$31+Projects!$D$31),Projects!$B$31*INDEX(Curves!$B$4:$AR$4,1,AC$3-Projects!$C$31+1),0)-IF(AND(Projects!$G$31="Yes",AC$3&gt;=Projects!$C$31,AC$3&lt;Projects!$C$31+Projects!$D$31),Projects!$B$31*(Assumptions!$B$10+Assumptions!$B$11+Assumptions!$B$12)/Projects!$D$31*0.95,0)-IF(AND(Projects!$G$31="Yes",AC$3=Projects!$C$31+Projects!$D$31-1),Projects!$B$31*(Assumptions!$B$10+Assumptions!$B$11+Assumptions!$B$12)*0.05,0)</f>
        <v/>
      </c>
      <c r="AD40" s="399">
        <f>IF(AND(Projects!$G$31="Yes",AD$3&gt;=Projects!$C$31,AD$3&lt;Projects!$C$31+Projects!$D$31),Projects!$B$31*INDEX(Curves!$B$4:$AR$4,1,AD$3-Projects!$C$31+1),0)-IF(AND(Projects!$G$31="Yes",AD$3&gt;=Projects!$C$31,AD$3&lt;Projects!$C$31+Projects!$D$31),Projects!$B$31*(Assumptions!$B$10+Assumptions!$B$11+Assumptions!$B$12)/Projects!$D$31*0.95,0)-IF(AND(Projects!$G$31="Yes",AD$3=Projects!$C$31+Projects!$D$31-1),Projects!$B$31*(Assumptions!$B$10+Assumptions!$B$11+Assumptions!$B$12)*0.05,0)</f>
        <v/>
      </c>
      <c r="AE40" s="399">
        <f>IF(AND(Projects!$G$31="Yes",AE$3&gt;=Projects!$C$31,AE$3&lt;Projects!$C$31+Projects!$D$31),Projects!$B$31*INDEX(Curves!$B$4:$AR$4,1,AE$3-Projects!$C$31+1),0)-IF(AND(Projects!$G$31="Yes",AE$3&gt;=Projects!$C$31,AE$3&lt;Projects!$C$31+Projects!$D$31),Projects!$B$31*(Assumptions!$B$10+Assumptions!$B$11+Assumptions!$B$12)/Projects!$D$31*0.95,0)-IF(AND(Projects!$G$31="Yes",AE$3=Projects!$C$31+Projects!$D$31-1),Projects!$B$31*(Assumptions!$B$10+Assumptions!$B$11+Assumptions!$B$12)*0.05,0)</f>
        <v/>
      </c>
      <c r="AF40" s="399">
        <f>IF(AND(Projects!$G$31="Yes",AF$3&gt;=Projects!$C$31,AF$3&lt;Projects!$C$31+Projects!$D$31),Projects!$B$31*INDEX(Curves!$B$4:$AR$4,1,AF$3-Projects!$C$31+1),0)-IF(AND(Projects!$G$31="Yes",AF$3&gt;=Projects!$C$31,AF$3&lt;Projects!$C$31+Projects!$D$31),Projects!$B$31*(Assumptions!$B$10+Assumptions!$B$11+Assumptions!$B$12)/Projects!$D$31*0.95,0)-IF(AND(Projects!$G$31="Yes",AF$3=Projects!$C$31+Projects!$D$31-1),Projects!$B$31*(Assumptions!$B$10+Assumptions!$B$11+Assumptions!$B$12)*0.05,0)</f>
        <v/>
      </c>
      <c r="AG40" s="399">
        <f>IF(AND(Projects!$G$31="Yes",AG$3&gt;=Projects!$C$31,AG$3&lt;Projects!$C$31+Projects!$D$31),Projects!$B$31*INDEX(Curves!$B$4:$AR$4,1,AG$3-Projects!$C$31+1),0)-IF(AND(Projects!$G$31="Yes",AG$3&gt;=Projects!$C$31,AG$3&lt;Projects!$C$31+Projects!$D$31),Projects!$B$31*(Assumptions!$B$10+Assumptions!$B$11+Assumptions!$B$12)/Projects!$D$31*0.95,0)-IF(AND(Projects!$G$31="Yes",AG$3=Projects!$C$31+Projects!$D$31-1),Projects!$B$31*(Assumptions!$B$10+Assumptions!$B$11+Assumptions!$B$12)*0.05,0)</f>
        <v/>
      </c>
      <c r="AH40" s="399">
        <f>IF(AND(Projects!$G$31="Yes",AH$3&gt;=Projects!$C$31,AH$3&lt;Projects!$C$31+Projects!$D$31),Projects!$B$31*INDEX(Curves!$B$4:$AR$4,1,AH$3-Projects!$C$31+1),0)-IF(AND(Projects!$G$31="Yes",AH$3&gt;=Projects!$C$31,AH$3&lt;Projects!$C$31+Projects!$D$31),Projects!$B$31*(Assumptions!$B$10+Assumptions!$B$11+Assumptions!$B$12)/Projects!$D$31*0.95,0)-IF(AND(Projects!$G$31="Yes",AH$3=Projects!$C$31+Projects!$D$31-1),Projects!$B$31*(Assumptions!$B$10+Assumptions!$B$11+Assumptions!$B$12)*0.05,0)</f>
        <v/>
      </c>
      <c r="AI40" s="399">
        <f>IF(AND(Projects!$G$31="Yes",AI$3&gt;=Projects!$C$31,AI$3&lt;Projects!$C$31+Projects!$D$31),Projects!$B$31*INDEX(Curves!$B$4:$AR$4,1,AI$3-Projects!$C$31+1),0)-IF(AND(Projects!$G$31="Yes",AI$3&gt;=Projects!$C$31,AI$3&lt;Projects!$C$31+Projects!$D$31),Projects!$B$31*(Assumptions!$B$10+Assumptions!$B$11+Assumptions!$B$12)/Projects!$D$31*0.95,0)-IF(AND(Projects!$G$31="Yes",AI$3=Projects!$C$31+Projects!$D$31-1),Projects!$B$31*(Assumptions!$B$10+Assumptions!$B$11+Assumptions!$B$12)*0.05,0)</f>
        <v/>
      </c>
      <c r="AJ40" s="399">
        <f>IF(AND(Projects!$G$31="Yes",AJ$3&gt;=Projects!$C$31,AJ$3&lt;Projects!$C$31+Projects!$D$31),Projects!$B$31*INDEX(Curves!$B$4:$AR$4,1,AJ$3-Projects!$C$31+1),0)-IF(AND(Projects!$G$31="Yes",AJ$3&gt;=Projects!$C$31,AJ$3&lt;Projects!$C$31+Projects!$D$31),Projects!$B$31*(Assumptions!$B$10+Assumptions!$B$11+Assumptions!$B$12)/Projects!$D$31*0.95,0)-IF(AND(Projects!$G$31="Yes",AJ$3=Projects!$C$31+Projects!$D$31-1),Projects!$B$31*(Assumptions!$B$10+Assumptions!$B$11+Assumptions!$B$12)*0.05,0)</f>
        <v/>
      </c>
      <c r="AK40" s="399">
        <f>IF(AND(Projects!$G$31="Yes",AK$3&gt;=Projects!$C$31,AK$3&lt;Projects!$C$31+Projects!$D$31),Projects!$B$31*INDEX(Curves!$B$4:$AR$4,1,AK$3-Projects!$C$31+1),0)-IF(AND(Projects!$G$31="Yes",AK$3&gt;=Projects!$C$31,AK$3&lt;Projects!$C$31+Projects!$D$31),Projects!$B$31*(Assumptions!$B$10+Assumptions!$B$11+Assumptions!$B$12)/Projects!$D$31*0.95,0)-IF(AND(Projects!$G$31="Yes",AK$3=Projects!$C$31+Projects!$D$31-1),Projects!$B$31*(Assumptions!$B$10+Assumptions!$B$11+Assumptions!$B$12)*0.05,0)</f>
        <v/>
      </c>
      <c r="AL40" s="399">
        <f>IF(AND(Projects!$G$31="Yes",AL$3&gt;=Projects!$C$31,AL$3&lt;Projects!$C$31+Projects!$D$31),Projects!$B$31*INDEX(Curves!$B$4:$AR$4,1,AL$3-Projects!$C$31+1),0)-IF(AND(Projects!$G$31="Yes",AL$3&gt;=Projects!$C$31,AL$3&lt;Projects!$C$31+Projects!$D$31),Projects!$B$31*(Assumptions!$B$10+Assumptions!$B$11+Assumptions!$B$12)/Projects!$D$31*0.95,0)-IF(AND(Projects!$G$31="Yes",AL$3=Projects!$C$31+Projects!$D$31-1),Projects!$B$31*(Assumptions!$B$10+Assumptions!$B$11+Assumptions!$B$12)*0.05,0)</f>
        <v/>
      </c>
      <c r="AM40" s="399">
        <f>IF(AND(Projects!$G$31="Yes",AM$3&gt;=Projects!$C$31,AM$3&lt;Projects!$C$31+Projects!$D$31),Projects!$B$31*INDEX(Curves!$B$4:$AR$4,1,AM$3-Projects!$C$31+1),0)-IF(AND(Projects!$G$31="Yes",AM$3&gt;=Projects!$C$31,AM$3&lt;Projects!$C$31+Projects!$D$31),Projects!$B$31*(Assumptions!$B$10+Assumptions!$B$11+Assumptions!$B$12)/Projects!$D$31*0.95,0)-IF(AND(Projects!$G$31="Yes",AM$3=Projects!$C$31+Projects!$D$31-1),Projects!$B$31*(Assumptions!$B$10+Assumptions!$B$11+Assumptions!$B$12)*0.05,0)</f>
        <v/>
      </c>
      <c r="AN40" s="399">
        <f>IF(AND(Projects!$G$31="Yes",AN$3&gt;=Projects!$C$31,AN$3&lt;Projects!$C$31+Projects!$D$31),Projects!$B$31*INDEX(Curves!$B$4:$AR$4,1,AN$3-Projects!$C$31+1),0)-IF(AND(Projects!$G$31="Yes",AN$3&gt;=Projects!$C$31,AN$3&lt;Projects!$C$31+Projects!$D$31),Projects!$B$31*(Assumptions!$B$10+Assumptions!$B$11+Assumptions!$B$12)/Projects!$D$31*0.95,0)-IF(AND(Projects!$G$31="Yes",AN$3=Projects!$C$31+Projects!$D$31-1),Projects!$B$31*(Assumptions!$B$10+Assumptions!$B$11+Assumptions!$B$12)*0.05,0)</f>
        <v/>
      </c>
      <c r="AO40" s="399">
        <f>IF(AND(Projects!$G$31="Yes",AO$3&gt;=Projects!$C$31,AO$3&lt;Projects!$C$31+Projects!$D$31),Projects!$B$31*INDEX(Curves!$B$4:$AR$4,1,AO$3-Projects!$C$31+1),0)-IF(AND(Projects!$G$31="Yes",AO$3&gt;=Projects!$C$31,AO$3&lt;Projects!$C$31+Projects!$D$31),Projects!$B$31*(Assumptions!$B$10+Assumptions!$B$11+Assumptions!$B$12)/Projects!$D$31*0.95,0)-IF(AND(Projects!$G$31="Yes",AO$3=Projects!$C$31+Projects!$D$31-1),Projects!$B$31*(Assumptions!$B$10+Assumptions!$B$11+Assumptions!$B$12)*0.05,0)</f>
        <v/>
      </c>
      <c r="AP40" s="399">
        <f>IF(AND(Projects!$G$31="Yes",AP$3&gt;=Projects!$C$31,AP$3&lt;Projects!$C$31+Projects!$D$31),Projects!$B$31*INDEX(Curves!$B$4:$AR$4,1,AP$3-Projects!$C$31+1),0)-IF(AND(Projects!$G$31="Yes",AP$3&gt;=Projects!$C$31,AP$3&lt;Projects!$C$31+Projects!$D$31),Projects!$B$31*(Assumptions!$B$10+Assumptions!$B$11+Assumptions!$B$12)/Projects!$D$31*0.95,0)-IF(AND(Projects!$G$31="Yes",AP$3=Projects!$C$31+Projects!$D$31-1),Projects!$B$31*(Assumptions!$B$10+Assumptions!$B$11+Assumptions!$B$12)*0.05,0)</f>
        <v/>
      </c>
      <c r="AQ40" s="399">
        <f>IF(AND(Projects!$G$31="Yes",AQ$3&gt;=Projects!$C$31,AQ$3&lt;Projects!$C$31+Projects!$D$31),Projects!$B$31*INDEX(Curves!$B$4:$AR$4,1,AQ$3-Projects!$C$31+1),0)-IF(AND(Projects!$G$31="Yes",AQ$3&gt;=Projects!$C$31,AQ$3&lt;Projects!$C$31+Projects!$D$31),Projects!$B$31*(Assumptions!$B$10+Assumptions!$B$11+Assumptions!$B$12)/Projects!$D$31*0.95,0)-IF(AND(Projects!$G$31="Yes",AQ$3=Projects!$C$31+Projects!$D$31-1),Projects!$B$31*(Assumptions!$B$10+Assumptions!$B$11+Assumptions!$B$12)*0.05,0)</f>
        <v/>
      </c>
      <c r="AR40" s="399">
        <f>IF(AND(Projects!$G$31="Yes",AR$3&gt;=Projects!$C$31,AR$3&lt;Projects!$C$31+Projects!$D$31),Projects!$B$31*INDEX(Curves!$B$4:$AR$4,1,AR$3-Projects!$C$31+1),0)-IF(AND(Projects!$G$31="Yes",AR$3&gt;=Projects!$C$31,AR$3&lt;Projects!$C$31+Projects!$D$31),Projects!$B$31*(Assumptions!$B$10+Assumptions!$B$11+Assumptions!$B$12)/Projects!$D$31*0.95,0)-IF(AND(Projects!$G$31="Yes",AR$3=Projects!$C$31+Projects!$D$31-1),Projects!$B$31*(Assumptions!$B$10+Assumptions!$B$11+Assumptions!$B$12)*0.05,0)</f>
        <v/>
      </c>
      <c r="AS40" s="399">
        <f>IF(AND(Projects!$G$31="Yes",AS$3&gt;=Projects!$C$31,AS$3&lt;Projects!$C$31+Projects!$D$31),Projects!$B$31*INDEX(Curves!$B$4:$AR$4,1,AS$3-Projects!$C$31+1),0)-IF(AND(Projects!$G$31="Yes",AS$3&gt;=Projects!$C$31,AS$3&lt;Projects!$C$31+Projects!$D$31),Projects!$B$31*(Assumptions!$B$10+Assumptions!$B$11+Assumptions!$B$12)/Projects!$D$31*0.95,0)-IF(AND(Projects!$G$31="Yes",AS$3=Projects!$C$31+Projects!$D$31-1),Projects!$B$31*(Assumptions!$B$10+Assumptions!$B$11+Assumptions!$B$12)*0.05,0)</f>
        <v/>
      </c>
      <c r="AT40" s="399">
        <f>IF(AND(Projects!$G$31="Yes",AT$3&gt;=Projects!$C$31,AT$3&lt;Projects!$C$31+Projects!$D$31),Projects!$B$31*INDEX(Curves!$B$4:$AR$4,1,AT$3-Projects!$C$31+1),0)-IF(AND(Projects!$G$31="Yes",AT$3&gt;=Projects!$C$31,AT$3&lt;Projects!$C$31+Projects!$D$31),Projects!$B$31*(Assumptions!$B$10+Assumptions!$B$11+Assumptions!$B$12)/Projects!$D$31*0.95,0)-IF(AND(Projects!$G$31="Yes",AT$3=Projects!$C$31+Projects!$D$31-1),Projects!$B$31*(Assumptions!$B$10+Assumptions!$B$11+Assumptions!$B$12)*0.05,0)</f>
        <v/>
      </c>
      <c r="AU40" s="399">
        <f>IF(AND(Projects!$G$31="Yes",AU$3&gt;=Projects!$C$31,AU$3&lt;Projects!$C$31+Projects!$D$31),Projects!$B$31*INDEX(Curves!$B$4:$AR$4,1,AU$3-Projects!$C$31+1),0)-IF(AND(Projects!$G$31="Yes",AU$3&gt;=Projects!$C$31,AU$3&lt;Projects!$C$31+Projects!$D$31),Projects!$B$31*(Assumptions!$B$10+Assumptions!$B$11+Assumptions!$B$12)/Projects!$D$31*0.95,0)-IF(AND(Projects!$G$31="Yes",AU$3=Projects!$C$31+Projects!$D$31-1),Projects!$B$31*(Assumptions!$B$10+Assumptions!$B$11+Assumptions!$B$12)*0.05,0)</f>
        <v/>
      </c>
      <c r="AV40" s="399">
        <f>IF(AND(Projects!$G$31="Yes",AV$3&gt;=Projects!$C$31,AV$3&lt;Projects!$C$31+Projects!$D$31),Projects!$B$31*INDEX(Curves!$B$4:$AR$4,1,AV$3-Projects!$C$31+1),0)-IF(AND(Projects!$G$31="Yes",AV$3&gt;=Projects!$C$31,AV$3&lt;Projects!$C$31+Projects!$D$31),Projects!$B$31*(Assumptions!$B$10+Assumptions!$B$11+Assumptions!$B$12)/Projects!$D$31*0.95,0)-IF(AND(Projects!$G$31="Yes",AV$3=Projects!$C$31+Projects!$D$31-1),Projects!$B$31*(Assumptions!$B$10+Assumptions!$B$11+Assumptions!$B$12)*0.05,0)</f>
        <v/>
      </c>
      <c r="AW40" s="399">
        <f>IF(AND(Projects!$G$31="Yes",AW$3&gt;=Projects!$C$31,AW$3&lt;Projects!$C$31+Projects!$D$31),Projects!$B$31*INDEX(Curves!$B$4:$AR$4,1,AW$3-Projects!$C$31+1),0)-IF(AND(Projects!$G$31="Yes",AW$3&gt;=Projects!$C$31,AW$3&lt;Projects!$C$31+Projects!$D$31),Projects!$B$31*(Assumptions!$B$10+Assumptions!$B$11+Assumptions!$B$12)/Projects!$D$31*0.95,0)-IF(AND(Projects!$G$31="Yes",AW$3=Projects!$C$31+Projects!$D$31-1),Projects!$B$31*(Assumptions!$B$10+Assumptions!$B$11+Assumptions!$B$12)*0.05,0)</f>
        <v/>
      </c>
      <c r="AX40" s="399">
        <f>IF(AND(Projects!$G$31="Yes",AX$3&gt;=Projects!$C$31,AX$3&lt;Projects!$C$31+Projects!$D$31),Projects!$B$31*INDEX(Curves!$B$4:$AR$4,1,AX$3-Projects!$C$31+1),0)-IF(AND(Projects!$G$31="Yes",AX$3&gt;=Projects!$C$31,AX$3&lt;Projects!$C$31+Projects!$D$31),Projects!$B$31*(Assumptions!$B$10+Assumptions!$B$11+Assumptions!$B$12)/Projects!$D$31*0.95,0)-IF(AND(Projects!$G$31="Yes",AX$3=Projects!$C$31+Projects!$D$31-1),Projects!$B$31*(Assumptions!$B$10+Assumptions!$B$11+Assumptions!$B$12)*0.05,0)</f>
        <v/>
      </c>
      <c r="AY40" s="399">
        <f>IF(AND(Projects!$G$31="Yes",AY$3&gt;=Projects!$C$31,AY$3&lt;Projects!$C$31+Projects!$D$31),Projects!$B$31*INDEX(Curves!$B$4:$AR$4,1,AY$3-Projects!$C$31+1),0)-IF(AND(Projects!$G$31="Yes",AY$3&gt;=Projects!$C$31,AY$3&lt;Projects!$C$31+Projects!$D$31),Projects!$B$31*(Assumptions!$B$10+Assumptions!$B$11+Assumptions!$B$12)/Projects!$D$31*0.95,0)-IF(AND(Projects!$G$31="Yes",AY$3=Projects!$C$31+Projects!$D$31-1),Projects!$B$31*(Assumptions!$B$10+Assumptions!$B$11+Assumptions!$B$12)*0.05,0)</f>
        <v/>
      </c>
      <c r="AZ40" s="399">
        <f>IF(AND(Projects!$G$31="Yes",AZ$3&gt;=Projects!$C$31,AZ$3&lt;Projects!$C$31+Projects!$D$31),Projects!$B$31*INDEX(Curves!$B$4:$AR$4,1,AZ$3-Projects!$C$31+1),0)-IF(AND(Projects!$G$31="Yes",AZ$3&gt;=Projects!$C$31,AZ$3&lt;Projects!$C$31+Projects!$D$31),Projects!$B$31*(Assumptions!$B$10+Assumptions!$B$11+Assumptions!$B$12)/Projects!$D$31*0.95,0)-IF(AND(Projects!$G$31="Yes",AZ$3=Projects!$C$31+Projects!$D$31-1),Projects!$B$31*(Assumptions!$B$10+Assumptions!$B$11+Assumptions!$B$12)*0.05,0)</f>
        <v/>
      </c>
      <c r="BA40" s="399">
        <f>IF(AND(Projects!$G$31="Yes",BA$3&gt;=Projects!$C$31,BA$3&lt;Projects!$C$31+Projects!$D$31),Projects!$B$31*INDEX(Curves!$B$4:$AR$4,1,BA$3-Projects!$C$31+1),0)-IF(AND(Projects!$G$31="Yes",BA$3&gt;=Projects!$C$31,BA$3&lt;Projects!$C$31+Projects!$D$31),Projects!$B$31*(Assumptions!$B$10+Assumptions!$B$11+Assumptions!$B$12)/Projects!$D$31*0.95,0)-IF(AND(Projects!$G$31="Yes",BA$3=Projects!$C$31+Projects!$D$31-1),Projects!$B$31*(Assumptions!$B$10+Assumptions!$B$11+Assumptions!$B$12)*0.05,0)</f>
        <v/>
      </c>
      <c r="BB40" s="399">
        <f>IF(AND(Projects!$G$31="Yes",BB$3&gt;=Projects!$C$31,BB$3&lt;Projects!$C$31+Projects!$D$31),Projects!$B$31*INDEX(Curves!$B$4:$AR$4,1,BB$3-Projects!$C$31+1),0)-IF(AND(Projects!$G$31="Yes",BB$3&gt;=Projects!$C$31,BB$3&lt;Projects!$C$31+Projects!$D$31),Projects!$B$31*(Assumptions!$B$10+Assumptions!$B$11+Assumptions!$B$12)/Projects!$D$31*0.95,0)-IF(AND(Projects!$G$31="Yes",BB$3=Projects!$C$31+Projects!$D$31-1),Projects!$B$31*(Assumptions!$B$10+Assumptions!$B$11+Assumptions!$B$12)*0.05,0)</f>
        <v/>
      </c>
      <c r="BC40" s="399">
        <f>IF(AND(Projects!$G$31="Yes",BC$3&gt;=Projects!$C$31,BC$3&lt;Projects!$C$31+Projects!$D$31),Projects!$B$31*INDEX(Curves!$B$4:$AR$4,1,BC$3-Projects!$C$31+1),0)-IF(AND(Projects!$G$31="Yes",BC$3&gt;=Projects!$C$31,BC$3&lt;Projects!$C$31+Projects!$D$31),Projects!$B$31*(Assumptions!$B$10+Assumptions!$B$11+Assumptions!$B$12)/Projects!$D$31*0.95,0)-IF(AND(Projects!$G$31="Yes",BC$3=Projects!$C$31+Projects!$D$31-1),Projects!$B$31*(Assumptions!$B$10+Assumptions!$B$11+Assumptions!$B$12)*0.05,0)</f>
        <v/>
      </c>
      <c r="BD40" s="399">
        <f>IF(AND(Projects!$G$31="Yes",BD$3&gt;=Projects!$C$31,BD$3&lt;Projects!$C$31+Projects!$D$31),Projects!$B$31*INDEX(Curves!$B$4:$AR$4,1,BD$3-Projects!$C$31+1),0)-IF(AND(Projects!$G$31="Yes",BD$3&gt;=Projects!$C$31,BD$3&lt;Projects!$C$31+Projects!$D$31),Projects!$B$31*(Assumptions!$B$10+Assumptions!$B$11+Assumptions!$B$12)/Projects!$D$31*0.95,0)-IF(AND(Projects!$G$31="Yes",BD$3=Projects!$C$31+Projects!$D$31-1),Projects!$B$31*(Assumptions!$B$10+Assumptions!$B$11+Assumptions!$B$12)*0.05,0)</f>
        <v/>
      </c>
      <c r="BE40" s="399">
        <f>IF(AND(Projects!$G$31="Yes",BE$3&gt;=Projects!$C$31,BE$3&lt;Projects!$C$31+Projects!$D$31),Projects!$B$31*INDEX(Curves!$B$4:$AR$4,1,BE$3-Projects!$C$31+1),0)-IF(AND(Projects!$G$31="Yes",BE$3&gt;=Projects!$C$31,BE$3&lt;Projects!$C$31+Projects!$D$31),Projects!$B$31*(Assumptions!$B$10+Assumptions!$B$11+Assumptions!$B$12)/Projects!$D$31*0.95,0)-IF(AND(Projects!$G$31="Yes",BE$3=Projects!$C$31+Projects!$D$31-1),Projects!$B$31*(Assumptions!$B$10+Assumptions!$B$11+Assumptions!$B$12)*0.05,0)</f>
        <v/>
      </c>
      <c r="BF40" s="399">
        <f>IF(AND(Projects!$G$31="Yes",BF$3&gt;=Projects!$C$31,BF$3&lt;Projects!$C$31+Projects!$D$31),Projects!$B$31*INDEX(Curves!$B$4:$AR$4,1,BF$3-Projects!$C$31+1),0)-IF(AND(Projects!$G$31="Yes",BF$3&gt;=Projects!$C$31,BF$3&lt;Projects!$C$31+Projects!$D$31),Projects!$B$31*(Assumptions!$B$10+Assumptions!$B$11+Assumptions!$B$12)/Projects!$D$31*0.95,0)-IF(AND(Projects!$G$31="Yes",BF$3=Projects!$C$31+Projects!$D$31-1),Projects!$B$31*(Assumptions!$B$10+Assumptions!$B$11+Assumptions!$B$12)*0.05,0)</f>
        <v/>
      </c>
      <c r="BG40" s="399">
        <f>IF(AND(Projects!$G$31="Yes",BG$3&gt;=Projects!$C$31,BG$3&lt;Projects!$C$31+Projects!$D$31),Projects!$B$31*INDEX(Curves!$B$4:$AR$4,1,BG$3-Projects!$C$31+1),0)-IF(AND(Projects!$G$31="Yes",BG$3&gt;=Projects!$C$31,BG$3&lt;Projects!$C$31+Projects!$D$31),Projects!$B$31*(Assumptions!$B$10+Assumptions!$B$11+Assumptions!$B$12)/Projects!$D$31*0.95,0)-IF(AND(Projects!$G$31="Yes",BG$3=Projects!$C$31+Projects!$D$31-1),Projects!$B$31*(Assumptions!$B$10+Assumptions!$B$11+Assumptions!$B$12)*0.05,0)</f>
        <v/>
      </c>
      <c r="BH40" s="399">
        <f>IF(AND(Projects!$G$31="Yes",BH$3&gt;=Projects!$C$31,BH$3&lt;Projects!$C$31+Projects!$D$31),Projects!$B$31*INDEX(Curves!$B$4:$AR$4,1,BH$3-Projects!$C$31+1),0)-IF(AND(Projects!$G$31="Yes",BH$3&gt;=Projects!$C$31,BH$3&lt;Projects!$C$31+Projects!$D$31),Projects!$B$31*(Assumptions!$B$10+Assumptions!$B$11+Assumptions!$B$12)/Projects!$D$31*0.95,0)-IF(AND(Projects!$G$31="Yes",BH$3=Projects!$C$31+Projects!$D$31-1),Projects!$B$31*(Assumptions!$B$10+Assumptions!$B$11+Assumptions!$B$12)*0.05,0)</f>
        <v/>
      </c>
      <c r="BI40" s="399">
        <f>IF(AND(Projects!$G$31="Yes",BI$3&gt;=Projects!$C$31,BI$3&lt;Projects!$C$31+Projects!$D$31),Projects!$B$31*INDEX(Curves!$B$4:$AR$4,1,BI$3-Projects!$C$31+1),0)-IF(AND(Projects!$G$31="Yes",BI$3&gt;=Projects!$C$31,BI$3&lt;Projects!$C$31+Projects!$D$31),Projects!$B$31*(Assumptions!$B$10+Assumptions!$B$11+Assumptions!$B$12)/Projects!$D$31*0.95,0)-IF(AND(Projects!$G$31="Yes",BI$3=Projects!$C$31+Projects!$D$31-1),Projects!$B$31*(Assumptions!$B$10+Assumptions!$B$11+Assumptions!$B$12)*0.05,0)</f>
        <v/>
      </c>
      <c r="BJ40" s="399">
        <f>IF(AND(Projects!$G$31="Yes",BJ$3&gt;=Projects!$C$31,BJ$3&lt;Projects!$C$31+Projects!$D$31),Projects!$B$31*INDEX(Curves!$B$4:$AR$4,1,BJ$3-Projects!$C$31+1),0)-IF(AND(Projects!$G$31="Yes",BJ$3&gt;=Projects!$C$31,BJ$3&lt;Projects!$C$31+Projects!$D$31),Projects!$B$31*(Assumptions!$B$10+Assumptions!$B$11+Assumptions!$B$12)/Projects!$D$31*0.95,0)-IF(AND(Projects!$G$31="Yes",BJ$3=Projects!$C$31+Projects!$D$31-1),Projects!$B$31*(Assumptions!$B$10+Assumptions!$B$11+Assumptions!$B$12)*0.05,0)</f>
        <v/>
      </c>
      <c r="BK40" s="399">
        <f>IF(AND(Projects!$G$31="Yes",BK$3&gt;=Projects!$C$31,BK$3&lt;Projects!$C$31+Projects!$D$31),Projects!$B$31*INDEX(Curves!$B$4:$AR$4,1,BK$3-Projects!$C$31+1),0)-IF(AND(Projects!$G$31="Yes",BK$3&gt;=Projects!$C$31,BK$3&lt;Projects!$C$31+Projects!$D$31),Projects!$B$31*(Assumptions!$B$10+Assumptions!$B$11+Assumptions!$B$12)/Projects!$D$31*0.95,0)-IF(AND(Projects!$G$31="Yes",BK$3=Projects!$C$31+Projects!$D$31-1),Projects!$B$31*(Assumptions!$B$10+Assumptions!$B$11+Assumptions!$B$12)*0.05,0)</f>
        <v/>
      </c>
      <c r="BL40" s="399">
        <f>IF(AND(Projects!$G$31="Yes",BL$3&gt;=Projects!$C$31,BL$3&lt;Projects!$C$31+Projects!$D$31),Projects!$B$31*INDEX(Curves!$B$4:$AR$4,1,BL$3-Projects!$C$31+1),0)-IF(AND(Projects!$G$31="Yes",BL$3&gt;=Projects!$C$31,BL$3&lt;Projects!$C$31+Projects!$D$31),Projects!$B$31*(Assumptions!$B$10+Assumptions!$B$11+Assumptions!$B$12)/Projects!$D$31*0.95,0)-IF(AND(Projects!$G$31="Yes",BL$3=Projects!$C$31+Projects!$D$31-1),Projects!$B$31*(Assumptions!$B$10+Assumptions!$B$11+Assumptions!$B$12)*0.05,0)</f>
        <v/>
      </c>
      <c r="BM40" s="399">
        <f>IF(AND(Projects!$G$31="Yes",BM$3&gt;=Projects!$C$31,BM$3&lt;Projects!$C$31+Projects!$D$31),Projects!$B$31*INDEX(Curves!$B$4:$AR$4,1,BM$3-Projects!$C$31+1),0)-IF(AND(Projects!$G$31="Yes",BM$3&gt;=Projects!$C$31,BM$3&lt;Projects!$C$31+Projects!$D$31),Projects!$B$31*(Assumptions!$B$10+Assumptions!$B$11+Assumptions!$B$12)/Projects!$D$31*0.95,0)-IF(AND(Projects!$G$31="Yes",BM$3=Projects!$C$31+Projects!$D$31-1),Projects!$B$31*(Assumptions!$B$10+Assumptions!$B$11+Assumptions!$B$12)*0.05,0)</f>
        <v/>
      </c>
      <c r="BN40" s="399">
        <f>IF(AND(Projects!$G$31="Yes",BN$3&gt;=Projects!$C$31,BN$3&lt;Projects!$C$31+Projects!$D$31),Projects!$B$31*INDEX(Curves!$B$4:$AR$4,1,BN$3-Projects!$C$31+1),0)-IF(AND(Projects!$G$31="Yes",BN$3&gt;=Projects!$C$31,BN$3&lt;Projects!$C$31+Projects!$D$31),Projects!$B$31*(Assumptions!$B$10+Assumptions!$B$11+Assumptions!$B$12)/Projects!$D$31*0.95,0)-IF(AND(Projects!$G$31="Yes",BN$3=Projects!$C$31+Projects!$D$31-1),Projects!$B$31*(Assumptions!$B$10+Assumptions!$B$11+Assumptions!$B$12)*0.05,0)</f>
        <v/>
      </c>
      <c r="BO40" s="399">
        <f>IF(AND(Projects!$G$31="Yes",BO$3&gt;=Projects!$C$31,BO$3&lt;Projects!$C$31+Projects!$D$31),Projects!$B$31*INDEX(Curves!$B$4:$AR$4,1,BO$3-Projects!$C$31+1),0)-IF(AND(Projects!$G$31="Yes",BO$3&gt;=Projects!$C$31,BO$3&lt;Projects!$C$31+Projects!$D$31),Projects!$B$31*(Assumptions!$B$10+Assumptions!$B$11+Assumptions!$B$12)/Projects!$D$31*0.95,0)-IF(AND(Projects!$G$31="Yes",BO$3=Projects!$C$31+Projects!$D$31-1),Projects!$B$31*(Assumptions!$B$10+Assumptions!$B$11+Assumptions!$B$12)*0.05,0)</f>
        <v/>
      </c>
      <c r="BP40" s="399">
        <f>IF(AND(Projects!$G$31="Yes",BP$3&gt;=Projects!$C$31,BP$3&lt;Projects!$C$31+Projects!$D$31),Projects!$B$31*INDEX(Curves!$B$4:$AR$4,1,BP$3-Projects!$C$31+1),0)-IF(AND(Projects!$G$31="Yes",BP$3&gt;=Projects!$C$31,BP$3&lt;Projects!$C$31+Projects!$D$31),Projects!$B$31*(Assumptions!$B$10+Assumptions!$B$11+Assumptions!$B$12)/Projects!$D$31*0.95,0)-IF(AND(Projects!$G$31="Yes",BP$3=Projects!$C$31+Projects!$D$31-1),Projects!$B$31*(Assumptions!$B$10+Assumptions!$B$11+Assumptions!$B$12)*0.05,0)</f>
        <v/>
      </c>
      <c r="BQ40" s="399">
        <f>IF(AND(Projects!$G$31="Yes",BQ$3&gt;=Projects!$C$31,BQ$3&lt;Projects!$C$31+Projects!$D$31),Projects!$B$31*INDEX(Curves!$B$4:$AR$4,1,BQ$3-Projects!$C$31+1),0)-IF(AND(Projects!$G$31="Yes",BQ$3&gt;=Projects!$C$31,BQ$3&lt;Projects!$C$31+Projects!$D$31),Projects!$B$31*(Assumptions!$B$10+Assumptions!$B$11+Assumptions!$B$12)/Projects!$D$31*0.95,0)-IF(AND(Projects!$G$31="Yes",BQ$3=Projects!$C$31+Projects!$D$31-1),Projects!$B$31*(Assumptions!$B$10+Assumptions!$B$11+Assumptions!$B$12)*0.05,0)</f>
        <v/>
      </c>
      <c r="BR40" s="399">
        <f>IF(AND(Projects!$G$31="Yes",BR$3&gt;=Projects!$C$31,BR$3&lt;Projects!$C$31+Projects!$D$31),Projects!$B$31*INDEX(Curves!$B$4:$AR$4,1,BR$3-Projects!$C$31+1),0)-IF(AND(Projects!$G$31="Yes",BR$3&gt;=Projects!$C$31,BR$3&lt;Projects!$C$31+Projects!$D$31),Projects!$B$31*(Assumptions!$B$10+Assumptions!$B$11+Assumptions!$B$12)/Projects!$D$31*0.95,0)-IF(AND(Projects!$G$31="Yes",BR$3=Projects!$C$31+Projects!$D$31-1),Projects!$B$31*(Assumptions!$B$10+Assumptions!$B$11+Assumptions!$B$12)*0.05,0)</f>
        <v/>
      </c>
      <c r="BS40" s="399">
        <f>IF(AND(Projects!$G$31="Yes",BS$3&gt;=Projects!$C$31,BS$3&lt;Projects!$C$31+Projects!$D$31),Projects!$B$31*INDEX(Curves!$B$4:$AR$4,1,BS$3-Projects!$C$31+1),0)-IF(AND(Projects!$G$31="Yes",BS$3&gt;=Projects!$C$31,BS$3&lt;Projects!$C$31+Projects!$D$31),Projects!$B$31*(Assumptions!$B$10+Assumptions!$B$11+Assumptions!$B$12)/Projects!$D$31*0.95,0)-IF(AND(Projects!$G$31="Yes",BS$3=Projects!$C$31+Projects!$D$31-1),Projects!$B$31*(Assumptions!$B$10+Assumptions!$B$11+Assumptions!$B$12)*0.05,0)</f>
        <v/>
      </c>
      <c r="BT40" s="399">
        <f>IF(AND(Projects!$G$31="Yes",BT$3&gt;=Projects!$C$31,BT$3&lt;Projects!$C$31+Projects!$D$31),Projects!$B$31*INDEX(Curves!$B$4:$AR$4,1,BT$3-Projects!$C$31+1),0)-IF(AND(Projects!$G$31="Yes",BT$3&gt;=Projects!$C$31,BT$3&lt;Projects!$C$31+Projects!$D$31),Projects!$B$31*(Assumptions!$B$10+Assumptions!$B$11+Assumptions!$B$12)/Projects!$D$31*0.95,0)-IF(AND(Projects!$G$31="Yes",BT$3=Projects!$C$31+Projects!$D$31-1),Projects!$B$31*(Assumptions!$B$10+Assumptions!$B$11+Assumptions!$B$12)*0.05,0)</f>
        <v/>
      </c>
      <c r="BU40" s="399">
        <f>IF(AND(Projects!$G$31="Yes",BU$3&gt;=Projects!$C$31,BU$3&lt;Projects!$C$31+Projects!$D$31),Projects!$B$31*INDEX(Curves!$B$4:$AR$4,1,BU$3-Projects!$C$31+1),0)-IF(AND(Projects!$G$31="Yes",BU$3&gt;=Projects!$C$31,BU$3&lt;Projects!$C$31+Projects!$D$31),Projects!$B$31*(Assumptions!$B$10+Assumptions!$B$11+Assumptions!$B$12)/Projects!$D$31*0.95,0)-IF(AND(Projects!$G$31="Yes",BU$3=Projects!$C$31+Projects!$D$31-1),Projects!$B$31*(Assumptions!$B$10+Assumptions!$B$11+Assumptions!$B$12)*0.05,0)</f>
        <v/>
      </c>
      <c r="BV40" s="399">
        <f>IF(AND(Projects!$G$31="Yes",BV$3&gt;=Projects!$C$31,BV$3&lt;Projects!$C$31+Projects!$D$31),Projects!$B$31*INDEX(Curves!$B$4:$AR$4,1,BV$3-Projects!$C$31+1),0)-IF(AND(Projects!$G$31="Yes",BV$3&gt;=Projects!$C$31,BV$3&lt;Projects!$C$31+Projects!$D$31),Projects!$B$31*(Assumptions!$B$10+Assumptions!$B$11+Assumptions!$B$12)/Projects!$D$31*0.95,0)-IF(AND(Projects!$G$31="Yes",BV$3=Projects!$C$31+Projects!$D$31-1),Projects!$B$31*(Assumptions!$B$10+Assumptions!$B$11+Assumptions!$B$12)*0.05,0)</f>
        <v/>
      </c>
      <c r="BW40" s="399">
        <f>IF(AND(Projects!$G$31="Yes",BW$3&gt;=Projects!$C$31,BW$3&lt;Projects!$C$31+Projects!$D$31),Projects!$B$31*INDEX(Curves!$B$4:$AR$4,1,BW$3-Projects!$C$31+1),0)-IF(AND(Projects!$G$31="Yes",BW$3&gt;=Projects!$C$31,BW$3&lt;Projects!$C$31+Projects!$D$31),Projects!$B$31*(Assumptions!$B$10+Assumptions!$B$11+Assumptions!$B$12)/Projects!$D$31*0.95,0)-IF(AND(Projects!$G$31="Yes",BW$3=Projects!$C$31+Projects!$D$31-1),Projects!$B$31*(Assumptions!$B$10+Assumptions!$B$11+Assumptions!$B$12)*0.05,0)</f>
        <v/>
      </c>
      <c r="BX40" s="399">
        <f>IF(AND(Projects!$G$31="Yes",BX$3&gt;=Projects!$C$31,BX$3&lt;Projects!$C$31+Projects!$D$31),Projects!$B$31*INDEX(Curves!$B$4:$AR$4,1,BX$3-Projects!$C$31+1),0)-IF(AND(Projects!$G$31="Yes",BX$3&gt;=Projects!$C$31,BX$3&lt;Projects!$C$31+Projects!$D$31),Projects!$B$31*(Assumptions!$B$10+Assumptions!$B$11+Assumptions!$B$12)/Projects!$D$31*0.95,0)-IF(AND(Projects!$G$31="Yes",BX$3=Projects!$C$31+Projects!$D$31-1),Projects!$B$31*(Assumptions!$B$10+Assumptions!$B$11+Assumptions!$B$12)*0.05,0)</f>
        <v/>
      </c>
      <c r="BY40" s="399">
        <f>IF(AND(Projects!$G$31="Yes",BY$3&gt;=Projects!$C$31,BY$3&lt;Projects!$C$31+Projects!$D$31),Projects!$B$31*INDEX(Curves!$B$4:$AR$4,1,BY$3-Projects!$C$31+1),0)-IF(AND(Projects!$G$31="Yes",BY$3&gt;=Projects!$C$31,BY$3&lt;Projects!$C$31+Projects!$D$31),Projects!$B$31*(Assumptions!$B$10+Assumptions!$B$11+Assumptions!$B$12)/Projects!$D$31*0.95,0)-IF(AND(Projects!$G$31="Yes",BY$3=Projects!$C$31+Projects!$D$31-1),Projects!$B$31*(Assumptions!$B$10+Assumptions!$B$11+Assumptions!$B$12)*0.05,0)</f>
        <v/>
      </c>
      <c r="BZ40" s="399">
        <f>IF(AND(Projects!$G$31="Yes",BZ$3&gt;=Projects!$C$31,BZ$3&lt;Projects!$C$31+Projects!$D$31),Projects!$B$31*INDEX(Curves!$B$4:$AR$4,1,BZ$3-Projects!$C$31+1),0)-IF(AND(Projects!$G$31="Yes",BZ$3&gt;=Projects!$C$31,BZ$3&lt;Projects!$C$31+Projects!$D$31),Projects!$B$31*(Assumptions!$B$10+Assumptions!$B$11+Assumptions!$B$12)/Projects!$D$31*0.95,0)-IF(AND(Projects!$G$31="Yes",BZ$3=Projects!$C$31+Projects!$D$31-1),Projects!$B$31*(Assumptions!$B$10+Assumptions!$B$11+Assumptions!$B$12)*0.05,0)</f>
        <v/>
      </c>
      <c r="CA40" s="399">
        <f>IF(AND(Projects!$G$31="Yes",CA$3&gt;=Projects!$C$31,CA$3&lt;Projects!$C$31+Projects!$D$31),Projects!$B$31*INDEX(Curves!$B$4:$AR$4,1,CA$3-Projects!$C$31+1),0)-IF(AND(Projects!$G$31="Yes",CA$3&gt;=Projects!$C$31,CA$3&lt;Projects!$C$31+Projects!$D$31),Projects!$B$31*(Assumptions!$B$10+Assumptions!$B$11+Assumptions!$B$12)/Projects!$D$31*0.95,0)-IF(AND(Projects!$G$31="Yes",CA$3=Projects!$C$31+Projects!$D$31-1),Projects!$B$31*(Assumptions!$B$10+Assumptions!$B$11+Assumptions!$B$12)*0.05,0)</f>
        <v/>
      </c>
      <c r="CB40" s="399">
        <f>IF(AND(Projects!$G$31="Yes",CB$3&gt;=Projects!$C$31,CB$3&lt;Projects!$C$31+Projects!$D$31),Projects!$B$31*INDEX(Curves!$B$4:$AR$4,1,CB$3-Projects!$C$31+1),0)-IF(AND(Projects!$G$31="Yes",CB$3&gt;=Projects!$C$31,CB$3&lt;Projects!$C$31+Projects!$D$31),Projects!$B$31*(Assumptions!$B$10+Assumptions!$B$11+Assumptions!$B$12)/Projects!$D$31*0.95,0)-IF(AND(Projects!$G$31="Yes",CB$3=Projects!$C$31+Projects!$D$31-1),Projects!$B$31*(Assumptions!$B$10+Assumptions!$B$11+Assumptions!$B$12)*0.05,0)</f>
        <v/>
      </c>
      <c r="CC40" s="399">
        <f>IF(AND(Projects!$G$31="Yes",CC$3&gt;=Projects!$C$31,CC$3&lt;Projects!$C$31+Projects!$D$31),Projects!$B$31*INDEX(Curves!$B$4:$AR$4,1,CC$3-Projects!$C$31+1),0)-IF(AND(Projects!$G$31="Yes",CC$3&gt;=Projects!$C$31,CC$3&lt;Projects!$C$31+Projects!$D$31),Projects!$B$31*(Assumptions!$B$10+Assumptions!$B$11+Assumptions!$B$12)/Projects!$D$31*0.95,0)-IF(AND(Projects!$G$31="Yes",CC$3=Projects!$C$31+Projects!$D$31-1),Projects!$B$31*(Assumptions!$B$10+Assumptions!$B$11+Assumptions!$B$12)*0.05,0)</f>
        <v/>
      </c>
      <c r="CD40" s="399">
        <f>IF(AND(Projects!$G$31="Yes",CD$3&gt;=Projects!$C$31,CD$3&lt;Projects!$C$31+Projects!$D$31),Projects!$B$31*INDEX(Curves!$B$4:$AR$4,1,CD$3-Projects!$C$31+1),0)-IF(AND(Projects!$G$31="Yes",CD$3&gt;=Projects!$C$31,CD$3&lt;Projects!$C$31+Projects!$D$31),Projects!$B$31*(Assumptions!$B$10+Assumptions!$B$11+Assumptions!$B$12)/Projects!$D$31*0.95,0)-IF(AND(Projects!$G$31="Yes",CD$3=Projects!$C$31+Projects!$D$31-1),Projects!$B$31*(Assumptions!$B$10+Assumptions!$B$11+Assumptions!$B$12)*0.05,0)</f>
        <v/>
      </c>
      <c r="CE40" s="399">
        <f>IF(AND(Projects!$G$31="Yes",CE$3&gt;=Projects!$C$31,CE$3&lt;Projects!$C$31+Projects!$D$31),Projects!$B$31*INDEX(Curves!$B$4:$AR$4,1,CE$3-Projects!$C$31+1),0)-IF(AND(Projects!$G$31="Yes",CE$3&gt;=Projects!$C$31,CE$3&lt;Projects!$C$31+Projects!$D$31),Projects!$B$31*(Assumptions!$B$10+Assumptions!$B$11+Assumptions!$B$12)/Projects!$D$31*0.95,0)-IF(AND(Projects!$G$31="Yes",CE$3=Projects!$C$31+Projects!$D$31-1),Projects!$B$31*(Assumptions!$B$10+Assumptions!$B$11+Assumptions!$B$12)*0.05,0)</f>
        <v/>
      </c>
      <c r="CF40" s="399">
        <f>IF(AND(Projects!$G$31="Yes",CF$3&gt;=Projects!$C$31,CF$3&lt;Projects!$C$31+Projects!$D$31),Projects!$B$31*INDEX(Curves!$B$4:$AR$4,1,CF$3-Projects!$C$31+1),0)-IF(AND(Projects!$G$31="Yes",CF$3&gt;=Projects!$C$31,CF$3&lt;Projects!$C$31+Projects!$D$31),Projects!$B$31*(Assumptions!$B$10+Assumptions!$B$11+Assumptions!$B$12)/Projects!$D$31*0.95,0)-IF(AND(Projects!$G$31="Yes",CF$3=Projects!$C$31+Projects!$D$31-1),Projects!$B$31*(Assumptions!$B$10+Assumptions!$B$11+Assumptions!$B$12)*0.05,0)</f>
        <v/>
      </c>
      <c r="CG40" s="399">
        <f>IF(AND(Projects!$G$31="Yes",CG$3&gt;=Projects!$C$31,CG$3&lt;Projects!$C$31+Projects!$D$31),Projects!$B$31*INDEX(Curves!$B$4:$AR$4,1,CG$3-Projects!$C$31+1),0)-IF(AND(Projects!$G$31="Yes",CG$3&gt;=Projects!$C$31,CG$3&lt;Projects!$C$31+Projects!$D$31),Projects!$B$31*(Assumptions!$B$10+Assumptions!$B$11+Assumptions!$B$12)/Projects!$D$31*0.95,0)-IF(AND(Projects!$G$31="Yes",CG$3=Projects!$C$31+Projects!$D$31-1),Projects!$B$31*(Assumptions!$B$10+Assumptions!$B$11+Assumptions!$B$12)*0.05,0)</f>
        <v/>
      </c>
      <c r="CH40" s="399">
        <f>IF(AND(Projects!$G$31="Yes",CH$3&gt;=Projects!$C$31,CH$3&lt;Projects!$C$31+Projects!$D$31),Projects!$B$31*INDEX(Curves!$B$4:$AR$4,1,CH$3-Projects!$C$31+1),0)-IF(AND(Projects!$G$31="Yes",CH$3&gt;=Projects!$C$31,CH$3&lt;Projects!$C$31+Projects!$D$31),Projects!$B$31*(Assumptions!$B$10+Assumptions!$B$11+Assumptions!$B$12)/Projects!$D$31*0.95,0)-IF(AND(Projects!$G$31="Yes",CH$3=Projects!$C$31+Projects!$D$31-1),Projects!$B$31*(Assumptions!$B$10+Assumptions!$B$11+Assumptions!$B$12)*0.05,0)</f>
        <v/>
      </c>
      <c r="CI40" s="399">
        <f>IF(AND(Projects!$G$31="Yes",CI$3&gt;=Projects!$C$31,CI$3&lt;Projects!$C$31+Projects!$D$31),Projects!$B$31*INDEX(Curves!$B$4:$AR$4,1,CI$3-Projects!$C$31+1),0)-IF(AND(Projects!$G$31="Yes",CI$3&gt;=Projects!$C$31,CI$3&lt;Projects!$C$31+Projects!$D$31),Projects!$B$31*(Assumptions!$B$10+Assumptions!$B$11+Assumptions!$B$12)/Projects!$D$31*0.95,0)-IF(AND(Projects!$G$31="Yes",CI$3=Projects!$C$31+Projects!$D$31-1),Projects!$B$31*(Assumptions!$B$10+Assumptions!$B$11+Assumptions!$B$12)*0.05,0)</f>
        <v/>
      </c>
      <c r="CJ40" s="399">
        <f>IF(AND(Projects!$G$31="Yes",CJ$3&gt;=Projects!$C$31,CJ$3&lt;Projects!$C$31+Projects!$D$31),Projects!$B$31*INDEX(Curves!$B$4:$AR$4,1,CJ$3-Projects!$C$31+1),0)-IF(AND(Projects!$G$31="Yes",CJ$3&gt;=Projects!$C$31,CJ$3&lt;Projects!$C$31+Projects!$D$31),Projects!$B$31*(Assumptions!$B$10+Assumptions!$B$11+Assumptions!$B$12)/Projects!$D$31*0.95,0)-IF(AND(Projects!$G$31="Yes",CJ$3=Projects!$C$31+Projects!$D$31-1),Projects!$B$31*(Assumptions!$B$10+Assumptions!$B$11+Assumptions!$B$12)*0.05,0)</f>
        <v/>
      </c>
      <c r="CK40" s="399">
        <f>IF(AND(Projects!$G$31="Yes",CK$3&gt;=Projects!$C$31,CK$3&lt;Projects!$C$31+Projects!$D$31),Projects!$B$31*INDEX(Curves!$B$4:$AR$4,1,CK$3-Projects!$C$31+1),0)-IF(AND(Projects!$G$31="Yes",CK$3&gt;=Projects!$C$31,CK$3&lt;Projects!$C$31+Projects!$D$31),Projects!$B$31*(Assumptions!$B$10+Assumptions!$B$11+Assumptions!$B$12)/Projects!$D$31*0.95,0)-IF(AND(Projects!$G$31="Yes",CK$3=Projects!$C$31+Projects!$D$31-1),Projects!$B$31*(Assumptions!$B$10+Assumptions!$B$11+Assumptions!$B$12)*0.05,0)</f>
        <v/>
      </c>
      <c r="CL40" s="399">
        <f>IF(AND(Projects!$G$31="Yes",CL$3&gt;=Projects!$C$31,CL$3&lt;Projects!$C$31+Projects!$D$31),Projects!$B$31*INDEX(Curves!$B$4:$AR$4,1,CL$3-Projects!$C$31+1),0)-IF(AND(Projects!$G$31="Yes",CL$3&gt;=Projects!$C$31,CL$3&lt;Projects!$C$31+Projects!$D$31),Projects!$B$31*(Assumptions!$B$10+Assumptions!$B$11+Assumptions!$B$12)/Projects!$D$31*0.95,0)-IF(AND(Projects!$G$31="Yes",CL$3=Projects!$C$31+Projects!$D$31-1),Projects!$B$31*(Assumptions!$B$10+Assumptions!$B$11+Assumptions!$B$12)*0.05,0)</f>
        <v/>
      </c>
      <c r="CM40" s="399">
        <f>IF(AND(Projects!$G$31="Yes",CM$3&gt;=Projects!$C$31,CM$3&lt;Projects!$C$31+Projects!$D$31),Projects!$B$31*INDEX(Curves!$B$4:$AR$4,1,CM$3-Projects!$C$31+1),0)-IF(AND(Projects!$G$31="Yes",CM$3&gt;=Projects!$C$31,CM$3&lt;Projects!$C$31+Projects!$D$31),Projects!$B$31*(Assumptions!$B$10+Assumptions!$B$11+Assumptions!$B$12)/Projects!$D$31*0.95,0)-IF(AND(Projects!$G$31="Yes",CM$3=Projects!$C$31+Projects!$D$31-1),Projects!$B$31*(Assumptions!$B$10+Assumptions!$B$11+Assumptions!$B$12)*0.05,0)</f>
        <v/>
      </c>
      <c r="CN40" s="399">
        <f>IF(AND(Projects!$G$31="Yes",CN$3&gt;=Projects!$C$31,CN$3&lt;Projects!$C$31+Projects!$D$31),Projects!$B$31*INDEX(Curves!$B$4:$AR$4,1,CN$3-Projects!$C$31+1),0)-IF(AND(Projects!$G$31="Yes",CN$3&gt;=Projects!$C$31,CN$3&lt;Projects!$C$31+Projects!$D$31),Projects!$B$31*(Assumptions!$B$10+Assumptions!$B$11+Assumptions!$B$12)/Projects!$D$31*0.95,0)-IF(AND(Projects!$G$31="Yes",CN$3=Projects!$C$31+Projects!$D$31-1),Projects!$B$31*(Assumptions!$B$10+Assumptions!$B$11+Assumptions!$B$12)*0.05,0)</f>
        <v/>
      </c>
      <c r="CO40" s="399">
        <f>IF(AND(Projects!$G$31="Yes",CO$3&gt;=Projects!$C$31,CO$3&lt;Projects!$C$31+Projects!$D$31),Projects!$B$31*INDEX(Curves!$B$4:$AR$4,1,CO$3-Projects!$C$31+1),0)-IF(AND(Projects!$G$31="Yes",CO$3&gt;=Projects!$C$31,CO$3&lt;Projects!$C$31+Projects!$D$31),Projects!$B$31*(Assumptions!$B$10+Assumptions!$B$11+Assumptions!$B$12)/Projects!$D$31*0.95,0)-IF(AND(Projects!$G$31="Yes",CO$3=Projects!$C$31+Projects!$D$31-1),Projects!$B$31*(Assumptions!$B$10+Assumptions!$B$11+Assumptions!$B$12)*0.05,0)</f>
        <v/>
      </c>
      <c r="CP40" s="399">
        <f>IF(AND(Projects!$G$31="Yes",CP$3&gt;=Projects!$C$31,CP$3&lt;Projects!$C$31+Projects!$D$31),Projects!$B$31*INDEX(Curves!$B$4:$AR$4,1,CP$3-Projects!$C$31+1),0)-IF(AND(Projects!$G$31="Yes",CP$3&gt;=Projects!$C$31,CP$3&lt;Projects!$C$31+Projects!$D$31),Projects!$B$31*(Assumptions!$B$10+Assumptions!$B$11+Assumptions!$B$12)/Projects!$D$31*0.95,0)-IF(AND(Projects!$G$31="Yes",CP$3=Projects!$C$31+Projects!$D$31-1),Projects!$B$31*(Assumptions!$B$10+Assumptions!$B$11+Assumptions!$B$12)*0.05,0)</f>
        <v/>
      </c>
      <c r="CQ40" s="399">
        <f>IF(AND(Projects!$G$31="Yes",CQ$3&gt;=Projects!$C$31,CQ$3&lt;Projects!$C$31+Projects!$D$31),Projects!$B$31*INDEX(Curves!$B$4:$AR$4,1,CQ$3-Projects!$C$31+1),0)-IF(AND(Projects!$G$31="Yes",CQ$3&gt;=Projects!$C$31,CQ$3&lt;Projects!$C$31+Projects!$D$31),Projects!$B$31*(Assumptions!$B$10+Assumptions!$B$11+Assumptions!$B$12)/Projects!$D$31*0.95,0)-IF(AND(Projects!$G$31="Yes",CQ$3=Projects!$C$31+Projects!$D$31-1),Projects!$B$31*(Assumptions!$B$10+Assumptions!$B$11+Assumptions!$B$12)*0.05,0)</f>
        <v/>
      </c>
      <c r="CR40" s="399">
        <f>IF(AND(Projects!$G$31="Yes",CR$3&gt;=Projects!$C$31,CR$3&lt;Projects!$C$31+Projects!$D$31),Projects!$B$31*INDEX(Curves!$B$4:$AR$4,1,CR$3-Projects!$C$31+1),0)-IF(AND(Projects!$G$31="Yes",CR$3&gt;=Projects!$C$31,CR$3&lt;Projects!$C$31+Projects!$D$31),Projects!$B$31*(Assumptions!$B$10+Assumptions!$B$11+Assumptions!$B$12)/Projects!$D$31*0.95,0)-IF(AND(Projects!$G$31="Yes",CR$3=Projects!$C$31+Projects!$D$31-1),Projects!$B$31*(Assumptions!$B$10+Assumptions!$B$11+Assumptions!$B$12)*0.05,0)</f>
        <v/>
      </c>
      <c r="CS40" s="399">
        <f>IF(AND(Projects!$G$31="Yes",CS$3&gt;=Projects!$C$31,CS$3&lt;Projects!$C$31+Projects!$D$31),Projects!$B$31*INDEX(Curves!$B$4:$AR$4,1,CS$3-Projects!$C$31+1),0)-IF(AND(Projects!$G$31="Yes",CS$3&gt;=Projects!$C$31,CS$3&lt;Projects!$C$31+Projects!$D$31),Projects!$B$31*(Assumptions!$B$10+Assumptions!$B$11+Assumptions!$B$12)/Projects!$D$31*0.95,0)-IF(AND(Projects!$G$31="Yes",CS$3=Projects!$C$31+Projects!$D$31-1),Projects!$B$31*(Assumptions!$B$10+Assumptions!$B$11+Assumptions!$B$12)*0.05,0)</f>
        <v/>
      </c>
      <c r="CT40" s="399">
        <f>IF(AND(Projects!$G$31="Yes",CT$3&gt;=Projects!$C$31,CT$3&lt;Projects!$C$31+Projects!$D$31),Projects!$B$31*INDEX(Curves!$B$4:$AR$4,1,CT$3-Projects!$C$31+1),0)-IF(AND(Projects!$G$31="Yes",CT$3&gt;=Projects!$C$31,CT$3&lt;Projects!$C$31+Projects!$D$31),Projects!$B$31*(Assumptions!$B$10+Assumptions!$B$11+Assumptions!$B$12)/Projects!$D$31*0.95,0)-IF(AND(Projects!$G$31="Yes",CT$3=Projects!$C$31+Projects!$D$31-1),Projects!$B$31*(Assumptions!$B$10+Assumptions!$B$11+Assumptions!$B$12)*0.05,0)</f>
        <v/>
      </c>
      <c r="CU40" s="399">
        <f>IF(AND(Projects!$G$31="Yes",CU$3&gt;=Projects!$C$31,CU$3&lt;Projects!$C$31+Projects!$D$31),Projects!$B$31*INDEX(Curves!$B$4:$AR$4,1,CU$3-Projects!$C$31+1),0)-IF(AND(Projects!$G$31="Yes",CU$3&gt;=Projects!$C$31,CU$3&lt;Projects!$C$31+Projects!$D$31),Projects!$B$31*(Assumptions!$B$10+Assumptions!$B$11+Assumptions!$B$12)/Projects!$D$31*0.95,0)-IF(AND(Projects!$G$31="Yes",CU$3=Projects!$C$31+Projects!$D$31-1),Projects!$B$31*(Assumptions!$B$10+Assumptions!$B$11+Assumptions!$B$12)*0.05,0)</f>
        <v/>
      </c>
      <c r="CV40" s="399">
        <f>IF(AND(Projects!$G$31="Yes",CV$3&gt;=Projects!$C$31,CV$3&lt;Projects!$C$31+Projects!$D$31),Projects!$B$31*INDEX(Curves!$B$4:$AR$4,1,CV$3-Projects!$C$31+1),0)-IF(AND(Projects!$G$31="Yes",CV$3&gt;=Projects!$C$31,CV$3&lt;Projects!$C$31+Projects!$D$31),Projects!$B$31*(Assumptions!$B$10+Assumptions!$B$11+Assumptions!$B$12)/Projects!$D$31*0.95,0)-IF(AND(Projects!$G$31="Yes",CV$3=Projects!$C$31+Projects!$D$31-1),Projects!$B$31*(Assumptions!$B$10+Assumptions!$B$11+Assumptions!$B$12)*0.05,0)</f>
        <v/>
      </c>
      <c r="CW40" s="399">
        <f>IF(AND(Projects!$G$31="Yes",CW$3&gt;=Projects!$C$31,CW$3&lt;Projects!$C$31+Projects!$D$31),Projects!$B$31*INDEX(Curves!$B$4:$AR$4,1,CW$3-Projects!$C$31+1),0)-IF(AND(Projects!$G$31="Yes",CW$3&gt;=Projects!$C$31,CW$3&lt;Projects!$C$31+Projects!$D$31),Projects!$B$31*(Assumptions!$B$10+Assumptions!$B$11+Assumptions!$B$12)/Projects!$D$31*0.95,0)-IF(AND(Projects!$G$31="Yes",CW$3=Projects!$C$31+Projects!$D$31-1),Projects!$B$31*(Assumptions!$B$10+Assumptions!$B$11+Assumptions!$B$12)*0.05,0)</f>
        <v/>
      </c>
      <c r="CX40" s="399">
        <f>IF(AND(Projects!$G$31="Yes",CX$3&gt;=Projects!$C$31,CX$3&lt;Projects!$C$31+Projects!$D$31),Projects!$B$31*INDEX(Curves!$B$4:$AR$4,1,CX$3-Projects!$C$31+1),0)-IF(AND(Projects!$G$31="Yes",CX$3&gt;=Projects!$C$31,CX$3&lt;Projects!$C$31+Projects!$D$31),Projects!$B$31*(Assumptions!$B$10+Assumptions!$B$11+Assumptions!$B$12)/Projects!$D$31*0.95,0)-IF(AND(Projects!$G$31="Yes",CX$3=Projects!$C$31+Projects!$D$31-1),Projects!$B$31*(Assumptions!$B$10+Assumptions!$B$11+Assumptions!$B$12)*0.05,0)</f>
        <v/>
      </c>
      <c r="CY40" s="399">
        <f>IF(AND(Projects!$G$31="Yes",CY$3&gt;=Projects!$C$31,CY$3&lt;Projects!$C$31+Projects!$D$31),Projects!$B$31*INDEX(Curves!$B$4:$AR$4,1,CY$3-Projects!$C$31+1),0)-IF(AND(Projects!$G$31="Yes",CY$3&gt;=Projects!$C$31,CY$3&lt;Projects!$C$31+Projects!$D$31),Projects!$B$31*(Assumptions!$B$10+Assumptions!$B$11+Assumptions!$B$12)/Projects!$D$31*0.95,0)-IF(AND(Projects!$G$31="Yes",CY$3=Projects!$C$31+Projects!$D$31-1),Projects!$B$31*(Assumptions!$B$10+Assumptions!$B$11+Assumptions!$B$12)*0.05,0)</f>
        <v/>
      </c>
      <c r="CZ40" s="399">
        <f>IF(AND(Projects!$G$31="Yes",CZ$3&gt;=Projects!$C$31,CZ$3&lt;Projects!$C$31+Projects!$D$31),Projects!$B$31*INDEX(Curves!$B$4:$AR$4,1,CZ$3-Projects!$C$31+1),0)-IF(AND(Projects!$G$31="Yes",CZ$3&gt;=Projects!$C$31,CZ$3&lt;Projects!$C$31+Projects!$D$31),Projects!$B$31*(Assumptions!$B$10+Assumptions!$B$11+Assumptions!$B$12)/Projects!$D$31*0.95,0)-IF(AND(Projects!$G$31="Yes",CZ$3=Projects!$C$31+Projects!$D$31-1),Projects!$B$31*(Assumptions!$B$10+Assumptions!$B$11+Assumptions!$B$12)*0.05,0)</f>
        <v/>
      </c>
      <c r="DA40" s="399">
        <f>IF(AND(Projects!$G$31="Yes",DA$3&gt;=Projects!$C$31,DA$3&lt;Projects!$C$31+Projects!$D$31),Projects!$B$31*INDEX(Curves!$B$4:$AR$4,1,DA$3-Projects!$C$31+1),0)-IF(AND(Projects!$G$31="Yes",DA$3&gt;=Projects!$C$31,DA$3&lt;Projects!$C$31+Projects!$D$31),Projects!$B$31*(Assumptions!$B$10+Assumptions!$B$11+Assumptions!$B$12)/Projects!$D$31*0.95,0)-IF(AND(Projects!$G$31="Yes",DA$3=Projects!$C$31+Projects!$D$31-1),Projects!$B$31*(Assumptions!$B$10+Assumptions!$B$11+Assumptions!$B$12)*0.05,0)</f>
        <v/>
      </c>
      <c r="DB40" s="399">
        <f>IF(AND(Projects!$G$31="Yes",DB$3&gt;=Projects!$C$31,DB$3&lt;Projects!$C$31+Projects!$D$31),Projects!$B$31*INDEX(Curves!$B$4:$AR$4,1,DB$3-Projects!$C$31+1),0)-IF(AND(Projects!$G$31="Yes",DB$3&gt;=Projects!$C$31,DB$3&lt;Projects!$C$31+Projects!$D$31),Projects!$B$31*(Assumptions!$B$10+Assumptions!$B$11+Assumptions!$B$12)/Projects!$D$31*0.95,0)-IF(AND(Projects!$G$31="Yes",DB$3=Projects!$C$31+Projects!$D$31-1),Projects!$B$31*(Assumptions!$B$10+Assumptions!$B$11+Assumptions!$B$12)*0.05,0)</f>
        <v/>
      </c>
      <c r="DC40" s="399">
        <f>IF(AND(Projects!$G$31="Yes",DC$3&gt;=Projects!$C$31,DC$3&lt;Projects!$C$31+Projects!$D$31),Projects!$B$31*INDEX(Curves!$B$4:$AR$4,1,DC$3-Projects!$C$31+1),0)-IF(AND(Projects!$G$31="Yes",DC$3&gt;=Projects!$C$31,DC$3&lt;Projects!$C$31+Projects!$D$31),Projects!$B$31*(Assumptions!$B$10+Assumptions!$B$11+Assumptions!$B$12)/Projects!$D$31*0.95,0)-IF(AND(Projects!$G$31="Yes",DC$3=Projects!$C$31+Projects!$D$31-1),Projects!$B$31*(Assumptions!$B$10+Assumptions!$B$11+Assumptions!$B$12)*0.05,0)</f>
        <v/>
      </c>
      <c r="DD40" s="399">
        <f>IF(AND(Projects!$G$31="Yes",DD$3&gt;=Projects!$C$31,DD$3&lt;Projects!$C$31+Projects!$D$31),Projects!$B$31*INDEX(Curves!$B$4:$AR$4,1,DD$3-Projects!$C$31+1),0)-IF(AND(Projects!$G$31="Yes",DD$3&gt;=Projects!$C$31,DD$3&lt;Projects!$C$31+Projects!$D$31),Projects!$B$31*(Assumptions!$B$10+Assumptions!$B$11+Assumptions!$B$12)/Projects!$D$31*0.95,0)-IF(AND(Projects!$G$31="Yes",DD$3=Projects!$C$31+Projects!$D$31-1),Projects!$B$31*(Assumptions!$B$10+Assumptions!$B$11+Assumptions!$B$12)*0.05,0)</f>
        <v/>
      </c>
      <c r="DE40" s="399">
        <f>IF(AND(Projects!$G$31="Yes",DE$3&gt;=Projects!$C$31,DE$3&lt;Projects!$C$31+Projects!$D$31),Projects!$B$31*INDEX(Curves!$B$4:$AR$4,1,DE$3-Projects!$C$31+1),0)-IF(AND(Projects!$G$31="Yes",DE$3&gt;=Projects!$C$31,DE$3&lt;Projects!$C$31+Projects!$D$31),Projects!$B$31*(Assumptions!$B$10+Assumptions!$B$11+Assumptions!$B$12)/Projects!$D$31*0.95,0)-IF(AND(Projects!$G$31="Yes",DE$3=Projects!$C$31+Projects!$D$31-1),Projects!$B$31*(Assumptions!$B$10+Assumptions!$B$11+Assumptions!$B$12)*0.05,0)</f>
        <v/>
      </c>
    </row>
    <row r="41" hidden="1" outlineLevel="1" ht="15" customFormat="1" customHeight="1" s="380">
      <c r="A41" s="407" t="inlineStr">
        <is>
          <t>BD-16</t>
        </is>
      </c>
      <c r="B41" s="399" t="n">
        <v>0</v>
      </c>
      <c r="C41" s="399" t="n">
        <v>0</v>
      </c>
      <c r="D41" s="399" t="n">
        <v>0</v>
      </c>
      <c r="E41" s="399" t="n">
        <v>0</v>
      </c>
      <c r="F41" s="399">
        <f>IF(AND(Projects!$G$32="Yes",F$3&gt;=Projects!$C$32,F$3&lt;Projects!$C$32+Projects!$D$32),Projects!$B$32*INDEX(Curves!$B$4:$AR$4,1,F$3-Projects!$C$32+1),0)-IF(AND(Projects!$G$32="Yes",F$3&gt;=Projects!$C$32,F$3&lt;Projects!$C$32+Projects!$D$32),Projects!$B$32*(Assumptions!$B$10+Assumptions!$B$11+Assumptions!$B$12)/Projects!$D$32*0.95,0)-IF(AND(Projects!$G$32="Yes",F$3=Projects!$C$32+Projects!$D$32-1),Projects!$B$32*(Assumptions!$B$10+Assumptions!$B$11+Assumptions!$B$12)*0.05,0)</f>
        <v/>
      </c>
      <c r="G41" s="399">
        <f>IF(AND(Projects!$G$32="Yes",G$3&gt;=Projects!$C$32,G$3&lt;Projects!$C$32+Projects!$D$32),Projects!$B$32*INDEX(Curves!$B$4:$AR$4,1,G$3-Projects!$C$32+1),0)-IF(AND(Projects!$G$32="Yes",G$3&gt;=Projects!$C$32,G$3&lt;Projects!$C$32+Projects!$D$32),Projects!$B$32*(Assumptions!$B$10+Assumptions!$B$11+Assumptions!$B$12)/Projects!$D$32*0.95,0)-IF(AND(Projects!$G$32="Yes",G$3=Projects!$C$32+Projects!$D$32-1),Projects!$B$32*(Assumptions!$B$10+Assumptions!$B$11+Assumptions!$B$12)*0.05,0)</f>
        <v/>
      </c>
      <c r="H41" s="399">
        <f>IF(AND(Projects!$G$32="Yes",H$3&gt;=Projects!$C$32,H$3&lt;Projects!$C$32+Projects!$D$32),Projects!$B$32*INDEX(Curves!$B$4:$AR$4,1,H$3-Projects!$C$32+1),0)-IF(AND(Projects!$G$32="Yes",H$3&gt;=Projects!$C$32,H$3&lt;Projects!$C$32+Projects!$D$32),Projects!$B$32*(Assumptions!$B$10+Assumptions!$B$11+Assumptions!$B$12)/Projects!$D$32*0.95,0)-IF(AND(Projects!$G$32="Yes",H$3=Projects!$C$32+Projects!$D$32-1),Projects!$B$32*(Assumptions!$B$10+Assumptions!$B$11+Assumptions!$B$12)*0.05,0)</f>
        <v/>
      </c>
      <c r="I41" s="399">
        <f>IF(AND(Projects!$G$32="Yes",I$3&gt;=Projects!$C$32,I$3&lt;Projects!$C$32+Projects!$D$32),Projects!$B$32*INDEX(Curves!$B$4:$AR$4,1,I$3-Projects!$C$32+1),0)-IF(AND(Projects!$G$32="Yes",I$3&gt;=Projects!$C$32,I$3&lt;Projects!$C$32+Projects!$D$32),Projects!$B$32*(Assumptions!$B$10+Assumptions!$B$11+Assumptions!$B$12)/Projects!$D$32*0.95,0)-IF(AND(Projects!$G$32="Yes",I$3=Projects!$C$32+Projects!$D$32-1),Projects!$B$32*(Assumptions!$B$10+Assumptions!$B$11+Assumptions!$B$12)*0.05,0)</f>
        <v/>
      </c>
      <c r="J41" s="399">
        <f>IF(AND(Projects!$G$32="Yes",J$3&gt;=Projects!$C$32,J$3&lt;Projects!$C$32+Projects!$D$32),Projects!$B$32*INDEX(Curves!$B$4:$AR$4,1,J$3-Projects!$C$32+1),0)-IF(AND(Projects!$G$32="Yes",J$3&gt;=Projects!$C$32,J$3&lt;Projects!$C$32+Projects!$D$32),Projects!$B$32*(Assumptions!$B$10+Assumptions!$B$11+Assumptions!$B$12)/Projects!$D$32*0.95,0)-IF(AND(Projects!$G$32="Yes",J$3=Projects!$C$32+Projects!$D$32-1),Projects!$B$32*(Assumptions!$B$10+Assumptions!$B$11+Assumptions!$B$12)*0.05,0)</f>
        <v/>
      </c>
      <c r="K41" s="399">
        <f>IF(AND(Projects!$G$32="Yes",K$3&gt;=Projects!$C$32,K$3&lt;Projects!$C$32+Projects!$D$32),Projects!$B$32*INDEX(Curves!$B$4:$AR$4,1,K$3-Projects!$C$32+1),0)-IF(AND(Projects!$G$32="Yes",K$3&gt;=Projects!$C$32,K$3&lt;Projects!$C$32+Projects!$D$32),Projects!$B$32*(Assumptions!$B$10+Assumptions!$B$11+Assumptions!$B$12)/Projects!$D$32*0.95,0)-IF(AND(Projects!$G$32="Yes",K$3=Projects!$C$32+Projects!$D$32-1),Projects!$B$32*(Assumptions!$B$10+Assumptions!$B$11+Assumptions!$B$12)*0.05,0)</f>
        <v/>
      </c>
      <c r="L41" s="399">
        <f>IF(AND(Projects!$G$32="Yes",L$3&gt;=Projects!$C$32,L$3&lt;Projects!$C$32+Projects!$D$32),Projects!$B$32*INDEX(Curves!$B$4:$AR$4,1,L$3-Projects!$C$32+1),0)-IF(AND(Projects!$G$32="Yes",L$3&gt;=Projects!$C$32,L$3&lt;Projects!$C$32+Projects!$D$32),Projects!$B$32*(Assumptions!$B$10+Assumptions!$B$11+Assumptions!$B$12)/Projects!$D$32*0.95,0)-IF(AND(Projects!$G$32="Yes",L$3=Projects!$C$32+Projects!$D$32-1),Projects!$B$32*(Assumptions!$B$10+Assumptions!$B$11+Assumptions!$B$12)*0.05,0)</f>
        <v/>
      </c>
      <c r="M41" s="399">
        <f>IF(AND(Projects!$G$32="Yes",M$3&gt;=Projects!$C$32,M$3&lt;Projects!$C$32+Projects!$D$32),Projects!$B$32*INDEX(Curves!$B$4:$AR$4,1,M$3-Projects!$C$32+1),0)-IF(AND(Projects!$G$32="Yes",M$3&gt;=Projects!$C$32,M$3&lt;Projects!$C$32+Projects!$D$32),Projects!$B$32*(Assumptions!$B$10+Assumptions!$B$11+Assumptions!$B$12)/Projects!$D$32*0.95,0)-IF(AND(Projects!$G$32="Yes",M$3=Projects!$C$32+Projects!$D$32-1),Projects!$B$32*(Assumptions!$B$10+Assumptions!$B$11+Assumptions!$B$12)*0.05,0)</f>
        <v/>
      </c>
      <c r="N41" s="399">
        <f>IF(AND(Projects!$G$32="Yes",N$3&gt;=Projects!$C$32,N$3&lt;Projects!$C$32+Projects!$D$32),Projects!$B$32*INDEX(Curves!$B$4:$AR$4,1,N$3-Projects!$C$32+1),0)-IF(AND(Projects!$G$32="Yes",N$3&gt;=Projects!$C$32,N$3&lt;Projects!$C$32+Projects!$D$32),Projects!$B$32*(Assumptions!$B$10+Assumptions!$B$11+Assumptions!$B$12)/Projects!$D$32*0.95,0)-IF(AND(Projects!$G$32="Yes",N$3=Projects!$C$32+Projects!$D$32-1),Projects!$B$32*(Assumptions!$B$10+Assumptions!$B$11+Assumptions!$B$12)*0.05,0)</f>
        <v/>
      </c>
      <c r="O41" s="399">
        <f>IF(AND(Projects!$G$32="Yes",O$3&gt;=Projects!$C$32,O$3&lt;Projects!$C$32+Projects!$D$32),Projects!$B$32*INDEX(Curves!$B$4:$AR$4,1,O$3-Projects!$C$32+1),0)-IF(AND(Projects!$G$32="Yes",O$3&gt;=Projects!$C$32,O$3&lt;Projects!$C$32+Projects!$D$32),Projects!$B$32*(Assumptions!$B$10+Assumptions!$B$11+Assumptions!$B$12)/Projects!$D$32*0.95,0)-IF(AND(Projects!$G$32="Yes",O$3=Projects!$C$32+Projects!$D$32-1),Projects!$B$32*(Assumptions!$B$10+Assumptions!$B$11+Assumptions!$B$12)*0.05,0)</f>
        <v/>
      </c>
      <c r="P41" s="399">
        <f>IF(AND(Projects!$G$32="Yes",P$3&gt;=Projects!$C$32,P$3&lt;Projects!$C$32+Projects!$D$32),Projects!$B$32*INDEX(Curves!$B$4:$AR$4,1,P$3-Projects!$C$32+1),0)-IF(AND(Projects!$G$32="Yes",P$3&gt;=Projects!$C$32,P$3&lt;Projects!$C$32+Projects!$D$32),Projects!$B$32*(Assumptions!$B$10+Assumptions!$B$11+Assumptions!$B$12)/Projects!$D$32*0.95,0)-IF(AND(Projects!$G$32="Yes",P$3=Projects!$C$32+Projects!$D$32-1),Projects!$B$32*(Assumptions!$B$10+Assumptions!$B$11+Assumptions!$B$12)*0.05,0)</f>
        <v/>
      </c>
      <c r="Q41" s="399">
        <f>IF(AND(Projects!$G$32="Yes",Q$3&gt;=Projects!$C$32,Q$3&lt;Projects!$C$32+Projects!$D$32),Projects!$B$32*INDEX(Curves!$B$4:$AR$4,1,Q$3-Projects!$C$32+1),0)-IF(AND(Projects!$G$32="Yes",Q$3&gt;=Projects!$C$32,Q$3&lt;Projects!$C$32+Projects!$D$32),Projects!$B$32*(Assumptions!$B$10+Assumptions!$B$11+Assumptions!$B$12)/Projects!$D$32*0.95,0)-IF(AND(Projects!$G$32="Yes",Q$3=Projects!$C$32+Projects!$D$32-1),Projects!$B$32*(Assumptions!$B$10+Assumptions!$B$11+Assumptions!$B$12)*0.05,0)</f>
        <v/>
      </c>
      <c r="R41" s="399">
        <f>IF(AND(Projects!$G$32="Yes",R$3&gt;=Projects!$C$32,R$3&lt;Projects!$C$32+Projects!$D$32),Projects!$B$32*INDEX(Curves!$B$4:$AR$4,1,R$3-Projects!$C$32+1),0)-IF(AND(Projects!$G$32="Yes",R$3&gt;=Projects!$C$32,R$3&lt;Projects!$C$32+Projects!$D$32),Projects!$B$32*(Assumptions!$B$10+Assumptions!$B$11+Assumptions!$B$12)/Projects!$D$32*0.95,0)-IF(AND(Projects!$G$32="Yes",R$3=Projects!$C$32+Projects!$D$32-1),Projects!$B$32*(Assumptions!$B$10+Assumptions!$B$11+Assumptions!$B$12)*0.05,0)</f>
        <v/>
      </c>
      <c r="S41" s="399">
        <f>IF(AND(Projects!$G$32="Yes",S$3&gt;=Projects!$C$32,S$3&lt;Projects!$C$32+Projects!$D$32),Projects!$B$32*INDEX(Curves!$B$4:$AR$4,1,S$3-Projects!$C$32+1),0)-IF(AND(Projects!$G$32="Yes",S$3&gt;=Projects!$C$32,S$3&lt;Projects!$C$32+Projects!$D$32),Projects!$B$32*(Assumptions!$B$10+Assumptions!$B$11+Assumptions!$B$12)/Projects!$D$32*0.95,0)-IF(AND(Projects!$G$32="Yes",S$3=Projects!$C$32+Projects!$D$32-1),Projects!$B$32*(Assumptions!$B$10+Assumptions!$B$11+Assumptions!$B$12)*0.05,0)</f>
        <v/>
      </c>
      <c r="T41" s="399">
        <f>IF(AND(Projects!$G$32="Yes",T$3&gt;=Projects!$C$32,T$3&lt;Projects!$C$32+Projects!$D$32),Projects!$B$32*INDEX(Curves!$B$4:$AR$4,1,T$3-Projects!$C$32+1),0)-IF(AND(Projects!$G$32="Yes",T$3&gt;=Projects!$C$32,T$3&lt;Projects!$C$32+Projects!$D$32),Projects!$B$32*(Assumptions!$B$10+Assumptions!$B$11+Assumptions!$B$12)/Projects!$D$32*0.95,0)-IF(AND(Projects!$G$32="Yes",T$3=Projects!$C$32+Projects!$D$32-1),Projects!$B$32*(Assumptions!$B$10+Assumptions!$B$11+Assumptions!$B$12)*0.05,0)</f>
        <v/>
      </c>
      <c r="U41" s="399">
        <f>IF(AND(Projects!$G$32="Yes",U$3&gt;=Projects!$C$32,U$3&lt;Projects!$C$32+Projects!$D$32),Projects!$B$32*INDEX(Curves!$B$4:$AR$4,1,U$3-Projects!$C$32+1),0)-IF(AND(Projects!$G$32="Yes",U$3&gt;=Projects!$C$32,U$3&lt;Projects!$C$32+Projects!$D$32),Projects!$B$32*(Assumptions!$B$10+Assumptions!$B$11+Assumptions!$B$12)/Projects!$D$32*0.95,0)-IF(AND(Projects!$G$32="Yes",U$3=Projects!$C$32+Projects!$D$32-1),Projects!$B$32*(Assumptions!$B$10+Assumptions!$B$11+Assumptions!$B$12)*0.05,0)</f>
        <v/>
      </c>
      <c r="V41" s="399">
        <f>IF(AND(Projects!$G$32="Yes",V$3&gt;=Projects!$C$32,V$3&lt;Projects!$C$32+Projects!$D$32),Projects!$B$32*INDEX(Curves!$B$4:$AR$4,1,V$3-Projects!$C$32+1),0)-IF(AND(Projects!$G$32="Yes",V$3&gt;=Projects!$C$32,V$3&lt;Projects!$C$32+Projects!$D$32),Projects!$B$32*(Assumptions!$B$10+Assumptions!$B$11+Assumptions!$B$12)/Projects!$D$32*0.95,0)-IF(AND(Projects!$G$32="Yes",V$3=Projects!$C$32+Projects!$D$32-1),Projects!$B$32*(Assumptions!$B$10+Assumptions!$B$11+Assumptions!$B$12)*0.05,0)</f>
        <v/>
      </c>
      <c r="W41" s="399">
        <f>IF(AND(Projects!$G$32="Yes",W$3&gt;=Projects!$C$32,W$3&lt;Projects!$C$32+Projects!$D$32),Projects!$B$32*INDEX(Curves!$B$4:$AR$4,1,W$3-Projects!$C$32+1),0)-IF(AND(Projects!$G$32="Yes",W$3&gt;=Projects!$C$32,W$3&lt;Projects!$C$32+Projects!$D$32),Projects!$B$32*(Assumptions!$B$10+Assumptions!$B$11+Assumptions!$B$12)/Projects!$D$32*0.95,0)-IF(AND(Projects!$G$32="Yes",W$3=Projects!$C$32+Projects!$D$32-1),Projects!$B$32*(Assumptions!$B$10+Assumptions!$B$11+Assumptions!$B$12)*0.05,0)</f>
        <v/>
      </c>
      <c r="X41" s="399">
        <f>IF(AND(Projects!$G$32="Yes",X$3&gt;=Projects!$C$32,X$3&lt;Projects!$C$32+Projects!$D$32),Projects!$B$32*INDEX(Curves!$B$4:$AR$4,1,X$3-Projects!$C$32+1),0)-IF(AND(Projects!$G$32="Yes",X$3&gt;=Projects!$C$32,X$3&lt;Projects!$C$32+Projects!$D$32),Projects!$B$32*(Assumptions!$B$10+Assumptions!$B$11+Assumptions!$B$12)/Projects!$D$32*0.95,0)-IF(AND(Projects!$G$32="Yes",X$3=Projects!$C$32+Projects!$D$32-1),Projects!$B$32*(Assumptions!$B$10+Assumptions!$B$11+Assumptions!$B$12)*0.05,0)</f>
        <v/>
      </c>
      <c r="Y41" s="399">
        <f>IF(AND(Projects!$G$32="Yes",Y$3&gt;=Projects!$C$32,Y$3&lt;Projects!$C$32+Projects!$D$32),Projects!$B$32*INDEX(Curves!$B$4:$AR$4,1,Y$3-Projects!$C$32+1),0)-IF(AND(Projects!$G$32="Yes",Y$3&gt;=Projects!$C$32,Y$3&lt;Projects!$C$32+Projects!$D$32),Projects!$B$32*(Assumptions!$B$10+Assumptions!$B$11+Assumptions!$B$12)/Projects!$D$32*0.95,0)-IF(AND(Projects!$G$32="Yes",Y$3=Projects!$C$32+Projects!$D$32-1),Projects!$B$32*(Assumptions!$B$10+Assumptions!$B$11+Assumptions!$B$12)*0.05,0)</f>
        <v/>
      </c>
      <c r="Z41" s="399">
        <f>IF(AND(Projects!$G$32="Yes",Z$3&gt;=Projects!$C$32,Z$3&lt;Projects!$C$32+Projects!$D$32),Projects!$B$32*INDEX(Curves!$B$4:$AR$4,1,Z$3-Projects!$C$32+1),0)-IF(AND(Projects!$G$32="Yes",Z$3&gt;=Projects!$C$32,Z$3&lt;Projects!$C$32+Projects!$D$32),Projects!$B$32*(Assumptions!$B$10+Assumptions!$B$11+Assumptions!$B$12)/Projects!$D$32*0.95,0)-IF(AND(Projects!$G$32="Yes",Z$3=Projects!$C$32+Projects!$D$32-1),Projects!$B$32*(Assumptions!$B$10+Assumptions!$B$11+Assumptions!$B$12)*0.05,0)</f>
        <v/>
      </c>
      <c r="AA41" s="399">
        <f>IF(AND(Projects!$G$32="Yes",AA$3&gt;=Projects!$C$32,AA$3&lt;Projects!$C$32+Projects!$D$32),Projects!$B$32*INDEX(Curves!$B$4:$AR$4,1,AA$3-Projects!$C$32+1),0)-IF(AND(Projects!$G$32="Yes",AA$3&gt;=Projects!$C$32,AA$3&lt;Projects!$C$32+Projects!$D$32),Projects!$B$32*(Assumptions!$B$10+Assumptions!$B$11+Assumptions!$B$12)/Projects!$D$32*0.95,0)-IF(AND(Projects!$G$32="Yes",AA$3=Projects!$C$32+Projects!$D$32-1),Projects!$B$32*(Assumptions!$B$10+Assumptions!$B$11+Assumptions!$B$12)*0.05,0)</f>
        <v/>
      </c>
      <c r="AB41" s="399">
        <f>IF(AND(Projects!$G$32="Yes",AB$3&gt;=Projects!$C$32,AB$3&lt;Projects!$C$32+Projects!$D$32),Projects!$B$32*INDEX(Curves!$B$4:$AR$4,1,AB$3-Projects!$C$32+1),0)-IF(AND(Projects!$G$32="Yes",AB$3&gt;=Projects!$C$32,AB$3&lt;Projects!$C$32+Projects!$D$32),Projects!$B$32*(Assumptions!$B$10+Assumptions!$B$11+Assumptions!$B$12)/Projects!$D$32*0.95,0)-IF(AND(Projects!$G$32="Yes",AB$3=Projects!$C$32+Projects!$D$32-1),Projects!$B$32*(Assumptions!$B$10+Assumptions!$B$11+Assumptions!$B$12)*0.05,0)</f>
        <v/>
      </c>
      <c r="AC41" s="399">
        <f>IF(AND(Projects!$G$32="Yes",AC$3&gt;=Projects!$C$32,AC$3&lt;Projects!$C$32+Projects!$D$32),Projects!$B$32*INDEX(Curves!$B$4:$AR$4,1,AC$3-Projects!$C$32+1),0)-IF(AND(Projects!$G$32="Yes",AC$3&gt;=Projects!$C$32,AC$3&lt;Projects!$C$32+Projects!$D$32),Projects!$B$32*(Assumptions!$B$10+Assumptions!$B$11+Assumptions!$B$12)/Projects!$D$32*0.95,0)-IF(AND(Projects!$G$32="Yes",AC$3=Projects!$C$32+Projects!$D$32-1),Projects!$B$32*(Assumptions!$B$10+Assumptions!$B$11+Assumptions!$B$12)*0.05,0)</f>
        <v/>
      </c>
      <c r="AD41" s="399">
        <f>IF(AND(Projects!$G$32="Yes",AD$3&gt;=Projects!$C$32,AD$3&lt;Projects!$C$32+Projects!$D$32),Projects!$B$32*INDEX(Curves!$B$4:$AR$4,1,AD$3-Projects!$C$32+1),0)-IF(AND(Projects!$G$32="Yes",AD$3&gt;=Projects!$C$32,AD$3&lt;Projects!$C$32+Projects!$D$32),Projects!$B$32*(Assumptions!$B$10+Assumptions!$B$11+Assumptions!$B$12)/Projects!$D$32*0.95,0)-IF(AND(Projects!$G$32="Yes",AD$3=Projects!$C$32+Projects!$D$32-1),Projects!$B$32*(Assumptions!$B$10+Assumptions!$B$11+Assumptions!$B$12)*0.05,0)</f>
        <v/>
      </c>
      <c r="AE41" s="399">
        <f>IF(AND(Projects!$G$32="Yes",AE$3&gt;=Projects!$C$32,AE$3&lt;Projects!$C$32+Projects!$D$32),Projects!$B$32*INDEX(Curves!$B$4:$AR$4,1,AE$3-Projects!$C$32+1),0)-IF(AND(Projects!$G$32="Yes",AE$3&gt;=Projects!$C$32,AE$3&lt;Projects!$C$32+Projects!$D$32),Projects!$B$32*(Assumptions!$B$10+Assumptions!$B$11+Assumptions!$B$12)/Projects!$D$32*0.95,0)-IF(AND(Projects!$G$32="Yes",AE$3=Projects!$C$32+Projects!$D$32-1),Projects!$B$32*(Assumptions!$B$10+Assumptions!$B$11+Assumptions!$B$12)*0.05,0)</f>
        <v/>
      </c>
      <c r="AF41" s="399">
        <f>IF(AND(Projects!$G$32="Yes",AF$3&gt;=Projects!$C$32,AF$3&lt;Projects!$C$32+Projects!$D$32),Projects!$B$32*INDEX(Curves!$B$4:$AR$4,1,AF$3-Projects!$C$32+1),0)-IF(AND(Projects!$G$32="Yes",AF$3&gt;=Projects!$C$32,AF$3&lt;Projects!$C$32+Projects!$D$32),Projects!$B$32*(Assumptions!$B$10+Assumptions!$B$11+Assumptions!$B$12)/Projects!$D$32*0.95,0)-IF(AND(Projects!$G$32="Yes",AF$3=Projects!$C$32+Projects!$D$32-1),Projects!$B$32*(Assumptions!$B$10+Assumptions!$B$11+Assumptions!$B$12)*0.05,0)</f>
        <v/>
      </c>
      <c r="AG41" s="399">
        <f>IF(AND(Projects!$G$32="Yes",AG$3&gt;=Projects!$C$32,AG$3&lt;Projects!$C$32+Projects!$D$32),Projects!$B$32*INDEX(Curves!$B$4:$AR$4,1,AG$3-Projects!$C$32+1),0)-IF(AND(Projects!$G$32="Yes",AG$3&gt;=Projects!$C$32,AG$3&lt;Projects!$C$32+Projects!$D$32),Projects!$B$32*(Assumptions!$B$10+Assumptions!$B$11+Assumptions!$B$12)/Projects!$D$32*0.95,0)-IF(AND(Projects!$G$32="Yes",AG$3=Projects!$C$32+Projects!$D$32-1),Projects!$B$32*(Assumptions!$B$10+Assumptions!$B$11+Assumptions!$B$12)*0.05,0)</f>
        <v/>
      </c>
      <c r="AH41" s="399">
        <f>IF(AND(Projects!$G$32="Yes",AH$3&gt;=Projects!$C$32,AH$3&lt;Projects!$C$32+Projects!$D$32),Projects!$B$32*INDEX(Curves!$B$4:$AR$4,1,AH$3-Projects!$C$32+1),0)-IF(AND(Projects!$G$32="Yes",AH$3&gt;=Projects!$C$32,AH$3&lt;Projects!$C$32+Projects!$D$32),Projects!$B$32*(Assumptions!$B$10+Assumptions!$B$11+Assumptions!$B$12)/Projects!$D$32*0.95,0)-IF(AND(Projects!$G$32="Yes",AH$3=Projects!$C$32+Projects!$D$32-1),Projects!$B$32*(Assumptions!$B$10+Assumptions!$B$11+Assumptions!$B$12)*0.05,0)</f>
        <v/>
      </c>
      <c r="AI41" s="399">
        <f>IF(AND(Projects!$G$32="Yes",AI$3&gt;=Projects!$C$32,AI$3&lt;Projects!$C$32+Projects!$D$32),Projects!$B$32*INDEX(Curves!$B$4:$AR$4,1,AI$3-Projects!$C$32+1),0)-IF(AND(Projects!$G$32="Yes",AI$3&gt;=Projects!$C$32,AI$3&lt;Projects!$C$32+Projects!$D$32),Projects!$B$32*(Assumptions!$B$10+Assumptions!$B$11+Assumptions!$B$12)/Projects!$D$32*0.95,0)-IF(AND(Projects!$G$32="Yes",AI$3=Projects!$C$32+Projects!$D$32-1),Projects!$B$32*(Assumptions!$B$10+Assumptions!$B$11+Assumptions!$B$12)*0.05,0)</f>
        <v/>
      </c>
      <c r="AJ41" s="399">
        <f>IF(AND(Projects!$G$32="Yes",AJ$3&gt;=Projects!$C$32,AJ$3&lt;Projects!$C$32+Projects!$D$32),Projects!$B$32*INDEX(Curves!$B$4:$AR$4,1,AJ$3-Projects!$C$32+1),0)-IF(AND(Projects!$G$32="Yes",AJ$3&gt;=Projects!$C$32,AJ$3&lt;Projects!$C$32+Projects!$D$32),Projects!$B$32*(Assumptions!$B$10+Assumptions!$B$11+Assumptions!$B$12)/Projects!$D$32*0.95,0)-IF(AND(Projects!$G$32="Yes",AJ$3=Projects!$C$32+Projects!$D$32-1),Projects!$B$32*(Assumptions!$B$10+Assumptions!$B$11+Assumptions!$B$12)*0.05,0)</f>
        <v/>
      </c>
      <c r="AK41" s="399">
        <f>IF(AND(Projects!$G$32="Yes",AK$3&gt;=Projects!$C$32,AK$3&lt;Projects!$C$32+Projects!$D$32),Projects!$B$32*INDEX(Curves!$B$4:$AR$4,1,AK$3-Projects!$C$32+1),0)-IF(AND(Projects!$G$32="Yes",AK$3&gt;=Projects!$C$32,AK$3&lt;Projects!$C$32+Projects!$D$32),Projects!$B$32*(Assumptions!$B$10+Assumptions!$B$11+Assumptions!$B$12)/Projects!$D$32*0.95,0)-IF(AND(Projects!$G$32="Yes",AK$3=Projects!$C$32+Projects!$D$32-1),Projects!$B$32*(Assumptions!$B$10+Assumptions!$B$11+Assumptions!$B$12)*0.05,0)</f>
        <v/>
      </c>
      <c r="AL41" s="399">
        <f>IF(AND(Projects!$G$32="Yes",AL$3&gt;=Projects!$C$32,AL$3&lt;Projects!$C$32+Projects!$D$32),Projects!$B$32*INDEX(Curves!$B$4:$AR$4,1,AL$3-Projects!$C$32+1),0)-IF(AND(Projects!$G$32="Yes",AL$3&gt;=Projects!$C$32,AL$3&lt;Projects!$C$32+Projects!$D$32),Projects!$B$32*(Assumptions!$B$10+Assumptions!$B$11+Assumptions!$B$12)/Projects!$D$32*0.95,0)-IF(AND(Projects!$G$32="Yes",AL$3=Projects!$C$32+Projects!$D$32-1),Projects!$B$32*(Assumptions!$B$10+Assumptions!$B$11+Assumptions!$B$12)*0.05,0)</f>
        <v/>
      </c>
      <c r="AM41" s="399">
        <f>IF(AND(Projects!$G$32="Yes",AM$3&gt;=Projects!$C$32,AM$3&lt;Projects!$C$32+Projects!$D$32),Projects!$B$32*INDEX(Curves!$B$4:$AR$4,1,AM$3-Projects!$C$32+1),0)-IF(AND(Projects!$G$32="Yes",AM$3&gt;=Projects!$C$32,AM$3&lt;Projects!$C$32+Projects!$D$32),Projects!$B$32*(Assumptions!$B$10+Assumptions!$B$11+Assumptions!$B$12)/Projects!$D$32*0.95,0)-IF(AND(Projects!$G$32="Yes",AM$3=Projects!$C$32+Projects!$D$32-1),Projects!$B$32*(Assumptions!$B$10+Assumptions!$B$11+Assumptions!$B$12)*0.05,0)</f>
        <v/>
      </c>
      <c r="AN41" s="399">
        <f>IF(AND(Projects!$G$32="Yes",AN$3&gt;=Projects!$C$32,AN$3&lt;Projects!$C$32+Projects!$D$32),Projects!$B$32*INDEX(Curves!$B$4:$AR$4,1,AN$3-Projects!$C$32+1),0)-IF(AND(Projects!$G$32="Yes",AN$3&gt;=Projects!$C$32,AN$3&lt;Projects!$C$32+Projects!$D$32),Projects!$B$32*(Assumptions!$B$10+Assumptions!$B$11+Assumptions!$B$12)/Projects!$D$32*0.95,0)-IF(AND(Projects!$G$32="Yes",AN$3=Projects!$C$32+Projects!$D$32-1),Projects!$B$32*(Assumptions!$B$10+Assumptions!$B$11+Assumptions!$B$12)*0.05,0)</f>
        <v/>
      </c>
      <c r="AO41" s="399">
        <f>IF(AND(Projects!$G$32="Yes",AO$3&gt;=Projects!$C$32,AO$3&lt;Projects!$C$32+Projects!$D$32),Projects!$B$32*INDEX(Curves!$B$4:$AR$4,1,AO$3-Projects!$C$32+1),0)-IF(AND(Projects!$G$32="Yes",AO$3&gt;=Projects!$C$32,AO$3&lt;Projects!$C$32+Projects!$D$32),Projects!$B$32*(Assumptions!$B$10+Assumptions!$B$11+Assumptions!$B$12)/Projects!$D$32*0.95,0)-IF(AND(Projects!$G$32="Yes",AO$3=Projects!$C$32+Projects!$D$32-1),Projects!$B$32*(Assumptions!$B$10+Assumptions!$B$11+Assumptions!$B$12)*0.05,0)</f>
        <v/>
      </c>
      <c r="AP41" s="399">
        <f>IF(AND(Projects!$G$32="Yes",AP$3&gt;=Projects!$C$32,AP$3&lt;Projects!$C$32+Projects!$D$32),Projects!$B$32*INDEX(Curves!$B$4:$AR$4,1,AP$3-Projects!$C$32+1),0)-IF(AND(Projects!$G$32="Yes",AP$3&gt;=Projects!$C$32,AP$3&lt;Projects!$C$32+Projects!$D$32),Projects!$B$32*(Assumptions!$B$10+Assumptions!$B$11+Assumptions!$B$12)/Projects!$D$32*0.95,0)-IF(AND(Projects!$G$32="Yes",AP$3=Projects!$C$32+Projects!$D$32-1),Projects!$B$32*(Assumptions!$B$10+Assumptions!$B$11+Assumptions!$B$12)*0.05,0)</f>
        <v/>
      </c>
      <c r="AQ41" s="399">
        <f>IF(AND(Projects!$G$32="Yes",AQ$3&gt;=Projects!$C$32,AQ$3&lt;Projects!$C$32+Projects!$D$32),Projects!$B$32*INDEX(Curves!$B$4:$AR$4,1,AQ$3-Projects!$C$32+1),0)-IF(AND(Projects!$G$32="Yes",AQ$3&gt;=Projects!$C$32,AQ$3&lt;Projects!$C$32+Projects!$D$32),Projects!$B$32*(Assumptions!$B$10+Assumptions!$B$11+Assumptions!$B$12)/Projects!$D$32*0.95,0)-IF(AND(Projects!$G$32="Yes",AQ$3=Projects!$C$32+Projects!$D$32-1),Projects!$B$32*(Assumptions!$B$10+Assumptions!$B$11+Assumptions!$B$12)*0.05,0)</f>
        <v/>
      </c>
      <c r="AR41" s="399">
        <f>IF(AND(Projects!$G$32="Yes",AR$3&gt;=Projects!$C$32,AR$3&lt;Projects!$C$32+Projects!$D$32),Projects!$B$32*INDEX(Curves!$B$4:$AR$4,1,AR$3-Projects!$C$32+1),0)-IF(AND(Projects!$G$32="Yes",AR$3&gt;=Projects!$C$32,AR$3&lt;Projects!$C$32+Projects!$D$32),Projects!$B$32*(Assumptions!$B$10+Assumptions!$B$11+Assumptions!$B$12)/Projects!$D$32*0.95,0)-IF(AND(Projects!$G$32="Yes",AR$3=Projects!$C$32+Projects!$D$32-1),Projects!$B$32*(Assumptions!$B$10+Assumptions!$B$11+Assumptions!$B$12)*0.05,0)</f>
        <v/>
      </c>
      <c r="AS41" s="399">
        <f>IF(AND(Projects!$G$32="Yes",AS$3&gt;=Projects!$C$32,AS$3&lt;Projects!$C$32+Projects!$D$32),Projects!$B$32*INDEX(Curves!$B$4:$AR$4,1,AS$3-Projects!$C$32+1),0)-IF(AND(Projects!$G$32="Yes",AS$3&gt;=Projects!$C$32,AS$3&lt;Projects!$C$32+Projects!$D$32),Projects!$B$32*(Assumptions!$B$10+Assumptions!$B$11+Assumptions!$B$12)/Projects!$D$32*0.95,0)-IF(AND(Projects!$G$32="Yes",AS$3=Projects!$C$32+Projects!$D$32-1),Projects!$B$32*(Assumptions!$B$10+Assumptions!$B$11+Assumptions!$B$12)*0.05,0)</f>
        <v/>
      </c>
      <c r="AT41" s="399">
        <f>IF(AND(Projects!$G$32="Yes",AT$3&gt;=Projects!$C$32,AT$3&lt;Projects!$C$32+Projects!$D$32),Projects!$B$32*INDEX(Curves!$B$4:$AR$4,1,AT$3-Projects!$C$32+1),0)-IF(AND(Projects!$G$32="Yes",AT$3&gt;=Projects!$C$32,AT$3&lt;Projects!$C$32+Projects!$D$32),Projects!$B$32*(Assumptions!$B$10+Assumptions!$B$11+Assumptions!$B$12)/Projects!$D$32*0.95,0)-IF(AND(Projects!$G$32="Yes",AT$3=Projects!$C$32+Projects!$D$32-1),Projects!$B$32*(Assumptions!$B$10+Assumptions!$B$11+Assumptions!$B$12)*0.05,0)</f>
        <v/>
      </c>
      <c r="AU41" s="399">
        <f>IF(AND(Projects!$G$32="Yes",AU$3&gt;=Projects!$C$32,AU$3&lt;Projects!$C$32+Projects!$D$32),Projects!$B$32*INDEX(Curves!$B$4:$AR$4,1,AU$3-Projects!$C$32+1),0)-IF(AND(Projects!$G$32="Yes",AU$3&gt;=Projects!$C$32,AU$3&lt;Projects!$C$32+Projects!$D$32),Projects!$B$32*(Assumptions!$B$10+Assumptions!$B$11+Assumptions!$B$12)/Projects!$D$32*0.95,0)-IF(AND(Projects!$G$32="Yes",AU$3=Projects!$C$32+Projects!$D$32-1),Projects!$B$32*(Assumptions!$B$10+Assumptions!$B$11+Assumptions!$B$12)*0.05,0)</f>
        <v/>
      </c>
      <c r="AV41" s="399">
        <f>IF(AND(Projects!$G$32="Yes",AV$3&gt;=Projects!$C$32,AV$3&lt;Projects!$C$32+Projects!$D$32),Projects!$B$32*INDEX(Curves!$B$4:$AR$4,1,AV$3-Projects!$C$32+1),0)-IF(AND(Projects!$G$32="Yes",AV$3&gt;=Projects!$C$32,AV$3&lt;Projects!$C$32+Projects!$D$32),Projects!$B$32*(Assumptions!$B$10+Assumptions!$B$11+Assumptions!$B$12)/Projects!$D$32*0.95,0)-IF(AND(Projects!$G$32="Yes",AV$3=Projects!$C$32+Projects!$D$32-1),Projects!$B$32*(Assumptions!$B$10+Assumptions!$B$11+Assumptions!$B$12)*0.05,0)</f>
        <v/>
      </c>
      <c r="AW41" s="399">
        <f>IF(AND(Projects!$G$32="Yes",AW$3&gt;=Projects!$C$32,AW$3&lt;Projects!$C$32+Projects!$D$32),Projects!$B$32*INDEX(Curves!$B$4:$AR$4,1,AW$3-Projects!$C$32+1),0)-IF(AND(Projects!$G$32="Yes",AW$3&gt;=Projects!$C$32,AW$3&lt;Projects!$C$32+Projects!$D$32),Projects!$B$32*(Assumptions!$B$10+Assumptions!$B$11+Assumptions!$B$12)/Projects!$D$32*0.95,0)-IF(AND(Projects!$G$32="Yes",AW$3=Projects!$C$32+Projects!$D$32-1),Projects!$B$32*(Assumptions!$B$10+Assumptions!$B$11+Assumptions!$B$12)*0.05,0)</f>
        <v/>
      </c>
      <c r="AX41" s="399">
        <f>IF(AND(Projects!$G$32="Yes",AX$3&gt;=Projects!$C$32,AX$3&lt;Projects!$C$32+Projects!$D$32),Projects!$B$32*INDEX(Curves!$B$4:$AR$4,1,AX$3-Projects!$C$32+1),0)-IF(AND(Projects!$G$32="Yes",AX$3&gt;=Projects!$C$32,AX$3&lt;Projects!$C$32+Projects!$D$32),Projects!$B$32*(Assumptions!$B$10+Assumptions!$B$11+Assumptions!$B$12)/Projects!$D$32*0.95,0)-IF(AND(Projects!$G$32="Yes",AX$3=Projects!$C$32+Projects!$D$32-1),Projects!$B$32*(Assumptions!$B$10+Assumptions!$B$11+Assumptions!$B$12)*0.05,0)</f>
        <v/>
      </c>
      <c r="AY41" s="399">
        <f>IF(AND(Projects!$G$32="Yes",AY$3&gt;=Projects!$C$32,AY$3&lt;Projects!$C$32+Projects!$D$32),Projects!$B$32*INDEX(Curves!$B$4:$AR$4,1,AY$3-Projects!$C$32+1),0)-IF(AND(Projects!$G$32="Yes",AY$3&gt;=Projects!$C$32,AY$3&lt;Projects!$C$32+Projects!$D$32),Projects!$B$32*(Assumptions!$B$10+Assumptions!$B$11+Assumptions!$B$12)/Projects!$D$32*0.95,0)-IF(AND(Projects!$G$32="Yes",AY$3=Projects!$C$32+Projects!$D$32-1),Projects!$B$32*(Assumptions!$B$10+Assumptions!$B$11+Assumptions!$B$12)*0.05,0)</f>
        <v/>
      </c>
      <c r="AZ41" s="399">
        <f>IF(AND(Projects!$G$32="Yes",AZ$3&gt;=Projects!$C$32,AZ$3&lt;Projects!$C$32+Projects!$D$32),Projects!$B$32*INDEX(Curves!$B$4:$AR$4,1,AZ$3-Projects!$C$32+1),0)-IF(AND(Projects!$G$32="Yes",AZ$3&gt;=Projects!$C$32,AZ$3&lt;Projects!$C$32+Projects!$D$32),Projects!$B$32*(Assumptions!$B$10+Assumptions!$B$11+Assumptions!$B$12)/Projects!$D$32*0.95,0)-IF(AND(Projects!$G$32="Yes",AZ$3=Projects!$C$32+Projects!$D$32-1),Projects!$B$32*(Assumptions!$B$10+Assumptions!$B$11+Assumptions!$B$12)*0.05,0)</f>
        <v/>
      </c>
      <c r="BA41" s="399">
        <f>IF(AND(Projects!$G$32="Yes",BA$3&gt;=Projects!$C$32,BA$3&lt;Projects!$C$32+Projects!$D$32),Projects!$B$32*INDEX(Curves!$B$4:$AR$4,1,BA$3-Projects!$C$32+1),0)-IF(AND(Projects!$G$32="Yes",BA$3&gt;=Projects!$C$32,BA$3&lt;Projects!$C$32+Projects!$D$32),Projects!$B$32*(Assumptions!$B$10+Assumptions!$B$11+Assumptions!$B$12)/Projects!$D$32*0.95,0)-IF(AND(Projects!$G$32="Yes",BA$3=Projects!$C$32+Projects!$D$32-1),Projects!$B$32*(Assumptions!$B$10+Assumptions!$B$11+Assumptions!$B$12)*0.05,0)</f>
        <v/>
      </c>
      <c r="BB41" s="399">
        <f>IF(AND(Projects!$G$32="Yes",BB$3&gt;=Projects!$C$32,BB$3&lt;Projects!$C$32+Projects!$D$32),Projects!$B$32*INDEX(Curves!$B$4:$AR$4,1,BB$3-Projects!$C$32+1),0)-IF(AND(Projects!$G$32="Yes",BB$3&gt;=Projects!$C$32,BB$3&lt;Projects!$C$32+Projects!$D$32),Projects!$B$32*(Assumptions!$B$10+Assumptions!$B$11+Assumptions!$B$12)/Projects!$D$32*0.95,0)-IF(AND(Projects!$G$32="Yes",BB$3=Projects!$C$32+Projects!$D$32-1),Projects!$B$32*(Assumptions!$B$10+Assumptions!$B$11+Assumptions!$B$12)*0.05,0)</f>
        <v/>
      </c>
      <c r="BC41" s="399">
        <f>IF(AND(Projects!$G$32="Yes",BC$3&gt;=Projects!$C$32,BC$3&lt;Projects!$C$32+Projects!$D$32),Projects!$B$32*INDEX(Curves!$B$4:$AR$4,1,BC$3-Projects!$C$32+1),0)-IF(AND(Projects!$G$32="Yes",BC$3&gt;=Projects!$C$32,BC$3&lt;Projects!$C$32+Projects!$D$32),Projects!$B$32*(Assumptions!$B$10+Assumptions!$B$11+Assumptions!$B$12)/Projects!$D$32*0.95,0)-IF(AND(Projects!$G$32="Yes",BC$3=Projects!$C$32+Projects!$D$32-1),Projects!$B$32*(Assumptions!$B$10+Assumptions!$B$11+Assumptions!$B$12)*0.05,0)</f>
        <v/>
      </c>
      <c r="BD41" s="399">
        <f>IF(AND(Projects!$G$32="Yes",BD$3&gt;=Projects!$C$32,BD$3&lt;Projects!$C$32+Projects!$D$32),Projects!$B$32*INDEX(Curves!$B$4:$AR$4,1,BD$3-Projects!$C$32+1),0)-IF(AND(Projects!$G$32="Yes",BD$3&gt;=Projects!$C$32,BD$3&lt;Projects!$C$32+Projects!$D$32),Projects!$B$32*(Assumptions!$B$10+Assumptions!$B$11+Assumptions!$B$12)/Projects!$D$32*0.95,0)-IF(AND(Projects!$G$32="Yes",BD$3=Projects!$C$32+Projects!$D$32-1),Projects!$B$32*(Assumptions!$B$10+Assumptions!$B$11+Assumptions!$B$12)*0.05,0)</f>
        <v/>
      </c>
      <c r="BE41" s="399">
        <f>IF(AND(Projects!$G$32="Yes",BE$3&gt;=Projects!$C$32,BE$3&lt;Projects!$C$32+Projects!$D$32),Projects!$B$32*INDEX(Curves!$B$4:$AR$4,1,BE$3-Projects!$C$32+1),0)-IF(AND(Projects!$G$32="Yes",BE$3&gt;=Projects!$C$32,BE$3&lt;Projects!$C$32+Projects!$D$32),Projects!$B$32*(Assumptions!$B$10+Assumptions!$B$11+Assumptions!$B$12)/Projects!$D$32*0.95,0)-IF(AND(Projects!$G$32="Yes",BE$3=Projects!$C$32+Projects!$D$32-1),Projects!$B$32*(Assumptions!$B$10+Assumptions!$B$11+Assumptions!$B$12)*0.05,0)</f>
        <v/>
      </c>
      <c r="BF41" s="399">
        <f>IF(AND(Projects!$G$32="Yes",BF$3&gt;=Projects!$C$32,BF$3&lt;Projects!$C$32+Projects!$D$32),Projects!$B$32*INDEX(Curves!$B$4:$AR$4,1,BF$3-Projects!$C$32+1),0)-IF(AND(Projects!$G$32="Yes",BF$3&gt;=Projects!$C$32,BF$3&lt;Projects!$C$32+Projects!$D$32),Projects!$B$32*(Assumptions!$B$10+Assumptions!$B$11+Assumptions!$B$12)/Projects!$D$32*0.95,0)-IF(AND(Projects!$G$32="Yes",BF$3=Projects!$C$32+Projects!$D$32-1),Projects!$B$32*(Assumptions!$B$10+Assumptions!$B$11+Assumptions!$B$12)*0.05,0)</f>
        <v/>
      </c>
      <c r="BG41" s="399">
        <f>IF(AND(Projects!$G$32="Yes",BG$3&gt;=Projects!$C$32,BG$3&lt;Projects!$C$32+Projects!$D$32),Projects!$B$32*INDEX(Curves!$B$4:$AR$4,1,BG$3-Projects!$C$32+1),0)-IF(AND(Projects!$G$32="Yes",BG$3&gt;=Projects!$C$32,BG$3&lt;Projects!$C$32+Projects!$D$32),Projects!$B$32*(Assumptions!$B$10+Assumptions!$B$11+Assumptions!$B$12)/Projects!$D$32*0.95,0)-IF(AND(Projects!$G$32="Yes",BG$3=Projects!$C$32+Projects!$D$32-1),Projects!$B$32*(Assumptions!$B$10+Assumptions!$B$11+Assumptions!$B$12)*0.05,0)</f>
        <v/>
      </c>
      <c r="BH41" s="399">
        <f>IF(AND(Projects!$G$32="Yes",BH$3&gt;=Projects!$C$32,BH$3&lt;Projects!$C$32+Projects!$D$32),Projects!$B$32*INDEX(Curves!$B$4:$AR$4,1,BH$3-Projects!$C$32+1),0)-IF(AND(Projects!$G$32="Yes",BH$3&gt;=Projects!$C$32,BH$3&lt;Projects!$C$32+Projects!$D$32),Projects!$B$32*(Assumptions!$B$10+Assumptions!$B$11+Assumptions!$B$12)/Projects!$D$32*0.95,0)-IF(AND(Projects!$G$32="Yes",BH$3=Projects!$C$32+Projects!$D$32-1),Projects!$B$32*(Assumptions!$B$10+Assumptions!$B$11+Assumptions!$B$12)*0.05,0)</f>
        <v/>
      </c>
      <c r="BI41" s="399">
        <f>IF(AND(Projects!$G$32="Yes",BI$3&gt;=Projects!$C$32,BI$3&lt;Projects!$C$32+Projects!$D$32),Projects!$B$32*INDEX(Curves!$B$4:$AR$4,1,BI$3-Projects!$C$32+1),0)-IF(AND(Projects!$G$32="Yes",BI$3&gt;=Projects!$C$32,BI$3&lt;Projects!$C$32+Projects!$D$32),Projects!$B$32*(Assumptions!$B$10+Assumptions!$B$11+Assumptions!$B$12)/Projects!$D$32*0.95,0)-IF(AND(Projects!$G$32="Yes",BI$3=Projects!$C$32+Projects!$D$32-1),Projects!$B$32*(Assumptions!$B$10+Assumptions!$B$11+Assumptions!$B$12)*0.05,0)</f>
        <v/>
      </c>
      <c r="BJ41" s="399">
        <f>IF(AND(Projects!$G$32="Yes",BJ$3&gt;=Projects!$C$32,BJ$3&lt;Projects!$C$32+Projects!$D$32),Projects!$B$32*INDEX(Curves!$B$4:$AR$4,1,BJ$3-Projects!$C$32+1),0)-IF(AND(Projects!$G$32="Yes",BJ$3&gt;=Projects!$C$32,BJ$3&lt;Projects!$C$32+Projects!$D$32),Projects!$B$32*(Assumptions!$B$10+Assumptions!$B$11+Assumptions!$B$12)/Projects!$D$32*0.95,0)-IF(AND(Projects!$G$32="Yes",BJ$3=Projects!$C$32+Projects!$D$32-1),Projects!$B$32*(Assumptions!$B$10+Assumptions!$B$11+Assumptions!$B$12)*0.05,0)</f>
        <v/>
      </c>
      <c r="BK41" s="399">
        <f>IF(AND(Projects!$G$32="Yes",BK$3&gt;=Projects!$C$32,BK$3&lt;Projects!$C$32+Projects!$D$32),Projects!$B$32*INDEX(Curves!$B$4:$AR$4,1,BK$3-Projects!$C$32+1),0)-IF(AND(Projects!$G$32="Yes",BK$3&gt;=Projects!$C$32,BK$3&lt;Projects!$C$32+Projects!$D$32),Projects!$B$32*(Assumptions!$B$10+Assumptions!$B$11+Assumptions!$B$12)/Projects!$D$32*0.95,0)-IF(AND(Projects!$G$32="Yes",BK$3=Projects!$C$32+Projects!$D$32-1),Projects!$B$32*(Assumptions!$B$10+Assumptions!$B$11+Assumptions!$B$12)*0.05,0)</f>
        <v/>
      </c>
      <c r="BL41" s="399">
        <f>IF(AND(Projects!$G$32="Yes",BL$3&gt;=Projects!$C$32,BL$3&lt;Projects!$C$32+Projects!$D$32),Projects!$B$32*INDEX(Curves!$B$4:$AR$4,1,BL$3-Projects!$C$32+1),0)-IF(AND(Projects!$G$32="Yes",BL$3&gt;=Projects!$C$32,BL$3&lt;Projects!$C$32+Projects!$D$32),Projects!$B$32*(Assumptions!$B$10+Assumptions!$B$11+Assumptions!$B$12)/Projects!$D$32*0.95,0)-IF(AND(Projects!$G$32="Yes",BL$3=Projects!$C$32+Projects!$D$32-1),Projects!$B$32*(Assumptions!$B$10+Assumptions!$B$11+Assumptions!$B$12)*0.05,0)</f>
        <v/>
      </c>
      <c r="BM41" s="399">
        <f>IF(AND(Projects!$G$32="Yes",BM$3&gt;=Projects!$C$32,BM$3&lt;Projects!$C$32+Projects!$D$32),Projects!$B$32*INDEX(Curves!$B$4:$AR$4,1,BM$3-Projects!$C$32+1),0)-IF(AND(Projects!$G$32="Yes",BM$3&gt;=Projects!$C$32,BM$3&lt;Projects!$C$32+Projects!$D$32),Projects!$B$32*(Assumptions!$B$10+Assumptions!$B$11+Assumptions!$B$12)/Projects!$D$32*0.95,0)-IF(AND(Projects!$G$32="Yes",BM$3=Projects!$C$32+Projects!$D$32-1),Projects!$B$32*(Assumptions!$B$10+Assumptions!$B$11+Assumptions!$B$12)*0.05,0)</f>
        <v/>
      </c>
      <c r="BN41" s="399">
        <f>IF(AND(Projects!$G$32="Yes",BN$3&gt;=Projects!$C$32,BN$3&lt;Projects!$C$32+Projects!$D$32),Projects!$B$32*INDEX(Curves!$B$4:$AR$4,1,BN$3-Projects!$C$32+1),0)-IF(AND(Projects!$G$32="Yes",BN$3&gt;=Projects!$C$32,BN$3&lt;Projects!$C$32+Projects!$D$32),Projects!$B$32*(Assumptions!$B$10+Assumptions!$B$11+Assumptions!$B$12)/Projects!$D$32*0.95,0)-IF(AND(Projects!$G$32="Yes",BN$3=Projects!$C$32+Projects!$D$32-1),Projects!$B$32*(Assumptions!$B$10+Assumptions!$B$11+Assumptions!$B$12)*0.05,0)</f>
        <v/>
      </c>
      <c r="BO41" s="399">
        <f>IF(AND(Projects!$G$32="Yes",BO$3&gt;=Projects!$C$32,BO$3&lt;Projects!$C$32+Projects!$D$32),Projects!$B$32*INDEX(Curves!$B$4:$AR$4,1,BO$3-Projects!$C$32+1),0)-IF(AND(Projects!$G$32="Yes",BO$3&gt;=Projects!$C$32,BO$3&lt;Projects!$C$32+Projects!$D$32),Projects!$B$32*(Assumptions!$B$10+Assumptions!$B$11+Assumptions!$B$12)/Projects!$D$32*0.95,0)-IF(AND(Projects!$G$32="Yes",BO$3=Projects!$C$32+Projects!$D$32-1),Projects!$B$32*(Assumptions!$B$10+Assumptions!$B$11+Assumptions!$B$12)*0.05,0)</f>
        <v/>
      </c>
      <c r="BP41" s="399">
        <f>IF(AND(Projects!$G$32="Yes",BP$3&gt;=Projects!$C$32,BP$3&lt;Projects!$C$32+Projects!$D$32),Projects!$B$32*INDEX(Curves!$B$4:$AR$4,1,BP$3-Projects!$C$32+1),0)-IF(AND(Projects!$G$32="Yes",BP$3&gt;=Projects!$C$32,BP$3&lt;Projects!$C$32+Projects!$D$32),Projects!$B$32*(Assumptions!$B$10+Assumptions!$B$11+Assumptions!$B$12)/Projects!$D$32*0.95,0)-IF(AND(Projects!$G$32="Yes",BP$3=Projects!$C$32+Projects!$D$32-1),Projects!$B$32*(Assumptions!$B$10+Assumptions!$B$11+Assumptions!$B$12)*0.05,0)</f>
        <v/>
      </c>
      <c r="BQ41" s="399">
        <f>IF(AND(Projects!$G$32="Yes",BQ$3&gt;=Projects!$C$32,BQ$3&lt;Projects!$C$32+Projects!$D$32),Projects!$B$32*INDEX(Curves!$B$4:$AR$4,1,BQ$3-Projects!$C$32+1),0)-IF(AND(Projects!$G$32="Yes",BQ$3&gt;=Projects!$C$32,BQ$3&lt;Projects!$C$32+Projects!$D$32),Projects!$B$32*(Assumptions!$B$10+Assumptions!$B$11+Assumptions!$B$12)/Projects!$D$32*0.95,0)-IF(AND(Projects!$G$32="Yes",BQ$3=Projects!$C$32+Projects!$D$32-1),Projects!$B$32*(Assumptions!$B$10+Assumptions!$B$11+Assumptions!$B$12)*0.05,0)</f>
        <v/>
      </c>
      <c r="BR41" s="399">
        <f>IF(AND(Projects!$G$32="Yes",BR$3&gt;=Projects!$C$32,BR$3&lt;Projects!$C$32+Projects!$D$32),Projects!$B$32*INDEX(Curves!$B$4:$AR$4,1,BR$3-Projects!$C$32+1),0)-IF(AND(Projects!$G$32="Yes",BR$3&gt;=Projects!$C$32,BR$3&lt;Projects!$C$32+Projects!$D$32),Projects!$B$32*(Assumptions!$B$10+Assumptions!$B$11+Assumptions!$B$12)/Projects!$D$32*0.95,0)-IF(AND(Projects!$G$32="Yes",BR$3=Projects!$C$32+Projects!$D$32-1),Projects!$B$32*(Assumptions!$B$10+Assumptions!$B$11+Assumptions!$B$12)*0.05,0)</f>
        <v/>
      </c>
      <c r="BS41" s="399">
        <f>IF(AND(Projects!$G$32="Yes",BS$3&gt;=Projects!$C$32,BS$3&lt;Projects!$C$32+Projects!$D$32),Projects!$B$32*INDEX(Curves!$B$4:$AR$4,1,BS$3-Projects!$C$32+1),0)-IF(AND(Projects!$G$32="Yes",BS$3&gt;=Projects!$C$32,BS$3&lt;Projects!$C$32+Projects!$D$32),Projects!$B$32*(Assumptions!$B$10+Assumptions!$B$11+Assumptions!$B$12)/Projects!$D$32*0.95,0)-IF(AND(Projects!$G$32="Yes",BS$3=Projects!$C$32+Projects!$D$32-1),Projects!$B$32*(Assumptions!$B$10+Assumptions!$B$11+Assumptions!$B$12)*0.05,0)</f>
        <v/>
      </c>
      <c r="BT41" s="399">
        <f>IF(AND(Projects!$G$32="Yes",BT$3&gt;=Projects!$C$32,BT$3&lt;Projects!$C$32+Projects!$D$32),Projects!$B$32*INDEX(Curves!$B$4:$AR$4,1,BT$3-Projects!$C$32+1),0)-IF(AND(Projects!$G$32="Yes",BT$3&gt;=Projects!$C$32,BT$3&lt;Projects!$C$32+Projects!$D$32),Projects!$B$32*(Assumptions!$B$10+Assumptions!$B$11+Assumptions!$B$12)/Projects!$D$32*0.95,0)-IF(AND(Projects!$G$32="Yes",BT$3=Projects!$C$32+Projects!$D$32-1),Projects!$B$32*(Assumptions!$B$10+Assumptions!$B$11+Assumptions!$B$12)*0.05,0)</f>
        <v/>
      </c>
      <c r="BU41" s="399">
        <f>IF(AND(Projects!$G$32="Yes",BU$3&gt;=Projects!$C$32,BU$3&lt;Projects!$C$32+Projects!$D$32),Projects!$B$32*INDEX(Curves!$B$4:$AR$4,1,BU$3-Projects!$C$32+1),0)-IF(AND(Projects!$G$32="Yes",BU$3&gt;=Projects!$C$32,BU$3&lt;Projects!$C$32+Projects!$D$32),Projects!$B$32*(Assumptions!$B$10+Assumptions!$B$11+Assumptions!$B$12)/Projects!$D$32*0.95,0)-IF(AND(Projects!$G$32="Yes",BU$3=Projects!$C$32+Projects!$D$32-1),Projects!$B$32*(Assumptions!$B$10+Assumptions!$B$11+Assumptions!$B$12)*0.05,0)</f>
        <v/>
      </c>
      <c r="BV41" s="399">
        <f>IF(AND(Projects!$G$32="Yes",BV$3&gt;=Projects!$C$32,BV$3&lt;Projects!$C$32+Projects!$D$32),Projects!$B$32*INDEX(Curves!$B$4:$AR$4,1,BV$3-Projects!$C$32+1),0)-IF(AND(Projects!$G$32="Yes",BV$3&gt;=Projects!$C$32,BV$3&lt;Projects!$C$32+Projects!$D$32),Projects!$B$32*(Assumptions!$B$10+Assumptions!$B$11+Assumptions!$B$12)/Projects!$D$32*0.95,0)-IF(AND(Projects!$G$32="Yes",BV$3=Projects!$C$32+Projects!$D$32-1),Projects!$B$32*(Assumptions!$B$10+Assumptions!$B$11+Assumptions!$B$12)*0.05,0)</f>
        <v/>
      </c>
      <c r="BW41" s="399">
        <f>IF(AND(Projects!$G$32="Yes",BW$3&gt;=Projects!$C$32,BW$3&lt;Projects!$C$32+Projects!$D$32),Projects!$B$32*INDEX(Curves!$B$4:$AR$4,1,BW$3-Projects!$C$32+1),0)-IF(AND(Projects!$G$32="Yes",BW$3&gt;=Projects!$C$32,BW$3&lt;Projects!$C$32+Projects!$D$32),Projects!$B$32*(Assumptions!$B$10+Assumptions!$B$11+Assumptions!$B$12)/Projects!$D$32*0.95,0)-IF(AND(Projects!$G$32="Yes",BW$3=Projects!$C$32+Projects!$D$32-1),Projects!$B$32*(Assumptions!$B$10+Assumptions!$B$11+Assumptions!$B$12)*0.05,0)</f>
        <v/>
      </c>
      <c r="BX41" s="399">
        <f>IF(AND(Projects!$G$32="Yes",BX$3&gt;=Projects!$C$32,BX$3&lt;Projects!$C$32+Projects!$D$32),Projects!$B$32*INDEX(Curves!$B$4:$AR$4,1,BX$3-Projects!$C$32+1),0)-IF(AND(Projects!$G$32="Yes",BX$3&gt;=Projects!$C$32,BX$3&lt;Projects!$C$32+Projects!$D$32),Projects!$B$32*(Assumptions!$B$10+Assumptions!$B$11+Assumptions!$B$12)/Projects!$D$32*0.95,0)-IF(AND(Projects!$G$32="Yes",BX$3=Projects!$C$32+Projects!$D$32-1),Projects!$B$32*(Assumptions!$B$10+Assumptions!$B$11+Assumptions!$B$12)*0.05,0)</f>
        <v/>
      </c>
      <c r="BY41" s="399">
        <f>IF(AND(Projects!$G$32="Yes",BY$3&gt;=Projects!$C$32,BY$3&lt;Projects!$C$32+Projects!$D$32),Projects!$B$32*INDEX(Curves!$B$4:$AR$4,1,BY$3-Projects!$C$32+1),0)-IF(AND(Projects!$G$32="Yes",BY$3&gt;=Projects!$C$32,BY$3&lt;Projects!$C$32+Projects!$D$32),Projects!$B$32*(Assumptions!$B$10+Assumptions!$B$11+Assumptions!$B$12)/Projects!$D$32*0.95,0)-IF(AND(Projects!$G$32="Yes",BY$3=Projects!$C$32+Projects!$D$32-1),Projects!$B$32*(Assumptions!$B$10+Assumptions!$B$11+Assumptions!$B$12)*0.05,0)</f>
        <v/>
      </c>
      <c r="BZ41" s="399">
        <f>IF(AND(Projects!$G$32="Yes",BZ$3&gt;=Projects!$C$32,BZ$3&lt;Projects!$C$32+Projects!$D$32),Projects!$B$32*INDEX(Curves!$B$4:$AR$4,1,BZ$3-Projects!$C$32+1),0)-IF(AND(Projects!$G$32="Yes",BZ$3&gt;=Projects!$C$32,BZ$3&lt;Projects!$C$32+Projects!$D$32),Projects!$B$32*(Assumptions!$B$10+Assumptions!$B$11+Assumptions!$B$12)/Projects!$D$32*0.95,0)-IF(AND(Projects!$G$32="Yes",BZ$3=Projects!$C$32+Projects!$D$32-1),Projects!$B$32*(Assumptions!$B$10+Assumptions!$B$11+Assumptions!$B$12)*0.05,0)</f>
        <v/>
      </c>
      <c r="CA41" s="399">
        <f>IF(AND(Projects!$G$32="Yes",CA$3&gt;=Projects!$C$32,CA$3&lt;Projects!$C$32+Projects!$D$32),Projects!$B$32*INDEX(Curves!$B$4:$AR$4,1,CA$3-Projects!$C$32+1),0)-IF(AND(Projects!$G$32="Yes",CA$3&gt;=Projects!$C$32,CA$3&lt;Projects!$C$32+Projects!$D$32),Projects!$B$32*(Assumptions!$B$10+Assumptions!$B$11+Assumptions!$B$12)/Projects!$D$32*0.95,0)-IF(AND(Projects!$G$32="Yes",CA$3=Projects!$C$32+Projects!$D$32-1),Projects!$B$32*(Assumptions!$B$10+Assumptions!$B$11+Assumptions!$B$12)*0.05,0)</f>
        <v/>
      </c>
      <c r="CB41" s="399">
        <f>IF(AND(Projects!$G$32="Yes",CB$3&gt;=Projects!$C$32,CB$3&lt;Projects!$C$32+Projects!$D$32),Projects!$B$32*INDEX(Curves!$B$4:$AR$4,1,CB$3-Projects!$C$32+1),0)-IF(AND(Projects!$G$32="Yes",CB$3&gt;=Projects!$C$32,CB$3&lt;Projects!$C$32+Projects!$D$32),Projects!$B$32*(Assumptions!$B$10+Assumptions!$B$11+Assumptions!$B$12)/Projects!$D$32*0.95,0)-IF(AND(Projects!$G$32="Yes",CB$3=Projects!$C$32+Projects!$D$32-1),Projects!$B$32*(Assumptions!$B$10+Assumptions!$B$11+Assumptions!$B$12)*0.05,0)</f>
        <v/>
      </c>
      <c r="CC41" s="399">
        <f>IF(AND(Projects!$G$32="Yes",CC$3&gt;=Projects!$C$32,CC$3&lt;Projects!$C$32+Projects!$D$32),Projects!$B$32*INDEX(Curves!$B$4:$AR$4,1,CC$3-Projects!$C$32+1),0)-IF(AND(Projects!$G$32="Yes",CC$3&gt;=Projects!$C$32,CC$3&lt;Projects!$C$32+Projects!$D$32),Projects!$B$32*(Assumptions!$B$10+Assumptions!$B$11+Assumptions!$B$12)/Projects!$D$32*0.95,0)-IF(AND(Projects!$G$32="Yes",CC$3=Projects!$C$32+Projects!$D$32-1),Projects!$B$32*(Assumptions!$B$10+Assumptions!$B$11+Assumptions!$B$12)*0.05,0)</f>
        <v/>
      </c>
      <c r="CD41" s="399">
        <f>IF(AND(Projects!$G$32="Yes",CD$3&gt;=Projects!$C$32,CD$3&lt;Projects!$C$32+Projects!$D$32),Projects!$B$32*INDEX(Curves!$B$4:$AR$4,1,CD$3-Projects!$C$32+1),0)-IF(AND(Projects!$G$32="Yes",CD$3&gt;=Projects!$C$32,CD$3&lt;Projects!$C$32+Projects!$D$32),Projects!$B$32*(Assumptions!$B$10+Assumptions!$B$11+Assumptions!$B$12)/Projects!$D$32*0.95,0)-IF(AND(Projects!$G$32="Yes",CD$3=Projects!$C$32+Projects!$D$32-1),Projects!$B$32*(Assumptions!$B$10+Assumptions!$B$11+Assumptions!$B$12)*0.05,0)</f>
        <v/>
      </c>
      <c r="CE41" s="399">
        <f>IF(AND(Projects!$G$32="Yes",CE$3&gt;=Projects!$C$32,CE$3&lt;Projects!$C$32+Projects!$D$32),Projects!$B$32*INDEX(Curves!$B$4:$AR$4,1,CE$3-Projects!$C$32+1),0)-IF(AND(Projects!$G$32="Yes",CE$3&gt;=Projects!$C$32,CE$3&lt;Projects!$C$32+Projects!$D$32),Projects!$B$32*(Assumptions!$B$10+Assumptions!$B$11+Assumptions!$B$12)/Projects!$D$32*0.95,0)-IF(AND(Projects!$G$32="Yes",CE$3=Projects!$C$32+Projects!$D$32-1),Projects!$B$32*(Assumptions!$B$10+Assumptions!$B$11+Assumptions!$B$12)*0.05,0)</f>
        <v/>
      </c>
      <c r="CF41" s="399">
        <f>IF(AND(Projects!$G$32="Yes",CF$3&gt;=Projects!$C$32,CF$3&lt;Projects!$C$32+Projects!$D$32),Projects!$B$32*INDEX(Curves!$B$4:$AR$4,1,CF$3-Projects!$C$32+1),0)-IF(AND(Projects!$G$32="Yes",CF$3&gt;=Projects!$C$32,CF$3&lt;Projects!$C$32+Projects!$D$32),Projects!$B$32*(Assumptions!$B$10+Assumptions!$B$11+Assumptions!$B$12)/Projects!$D$32*0.95,0)-IF(AND(Projects!$G$32="Yes",CF$3=Projects!$C$32+Projects!$D$32-1),Projects!$B$32*(Assumptions!$B$10+Assumptions!$B$11+Assumptions!$B$12)*0.05,0)</f>
        <v/>
      </c>
      <c r="CG41" s="399">
        <f>IF(AND(Projects!$G$32="Yes",CG$3&gt;=Projects!$C$32,CG$3&lt;Projects!$C$32+Projects!$D$32),Projects!$B$32*INDEX(Curves!$B$4:$AR$4,1,CG$3-Projects!$C$32+1),0)-IF(AND(Projects!$G$32="Yes",CG$3&gt;=Projects!$C$32,CG$3&lt;Projects!$C$32+Projects!$D$32),Projects!$B$32*(Assumptions!$B$10+Assumptions!$B$11+Assumptions!$B$12)/Projects!$D$32*0.95,0)-IF(AND(Projects!$G$32="Yes",CG$3=Projects!$C$32+Projects!$D$32-1),Projects!$B$32*(Assumptions!$B$10+Assumptions!$B$11+Assumptions!$B$12)*0.05,0)</f>
        <v/>
      </c>
      <c r="CH41" s="399">
        <f>IF(AND(Projects!$G$32="Yes",CH$3&gt;=Projects!$C$32,CH$3&lt;Projects!$C$32+Projects!$D$32),Projects!$B$32*INDEX(Curves!$B$4:$AR$4,1,CH$3-Projects!$C$32+1),0)-IF(AND(Projects!$G$32="Yes",CH$3&gt;=Projects!$C$32,CH$3&lt;Projects!$C$32+Projects!$D$32),Projects!$B$32*(Assumptions!$B$10+Assumptions!$B$11+Assumptions!$B$12)/Projects!$D$32*0.95,0)-IF(AND(Projects!$G$32="Yes",CH$3=Projects!$C$32+Projects!$D$32-1),Projects!$B$32*(Assumptions!$B$10+Assumptions!$B$11+Assumptions!$B$12)*0.05,0)</f>
        <v/>
      </c>
      <c r="CI41" s="399">
        <f>IF(AND(Projects!$G$32="Yes",CI$3&gt;=Projects!$C$32,CI$3&lt;Projects!$C$32+Projects!$D$32),Projects!$B$32*INDEX(Curves!$B$4:$AR$4,1,CI$3-Projects!$C$32+1),0)-IF(AND(Projects!$G$32="Yes",CI$3&gt;=Projects!$C$32,CI$3&lt;Projects!$C$32+Projects!$D$32),Projects!$B$32*(Assumptions!$B$10+Assumptions!$B$11+Assumptions!$B$12)/Projects!$D$32*0.95,0)-IF(AND(Projects!$G$32="Yes",CI$3=Projects!$C$32+Projects!$D$32-1),Projects!$B$32*(Assumptions!$B$10+Assumptions!$B$11+Assumptions!$B$12)*0.05,0)</f>
        <v/>
      </c>
      <c r="CJ41" s="399">
        <f>IF(AND(Projects!$G$32="Yes",CJ$3&gt;=Projects!$C$32,CJ$3&lt;Projects!$C$32+Projects!$D$32),Projects!$B$32*INDEX(Curves!$B$4:$AR$4,1,CJ$3-Projects!$C$32+1),0)-IF(AND(Projects!$G$32="Yes",CJ$3&gt;=Projects!$C$32,CJ$3&lt;Projects!$C$32+Projects!$D$32),Projects!$B$32*(Assumptions!$B$10+Assumptions!$B$11+Assumptions!$B$12)/Projects!$D$32*0.95,0)-IF(AND(Projects!$G$32="Yes",CJ$3=Projects!$C$32+Projects!$D$32-1),Projects!$B$32*(Assumptions!$B$10+Assumptions!$B$11+Assumptions!$B$12)*0.05,0)</f>
        <v/>
      </c>
      <c r="CK41" s="399">
        <f>IF(AND(Projects!$G$32="Yes",CK$3&gt;=Projects!$C$32,CK$3&lt;Projects!$C$32+Projects!$D$32),Projects!$B$32*INDEX(Curves!$B$4:$AR$4,1,CK$3-Projects!$C$32+1),0)-IF(AND(Projects!$G$32="Yes",CK$3&gt;=Projects!$C$32,CK$3&lt;Projects!$C$32+Projects!$D$32),Projects!$B$32*(Assumptions!$B$10+Assumptions!$B$11+Assumptions!$B$12)/Projects!$D$32*0.95,0)-IF(AND(Projects!$G$32="Yes",CK$3=Projects!$C$32+Projects!$D$32-1),Projects!$B$32*(Assumptions!$B$10+Assumptions!$B$11+Assumptions!$B$12)*0.05,0)</f>
        <v/>
      </c>
      <c r="CL41" s="399">
        <f>IF(AND(Projects!$G$32="Yes",CL$3&gt;=Projects!$C$32,CL$3&lt;Projects!$C$32+Projects!$D$32),Projects!$B$32*INDEX(Curves!$B$4:$AR$4,1,CL$3-Projects!$C$32+1),0)-IF(AND(Projects!$G$32="Yes",CL$3&gt;=Projects!$C$32,CL$3&lt;Projects!$C$32+Projects!$D$32),Projects!$B$32*(Assumptions!$B$10+Assumptions!$B$11+Assumptions!$B$12)/Projects!$D$32*0.95,0)-IF(AND(Projects!$G$32="Yes",CL$3=Projects!$C$32+Projects!$D$32-1),Projects!$B$32*(Assumptions!$B$10+Assumptions!$B$11+Assumptions!$B$12)*0.05,0)</f>
        <v/>
      </c>
      <c r="CM41" s="399">
        <f>IF(AND(Projects!$G$32="Yes",CM$3&gt;=Projects!$C$32,CM$3&lt;Projects!$C$32+Projects!$D$32),Projects!$B$32*INDEX(Curves!$B$4:$AR$4,1,CM$3-Projects!$C$32+1),0)-IF(AND(Projects!$G$32="Yes",CM$3&gt;=Projects!$C$32,CM$3&lt;Projects!$C$32+Projects!$D$32),Projects!$B$32*(Assumptions!$B$10+Assumptions!$B$11+Assumptions!$B$12)/Projects!$D$32*0.95,0)-IF(AND(Projects!$G$32="Yes",CM$3=Projects!$C$32+Projects!$D$32-1),Projects!$B$32*(Assumptions!$B$10+Assumptions!$B$11+Assumptions!$B$12)*0.05,0)</f>
        <v/>
      </c>
      <c r="CN41" s="399">
        <f>IF(AND(Projects!$G$32="Yes",CN$3&gt;=Projects!$C$32,CN$3&lt;Projects!$C$32+Projects!$D$32),Projects!$B$32*INDEX(Curves!$B$4:$AR$4,1,CN$3-Projects!$C$32+1),0)-IF(AND(Projects!$G$32="Yes",CN$3&gt;=Projects!$C$32,CN$3&lt;Projects!$C$32+Projects!$D$32),Projects!$B$32*(Assumptions!$B$10+Assumptions!$B$11+Assumptions!$B$12)/Projects!$D$32*0.95,0)-IF(AND(Projects!$G$32="Yes",CN$3=Projects!$C$32+Projects!$D$32-1),Projects!$B$32*(Assumptions!$B$10+Assumptions!$B$11+Assumptions!$B$12)*0.05,0)</f>
        <v/>
      </c>
      <c r="CO41" s="399">
        <f>IF(AND(Projects!$G$32="Yes",CO$3&gt;=Projects!$C$32,CO$3&lt;Projects!$C$32+Projects!$D$32),Projects!$B$32*INDEX(Curves!$B$4:$AR$4,1,CO$3-Projects!$C$32+1),0)-IF(AND(Projects!$G$32="Yes",CO$3&gt;=Projects!$C$32,CO$3&lt;Projects!$C$32+Projects!$D$32),Projects!$B$32*(Assumptions!$B$10+Assumptions!$B$11+Assumptions!$B$12)/Projects!$D$32*0.95,0)-IF(AND(Projects!$G$32="Yes",CO$3=Projects!$C$32+Projects!$D$32-1),Projects!$B$32*(Assumptions!$B$10+Assumptions!$B$11+Assumptions!$B$12)*0.05,0)</f>
        <v/>
      </c>
      <c r="CP41" s="399">
        <f>IF(AND(Projects!$G$32="Yes",CP$3&gt;=Projects!$C$32,CP$3&lt;Projects!$C$32+Projects!$D$32),Projects!$B$32*INDEX(Curves!$B$4:$AR$4,1,CP$3-Projects!$C$32+1),0)-IF(AND(Projects!$G$32="Yes",CP$3&gt;=Projects!$C$32,CP$3&lt;Projects!$C$32+Projects!$D$32),Projects!$B$32*(Assumptions!$B$10+Assumptions!$B$11+Assumptions!$B$12)/Projects!$D$32*0.95,0)-IF(AND(Projects!$G$32="Yes",CP$3=Projects!$C$32+Projects!$D$32-1),Projects!$B$32*(Assumptions!$B$10+Assumptions!$B$11+Assumptions!$B$12)*0.05,0)</f>
        <v/>
      </c>
      <c r="CQ41" s="399">
        <f>IF(AND(Projects!$G$32="Yes",CQ$3&gt;=Projects!$C$32,CQ$3&lt;Projects!$C$32+Projects!$D$32),Projects!$B$32*INDEX(Curves!$B$4:$AR$4,1,CQ$3-Projects!$C$32+1),0)-IF(AND(Projects!$G$32="Yes",CQ$3&gt;=Projects!$C$32,CQ$3&lt;Projects!$C$32+Projects!$D$32),Projects!$B$32*(Assumptions!$B$10+Assumptions!$B$11+Assumptions!$B$12)/Projects!$D$32*0.95,0)-IF(AND(Projects!$G$32="Yes",CQ$3=Projects!$C$32+Projects!$D$32-1),Projects!$B$32*(Assumptions!$B$10+Assumptions!$B$11+Assumptions!$B$12)*0.05,0)</f>
        <v/>
      </c>
      <c r="CR41" s="399">
        <f>IF(AND(Projects!$G$32="Yes",CR$3&gt;=Projects!$C$32,CR$3&lt;Projects!$C$32+Projects!$D$32),Projects!$B$32*INDEX(Curves!$B$4:$AR$4,1,CR$3-Projects!$C$32+1),0)-IF(AND(Projects!$G$32="Yes",CR$3&gt;=Projects!$C$32,CR$3&lt;Projects!$C$32+Projects!$D$32),Projects!$B$32*(Assumptions!$B$10+Assumptions!$B$11+Assumptions!$B$12)/Projects!$D$32*0.95,0)-IF(AND(Projects!$G$32="Yes",CR$3=Projects!$C$32+Projects!$D$32-1),Projects!$B$32*(Assumptions!$B$10+Assumptions!$B$11+Assumptions!$B$12)*0.05,0)</f>
        <v/>
      </c>
      <c r="CS41" s="399">
        <f>IF(AND(Projects!$G$32="Yes",CS$3&gt;=Projects!$C$32,CS$3&lt;Projects!$C$32+Projects!$D$32),Projects!$B$32*INDEX(Curves!$B$4:$AR$4,1,CS$3-Projects!$C$32+1),0)-IF(AND(Projects!$G$32="Yes",CS$3&gt;=Projects!$C$32,CS$3&lt;Projects!$C$32+Projects!$D$32),Projects!$B$32*(Assumptions!$B$10+Assumptions!$B$11+Assumptions!$B$12)/Projects!$D$32*0.95,0)-IF(AND(Projects!$G$32="Yes",CS$3=Projects!$C$32+Projects!$D$32-1),Projects!$B$32*(Assumptions!$B$10+Assumptions!$B$11+Assumptions!$B$12)*0.05,0)</f>
        <v/>
      </c>
      <c r="CT41" s="399">
        <f>IF(AND(Projects!$G$32="Yes",CT$3&gt;=Projects!$C$32,CT$3&lt;Projects!$C$32+Projects!$D$32),Projects!$B$32*INDEX(Curves!$B$4:$AR$4,1,CT$3-Projects!$C$32+1),0)-IF(AND(Projects!$G$32="Yes",CT$3&gt;=Projects!$C$32,CT$3&lt;Projects!$C$32+Projects!$D$32),Projects!$B$32*(Assumptions!$B$10+Assumptions!$B$11+Assumptions!$B$12)/Projects!$D$32*0.95,0)-IF(AND(Projects!$G$32="Yes",CT$3=Projects!$C$32+Projects!$D$32-1),Projects!$B$32*(Assumptions!$B$10+Assumptions!$B$11+Assumptions!$B$12)*0.05,0)</f>
        <v/>
      </c>
      <c r="CU41" s="399">
        <f>IF(AND(Projects!$G$32="Yes",CU$3&gt;=Projects!$C$32,CU$3&lt;Projects!$C$32+Projects!$D$32),Projects!$B$32*INDEX(Curves!$B$4:$AR$4,1,CU$3-Projects!$C$32+1),0)-IF(AND(Projects!$G$32="Yes",CU$3&gt;=Projects!$C$32,CU$3&lt;Projects!$C$32+Projects!$D$32),Projects!$B$32*(Assumptions!$B$10+Assumptions!$B$11+Assumptions!$B$12)/Projects!$D$32*0.95,0)-IF(AND(Projects!$G$32="Yes",CU$3=Projects!$C$32+Projects!$D$32-1),Projects!$B$32*(Assumptions!$B$10+Assumptions!$B$11+Assumptions!$B$12)*0.05,0)</f>
        <v/>
      </c>
      <c r="CV41" s="399">
        <f>IF(AND(Projects!$G$32="Yes",CV$3&gt;=Projects!$C$32,CV$3&lt;Projects!$C$32+Projects!$D$32),Projects!$B$32*INDEX(Curves!$B$4:$AR$4,1,CV$3-Projects!$C$32+1),0)-IF(AND(Projects!$G$32="Yes",CV$3&gt;=Projects!$C$32,CV$3&lt;Projects!$C$32+Projects!$D$32),Projects!$B$32*(Assumptions!$B$10+Assumptions!$B$11+Assumptions!$B$12)/Projects!$D$32*0.95,0)-IF(AND(Projects!$G$32="Yes",CV$3=Projects!$C$32+Projects!$D$32-1),Projects!$B$32*(Assumptions!$B$10+Assumptions!$B$11+Assumptions!$B$12)*0.05,0)</f>
        <v/>
      </c>
      <c r="CW41" s="399">
        <f>IF(AND(Projects!$G$32="Yes",CW$3&gt;=Projects!$C$32,CW$3&lt;Projects!$C$32+Projects!$D$32),Projects!$B$32*INDEX(Curves!$B$4:$AR$4,1,CW$3-Projects!$C$32+1),0)-IF(AND(Projects!$G$32="Yes",CW$3&gt;=Projects!$C$32,CW$3&lt;Projects!$C$32+Projects!$D$32),Projects!$B$32*(Assumptions!$B$10+Assumptions!$B$11+Assumptions!$B$12)/Projects!$D$32*0.95,0)-IF(AND(Projects!$G$32="Yes",CW$3=Projects!$C$32+Projects!$D$32-1),Projects!$B$32*(Assumptions!$B$10+Assumptions!$B$11+Assumptions!$B$12)*0.05,0)</f>
        <v/>
      </c>
      <c r="CX41" s="399">
        <f>IF(AND(Projects!$G$32="Yes",CX$3&gt;=Projects!$C$32,CX$3&lt;Projects!$C$32+Projects!$D$32),Projects!$B$32*INDEX(Curves!$B$4:$AR$4,1,CX$3-Projects!$C$32+1),0)-IF(AND(Projects!$G$32="Yes",CX$3&gt;=Projects!$C$32,CX$3&lt;Projects!$C$32+Projects!$D$32),Projects!$B$32*(Assumptions!$B$10+Assumptions!$B$11+Assumptions!$B$12)/Projects!$D$32*0.95,0)-IF(AND(Projects!$G$32="Yes",CX$3=Projects!$C$32+Projects!$D$32-1),Projects!$B$32*(Assumptions!$B$10+Assumptions!$B$11+Assumptions!$B$12)*0.05,0)</f>
        <v/>
      </c>
      <c r="CY41" s="399">
        <f>IF(AND(Projects!$G$32="Yes",CY$3&gt;=Projects!$C$32,CY$3&lt;Projects!$C$32+Projects!$D$32),Projects!$B$32*INDEX(Curves!$B$4:$AR$4,1,CY$3-Projects!$C$32+1),0)-IF(AND(Projects!$G$32="Yes",CY$3&gt;=Projects!$C$32,CY$3&lt;Projects!$C$32+Projects!$D$32),Projects!$B$32*(Assumptions!$B$10+Assumptions!$B$11+Assumptions!$B$12)/Projects!$D$32*0.95,0)-IF(AND(Projects!$G$32="Yes",CY$3=Projects!$C$32+Projects!$D$32-1),Projects!$B$32*(Assumptions!$B$10+Assumptions!$B$11+Assumptions!$B$12)*0.05,0)</f>
        <v/>
      </c>
      <c r="CZ41" s="399">
        <f>IF(AND(Projects!$G$32="Yes",CZ$3&gt;=Projects!$C$32,CZ$3&lt;Projects!$C$32+Projects!$D$32),Projects!$B$32*INDEX(Curves!$B$4:$AR$4,1,CZ$3-Projects!$C$32+1),0)-IF(AND(Projects!$G$32="Yes",CZ$3&gt;=Projects!$C$32,CZ$3&lt;Projects!$C$32+Projects!$D$32),Projects!$B$32*(Assumptions!$B$10+Assumptions!$B$11+Assumptions!$B$12)/Projects!$D$32*0.95,0)-IF(AND(Projects!$G$32="Yes",CZ$3=Projects!$C$32+Projects!$D$32-1),Projects!$B$32*(Assumptions!$B$10+Assumptions!$B$11+Assumptions!$B$12)*0.05,0)</f>
        <v/>
      </c>
      <c r="DA41" s="399">
        <f>IF(AND(Projects!$G$32="Yes",DA$3&gt;=Projects!$C$32,DA$3&lt;Projects!$C$32+Projects!$D$32),Projects!$B$32*INDEX(Curves!$B$4:$AR$4,1,DA$3-Projects!$C$32+1),0)-IF(AND(Projects!$G$32="Yes",DA$3&gt;=Projects!$C$32,DA$3&lt;Projects!$C$32+Projects!$D$32),Projects!$B$32*(Assumptions!$B$10+Assumptions!$B$11+Assumptions!$B$12)/Projects!$D$32*0.95,0)-IF(AND(Projects!$G$32="Yes",DA$3=Projects!$C$32+Projects!$D$32-1),Projects!$B$32*(Assumptions!$B$10+Assumptions!$B$11+Assumptions!$B$12)*0.05,0)</f>
        <v/>
      </c>
      <c r="DB41" s="399">
        <f>IF(AND(Projects!$G$32="Yes",DB$3&gt;=Projects!$C$32,DB$3&lt;Projects!$C$32+Projects!$D$32),Projects!$B$32*INDEX(Curves!$B$4:$AR$4,1,DB$3-Projects!$C$32+1),0)-IF(AND(Projects!$G$32="Yes",DB$3&gt;=Projects!$C$32,DB$3&lt;Projects!$C$32+Projects!$D$32),Projects!$B$32*(Assumptions!$B$10+Assumptions!$B$11+Assumptions!$B$12)/Projects!$D$32*0.95,0)-IF(AND(Projects!$G$32="Yes",DB$3=Projects!$C$32+Projects!$D$32-1),Projects!$B$32*(Assumptions!$B$10+Assumptions!$B$11+Assumptions!$B$12)*0.05,0)</f>
        <v/>
      </c>
      <c r="DC41" s="399">
        <f>IF(AND(Projects!$G$32="Yes",DC$3&gt;=Projects!$C$32,DC$3&lt;Projects!$C$32+Projects!$D$32),Projects!$B$32*INDEX(Curves!$B$4:$AR$4,1,DC$3-Projects!$C$32+1),0)-IF(AND(Projects!$G$32="Yes",DC$3&gt;=Projects!$C$32,DC$3&lt;Projects!$C$32+Projects!$D$32),Projects!$B$32*(Assumptions!$B$10+Assumptions!$B$11+Assumptions!$B$12)/Projects!$D$32*0.95,0)-IF(AND(Projects!$G$32="Yes",DC$3=Projects!$C$32+Projects!$D$32-1),Projects!$B$32*(Assumptions!$B$10+Assumptions!$B$11+Assumptions!$B$12)*0.05,0)</f>
        <v/>
      </c>
      <c r="DD41" s="399">
        <f>IF(AND(Projects!$G$32="Yes",DD$3&gt;=Projects!$C$32,DD$3&lt;Projects!$C$32+Projects!$D$32),Projects!$B$32*INDEX(Curves!$B$4:$AR$4,1,DD$3-Projects!$C$32+1),0)-IF(AND(Projects!$G$32="Yes",DD$3&gt;=Projects!$C$32,DD$3&lt;Projects!$C$32+Projects!$D$32),Projects!$B$32*(Assumptions!$B$10+Assumptions!$B$11+Assumptions!$B$12)/Projects!$D$32*0.95,0)-IF(AND(Projects!$G$32="Yes",DD$3=Projects!$C$32+Projects!$D$32-1),Projects!$B$32*(Assumptions!$B$10+Assumptions!$B$11+Assumptions!$B$12)*0.05,0)</f>
        <v/>
      </c>
      <c r="DE41" s="399">
        <f>IF(AND(Projects!$G$32="Yes",DE$3&gt;=Projects!$C$32,DE$3&lt;Projects!$C$32+Projects!$D$32),Projects!$B$32*INDEX(Curves!$B$4:$AR$4,1,DE$3-Projects!$C$32+1),0)-IF(AND(Projects!$G$32="Yes",DE$3&gt;=Projects!$C$32,DE$3&lt;Projects!$C$32+Projects!$D$32),Projects!$B$32*(Assumptions!$B$10+Assumptions!$B$11+Assumptions!$B$12)/Projects!$D$32*0.95,0)-IF(AND(Projects!$G$32="Yes",DE$3=Projects!$C$32+Projects!$D$32-1),Projects!$B$32*(Assumptions!$B$10+Assumptions!$B$11+Assumptions!$B$12)*0.05,0)</f>
        <v/>
      </c>
    </row>
    <row r="42" hidden="1" outlineLevel="1" ht="15" customFormat="1" customHeight="1" s="380">
      <c r="A42" s="407" t="inlineStr">
        <is>
          <t>BD-17</t>
        </is>
      </c>
      <c r="B42" s="399" t="n">
        <v>0</v>
      </c>
      <c r="C42" s="399" t="n">
        <v>0</v>
      </c>
      <c r="D42" s="399" t="n">
        <v>0</v>
      </c>
      <c r="E42" s="399" t="n">
        <v>0</v>
      </c>
      <c r="F42" s="399">
        <f>IF(AND(Projects!$G$33="Yes",F$3&gt;=Projects!$C$33,F$3&lt;Projects!$C$33+Projects!$D$33),Projects!$B$33*INDEX(Curves!$B$4:$AR$4,1,F$3-Projects!$C$33+1),0)-IF(AND(Projects!$G$33="Yes",F$3&gt;=Projects!$C$33,F$3&lt;Projects!$C$33+Projects!$D$33),Projects!$B$33*(Assumptions!$B$10+Assumptions!$B$11+Assumptions!$B$12)/Projects!$D$33*0.95,0)-IF(AND(Projects!$G$33="Yes",F$3=Projects!$C$33+Projects!$D$33-1),Projects!$B$33*(Assumptions!$B$10+Assumptions!$B$11+Assumptions!$B$12)*0.05,0)</f>
        <v/>
      </c>
      <c r="G42" s="399">
        <f>IF(AND(Projects!$G$33="Yes",G$3&gt;=Projects!$C$33,G$3&lt;Projects!$C$33+Projects!$D$33),Projects!$B$33*INDEX(Curves!$B$4:$AR$4,1,G$3-Projects!$C$33+1),0)-IF(AND(Projects!$G$33="Yes",G$3&gt;=Projects!$C$33,G$3&lt;Projects!$C$33+Projects!$D$33),Projects!$B$33*(Assumptions!$B$10+Assumptions!$B$11+Assumptions!$B$12)/Projects!$D$33*0.95,0)-IF(AND(Projects!$G$33="Yes",G$3=Projects!$C$33+Projects!$D$33-1),Projects!$B$33*(Assumptions!$B$10+Assumptions!$B$11+Assumptions!$B$12)*0.05,0)</f>
        <v/>
      </c>
      <c r="H42" s="399">
        <f>IF(AND(Projects!$G$33="Yes",H$3&gt;=Projects!$C$33,H$3&lt;Projects!$C$33+Projects!$D$33),Projects!$B$33*INDEX(Curves!$B$4:$AR$4,1,H$3-Projects!$C$33+1),0)-IF(AND(Projects!$G$33="Yes",H$3&gt;=Projects!$C$33,H$3&lt;Projects!$C$33+Projects!$D$33),Projects!$B$33*(Assumptions!$B$10+Assumptions!$B$11+Assumptions!$B$12)/Projects!$D$33*0.95,0)-IF(AND(Projects!$G$33="Yes",H$3=Projects!$C$33+Projects!$D$33-1),Projects!$B$33*(Assumptions!$B$10+Assumptions!$B$11+Assumptions!$B$12)*0.05,0)</f>
        <v/>
      </c>
      <c r="I42" s="399">
        <f>IF(AND(Projects!$G$33="Yes",I$3&gt;=Projects!$C$33,I$3&lt;Projects!$C$33+Projects!$D$33),Projects!$B$33*INDEX(Curves!$B$4:$AR$4,1,I$3-Projects!$C$33+1),0)-IF(AND(Projects!$G$33="Yes",I$3&gt;=Projects!$C$33,I$3&lt;Projects!$C$33+Projects!$D$33),Projects!$B$33*(Assumptions!$B$10+Assumptions!$B$11+Assumptions!$B$12)/Projects!$D$33*0.95,0)-IF(AND(Projects!$G$33="Yes",I$3=Projects!$C$33+Projects!$D$33-1),Projects!$B$33*(Assumptions!$B$10+Assumptions!$B$11+Assumptions!$B$12)*0.05,0)</f>
        <v/>
      </c>
      <c r="J42" s="399">
        <f>IF(AND(Projects!$G$33="Yes",J$3&gt;=Projects!$C$33,J$3&lt;Projects!$C$33+Projects!$D$33),Projects!$B$33*INDEX(Curves!$B$4:$AR$4,1,J$3-Projects!$C$33+1),0)-IF(AND(Projects!$G$33="Yes",J$3&gt;=Projects!$C$33,J$3&lt;Projects!$C$33+Projects!$D$33),Projects!$B$33*(Assumptions!$B$10+Assumptions!$B$11+Assumptions!$B$12)/Projects!$D$33*0.95,0)-IF(AND(Projects!$G$33="Yes",J$3=Projects!$C$33+Projects!$D$33-1),Projects!$B$33*(Assumptions!$B$10+Assumptions!$B$11+Assumptions!$B$12)*0.05,0)</f>
        <v/>
      </c>
      <c r="K42" s="399">
        <f>IF(AND(Projects!$G$33="Yes",K$3&gt;=Projects!$C$33,K$3&lt;Projects!$C$33+Projects!$D$33),Projects!$B$33*INDEX(Curves!$B$4:$AR$4,1,K$3-Projects!$C$33+1),0)-IF(AND(Projects!$G$33="Yes",K$3&gt;=Projects!$C$33,K$3&lt;Projects!$C$33+Projects!$D$33),Projects!$B$33*(Assumptions!$B$10+Assumptions!$B$11+Assumptions!$B$12)/Projects!$D$33*0.95,0)-IF(AND(Projects!$G$33="Yes",K$3=Projects!$C$33+Projects!$D$33-1),Projects!$B$33*(Assumptions!$B$10+Assumptions!$B$11+Assumptions!$B$12)*0.05,0)</f>
        <v/>
      </c>
      <c r="L42" s="399">
        <f>IF(AND(Projects!$G$33="Yes",L$3&gt;=Projects!$C$33,L$3&lt;Projects!$C$33+Projects!$D$33),Projects!$B$33*INDEX(Curves!$B$4:$AR$4,1,L$3-Projects!$C$33+1),0)-IF(AND(Projects!$G$33="Yes",L$3&gt;=Projects!$C$33,L$3&lt;Projects!$C$33+Projects!$D$33),Projects!$B$33*(Assumptions!$B$10+Assumptions!$B$11+Assumptions!$B$12)/Projects!$D$33*0.95,0)-IF(AND(Projects!$G$33="Yes",L$3=Projects!$C$33+Projects!$D$33-1),Projects!$B$33*(Assumptions!$B$10+Assumptions!$B$11+Assumptions!$B$12)*0.05,0)</f>
        <v/>
      </c>
      <c r="M42" s="399">
        <f>IF(AND(Projects!$G$33="Yes",M$3&gt;=Projects!$C$33,M$3&lt;Projects!$C$33+Projects!$D$33),Projects!$B$33*INDEX(Curves!$B$4:$AR$4,1,M$3-Projects!$C$33+1),0)-IF(AND(Projects!$G$33="Yes",M$3&gt;=Projects!$C$33,M$3&lt;Projects!$C$33+Projects!$D$33),Projects!$B$33*(Assumptions!$B$10+Assumptions!$B$11+Assumptions!$B$12)/Projects!$D$33*0.95,0)-IF(AND(Projects!$G$33="Yes",M$3=Projects!$C$33+Projects!$D$33-1),Projects!$B$33*(Assumptions!$B$10+Assumptions!$B$11+Assumptions!$B$12)*0.05,0)</f>
        <v/>
      </c>
      <c r="N42" s="399">
        <f>IF(AND(Projects!$G$33="Yes",N$3&gt;=Projects!$C$33,N$3&lt;Projects!$C$33+Projects!$D$33),Projects!$B$33*INDEX(Curves!$B$4:$AR$4,1,N$3-Projects!$C$33+1),0)-IF(AND(Projects!$G$33="Yes",N$3&gt;=Projects!$C$33,N$3&lt;Projects!$C$33+Projects!$D$33),Projects!$B$33*(Assumptions!$B$10+Assumptions!$B$11+Assumptions!$B$12)/Projects!$D$33*0.95,0)-IF(AND(Projects!$G$33="Yes",N$3=Projects!$C$33+Projects!$D$33-1),Projects!$B$33*(Assumptions!$B$10+Assumptions!$B$11+Assumptions!$B$12)*0.05,0)</f>
        <v/>
      </c>
      <c r="O42" s="399">
        <f>IF(AND(Projects!$G$33="Yes",O$3&gt;=Projects!$C$33,O$3&lt;Projects!$C$33+Projects!$D$33),Projects!$B$33*INDEX(Curves!$B$4:$AR$4,1,O$3-Projects!$C$33+1),0)-IF(AND(Projects!$G$33="Yes",O$3&gt;=Projects!$C$33,O$3&lt;Projects!$C$33+Projects!$D$33),Projects!$B$33*(Assumptions!$B$10+Assumptions!$B$11+Assumptions!$B$12)/Projects!$D$33*0.95,0)-IF(AND(Projects!$G$33="Yes",O$3=Projects!$C$33+Projects!$D$33-1),Projects!$B$33*(Assumptions!$B$10+Assumptions!$B$11+Assumptions!$B$12)*0.05,0)</f>
        <v/>
      </c>
      <c r="P42" s="399">
        <f>IF(AND(Projects!$G$33="Yes",P$3&gt;=Projects!$C$33,P$3&lt;Projects!$C$33+Projects!$D$33),Projects!$B$33*INDEX(Curves!$B$4:$AR$4,1,P$3-Projects!$C$33+1),0)-IF(AND(Projects!$G$33="Yes",P$3&gt;=Projects!$C$33,P$3&lt;Projects!$C$33+Projects!$D$33),Projects!$B$33*(Assumptions!$B$10+Assumptions!$B$11+Assumptions!$B$12)/Projects!$D$33*0.95,0)-IF(AND(Projects!$G$33="Yes",P$3=Projects!$C$33+Projects!$D$33-1),Projects!$B$33*(Assumptions!$B$10+Assumptions!$B$11+Assumptions!$B$12)*0.05,0)</f>
        <v/>
      </c>
      <c r="Q42" s="399">
        <f>IF(AND(Projects!$G$33="Yes",Q$3&gt;=Projects!$C$33,Q$3&lt;Projects!$C$33+Projects!$D$33),Projects!$B$33*INDEX(Curves!$B$4:$AR$4,1,Q$3-Projects!$C$33+1),0)-IF(AND(Projects!$G$33="Yes",Q$3&gt;=Projects!$C$33,Q$3&lt;Projects!$C$33+Projects!$D$33),Projects!$B$33*(Assumptions!$B$10+Assumptions!$B$11+Assumptions!$B$12)/Projects!$D$33*0.95,0)-IF(AND(Projects!$G$33="Yes",Q$3=Projects!$C$33+Projects!$D$33-1),Projects!$B$33*(Assumptions!$B$10+Assumptions!$B$11+Assumptions!$B$12)*0.05,0)</f>
        <v/>
      </c>
      <c r="R42" s="399">
        <f>IF(AND(Projects!$G$33="Yes",R$3&gt;=Projects!$C$33,R$3&lt;Projects!$C$33+Projects!$D$33),Projects!$B$33*INDEX(Curves!$B$4:$AR$4,1,R$3-Projects!$C$33+1),0)-IF(AND(Projects!$G$33="Yes",R$3&gt;=Projects!$C$33,R$3&lt;Projects!$C$33+Projects!$D$33),Projects!$B$33*(Assumptions!$B$10+Assumptions!$B$11+Assumptions!$B$12)/Projects!$D$33*0.95,0)-IF(AND(Projects!$G$33="Yes",R$3=Projects!$C$33+Projects!$D$33-1),Projects!$B$33*(Assumptions!$B$10+Assumptions!$B$11+Assumptions!$B$12)*0.05,0)</f>
        <v/>
      </c>
      <c r="S42" s="399">
        <f>IF(AND(Projects!$G$33="Yes",S$3&gt;=Projects!$C$33,S$3&lt;Projects!$C$33+Projects!$D$33),Projects!$B$33*INDEX(Curves!$B$4:$AR$4,1,S$3-Projects!$C$33+1),0)-IF(AND(Projects!$G$33="Yes",S$3&gt;=Projects!$C$33,S$3&lt;Projects!$C$33+Projects!$D$33),Projects!$B$33*(Assumptions!$B$10+Assumptions!$B$11+Assumptions!$B$12)/Projects!$D$33*0.95,0)-IF(AND(Projects!$G$33="Yes",S$3=Projects!$C$33+Projects!$D$33-1),Projects!$B$33*(Assumptions!$B$10+Assumptions!$B$11+Assumptions!$B$12)*0.05,0)</f>
        <v/>
      </c>
      <c r="T42" s="399">
        <f>IF(AND(Projects!$G$33="Yes",T$3&gt;=Projects!$C$33,T$3&lt;Projects!$C$33+Projects!$D$33),Projects!$B$33*INDEX(Curves!$B$4:$AR$4,1,T$3-Projects!$C$33+1),0)-IF(AND(Projects!$G$33="Yes",T$3&gt;=Projects!$C$33,T$3&lt;Projects!$C$33+Projects!$D$33),Projects!$B$33*(Assumptions!$B$10+Assumptions!$B$11+Assumptions!$B$12)/Projects!$D$33*0.95,0)-IF(AND(Projects!$G$33="Yes",T$3=Projects!$C$33+Projects!$D$33-1),Projects!$B$33*(Assumptions!$B$10+Assumptions!$B$11+Assumptions!$B$12)*0.05,0)</f>
        <v/>
      </c>
      <c r="U42" s="399">
        <f>IF(AND(Projects!$G$33="Yes",U$3&gt;=Projects!$C$33,U$3&lt;Projects!$C$33+Projects!$D$33),Projects!$B$33*INDEX(Curves!$B$4:$AR$4,1,U$3-Projects!$C$33+1),0)-IF(AND(Projects!$G$33="Yes",U$3&gt;=Projects!$C$33,U$3&lt;Projects!$C$33+Projects!$D$33),Projects!$B$33*(Assumptions!$B$10+Assumptions!$B$11+Assumptions!$B$12)/Projects!$D$33*0.95,0)-IF(AND(Projects!$G$33="Yes",U$3=Projects!$C$33+Projects!$D$33-1),Projects!$B$33*(Assumptions!$B$10+Assumptions!$B$11+Assumptions!$B$12)*0.05,0)</f>
        <v/>
      </c>
      <c r="V42" s="399">
        <f>IF(AND(Projects!$G$33="Yes",V$3&gt;=Projects!$C$33,V$3&lt;Projects!$C$33+Projects!$D$33),Projects!$B$33*INDEX(Curves!$B$4:$AR$4,1,V$3-Projects!$C$33+1),0)-IF(AND(Projects!$G$33="Yes",V$3&gt;=Projects!$C$33,V$3&lt;Projects!$C$33+Projects!$D$33),Projects!$B$33*(Assumptions!$B$10+Assumptions!$B$11+Assumptions!$B$12)/Projects!$D$33*0.95,0)-IF(AND(Projects!$G$33="Yes",V$3=Projects!$C$33+Projects!$D$33-1),Projects!$B$33*(Assumptions!$B$10+Assumptions!$B$11+Assumptions!$B$12)*0.05,0)</f>
        <v/>
      </c>
      <c r="W42" s="399">
        <f>IF(AND(Projects!$G$33="Yes",W$3&gt;=Projects!$C$33,W$3&lt;Projects!$C$33+Projects!$D$33),Projects!$B$33*INDEX(Curves!$B$4:$AR$4,1,W$3-Projects!$C$33+1),0)-IF(AND(Projects!$G$33="Yes",W$3&gt;=Projects!$C$33,W$3&lt;Projects!$C$33+Projects!$D$33),Projects!$B$33*(Assumptions!$B$10+Assumptions!$B$11+Assumptions!$B$12)/Projects!$D$33*0.95,0)-IF(AND(Projects!$G$33="Yes",W$3=Projects!$C$33+Projects!$D$33-1),Projects!$B$33*(Assumptions!$B$10+Assumptions!$B$11+Assumptions!$B$12)*0.05,0)</f>
        <v/>
      </c>
      <c r="X42" s="399">
        <f>IF(AND(Projects!$G$33="Yes",X$3&gt;=Projects!$C$33,X$3&lt;Projects!$C$33+Projects!$D$33),Projects!$B$33*INDEX(Curves!$B$4:$AR$4,1,X$3-Projects!$C$33+1),0)-IF(AND(Projects!$G$33="Yes",X$3&gt;=Projects!$C$33,X$3&lt;Projects!$C$33+Projects!$D$33),Projects!$B$33*(Assumptions!$B$10+Assumptions!$B$11+Assumptions!$B$12)/Projects!$D$33*0.95,0)-IF(AND(Projects!$G$33="Yes",X$3=Projects!$C$33+Projects!$D$33-1),Projects!$B$33*(Assumptions!$B$10+Assumptions!$B$11+Assumptions!$B$12)*0.05,0)</f>
        <v/>
      </c>
      <c r="Y42" s="399">
        <f>IF(AND(Projects!$G$33="Yes",Y$3&gt;=Projects!$C$33,Y$3&lt;Projects!$C$33+Projects!$D$33),Projects!$B$33*INDEX(Curves!$B$4:$AR$4,1,Y$3-Projects!$C$33+1),0)-IF(AND(Projects!$G$33="Yes",Y$3&gt;=Projects!$C$33,Y$3&lt;Projects!$C$33+Projects!$D$33),Projects!$B$33*(Assumptions!$B$10+Assumptions!$B$11+Assumptions!$B$12)/Projects!$D$33*0.95,0)-IF(AND(Projects!$G$33="Yes",Y$3=Projects!$C$33+Projects!$D$33-1),Projects!$B$33*(Assumptions!$B$10+Assumptions!$B$11+Assumptions!$B$12)*0.05,0)</f>
        <v/>
      </c>
      <c r="Z42" s="399">
        <f>IF(AND(Projects!$G$33="Yes",Z$3&gt;=Projects!$C$33,Z$3&lt;Projects!$C$33+Projects!$D$33),Projects!$B$33*INDEX(Curves!$B$4:$AR$4,1,Z$3-Projects!$C$33+1),0)-IF(AND(Projects!$G$33="Yes",Z$3&gt;=Projects!$C$33,Z$3&lt;Projects!$C$33+Projects!$D$33),Projects!$B$33*(Assumptions!$B$10+Assumptions!$B$11+Assumptions!$B$12)/Projects!$D$33*0.95,0)-IF(AND(Projects!$G$33="Yes",Z$3=Projects!$C$33+Projects!$D$33-1),Projects!$B$33*(Assumptions!$B$10+Assumptions!$B$11+Assumptions!$B$12)*0.05,0)</f>
        <v/>
      </c>
      <c r="AA42" s="399">
        <f>IF(AND(Projects!$G$33="Yes",AA$3&gt;=Projects!$C$33,AA$3&lt;Projects!$C$33+Projects!$D$33),Projects!$B$33*INDEX(Curves!$B$4:$AR$4,1,AA$3-Projects!$C$33+1),0)-IF(AND(Projects!$G$33="Yes",AA$3&gt;=Projects!$C$33,AA$3&lt;Projects!$C$33+Projects!$D$33),Projects!$B$33*(Assumptions!$B$10+Assumptions!$B$11+Assumptions!$B$12)/Projects!$D$33*0.95,0)-IF(AND(Projects!$G$33="Yes",AA$3=Projects!$C$33+Projects!$D$33-1),Projects!$B$33*(Assumptions!$B$10+Assumptions!$B$11+Assumptions!$B$12)*0.05,0)</f>
        <v/>
      </c>
      <c r="AB42" s="399">
        <f>IF(AND(Projects!$G$33="Yes",AB$3&gt;=Projects!$C$33,AB$3&lt;Projects!$C$33+Projects!$D$33),Projects!$B$33*INDEX(Curves!$B$4:$AR$4,1,AB$3-Projects!$C$33+1),0)-IF(AND(Projects!$G$33="Yes",AB$3&gt;=Projects!$C$33,AB$3&lt;Projects!$C$33+Projects!$D$33),Projects!$B$33*(Assumptions!$B$10+Assumptions!$B$11+Assumptions!$B$12)/Projects!$D$33*0.95,0)-IF(AND(Projects!$G$33="Yes",AB$3=Projects!$C$33+Projects!$D$33-1),Projects!$B$33*(Assumptions!$B$10+Assumptions!$B$11+Assumptions!$B$12)*0.05,0)</f>
        <v/>
      </c>
      <c r="AC42" s="399">
        <f>IF(AND(Projects!$G$33="Yes",AC$3&gt;=Projects!$C$33,AC$3&lt;Projects!$C$33+Projects!$D$33),Projects!$B$33*INDEX(Curves!$B$4:$AR$4,1,AC$3-Projects!$C$33+1),0)-IF(AND(Projects!$G$33="Yes",AC$3&gt;=Projects!$C$33,AC$3&lt;Projects!$C$33+Projects!$D$33),Projects!$B$33*(Assumptions!$B$10+Assumptions!$B$11+Assumptions!$B$12)/Projects!$D$33*0.95,0)-IF(AND(Projects!$G$33="Yes",AC$3=Projects!$C$33+Projects!$D$33-1),Projects!$B$33*(Assumptions!$B$10+Assumptions!$B$11+Assumptions!$B$12)*0.05,0)</f>
        <v/>
      </c>
      <c r="AD42" s="399">
        <f>IF(AND(Projects!$G$33="Yes",AD$3&gt;=Projects!$C$33,AD$3&lt;Projects!$C$33+Projects!$D$33),Projects!$B$33*INDEX(Curves!$B$4:$AR$4,1,AD$3-Projects!$C$33+1),0)-IF(AND(Projects!$G$33="Yes",AD$3&gt;=Projects!$C$33,AD$3&lt;Projects!$C$33+Projects!$D$33),Projects!$B$33*(Assumptions!$B$10+Assumptions!$B$11+Assumptions!$B$12)/Projects!$D$33*0.95,0)-IF(AND(Projects!$G$33="Yes",AD$3=Projects!$C$33+Projects!$D$33-1),Projects!$B$33*(Assumptions!$B$10+Assumptions!$B$11+Assumptions!$B$12)*0.05,0)</f>
        <v/>
      </c>
      <c r="AE42" s="399">
        <f>IF(AND(Projects!$G$33="Yes",AE$3&gt;=Projects!$C$33,AE$3&lt;Projects!$C$33+Projects!$D$33),Projects!$B$33*INDEX(Curves!$B$4:$AR$4,1,AE$3-Projects!$C$33+1),0)-IF(AND(Projects!$G$33="Yes",AE$3&gt;=Projects!$C$33,AE$3&lt;Projects!$C$33+Projects!$D$33),Projects!$B$33*(Assumptions!$B$10+Assumptions!$B$11+Assumptions!$B$12)/Projects!$D$33*0.95,0)-IF(AND(Projects!$G$33="Yes",AE$3=Projects!$C$33+Projects!$D$33-1),Projects!$B$33*(Assumptions!$B$10+Assumptions!$B$11+Assumptions!$B$12)*0.05,0)</f>
        <v/>
      </c>
      <c r="AF42" s="399">
        <f>IF(AND(Projects!$G$33="Yes",AF$3&gt;=Projects!$C$33,AF$3&lt;Projects!$C$33+Projects!$D$33),Projects!$B$33*INDEX(Curves!$B$4:$AR$4,1,AF$3-Projects!$C$33+1),0)-IF(AND(Projects!$G$33="Yes",AF$3&gt;=Projects!$C$33,AF$3&lt;Projects!$C$33+Projects!$D$33),Projects!$B$33*(Assumptions!$B$10+Assumptions!$B$11+Assumptions!$B$12)/Projects!$D$33*0.95,0)-IF(AND(Projects!$G$33="Yes",AF$3=Projects!$C$33+Projects!$D$33-1),Projects!$B$33*(Assumptions!$B$10+Assumptions!$B$11+Assumptions!$B$12)*0.05,0)</f>
        <v/>
      </c>
      <c r="AG42" s="399">
        <f>IF(AND(Projects!$G$33="Yes",AG$3&gt;=Projects!$C$33,AG$3&lt;Projects!$C$33+Projects!$D$33),Projects!$B$33*INDEX(Curves!$B$4:$AR$4,1,AG$3-Projects!$C$33+1),0)-IF(AND(Projects!$G$33="Yes",AG$3&gt;=Projects!$C$33,AG$3&lt;Projects!$C$33+Projects!$D$33),Projects!$B$33*(Assumptions!$B$10+Assumptions!$B$11+Assumptions!$B$12)/Projects!$D$33*0.95,0)-IF(AND(Projects!$G$33="Yes",AG$3=Projects!$C$33+Projects!$D$33-1),Projects!$B$33*(Assumptions!$B$10+Assumptions!$B$11+Assumptions!$B$12)*0.05,0)</f>
        <v/>
      </c>
      <c r="AH42" s="399">
        <f>IF(AND(Projects!$G$33="Yes",AH$3&gt;=Projects!$C$33,AH$3&lt;Projects!$C$33+Projects!$D$33),Projects!$B$33*INDEX(Curves!$B$4:$AR$4,1,AH$3-Projects!$C$33+1),0)-IF(AND(Projects!$G$33="Yes",AH$3&gt;=Projects!$C$33,AH$3&lt;Projects!$C$33+Projects!$D$33),Projects!$B$33*(Assumptions!$B$10+Assumptions!$B$11+Assumptions!$B$12)/Projects!$D$33*0.95,0)-IF(AND(Projects!$G$33="Yes",AH$3=Projects!$C$33+Projects!$D$33-1),Projects!$B$33*(Assumptions!$B$10+Assumptions!$B$11+Assumptions!$B$12)*0.05,0)</f>
        <v/>
      </c>
      <c r="AI42" s="399">
        <f>IF(AND(Projects!$G$33="Yes",AI$3&gt;=Projects!$C$33,AI$3&lt;Projects!$C$33+Projects!$D$33),Projects!$B$33*INDEX(Curves!$B$4:$AR$4,1,AI$3-Projects!$C$33+1),0)-IF(AND(Projects!$G$33="Yes",AI$3&gt;=Projects!$C$33,AI$3&lt;Projects!$C$33+Projects!$D$33),Projects!$B$33*(Assumptions!$B$10+Assumptions!$B$11+Assumptions!$B$12)/Projects!$D$33*0.95,0)-IF(AND(Projects!$G$33="Yes",AI$3=Projects!$C$33+Projects!$D$33-1),Projects!$B$33*(Assumptions!$B$10+Assumptions!$B$11+Assumptions!$B$12)*0.05,0)</f>
        <v/>
      </c>
      <c r="AJ42" s="399">
        <f>IF(AND(Projects!$G$33="Yes",AJ$3&gt;=Projects!$C$33,AJ$3&lt;Projects!$C$33+Projects!$D$33),Projects!$B$33*INDEX(Curves!$B$4:$AR$4,1,AJ$3-Projects!$C$33+1),0)-IF(AND(Projects!$G$33="Yes",AJ$3&gt;=Projects!$C$33,AJ$3&lt;Projects!$C$33+Projects!$D$33),Projects!$B$33*(Assumptions!$B$10+Assumptions!$B$11+Assumptions!$B$12)/Projects!$D$33*0.95,0)-IF(AND(Projects!$G$33="Yes",AJ$3=Projects!$C$33+Projects!$D$33-1),Projects!$B$33*(Assumptions!$B$10+Assumptions!$B$11+Assumptions!$B$12)*0.05,0)</f>
        <v/>
      </c>
      <c r="AK42" s="399">
        <f>IF(AND(Projects!$G$33="Yes",AK$3&gt;=Projects!$C$33,AK$3&lt;Projects!$C$33+Projects!$D$33),Projects!$B$33*INDEX(Curves!$B$4:$AR$4,1,AK$3-Projects!$C$33+1),0)-IF(AND(Projects!$G$33="Yes",AK$3&gt;=Projects!$C$33,AK$3&lt;Projects!$C$33+Projects!$D$33),Projects!$B$33*(Assumptions!$B$10+Assumptions!$B$11+Assumptions!$B$12)/Projects!$D$33*0.95,0)-IF(AND(Projects!$G$33="Yes",AK$3=Projects!$C$33+Projects!$D$33-1),Projects!$B$33*(Assumptions!$B$10+Assumptions!$B$11+Assumptions!$B$12)*0.05,0)</f>
        <v/>
      </c>
      <c r="AL42" s="399">
        <f>IF(AND(Projects!$G$33="Yes",AL$3&gt;=Projects!$C$33,AL$3&lt;Projects!$C$33+Projects!$D$33),Projects!$B$33*INDEX(Curves!$B$4:$AR$4,1,AL$3-Projects!$C$33+1),0)-IF(AND(Projects!$G$33="Yes",AL$3&gt;=Projects!$C$33,AL$3&lt;Projects!$C$33+Projects!$D$33),Projects!$B$33*(Assumptions!$B$10+Assumptions!$B$11+Assumptions!$B$12)/Projects!$D$33*0.95,0)-IF(AND(Projects!$G$33="Yes",AL$3=Projects!$C$33+Projects!$D$33-1),Projects!$B$33*(Assumptions!$B$10+Assumptions!$B$11+Assumptions!$B$12)*0.05,0)</f>
        <v/>
      </c>
      <c r="AM42" s="399">
        <f>IF(AND(Projects!$G$33="Yes",AM$3&gt;=Projects!$C$33,AM$3&lt;Projects!$C$33+Projects!$D$33),Projects!$B$33*INDEX(Curves!$B$4:$AR$4,1,AM$3-Projects!$C$33+1),0)-IF(AND(Projects!$G$33="Yes",AM$3&gt;=Projects!$C$33,AM$3&lt;Projects!$C$33+Projects!$D$33),Projects!$B$33*(Assumptions!$B$10+Assumptions!$B$11+Assumptions!$B$12)/Projects!$D$33*0.95,0)-IF(AND(Projects!$G$33="Yes",AM$3=Projects!$C$33+Projects!$D$33-1),Projects!$B$33*(Assumptions!$B$10+Assumptions!$B$11+Assumptions!$B$12)*0.05,0)</f>
        <v/>
      </c>
      <c r="AN42" s="399">
        <f>IF(AND(Projects!$G$33="Yes",AN$3&gt;=Projects!$C$33,AN$3&lt;Projects!$C$33+Projects!$D$33),Projects!$B$33*INDEX(Curves!$B$4:$AR$4,1,AN$3-Projects!$C$33+1),0)-IF(AND(Projects!$G$33="Yes",AN$3&gt;=Projects!$C$33,AN$3&lt;Projects!$C$33+Projects!$D$33),Projects!$B$33*(Assumptions!$B$10+Assumptions!$B$11+Assumptions!$B$12)/Projects!$D$33*0.95,0)-IF(AND(Projects!$G$33="Yes",AN$3=Projects!$C$33+Projects!$D$33-1),Projects!$B$33*(Assumptions!$B$10+Assumptions!$B$11+Assumptions!$B$12)*0.05,0)</f>
        <v/>
      </c>
      <c r="AO42" s="399">
        <f>IF(AND(Projects!$G$33="Yes",AO$3&gt;=Projects!$C$33,AO$3&lt;Projects!$C$33+Projects!$D$33),Projects!$B$33*INDEX(Curves!$B$4:$AR$4,1,AO$3-Projects!$C$33+1),0)-IF(AND(Projects!$G$33="Yes",AO$3&gt;=Projects!$C$33,AO$3&lt;Projects!$C$33+Projects!$D$33),Projects!$B$33*(Assumptions!$B$10+Assumptions!$B$11+Assumptions!$B$12)/Projects!$D$33*0.95,0)-IF(AND(Projects!$G$33="Yes",AO$3=Projects!$C$33+Projects!$D$33-1),Projects!$B$33*(Assumptions!$B$10+Assumptions!$B$11+Assumptions!$B$12)*0.05,0)</f>
        <v/>
      </c>
      <c r="AP42" s="399">
        <f>IF(AND(Projects!$G$33="Yes",AP$3&gt;=Projects!$C$33,AP$3&lt;Projects!$C$33+Projects!$D$33),Projects!$B$33*INDEX(Curves!$B$4:$AR$4,1,AP$3-Projects!$C$33+1),0)-IF(AND(Projects!$G$33="Yes",AP$3&gt;=Projects!$C$33,AP$3&lt;Projects!$C$33+Projects!$D$33),Projects!$B$33*(Assumptions!$B$10+Assumptions!$B$11+Assumptions!$B$12)/Projects!$D$33*0.95,0)-IF(AND(Projects!$G$33="Yes",AP$3=Projects!$C$33+Projects!$D$33-1),Projects!$B$33*(Assumptions!$B$10+Assumptions!$B$11+Assumptions!$B$12)*0.05,0)</f>
        <v/>
      </c>
      <c r="AQ42" s="399">
        <f>IF(AND(Projects!$G$33="Yes",AQ$3&gt;=Projects!$C$33,AQ$3&lt;Projects!$C$33+Projects!$D$33),Projects!$B$33*INDEX(Curves!$B$4:$AR$4,1,AQ$3-Projects!$C$33+1),0)-IF(AND(Projects!$G$33="Yes",AQ$3&gt;=Projects!$C$33,AQ$3&lt;Projects!$C$33+Projects!$D$33),Projects!$B$33*(Assumptions!$B$10+Assumptions!$B$11+Assumptions!$B$12)/Projects!$D$33*0.95,0)-IF(AND(Projects!$G$33="Yes",AQ$3=Projects!$C$33+Projects!$D$33-1),Projects!$B$33*(Assumptions!$B$10+Assumptions!$B$11+Assumptions!$B$12)*0.05,0)</f>
        <v/>
      </c>
      <c r="AR42" s="399">
        <f>IF(AND(Projects!$G$33="Yes",AR$3&gt;=Projects!$C$33,AR$3&lt;Projects!$C$33+Projects!$D$33),Projects!$B$33*INDEX(Curves!$B$4:$AR$4,1,AR$3-Projects!$C$33+1),0)-IF(AND(Projects!$G$33="Yes",AR$3&gt;=Projects!$C$33,AR$3&lt;Projects!$C$33+Projects!$D$33),Projects!$B$33*(Assumptions!$B$10+Assumptions!$B$11+Assumptions!$B$12)/Projects!$D$33*0.95,0)-IF(AND(Projects!$G$33="Yes",AR$3=Projects!$C$33+Projects!$D$33-1),Projects!$B$33*(Assumptions!$B$10+Assumptions!$B$11+Assumptions!$B$12)*0.05,0)</f>
        <v/>
      </c>
      <c r="AS42" s="399">
        <f>IF(AND(Projects!$G$33="Yes",AS$3&gt;=Projects!$C$33,AS$3&lt;Projects!$C$33+Projects!$D$33),Projects!$B$33*INDEX(Curves!$B$4:$AR$4,1,AS$3-Projects!$C$33+1),0)-IF(AND(Projects!$G$33="Yes",AS$3&gt;=Projects!$C$33,AS$3&lt;Projects!$C$33+Projects!$D$33),Projects!$B$33*(Assumptions!$B$10+Assumptions!$B$11+Assumptions!$B$12)/Projects!$D$33*0.95,0)-IF(AND(Projects!$G$33="Yes",AS$3=Projects!$C$33+Projects!$D$33-1),Projects!$B$33*(Assumptions!$B$10+Assumptions!$B$11+Assumptions!$B$12)*0.05,0)</f>
        <v/>
      </c>
      <c r="AT42" s="399">
        <f>IF(AND(Projects!$G$33="Yes",AT$3&gt;=Projects!$C$33,AT$3&lt;Projects!$C$33+Projects!$D$33),Projects!$B$33*INDEX(Curves!$B$4:$AR$4,1,AT$3-Projects!$C$33+1),0)-IF(AND(Projects!$G$33="Yes",AT$3&gt;=Projects!$C$33,AT$3&lt;Projects!$C$33+Projects!$D$33),Projects!$B$33*(Assumptions!$B$10+Assumptions!$B$11+Assumptions!$B$12)/Projects!$D$33*0.95,0)-IF(AND(Projects!$G$33="Yes",AT$3=Projects!$C$33+Projects!$D$33-1),Projects!$B$33*(Assumptions!$B$10+Assumptions!$B$11+Assumptions!$B$12)*0.05,0)</f>
        <v/>
      </c>
      <c r="AU42" s="399">
        <f>IF(AND(Projects!$G$33="Yes",AU$3&gt;=Projects!$C$33,AU$3&lt;Projects!$C$33+Projects!$D$33),Projects!$B$33*INDEX(Curves!$B$4:$AR$4,1,AU$3-Projects!$C$33+1),0)-IF(AND(Projects!$G$33="Yes",AU$3&gt;=Projects!$C$33,AU$3&lt;Projects!$C$33+Projects!$D$33),Projects!$B$33*(Assumptions!$B$10+Assumptions!$B$11+Assumptions!$B$12)/Projects!$D$33*0.95,0)-IF(AND(Projects!$G$33="Yes",AU$3=Projects!$C$33+Projects!$D$33-1),Projects!$B$33*(Assumptions!$B$10+Assumptions!$B$11+Assumptions!$B$12)*0.05,0)</f>
        <v/>
      </c>
      <c r="AV42" s="399">
        <f>IF(AND(Projects!$G$33="Yes",AV$3&gt;=Projects!$C$33,AV$3&lt;Projects!$C$33+Projects!$D$33),Projects!$B$33*INDEX(Curves!$B$4:$AR$4,1,AV$3-Projects!$C$33+1),0)-IF(AND(Projects!$G$33="Yes",AV$3&gt;=Projects!$C$33,AV$3&lt;Projects!$C$33+Projects!$D$33),Projects!$B$33*(Assumptions!$B$10+Assumptions!$B$11+Assumptions!$B$12)/Projects!$D$33*0.95,0)-IF(AND(Projects!$G$33="Yes",AV$3=Projects!$C$33+Projects!$D$33-1),Projects!$B$33*(Assumptions!$B$10+Assumptions!$B$11+Assumptions!$B$12)*0.05,0)</f>
        <v/>
      </c>
      <c r="AW42" s="399">
        <f>IF(AND(Projects!$G$33="Yes",AW$3&gt;=Projects!$C$33,AW$3&lt;Projects!$C$33+Projects!$D$33),Projects!$B$33*INDEX(Curves!$B$4:$AR$4,1,AW$3-Projects!$C$33+1),0)-IF(AND(Projects!$G$33="Yes",AW$3&gt;=Projects!$C$33,AW$3&lt;Projects!$C$33+Projects!$D$33),Projects!$B$33*(Assumptions!$B$10+Assumptions!$B$11+Assumptions!$B$12)/Projects!$D$33*0.95,0)-IF(AND(Projects!$G$33="Yes",AW$3=Projects!$C$33+Projects!$D$33-1),Projects!$B$33*(Assumptions!$B$10+Assumptions!$B$11+Assumptions!$B$12)*0.05,0)</f>
        <v/>
      </c>
      <c r="AX42" s="399">
        <f>IF(AND(Projects!$G$33="Yes",AX$3&gt;=Projects!$C$33,AX$3&lt;Projects!$C$33+Projects!$D$33),Projects!$B$33*INDEX(Curves!$B$4:$AR$4,1,AX$3-Projects!$C$33+1),0)-IF(AND(Projects!$G$33="Yes",AX$3&gt;=Projects!$C$33,AX$3&lt;Projects!$C$33+Projects!$D$33),Projects!$B$33*(Assumptions!$B$10+Assumptions!$B$11+Assumptions!$B$12)/Projects!$D$33*0.95,0)-IF(AND(Projects!$G$33="Yes",AX$3=Projects!$C$33+Projects!$D$33-1),Projects!$B$33*(Assumptions!$B$10+Assumptions!$B$11+Assumptions!$B$12)*0.05,0)</f>
        <v/>
      </c>
      <c r="AY42" s="399">
        <f>IF(AND(Projects!$G$33="Yes",AY$3&gt;=Projects!$C$33,AY$3&lt;Projects!$C$33+Projects!$D$33),Projects!$B$33*INDEX(Curves!$B$4:$AR$4,1,AY$3-Projects!$C$33+1),0)-IF(AND(Projects!$G$33="Yes",AY$3&gt;=Projects!$C$33,AY$3&lt;Projects!$C$33+Projects!$D$33),Projects!$B$33*(Assumptions!$B$10+Assumptions!$B$11+Assumptions!$B$12)/Projects!$D$33*0.95,0)-IF(AND(Projects!$G$33="Yes",AY$3=Projects!$C$33+Projects!$D$33-1),Projects!$B$33*(Assumptions!$B$10+Assumptions!$B$11+Assumptions!$B$12)*0.05,0)</f>
        <v/>
      </c>
      <c r="AZ42" s="399">
        <f>IF(AND(Projects!$G$33="Yes",AZ$3&gt;=Projects!$C$33,AZ$3&lt;Projects!$C$33+Projects!$D$33),Projects!$B$33*INDEX(Curves!$B$4:$AR$4,1,AZ$3-Projects!$C$33+1),0)-IF(AND(Projects!$G$33="Yes",AZ$3&gt;=Projects!$C$33,AZ$3&lt;Projects!$C$33+Projects!$D$33),Projects!$B$33*(Assumptions!$B$10+Assumptions!$B$11+Assumptions!$B$12)/Projects!$D$33*0.95,0)-IF(AND(Projects!$G$33="Yes",AZ$3=Projects!$C$33+Projects!$D$33-1),Projects!$B$33*(Assumptions!$B$10+Assumptions!$B$11+Assumptions!$B$12)*0.05,0)</f>
        <v/>
      </c>
      <c r="BA42" s="399">
        <f>IF(AND(Projects!$G$33="Yes",BA$3&gt;=Projects!$C$33,BA$3&lt;Projects!$C$33+Projects!$D$33),Projects!$B$33*INDEX(Curves!$B$4:$AR$4,1,BA$3-Projects!$C$33+1),0)-IF(AND(Projects!$G$33="Yes",BA$3&gt;=Projects!$C$33,BA$3&lt;Projects!$C$33+Projects!$D$33),Projects!$B$33*(Assumptions!$B$10+Assumptions!$B$11+Assumptions!$B$12)/Projects!$D$33*0.95,0)-IF(AND(Projects!$G$33="Yes",BA$3=Projects!$C$33+Projects!$D$33-1),Projects!$B$33*(Assumptions!$B$10+Assumptions!$B$11+Assumptions!$B$12)*0.05,0)</f>
        <v/>
      </c>
      <c r="BB42" s="399">
        <f>IF(AND(Projects!$G$33="Yes",BB$3&gt;=Projects!$C$33,BB$3&lt;Projects!$C$33+Projects!$D$33),Projects!$B$33*INDEX(Curves!$B$4:$AR$4,1,BB$3-Projects!$C$33+1),0)-IF(AND(Projects!$G$33="Yes",BB$3&gt;=Projects!$C$33,BB$3&lt;Projects!$C$33+Projects!$D$33),Projects!$B$33*(Assumptions!$B$10+Assumptions!$B$11+Assumptions!$B$12)/Projects!$D$33*0.95,0)-IF(AND(Projects!$G$33="Yes",BB$3=Projects!$C$33+Projects!$D$33-1),Projects!$B$33*(Assumptions!$B$10+Assumptions!$B$11+Assumptions!$B$12)*0.05,0)</f>
        <v/>
      </c>
      <c r="BC42" s="399">
        <f>IF(AND(Projects!$G$33="Yes",BC$3&gt;=Projects!$C$33,BC$3&lt;Projects!$C$33+Projects!$D$33),Projects!$B$33*INDEX(Curves!$B$4:$AR$4,1,BC$3-Projects!$C$33+1),0)-IF(AND(Projects!$G$33="Yes",BC$3&gt;=Projects!$C$33,BC$3&lt;Projects!$C$33+Projects!$D$33),Projects!$B$33*(Assumptions!$B$10+Assumptions!$B$11+Assumptions!$B$12)/Projects!$D$33*0.95,0)-IF(AND(Projects!$G$33="Yes",BC$3=Projects!$C$33+Projects!$D$33-1),Projects!$B$33*(Assumptions!$B$10+Assumptions!$B$11+Assumptions!$B$12)*0.05,0)</f>
        <v/>
      </c>
      <c r="BD42" s="399">
        <f>IF(AND(Projects!$G$33="Yes",BD$3&gt;=Projects!$C$33,BD$3&lt;Projects!$C$33+Projects!$D$33),Projects!$B$33*INDEX(Curves!$B$4:$AR$4,1,BD$3-Projects!$C$33+1),0)-IF(AND(Projects!$G$33="Yes",BD$3&gt;=Projects!$C$33,BD$3&lt;Projects!$C$33+Projects!$D$33),Projects!$B$33*(Assumptions!$B$10+Assumptions!$B$11+Assumptions!$B$12)/Projects!$D$33*0.95,0)-IF(AND(Projects!$G$33="Yes",BD$3=Projects!$C$33+Projects!$D$33-1),Projects!$B$33*(Assumptions!$B$10+Assumptions!$B$11+Assumptions!$B$12)*0.05,0)</f>
        <v/>
      </c>
      <c r="BE42" s="399">
        <f>IF(AND(Projects!$G$33="Yes",BE$3&gt;=Projects!$C$33,BE$3&lt;Projects!$C$33+Projects!$D$33),Projects!$B$33*INDEX(Curves!$B$4:$AR$4,1,BE$3-Projects!$C$33+1),0)-IF(AND(Projects!$G$33="Yes",BE$3&gt;=Projects!$C$33,BE$3&lt;Projects!$C$33+Projects!$D$33),Projects!$B$33*(Assumptions!$B$10+Assumptions!$B$11+Assumptions!$B$12)/Projects!$D$33*0.95,0)-IF(AND(Projects!$G$33="Yes",BE$3=Projects!$C$33+Projects!$D$33-1),Projects!$B$33*(Assumptions!$B$10+Assumptions!$B$11+Assumptions!$B$12)*0.05,0)</f>
        <v/>
      </c>
      <c r="BF42" s="399">
        <f>IF(AND(Projects!$G$33="Yes",BF$3&gt;=Projects!$C$33,BF$3&lt;Projects!$C$33+Projects!$D$33),Projects!$B$33*INDEX(Curves!$B$4:$AR$4,1,BF$3-Projects!$C$33+1),0)-IF(AND(Projects!$G$33="Yes",BF$3&gt;=Projects!$C$33,BF$3&lt;Projects!$C$33+Projects!$D$33),Projects!$B$33*(Assumptions!$B$10+Assumptions!$B$11+Assumptions!$B$12)/Projects!$D$33*0.95,0)-IF(AND(Projects!$G$33="Yes",BF$3=Projects!$C$33+Projects!$D$33-1),Projects!$B$33*(Assumptions!$B$10+Assumptions!$B$11+Assumptions!$B$12)*0.05,0)</f>
        <v/>
      </c>
      <c r="BG42" s="399">
        <f>IF(AND(Projects!$G$33="Yes",BG$3&gt;=Projects!$C$33,BG$3&lt;Projects!$C$33+Projects!$D$33),Projects!$B$33*INDEX(Curves!$B$4:$AR$4,1,BG$3-Projects!$C$33+1),0)-IF(AND(Projects!$G$33="Yes",BG$3&gt;=Projects!$C$33,BG$3&lt;Projects!$C$33+Projects!$D$33),Projects!$B$33*(Assumptions!$B$10+Assumptions!$B$11+Assumptions!$B$12)/Projects!$D$33*0.95,0)-IF(AND(Projects!$G$33="Yes",BG$3=Projects!$C$33+Projects!$D$33-1),Projects!$B$33*(Assumptions!$B$10+Assumptions!$B$11+Assumptions!$B$12)*0.05,0)</f>
        <v/>
      </c>
      <c r="BH42" s="399">
        <f>IF(AND(Projects!$G$33="Yes",BH$3&gt;=Projects!$C$33,BH$3&lt;Projects!$C$33+Projects!$D$33),Projects!$B$33*INDEX(Curves!$B$4:$AR$4,1,BH$3-Projects!$C$33+1),0)-IF(AND(Projects!$G$33="Yes",BH$3&gt;=Projects!$C$33,BH$3&lt;Projects!$C$33+Projects!$D$33),Projects!$B$33*(Assumptions!$B$10+Assumptions!$B$11+Assumptions!$B$12)/Projects!$D$33*0.95,0)-IF(AND(Projects!$G$33="Yes",BH$3=Projects!$C$33+Projects!$D$33-1),Projects!$B$33*(Assumptions!$B$10+Assumptions!$B$11+Assumptions!$B$12)*0.05,0)</f>
        <v/>
      </c>
      <c r="BI42" s="399">
        <f>IF(AND(Projects!$G$33="Yes",BI$3&gt;=Projects!$C$33,BI$3&lt;Projects!$C$33+Projects!$D$33),Projects!$B$33*INDEX(Curves!$B$4:$AR$4,1,BI$3-Projects!$C$33+1),0)-IF(AND(Projects!$G$33="Yes",BI$3&gt;=Projects!$C$33,BI$3&lt;Projects!$C$33+Projects!$D$33),Projects!$B$33*(Assumptions!$B$10+Assumptions!$B$11+Assumptions!$B$12)/Projects!$D$33*0.95,0)-IF(AND(Projects!$G$33="Yes",BI$3=Projects!$C$33+Projects!$D$33-1),Projects!$B$33*(Assumptions!$B$10+Assumptions!$B$11+Assumptions!$B$12)*0.05,0)</f>
        <v/>
      </c>
      <c r="BJ42" s="399">
        <f>IF(AND(Projects!$G$33="Yes",BJ$3&gt;=Projects!$C$33,BJ$3&lt;Projects!$C$33+Projects!$D$33),Projects!$B$33*INDEX(Curves!$B$4:$AR$4,1,BJ$3-Projects!$C$33+1),0)-IF(AND(Projects!$G$33="Yes",BJ$3&gt;=Projects!$C$33,BJ$3&lt;Projects!$C$33+Projects!$D$33),Projects!$B$33*(Assumptions!$B$10+Assumptions!$B$11+Assumptions!$B$12)/Projects!$D$33*0.95,0)-IF(AND(Projects!$G$33="Yes",BJ$3=Projects!$C$33+Projects!$D$33-1),Projects!$B$33*(Assumptions!$B$10+Assumptions!$B$11+Assumptions!$B$12)*0.05,0)</f>
        <v/>
      </c>
      <c r="BK42" s="399">
        <f>IF(AND(Projects!$G$33="Yes",BK$3&gt;=Projects!$C$33,BK$3&lt;Projects!$C$33+Projects!$D$33),Projects!$B$33*INDEX(Curves!$B$4:$AR$4,1,BK$3-Projects!$C$33+1),0)-IF(AND(Projects!$G$33="Yes",BK$3&gt;=Projects!$C$33,BK$3&lt;Projects!$C$33+Projects!$D$33),Projects!$B$33*(Assumptions!$B$10+Assumptions!$B$11+Assumptions!$B$12)/Projects!$D$33*0.95,0)-IF(AND(Projects!$G$33="Yes",BK$3=Projects!$C$33+Projects!$D$33-1),Projects!$B$33*(Assumptions!$B$10+Assumptions!$B$11+Assumptions!$B$12)*0.05,0)</f>
        <v/>
      </c>
      <c r="BL42" s="399">
        <f>IF(AND(Projects!$G$33="Yes",BL$3&gt;=Projects!$C$33,BL$3&lt;Projects!$C$33+Projects!$D$33),Projects!$B$33*INDEX(Curves!$B$4:$AR$4,1,BL$3-Projects!$C$33+1),0)-IF(AND(Projects!$G$33="Yes",BL$3&gt;=Projects!$C$33,BL$3&lt;Projects!$C$33+Projects!$D$33),Projects!$B$33*(Assumptions!$B$10+Assumptions!$B$11+Assumptions!$B$12)/Projects!$D$33*0.95,0)-IF(AND(Projects!$G$33="Yes",BL$3=Projects!$C$33+Projects!$D$33-1),Projects!$B$33*(Assumptions!$B$10+Assumptions!$B$11+Assumptions!$B$12)*0.05,0)</f>
        <v/>
      </c>
      <c r="BM42" s="399">
        <f>IF(AND(Projects!$G$33="Yes",BM$3&gt;=Projects!$C$33,BM$3&lt;Projects!$C$33+Projects!$D$33),Projects!$B$33*INDEX(Curves!$B$4:$AR$4,1,BM$3-Projects!$C$33+1),0)-IF(AND(Projects!$G$33="Yes",BM$3&gt;=Projects!$C$33,BM$3&lt;Projects!$C$33+Projects!$D$33),Projects!$B$33*(Assumptions!$B$10+Assumptions!$B$11+Assumptions!$B$12)/Projects!$D$33*0.95,0)-IF(AND(Projects!$G$33="Yes",BM$3=Projects!$C$33+Projects!$D$33-1),Projects!$B$33*(Assumptions!$B$10+Assumptions!$B$11+Assumptions!$B$12)*0.05,0)</f>
        <v/>
      </c>
      <c r="BN42" s="399">
        <f>IF(AND(Projects!$G$33="Yes",BN$3&gt;=Projects!$C$33,BN$3&lt;Projects!$C$33+Projects!$D$33),Projects!$B$33*INDEX(Curves!$B$4:$AR$4,1,BN$3-Projects!$C$33+1),0)-IF(AND(Projects!$G$33="Yes",BN$3&gt;=Projects!$C$33,BN$3&lt;Projects!$C$33+Projects!$D$33),Projects!$B$33*(Assumptions!$B$10+Assumptions!$B$11+Assumptions!$B$12)/Projects!$D$33*0.95,0)-IF(AND(Projects!$G$33="Yes",BN$3=Projects!$C$33+Projects!$D$33-1),Projects!$B$33*(Assumptions!$B$10+Assumptions!$B$11+Assumptions!$B$12)*0.05,0)</f>
        <v/>
      </c>
      <c r="BO42" s="399">
        <f>IF(AND(Projects!$G$33="Yes",BO$3&gt;=Projects!$C$33,BO$3&lt;Projects!$C$33+Projects!$D$33),Projects!$B$33*INDEX(Curves!$B$4:$AR$4,1,BO$3-Projects!$C$33+1),0)-IF(AND(Projects!$G$33="Yes",BO$3&gt;=Projects!$C$33,BO$3&lt;Projects!$C$33+Projects!$D$33),Projects!$B$33*(Assumptions!$B$10+Assumptions!$B$11+Assumptions!$B$12)/Projects!$D$33*0.95,0)-IF(AND(Projects!$G$33="Yes",BO$3=Projects!$C$33+Projects!$D$33-1),Projects!$B$33*(Assumptions!$B$10+Assumptions!$B$11+Assumptions!$B$12)*0.05,0)</f>
        <v/>
      </c>
      <c r="BP42" s="399">
        <f>IF(AND(Projects!$G$33="Yes",BP$3&gt;=Projects!$C$33,BP$3&lt;Projects!$C$33+Projects!$D$33),Projects!$B$33*INDEX(Curves!$B$4:$AR$4,1,BP$3-Projects!$C$33+1),0)-IF(AND(Projects!$G$33="Yes",BP$3&gt;=Projects!$C$33,BP$3&lt;Projects!$C$33+Projects!$D$33),Projects!$B$33*(Assumptions!$B$10+Assumptions!$B$11+Assumptions!$B$12)/Projects!$D$33*0.95,0)-IF(AND(Projects!$G$33="Yes",BP$3=Projects!$C$33+Projects!$D$33-1),Projects!$B$33*(Assumptions!$B$10+Assumptions!$B$11+Assumptions!$B$12)*0.05,0)</f>
        <v/>
      </c>
      <c r="BQ42" s="399">
        <f>IF(AND(Projects!$G$33="Yes",BQ$3&gt;=Projects!$C$33,BQ$3&lt;Projects!$C$33+Projects!$D$33),Projects!$B$33*INDEX(Curves!$B$4:$AR$4,1,BQ$3-Projects!$C$33+1),0)-IF(AND(Projects!$G$33="Yes",BQ$3&gt;=Projects!$C$33,BQ$3&lt;Projects!$C$33+Projects!$D$33),Projects!$B$33*(Assumptions!$B$10+Assumptions!$B$11+Assumptions!$B$12)/Projects!$D$33*0.95,0)-IF(AND(Projects!$G$33="Yes",BQ$3=Projects!$C$33+Projects!$D$33-1),Projects!$B$33*(Assumptions!$B$10+Assumptions!$B$11+Assumptions!$B$12)*0.05,0)</f>
        <v/>
      </c>
      <c r="BR42" s="399">
        <f>IF(AND(Projects!$G$33="Yes",BR$3&gt;=Projects!$C$33,BR$3&lt;Projects!$C$33+Projects!$D$33),Projects!$B$33*INDEX(Curves!$B$4:$AR$4,1,BR$3-Projects!$C$33+1),0)-IF(AND(Projects!$G$33="Yes",BR$3&gt;=Projects!$C$33,BR$3&lt;Projects!$C$33+Projects!$D$33),Projects!$B$33*(Assumptions!$B$10+Assumptions!$B$11+Assumptions!$B$12)/Projects!$D$33*0.95,0)-IF(AND(Projects!$G$33="Yes",BR$3=Projects!$C$33+Projects!$D$33-1),Projects!$B$33*(Assumptions!$B$10+Assumptions!$B$11+Assumptions!$B$12)*0.05,0)</f>
        <v/>
      </c>
      <c r="BS42" s="399">
        <f>IF(AND(Projects!$G$33="Yes",BS$3&gt;=Projects!$C$33,BS$3&lt;Projects!$C$33+Projects!$D$33),Projects!$B$33*INDEX(Curves!$B$4:$AR$4,1,BS$3-Projects!$C$33+1),0)-IF(AND(Projects!$G$33="Yes",BS$3&gt;=Projects!$C$33,BS$3&lt;Projects!$C$33+Projects!$D$33),Projects!$B$33*(Assumptions!$B$10+Assumptions!$B$11+Assumptions!$B$12)/Projects!$D$33*0.95,0)-IF(AND(Projects!$G$33="Yes",BS$3=Projects!$C$33+Projects!$D$33-1),Projects!$B$33*(Assumptions!$B$10+Assumptions!$B$11+Assumptions!$B$12)*0.05,0)</f>
        <v/>
      </c>
      <c r="BT42" s="399">
        <f>IF(AND(Projects!$G$33="Yes",BT$3&gt;=Projects!$C$33,BT$3&lt;Projects!$C$33+Projects!$D$33),Projects!$B$33*INDEX(Curves!$B$4:$AR$4,1,BT$3-Projects!$C$33+1),0)-IF(AND(Projects!$G$33="Yes",BT$3&gt;=Projects!$C$33,BT$3&lt;Projects!$C$33+Projects!$D$33),Projects!$B$33*(Assumptions!$B$10+Assumptions!$B$11+Assumptions!$B$12)/Projects!$D$33*0.95,0)-IF(AND(Projects!$G$33="Yes",BT$3=Projects!$C$33+Projects!$D$33-1),Projects!$B$33*(Assumptions!$B$10+Assumptions!$B$11+Assumptions!$B$12)*0.05,0)</f>
        <v/>
      </c>
      <c r="BU42" s="399">
        <f>IF(AND(Projects!$G$33="Yes",BU$3&gt;=Projects!$C$33,BU$3&lt;Projects!$C$33+Projects!$D$33),Projects!$B$33*INDEX(Curves!$B$4:$AR$4,1,BU$3-Projects!$C$33+1),0)-IF(AND(Projects!$G$33="Yes",BU$3&gt;=Projects!$C$33,BU$3&lt;Projects!$C$33+Projects!$D$33),Projects!$B$33*(Assumptions!$B$10+Assumptions!$B$11+Assumptions!$B$12)/Projects!$D$33*0.95,0)-IF(AND(Projects!$G$33="Yes",BU$3=Projects!$C$33+Projects!$D$33-1),Projects!$B$33*(Assumptions!$B$10+Assumptions!$B$11+Assumptions!$B$12)*0.05,0)</f>
        <v/>
      </c>
      <c r="BV42" s="399">
        <f>IF(AND(Projects!$G$33="Yes",BV$3&gt;=Projects!$C$33,BV$3&lt;Projects!$C$33+Projects!$D$33),Projects!$B$33*INDEX(Curves!$B$4:$AR$4,1,BV$3-Projects!$C$33+1),0)-IF(AND(Projects!$G$33="Yes",BV$3&gt;=Projects!$C$33,BV$3&lt;Projects!$C$33+Projects!$D$33),Projects!$B$33*(Assumptions!$B$10+Assumptions!$B$11+Assumptions!$B$12)/Projects!$D$33*0.95,0)-IF(AND(Projects!$G$33="Yes",BV$3=Projects!$C$33+Projects!$D$33-1),Projects!$B$33*(Assumptions!$B$10+Assumptions!$B$11+Assumptions!$B$12)*0.05,0)</f>
        <v/>
      </c>
      <c r="BW42" s="399">
        <f>IF(AND(Projects!$G$33="Yes",BW$3&gt;=Projects!$C$33,BW$3&lt;Projects!$C$33+Projects!$D$33),Projects!$B$33*INDEX(Curves!$B$4:$AR$4,1,BW$3-Projects!$C$33+1),0)-IF(AND(Projects!$G$33="Yes",BW$3&gt;=Projects!$C$33,BW$3&lt;Projects!$C$33+Projects!$D$33),Projects!$B$33*(Assumptions!$B$10+Assumptions!$B$11+Assumptions!$B$12)/Projects!$D$33*0.95,0)-IF(AND(Projects!$G$33="Yes",BW$3=Projects!$C$33+Projects!$D$33-1),Projects!$B$33*(Assumptions!$B$10+Assumptions!$B$11+Assumptions!$B$12)*0.05,0)</f>
        <v/>
      </c>
      <c r="BX42" s="399">
        <f>IF(AND(Projects!$G$33="Yes",BX$3&gt;=Projects!$C$33,BX$3&lt;Projects!$C$33+Projects!$D$33),Projects!$B$33*INDEX(Curves!$B$4:$AR$4,1,BX$3-Projects!$C$33+1),0)-IF(AND(Projects!$G$33="Yes",BX$3&gt;=Projects!$C$33,BX$3&lt;Projects!$C$33+Projects!$D$33),Projects!$B$33*(Assumptions!$B$10+Assumptions!$B$11+Assumptions!$B$12)/Projects!$D$33*0.95,0)-IF(AND(Projects!$G$33="Yes",BX$3=Projects!$C$33+Projects!$D$33-1),Projects!$B$33*(Assumptions!$B$10+Assumptions!$B$11+Assumptions!$B$12)*0.05,0)</f>
        <v/>
      </c>
      <c r="BY42" s="399">
        <f>IF(AND(Projects!$G$33="Yes",BY$3&gt;=Projects!$C$33,BY$3&lt;Projects!$C$33+Projects!$D$33),Projects!$B$33*INDEX(Curves!$B$4:$AR$4,1,BY$3-Projects!$C$33+1),0)-IF(AND(Projects!$G$33="Yes",BY$3&gt;=Projects!$C$33,BY$3&lt;Projects!$C$33+Projects!$D$33),Projects!$B$33*(Assumptions!$B$10+Assumptions!$B$11+Assumptions!$B$12)/Projects!$D$33*0.95,0)-IF(AND(Projects!$G$33="Yes",BY$3=Projects!$C$33+Projects!$D$33-1),Projects!$B$33*(Assumptions!$B$10+Assumptions!$B$11+Assumptions!$B$12)*0.05,0)</f>
        <v/>
      </c>
      <c r="BZ42" s="399">
        <f>IF(AND(Projects!$G$33="Yes",BZ$3&gt;=Projects!$C$33,BZ$3&lt;Projects!$C$33+Projects!$D$33),Projects!$B$33*INDEX(Curves!$B$4:$AR$4,1,BZ$3-Projects!$C$33+1),0)-IF(AND(Projects!$G$33="Yes",BZ$3&gt;=Projects!$C$33,BZ$3&lt;Projects!$C$33+Projects!$D$33),Projects!$B$33*(Assumptions!$B$10+Assumptions!$B$11+Assumptions!$B$12)/Projects!$D$33*0.95,0)-IF(AND(Projects!$G$33="Yes",BZ$3=Projects!$C$33+Projects!$D$33-1),Projects!$B$33*(Assumptions!$B$10+Assumptions!$B$11+Assumptions!$B$12)*0.05,0)</f>
        <v/>
      </c>
      <c r="CA42" s="399">
        <f>IF(AND(Projects!$G$33="Yes",CA$3&gt;=Projects!$C$33,CA$3&lt;Projects!$C$33+Projects!$D$33),Projects!$B$33*INDEX(Curves!$B$4:$AR$4,1,CA$3-Projects!$C$33+1),0)-IF(AND(Projects!$G$33="Yes",CA$3&gt;=Projects!$C$33,CA$3&lt;Projects!$C$33+Projects!$D$33),Projects!$B$33*(Assumptions!$B$10+Assumptions!$B$11+Assumptions!$B$12)/Projects!$D$33*0.95,0)-IF(AND(Projects!$G$33="Yes",CA$3=Projects!$C$33+Projects!$D$33-1),Projects!$B$33*(Assumptions!$B$10+Assumptions!$B$11+Assumptions!$B$12)*0.05,0)</f>
        <v/>
      </c>
      <c r="CB42" s="399">
        <f>IF(AND(Projects!$G$33="Yes",CB$3&gt;=Projects!$C$33,CB$3&lt;Projects!$C$33+Projects!$D$33),Projects!$B$33*INDEX(Curves!$B$4:$AR$4,1,CB$3-Projects!$C$33+1),0)-IF(AND(Projects!$G$33="Yes",CB$3&gt;=Projects!$C$33,CB$3&lt;Projects!$C$33+Projects!$D$33),Projects!$B$33*(Assumptions!$B$10+Assumptions!$B$11+Assumptions!$B$12)/Projects!$D$33*0.95,0)-IF(AND(Projects!$G$33="Yes",CB$3=Projects!$C$33+Projects!$D$33-1),Projects!$B$33*(Assumptions!$B$10+Assumptions!$B$11+Assumptions!$B$12)*0.05,0)</f>
        <v/>
      </c>
      <c r="CC42" s="399">
        <f>IF(AND(Projects!$G$33="Yes",CC$3&gt;=Projects!$C$33,CC$3&lt;Projects!$C$33+Projects!$D$33),Projects!$B$33*INDEX(Curves!$B$4:$AR$4,1,CC$3-Projects!$C$33+1),0)-IF(AND(Projects!$G$33="Yes",CC$3&gt;=Projects!$C$33,CC$3&lt;Projects!$C$33+Projects!$D$33),Projects!$B$33*(Assumptions!$B$10+Assumptions!$B$11+Assumptions!$B$12)/Projects!$D$33*0.95,0)-IF(AND(Projects!$G$33="Yes",CC$3=Projects!$C$33+Projects!$D$33-1),Projects!$B$33*(Assumptions!$B$10+Assumptions!$B$11+Assumptions!$B$12)*0.05,0)</f>
        <v/>
      </c>
      <c r="CD42" s="399">
        <f>IF(AND(Projects!$G$33="Yes",CD$3&gt;=Projects!$C$33,CD$3&lt;Projects!$C$33+Projects!$D$33),Projects!$B$33*INDEX(Curves!$B$4:$AR$4,1,CD$3-Projects!$C$33+1),0)-IF(AND(Projects!$G$33="Yes",CD$3&gt;=Projects!$C$33,CD$3&lt;Projects!$C$33+Projects!$D$33),Projects!$B$33*(Assumptions!$B$10+Assumptions!$B$11+Assumptions!$B$12)/Projects!$D$33*0.95,0)-IF(AND(Projects!$G$33="Yes",CD$3=Projects!$C$33+Projects!$D$33-1),Projects!$B$33*(Assumptions!$B$10+Assumptions!$B$11+Assumptions!$B$12)*0.05,0)</f>
        <v/>
      </c>
      <c r="CE42" s="399">
        <f>IF(AND(Projects!$G$33="Yes",CE$3&gt;=Projects!$C$33,CE$3&lt;Projects!$C$33+Projects!$D$33),Projects!$B$33*INDEX(Curves!$B$4:$AR$4,1,CE$3-Projects!$C$33+1),0)-IF(AND(Projects!$G$33="Yes",CE$3&gt;=Projects!$C$33,CE$3&lt;Projects!$C$33+Projects!$D$33),Projects!$B$33*(Assumptions!$B$10+Assumptions!$B$11+Assumptions!$B$12)/Projects!$D$33*0.95,0)-IF(AND(Projects!$G$33="Yes",CE$3=Projects!$C$33+Projects!$D$33-1),Projects!$B$33*(Assumptions!$B$10+Assumptions!$B$11+Assumptions!$B$12)*0.05,0)</f>
        <v/>
      </c>
      <c r="CF42" s="399">
        <f>IF(AND(Projects!$G$33="Yes",CF$3&gt;=Projects!$C$33,CF$3&lt;Projects!$C$33+Projects!$D$33),Projects!$B$33*INDEX(Curves!$B$4:$AR$4,1,CF$3-Projects!$C$33+1),0)-IF(AND(Projects!$G$33="Yes",CF$3&gt;=Projects!$C$33,CF$3&lt;Projects!$C$33+Projects!$D$33),Projects!$B$33*(Assumptions!$B$10+Assumptions!$B$11+Assumptions!$B$12)/Projects!$D$33*0.95,0)-IF(AND(Projects!$G$33="Yes",CF$3=Projects!$C$33+Projects!$D$33-1),Projects!$B$33*(Assumptions!$B$10+Assumptions!$B$11+Assumptions!$B$12)*0.05,0)</f>
        <v/>
      </c>
      <c r="CG42" s="399">
        <f>IF(AND(Projects!$G$33="Yes",CG$3&gt;=Projects!$C$33,CG$3&lt;Projects!$C$33+Projects!$D$33),Projects!$B$33*INDEX(Curves!$B$4:$AR$4,1,CG$3-Projects!$C$33+1),0)-IF(AND(Projects!$G$33="Yes",CG$3&gt;=Projects!$C$33,CG$3&lt;Projects!$C$33+Projects!$D$33),Projects!$B$33*(Assumptions!$B$10+Assumptions!$B$11+Assumptions!$B$12)/Projects!$D$33*0.95,0)-IF(AND(Projects!$G$33="Yes",CG$3=Projects!$C$33+Projects!$D$33-1),Projects!$B$33*(Assumptions!$B$10+Assumptions!$B$11+Assumptions!$B$12)*0.05,0)</f>
        <v/>
      </c>
      <c r="CH42" s="399">
        <f>IF(AND(Projects!$G$33="Yes",CH$3&gt;=Projects!$C$33,CH$3&lt;Projects!$C$33+Projects!$D$33),Projects!$B$33*INDEX(Curves!$B$4:$AR$4,1,CH$3-Projects!$C$33+1),0)-IF(AND(Projects!$G$33="Yes",CH$3&gt;=Projects!$C$33,CH$3&lt;Projects!$C$33+Projects!$D$33),Projects!$B$33*(Assumptions!$B$10+Assumptions!$B$11+Assumptions!$B$12)/Projects!$D$33*0.95,0)-IF(AND(Projects!$G$33="Yes",CH$3=Projects!$C$33+Projects!$D$33-1),Projects!$B$33*(Assumptions!$B$10+Assumptions!$B$11+Assumptions!$B$12)*0.05,0)</f>
        <v/>
      </c>
      <c r="CI42" s="399">
        <f>IF(AND(Projects!$G$33="Yes",CI$3&gt;=Projects!$C$33,CI$3&lt;Projects!$C$33+Projects!$D$33),Projects!$B$33*INDEX(Curves!$B$4:$AR$4,1,CI$3-Projects!$C$33+1),0)-IF(AND(Projects!$G$33="Yes",CI$3&gt;=Projects!$C$33,CI$3&lt;Projects!$C$33+Projects!$D$33),Projects!$B$33*(Assumptions!$B$10+Assumptions!$B$11+Assumptions!$B$12)/Projects!$D$33*0.95,0)-IF(AND(Projects!$G$33="Yes",CI$3=Projects!$C$33+Projects!$D$33-1),Projects!$B$33*(Assumptions!$B$10+Assumptions!$B$11+Assumptions!$B$12)*0.05,0)</f>
        <v/>
      </c>
      <c r="CJ42" s="399">
        <f>IF(AND(Projects!$G$33="Yes",CJ$3&gt;=Projects!$C$33,CJ$3&lt;Projects!$C$33+Projects!$D$33),Projects!$B$33*INDEX(Curves!$B$4:$AR$4,1,CJ$3-Projects!$C$33+1),0)-IF(AND(Projects!$G$33="Yes",CJ$3&gt;=Projects!$C$33,CJ$3&lt;Projects!$C$33+Projects!$D$33),Projects!$B$33*(Assumptions!$B$10+Assumptions!$B$11+Assumptions!$B$12)/Projects!$D$33*0.95,0)-IF(AND(Projects!$G$33="Yes",CJ$3=Projects!$C$33+Projects!$D$33-1),Projects!$B$33*(Assumptions!$B$10+Assumptions!$B$11+Assumptions!$B$12)*0.05,0)</f>
        <v/>
      </c>
      <c r="CK42" s="399">
        <f>IF(AND(Projects!$G$33="Yes",CK$3&gt;=Projects!$C$33,CK$3&lt;Projects!$C$33+Projects!$D$33),Projects!$B$33*INDEX(Curves!$B$4:$AR$4,1,CK$3-Projects!$C$33+1),0)-IF(AND(Projects!$G$33="Yes",CK$3&gt;=Projects!$C$33,CK$3&lt;Projects!$C$33+Projects!$D$33),Projects!$B$33*(Assumptions!$B$10+Assumptions!$B$11+Assumptions!$B$12)/Projects!$D$33*0.95,0)-IF(AND(Projects!$G$33="Yes",CK$3=Projects!$C$33+Projects!$D$33-1),Projects!$B$33*(Assumptions!$B$10+Assumptions!$B$11+Assumptions!$B$12)*0.05,0)</f>
        <v/>
      </c>
      <c r="CL42" s="399">
        <f>IF(AND(Projects!$G$33="Yes",CL$3&gt;=Projects!$C$33,CL$3&lt;Projects!$C$33+Projects!$D$33),Projects!$B$33*INDEX(Curves!$B$4:$AR$4,1,CL$3-Projects!$C$33+1),0)-IF(AND(Projects!$G$33="Yes",CL$3&gt;=Projects!$C$33,CL$3&lt;Projects!$C$33+Projects!$D$33),Projects!$B$33*(Assumptions!$B$10+Assumptions!$B$11+Assumptions!$B$12)/Projects!$D$33*0.95,0)-IF(AND(Projects!$G$33="Yes",CL$3=Projects!$C$33+Projects!$D$33-1),Projects!$B$33*(Assumptions!$B$10+Assumptions!$B$11+Assumptions!$B$12)*0.05,0)</f>
        <v/>
      </c>
      <c r="CM42" s="399">
        <f>IF(AND(Projects!$G$33="Yes",CM$3&gt;=Projects!$C$33,CM$3&lt;Projects!$C$33+Projects!$D$33),Projects!$B$33*INDEX(Curves!$B$4:$AR$4,1,CM$3-Projects!$C$33+1),0)-IF(AND(Projects!$G$33="Yes",CM$3&gt;=Projects!$C$33,CM$3&lt;Projects!$C$33+Projects!$D$33),Projects!$B$33*(Assumptions!$B$10+Assumptions!$B$11+Assumptions!$B$12)/Projects!$D$33*0.95,0)-IF(AND(Projects!$G$33="Yes",CM$3=Projects!$C$33+Projects!$D$33-1),Projects!$B$33*(Assumptions!$B$10+Assumptions!$B$11+Assumptions!$B$12)*0.05,0)</f>
        <v/>
      </c>
      <c r="CN42" s="399">
        <f>IF(AND(Projects!$G$33="Yes",CN$3&gt;=Projects!$C$33,CN$3&lt;Projects!$C$33+Projects!$D$33),Projects!$B$33*INDEX(Curves!$B$4:$AR$4,1,CN$3-Projects!$C$33+1),0)-IF(AND(Projects!$G$33="Yes",CN$3&gt;=Projects!$C$33,CN$3&lt;Projects!$C$33+Projects!$D$33),Projects!$B$33*(Assumptions!$B$10+Assumptions!$B$11+Assumptions!$B$12)/Projects!$D$33*0.95,0)-IF(AND(Projects!$G$33="Yes",CN$3=Projects!$C$33+Projects!$D$33-1),Projects!$B$33*(Assumptions!$B$10+Assumptions!$B$11+Assumptions!$B$12)*0.05,0)</f>
        <v/>
      </c>
      <c r="CO42" s="399">
        <f>IF(AND(Projects!$G$33="Yes",CO$3&gt;=Projects!$C$33,CO$3&lt;Projects!$C$33+Projects!$D$33),Projects!$B$33*INDEX(Curves!$B$4:$AR$4,1,CO$3-Projects!$C$33+1),0)-IF(AND(Projects!$G$33="Yes",CO$3&gt;=Projects!$C$33,CO$3&lt;Projects!$C$33+Projects!$D$33),Projects!$B$33*(Assumptions!$B$10+Assumptions!$B$11+Assumptions!$B$12)/Projects!$D$33*0.95,0)-IF(AND(Projects!$G$33="Yes",CO$3=Projects!$C$33+Projects!$D$33-1),Projects!$B$33*(Assumptions!$B$10+Assumptions!$B$11+Assumptions!$B$12)*0.05,0)</f>
        <v/>
      </c>
      <c r="CP42" s="399">
        <f>IF(AND(Projects!$G$33="Yes",CP$3&gt;=Projects!$C$33,CP$3&lt;Projects!$C$33+Projects!$D$33),Projects!$B$33*INDEX(Curves!$B$4:$AR$4,1,CP$3-Projects!$C$33+1),0)-IF(AND(Projects!$G$33="Yes",CP$3&gt;=Projects!$C$33,CP$3&lt;Projects!$C$33+Projects!$D$33),Projects!$B$33*(Assumptions!$B$10+Assumptions!$B$11+Assumptions!$B$12)/Projects!$D$33*0.95,0)-IF(AND(Projects!$G$33="Yes",CP$3=Projects!$C$33+Projects!$D$33-1),Projects!$B$33*(Assumptions!$B$10+Assumptions!$B$11+Assumptions!$B$12)*0.05,0)</f>
        <v/>
      </c>
      <c r="CQ42" s="399">
        <f>IF(AND(Projects!$G$33="Yes",CQ$3&gt;=Projects!$C$33,CQ$3&lt;Projects!$C$33+Projects!$D$33),Projects!$B$33*INDEX(Curves!$B$4:$AR$4,1,CQ$3-Projects!$C$33+1),0)-IF(AND(Projects!$G$33="Yes",CQ$3&gt;=Projects!$C$33,CQ$3&lt;Projects!$C$33+Projects!$D$33),Projects!$B$33*(Assumptions!$B$10+Assumptions!$B$11+Assumptions!$B$12)/Projects!$D$33*0.95,0)-IF(AND(Projects!$G$33="Yes",CQ$3=Projects!$C$33+Projects!$D$33-1),Projects!$B$33*(Assumptions!$B$10+Assumptions!$B$11+Assumptions!$B$12)*0.05,0)</f>
        <v/>
      </c>
      <c r="CR42" s="399">
        <f>IF(AND(Projects!$G$33="Yes",CR$3&gt;=Projects!$C$33,CR$3&lt;Projects!$C$33+Projects!$D$33),Projects!$B$33*INDEX(Curves!$B$4:$AR$4,1,CR$3-Projects!$C$33+1),0)-IF(AND(Projects!$G$33="Yes",CR$3&gt;=Projects!$C$33,CR$3&lt;Projects!$C$33+Projects!$D$33),Projects!$B$33*(Assumptions!$B$10+Assumptions!$B$11+Assumptions!$B$12)/Projects!$D$33*0.95,0)-IF(AND(Projects!$G$33="Yes",CR$3=Projects!$C$33+Projects!$D$33-1),Projects!$B$33*(Assumptions!$B$10+Assumptions!$B$11+Assumptions!$B$12)*0.05,0)</f>
        <v/>
      </c>
      <c r="CS42" s="399">
        <f>IF(AND(Projects!$G$33="Yes",CS$3&gt;=Projects!$C$33,CS$3&lt;Projects!$C$33+Projects!$D$33),Projects!$B$33*INDEX(Curves!$B$4:$AR$4,1,CS$3-Projects!$C$33+1),0)-IF(AND(Projects!$G$33="Yes",CS$3&gt;=Projects!$C$33,CS$3&lt;Projects!$C$33+Projects!$D$33),Projects!$B$33*(Assumptions!$B$10+Assumptions!$B$11+Assumptions!$B$12)/Projects!$D$33*0.95,0)-IF(AND(Projects!$G$33="Yes",CS$3=Projects!$C$33+Projects!$D$33-1),Projects!$B$33*(Assumptions!$B$10+Assumptions!$B$11+Assumptions!$B$12)*0.05,0)</f>
        <v/>
      </c>
      <c r="CT42" s="399">
        <f>IF(AND(Projects!$G$33="Yes",CT$3&gt;=Projects!$C$33,CT$3&lt;Projects!$C$33+Projects!$D$33),Projects!$B$33*INDEX(Curves!$B$4:$AR$4,1,CT$3-Projects!$C$33+1),0)-IF(AND(Projects!$G$33="Yes",CT$3&gt;=Projects!$C$33,CT$3&lt;Projects!$C$33+Projects!$D$33),Projects!$B$33*(Assumptions!$B$10+Assumptions!$B$11+Assumptions!$B$12)/Projects!$D$33*0.95,0)-IF(AND(Projects!$G$33="Yes",CT$3=Projects!$C$33+Projects!$D$33-1),Projects!$B$33*(Assumptions!$B$10+Assumptions!$B$11+Assumptions!$B$12)*0.05,0)</f>
        <v/>
      </c>
      <c r="CU42" s="399">
        <f>IF(AND(Projects!$G$33="Yes",CU$3&gt;=Projects!$C$33,CU$3&lt;Projects!$C$33+Projects!$D$33),Projects!$B$33*INDEX(Curves!$B$4:$AR$4,1,CU$3-Projects!$C$33+1),0)-IF(AND(Projects!$G$33="Yes",CU$3&gt;=Projects!$C$33,CU$3&lt;Projects!$C$33+Projects!$D$33),Projects!$B$33*(Assumptions!$B$10+Assumptions!$B$11+Assumptions!$B$12)/Projects!$D$33*0.95,0)-IF(AND(Projects!$G$33="Yes",CU$3=Projects!$C$33+Projects!$D$33-1),Projects!$B$33*(Assumptions!$B$10+Assumptions!$B$11+Assumptions!$B$12)*0.05,0)</f>
        <v/>
      </c>
      <c r="CV42" s="399">
        <f>IF(AND(Projects!$G$33="Yes",CV$3&gt;=Projects!$C$33,CV$3&lt;Projects!$C$33+Projects!$D$33),Projects!$B$33*INDEX(Curves!$B$4:$AR$4,1,CV$3-Projects!$C$33+1),0)-IF(AND(Projects!$G$33="Yes",CV$3&gt;=Projects!$C$33,CV$3&lt;Projects!$C$33+Projects!$D$33),Projects!$B$33*(Assumptions!$B$10+Assumptions!$B$11+Assumptions!$B$12)/Projects!$D$33*0.95,0)-IF(AND(Projects!$G$33="Yes",CV$3=Projects!$C$33+Projects!$D$33-1),Projects!$B$33*(Assumptions!$B$10+Assumptions!$B$11+Assumptions!$B$12)*0.05,0)</f>
        <v/>
      </c>
      <c r="CW42" s="399">
        <f>IF(AND(Projects!$G$33="Yes",CW$3&gt;=Projects!$C$33,CW$3&lt;Projects!$C$33+Projects!$D$33),Projects!$B$33*INDEX(Curves!$B$4:$AR$4,1,CW$3-Projects!$C$33+1),0)-IF(AND(Projects!$G$33="Yes",CW$3&gt;=Projects!$C$33,CW$3&lt;Projects!$C$33+Projects!$D$33),Projects!$B$33*(Assumptions!$B$10+Assumptions!$B$11+Assumptions!$B$12)/Projects!$D$33*0.95,0)-IF(AND(Projects!$G$33="Yes",CW$3=Projects!$C$33+Projects!$D$33-1),Projects!$B$33*(Assumptions!$B$10+Assumptions!$B$11+Assumptions!$B$12)*0.05,0)</f>
        <v/>
      </c>
      <c r="CX42" s="399">
        <f>IF(AND(Projects!$G$33="Yes",CX$3&gt;=Projects!$C$33,CX$3&lt;Projects!$C$33+Projects!$D$33),Projects!$B$33*INDEX(Curves!$B$4:$AR$4,1,CX$3-Projects!$C$33+1),0)-IF(AND(Projects!$G$33="Yes",CX$3&gt;=Projects!$C$33,CX$3&lt;Projects!$C$33+Projects!$D$33),Projects!$B$33*(Assumptions!$B$10+Assumptions!$B$11+Assumptions!$B$12)/Projects!$D$33*0.95,0)-IF(AND(Projects!$G$33="Yes",CX$3=Projects!$C$33+Projects!$D$33-1),Projects!$B$33*(Assumptions!$B$10+Assumptions!$B$11+Assumptions!$B$12)*0.05,0)</f>
        <v/>
      </c>
      <c r="CY42" s="399">
        <f>IF(AND(Projects!$G$33="Yes",CY$3&gt;=Projects!$C$33,CY$3&lt;Projects!$C$33+Projects!$D$33),Projects!$B$33*INDEX(Curves!$B$4:$AR$4,1,CY$3-Projects!$C$33+1),0)-IF(AND(Projects!$G$33="Yes",CY$3&gt;=Projects!$C$33,CY$3&lt;Projects!$C$33+Projects!$D$33),Projects!$B$33*(Assumptions!$B$10+Assumptions!$B$11+Assumptions!$B$12)/Projects!$D$33*0.95,0)-IF(AND(Projects!$G$33="Yes",CY$3=Projects!$C$33+Projects!$D$33-1),Projects!$B$33*(Assumptions!$B$10+Assumptions!$B$11+Assumptions!$B$12)*0.05,0)</f>
        <v/>
      </c>
      <c r="CZ42" s="399">
        <f>IF(AND(Projects!$G$33="Yes",CZ$3&gt;=Projects!$C$33,CZ$3&lt;Projects!$C$33+Projects!$D$33),Projects!$B$33*INDEX(Curves!$B$4:$AR$4,1,CZ$3-Projects!$C$33+1),0)-IF(AND(Projects!$G$33="Yes",CZ$3&gt;=Projects!$C$33,CZ$3&lt;Projects!$C$33+Projects!$D$33),Projects!$B$33*(Assumptions!$B$10+Assumptions!$B$11+Assumptions!$B$12)/Projects!$D$33*0.95,0)-IF(AND(Projects!$G$33="Yes",CZ$3=Projects!$C$33+Projects!$D$33-1),Projects!$B$33*(Assumptions!$B$10+Assumptions!$B$11+Assumptions!$B$12)*0.05,0)</f>
        <v/>
      </c>
      <c r="DA42" s="399">
        <f>IF(AND(Projects!$G$33="Yes",DA$3&gt;=Projects!$C$33,DA$3&lt;Projects!$C$33+Projects!$D$33),Projects!$B$33*INDEX(Curves!$B$4:$AR$4,1,DA$3-Projects!$C$33+1),0)-IF(AND(Projects!$G$33="Yes",DA$3&gt;=Projects!$C$33,DA$3&lt;Projects!$C$33+Projects!$D$33),Projects!$B$33*(Assumptions!$B$10+Assumptions!$B$11+Assumptions!$B$12)/Projects!$D$33*0.95,0)-IF(AND(Projects!$G$33="Yes",DA$3=Projects!$C$33+Projects!$D$33-1),Projects!$B$33*(Assumptions!$B$10+Assumptions!$B$11+Assumptions!$B$12)*0.05,0)</f>
        <v/>
      </c>
      <c r="DB42" s="399">
        <f>IF(AND(Projects!$G$33="Yes",DB$3&gt;=Projects!$C$33,DB$3&lt;Projects!$C$33+Projects!$D$33),Projects!$B$33*INDEX(Curves!$B$4:$AR$4,1,DB$3-Projects!$C$33+1),0)-IF(AND(Projects!$G$33="Yes",DB$3&gt;=Projects!$C$33,DB$3&lt;Projects!$C$33+Projects!$D$33),Projects!$B$33*(Assumptions!$B$10+Assumptions!$B$11+Assumptions!$B$12)/Projects!$D$33*0.95,0)-IF(AND(Projects!$G$33="Yes",DB$3=Projects!$C$33+Projects!$D$33-1),Projects!$B$33*(Assumptions!$B$10+Assumptions!$B$11+Assumptions!$B$12)*0.05,0)</f>
        <v/>
      </c>
      <c r="DC42" s="399">
        <f>IF(AND(Projects!$G$33="Yes",DC$3&gt;=Projects!$C$33,DC$3&lt;Projects!$C$33+Projects!$D$33),Projects!$B$33*INDEX(Curves!$B$4:$AR$4,1,DC$3-Projects!$C$33+1),0)-IF(AND(Projects!$G$33="Yes",DC$3&gt;=Projects!$C$33,DC$3&lt;Projects!$C$33+Projects!$D$33),Projects!$B$33*(Assumptions!$B$10+Assumptions!$B$11+Assumptions!$B$12)/Projects!$D$33*0.95,0)-IF(AND(Projects!$G$33="Yes",DC$3=Projects!$C$33+Projects!$D$33-1),Projects!$B$33*(Assumptions!$B$10+Assumptions!$B$11+Assumptions!$B$12)*0.05,0)</f>
        <v/>
      </c>
      <c r="DD42" s="399">
        <f>IF(AND(Projects!$G$33="Yes",DD$3&gt;=Projects!$C$33,DD$3&lt;Projects!$C$33+Projects!$D$33),Projects!$B$33*INDEX(Curves!$B$4:$AR$4,1,DD$3-Projects!$C$33+1),0)-IF(AND(Projects!$G$33="Yes",DD$3&gt;=Projects!$C$33,DD$3&lt;Projects!$C$33+Projects!$D$33),Projects!$B$33*(Assumptions!$B$10+Assumptions!$B$11+Assumptions!$B$12)/Projects!$D$33*0.95,0)-IF(AND(Projects!$G$33="Yes",DD$3=Projects!$C$33+Projects!$D$33-1),Projects!$B$33*(Assumptions!$B$10+Assumptions!$B$11+Assumptions!$B$12)*0.05,0)</f>
        <v/>
      </c>
      <c r="DE42" s="399">
        <f>IF(AND(Projects!$G$33="Yes",DE$3&gt;=Projects!$C$33,DE$3&lt;Projects!$C$33+Projects!$D$33),Projects!$B$33*INDEX(Curves!$B$4:$AR$4,1,DE$3-Projects!$C$33+1),0)-IF(AND(Projects!$G$33="Yes",DE$3&gt;=Projects!$C$33,DE$3&lt;Projects!$C$33+Projects!$D$33),Projects!$B$33*(Assumptions!$B$10+Assumptions!$B$11+Assumptions!$B$12)/Projects!$D$33*0.95,0)-IF(AND(Projects!$G$33="Yes",DE$3=Projects!$C$33+Projects!$D$33-1),Projects!$B$33*(Assumptions!$B$10+Assumptions!$B$11+Assumptions!$B$12)*0.05,0)</f>
        <v/>
      </c>
    </row>
    <row r="43" hidden="1" outlineLevel="1" ht="15" customFormat="1" customHeight="1" s="380">
      <c r="A43" s="407" t="inlineStr">
        <is>
          <t>BD-18</t>
        </is>
      </c>
      <c r="B43" s="399" t="n">
        <v>0</v>
      </c>
      <c r="C43" s="399" t="n">
        <v>0</v>
      </c>
      <c r="D43" s="399" t="n">
        <v>0</v>
      </c>
      <c r="E43" s="399" t="n">
        <v>0</v>
      </c>
      <c r="F43" s="399">
        <f>IF(AND(Projects!$G$34="Yes",F$3&gt;=Projects!$C$34,F$3&lt;Projects!$C$34+Projects!$D$34),Projects!$B$34*INDEX(Curves!$B$4:$AR$4,1,F$3-Projects!$C$34+1),0)-IF(AND(Projects!$G$34="Yes",F$3&gt;=Projects!$C$34,F$3&lt;Projects!$C$34+Projects!$D$34),Projects!$B$34*(Assumptions!$B$10+Assumptions!$B$11+Assumptions!$B$12)/Projects!$D$34*0.95,0)-IF(AND(Projects!$G$34="Yes",F$3=Projects!$C$34+Projects!$D$34-1),Projects!$B$34*(Assumptions!$B$10+Assumptions!$B$11+Assumptions!$B$12)*0.05,0)</f>
        <v/>
      </c>
      <c r="G43" s="399">
        <f>IF(AND(Projects!$G$34="Yes",G$3&gt;=Projects!$C$34,G$3&lt;Projects!$C$34+Projects!$D$34),Projects!$B$34*INDEX(Curves!$B$4:$AR$4,1,G$3-Projects!$C$34+1),0)-IF(AND(Projects!$G$34="Yes",G$3&gt;=Projects!$C$34,G$3&lt;Projects!$C$34+Projects!$D$34),Projects!$B$34*(Assumptions!$B$10+Assumptions!$B$11+Assumptions!$B$12)/Projects!$D$34*0.95,0)-IF(AND(Projects!$G$34="Yes",G$3=Projects!$C$34+Projects!$D$34-1),Projects!$B$34*(Assumptions!$B$10+Assumptions!$B$11+Assumptions!$B$12)*0.05,0)</f>
        <v/>
      </c>
      <c r="H43" s="399">
        <f>IF(AND(Projects!$G$34="Yes",H$3&gt;=Projects!$C$34,H$3&lt;Projects!$C$34+Projects!$D$34),Projects!$B$34*INDEX(Curves!$B$4:$AR$4,1,H$3-Projects!$C$34+1),0)-IF(AND(Projects!$G$34="Yes",H$3&gt;=Projects!$C$34,H$3&lt;Projects!$C$34+Projects!$D$34),Projects!$B$34*(Assumptions!$B$10+Assumptions!$B$11+Assumptions!$B$12)/Projects!$D$34*0.95,0)-IF(AND(Projects!$G$34="Yes",H$3=Projects!$C$34+Projects!$D$34-1),Projects!$B$34*(Assumptions!$B$10+Assumptions!$B$11+Assumptions!$B$12)*0.05,0)</f>
        <v/>
      </c>
      <c r="I43" s="399">
        <f>IF(AND(Projects!$G$34="Yes",I$3&gt;=Projects!$C$34,I$3&lt;Projects!$C$34+Projects!$D$34),Projects!$B$34*INDEX(Curves!$B$4:$AR$4,1,I$3-Projects!$C$34+1),0)-IF(AND(Projects!$G$34="Yes",I$3&gt;=Projects!$C$34,I$3&lt;Projects!$C$34+Projects!$D$34),Projects!$B$34*(Assumptions!$B$10+Assumptions!$B$11+Assumptions!$B$12)/Projects!$D$34*0.95,0)-IF(AND(Projects!$G$34="Yes",I$3=Projects!$C$34+Projects!$D$34-1),Projects!$B$34*(Assumptions!$B$10+Assumptions!$B$11+Assumptions!$B$12)*0.05,0)</f>
        <v/>
      </c>
      <c r="J43" s="399">
        <f>IF(AND(Projects!$G$34="Yes",J$3&gt;=Projects!$C$34,J$3&lt;Projects!$C$34+Projects!$D$34),Projects!$B$34*INDEX(Curves!$B$4:$AR$4,1,J$3-Projects!$C$34+1),0)-IF(AND(Projects!$G$34="Yes",J$3&gt;=Projects!$C$34,J$3&lt;Projects!$C$34+Projects!$D$34),Projects!$B$34*(Assumptions!$B$10+Assumptions!$B$11+Assumptions!$B$12)/Projects!$D$34*0.95,0)-IF(AND(Projects!$G$34="Yes",J$3=Projects!$C$34+Projects!$D$34-1),Projects!$B$34*(Assumptions!$B$10+Assumptions!$B$11+Assumptions!$B$12)*0.05,0)</f>
        <v/>
      </c>
      <c r="K43" s="399">
        <f>IF(AND(Projects!$G$34="Yes",K$3&gt;=Projects!$C$34,K$3&lt;Projects!$C$34+Projects!$D$34),Projects!$B$34*INDEX(Curves!$B$4:$AR$4,1,K$3-Projects!$C$34+1),0)-IF(AND(Projects!$G$34="Yes",K$3&gt;=Projects!$C$34,K$3&lt;Projects!$C$34+Projects!$D$34),Projects!$B$34*(Assumptions!$B$10+Assumptions!$B$11+Assumptions!$B$12)/Projects!$D$34*0.95,0)-IF(AND(Projects!$G$34="Yes",K$3=Projects!$C$34+Projects!$D$34-1),Projects!$B$34*(Assumptions!$B$10+Assumptions!$B$11+Assumptions!$B$12)*0.05,0)</f>
        <v/>
      </c>
      <c r="L43" s="399">
        <f>IF(AND(Projects!$G$34="Yes",L$3&gt;=Projects!$C$34,L$3&lt;Projects!$C$34+Projects!$D$34),Projects!$B$34*INDEX(Curves!$B$4:$AR$4,1,L$3-Projects!$C$34+1),0)-IF(AND(Projects!$G$34="Yes",L$3&gt;=Projects!$C$34,L$3&lt;Projects!$C$34+Projects!$D$34),Projects!$B$34*(Assumptions!$B$10+Assumptions!$B$11+Assumptions!$B$12)/Projects!$D$34*0.95,0)-IF(AND(Projects!$G$34="Yes",L$3=Projects!$C$34+Projects!$D$34-1),Projects!$B$34*(Assumptions!$B$10+Assumptions!$B$11+Assumptions!$B$12)*0.05,0)</f>
        <v/>
      </c>
      <c r="M43" s="399">
        <f>IF(AND(Projects!$G$34="Yes",M$3&gt;=Projects!$C$34,M$3&lt;Projects!$C$34+Projects!$D$34),Projects!$B$34*INDEX(Curves!$B$4:$AR$4,1,M$3-Projects!$C$34+1),0)-IF(AND(Projects!$G$34="Yes",M$3&gt;=Projects!$C$34,M$3&lt;Projects!$C$34+Projects!$D$34),Projects!$B$34*(Assumptions!$B$10+Assumptions!$B$11+Assumptions!$B$12)/Projects!$D$34*0.95,0)-IF(AND(Projects!$G$34="Yes",M$3=Projects!$C$34+Projects!$D$34-1),Projects!$B$34*(Assumptions!$B$10+Assumptions!$B$11+Assumptions!$B$12)*0.05,0)</f>
        <v/>
      </c>
      <c r="N43" s="399">
        <f>IF(AND(Projects!$G$34="Yes",N$3&gt;=Projects!$C$34,N$3&lt;Projects!$C$34+Projects!$D$34),Projects!$B$34*INDEX(Curves!$B$4:$AR$4,1,N$3-Projects!$C$34+1),0)-IF(AND(Projects!$G$34="Yes",N$3&gt;=Projects!$C$34,N$3&lt;Projects!$C$34+Projects!$D$34),Projects!$B$34*(Assumptions!$B$10+Assumptions!$B$11+Assumptions!$B$12)/Projects!$D$34*0.95,0)-IF(AND(Projects!$G$34="Yes",N$3=Projects!$C$34+Projects!$D$34-1),Projects!$B$34*(Assumptions!$B$10+Assumptions!$B$11+Assumptions!$B$12)*0.05,0)</f>
        <v/>
      </c>
      <c r="O43" s="399">
        <f>IF(AND(Projects!$G$34="Yes",O$3&gt;=Projects!$C$34,O$3&lt;Projects!$C$34+Projects!$D$34),Projects!$B$34*INDEX(Curves!$B$4:$AR$4,1,O$3-Projects!$C$34+1),0)-IF(AND(Projects!$G$34="Yes",O$3&gt;=Projects!$C$34,O$3&lt;Projects!$C$34+Projects!$D$34),Projects!$B$34*(Assumptions!$B$10+Assumptions!$B$11+Assumptions!$B$12)/Projects!$D$34*0.95,0)-IF(AND(Projects!$G$34="Yes",O$3=Projects!$C$34+Projects!$D$34-1),Projects!$B$34*(Assumptions!$B$10+Assumptions!$B$11+Assumptions!$B$12)*0.05,0)</f>
        <v/>
      </c>
      <c r="P43" s="399">
        <f>IF(AND(Projects!$G$34="Yes",P$3&gt;=Projects!$C$34,P$3&lt;Projects!$C$34+Projects!$D$34),Projects!$B$34*INDEX(Curves!$B$4:$AR$4,1,P$3-Projects!$C$34+1),0)-IF(AND(Projects!$G$34="Yes",P$3&gt;=Projects!$C$34,P$3&lt;Projects!$C$34+Projects!$D$34),Projects!$B$34*(Assumptions!$B$10+Assumptions!$B$11+Assumptions!$B$12)/Projects!$D$34*0.95,0)-IF(AND(Projects!$G$34="Yes",P$3=Projects!$C$34+Projects!$D$34-1),Projects!$B$34*(Assumptions!$B$10+Assumptions!$B$11+Assumptions!$B$12)*0.05,0)</f>
        <v/>
      </c>
      <c r="Q43" s="399">
        <f>IF(AND(Projects!$G$34="Yes",Q$3&gt;=Projects!$C$34,Q$3&lt;Projects!$C$34+Projects!$D$34),Projects!$B$34*INDEX(Curves!$B$4:$AR$4,1,Q$3-Projects!$C$34+1),0)-IF(AND(Projects!$G$34="Yes",Q$3&gt;=Projects!$C$34,Q$3&lt;Projects!$C$34+Projects!$D$34),Projects!$B$34*(Assumptions!$B$10+Assumptions!$B$11+Assumptions!$B$12)/Projects!$D$34*0.95,0)-IF(AND(Projects!$G$34="Yes",Q$3=Projects!$C$34+Projects!$D$34-1),Projects!$B$34*(Assumptions!$B$10+Assumptions!$B$11+Assumptions!$B$12)*0.05,0)</f>
        <v/>
      </c>
      <c r="R43" s="399">
        <f>IF(AND(Projects!$G$34="Yes",R$3&gt;=Projects!$C$34,R$3&lt;Projects!$C$34+Projects!$D$34),Projects!$B$34*INDEX(Curves!$B$4:$AR$4,1,R$3-Projects!$C$34+1),0)-IF(AND(Projects!$G$34="Yes",R$3&gt;=Projects!$C$34,R$3&lt;Projects!$C$34+Projects!$D$34),Projects!$B$34*(Assumptions!$B$10+Assumptions!$B$11+Assumptions!$B$12)/Projects!$D$34*0.95,0)-IF(AND(Projects!$G$34="Yes",R$3=Projects!$C$34+Projects!$D$34-1),Projects!$B$34*(Assumptions!$B$10+Assumptions!$B$11+Assumptions!$B$12)*0.05,0)</f>
        <v/>
      </c>
      <c r="S43" s="399">
        <f>IF(AND(Projects!$G$34="Yes",S$3&gt;=Projects!$C$34,S$3&lt;Projects!$C$34+Projects!$D$34),Projects!$B$34*INDEX(Curves!$B$4:$AR$4,1,S$3-Projects!$C$34+1),0)-IF(AND(Projects!$G$34="Yes",S$3&gt;=Projects!$C$34,S$3&lt;Projects!$C$34+Projects!$D$34),Projects!$B$34*(Assumptions!$B$10+Assumptions!$B$11+Assumptions!$B$12)/Projects!$D$34*0.95,0)-IF(AND(Projects!$G$34="Yes",S$3=Projects!$C$34+Projects!$D$34-1),Projects!$B$34*(Assumptions!$B$10+Assumptions!$B$11+Assumptions!$B$12)*0.05,0)</f>
        <v/>
      </c>
      <c r="T43" s="399">
        <f>IF(AND(Projects!$G$34="Yes",T$3&gt;=Projects!$C$34,T$3&lt;Projects!$C$34+Projects!$D$34),Projects!$B$34*INDEX(Curves!$B$4:$AR$4,1,T$3-Projects!$C$34+1),0)-IF(AND(Projects!$G$34="Yes",T$3&gt;=Projects!$C$34,T$3&lt;Projects!$C$34+Projects!$D$34),Projects!$B$34*(Assumptions!$B$10+Assumptions!$B$11+Assumptions!$B$12)/Projects!$D$34*0.95,0)-IF(AND(Projects!$G$34="Yes",T$3=Projects!$C$34+Projects!$D$34-1),Projects!$B$34*(Assumptions!$B$10+Assumptions!$B$11+Assumptions!$B$12)*0.05,0)</f>
        <v/>
      </c>
      <c r="U43" s="399">
        <f>IF(AND(Projects!$G$34="Yes",U$3&gt;=Projects!$C$34,U$3&lt;Projects!$C$34+Projects!$D$34),Projects!$B$34*INDEX(Curves!$B$4:$AR$4,1,U$3-Projects!$C$34+1),0)-IF(AND(Projects!$G$34="Yes",U$3&gt;=Projects!$C$34,U$3&lt;Projects!$C$34+Projects!$D$34),Projects!$B$34*(Assumptions!$B$10+Assumptions!$B$11+Assumptions!$B$12)/Projects!$D$34*0.95,0)-IF(AND(Projects!$G$34="Yes",U$3=Projects!$C$34+Projects!$D$34-1),Projects!$B$34*(Assumptions!$B$10+Assumptions!$B$11+Assumptions!$B$12)*0.05,0)</f>
        <v/>
      </c>
      <c r="V43" s="399">
        <f>IF(AND(Projects!$G$34="Yes",V$3&gt;=Projects!$C$34,V$3&lt;Projects!$C$34+Projects!$D$34),Projects!$B$34*INDEX(Curves!$B$4:$AR$4,1,V$3-Projects!$C$34+1),0)-IF(AND(Projects!$G$34="Yes",V$3&gt;=Projects!$C$34,V$3&lt;Projects!$C$34+Projects!$D$34),Projects!$B$34*(Assumptions!$B$10+Assumptions!$B$11+Assumptions!$B$12)/Projects!$D$34*0.95,0)-IF(AND(Projects!$G$34="Yes",V$3=Projects!$C$34+Projects!$D$34-1),Projects!$B$34*(Assumptions!$B$10+Assumptions!$B$11+Assumptions!$B$12)*0.05,0)</f>
        <v/>
      </c>
      <c r="W43" s="399">
        <f>IF(AND(Projects!$G$34="Yes",W$3&gt;=Projects!$C$34,W$3&lt;Projects!$C$34+Projects!$D$34),Projects!$B$34*INDEX(Curves!$B$4:$AR$4,1,W$3-Projects!$C$34+1),0)-IF(AND(Projects!$G$34="Yes",W$3&gt;=Projects!$C$34,W$3&lt;Projects!$C$34+Projects!$D$34),Projects!$B$34*(Assumptions!$B$10+Assumptions!$B$11+Assumptions!$B$12)/Projects!$D$34*0.95,0)-IF(AND(Projects!$G$34="Yes",W$3=Projects!$C$34+Projects!$D$34-1),Projects!$B$34*(Assumptions!$B$10+Assumptions!$B$11+Assumptions!$B$12)*0.05,0)</f>
        <v/>
      </c>
      <c r="X43" s="399">
        <f>IF(AND(Projects!$G$34="Yes",X$3&gt;=Projects!$C$34,X$3&lt;Projects!$C$34+Projects!$D$34),Projects!$B$34*INDEX(Curves!$B$4:$AR$4,1,X$3-Projects!$C$34+1),0)-IF(AND(Projects!$G$34="Yes",X$3&gt;=Projects!$C$34,X$3&lt;Projects!$C$34+Projects!$D$34),Projects!$B$34*(Assumptions!$B$10+Assumptions!$B$11+Assumptions!$B$12)/Projects!$D$34*0.95,0)-IF(AND(Projects!$G$34="Yes",X$3=Projects!$C$34+Projects!$D$34-1),Projects!$B$34*(Assumptions!$B$10+Assumptions!$B$11+Assumptions!$B$12)*0.05,0)</f>
        <v/>
      </c>
      <c r="Y43" s="399">
        <f>IF(AND(Projects!$G$34="Yes",Y$3&gt;=Projects!$C$34,Y$3&lt;Projects!$C$34+Projects!$D$34),Projects!$B$34*INDEX(Curves!$B$4:$AR$4,1,Y$3-Projects!$C$34+1),0)-IF(AND(Projects!$G$34="Yes",Y$3&gt;=Projects!$C$34,Y$3&lt;Projects!$C$34+Projects!$D$34),Projects!$B$34*(Assumptions!$B$10+Assumptions!$B$11+Assumptions!$B$12)/Projects!$D$34*0.95,0)-IF(AND(Projects!$G$34="Yes",Y$3=Projects!$C$34+Projects!$D$34-1),Projects!$B$34*(Assumptions!$B$10+Assumptions!$B$11+Assumptions!$B$12)*0.05,0)</f>
        <v/>
      </c>
      <c r="Z43" s="399">
        <f>IF(AND(Projects!$G$34="Yes",Z$3&gt;=Projects!$C$34,Z$3&lt;Projects!$C$34+Projects!$D$34),Projects!$B$34*INDEX(Curves!$B$4:$AR$4,1,Z$3-Projects!$C$34+1),0)-IF(AND(Projects!$G$34="Yes",Z$3&gt;=Projects!$C$34,Z$3&lt;Projects!$C$34+Projects!$D$34),Projects!$B$34*(Assumptions!$B$10+Assumptions!$B$11+Assumptions!$B$12)/Projects!$D$34*0.95,0)-IF(AND(Projects!$G$34="Yes",Z$3=Projects!$C$34+Projects!$D$34-1),Projects!$B$34*(Assumptions!$B$10+Assumptions!$B$11+Assumptions!$B$12)*0.05,0)</f>
        <v/>
      </c>
      <c r="AA43" s="399">
        <f>IF(AND(Projects!$G$34="Yes",AA$3&gt;=Projects!$C$34,AA$3&lt;Projects!$C$34+Projects!$D$34),Projects!$B$34*INDEX(Curves!$B$4:$AR$4,1,AA$3-Projects!$C$34+1),0)-IF(AND(Projects!$G$34="Yes",AA$3&gt;=Projects!$C$34,AA$3&lt;Projects!$C$34+Projects!$D$34),Projects!$B$34*(Assumptions!$B$10+Assumptions!$B$11+Assumptions!$B$12)/Projects!$D$34*0.95,0)-IF(AND(Projects!$G$34="Yes",AA$3=Projects!$C$34+Projects!$D$34-1),Projects!$B$34*(Assumptions!$B$10+Assumptions!$B$11+Assumptions!$B$12)*0.05,0)</f>
        <v/>
      </c>
      <c r="AB43" s="399">
        <f>IF(AND(Projects!$G$34="Yes",AB$3&gt;=Projects!$C$34,AB$3&lt;Projects!$C$34+Projects!$D$34),Projects!$B$34*INDEX(Curves!$B$4:$AR$4,1,AB$3-Projects!$C$34+1),0)-IF(AND(Projects!$G$34="Yes",AB$3&gt;=Projects!$C$34,AB$3&lt;Projects!$C$34+Projects!$D$34),Projects!$B$34*(Assumptions!$B$10+Assumptions!$B$11+Assumptions!$B$12)/Projects!$D$34*0.95,0)-IF(AND(Projects!$G$34="Yes",AB$3=Projects!$C$34+Projects!$D$34-1),Projects!$B$34*(Assumptions!$B$10+Assumptions!$B$11+Assumptions!$B$12)*0.05,0)</f>
        <v/>
      </c>
      <c r="AC43" s="399">
        <f>IF(AND(Projects!$G$34="Yes",AC$3&gt;=Projects!$C$34,AC$3&lt;Projects!$C$34+Projects!$D$34),Projects!$B$34*INDEX(Curves!$B$4:$AR$4,1,AC$3-Projects!$C$34+1),0)-IF(AND(Projects!$G$34="Yes",AC$3&gt;=Projects!$C$34,AC$3&lt;Projects!$C$34+Projects!$D$34),Projects!$B$34*(Assumptions!$B$10+Assumptions!$B$11+Assumptions!$B$12)/Projects!$D$34*0.95,0)-IF(AND(Projects!$G$34="Yes",AC$3=Projects!$C$34+Projects!$D$34-1),Projects!$B$34*(Assumptions!$B$10+Assumptions!$B$11+Assumptions!$B$12)*0.05,0)</f>
        <v/>
      </c>
      <c r="AD43" s="399">
        <f>IF(AND(Projects!$G$34="Yes",AD$3&gt;=Projects!$C$34,AD$3&lt;Projects!$C$34+Projects!$D$34),Projects!$B$34*INDEX(Curves!$B$4:$AR$4,1,AD$3-Projects!$C$34+1),0)-IF(AND(Projects!$G$34="Yes",AD$3&gt;=Projects!$C$34,AD$3&lt;Projects!$C$34+Projects!$D$34),Projects!$B$34*(Assumptions!$B$10+Assumptions!$B$11+Assumptions!$B$12)/Projects!$D$34*0.95,0)-IF(AND(Projects!$G$34="Yes",AD$3=Projects!$C$34+Projects!$D$34-1),Projects!$B$34*(Assumptions!$B$10+Assumptions!$B$11+Assumptions!$B$12)*0.05,0)</f>
        <v/>
      </c>
      <c r="AE43" s="399">
        <f>IF(AND(Projects!$G$34="Yes",AE$3&gt;=Projects!$C$34,AE$3&lt;Projects!$C$34+Projects!$D$34),Projects!$B$34*INDEX(Curves!$B$4:$AR$4,1,AE$3-Projects!$C$34+1),0)-IF(AND(Projects!$G$34="Yes",AE$3&gt;=Projects!$C$34,AE$3&lt;Projects!$C$34+Projects!$D$34),Projects!$B$34*(Assumptions!$B$10+Assumptions!$B$11+Assumptions!$B$12)/Projects!$D$34*0.95,0)-IF(AND(Projects!$G$34="Yes",AE$3=Projects!$C$34+Projects!$D$34-1),Projects!$B$34*(Assumptions!$B$10+Assumptions!$B$11+Assumptions!$B$12)*0.05,0)</f>
        <v/>
      </c>
      <c r="AF43" s="399">
        <f>IF(AND(Projects!$G$34="Yes",AF$3&gt;=Projects!$C$34,AF$3&lt;Projects!$C$34+Projects!$D$34),Projects!$B$34*INDEX(Curves!$B$4:$AR$4,1,AF$3-Projects!$C$34+1),0)-IF(AND(Projects!$G$34="Yes",AF$3&gt;=Projects!$C$34,AF$3&lt;Projects!$C$34+Projects!$D$34),Projects!$B$34*(Assumptions!$B$10+Assumptions!$B$11+Assumptions!$B$12)/Projects!$D$34*0.95,0)-IF(AND(Projects!$G$34="Yes",AF$3=Projects!$C$34+Projects!$D$34-1),Projects!$B$34*(Assumptions!$B$10+Assumptions!$B$11+Assumptions!$B$12)*0.05,0)</f>
        <v/>
      </c>
      <c r="AG43" s="399">
        <f>IF(AND(Projects!$G$34="Yes",AG$3&gt;=Projects!$C$34,AG$3&lt;Projects!$C$34+Projects!$D$34),Projects!$B$34*INDEX(Curves!$B$4:$AR$4,1,AG$3-Projects!$C$34+1),0)-IF(AND(Projects!$G$34="Yes",AG$3&gt;=Projects!$C$34,AG$3&lt;Projects!$C$34+Projects!$D$34),Projects!$B$34*(Assumptions!$B$10+Assumptions!$B$11+Assumptions!$B$12)/Projects!$D$34*0.95,0)-IF(AND(Projects!$G$34="Yes",AG$3=Projects!$C$34+Projects!$D$34-1),Projects!$B$34*(Assumptions!$B$10+Assumptions!$B$11+Assumptions!$B$12)*0.05,0)</f>
        <v/>
      </c>
      <c r="AH43" s="399">
        <f>IF(AND(Projects!$G$34="Yes",AH$3&gt;=Projects!$C$34,AH$3&lt;Projects!$C$34+Projects!$D$34),Projects!$B$34*INDEX(Curves!$B$4:$AR$4,1,AH$3-Projects!$C$34+1),0)-IF(AND(Projects!$G$34="Yes",AH$3&gt;=Projects!$C$34,AH$3&lt;Projects!$C$34+Projects!$D$34),Projects!$B$34*(Assumptions!$B$10+Assumptions!$B$11+Assumptions!$B$12)/Projects!$D$34*0.95,0)-IF(AND(Projects!$G$34="Yes",AH$3=Projects!$C$34+Projects!$D$34-1),Projects!$B$34*(Assumptions!$B$10+Assumptions!$B$11+Assumptions!$B$12)*0.05,0)</f>
        <v/>
      </c>
      <c r="AI43" s="399">
        <f>IF(AND(Projects!$G$34="Yes",AI$3&gt;=Projects!$C$34,AI$3&lt;Projects!$C$34+Projects!$D$34),Projects!$B$34*INDEX(Curves!$B$4:$AR$4,1,AI$3-Projects!$C$34+1),0)-IF(AND(Projects!$G$34="Yes",AI$3&gt;=Projects!$C$34,AI$3&lt;Projects!$C$34+Projects!$D$34),Projects!$B$34*(Assumptions!$B$10+Assumptions!$B$11+Assumptions!$B$12)/Projects!$D$34*0.95,0)-IF(AND(Projects!$G$34="Yes",AI$3=Projects!$C$34+Projects!$D$34-1),Projects!$B$34*(Assumptions!$B$10+Assumptions!$B$11+Assumptions!$B$12)*0.05,0)</f>
        <v/>
      </c>
      <c r="AJ43" s="399">
        <f>IF(AND(Projects!$G$34="Yes",AJ$3&gt;=Projects!$C$34,AJ$3&lt;Projects!$C$34+Projects!$D$34),Projects!$B$34*INDEX(Curves!$B$4:$AR$4,1,AJ$3-Projects!$C$34+1),0)-IF(AND(Projects!$G$34="Yes",AJ$3&gt;=Projects!$C$34,AJ$3&lt;Projects!$C$34+Projects!$D$34),Projects!$B$34*(Assumptions!$B$10+Assumptions!$B$11+Assumptions!$B$12)/Projects!$D$34*0.95,0)-IF(AND(Projects!$G$34="Yes",AJ$3=Projects!$C$34+Projects!$D$34-1),Projects!$B$34*(Assumptions!$B$10+Assumptions!$B$11+Assumptions!$B$12)*0.05,0)</f>
        <v/>
      </c>
      <c r="AK43" s="399">
        <f>IF(AND(Projects!$G$34="Yes",AK$3&gt;=Projects!$C$34,AK$3&lt;Projects!$C$34+Projects!$D$34),Projects!$B$34*INDEX(Curves!$B$4:$AR$4,1,AK$3-Projects!$C$34+1),0)-IF(AND(Projects!$G$34="Yes",AK$3&gt;=Projects!$C$34,AK$3&lt;Projects!$C$34+Projects!$D$34),Projects!$B$34*(Assumptions!$B$10+Assumptions!$B$11+Assumptions!$B$12)/Projects!$D$34*0.95,0)-IF(AND(Projects!$G$34="Yes",AK$3=Projects!$C$34+Projects!$D$34-1),Projects!$B$34*(Assumptions!$B$10+Assumptions!$B$11+Assumptions!$B$12)*0.05,0)</f>
        <v/>
      </c>
      <c r="AL43" s="399">
        <f>IF(AND(Projects!$G$34="Yes",AL$3&gt;=Projects!$C$34,AL$3&lt;Projects!$C$34+Projects!$D$34),Projects!$B$34*INDEX(Curves!$B$4:$AR$4,1,AL$3-Projects!$C$34+1),0)-IF(AND(Projects!$G$34="Yes",AL$3&gt;=Projects!$C$34,AL$3&lt;Projects!$C$34+Projects!$D$34),Projects!$B$34*(Assumptions!$B$10+Assumptions!$B$11+Assumptions!$B$12)/Projects!$D$34*0.95,0)-IF(AND(Projects!$G$34="Yes",AL$3=Projects!$C$34+Projects!$D$34-1),Projects!$B$34*(Assumptions!$B$10+Assumptions!$B$11+Assumptions!$B$12)*0.05,0)</f>
        <v/>
      </c>
      <c r="AM43" s="399">
        <f>IF(AND(Projects!$G$34="Yes",AM$3&gt;=Projects!$C$34,AM$3&lt;Projects!$C$34+Projects!$D$34),Projects!$B$34*INDEX(Curves!$B$4:$AR$4,1,AM$3-Projects!$C$34+1),0)-IF(AND(Projects!$G$34="Yes",AM$3&gt;=Projects!$C$34,AM$3&lt;Projects!$C$34+Projects!$D$34),Projects!$B$34*(Assumptions!$B$10+Assumptions!$B$11+Assumptions!$B$12)/Projects!$D$34*0.95,0)-IF(AND(Projects!$G$34="Yes",AM$3=Projects!$C$34+Projects!$D$34-1),Projects!$B$34*(Assumptions!$B$10+Assumptions!$B$11+Assumptions!$B$12)*0.05,0)</f>
        <v/>
      </c>
      <c r="AN43" s="399">
        <f>IF(AND(Projects!$G$34="Yes",AN$3&gt;=Projects!$C$34,AN$3&lt;Projects!$C$34+Projects!$D$34),Projects!$B$34*INDEX(Curves!$B$4:$AR$4,1,AN$3-Projects!$C$34+1),0)-IF(AND(Projects!$G$34="Yes",AN$3&gt;=Projects!$C$34,AN$3&lt;Projects!$C$34+Projects!$D$34),Projects!$B$34*(Assumptions!$B$10+Assumptions!$B$11+Assumptions!$B$12)/Projects!$D$34*0.95,0)-IF(AND(Projects!$G$34="Yes",AN$3=Projects!$C$34+Projects!$D$34-1),Projects!$B$34*(Assumptions!$B$10+Assumptions!$B$11+Assumptions!$B$12)*0.05,0)</f>
        <v/>
      </c>
      <c r="AO43" s="399">
        <f>IF(AND(Projects!$G$34="Yes",AO$3&gt;=Projects!$C$34,AO$3&lt;Projects!$C$34+Projects!$D$34),Projects!$B$34*INDEX(Curves!$B$4:$AR$4,1,AO$3-Projects!$C$34+1),0)-IF(AND(Projects!$G$34="Yes",AO$3&gt;=Projects!$C$34,AO$3&lt;Projects!$C$34+Projects!$D$34),Projects!$B$34*(Assumptions!$B$10+Assumptions!$B$11+Assumptions!$B$12)/Projects!$D$34*0.95,0)-IF(AND(Projects!$G$34="Yes",AO$3=Projects!$C$34+Projects!$D$34-1),Projects!$B$34*(Assumptions!$B$10+Assumptions!$B$11+Assumptions!$B$12)*0.05,0)</f>
        <v/>
      </c>
      <c r="AP43" s="399">
        <f>IF(AND(Projects!$G$34="Yes",AP$3&gt;=Projects!$C$34,AP$3&lt;Projects!$C$34+Projects!$D$34),Projects!$B$34*INDEX(Curves!$B$4:$AR$4,1,AP$3-Projects!$C$34+1),0)-IF(AND(Projects!$G$34="Yes",AP$3&gt;=Projects!$C$34,AP$3&lt;Projects!$C$34+Projects!$D$34),Projects!$B$34*(Assumptions!$B$10+Assumptions!$B$11+Assumptions!$B$12)/Projects!$D$34*0.95,0)-IF(AND(Projects!$G$34="Yes",AP$3=Projects!$C$34+Projects!$D$34-1),Projects!$B$34*(Assumptions!$B$10+Assumptions!$B$11+Assumptions!$B$12)*0.05,0)</f>
        <v/>
      </c>
      <c r="AQ43" s="399">
        <f>IF(AND(Projects!$G$34="Yes",AQ$3&gt;=Projects!$C$34,AQ$3&lt;Projects!$C$34+Projects!$D$34),Projects!$B$34*INDEX(Curves!$B$4:$AR$4,1,AQ$3-Projects!$C$34+1),0)-IF(AND(Projects!$G$34="Yes",AQ$3&gt;=Projects!$C$34,AQ$3&lt;Projects!$C$34+Projects!$D$34),Projects!$B$34*(Assumptions!$B$10+Assumptions!$B$11+Assumptions!$B$12)/Projects!$D$34*0.95,0)-IF(AND(Projects!$G$34="Yes",AQ$3=Projects!$C$34+Projects!$D$34-1),Projects!$B$34*(Assumptions!$B$10+Assumptions!$B$11+Assumptions!$B$12)*0.05,0)</f>
        <v/>
      </c>
      <c r="AR43" s="399">
        <f>IF(AND(Projects!$G$34="Yes",AR$3&gt;=Projects!$C$34,AR$3&lt;Projects!$C$34+Projects!$D$34),Projects!$B$34*INDEX(Curves!$B$4:$AR$4,1,AR$3-Projects!$C$34+1),0)-IF(AND(Projects!$G$34="Yes",AR$3&gt;=Projects!$C$34,AR$3&lt;Projects!$C$34+Projects!$D$34),Projects!$B$34*(Assumptions!$B$10+Assumptions!$B$11+Assumptions!$B$12)/Projects!$D$34*0.95,0)-IF(AND(Projects!$G$34="Yes",AR$3=Projects!$C$34+Projects!$D$34-1),Projects!$B$34*(Assumptions!$B$10+Assumptions!$B$11+Assumptions!$B$12)*0.05,0)</f>
        <v/>
      </c>
      <c r="AS43" s="399">
        <f>IF(AND(Projects!$G$34="Yes",AS$3&gt;=Projects!$C$34,AS$3&lt;Projects!$C$34+Projects!$D$34),Projects!$B$34*INDEX(Curves!$B$4:$AR$4,1,AS$3-Projects!$C$34+1),0)-IF(AND(Projects!$G$34="Yes",AS$3&gt;=Projects!$C$34,AS$3&lt;Projects!$C$34+Projects!$D$34),Projects!$B$34*(Assumptions!$B$10+Assumptions!$B$11+Assumptions!$B$12)/Projects!$D$34*0.95,0)-IF(AND(Projects!$G$34="Yes",AS$3=Projects!$C$34+Projects!$D$34-1),Projects!$B$34*(Assumptions!$B$10+Assumptions!$B$11+Assumptions!$B$12)*0.05,0)</f>
        <v/>
      </c>
      <c r="AT43" s="399">
        <f>IF(AND(Projects!$G$34="Yes",AT$3&gt;=Projects!$C$34,AT$3&lt;Projects!$C$34+Projects!$D$34),Projects!$B$34*INDEX(Curves!$B$4:$AR$4,1,AT$3-Projects!$C$34+1),0)-IF(AND(Projects!$G$34="Yes",AT$3&gt;=Projects!$C$34,AT$3&lt;Projects!$C$34+Projects!$D$34),Projects!$B$34*(Assumptions!$B$10+Assumptions!$B$11+Assumptions!$B$12)/Projects!$D$34*0.95,0)-IF(AND(Projects!$G$34="Yes",AT$3=Projects!$C$34+Projects!$D$34-1),Projects!$B$34*(Assumptions!$B$10+Assumptions!$B$11+Assumptions!$B$12)*0.05,0)</f>
        <v/>
      </c>
      <c r="AU43" s="399">
        <f>IF(AND(Projects!$G$34="Yes",AU$3&gt;=Projects!$C$34,AU$3&lt;Projects!$C$34+Projects!$D$34),Projects!$B$34*INDEX(Curves!$B$4:$AR$4,1,AU$3-Projects!$C$34+1),0)-IF(AND(Projects!$G$34="Yes",AU$3&gt;=Projects!$C$34,AU$3&lt;Projects!$C$34+Projects!$D$34),Projects!$B$34*(Assumptions!$B$10+Assumptions!$B$11+Assumptions!$B$12)/Projects!$D$34*0.95,0)-IF(AND(Projects!$G$34="Yes",AU$3=Projects!$C$34+Projects!$D$34-1),Projects!$B$34*(Assumptions!$B$10+Assumptions!$B$11+Assumptions!$B$12)*0.05,0)</f>
        <v/>
      </c>
      <c r="AV43" s="399">
        <f>IF(AND(Projects!$G$34="Yes",AV$3&gt;=Projects!$C$34,AV$3&lt;Projects!$C$34+Projects!$D$34),Projects!$B$34*INDEX(Curves!$B$4:$AR$4,1,AV$3-Projects!$C$34+1),0)-IF(AND(Projects!$G$34="Yes",AV$3&gt;=Projects!$C$34,AV$3&lt;Projects!$C$34+Projects!$D$34),Projects!$B$34*(Assumptions!$B$10+Assumptions!$B$11+Assumptions!$B$12)/Projects!$D$34*0.95,0)-IF(AND(Projects!$G$34="Yes",AV$3=Projects!$C$34+Projects!$D$34-1),Projects!$B$34*(Assumptions!$B$10+Assumptions!$B$11+Assumptions!$B$12)*0.05,0)</f>
        <v/>
      </c>
      <c r="AW43" s="399">
        <f>IF(AND(Projects!$G$34="Yes",AW$3&gt;=Projects!$C$34,AW$3&lt;Projects!$C$34+Projects!$D$34),Projects!$B$34*INDEX(Curves!$B$4:$AR$4,1,AW$3-Projects!$C$34+1),0)-IF(AND(Projects!$G$34="Yes",AW$3&gt;=Projects!$C$34,AW$3&lt;Projects!$C$34+Projects!$D$34),Projects!$B$34*(Assumptions!$B$10+Assumptions!$B$11+Assumptions!$B$12)/Projects!$D$34*0.95,0)-IF(AND(Projects!$G$34="Yes",AW$3=Projects!$C$34+Projects!$D$34-1),Projects!$B$34*(Assumptions!$B$10+Assumptions!$B$11+Assumptions!$B$12)*0.05,0)</f>
        <v/>
      </c>
      <c r="AX43" s="399">
        <f>IF(AND(Projects!$G$34="Yes",AX$3&gt;=Projects!$C$34,AX$3&lt;Projects!$C$34+Projects!$D$34),Projects!$B$34*INDEX(Curves!$B$4:$AR$4,1,AX$3-Projects!$C$34+1),0)-IF(AND(Projects!$G$34="Yes",AX$3&gt;=Projects!$C$34,AX$3&lt;Projects!$C$34+Projects!$D$34),Projects!$B$34*(Assumptions!$B$10+Assumptions!$B$11+Assumptions!$B$12)/Projects!$D$34*0.95,0)-IF(AND(Projects!$G$34="Yes",AX$3=Projects!$C$34+Projects!$D$34-1),Projects!$B$34*(Assumptions!$B$10+Assumptions!$B$11+Assumptions!$B$12)*0.05,0)</f>
        <v/>
      </c>
      <c r="AY43" s="399">
        <f>IF(AND(Projects!$G$34="Yes",AY$3&gt;=Projects!$C$34,AY$3&lt;Projects!$C$34+Projects!$D$34),Projects!$B$34*INDEX(Curves!$B$4:$AR$4,1,AY$3-Projects!$C$34+1),0)-IF(AND(Projects!$G$34="Yes",AY$3&gt;=Projects!$C$34,AY$3&lt;Projects!$C$34+Projects!$D$34),Projects!$B$34*(Assumptions!$B$10+Assumptions!$B$11+Assumptions!$B$12)/Projects!$D$34*0.95,0)-IF(AND(Projects!$G$34="Yes",AY$3=Projects!$C$34+Projects!$D$34-1),Projects!$B$34*(Assumptions!$B$10+Assumptions!$B$11+Assumptions!$B$12)*0.05,0)</f>
        <v/>
      </c>
      <c r="AZ43" s="399">
        <f>IF(AND(Projects!$G$34="Yes",AZ$3&gt;=Projects!$C$34,AZ$3&lt;Projects!$C$34+Projects!$D$34),Projects!$B$34*INDEX(Curves!$B$4:$AR$4,1,AZ$3-Projects!$C$34+1),0)-IF(AND(Projects!$G$34="Yes",AZ$3&gt;=Projects!$C$34,AZ$3&lt;Projects!$C$34+Projects!$D$34),Projects!$B$34*(Assumptions!$B$10+Assumptions!$B$11+Assumptions!$B$12)/Projects!$D$34*0.95,0)-IF(AND(Projects!$G$34="Yes",AZ$3=Projects!$C$34+Projects!$D$34-1),Projects!$B$34*(Assumptions!$B$10+Assumptions!$B$11+Assumptions!$B$12)*0.05,0)</f>
        <v/>
      </c>
      <c r="BA43" s="399">
        <f>IF(AND(Projects!$G$34="Yes",BA$3&gt;=Projects!$C$34,BA$3&lt;Projects!$C$34+Projects!$D$34),Projects!$B$34*INDEX(Curves!$B$4:$AR$4,1,BA$3-Projects!$C$34+1),0)-IF(AND(Projects!$G$34="Yes",BA$3&gt;=Projects!$C$34,BA$3&lt;Projects!$C$34+Projects!$D$34),Projects!$B$34*(Assumptions!$B$10+Assumptions!$B$11+Assumptions!$B$12)/Projects!$D$34*0.95,0)-IF(AND(Projects!$G$34="Yes",BA$3=Projects!$C$34+Projects!$D$34-1),Projects!$B$34*(Assumptions!$B$10+Assumptions!$B$11+Assumptions!$B$12)*0.05,0)</f>
        <v/>
      </c>
      <c r="BB43" s="399">
        <f>IF(AND(Projects!$G$34="Yes",BB$3&gt;=Projects!$C$34,BB$3&lt;Projects!$C$34+Projects!$D$34),Projects!$B$34*INDEX(Curves!$B$4:$AR$4,1,BB$3-Projects!$C$34+1),0)-IF(AND(Projects!$G$34="Yes",BB$3&gt;=Projects!$C$34,BB$3&lt;Projects!$C$34+Projects!$D$34),Projects!$B$34*(Assumptions!$B$10+Assumptions!$B$11+Assumptions!$B$12)/Projects!$D$34*0.95,0)-IF(AND(Projects!$G$34="Yes",BB$3=Projects!$C$34+Projects!$D$34-1),Projects!$B$34*(Assumptions!$B$10+Assumptions!$B$11+Assumptions!$B$12)*0.05,0)</f>
        <v/>
      </c>
      <c r="BC43" s="399">
        <f>IF(AND(Projects!$G$34="Yes",BC$3&gt;=Projects!$C$34,BC$3&lt;Projects!$C$34+Projects!$D$34),Projects!$B$34*INDEX(Curves!$B$4:$AR$4,1,BC$3-Projects!$C$34+1),0)-IF(AND(Projects!$G$34="Yes",BC$3&gt;=Projects!$C$34,BC$3&lt;Projects!$C$34+Projects!$D$34),Projects!$B$34*(Assumptions!$B$10+Assumptions!$B$11+Assumptions!$B$12)/Projects!$D$34*0.95,0)-IF(AND(Projects!$G$34="Yes",BC$3=Projects!$C$34+Projects!$D$34-1),Projects!$B$34*(Assumptions!$B$10+Assumptions!$B$11+Assumptions!$B$12)*0.05,0)</f>
        <v/>
      </c>
      <c r="BD43" s="399">
        <f>IF(AND(Projects!$G$34="Yes",BD$3&gt;=Projects!$C$34,BD$3&lt;Projects!$C$34+Projects!$D$34),Projects!$B$34*INDEX(Curves!$B$4:$AR$4,1,BD$3-Projects!$C$34+1),0)-IF(AND(Projects!$G$34="Yes",BD$3&gt;=Projects!$C$34,BD$3&lt;Projects!$C$34+Projects!$D$34),Projects!$B$34*(Assumptions!$B$10+Assumptions!$B$11+Assumptions!$B$12)/Projects!$D$34*0.95,0)-IF(AND(Projects!$G$34="Yes",BD$3=Projects!$C$34+Projects!$D$34-1),Projects!$B$34*(Assumptions!$B$10+Assumptions!$B$11+Assumptions!$B$12)*0.05,0)</f>
        <v/>
      </c>
      <c r="BE43" s="399">
        <f>IF(AND(Projects!$G$34="Yes",BE$3&gt;=Projects!$C$34,BE$3&lt;Projects!$C$34+Projects!$D$34),Projects!$B$34*INDEX(Curves!$B$4:$AR$4,1,BE$3-Projects!$C$34+1),0)-IF(AND(Projects!$G$34="Yes",BE$3&gt;=Projects!$C$34,BE$3&lt;Projects!$C$34+Projects!$D$34),Projects!$B$34*(Assumptions!$B$10+Assumptions!$B$11+Assumptions!$B$12)/Projects!$D$34*0.95,0)-IF(AND(Projects!$G$34="Yes",BE$3=Projects!$C$34+Projects!$D$34-1),Projects!$B$34*(Assumptions!$B$10+Assumptions!$B$11+Assumptions!$B$12)*0.05,0)</f>
        <v/>
      </c>
      <c r="BF43" s="399">
        <f>IF(AND(Projects!$G$34="Yes",BF$3&gt;=Projects!$C$34,BF$3&lt;Projects!$C$34+Projects!$D$34),Projects!$B$34*INDEX(Curves!$B$4:$AR$4,1,BF$3-Projects!$C$34+1),0)-IF(AND(Projects!$G$34="Yes",BF$3&gt;=Projects!$C$34,BF$3&lt;Projects!$C$34+Projects!$D$34),Projects!$B$34*(Assumptions!$B$10+Assumptions!$B$11+Assumptions!$B$12)/Projects!$D$34*0.95,0)-IF(AND(Projects!$G$34="Yes",BF$3=Projects!$C$34+Projects!$D$34-1),Projects!$B$34*(Assumptions!$B$10+Assumptions!$B$11+Assumptions!$B$12)*0.05,0)</f>
        <v/>
      </c>
      <c r="BG43" s="399">
        <f>IF(AND(Projects!$G$34="Yes",BG$3&gt;=Projects!$C$34,BG$3&lt;Projects!$C$34+Projects!$D$34),Projects!$B$34*INDEX(Curves!$B$4:$AR$4,1,BG$3-Projects!$C$34+1),0)-IF(AND(Projects!$G$34="Yes",BG$3&gt;=Projects!$C$34,BG$3&lt;Projects!$C$34+Projects!$D$34),Projects!$B$34*(Assumptions!$B$10+Assumptions!$B$11+Assumptions!$B$12)/Projects!$D$34*0.95,0)-IF(AND(Projects!$G$34="Yes",BG$3=Projects!$C$34+Projects!$D$34-1),Projects!$B$34*(Assumptions!$B$10+Assumptions!$B$11+Assumptions!$B$12)*0.05,0)</f>
        <v/>
      </c>
      <c r="BH43" s="399">
        <f>IF(AND(Projects!$G$34="Yes",BH$3&gt;=Projects!$C$34,BH$3&lt;Projects!$C$34+Projects!$D$34),Projects!$B$34*INDEX(Curves!$B$4:$AR$4,1,BH$3-Projects!$C$34+1),0)-IF(AND(Projects!$G$34="Yes",BH$3&gt;=Projects!$C$34,BH$3&lt;Projects!$C$34+Projects!$D$34),Projects!$B$34*(Assumptions!$B$10+Assumptions!$B$11+Assumptions!$B$12)/Projects!$D$34*0.95,0)-IF(AND(Projects!$G$34="Yes",BH$3=Projects!$C$34+Projects!$D$34-1),Projects!$B$34*(Assumptions!$B$10+Assumptions!$B$11+Assumptions!$B$12)*0.05,0)</f>
        <v/>
      </c>
      <c r="BI43" s="399">
        <f>IF(AND(Projects!$G$34="Yes",BI$3&gt;=Projects!$C$34,BI$3&lt;Projects!$C$34+Projects!$D$34),Projects!$B$34*INDEX(Curves!$B$4:$AR$4,1,BI$3-Projects!$C$34+1),0)-IF(AND(Projects!$G$34="Yes",BI$3&gt;=Projects!$C$34,BI$3&lt;Projects!$C$34+Projects!$D$34),Projects!$B$34*(Assumptions!$B$10+Assumptions!$B$11+Assumptions!$B$12)/Projects!$D$34*0.95,0)-IF(AND(Projects!$G$34="Yes",BI$3=Projects!$C$34+Projects!$D$34-1),Projects!$B$34*(Assumptions!$B$10+Assumptions!$B$11+Assumptions!$B$12)*0.05,0)</f>
        <v/>
      </c>
      <c r="BJ43" s="399">
        <f>IF(AND(Projects!$G$34="Yes",BJ$3&gt;=Projects!$C$34,BJ$3&lt;Projects!$C$34+Projects!$D$34),Projects!$B$34*INDEX(Curves!$B$4:$AR$4,1,BJ$3-Projects!$C$34+1),0)-IF(AND(Projects!$G$34="Yes",BJ$3&gt;=Projects!$C$34,BJ$3&lt;Projects!$C$34+Projects!$D$34),Projects!$B$34*(Assumptions!$B$10+Assumptions!$B$11+Assumptions!$B$12)/Projects!$D$34*0.95,0)-IF(AND(Projects!$G$34="Yes",BJ$3=Projects!$C$34+Projects!$D$34-1),Projects!$B$34*(Assumptions!$B$10+Assumptions!$B$11+Assumptions!$B$12)*0.05,0)</f>
        <v/>
      </c>
      <c r="BK43" s="399">
        <f>IF(AND(Projects!$G$34="Yes",BK$3&gt;=Projects!$C$34,BK$3&lt;Projects!$C$34+Projects!$D$34),Projects!$B$34*INDEX(Curves!$B$4:$AR$4,1,BK$3-Projects!$C$34+1),0)-IF(AND(Projects!$G$34="Yes",BK$3&gt;=Projects!$C$34,BK$3&lt;Projects!$C$34+Projects!$D$34),Projects!$B$34*(Assumptions!$B$10+Assumptions!$B$11+Assumptions!$B$12)/Projects!$D$34*0.95,0)-IF(AND(Projects!$G$34="Yes",BK$3=Projects!$C$34+Projects!$D$34-1),Projects!$B$34*(Assumptions!$B$10+Assumptions!$B$11+Assumptions!$B$12)*0.05,0)</f>
        <v/>
      </c>
      <c r="BL43" s="399">
        <f>IF(AND(Projects!$G$34="Yes",BL$3&gt;=Projects!$C$34,BL$3&lt;Projects!$C$34+Projects!$D$34),Projects!$B$34*INDEX(Curves!$B$4:$AR$4,1,BL$3-Projects!$C$34+1),0)-IF(AND(Projects!$G$34="Yes",BL$3&gt;=Projects!$C$34,BL$3&lt;Projects!$C$34+Projects!$D$34),Projects!$B$34*(Assumptions!$B$10+Assumptions!$B$11+Assumptions!$B$12)/Projects!$D$34*0.95,0)-IF(AND(Projects!$G$34="Yes",BL$3=Projects!$C$34+Projects!$D$34-1),Projects!$B$34*(Assumptions!$B$10+Assumptions!$B$11+Assumptions!$B$12)*0.05,0)</f>
        <v/>
      </c>
      <c r="BM43" s="399">
        <f>IF(AND(Projects!$G$34="Yes",BM$3&gt;=Projects!$C$34,BM$3&lt;Projects!$C$34+Projects!$D$34),Projects!$B$34*INDEX(Curves!$B$4:$AR$4,1,BM$3-Projects!$C$34+1),0)-IF(AND(Projects!$G$34="Yes",BM$3&gt;=Projects!$C$34,BM$3&lt;Projects!$C$34+Projects!$D$34),Projects!$B$34*(Assumptions!$B$10+Assumptions!$B$11+Assumptions!$B$12)/Projects!$D$34*0.95,0)-IF(AND(Projects!$G$34="Yes",BM$3=Projects!$C$34+Projects!$D$34-1),Projects!$B$34*(Assumptions!$B$10+Assumptions!$B$11+Assumptions!$B$12)*0.05,0)</f>
        <v/>
      </c>
      <c r="BN43" s="399">
        <f>IF(AND(Projects!$G$34="Yes",BN$3&gt;=Projects!$C$34,BN$3&lt;Projects!$C$34+Projects!$D$34),Projects!$B$34*INDEX(Curves!$B$4:$AR$4,1,BN$3-Projects!$C$34+1),0)-IF(AND(Projects!$G$34="Yes",BN$3&gt;=Projects!$C$34,BN$3&lt;Projects!$C$34+Projects!$D$34),Projects!$B$34*(Assumptions!$B$10+Assumptions!$B$11+Assumptions!$B$12)/Projects!$D$34*0.95,0)-IF(AND(Projects!$G$34="Yes",BN$3=Projects!$C$34+Projects!$D$34-1),Projects!$B$34*(Assumptions!$B$10+Assumptions!$B$11+Assumptions!$B$12)*0.05,0)</f>
        <v/>
      </c>
      <c r="BO43" s="399">
        <f>IF(AND(Projects!$G$34="Yes",BO$3&gt;=Projects!$C$34,BO$3&lt;Projects!$C$34+Projects!$D$34),Projects!$B$34*INDEX(Curves!$B$4:$AR$4,1,BO$3-Projects!$C$34+1),0)-IF(AND(Projects!$G$34="Yes",BO$3&gt;=Projects!$C$34,BO$3&lt;Projects!$C$34+Projects!$D$34),Projects!$B$34*(Assumptions!$B$10+Assumptions!$B$11+Assumptions!$B$12)/Projects!$D$34*0.95,0)-IF(AND(Projects!$G$34="Yes",BO$3=Projects!$C$34+Projects!$D$34-1),Projects!$B$34*(Assumptions!$B$10+Assumptions!$B$11+Assumptions!$B$12)*0.05,0)</f>
        <v/>
      </c>
      <c r="BP43" s="399">
        <f>IF(AND(Projects!$G$34="Yes",BP$3&gt;=Projects!$C$34,BP$3&lt;Projects!$C$34+Projects!$D$34),Projects!$B$34*INDEX(Curves!$B$4:$AR$4,1,BP$3-Projects!$C$34+1),0)-IF(AND(Projects!$G$34="Yes",BP$3&gt;=Projects!$C$34,BP$3&lt;Projects!$C$34+Projects!$D$34),Projects!$B$34*(Assumptions!$B$10+Assumptions!$B$11+Assumptions!$B$12)/Projects!$D$34*0.95,0)-IF(AND(Projects!$G$34="Yes",BP$3=Projects!$C$34+Projects!$D$34-1),Projects!$B$34*(Assumptions!$B$10+Assumptions!$B$11+Assumptions!$B$12)*0.05,0)</f>
        <v/>
      </c>
      <c r="BQ43" s="399">
        <f>IF(AND(Projects!$G$34="Yes",BQ$3&gt;=Projects!$C$34,BQ$3&lt;Projects!$C$34+Projects!$D$34),Projects!$B$34*INDEX(Curves!$B$4:$AR$4,1,BQ$3-Projects!$C$34+1),0)-IF(AND(Projects!$G$34="Yes",BQ$3&gt;=Projects!$C$34,BQ$3&lt;Projects!$C$34+Projects!$D$34),Projects!$B$34*(Assumptions!$B$10+Assumptions!$B$11+Assumptions!$B$12)/Projects!$D$34*0.95,0)-IF(AND(Projects!$G$34="Yes",BQ$3=Projects!$C$34+Projects!$D$34-1),Projects!$B$34*(Assumptions!$B$10+Assumptions!$B$11+Assumptions!$B$12)*0.05,0)</f>
        <v/>
      </c>
      <c r="BR43" s="399">
        <f>IF(AND(Projects!$G$34="Yes",BR$3&gt;=Projects!$C$34,BR$3&lt;Projects!$C$34+Projects!$D$34),Projects!$B$34*INDEX(Curves!$B$4:$AR$4,1,BR$3-Projects!$C$34+1),0)-IF(AND(Projects!$G$34="Yes",BR$3&gt;=Projects!$C$34,BR$3&lt;Projects!$C$34+Projects!$D$34),Projects!$B$34*(Assumptions!$B$10+Assumptions!$B$11+Assumptions!$B$12)/Projects!$D$34*0.95,0)-IF(AND(Projects!$G$34="Yes",BR$3=Projects!$C$34+Projects!$D$34-1),Projects!$B$34*(Assumptions!$B$10+Assumptions!$B$11+Assumptions!$B$12)*0.05,0)</f>
        <v/>
      </c>
      <c r="BS43" s="399">
        <f>IF(AND(Projects!$G$34="Yes",BS$3&gt;=Projects!$C$34,BS$3&lt;Projects!$C$34+Projects!$D$34),Projects!$B$34*INDEX(Curves!$B$4:$AR$4,1,BS$3-Projects!$C$34+1),0)-IF(AND(Projects!$G$34="Yes",BS$3&gt;=Projects!$C$34,BS$3&lt;Projects!$C$34+Projects!$D$34),Projects!$B$34*(Assumptions!$B$10+Assumptions!$B$11+Assumptions!$B$12)/Projects!$D$34*0.95,0)-IF(AND(Projects!$G$34="Yes",BS$3=Projects!$C$34+Projects!$D$34-1),Projects!$B$34*(Assumptions!$B$10+Assumptions!$B$11+Assumptions!$B$12)*0.05,0)</f>
        <v/>
      </c>
      <c r="BT43" s="399">
        <f>IF(AND(Projects!$G$34="Yes",BT$3&gt;=Projects!$C$34,BT$3&lt;Projects!$C$34+Projects!$D$34),Projects!$B$34*INDEX(Curves!$B$4:$AR$4,1,BT$3-Projects!$C$34+1),0)-IF(AND(Projects!$G$34="Yes",BT$3&gt;=Projects!$C$34,BT$3&lt;Projects!$C$34+Projects!$D$34),Projects!$B$34*(Assumptions!$B$10+Assumptions!$B$11+Assumptions!$B$12)/Projects!$D$34*0.95,0)-IF(AND(Projects!$G$34="Yes",BT$3=Projects!$C$34+Projects!$D$34-1),Projects!$B$34*(Assumptions!$B$10+Assumptions!$B$11+Assumptions!$B$12)*0.05,0)</f>
        <v/>
      </c>
      <c r="BU43" s="399">
        <f>IF(AND(Projects!$G$34="Yes",BU$3&gt;=Projects!$C$34,BU$3&lt;Projects!$C$34+Projects!$D$34),Projects!$B$34*INDEX(Curves!$B$4:$AR$4,1,BU$3-Projects!$C$34+1),0)-IF(AND(Projects!$G$34="Yes",BU$3&gt;=Projects!$C$34,BU$3&lt;Projects!$C$34+Projects!$D$34),Projects!$B$34*(Assumptions!$B$10+Assumptions!$B$11+Assumptions!$B$12)/Projects!$D$34*0.95,0)-IF(AND(Projects!$G$34="Yes",BU$3=Projects!$C$34+Projects!$D$34-1),Projects!$B$34*(Assumptions!$B$10+Assumptions!$B$11+Assumptions!$B$12)*0.05,0)</f>
        <v/>
      </c>
      <c r="BV43" s="399">
        <f>IF(AND(Projects!$G$34="Yes",BV$3&gt;=Projects!$C$34,BV$3&lt;Projects!$C$34+Projects!$D$34),Projects!$B$34*INDEX(Curves!$B$4:$AR$4,1,BV$3-Projects!$C$34+1),0)-IF(AND(Projects!$G$34="Yes",BV$3&gt;=Projects!$C$34,BV$3&lt;Projects!$C$34+Projects!$D$34),Projects!$B$34*(Assumptions!$B$10+Assumptions!$B$11+Assumptions!$B$12)/Projects!$D$34*0.95,0)-IF(AND(Projects!$G$34="Yes",BV$3=Projects!$C$34+Projects!$D$34-1),Projects!$B$34*(Assumptions!$B$10+Assumptions!$B$11+Assumptions!$B$12)*0.05,0)</f>
        <v/>
      </c>
      <c r="BW43" s="399">
        <f>IF(AND(Projects!$G$34="Yes",BW$3&gt;=Projects!$C$34,BW$3&lt;Projects!$C$34+Projects!$D$34),Projects!$B$34*INDEX(Curves!$B$4:$AR$4,1,BW$3-Projects!$C$34+1),0)-IF(AND(Projects!$G$34="Yes",BW$3&gt;=Projects!$C$34,BW$3&lt;Projects!$C$34+Projects!$D$34),Projects!$B$34*(Assumptions!$B$10+Assumptions!$B$11+Assumptions!$B$12)/Projects!$D$34*0.95,0)-IF(AND(Projects!$G$34="Yes",BW$3=Projects!$C$34+Projects!$D$34-1),Projects!$B$34*(Assumptions!$B$10+Assumptions!$B$11+Assumptions!$B$12)*0.05,0)</f>
        <v/>
      </c>
      <c r="BX43" s="399">
        <f>IF(AND(Projects!$G$34="Yes",BX$3&gt;=Projects!$C$34,BX$3&lt;Projects!$C$34+Projects!$D$34),Projects!$B$34*INDEX(Curves!$B$4:$AR$4,1,BX$3-Projects!$C$34+1),0)-IF(AND(Projects!$G$34="Yes",BX$3&gt;=Projects!$C$34,BX$3&lt;Projects!$C$34+Projects!$D$34),Projects!$B$34*(Assumptions!$B$10+Assumptions!$B$11+Assumptions!$B$12)/Projects!$D$34*0.95,0)-IF(AND(Projects!$G$34="Yes",BX$3=Projects!$C$34+Projects!$D$34-1),Projects!$B$34*(Assumptions!$B$10+Assumptions!$B$11+Assumptions!$B$12)*0.05,0)</f>
        <v/>
      </c>
      <c r="BY43" s="399">
        <f>IF(AND(Projects!$G$34="Yes",BY$3&gt;=Projects!$C$34,BY$3&lt;Projects!$C$34+Projects!$D$34),Projects!$B$34*INDEX(Curves!$B$4:$AR$4,1,BY$3-Projects!$C$34+1),0)-IF(AND(Projects!$G$34="Yes",BY$3&gt;=Projects!$C$34,BY$3&lt;Projects!$C$34+Projects!$D$34),Projects!$B$34*(Assumptions!$B$10+Assumptions!$B$11+Assumptions!$B$12)/Projects!$D$34*0.95,0)-IF(AND(Projects!$G$34="Yes",BY$3=Projects!$C$34+Projects!$D$34-1),Projects!$B$34*(Assumptions!$B$10+Assumptions!$B$11+Assumptions!$B$12)*0.05,0)</f>
        <v/>
      </c>
      <c r="BZ43" s="399">
        <f>IF(AND(Projects!$G$34="Yes",BZ$3&gt;=Projects!$C$34,BZ$3&lt;Projects!$C$34+Projects!$D$34),Projects!$B$34*INDEX(Curves!$B$4:$AR$4,1,BZ$3-Projects!$C$34+1),0)-IF(AND(Projects!$G$34="Yes",BZ$3&gt;=Projects!$C$34,BZ$3&lt;Projects!$C$34+Projects!$D$34),Projects!$B$34*(Assumptions!$B$10+Assumptions!$B$11+Assumptions!$B$12)/Projects!$D$34*0.95,0)-IF(AND(Projects!$G$34="Yes",BZ$3=Projects!$C$34+Projects!$D$34-1),Projects!$B$34*(Assumptions!$B$10+Assumptions!$B$11+Assumptions!$B$12)*0.05,0)</f>
        <v/>
      </c>
      <c r="CA43" s="399">
        <f>IF(AND(Projects!$G$34="Yes",CA$3&gt;=Projects!$C$34,CA$3&lt;Projects!$C$34+Projects!$D$34),Projects!$B$34*INDEX(Curves!$B$4:$AR$4,1,CA$3-Projects!$C$34+1),0)-IF(AND(Projects!$G$34="Yes",CA$3&gt;=Projects!$C$34,CA$3&lt;Projects!$C$34+Projects!$D$34),Projects!$B$34*(Assumptions!$B$10+Assumptions!$B$11+Assumptions!$B$12)/Projects!$D$34*0.95,0)-IF(AND(Projects!$G$34="Yes",CA$3=Projects!$C$34+Projects!$D$34-1),Projects!$B$34*(Assumptions!$B$10+Assumptions!$B$11+Assumptions!$B$12)*0.05,0)</f>
        <v/>
      </c>
      <c r="CB43" s="399">
        <f>IF(AND(Projects!$G$34="Yes",CB$3&gt;=Projects!$C$34,CB$3&lt;Projects!$C$34+Projects!$D$34),Projects!$B$34*INDEX(Curves!$B$4:$AR$4,1,CB$3-Projects!$C$34+1),0)-IF(AND(Projects!$G$34="Yes",CB$3&gt;=Projects!$C$34,CB$3&lt;Projects!$C$34+Projects!$D$34),Projects!$B$34*(Assumptions!$B$10+Assumptions!$B$11+Assumptions!$B$12)/Projects!$D$34*0.95,0)-IF(AND(Projects!$G$34="Yes",CB$3=Projects!$C$34+Projects!$D$34-1),Projects!$B$34*(Assumptions!$B$10+Assumptions!$B$11+Assumptions!$B$12)*0.05,0)</f>
        <v/>
      </c>
      <c r="CC43" s="399">
        <f>IF(AND(Projects!$G$34="Yes",CC$3&gt;=Projects!$C$34,CC$3&lt;Projects!$C$34+Projects!$D$34),Projects!$B$34*INDEX(Curves!$B$4:$AR$4,1,CC$3-Projects!$C$34+1),0)-IF(AND(Projects!$G$34="Yes",CC$3&gt;=Projects!$C$34,CC$3&lt;Projects!$C$34+Projects!$D$34),Projects!$B$34*(Assumptions!$B$10+Assumptions!$B$11+Assumptions!$B$12)/Projects!$D$34*0.95,0)-IF(AND(Projects!$G$34="Yes",CC$3=Projects!$C$34+Projects!$D$34-1),Projects!$B$34*(Assumptions!$B$10+Assumptions!$B$11+Assumptions!$B$12)*0.05,0)</f>
        <v/>
      </c>
      <c r="CD43" s="399">
        <f>IF(AND(Projects!$G$34="Yes",CD$3&gt;=Projects!$C$34,CD$3&lt;Projects!$C$34+Projects!$D$34),Projects!$B$34*INDEX(Curves!$B$4:$AR$4,1,CD$3-Projects!$C$34+1),0)-IF(AND(Projects!$G$34="Yes",CD$3&gt;=Projects!$C$34,CD$3&lt;Projects!$C$34+Projects!$D$34),Projects!$B$34*(Assumptions!$B$10+Assumptions!$B$11+Assumptions!$B$12)/Projects!$D$34*0.95,0)-IF(AND(Projects!$G$34="Yes",CD$3=Projects!$C$34+Projects!$D$34-1),Projects!$B$34*(Assumptions!$B$10+Assumptions!$B$11+Assumptions!$B$12)*0.05,0)</f>
        <v/>
      </c>
      <c r="CE43" s="399">
        <f>IF(AND(Projects!$G$34="Yes",CE$3&gt;=Projects!$C$34,CE$3&lt;Projects!$C$34+Projects!$D$34),Projects!$B$34*INDEX(Curves!$B$4:$AR$4,1,CE$3-Projects!$C$34+1),0)-IF(AND(Projects!$G$34="Yes",CE$3&gt;=Projects!$C$34,CE$3&lt;Projects!$C$34+Projects!$D$34),Projects!$B$34*(Assumptions!$B$10+Assumptions!$B$11+Assumptions!$B$12)/Projects!$D$34*0.95,0)-IF(AND(Projects!$G$34="Yes",CE$3=Projects!$C$34+Projects!$D$34-1),Projects!$B$34*(Assumptions!$B$10+Assumptions!$B$11+Assumptions!$B$12)*0.05,0)</f>
        <v/>
      </c>
      <c r="CF43" s="399">
        <f>IF(AND(Projects!$G$34="Yes",CF$3&gt;=Projects!$C$34,CF$3&lt;Projects!$C$34+Projects!$D$34),Projects!$B$34*INDEX(Curves!$B$4:$AR$4,1,CF$3-Projects!$C$34+1),0)-IF(AND(Projects!$G$34="Yes",CF$3&gt;=Projects!$C$34,CF$3&lt;Projects!$C$34+Projects!$D$34),Projects!$B$34*(Assumptions!$B$10+Assumptions!$B$11+Assumptions!$B$12)/Projects!$D$34*0.95,0)-IF(AND(Projects!$G$34="Yes",CF$3=Projects!$C$34+Projects!$D$34-1),Projects!$B$34*(Assumptions!$B$10+Assumptions!$B$11+Assumptions!$B$12)*0.05,0)</f>
        <v/>
      </c>
      <c r="CG43" s="399">
        <f>IF(AND(Projects!$G$34="Yes",CG$3&gt;=Projects!$C$34,CG$3&lt;Projects!$C$34+Projects!$D$34),Projects!$B$34*INDEX(Curves!$B$4:$AR$4,1,CG$3-Projects!$C$34+1),0)-IF(AND(Projects!$G$34="Yes",CG$3&gt;=Projects!$C$34,CG$3&lt;Projects!$C$34+Projects!$D$34),Projects!$B$34*(Assumptions!$B$10+Assumptions!$B$11+Assumptions!$B$12)/Projects!$D$34*0.95,0)-IF(AND(Projects!$G$34="Yes",CG$3=Projects!$C$34+Projects!$D$34-1),Projects!$B$34*(Assumptions!$B$10+Assumptions!$B$11+Assumptions!$B$12)*0.05,0)</f>
        <v/>
      </c>
      <c r="CH43" s="399">
        <f>IF(AND(Projects!$G$34="Yes",CH$3&gt;=Projects!$C$34,CH$3&lt;Projects!$C$34+Projects!$D$34),Projects!$B$34*INDEX(Curves!$B$4:$AR$4,1,CH$3-Projects!$C$34+1),0)-IF(AND(Projects!$G$34="Yes",CH$3&gt;=Projects!$C$34,CH$3&lt;Projects!$C$34+Projects!$D$34),Projects!$B$34*(Assumptions!$B$10+Assumptions!$B$11+Assumptions!$B$12)/Projects!$D$34*0.95,0)-IF(AND(Projects!$G$34="Yes",CH$3=Projects!$C$34+Projects!$D$34-1),Projects!$B$34*(Assumptions!$B$10+Assumptions!$B$11+Assumptions!$B$12)*0.05,0)</f>
        <v/>
      </c>
      <c r="CI43" s="399">
        <f>IF(AND(Projects!$G$34="Yes",CI$3&gt;=Projects!$C$34,CI$3&lt;Projects!$C$34+Projects!$D$34),Projects!$B$34*INDEX(Curves!$B$4:$AR$4,1,CI$3-Projects!$C$34+1),0)-IF(AND(Projects!$G$34="Yes",CI$3&gt;=Projects!$C$34,CI$3&lt;Projects!$C$34+Projects!$D$34),Projects!$B$34*(Assumptions!$B$10+Assumptions!$B$11+Assumptions!$B$12)/Projects!$D$34*0.95,0)-IF(AND(Projects!$G$34="Yes",CI$3=Projects!$C$34+Projects!$D$34-1),Projects!$B$34*(Assumptions!$B$10+Assumptions!$B$11+Assumptions!$B$12)*0.05,0)</f>
        <v/>
      </c>
      <c r="CJ43" s="399">
        <f>IF(AND(Projects!$G$34="Yes",CJ$3&gt;=Projects!$C$34,CJ$3&lt;Projects!$C$34+Projects!$D$34),Projects!$B$34*INDEX(Curves!$B$4:$AR$4,1,CJ$3-Projects!$C$34+1),0)-IF(AND(Projects!$G$34="Yes",CJ$3&gt;=Projects!$C$34,CJ$3&lt;Projects!$C$34+Projects!$D$34),Projects!$B$34*(Assumptions!$B$10+Assumptions!$B$11+Assumptions!$B$12)/Projects!$D$34*0.95,0)-IF(AND(Projects!$G$34="Yes",CJ$3=Projects!$C$34+Projects!$D$34-1),Projects!$B$34*(Assumptions!$B$10+Assumptions!$B$11+Assumptions!$B$12)*0.05,0)</f>
        <v/>
      </c>
      <c r="CK43" s="399">
        <f>IF(AND(Projects!$G$34="Yes",CK$3&gt;=Projects!$C$34,CK$3&lt;Projects!$C$34+Projects!$D$34),Projects!$B$34*INDEX(Curves!$B$4:$AR$4,1,CK$3-Projects!$C$34+1),0)-IF(AND(Projects!$G$34="Yes",CK$3&gt;=Projects!$C$34,CK$3&lt;Projects!$C$34+Projects!$D$34),Projects!$B$34*(Assumptions!$B$10+Assumptions!$B$11+Assumptions!$B$12)/Projects!$D$34*0.95,0)-IF(AND(Projects!$G$34="Yes",CK$3=Projects!$C$34+Projects!$D$34-1),Projects!$B$34*(Assumptions!$B$10+Assumptions!$B$11+Assumptions!$B$12)*0.05,0)</f>
        <v/>
      </c>
      <c r="CL43" s="399">
        <f>IF(AND(Projects!$G$34="Yes",CL$3&gt;=Projects!$C$34,CL$3&lt;Projects!$C$34+Projects!$D$34),Projects!$B$34*INDEX(Curves!$B$4:$AR$4,1,CL$3-Projects!$C$34+1),0)-IF(AND(Projects!$G$34="Yes",CL$3&gt;=Projects!$C$34,CL$3&lt;Projects!$C$34+Projects!$D$34),Projects!$B$34*(Assumptions!$B$10+Assumptions!$B$11+Assumptions!$B$12)/Projects!$D$34*0.95,0)-IF(AND(Projects!$G$34="Yes",CL$3=Projects!$C$34+Projects!$D$34-1),Projects!$B$34*(Assumptions!$B$10+Assumptions!$B$11+Assumptions!$B$12)*0.05,0)</f>
        <v/>
      </c>
      <c r="CM43" s="399">
        <f>IF(AND(Projects!$G$34="Yes",CM$3&gt;=Projects!$C$34,CM$3&lt;Projects!$C$34+Projects!$D$34),Projects!$B$34*INDEX(Curves!$B$4:$AR$4,1,CM$3-Projects!$C$34+1),0)-IF(AND(Projects!$G$34="Yes",CM$3&gt;=Projects!$C$34,CM$3&lt;Projects!$C$34+Projects!$D$34),Projects!$B$34*(Assumptions!$B$10+Assumptions!$B$11+Assumptions!$B$12)/Projects!$D$34*0.95,0)-IF(AND(Projects!$G$34="Yes",CM$3=Projects!$C$34+Projects!$D$34-1),Projects!$B$34*(Assumptions!$B$10+Assumptions!$B$11+Assumptions!$B$12)*0.05,0)</f>
        <v/>
      </c>
      <c r="CN43" s="399">
        <f>IF(AND(Projects!$G$34="Yes",CN$3&gt;=Projects!$C$34,CN$3&lt;Projects!$C$34+Projects!$D$34),Projects!$B$34*INDEX(Curves!$B$4:$AR$4,1,CN$3-Projects!$C$34+1),0)-IF(AND(Projects!$G$34="Yes",CN$3&gt;=Projects!$C$34,CN$3&lt;Projects!$C$34+Projects!$D$34),Projects!$B$34*(Assumptions!$B$10+Assumptions!$B$11+Assumptions!$B$12)/Projects!$D$34*0.95,0)-IF(AND(Projects!$G$34="Yes",CN$3=Projects!$C$34+Projects!$D$34-1),Projects!$B$34*(Assumptions!$B$10+Assumptions!$B$11+Assumptions!$B$12)*0.05,0)</f>
        <v/>
      </c>
      <c r="CO43" s="399">
        <f>IF(AND(Projects!$G$34="Yes",CO$3&gt;=Projects!$C$34,CO$3&lt;Projects!$C$34+Projects!$D$34),Projects!$B$34*INDEX(Curves!$B$4:$AR$4,1,CO$3-Projects!$C$34+1),0)-IF(AND(Projects!$G$34="Yes",CO$3&gt;=Projects!$C$34,CO$3&lt;Projects!$C$34+Projects!$D$34),Projects!$B$34*(Assumptions!$B$10+Assumptions!$B$11+Assumptions!$B$12)/Projects!$D$34*0.95,0)-IF(AND(Projects!$G$34="Yes",CO$3=Projects!$C$34+Projects!$D$34-1),Projects!$B$34*(Assumptions!$B$10+Assumptions!$B$11+Assumptions!$B$12)*0.05,0)</f>
        <v/>
      </c>
      <c r="CP43" s="399">
        <f>IF(AND(Projects!$G$34="Yes",CP$3&gt;=Projects!$C$34,CP$3&lt;Projects!$C$34+Projects!$D$34),Projects!$B$34*INDEX(Curves!$B$4:$AR$4,1,CP$3-Projects!$C$34+1),0)-IF(AND(Projects!$G$34="Yes",CP$3&gt;=Projects!$C$34,CP$3&lt;Projects!$C$34+Projects!$D$34),Projects!$B$34*(Assumptions!$B$10+Assumptions!$B$11+Assumptions!$B$12)/Projects!$D$34*0.95,0)-IF(AND(Projects!$G$34="Yes",CP$3=Projects!$C$34+Projects!$D$34-1),Projects!$B$34*(Assumptions!$B$10+Assumptions!$B$11+Assumptions!$B$12)*0.05,0)</f>
        <v/>
      </c>
      <c r="CQ43" s="399">
        <f>IF(AND(Projects!$G$34="Yes",CQ$3&gt;=Projects!$C$34,CQ$3&lt;Projects!$C$34+Projects!$D$34),Projects!$B$34*INDEX(Curves!$B$4:$AR$4,1,CQ$3-Projects!$C$34+1),0)-IF(AND(Projects!$G$34="Yes",CQ$3&gt;=Projects!$C$34,CQ$3&lt;Projects!$C$34+Projects!$D$34),Projects!$B$34*(Assumptions!$B$10+Assumptions!$B$11+Assumptions!$B$12)/Projects!$D$34*0.95,0)-IF(AND(Projects!$G$34="Yes",CQ$3=Projects!$C$34+Projects!$D$34-1),Projects!$B$34*(Assumptions!$B$10+Assumptions!$B$11+Assumptions!$B$12)*0.05,0)</f>
        <v/>
      </c>
      <c r="CR43" s="399">
        <f>IF(AND(Projects!$G$34="Yes",CR$3&gt;=Projects!$C$34,CR$3&lt;Projects!$C$34+Projects!$D$34),Projects!$B$34*INDEX(Curves!$B$4:$AR$4,1,CR$3-Projects!$C$34+1),0)-IF(AND(Projects!$G$34="Yes",CR$3&gt;=Projects!$C$34,CR$3&lt;Projects!$C$34+Projects!$D$34),Projects!$B$34*(Assumptions!$B$10+Assumptions!$B$11+Assumptions!$B$12)/Projects!$D$34*0.95,0)-IF(AND(Projects!$G$34="Yes",CR$3=Projects!$C$34+Projects!$D$34-1),Projects!$B$34*(Assumptions!$B$10+Assumptions!$B$11+Assumptions!$B$12)*0.05,0)</f>
        <v/>
      </c>
      <c r="CS43" s="399">
        <f>IF(AND(Projects!$G$34="Yes",CS$3&gt;=Projects!$C$34,CS$3&lt;Projects!$C$34+Projects!$D$34),Projects!$B$34*INDEX(Curves!$B$4:$AR$4,1,CS$3-Projects!$C$34+1),0)-IF(AND(Projects!$G$34="Yes",CS$3&gt;=Projects!$C$34,CS$3&lt;Projects!$C$34+Projects!$D$34),Projects!$B$34*(Assumptions!$B$10+Assumptions!$B$11+Assumptions!$B$12)/Projects!$D$34*0.95,0)-IF(AND(Projects!$G$34="Yes",CS$3=Projects!$C$34+Projects!$D$34-1),Projects!$B$34*(Assumptions!$B$10+Assumptions!$B$11+Assumptions!$B$12)*0.05,0)</f>
        <v/>
      </c>
      <c r="CT43" s="399">
        <f>IF(AND(Projects!$G$34="Yes",CT$3&gt;=Projects!$C$34,CT$3&lt;Projects!$C$34+Projects!$D$34),Projects!$B$34*INDEX(Curves!$B$4:$AR$4,1,CT$3-Projects!$C$34+1),0)-IF(AND(Projects!$G$34="Yes",CT$3&gt;=Projects!$C$34,CT$3&lt;Projects!$C$34+Projects!$D$34),Projects!$B$34*(Assumptions!$B$10+Assumptions!$B$11+Assumptions!$B$12)/Projects!$D$34*0.95,0)-IF(AND(Projects!$G$34="Yes",CT$3=Projects!$C$34+Projects!$D$34-1),Projects!$B$34*(Assumptions!$B$10+Assumptions!$B$11+Assumptions!$B$12)*0.05,0)</f>
        <v/>
      </c>
      <c r="CU43" s="399">
        <f>IF(AND(Projects!$G$34="Yes",CU$3&gt;=Projects!$C$34,CU$3&lt;Projects!$C$34+Projects!$D$34),Projects!$B$34*INDEX(Curves!$B$4:$AR$4,1,CU$3-Projects!$C$34+1),0)-IF(AND(Projects!$G$34="Yes",CU$3&gt;=Projects!$C$34,CU$3&lt;Projects!$C$34+Projects!$D$34),Projects!$B$34*(Assumptions!$B$10+Assumptions!$B$11+Assumptions!$B$12)/Projects!$D$34*0.95,0)-IF(AND(Projects!$G$34="Yes",CU$3=Projects!$C$34+Projects!$D$34-1),Projects!$B$34*(Assumptions!$B$10+Assumptions!$B$11+Assumptions!$B$12)*0.05,0)</f>
        <v/>
      </c>
      <c r="CV43" s="399">
        <f>IF(AND(Projects!$G$34="Yes",CV$3&gt;=Projects!$C$34,CV$3&lt;Projects!$C$34+Projects!$D$34),Projects!$B$34*INDEX(Curves!$B$4:$AR$4,1,CV$3-Projects!$C$34+1),0)-IF(AND(Projects!$G$34="Yes",CV$3&gt;=Projects!$C$34,CV$3&lt;Projects!$C$34+Projects!$D$34),Projects!$B$34*(Assumptions!$B$10+Assumptions!$B$11+Assumptions!$B$12)/Projects!$D$34*0.95,0)-IF(AND(Projects!$G$34="Yes",CV$3=Projects!$C$34+Projects!$D$34-1),Projects!$B$34*(Assumptions!$B$10+Assumptions!$B$11+Assumptions!$B$12)*0.05,0)</f>
        <v/>
      </c>
      <c r="CW43" s="399">
        <f>IF(AND(Projects!$G$34="Yes",CW$3&gt;=Projects!$C$34,CW$3&lt;Projects!$C$34+Projects!$D$34),Projects!$B$34*INDEX(Curves!$B$4:$AR$4,1,CW$3-Projects!$C$34+1),0)-IF(AND(Projects!$G$34="Yes",CW$3&gt;=Projects!$C$34,CW$3&lt;Projects!$C$34+Projects!$D$34),Projects!$B$34*(Assumptions!$B$10+Assumptions!$B$11+Assumptions!$B$12)/Projects!$D$34*0.95,0)-IF(AND(Projects!$G$34="Yes",CW$3=Projects!$C$34+Projects!$D$34-1),Projects!$B$34*(Assumptions!$B$10+Assumptions!$B$11+Assumptions!$B$12)*0.05,0)</f>
        <v/>
      </c>
      <c r="CX43" s="399">
        <f>IF(AND(Projects!$G$34="Yes",CX$3&gt;=Projects!$C$34,CX$3&lt;Projects!$C$34+Projects!$D$34),Projects!$B$34*INDEX(Curves!$B$4:$AR$4,1,CX$3-Projects!$C$34+1),0)-IF(AND(Projects!$G$34="Yes",CX$3&gt;=Projects!$C$34,CX$3&lt;Projects!$C$34+Projects!$D$34),Projects!$B$34*(Assumptions!$B$10+Assumptions!$B$11+Assumptions!$B$12)/Projects!$D$34*0.95,0)-IF(AND(Projects!$G$34="Yes",CX$3=Projects!$C$34+Projects!$D$34-1),Projects!$B$34*(Assumptions!$B$10+Assumptions!$B$11+Assumptions!$B$12)*0.05,0)</f>
        <v/>
      </c>
      <c r="CY43" s="399">
        <f>IF(AND(Projects!$G$34="Yes",CY$3&gt;=Projects!$C$34,CY$3&lt;Projects!$C$34+Projects!$D$34),Projects!$B$34*INDEX(Curves!$B$4:$AR$4,1,CY$3-Projects!$C$34+1),0)-IF(AND(Projects!$G$34="Yes",CY$3&gt;=Projects!$C$34,CY$3&lt;Projects!$C$34+Projects!$D$34),Projects!$B$34*(Assumptions!$B$10+Assumptions!$B$11+Assumptions!$B$12)/Projects!$D$34*0.95,0)-IF(AND(Projects!$G$34="Yes",CY$3=Projects!$C$34+Projects!$D$34-1),Projects!$B$34*(Assumptions!$B$10+Assumptions!$B$11+Assumptions!$B$12)*0.05,0)</f>
        <v/>
      </c>
      <c r="CZ43" s="399">
        <f>IF(AND(Projects!$G$34="Yes",CZ$3&gt;=Projects!$C$34,CZ$3&lt;Projects!$C$34+Projects!$D$34),Projects!$B$34*INDEX(Curves!$B$4:$AR$4,1,CZ$3-Projects!$C$34+1),0)-IF(AND(Projects!$G$34="Yes",CZ$3&gt;=Projects!$C$34,CZ$3&lt;Projects!$C$34+Projects!$D$34),Projects!$B$34*(Assumptions!$B$10+Assumptions!$B$11+Assumptions!$B$12)/Projects!$D$34*0.95,0)-IF(AND(Projects!$G$34="Yes",CZ$3=Projects!$C$34+Projects!$D$34-1),Projects!$B$34*(Assumptions!$B$10+Assumptions!$B$11+Assumptions!$B$12)*0.05,0)</f>
        <v/>
      </c>
      <c r="DA43" s="399">
        <f>IF(AND(Projects!$G$34="Yes",DA$3&gt;=Projects!$C$34,DA$3&lt;Projects!$C$34+Projects!$D$34),Projects!$B$34*INDEX(Curves!$B$4:$AR$4,1,DA$3-Projects!$C$34+1),0)-IF(AND(Projects!$G$34="Yes",DA$3&gt;=Projects!$C$34,DA$3&lt;Projects!$C$34+Projects!$D$34),Projects!$B$34*(Assumptions!$B$10+Assumptions!$B$11+Assumptions!$B$12)/Projects!$D$34*0.95,0)-IF(AND(Projects!$G$34="Yes",DA$3=Projects!$C$34+Projects!$D$34-1),Projects!$B$34*(Assumptions!$B$10+Assumptions!$B$11+Assumptions!$B$12)*0.05,0)</f>
        <v/>
      </c>
      <c r="DB43" s="399">
        <f>IF(AND(Projects!$G$34="Yes",DB$3&gt;=Projects!$C$34,DB$3&lt;Projects!$C$34+Projects!$D$34),Projects!$B$34*INDEX(Curves!$B$4:$AR$4,1,DB$3-Projects!$C$34+1),0)-IF(AND(Projects!$G$34="Yes",DB$3&gt;=Projects!$C$34,DB$3&lt;Projects!$C$34+Projects!$D$34),Projects!$B$34*(Assumptions!$B$10+Assumptions!$B$11+Assumptions!$B$12)/Projects!$D$34*0.95,0)-IF(AND(Projects!$G$34="Yes",DB$3=Projects!$C$34+Projects!$D$34-1),Projects!$B$34*(Assumptions!$B$10+Assumptions!$B$11+Assumptions!$B$12)*0.05,0)</f>
        <v/>
      </c>
      <c r="DC43" s="399">
        <f>IF(AND(Projects!$G$34="Yes",DC$3&gt;=Projects!$C$34,DC$3&lt;Projects!$C$34+Projects!$D$34),Projects!$B$34*INDEX(Curves!$B$4:$AR$4,1,DC$3-Projects!$C$34+1),0)-IF(AND(Projects!$G$34="Yes",DC$3&gt;=Projects!$C$34,DC$3&lt;Projects!$C$34+Projects!$D$34),Projects!$B$34*(Assumptions!$B$10+Assumptions!$B$11+Assumptions!$B$12)/Projects!$D$34*0.95,0)-IF(AND(Projects!$G$34="Yes",DC$3=Projects!$C$34+Projects!$D$34-1),Projects!$B$34*(Assumptions!$B$10+Assumptions!$B$11+Assumptions!$B$12)*0.05,0)</f>
        <v/>
      </c>
      <c r="DD43" s="399">
        <f>IF(AND(Projects!$G$34="Yes",DD$3&gt;=Projects!$C$34,DD$3&lt;Projects!$C$34+Projects!$D$34),Projects!$B$34*INDEX(Curves!$B$4:$AR$4,1,DD$3-Projects!$C$34+1),0)-IF(AND(Projects!$G$34="Yes",DD$3&gt;=Projects!$C$34,DD$3&lt;Projects!$C$34+Projects!$D$34),Projects!$B$34*(Assumptions!$B$10+Assumptions!$B$11+Assumptions!$B$12)/Projects!$D$34*0.95,0)-IF(AND(Projects!$G$34="Yes",DD$3=Projects!$C$34+Projects!$D$34-1),Projects!$B$34*(Assumptions!$B$10+Assumptions!$B$11+Assumptions!$B$12)*0.05,0)</f>
        <v/>
      </c>
      <c r="DE43" s="399">
        <f>IF(AND(Projects!$G$34="Yes",DE$3&gt;=Projects!$C$34,DE$3&lt;Projects!$C$34+Projects!$D$34),Projects!$B$34*INDEX(Curves!$B$4:$AR$4,1,DE$3-Projects!$C$34+1),0)-IF(AND(Projects!$G$34="Yes",DE$3&gt;=Projects!$C$34,DE$3&lt;Projects!$C$34+Projects!$D$34),Projects!$B$34*(Assumptions!$B$10+Assumptions!$B$11+Assumptions!$B$12)/Projects!$D$34*0.95,0)-IF(AND(Projects!$G$34="Yes",DE$3=Projects!$C$34+Projects!$D$34-1),Projects!$B$34*(Assumptions!$B$10+Assumptions!$B$11+Assumptions!$B$12)*0.05,0)</f>
        <v/>
      </c>
    </row>
    <row r="44" hidden="1" outlineLevel="1" ht="15" customFormat="1" customHeight="1" s="380">
      <c r="A44" s="407" t="inlineStr">
        <is>
          <t>BD-19</t>
        </is>
      </c>
      <c r="B44" s="399" t="n">
        <v>0</v>
      </c>
      <c r="C44" s="399" t="n">
        <v>0</v>
      </c>
      <c r="D44" s="399" t="n">
        <v>0</v>
      </c>
      <c r="E44" s="399" t="n">
        <v>0</v>
      </c>
      <c r="F44" s="399">
        <f>IF(AND(Projects!$G$35="Yes",F$3&gt;=Projects!$C$35,F$3&lt;Projects!$C$35+Projects!$D$35),Projects!$B$35*INDEX(Curves!$B$4:$AR$4,1,F$3-Projects!$C$35+1),0)-IF(AND(Projects!$G$35="Yes",F$3&gt;=Projects!$C$35,F$3&lt;Projects!$C$35+Projects!$D$35),Projects!$B$35*(Assumptions!$B$10+Assumptions!$B$11+Assumptions!$B$12)/Projects!$D$35*0.95,0)-IF(AND(Projects!$G$35="Yes",F$3=Projects!$C$35+Projects!$D$35-1),Projects!$B$35*(Assumptions!$B$10+Assumptions!$B$11+Assumptions!$B$12)*0.05,0)</f>
        <v/>
      </c>
      <c r="G44" s="399">
        <f>IF(AND(Projects!$G$35="Yes",G$3&gt;=Projects!$C$35,G$3&lt;Projects!$C$35+Projects!$D$35),Projects!$B$35*INDEX(Curves!$B$4:$AR$4,1,G$3-Projects!$C$35+1),0)-IF(AND(Projects!$G$35="Yes",G$3&gt;=Projects!$C$35,G$3&lt;Projects!$C$35+Projects!$D$35),Projects!$B$35*(Assumptions!$B$10+Assumptions!$B$11+Assumptions!$B$12)/Projects!$D$35*0.95,0)-IF(AND(Projects!$G$35="Yes",G$3=Projects!$C$35+Projects!$D$35-1),Projects!$B$35*(Assumptions!$B$10+Assumptions!$B$11+Assumptions!$B$12)*0.05,0)</f>
        <v/>
      </c>
      <c r="H44" s="399">
        <f>IF(AND(Projects!$G$35="Yes",H$3&gt;=Projects!$C$35,H$3&lt;Projects!$C$35+Projects!$D$35),Projects!$B$35*INDEX(Curves!$B$4:$AR$4,1,H$3-Projects!$C$35+1),0)-IF(AND(Projects!$G$35="Yes",H$3&gt;=Projects!$C$35,H$3&lt;Projects!$C$35+Projects!$D$35),Projects!$B$35*(Assumptions!$B$10+Assumptions!$B$11+Assumptions!$B$12)/Projects!$D$35*0.95,0)-IF(AND(Projects!$G$35="Yes",H$3=Projects!$C$35+Projects!$D$35-1),Projects!$B$35*(Assumptions!$B$10+Assumptions!$B$11+Assumptions!$B$12)*0.05,0)</f>
        <v/>
      </c>
      <c r="I44" s="399">
        <f>IF(AND(Projects!$G$35="Yes",I$3&gt;=Projects!$C$35,I$3&lt;Projects!$C$35+Projects!$D$35),Projects!$B$35*INDEX(Curves!$B$4:$AR$4,1,I$3-Projects!$C$35+1),0)-IF(AND(Projects!$G$35="Yes",I$3&gt;=Projects!$C$35,I$3&lt;Projects!$C$35+Projects!$D$35),Projects!$B$35*(Assumptions!$B$10+Assumptions!$B$11+Assumptions!$B$12)/Projects!$D$35*0.95,0)-IF(AND(Projects!$G$35="Yes",I$3=Projects!$C$35+Projects!$D$35-1),Projects!$B$35*(Assumptions!$B$10+Assumptions!$B$11+Assumptions!$B$12)*0.05,0)</f>
        <v/>
      </c>
      <c r="J44" s="399">
        <f>IF(AND(Projects!$G$35="Yes",J$3&gt;=Projects!$C$35,J$3&lt;Projects!$C$35+Projects!$D$35),Projects!$B$35*INDEX(Curves!$B$4:$AR$4,1,J$3-Projects!$C$35+1),0)-IF(AND(Projects!$G$35="Yes",J$3&gt;=Projects!$C$35,J$3&lt;Projects!$C$35+Projects!$D$35),Projects!$B$35*(Assumptions!$B$10+Assumptions!$B$11+Assumptions!$B$12)/Projects!$D$35*0.95,0)-IF(AND(Projects!$G$35="Yes",J$3=Projects!$C$35+Projects!$D$35-1),Projects!$B$35*(Assumptions!$B$10+Assumptions!$B$11+Assumptions!$B$12)*0.05,0)</f>
        <v/>
      </c>
      <c r="K44" s="399">
        <f>IF(AND(Projects!$G$35="Yes",K$3&gt;=Projects!$C$35,K$3&lt;Projects!$C$35+Projects!$D$35),Projects!$B$35*INDEX(Curves!$B$4:$AR$4,1,K$3-Projects!$C$35+1),0)-IF(AND(Projects!$G$35="Yes",K$3&gt;=Projects!$C$35,K$3&lt;Projects!$C$35+Projects!$D$35),Projects!$B$35*(Assumptions!$B$10+Assumptions!$B$11+Assumptions!$B$12)/Projects!$D$35*0.95,0)-IF(AND(Projects!$G$35="Yes",K$3=Projects!$C$35+Projects!$D$35-1),Projects!$B$35*(Assumptions!$B$10+Assumptions!$B$11+Assumptions!$B$12)*0.05,0)</f>
        <v/>
      </c>
      <c r="L44" s="399">
        <f>IF(AND(Projects!$G$35="Yes",L$3&gt;=Projects!$C$35,L$3&lt;Projects!$C$35+Projects!$D$35),Projects!$B$35*INDEX(Curves!$B$4:$AR$4,1,L$3-Projects!$C$35+1),0)-IF(AND(Projects!$G$35="Yes",L$3&gt;=Projects!$C$35,L$3&lt;Projects!$C$35+Projects!$D$35),Projects!$B$35*(Assumptions!$B$10+Assumptions!$B$11+Assumptions!$B$12)/Projects!$D$35*0.95,0)-IF(AND(Projects!$G$35="Yes",L$3=Projects!$C$35+Projects!$D$35-1),Projects!$B$35*(Assumptions!$B$10+Assumptions!$B$11+Assumptions!$B$12)*0.05,0)</f>
        <v/>
      </c>
      <c r="M44" s="399">
        <f>IF(AND(Projects!$G$35="Yes",M$3&gt;=Projects!$C$35,M$3&lt;Projects!$C$35+Projects!$D$35),Projects!$B$35*INDEX(Curves!$B$4:$AR$4,1,M$3-Projects!$C$35+1),0)-IF(AND(Projects!$G$35="Yes",M$3&gt;=Projects!$C$35,M$3&lt;Projects!$C$35+Projects!$D$35),Projects!$B$35*(Assumptions!$B$10+Assumptions!$B$11+Assumptions!$B$12)/Projects!$D$35*0.95,0)-IF(AND(Projects!$G$35="Yes",M$3=Projects!$C$35+Projects!$D$35-1),Projects!$B$35*(Assumptions!$B$10+Assumptions!$B$11+Assumptions!$B$12)*0.05,0)</f>
        <v/>
      </c>
      <c r="N44" s="399">
        <f>IF(AND(Projects!$G$35="Yes",N$3&gt;=Projects!$C$35,N$3&lt;Projects!$C$35+Projects!$D$35),Projects!$B$35*INDEX(Curves!$B$4:$AR$4,1,N$3-Projects!$C$35+1),0)-IF(AND(Projects!$G$35="Yes",N$3&gt;=Projects!$C$35,N$3&lt;Projects!$C$35+Projects!$D$35),Projects!$B$35*(Assumptions!$B$10+Assumptions!$B$11+Assumptions!$B$12)/Projects!$D$35*0.95,0)-IF(AND(Projects!$G$35="Yes",N$3=Projects!$C$35+Projects!$D$35-1),Projects!$B$35*(Assumptions!$B$10+Assumptions!$B$11+Assumptions!$B$12)*0.05,0)</f>
        <v/>
      </c>
      <c r="O44" s="399">
        <f>IF(AND(Projects!$G$35="Yes",O$3&gt;=Projects!$C$35,O$3&lt;Projects!$C$35+Projects!$D$35),Projects!$B$35*INDEX(Curves!$B$4:$AR$4,1,O$3-Projects!$C$35+1),0)-IF(AND(Projects!$G$35="Yes",O$3&gt;=Projects!$C$35,O$3&lt;Projects!$C$35+Projects!$D$35),Projects!$B$35*(Assumptions!$B$10+Assumptions!$B$11+Assumptions!$B$12)/Projects!$D$35*0.95,0)-IF(AND(Projects!$G$35="Yes",O$3=Projects!$C$35+Projects!$D$35-1),Projects!$B$35*(Assumptions!$B$10+Assumptions!$B$11+Assumptions!$B$12)*0.05,0)</f>
        <v/>
      </c>
      <c r="P44" s="399">
        <f>IF(AND(Projects!$G$35="Yes",P$3&gt;=Projects!$C$35,P$3&lt;Projects!$C$35+Projects!$D$35),Projects!$B$35*INDEX(Curves!$B$4:$AR$4,1,P$3-Projects!$C$35+1),0)-IF(AND(Projects!$G$35="Yes",P$3&gt;=Projects!$C$35,P$3&lt;Projects!$C$35+Projects!$D$35),Projects!$B$35*(Assumptions!$B$10+Assumptions!$B$11+Assumptions!$B$12)/Projects!$D$35*0.95,0)-IF(AND(Projects!$G$35="Yes",P$3=Projects!$C$35+Projects!$D$35-1),Projects!$B$35*(Assumptions!$B$10+Assumptions!$B$11+Assumptions!$B$12)*0.05,0)</f>
        <v/>
      </c>
      <c r="Q44" s="399">
        <f>IF(AND(Projects!$G$35="Yes",Q$3&gt;=Projects!$C$35,Q$3&lt;Projects!$C$35+Projects!$D$35),Projects!$B$35*INDEX(Curves!$B$4:$AR$4,1,Q$3-Projects!$C$35+1),0)-IF(AND(Projects!$G$35="Yes",Q$3&gt;=Projects!$C$35,Q$3&lt;Projects!$C$35+Projects!$D$35),Projects!$B$35*(Assumptions!$B$10+Assumptions!$B$11+Assumptions!$B$12)/Projects!$D$35*0.95,0)-IF(AND(Projects!$G$35="Yes",Q$3=Projects!$C$35+Projects!$D$35-1),Projects!$B$35*(Assumptions!$B$10+Assumptions!$B$11+Assumptions!$B$12)*0.05,0)</f>
        <v/>
      </c>
      <c r="R44" s="399">
        <f>IF(AND(Projects!$G$35="Yes",R$3&gt;=Projects!$C$35,R$3&lt;Projects!$C$35+Projects!$D$35),Projects!$B$35*INDEX(Curves!$B$4:$AR$4,1,R$3-Projects!$C$35+1),0)-IF(AND(Projects!$G$35="Yes",R$3&gt;=Projects!$C$35,R$3&lt;Projects!$C$35+Projects!$D$35),Projects!$B$35*(Assumptions!$B$10+Assumptions!$B$11+Assumptions!$B$12)/Projects!$D$35*0.95,0)-IF(AND(Projects!$G$35="Yes",R$3=Projects!$C$35+Projects!$D$35-1),Projects!$B$35*(Assumptions!$B$10+Assumptions!$B$11+Assumptions!$B$12)*0.05,0)</f>
        <v/>
      </c>
      <c r="S44" s="399">
        <f>IF(AND(Projects!$G$35="Yes",S$3&gt;=Projects!$C$35,S$3&lt;Projects!$C$35+Projects!$D$35),Projects!$B$35*INDEX(Curves!$B$4:$AR$4,1,S$3-Projects!$C$35+1),0)-IF(AND(Projects!$G$35="Yes",S$3&gt;=Projects!$C$35,S$3&lt;Projects!$C$35+Projects!$D$35),Projects!$B$35*(Assumptions!$B$10+Assumptions!$B$11+Assumptions!$B$12)/Projects!$D$35*0.95,0)-IF(AND(Projects!$G$35="Yes",S$3=Projects!$C$35+Projects!$D$35-1),Projects!$B$35*(Assumptions!$B$10+Assumptions!$B$11+Assumptions!$B$12)*0.05,0)</f>
        <v/>
      </c>
      <c r="T44" s="399">
        <f>IF(AND(Projects!$G$35="Yes",T$3&gt;=Projects!$C$35,T$3&lt;Projects!$C$35+Projects!$D$35),Projects!$B$35*INDEX(Curves!$B$4:$AR$4,1,T$3-Projects!$C$35+1),0)-IF(AND(Projects!$G$35="Yes",T$3&gt;=Projects!$C$35,T$3&lt;Projects!$C$35+Projects!$D$35),Projects!$B$35*(Assumptions!$B$10+Assumptions!$B$11+Assumptions!$B$12)/Projects!$D$35*0.95,0)-IF(AND(Projects!$G$35="Yes",T$3=Projects!$C$35+Projects!$D$35-1),Projects!$B$35*(Assumptions!$B$10+Assumptions!$B$11+Assumptions!$B$12)*0.05,0)</f>
        <v/>
      </c>
      <c r="U44" s="399">
        <f>IF(AND(Projects!$G$35="Yes",U$3&gt;=Projects!$C$35,U$3&lt;Projects!$C$35+Projects!$D$35),Projects!$B$35*INDEX(Curves!$B$4:$AR$4,1,U$3-Projects!$C$35+1),0)-IF(AND(Projects!$G$35="Yes",U$3&gt;=Projects!$C$35,U$3&lt;Projects!$C$35+Projects!$D$35),Projects!$B$35*(Assumptions!$B$10+Assumptions!$B$11+Assumptions!$B$12)/Projects!$D$35*0.95,0)-IF(AND(Projects!$G$35="Yes",U$3=Projects!$C$35+Projects!$D$35-1),Projects!$B$35*(Assumptions!$B$10+Assumptions!$B$11+Assumptions!$B$12)*0.05,0)</f>
        <v/>
      </c>
      <c r="V44" s="399">
        <f>IF(AND(Projects!$G$35="Yes",V$3&gt;=Projects!$C$35,V$3&lt;Projects!$C$35+Projects!$D$35),Projects!$B$35*INDEX(Curves!$B$4:$AR$4,1,V$3-Projects!$C$35+1),0)-IF(AND(Projects!$G$35="Yes",V$3&gt;=Projects!$C$35,V$3&lt;Projects!$C$35+Projects!$D$35),Projects!$B$35*(Assumptions!$B$10+Assumptions!$B$11+Assumptions!$B$12)/Projects!$D$35*0.95,0)-IF(AND(Projects!$G$35="Yes",V$3=Projects!$C$35+Projects!$D$35-1),Projects!$B$35*(Assumptions!$B$10+Assumptions!$B$11+Assumptions!$B$12)*0.05,0)</f>
        <v/>
      </c>
      <c r="W44" s="399">
        <f>IF(AND(Projects!$G$35="Yes",W$3&gt;=Projects!$C$35,W$3&lt;Projects!$C$35+Projects!$D$35),Projects!$B$35*INDEX(Curves!$B$4:$AR$4,1,W$3-Projects!$C$35+1),0)-IF(AND(Projects!$G$35="Yes",W$3&gt;=Projects!$C$35,W$3&lt;Projects!$C$35+Projects!$D$35),Projects!$B$35*(Assumptions!$B$10+Assumptions!$B$11+Assumptions!$B$12)/Projects!$D$35*0.95,0)-IF(AND(Projects!$G$35="Yes",W$3=Projects!$C$35+Projects!$D$35-1),Projects!$B$35*(Assumptions!$B$10+Assumptions!$B$11+Assumptions!$B$12)*0.05,0)</f>
        <v/>
      </c>
      <c r="X44" s="399">
        <f>IF(AND(Projects!$G$35="Yes",X$3&gt;=Projects!$C$35,X$3&lt;Projects!$C$35+Projects!$D$35),Projects!$B$35*INDEX(Curves!$B$4:$AR$4,1,X$3-Projects!$C$35+1),0)-IF(AND(Projects!$G$35="Yes",X$3&gt;=Projects!$C$35,X$3&lt;Projects!$C$35+Projects!$D$35),Projects!$B$35*(Assumptions!$B$10+Assumptions!$B$11+Assumptions!$B$12)/Projects!$D$35*0.95,0)-IF(AND(Projects!$G$35="Yes",X$3=Projects!$C$35+Projects!$D$35-1),Projects!$B$35*(Assumptions!$B$10+Assumptions!$B$11+Assumptions!$B$12)*0.05,0)</f>
        <v/>
      </c>
      <c r="Y44" s="399">
        <f>IF(AND(Projects!$G$35="Yes",Y$3&gt;=Projects!$C$35,Y$3&lt;Projects!$C$35+Projects!$D$35),Projects!$B$35*INDEX(Curves!$B$4:$AR$4,1,Y$3-Projects!$C$35+1),0)-IF(AND(Projects!$G$35="Yes",Y$3&gt;=Projects!$C$35,Y$3&lt;Projects!$C$35+Projects!$D$35),Projects!$B$35*(Assumptions!$B$10+Assumptions!$B$11+Assumptions!$B$12)/Projects!$D$35*0.95,0)-IF(AND(Projects!$G$35="Yes",Y$3=Projects!$C$35+Projects!$D$35-1),Projects!$B$35*(Assumptions!$B$10+Assumptions!$B$11+Assumptions!$B$12)*0.05,0)</f>
        <v/>
      </c>
      <c r="Z44" s="399">
        <f>IF(AND(Projects!$G$35="Yes",Z$3&gt;=Projects!$C$35,Z$3&lt;Projects!$C$35+Projects!$D$35),Projects!$B$35*INDEX(Curves!$B$4:$AR$4,1,Z$3-Projects!$C$35+1),0)-IF(AND(Projects!$G$35="Yes",Z$3&gt;=Projects!$C$35,Z$3&lt;Projects!$C$35+Projects!$D$35),Projects!$B$35*(Assumptions!$B$10+Assumptions!$B$11+Assumptions!$B$12)/Projects!$D$35*0.95,0)-IF(AND(Projects!$G$35="Yes",Z$3=Projects!$C$35+Projects!$D$35-1),Projects!$B$35*(Assumptions!$B$10+Assumptions!$B$11+Assumptions!$B$12)*0.05,0)</f>
        <v/>
      </c>
      <c r="AA44" s="399">
        <f>IF(AND(Projects!$G$35="Yes",AA$3&gt;=Projects!$C$35,AA$3&lt;Projects!$C$35+Projects!$D$35),Projects!$B$35*INDEX(Curves!$B$4:$AR$4,1,AA$3-Projects!$C$35+1),0)-IF(AND(Projects!$G$35="Yes",AA$3&gt;=Projects!$C$35,AA$3&lt;Projects!$C$35+Projects!$D$35),Projects!$B$35*(Assumptions!$B$10+Assumptions!$B$11+Assumptions!$B$12)/Projects!$D$35*0.95,0)-IF(AND(Projects!$G$35="Yes",AA$3=Projects!$C$35+Projects!$D$35-1),Projects!$B$35*(Assumptions!$B$10+Assumptions!$B$11+Assumptions!$B$12)*0.05,0)</f>
        <v/>
      </c>
      <c r="AB44" s="399">
        <f>IF(AND(Projects!$G$35="Yes",AB$3&gt;=Projects!$C$35,AB$3&lt;Projects!$C$35+Projects!$D$35),Projects!$B$35*INDEX(Curves!$B$4:$AR$4,1,AB$3-Projects!$C$35+1),0)-IF(AND(Projects!$G$35="Yes",AB$3&gt;=Projects!$C$35,AB$3&lt;Projects!$C$35+Projects!$D$35),Projects!$B$35*(Assumptions!$B$10+Assumptions!$B$11+Assumptions!$B$12)/Projects!$D$35*0.95,0)-IF(AND(Projects!$G$35="Yes",AB$3=Projects!$C$35+Projects!$D$35-1),Projects!$B$35*(Assumptions!$B$10+Assumptions!$B$11+Assumptions!$B$12)*0.05,0)</f>
        <v/>
      </c>
      <c r="AC44" s="399">
        <f>IF(AND(Projects!$G$35="Yes",AC$3&gt;=Projects!$C$35,AC$3&lt;Projects!$C$35+Projects!$D$35),Projects!$B$35*INDEX(Curves!$B$4:$AR$4,1,AC$3-Projects!$C$35+1),0)-IF(AND(Projects!$G$35="Yes",AC$3&gt;=Projects!$C$35,AC$3&lt;Projects!$C$35+Projects!$D$35),Projects!$B$35*(Assumptions!$B$10+Assumptions!$B$11+Assumptions!$B$12)/Projects!$D$35*0.95,0)-IF(AND(Projects!$G$35="Yes",AC$3=Projects!$C$35+Projects!$D$35-1),Projects!$B$35*(Assumptions!$B$10+Assumptions!$B$11+Assumptions!$B$12)*0.05,0)</f>
        <v/>
      </c>
      <c r="AD44" s="399">
        <f>IF(AND(Projects!$G$35="Yes",AD$3&gt;=Projects!$C$35,AD$3&lt;Projects!$C$35+Projects!$D$35),Projects!$B$35*INDEX(Curves!$B$4:$AR$4,1,AD$3-Projects!$C$35+1),0)-IF(AND(Projects!$G$35="Yes",AD$3&gt;=Projects!$C$35,AD$3&lt;Projects!$C$35+Projects!$D$35),Projects!$B$35*(Assumptions!$B$10+Assumptions!$B$11+Assumptions!$B$12)/Projects!$D$35*0.95,0)-IF(AND(Projects!$G$35="Yes",AD$3=Projects!$C$35+Projects!$D$35-1),Projects!$B$35*(Assumptions!$B$10+Assumptions!$B$11+Assumptions!$B$12)*0.05,0)</f>
        <v/>
      </c>
      <c r="AE44" s="399">
        <f>IF(AND(Projects!$G$35="Yes",AE$3&gt;=Projects!$C$35,AE$3&lt;Projects!$C$35+Projects!$D$35),Projects!$B$35*INDEX(Curves!$B$4:$AR$4,1,AE$3-Projects!$C$35+1),0)-IF(AND(Projects!$G$35="Yes",AE$3&gt;=Projects!$C$35,AE$3&lt;Projects!$C$35+Projects!$D$35),Projects!$B$35*(Assumptions!$B$10+Assumptions!$B$11+Assumptions!$B$12)/Projects!$D$35*0.95,0)-IF(AND(Projects!$G$35="Yes",AE$3=Projects!$C$35+Projects!$D$35-1),Projects!$B$35*(Assumptions!$B$10+Assumptions!$B$11+Assumptions!$B$12)*0.05,0)</f>
        <v/>
      </c>
      <c r="AF44" s="399">
        <f>IF(AND(Projects!$G$35="Yes",AF$3&gt;=Projects!$C$35,AF$3&lt;Projects!$C$35+Projects!$D$35),Projects!$B$35*INDEX(Curves!$B$4:$AR$4,1,AF$3-Projects!$C$35+1),0)-IF(AND(Projects!$G$35="Yes",AF$3&gt;=Projects!$C$35,AF$3&lt;Projects!$C$35+Projects!$D$35),Projects!$B$35*(Assumptions!$B$10+Assumptions!$B$11+Assumptions!$B$12)/Projects!$D$35*0.95,0)-IF(AND(Projects!$G$35="Yes",AF$3=Projects!$C$35+Projects!$D$35-1),Projects!$B$35*(Assumptions!$B$10+Assumptions!$B$11+Assumptions!$B$12)*0.05,0)</f>
        <v/>
      </c>
      <c r="AG44" s="399">
        <f>IF(AND(Projects!$G$35="Yes",AG$3&gt;=Projects!$C$35,AG$3&lt;Projects!$C$35+Projects!$D$35),Projects!$B$35*INDEX(Curves!$B$4:$AR$4,1,AG$3-Projects!$C$35+1),0)-IF(AND(Projects!$G$35="Yes",AG$3&gt;=Projects!$C$35,AG$3&lt;Projects!$C$35+Projects!$D$35),Projects!$B$35*(Assumptions!$B$10+Assumptions!$B$11+Assumptions!$B$12)/Projects!$D$35*0.95,0)-IF(AND(Projects!$G$35="Yes",AG$3=Projects!$C$35+Projects!$D$35-1),Projects!$B$35*(Assumptions!$B$10+Assumptions!$B$11+Assumptions!$B$12)*0.05,0)</f>
        <v/>
      </c>
      <c r="AH44" s="399">
        <f>IF(AND(Projects!$G$35="Yes",AH$3&gt;=Projects!$C$35,AH$3&lt;Projects!$C$35+Projects!$D$35),Projects!$B$35*INDEX(Curves!$B$4:$AR$4,1,AH$3-Projects!$C$35+1),0)-IF(AND(Projects!$G$35="Yes",AH$3&gt;=Projects!$C$35,AH$3&lt;Projects!$C$35+Projects!$D$35),Projects!$B$35*(Assumptions!$B$10+Assumptions!$B$11+Assumptions!$B$12)/Projects!$D$35*0.95,0)-IF(AND(Projects!$G$35="Yes",AH$3=Projects!$C$35+Projects!$D$35-1),Projects!$B$35*(Assumptions!$B$10+Assumptions!$B$11+Assumptions!$B$12)*0.05,0)</f>
        <v/>
      </c>
      <c r="AI44" s="399">
        <f>IF(AND(Projects!$G$35="Yes",AI$3&gt;=Projects!$C$35,AI$3&lt;Projects!$C$35+Projects!$D$35),Projects!$B$35*INDEX(Curves!$B$4:$AR$4,1,AI$3-Projects!$C$35+1),0)-IF(AND(Projects!$G$35="Yes",AI$3&gt;=Projects!$C$35,AI$3&lt;Projects!$C$35+Projects!$D$35),Projects!$B$35*(Assumptions!$B$10+Assumptions!$B$11+Assumptions!$B$12)/Projects!$D$35*0.95,0)-IF(AND(Projects!$G$35="Yes",AI$3=Projects!$C$35+Projects!$D$35-1),Projects!$B$35*(Assumptions!$B$10+Assumptions!$B$11+Assumptions!$B$12)*0.05,0)</f>
        <v/>
      </c>
      <c r="AJ44" s="399">
        <f>IF(AND(Projects!$G$35="Yes",AJ$3&gt;=Projects!$C$35,AJ$3&lt;Projects!$C$35+Projects!$D$35),Projects!$B$35*INDEX(Curves!$B$4:$AR$4,1,AJ$3-Projects!$C$35+1),0)-IF(AND(Projects!$G$35="Yes",AJ$3&gt;=Projects!$C$35,AJ$3&lt;Projects!$C$35+Projects!$D$35),Projects!$B$35*(Assumptions!$B$10+Assumptions!$B$11+Assumptions!$B$12)/Projects!$D$35*0.95,0)-IF(AND(Projects!$G$35="Yes",AJ$3=Projects!$C$35+Projects!$D$35-1),Projects!$B$35*(Assumptions!$B$10+Assumptions!$B$11+Assumptions!$B$12)*0.05,0)</f>
        <v/>
      </c>
      <c r="AK44" s="399">
        <f>IF(AND(Projects!$G$35="Yes",AK$3&gt;=Projects!$C$35,AK$3&lt;Projects!$C$35+Projects!$D$35),Projects!$B$35*INDEX(Curves!$B$4:$AR$4,1,AK$3-Projects!$C$35+1),0)-IF(AND(Projects!$G$35="Yes",AK$3&gt;=Projects!$C$35,AK$3&lt;Projects!$C$35+Projects!$D$35),Projects!$B$35*(Assumptions!$B$10+Assumptions!$B$11+Assumptions!$B$12)/Projects!$D$35*0.95,0)-IF(AND(Projects!$G$35="Yes",AK$3=Projects!$C$35+Projects!$D$35-1),Projects!$B$35*(Assumptions!$B$10+Assumptions!$B$11+Assumptions!$B$12)*0.05,0)</f>
        <v/>
      </c>
      <c r="AL44" s="399">
        <f>IF(AND(Projects!$G$35="Yes",AL$3&gt;=Projects!$C$35,AL$3&lt;Projects!$C$35+Projects!$D$35),Projects!$B$35*INDEX(Curves!$B$4:$AR$4,1,AL$3-Projects!$C$35+1),0)-IF(AND(Projects!$G$35="Yes",AL$3&gt;=Projects!$C$35,AL$3&lt;Projects!$C$35+Projects!$D$35),Projects!$B$35*(Assumptions!$B$10+Assumptions!$B$11+Assumptions!$B$12)/Projects!$D$35*0.95,0)-IF(AND(Projects!$G$35="Yes",AL$3=Projects!$C$35+Projects!$D$35-1),Projects!$B$35*(Assumptions!$B$10+Assumptions!$B$11+Assumptions!$B$12)*0.05,0)</f>
        <v/>
      </c>
      <c r="AM44" s="399">
        <f>IF(AND(Projects!$G$35="Yes",AM$3&gt;=Projects!$C$35,AM$3&lt;Projects!$C$35+Projects!$D$35),Projects!$B$35*INDEX(Curves!$B$4:$AR$4,1,AM$3-Projects!$C$35+1),0)-IF(AND(Projects!$G$35="Yes",AM$3&gt;=Projects!$C$35,AM$3&lt;Projects!$C$35+Projects!$D$35),Projects!$B$35*(Assumptions!$B$10+Assumptions!$B$11+Assumptions!$B$12)/Projects!$D$35*0.95,0)-IF(AND(Projects!$G$35="Yes",AM$3=Projects!$C$35+Projects!$D$35-1),Projects!$B$35*(Assumptions!$B$10+Assumptions!$B$11+Assumptions!$B$12)*0.05,0)</f>
        <v/>
      </c>
      <c r="AN44" s="399">
        <f>IF(AND(Projects!$G$35="Yes",AN$3&gt;=Projects!$C$35,AN$3&lt;Projects!$C$35+Projects!$D$35),Projects!$B$35*INDEX(Curves!$B$4:$AR$4,1,AN$3-Projects!$C$35+1),0)-IF(AND(Projects!$G$35="Yes",AN$3&gt;=Projects!$C$35,AN$3&lt;Projects!$C$35+Projects!$D$35),Projects!$B$35*(Assumptions!$B$10+Assumptions!$B$11+Assumptions!$B$12)/Projects!$D$35*0.95,0)-IF(AND(Projects!$G$35="Yes",AN$3=Projects!$C$35+Projects!$D$35-1),Projects!$B$35*(Assumptions!$B$10+Assumptions!$B$11+Assumptions!$B$12)*0.05,0)</f>
        <v/>
      </c>
      <c r="AO44" s="399">
        <f>IF(AND(Projects!$G$35="Yes",AO$3&gt;=Projects!$C$35,AO$3&lt;Projects!$C$35+Projects!$D$35),Projects!$B$35*INDEX(Curves!$B$4:$AR$4,1,AO$3-Projects!$C$35+1),0)-IF(AND(Projects!$G$35="Yes",AO$3&gt;=Projects!$C$35,AO$3&lt;Projects!$C$35+Projects!$D$35),Projects!$B$35*(Assumptions!$B$10+Assumptions!$B$11+Assumptions!$B$12)/Projects!$D$35*0.95,0)-IF(AND(Projects!$G$35="Yes",AO$3=Projects!$C$35+Projects!$D$35-1),Projects!$B$35*(Assumptions!$B$10+Assumptions!$B$11+Assumptions!$B$12)*0.05,0)</f>
        <v/>
      </c>
      <c r="AP44" s="399">
        <f>IF(AND(Projects!$G$35="Yes",AP$3&gt;=Projects!$C$35,AP$3&lt;Projects!$C$35+Projects!$D$35),Projects!$B$35*INDEX(Curves!$B$4:$AR$4,1,AP$3-Projects!$C$35+1),0)-IF(AND(Projects!$G$35="Yes",AP$3&gt;=Projects!$C$35,AP$3&lt;Projects!$C$35+Projects!$D$35),Projects!$B$35*(Assumptions!$B$10+Assumptions!$B$11+Assumptions!$B$12)/Projects!$D$35*0.95,0)-IF(AND(Projects!$G$35="Yes",AP$3=Projects!$C$35+Projects!$D$35-1),Projects!$B$35*(Assumptions!$B$10+Assumptions!$B$11+Assumptions!$B$12)*0.05,0)</f>
        <v/>
      </c>
      <c r="AQ44" s="399">
        <f>IF(AND(Projects!$G$35="Yes",AQ$3&gt;=Projects!$C$35,AQ$3&lt;Projects!$C$35+Projects!$D$35),Projects!$B$35*INDEX(Curves!$B$4:$AR$4,1,AQ$3-Projects!$C$35+1),0)-IF(AND(Projects!$G$35="Yes",AQ$3&gt;=Projects!$C$35,AQ$3&lt;Projects!$C$35+Projects!$D$35),Projects!$B$35*(Assumptions!$B$10+Assumptions!$B$11+Assumptions!$B$12)/Projects!$D$35*0.95,0)-IF(AND(Projects!$G$35="Yes",AQ$3=Projects!$C$35+Projects!$D$35-1),Projects!$B$35*(Assumptions!$B$10+Assumptions!$B$11+Assumptions!$B$12)*0.05,0)</f>
        <v/>
      </c>
      <c r="AR44" s="399">
        <f>IF(AND(Projects!$G$35="Yes",AR$3&gt;=Projects!$C$35,AR$3&lt;Projects!$C$35+Projects!$D$35),Projects!$B$35*INDEX(Curves!$B$4:$AR$4,1,AR$3-Projects!$C$35+1),0)-IF(AND(Projects!$G$35="Yes",AR$3&gt;=Projects!$C$35,AR$3&lt;Projects!$C$35+Projects!$D$35),Projects!$B$35*(Assumptions!$B$10+Assumptions!$B$11+Assumptions!$B$12)/Projects!$D$35*0.95,0)-IF(AND(Projects!$G$35="Yes",AR$3=Projects!$C$35+Projects!$D$35-1),Projects!$B$35*(Assumptions!$B$10+Assumptions!$B$11+Assumptions!$B$12)*0.05,0)</f>
        <v/>
      </c>
      <c r="AS44" s="399">
        <f>IF(AND(Projects!$G$35="Yes",AS$3&gt;=Projects!$C$35,AS$3&lt;Projects!$C$35+Projects!$D$35),Projects!$B$35*INDEX(Curves!$B$4:$AR$4,1,AS$3-Projects!$C$35+1),0)-IF(AND(Projects!$G$35="Yes",AS$3&gt;=Projects!$C$35,AS$3&lt;Projects!$C$35+Projects!$D$35),Projects!$B$35*(Assumptions!$B$10+Assumptions!$B$11+Assumptions!$B$12)/Projects!$D$35*0.95,0)-IF(AND(Projects!$G$35="Yes",AS$3=Projects!$C$35+Projects!$D$35-1),Projects!$B$35*(Assumptions!$B$10+Assumptions!$B$11+Assumptions!$B$12)*0.05,0)</f>
        <v/>
      </c>
      <c r="AT44" s="399">
        <f>IF(AND(Projects!$G$35="Yes",AT$3&gt;=Projects!$C$35,AT$3&lt;Projects!$C$35+Projects!$D$35),Projects!$B$35*INDEX(Curves!$B$4:$AR$4,1,AT$3-Projects!$C$35+1),0)-IF(AND(Projects!$G$35="Yes",AT$3&gt;=Projects!$C$35,AT$3&lt;Projects!$C$35+Projects!$D$35),Projects!$B$35*(Assumptions!$B$10+Assumptions!$B$11+Assumptions!$B$12)/Projects!$D$35*0.95,0)-IF(AND(Projects!$G$35="Yes",AT$3=Projects!$C$35+Projects!$D$35-1),Projects!$B$35*(Assumptions!$B$10+Assumptions!$B$11+Assumptions!$B$12)*0.05,0)</f>
        <v/>
      </c>
      <c r="AU44" s="399">
        <f>IF(AND(Projects!$G$35="Yes",AU$3&gt;=Projects!$C$35,AU$3&lt;Projects!$C$35+Projects!$D$35),Projects!$B$35*INDEX(Curves!$B$4:$AR$4,1,AU$3-Projects!$C$35+1),0)-IF(AND(Projects!$G$35="Yes",AU$3&gt;=Projects!$C$35,AU$3&lt;Projects!$C$35+Projects!$D$35),Projects!$B$35*(Assumptions!$B$10+Assumptions!$B$11+Assumptions!$B$12)/Projects!$D$35*0.95,0)-IF(AND(Projects!$G$35="Yes",AU$3=Projects!$C$35+Projects!$D$35-1),Projects!$B$35*(Assumptions!$B$10+Assumptions!$B$11+Assumptions!$B$12)*0.05,0)</f>
        <v/>
      </c>
      <c r="AV44" s="399">
        <f>IF(AND(Projects!$G$35="Yes",AV$3&gt;=Projects!$C$35,AV$3&lt;Projects!$C$35+Projects!$D$35),Projects!$B$35*INDEX(Curves!$B$4:$AR$4,1,AV$3-Projects!$C$35+1),0)-IF(AND(Projects!$G$35="Yes",AV$3&gt;=Projects!$C$35,AV$3&lt;Projects!$C$35+Projects!$D$35),Projects!$B$35*(Assumptions!$B$10+Assumptions!$B$11+Assumptions!$B$12)/Projects!$D$35*0.95,0)-IF(AND(Projects!$G$35="Yes",AV$3=Projects!$C$35+Projects!$D$35-1),Projects!$B$35*(Assumptions!$B$10+Assumptions!$B$11+Assumptions!$B$12)*0.05,0)</f>
        <v/>
      </c>
      <c r="AW44" s="399">
        <f>IF(AND(Projects!$G$35="Yes",AW$3&gt;=Projects!$C$35,AW$3&lt;Projects!$C$35+Projects!$D$35),Projects!$B$35*INDEX(Curves!$B$4:$AR$4,1,AW$3-Projects!$C$35+1),0)-IF(AND(Projects!$G$35="Yes",AW$3&gt;=Projects!$C$35,AW$3&lt;Projects!$C$35+Projects!$D$35),Projects!$B$35*(Assumptions!$B$10+Assumptions!$B$11+Assumptions!$B$12)/Projects!$D$35*0.95,0)-IF(AND(Projects!$G$35="Yes",AW$3=Projects!$C$35+Projects!$D$35-1),Projects!$B$35*(Assumptions!$B$10+Assumptions!$B$11+Assumptions!$B$12)*0.05,0)</f>
        <v/>
      </c>
      <c r="AX44" s="399">
        <f>IF(AND(Projects!$G$35="Yes",AX$3&gt;=Projects!$C$35,AX$3&lt;Projects!$C$35+Projects!$D$35),Projects!$B$35*INDEX(Curves!$B$4:$AR$4,1,AX$3-Projects!$C$35+1),0)-IF(AND(Projects!$G$35="Yes",AX$3&gt;=Projects!$C$35,AX$3&lt;Projects!$C$35+Projects!$D$35),Projects!$B$35*(Assumptions!$B$10+Assumptions!$B$11+Assumptions!$B$12)/Projects!$D$35*0.95,0)-IF(AND(Projects!$G$35="Yes",AX$3=Projects!$C$35+Projects!$D$35-1),Projects!$B$35*(Assumptions!$B$10+Assumptions!$B$11+Assumptions!$B$12)*0.05,0)</f>
        <v/>
      </c>
      <c r="AY44" s="399">
        <f>IF(AND(Projects!$G$35="Yes",AY$3&gt;=Projects!$C$35,AY$3&lt;Projects!$C$35+Projects!$D$35),Projects!$B$35*INDEX(Curves!$B$4:$AR$4,1,AY$3-Projects!$C$35+1),0)-IF(AND(Projects!$G$35="Yes",AY$3&gt;=Projects!$C$35,AY$3&lt;Projects!$C$35+Projects!$D$35),Projects!$B$35*(Assumptions!$B$10+Assumptions!$B$11+Assumptions!$B$12)/Projects!$D$35*0.95,0)-IF(AND(Projects!$G$35="Yes",AY$3=Projects!$C$35+Projects!$D$35-1),Projects!$B$35*(Assumptions!$B$10+Assumptions!$B$11+Assumptions!$B$12)*0.05,0)</f>
        <v/>
      </c>
      <c r="AZ44" s="399">
        <f>IF(AND(Projects!$G$35="Yes",AZ$3&gt;=Projects!$C$35,AZ$3&lt;Projects!$C$35+Projects!$D$35),Projects!$B$35*INDEX(Curves!$B$4:$AR$4,1,AZ$3-Projects!$C$35+1),0)-IF(AND(Projects!$G$35="Yes",AZ$3&gt;=Projects!$C$35,AZ$3&lt;Projects!$C$35+Projects!$D$35),Projects!$B$35*(Assumptions!$B$10+Assumptions!$B$11+Assumptions!$B$12)/Projects!$D$35*0.95,0)-IF(AND(Projects!$G$35="Yes",AZ$3=Projects!$C$35+Projects!$D$35-1),Projects!$B$35*(Assumptions!$B$10+Assumptions!$B$11+Assumptions!$B$12)*0.05,0)</f>
        <v/>
      </c>
      <c r="BA44" s="399">
        <f>IF(AND(Projects!$G$35="Yes",BA$3&gt;=Projects!$C$35,BA$3&lt;Projects!$C$35+Projects!$D$35),Projects!$B$35*INDEX(Curves!$B$4:$AR$4,1,BA$3-Projects!$C$35+1),0)-IF(AND(Projects!$G$35="Yes",BA$3&gt;=Projects!$C$35,BA$3&lt;Projects!$C$35+Projects!$D$35),Projects!$B$35*(Assumptions!$B$10+Assumptions!$B$11+Assumptions!$B$12)/Projects!$D$35*0.95,0)-IF(AND(Projects!$G$35="Yes",BA$3=Projects!$C$35+Projects!$D$35-1),Projects!$B$35*(Assumptions!$B$10+Assumptions!$B$11+Assumptions!$B$12)*0.05,0)</f>
        <v/>
      </c>
      <c r="BB44" s="399">
        <f>IF(AND(Projects!$G$35="Yes",BB$3&gt;=Projects!$C$35,BB$3&lt;Projects!$C$35+Projects!$D$35),Projects!$B$35*INDEX(Curves!$B$4:$AR$4,1,BB$3-Projects!$C$35+1),0)-IF(AND(Projects!$G$35="Yes",BB$3&gt;=Projects!$C$35,BB$3&lt;Projects!$C$35+Projects!$D$35),Projects!$B$35*(Assumptions!$B$10+Assumptions!$B$11+Assumptions!$B$12)/Projects!$D$35*0.95,0)-IF(AND(Projects!$G$35="Yes",BB$3=Projects!$C$35+Projects!$D$35-1),Projects!$B$35*(Assumptions!$B$10+Assumptions!$B$11+Assumptions!$B$12)*0.05,0)</f>
        <v/>
      </c>
      <c r="BC44" s="399">
        <f>IF(AND(Projects!$G$35="Yes",BC$3&gt;=Projects!$C$35,BC$3&lt;Projects!$C$35+Projects!$D$35),Projects!$B$35*INDEX(Curves!$B$4:$AR$4,1,BC$3-Projects!$C$35+1),0)-IF(AND(Projects!$G$35="Yes",BC$3&gt;=Projects!$C$35,BC$3&lt;Projects!$C$35+Projects!$D$35),Projects!$B$35*(Assumptions!$B$10+Assumptions!$B$11+Assumptions!$B$12)/Projects!$D$35*0.95,0)-IF(AND(Projects!$G$35="Yes",BC$3=Projects!$C$35+Projects!$D$35-1),Projects!$B$35*(Assumptions!$B$10+Assumptions!$B$11+Assumptions!$B$12)*0.05,0)</f>
        <v/>
      </c>
      <c r="BD44" s="399">
        <f>IF(AND(Projects!$G$35="Yes",BD$3&gt;=Projects!$C$35,BD$3&lt;Projects!$C$35+Projects!$D$35),Projects!$B$35*INDEX(Curves!$B$4:$AR$4,1,BD$3-Projects!$C$35+1),0)-IF(AND(Projects!$G$35="Yes",BD$3&gt;=Projects!$C$35,BD$3&lt;Projects!$C$35+Projects!$D$35),Projects!$B$35*(Assumptions!$B$10+Assumptions!$B$11+Assumptions!$B$12)/Projects!$D$35*0.95,0)-IF(AND(Projects!$G$35="Yes",BD$3=Projects!$C$35+Projects!$D$35-1),Projects!$B$35*(Assumptions!$B$10+Assumptions!$B$11+Assumptions!$B$12)*0.05,0)</f>
        <v/>
      </c>
      <c r="BE44" s="399">
        <f>IF(AND(Projects!$G$35="Yes",BE$3&gt;=Projects!$C$35,BE$3&lt;Projects!$C$35+Projects!$D$35),Projects!$B$35*INDEX(Curves!$B$4:$AR$4,1,BE$3-Projects!$C$35+1),0)-IF(AND(Projects!$G$35="Yes",BE$3&gt;=Projects!$C$35,BE$3&lt;Projects!$C$35+Projects!$D$35),Projects!$B$35*(Assumptions!$B$10+Assumptions!$B$11+Assumptions!$B$12)/Projects!$D$35*0.95,0)-IF(AND(Projects!$G$35="Yes",BE$3=Projects!$C$35+Projects!$D$35-1),Projects!$B$35*(Assumptions!$B$10+Assumptions!$B$11+Assumptions!$B$12)*0.05,0)</f>
        <v/>
      </c>
      <c r="BF44" s="399">
        <f>IF(AND(Projects!$G$35="Yes",BF$3&gt;=Projects!$C$35,BF$3&lt;Projects!$C$35+Projects!$D$35),Projects!$B$35*INDEX(Curves!$B$4:$AR$4,1,BF$3-Projects!$C$35+1),0)-IF(AND(Projects!$G$35="Yes",BF$3&gt;=Projects!$C$35,BF$3&lt;Projects!$C$35+Projects!$D$35),Projects!$B$35*(Assumptions!$B$10+Assumptions!$B$11+Assumptions!$B$12)/Projects!$D$35*0.95,0)-IF(AND(Projects!$G$35="Yes",BF$3=Projects!$C$35+Projects!$D$35-1),Projects!$B$35*(Assumptions!$B$10+Assumptions!$B$11+Assumptions!$B$12)*0.05,0)</f>
        <v/>
      </c>
      <c r="BG44" s="399">
        <f>IF(AND(Projects!$G$35="Yes",BG$3&gt;=Projects!$C$35,BG$3&lt;Projects!$C$35+Projects!$D$35),Projects!$B$35*INDEX(Curves!$B$4:$AR$4,1,BG$3-Projects!$C$35+1),0)-IF(AND(Projects!$G$35="Yes",BG$3&gt;=Projects!$C$35,BG$3&lt;Projects!$C$35+Projects!$D$35),Projects!$B$35*(Assumptions!$B$10+Assumptions!$B$11+Assumptions!$B$12)/Projects!$D$35*0.95,0)-IF(AND(Projects!$G$35="Yes",BG$3=Projects!$C$35+Projects!$D$35-1),Projects!$B$35*(Assumptions!$B$10+Assumptions!$B$11+Assumptions!$B$12)*0.05,0)</f>
        <v/>
      </c>
      <c r="BH44" s="399">
        <f>IF(AND(Projects!$G$35="Yes",BH$3&gt;=Projects!$C$35,BH$3&lt;Projects!$C$35+Projects!$D$35),Projects!$B$35*INDEX(Curves!$B$4:$AR$4,1,BH$3-Projects!$C$35+1),0)-IF(AND(Projects!$G$35="Yes",BH$3&gt;=Projects!$C$35,BH$3&lt;Projects!$C$35+Projects!$D$35),Projects!$B$35*(Assumptions!$B$10+Assumptions!$B$11+Assumptions!$B$12)/Projects!$D$35*0.95,0)-IF(AND(Projects!$G$35="Yes",BH$3=Projects!$C$35+Projects!$D$35-1),Projects!$B$35*(Assumptions!$B$10+Assumptions!$B$11+Assumptions!$B$12)*0.05,0)</f>
        <v/>
      </c>
      <c r="BI44" s="399">
        <f>IF(AND(Projects!$G$35="Yes",BI$3&gt;=Projects!$C$35,BI$3&lt;Projects!$C$35+Projects!$D$35),Projects!$B$35*INDEX(Curves!$B$4:$AR$4,1,BI$3-Projects!$C$35+1),0)-IF(AND(Projects!$G$35="Yes",BI$3&gt;=Projects!$C$35,BI$3&lt;Projects!$C$35+Projects!$D$35),Projects!$B$35*(Assumptions!$B$10+Assumptions!$B$11+Assumptions!$B$12)/Projects!$D$35*0.95,0)-IF(AND(Projects!$G$35="Yes",BI$3=Projects!$C$35+Projects!$D$35-1),Projects!$B$35*(Assumptions!$B$10+Assumptions!$B$11+Assumptions!$B$12)*0.05,0)</f>
        <v/>
      </c>
      <c r="BJ44" s="399">
        <f>IF(AND(Projects!$G$35="Yes",BJ$3&gt;=Projects!$C$35,BJ$3&lt;Projects!$C$35+Projects!$D$35),Projects!$B$35*INDEX(Curves!$B$4:$AR$4,1,BJ$3-Projects!$C$35+1),0)-IF(AND(Projects!$G$35="Yes",BJ$3&gt;=Projects!$C$35,BJ$3&lt;Projects!$C$35+Projects!$D$35),Projects!$B$35*(Assumptions!$B$10+Assumptions!$B$11+Assumptions!$B$12)/Projects!$D$35*0.95,0)-IF(AND(Projects!$G$35="Yes",BJ$3=Projects!$C$35+Projects!$D$35-1),Projects!$B$35*(Assumptions!$B$10+Assumptions!$B$11+Assumptions!$B$12)*0.05,0)</f>
        <v/>
      </c>
      <c r="BK44" s="399">
        <f>IF(AND(Projects!$G$35="Yes",BK$3&gt;=Projects!$C$35,BK$3&lt;Projects!$C$35+Projects!$D$35),Projects!$B$35*INDEX(Curves!$B$4:$AR$4,1,BK$3-Projects!$C$35+1),0)-IF(AND(Projects!$G$35="Yes",BK$3&gt;=Projects!$C$35,BK$3&lt;Projects!$C$35+Projects!$D$35),Projects!$B$35*(Assumptions!$B$10+Assumptions!$B$11+Assumptions!$B$12)/Projects!$D$35*0.95,0)-IF(AND(Projects!$G$35="Yes",BK$3=Projects!$C$35+Projects!$D$35-1),Projects!$B$35*(Assumptions!$B$10+Assumptions!$B$11+Assumptions!$B$12)*0.05,0)</f>
        <v/>
      </c>
      <c r="BL44" s="399">
        <f>IF(AND(Projects!$G$35="Yes",BL$3&gt;=Projects!$C$35,BL$3&lt;Projects!$C$35+Projects!$D$35),Projects!$B$35*INDEX(Curves!$B$4:$AR$4,1,BL$3-Projects!$C$35+1),0)-IF(AND(Projects!$G$35="Yes",BL$3&gt;=Projects!$C$35,BL$3&lt;Projects!$C$35+Projects!$D$35),Projects!$B$35*(Assumptions!$B$10+Assumptions!$B$11+Assumptions!$B$12)/Projects!$D$35*0.95,0)-IF(AND(Projects!$G$35="Yes",BL$3=Projects!$C$35+Projects!$D$35-1),Projects!$B$35*(Assumptions!$B$10+Assumptions!$B$11+Assumptions!$B$12)*0.05,0)</f>
        <v/>
      </c>
      <c r="BM44" s="399">
        <f>IF(AND(Projects!$G$35="Yes",BM$3&gt;=Projects!$C$35,BM$3&lt;Projects!$C$35+Projects!$D$35),Projects!$B$35*INDEX(Curves!$B$4:$AR$4,1,BM$3-Projects!$C$35+1),0)-IF(AND(Projects!$G$35="Yes",BM$3&gt;=Projects!$C$35,BM$3&lt;Projects!$C$35+Projects!$D$35),Projects!$B$35*(Assumptions!$B$10+Assumptions!$B$11+Assumptions!$B$12)/Projects!$D$35*0.95,0)-IF(AND(Projects!$G$35="Yes",BM$3=Projects!$C$35+Projects!$D$35-1),Projects!$B$35*(Assumptions!$B$10+Assumptions!$B$11+Assumptions!$B$12)*0.05,0)</f>
        <v/>
      </c>
      <c r="BN44" s="399">
        <f>IF(AND(Projects!$G$35="Yes",BN$3&gt;=Projects!$C$35,BN$3&lt;Projects!$C$35+Projects!$D$35),Projects!$B$35*INDEX(Curves!$B$4:$AR$4,1,BN$3-Projects!$C$35+1),0)-IF(AND(Projects!$G$35="Yes",BN$3&gt;=Projects!$C$35,BN$3&lt;Projects!$C$35+Projects!$D$35),Projects!$B$35*(Assumptions!$B$10+Assumptions!$B$11+Assumptions!$B$12)/Projects!$D$35*0.95,0)-IF(AND(Projects!$G$35="Yes",BN$3=Projects!$C$35+Projects!$D$35-1),Projects!$B$35*(Assumptions!$B$10+Assumptions!$B$11+Assumptions!$B$12)*0.05,0)</f>
        <v/>
      </c>
      <c r="BO44" s="399">
        <f>IF(AND(Projects!$G$35="Yes",BO$3&gt;=Projects!$C$35,BO$3&lt;Projects!$C$35+Projects!$D$35),Projects!$B$35*INDEX(Curves!$B$4:$AR$4,1,BO$3-Projects!$C$35+1),0)-IF(AND(Projects!$G$35="Yes",BO$3&gt;=Projects!$C$35,BO$3&lt;Projects!$C$35+Projects!$D$35),Projects!$B$35*(Assumptions!$B$10+Assumptions!$B$11+Assumptions!$B$12)/Projects!$D$35*0.95,0)-IF(AND(Projects!$G$35="Yes",BO$3=Projects!$C$35+Projects!$D$35-1),Projects!$B$35*(Assumptions!$B$10+Assumptions!$B$11+Assumptions!$B$12)*0.05,0)</f>
        <v/>
      </c>
      <c r="BP44" s="399">
        <f>IF(AND(Projects!$G$35="Yes",BP$3&gt;=Projects!$C$35,BP$3&lt;Projects!$C$35+Projects!$D$35),Projects!$B$35*INDEX(Curves!$B$4:$AR$4,1,BP$3-Projects!$C$35+1),0)-IF(AND(Projects!$G$35="Yes",BP$3&gt;=Projects!$C$35,BP$3&lt;Projects!$C$35+Projects!$D$35),Projects!$B$35*(Assumptions!$B$10+Assumptions!$B$11+Assumptions!$B$12)/Projects!$D$35*0.95,0)-IF(AND(Projects!$G$35="Yes",BP$3=Projects!$C$35+Projects!$D$35-1),Projects!$B$35*(Assumptions!$B$10+Assumptions!$B$11+Assumptions!$B$12)*0.05,0)</f>
        <v/>
      </c>
      <c r="BQ44" s="399">
        <f>IF(AND(Projects!$G$35="Yes",BQ$3&gt;=Projects!$C$35,BQ$3&lt;Projects!$C$35+Projects!$D$35),Projects!$B$35*INDEX(Curves!$B$4:$AR$4,1,BQ$3-Projects!$C$35+1),0)-IF(AND(Projects!$G$35="Yes",BQ$3&gt;=Projects!$C$35,BQ$3&lt;Projects!$C$35+Projects!$D$35),Projects!$B$35*(Assumptions!$B$10+Assumptions!$B$11+Assumptions!$B$12)/Projects!$D$35*0.95,0)-IF(AND(Projects!$G$35="Yes",BQ$3=Projects!$C$35+Projects!$D$35-1),Projects!$B$35*(Assumptions!$B$10+Assumptions!$B$11+Assumptions!$B$12)*0.05,0)</f>
        <v/>
      </c>
      <c r="BR44" s="399">
        <f>IF(AND(Projects!$G$35="Yes",BR$3&gt;=Projects!$C$35,BR$3&lt;Projects!$C$35+Projects!$D$35),Projects!$B$35*INDEX(Curves!$B$4:$AR$4,1,BR$3-Projects!$C$35+1),0)-IF(AND(Projects!$G$35="Yes",BR$3&gt;=Projects!$C$35,BR$3&lt;Projects!$C$35+Projects!$D$35),Projects!$B$35*(Assumptions!$B$10+Assumptions!$B$11+Assumptions!$B$12)/Projects!$D$35*0.95,0)-IF(AND(Projects!$G$35="Yes",BR$3=Projects!$C$35+Projects!$D$35-1),Projects!$B$35*(Assumptions!$B$10+Assumptions!$B$11+Assumptions!$B$12)*0.05,0)</f>
        <v/>
      </c>
      <c r="BS44" s="399">
        <f>IF(AND(Projects!$G$35="Yes",BS$3&gt;=Projects!$C$35,BS$3&lt;Projects!$C$35+Projects!$D$35),Projects!$B$35*INDEX(Curves!$B$4:$AR$4,1,BS$3-Projects!$C$35+1),0)-IF(AND(Projects!$G$35="Yes",BS$3&gt;=Projects!$C$35,BS$3&lt;Projects!$C$35+Projects!$D$35),Projects!$B$35*(Assumptions!$B$10+Assumptions!$B$11+Assumptions!$B$12)/Projects!$D$35*0.95,0)-IF(AND(Projects!$G$35="Yes",BS$3=Projects!$C$35+Projects!$D$35-1),Projects!$B$35*(Assumptions!$B$10+Assumptions!$B$11+Assumptions!$B$12)*0.05,0)</f>
        <v/>
      </c>
      <c r="BT44" s="399">
        <f>IF(AND(Projects!$G$35="Yes",BT$3&gt;=Projects!$C$35,BT$3&lt;Projects!$C$35+Projects!$D$35),Projects!$B$35*INDEX(Curves!$B$4:$AR$4,1,BT$3-Projects!$C$35+1),0)-IF(AND(Projects!$G$35="Yes",BT$3&gt;=Projects!$C$35,BT$3&lt;Projects!$C$35+Projects!$D$35),Projects!$B$35*(Assumptions!$B$10+Assumptions!$B$11+Assumptions!$B$12)/Projects!$D$35*0.95,0)-IF(AND(Projects!$G$35="Yes",BT$3=Projects!$C$35+Projects!$D$35-1),Projects!$B$35*(Assumptions!$B$10+Assumptions!$B$11+Assumptions!$B$12)*0.05,0)</f>
        <v/>
      </c>
      <c r="BU44" s="399">
        <f>IF(AND(Projects!$G$35="Yes",BU$3&gt;=Projects!$C$35,BU$3&lt;Projects!$C$35+Projects!$D$35),Projects!$B$35*INDEX(Curves!$B$4:$AR$4,1,BU$3-Projects!$C$35+1),0)-IF(AND(Projects!$G$35="Yes",BU$3&gt;=Projects!$C$35,BU$3&lt;Projects!$C$35+Projects!$D$35),Projects!$B$35*(Assumptions!$B$10+Assumptions!$B$11+Assumptions!$B$12)/Projects!$D$35*0.95,0)-IF(AND(Projects!$G$35="Yes",BU$3=Projects!$C$35+Projects!$D$35-1),Projects!$B$35*(Assumptions!$B$10+Assumptions!$B$11+Assumptions!$B$12)*0.05,0)</f>
        <v/>
      </c>
      <c r="BV44" s="399">
        <f>IF(AND(Projects!$G$35="Yes",BV$3&gt;=Projects!$C$35,BV$3&lt;Projects!$C$35+Projects!$D$35),Projects!$B$35*INDEX(Curves!$B$4:$AR$4,1,BV$3-Projects!$C$35+1),0)-IF(AND(Projects!$G$35="Yes",BV$3&gt;=Projects!$C$35,BV$3&lt;Projects!$C$35+Projects!$D$35),Projects!$B$35*(Assumptions!$B$10+Assumptions!$B$11+Assumptions!$B$12)/Projects!$D$35*0.95,0)-IF(AND(Projects!$G$35="Yes",BV$3=Projects!$C$35+Projects!$D$35-1),Projects!$B$35*(Assumptions!$B$10+Assumptions!$B$11+Assumptions!$B$12)*0.05,0)</f>
        <v/>
      </c>
      <c r="BW44" s="399">
        <f>IF(AND(Projects!$G$35="Yes",BW$3&gt;=Projects!$C$35,BW$3&lt;Projects!$C$35+Projects!$D$35),Projects!$B$35*INDEX(Curves!$B$4:$AR$4,1,BW$3-Projects!$C$35+1),0)-IF(AND(Projects!$G$35="Yes",BW$3&gt;=Projects!$C$35,BW$3&lt;Projects!$C$35+Projects!$D$35),Projects!$B$35*(Assumptions!$B$10+Assumptions!$B$11+Assumptions!$B$12)/Projects!$D$35*0.95,0)-IF(AND(Projects!$G$35="Yes",BW$3=Projects!$C$35+Projects!$D$35-1),Projects!$B$35*(Assumptions!$B$10+Assumptions!$B$11+Assumptions!$B$12)*0.05,0)</f>
        <v/>
      </c>
      <c r="BX44" s="399">
        <f>IF(AND(Projects!$G$35="Yes",BX$3&gt;=Projects!$C$35,BX$3&lt;Projects!$C$35+Projects!$D$35),Projects!$B$35*INDEX(Curves!$B$4:$AR$4,1,BX$3-Projects!$C$35+1),0)-IF(AND(Projects!$G$35="Yes",BX$3&gt;=Projects!$C$35,BX$3&lt;Projects!$C$35+Projects!$D$35),Projects!$B$35*(Assumptions!$B$10+Assumptions!$B$11+Assumptions!$B$12)/Projects!$D$35*0.95,0)-IF(AND(Projects!$G$35="Yes",BX$3=Projects!$C$35+Projects!$D$35-1),Projects!$B$35*(Assumptions!$B$10+Assumptions!$B$11+Assumptions!$B$12)*0.05,0)</f>
        <v/>
      </c>
      <c r="BY44" s="399">
        <f>IF(AND(Projects!$G$35="Yes",BY$3&gt;=Projects!$C$35,BY$3&lt;Projects!$C$35+Projects!$D$35),Projects!$B$35*INDEX(Curves!$B$4:$AR$4,1,BY$3-Projects!$C$35+1),0)-IF(AND(Projects!$G$35="Yes",BY$3&gt;=Projects!$C$35,BY$3&lt;Projects!$C$35+Projects!$D$35),Projects!$B$35*(Assumptions!$B$10+Assumptions!$B$11+Assumptions!$B$12)/Projects!$D$35*0.95,0)-IF(AND(Projects!$G$35="Yes",BY$3=Projects!$C$35+Projects!$D$35-1),Projects!$B$35*(Assumptions!$B$10+Assumptions!$B$11+Assumptions!$B$12)*0.05,0)</f>
        <v/>
      </c>
      <c r="BZ44" s="399">
        <f>IF(AND(Projects!$G$35="Yes",BZ$3&gt;=Projects!$C$35,BZ$3&lt;Projects!$C$35+Projects!$D$35),Projects!$B$35*INDEX(Curves!$B$4:$AR$4,1,BZ$3-Projects!$C$35+1),0)-IF(AND(Projects!$G$35="Yes",BZ$3&gt;=Projects!$C$35,BZ$3&lt;Projects!$C$35+Projects!$D$35),Projects!$B$35*(Assumptions!$B$10+Assumptions!$B$11+Assumptions!$B$12)/Projects!$D$35*0.95,0)-IF(AND(Projects!$G$35="Yes",BZ$3=Projects!$C$35+Projects!$D$35-1),Projects!$B$35*(Assumptions!$B$10+Assumptions!$B$11+Assumptions!$B$12)*0.05,0)</f>
        <v/>
      </c>
      <c r="CA44" s="399">
        <f>IF(AND(Projects!$G$35="Yes",CA$3&gt;=Projects!$C$35,CA$3&lt;Projects!$C$35+Projects!$D$35),Projects!$B$35*INDEX(Curves!$B$4:$AR$4,1,CA$3-Projects!$C$35+1),0)-IF(AND(Projects!$G$35="Yes",CA$3&gt;=Projects!$C$35,CA$3&lt;Projects!$C$35+Projects!$D$35),Projects!$B$35*(Assumptions!$B$10+Assumptions!$B$11+Assumptions!$B$12)/Projects!$D$35*0.95,0)-IF(AND(Projects!$G$35="Yes",CA$3=Projects!$C$35+Projects!$D$35-1),Projects!$B$35*(Assumptions!$B$10+Assumptions!$B$11+Assumptions!$B$12)*0.05,0)</f>
        <v/>
      </c>
      <c r="CB44" s="399">
        <f>IF(AND(Projects!$G$35="Yes",CB$3&gt;=Projects!$C$35,CB$3&lt;Projects!$C$35+Projects!$D$35),Projects!$B$35*INDEX(Curves!$B$4:$AR$4,1,CB$3-Projects!$C$35+1),0)-IF(AND(Projects!$G$35="Yes",CB$3&gt;=Projects!$C$35,CB$3&lt;Projects!$C$35+Projects!$D$35),Projects!$B$35*(Assumptions!$B$10+Assumptions!$B$11+Assumptions!$B$12)/Projects!$D$35*0.95,0)-IF(AND(Projects!$G$35="Yes",CB$3=Projects!$C$35+Projects!$D$35-1),Projects!$B$35*(Assumptions!$B$10+Assumptions!$B$11+Assumptions!$B$12)*0.05,0)</f>
        <v/>
      </c>
      <c r="CC44" s="399">
        <f>IF(AND(Projects!$G$35="Yes",CC$3&gt;=Projects!$C$35,CC$3&lt;Projects!$C$35+Projects!$D$35),Projects!$B$35*INDEX(Curves!$B$4:$AR$4,1,CC$3-Projects!$C$35+1),0)-IF(AND(Projects!$G$35="Yes",CC$3&gt;=Projects!$C$35,CC$3&lt;Projects!$C$35+Projects!$D$35),Projects!$B$35*(Assumptions!$B$10+Assumptions!$B$11+Assumptions!$B$12)/Projects!$D$35*0.95,0)-IF(AND(Projects!$G$35="Yes",CC$3=Projects!$C$35+Projects!$D$35-1),Projects!$B$35*(Assumptions!$B$10+Assumptions!$B$11+Assumptions!$B$12)*0.05,0)</f>
        <v/>
      </c>
      <c r="CD44" s="399">
        <f>IF(AND(Projects!$G$35="Yes",CD$3&gt;=Projects!$C$35,CD$3&lt;Projects!$C$35+Projects!$D$35),Projects!$B$35*INDEX(Curves!$B$4:$AR$4,1,CD$3-Projects!$C$35+1),0)-IF(AND(Projects!$G$35="Yes",CD$3&gt;=Projects!$C$35,CD$3&lt;Projects!$C$35+Projects!$D$35),Projects!$B$35*(Assumptions!$B$10+Assumptions!$B$11+Assumptions!$B$12)/Projects!$D$35*0.95,0)-IF(AND(Projects!$G$35="Yes",CD$3=Projects!$C$35+Projects!$D$35-1),Projects!$B$35*(Assumptions!$B$10+Assumptions!$B$11+Assumptions!$B$12)*0.05,0)</f>
        <v/>
      </c>
      <c r="CE44" s="399">
        <f>IF(AND(Projects!$G$35="Yes",CE$3&gt;=Projects!$C$35,CE$3&lt;Projects!$C$35+Projects!$D$35),Projects!$B$35*INDEX(Curves!$B$4:$AR$4,1,CE$3-Projects!$C$35+1),0)-IF(AND(Projects!$G$35="Yes",CE$3&gt;=Projects!$C$35,CE$3&lt;Projects!$C$35+Projects!$D$35),Projects!$B$35*(Assumptions!$B$10+Assumptions!$B$11+Assumptions!$B$12)/Projects!$D$35*0.95,0)-IF(AND(Projects!$G$35="Yes",CE$3=Projects!$C$35+Projects!$D$35-1),Projects!$B$35*(Assumptions!$B$10+Assumptions!$B$11+Assumptions!$B$12)*0.05,0)</f>
        <v/>
      </c>
      <c r="CF44" s="399">
        <f>IF(AND(Projects!$G$35="Yes",CF$3&gt;=Projects!$C$35,CF$3&lt;Projects!$C$35+Projects!$D$35),Projects!$B$35*INDEX(Curves!$B$4:$AR$4,1,CF$3-Projects!$C$35+1),0)-IF(AND(Projects!$G$35="Yes",CF$3&gt;=Projects!$C$35,CF$3&lt;Projects!$C$35+Projects!$D$35),Projects!$B$35*(Assumptions!$B$10+Assumptions!$B$11+Assumptions!$B$12)/Projects!$D$35*0.95,0)-IF(AND(Projects!$G$35="Yes",CF$3=Projects!$C$35+Projects!$D$35-1),Projects!$B$35*(Assumptions!$B$10+Assumptions!$B$11+Assumptions!$B$12)*0.05,0)</f>
        <v/>
      </c>
      <c r="CG44" s="399">
        <f>IF(AND(Projects!$G$35="Yes",CG$3&gt;=Projects!$C$35,CG$3&lt;Projects!$C$35+Projects!$D$35),Projects!$B$35*INDEX(Curves!$B$4:$AR$4,1,CG$3-Projects!$C$35+1),0)-IF(AND(Projects!$G$35="Yes",CG$3&gt;=Projects!$C$35,CG$3&lt;Projects!$C$35+Projects!$D$35),Projects!$B$35*(Assumptions!$B$10+Assumptions!$B$11+Assumptions!$B$12)/Projects!$D$35*0.95,0)-IF(AND(Projects!$G$35="Yes",CG$3=Projects!$C$35+Projects!$D$35-1),Projects!$B$35*(Assumptions!$B$10+Assumptions!$B$11+Assumptions!$B$12)*0.05,0)</f>
        <v/>
      </c>
      <c r="CH44" s="399">
        <f>IF(AND(Projects!$G$35="Yes",CH$3&gt;=Projects!$C$35,CH$3&lt;Projects!$C$35+Projects!$D$35),Projects!$B$35*INDEX(Curves!$B$4:$AR$4,1,CH$3-Projects!$C$35+1),0)-IF(AND(Projects!$G$35="Yes",CH$3&gt;=Projects!$C$35,CH$3&lt;Projects!$C$35+Projects!$D$35),Projects!$B$35*(Assumptions!$B$10+Assumptions!$B$11+Assumptions!$B$12)/Projects!$D$35*0.95,0)-IF(AND(Projects!$G$35="Yes",CH$3=Projects!$C$35+Projects!$D$35-1),Projects!$B$35*(Assumptions!$B$10+Assumptions!$B$11+Assumptions!$B$12)*0.05,0)</f>
        <v/>
      </c>
      <c r="CI44" s="399">
        <f>IF(AND(Projects!$G$35="Yes",CI$3&gt;=Projects!$C$35,CI$3&lt;Projects!$C$35+Projects!$D$35),Projects!$B$35*INDEX(Curves!$B$4:$AR$4,1,CI$3-Projects!$C$35+1),0)-IF(AND(Projects!$G$35="Yes",CI$3&gt;=Projects!$C$35,CI$3&lt;Projects!$C$35+Projects!$D$35),Projects!$B$35*(Assumptions!$B$10+Assumptions!$B$11+Assumptions!$B$12)/Projects!$D$35*0.95,0)-IF(AND(Projects!$G$35="Yes",CI$3=Projects!$C$35+Projects!$D$35-1),Projects!$B$35*(Assumptions!$B$10+Assumptions!$B$11+Assumptions!$B$12)*0.05,0)</f>
        <v/>
      </c>
      <c r="CJ44" s="399">
        <f>IF(AND(Projects!$G$35="Yes",CJ$3&gt;=Projects!$C$35,CJ$3&lt;Projects!$C$35+Projects!$D$35),Projects!$B$35*INDEX(Curves!$B$4:$AR$4,1,CJ$3-Projects!$C$35+1),0)-IF(AND(Projects!$G$35="Yes",CJ$3&gt;=Projects!$C$35,CJ$3&lt;Projects!$C$35+Projects!$D$35),Projects!$B$35*(Assumptions!$B$10+Assumptions!$B$11+Assumptions!$B$12)/Projects!$D$35*0.95,0)-IF(AND(Projects!$G$35="Yes",CJ$3=Projects!$C$35+Projects!$D$35-1),Projects!$B$35*(Assumptions!$B$10+Assumptions!$B$11+Assumptions!$B$12)*0.05,0)</f>
        <v/>
      </c>
      <c r="CK44" s="399">
        <f>IF(AND(Projects!$G$35="Yes",CK$3&gt;=Projects!$C$35,CK$3&lt;Projects!$C$35+Projects!$D$35),Projects!$B$35*INDEX(Curves!$B$4:$AR$4,1,CK$3-Projects!$C$35+1),0)-IF(AND(Projects!$G$35="Yes",CK$3&gt;=Projects!$C$35,CK$3&lt;Projects!$C$35+Projects!$D$35),Projects!$B$35*(Assumptions!$B$10+Assumptions!$B$11+Assumptions!$B$12)/Projects!$D$35*0.95,0)-IF(AND(Projects!$G$35="Yes",CK$3=Projects!$C$35+Projects!$D$35-1),Projects!$B$35*(Assumptions!$B$10+Assumptions!$B$11+Assumptions!$B$12)*0.05,0)</f>
        <v/>
      </c>
      <c r="CL44" s="399">
        <f>IF(AND(Projects!$G$35="Yes",CL$3&gt;=Projects!$C$35,CL$3&lt;Projects!$C$35+Projects!$D$35),Projects!$B$35*INDEX(Curves!$B$4:$AR$4,1,CL$3-Projects!$C$35+1),0)-IF(AND(Projects!$G$35="Yes",CL$3&gt;=Projects!$C$35,CL$3&lt;Projects!$C$35+Projects!$D$35),Projects!$B$35*(Assumptions!$B$10+Assumptions!$B$11+Assumptions!$B$12)/Projects!$D$35*0.95,0)-IF(AND(Projects!$G$35="Yes",CL$3=Projects!$C$35+Projects!$D$35-1),Projects!$B$35*(Assumptions!$B$10+Assumptions!$B$11+Assumptions!$B$12)*0.05,0)</f>
        <v/>
      </c>
      <c r="CM44" s="399">
        <f>IF(AND(Projects!$G$35="Yes",CM$3&gt;=Projects!$C$35,CM$3&lt;Projects!$C$35+Projects!$D$35),Projects!$B$35*INDEX(Curves!$B$4:$AR$4,1,CM$3-Projects!$C$35+1),0)-IF(AND(Projects!$G$35="Yes",CM$3&gt;=Projects!$C$35,CM$3&lt;Projects!$C$35+Projects!$D$35),Projects!$B$35*(Assumptions!$B$10+Assumptions!$B$11+Assumptions!$B$12)/Projects!$D$35*0.95,0)-IF(AND(Projects!$G$35="Yes",CM$3=Projects!$C$35+Projects!$D$35-1),Projects!$B$35*(Assumptions!$B$10+Assumptions!$B$11+Assumptions!$B$12)*0.05,0)</f>
        <v/>
      </c>
      <c r="CN44" s="399">
        <f>IF(AND(Projects!$G$35="Yes",CN$3&gt;=Projects!$C$35,CN$3&lt;Projects!$C$35+Projects!$D$35),Projects!$B$35*INDEX(Curves!$B$4:$AR$4,1,CN$3-Projects!$C$35+1),0)-IF(AND(Projects!$G$35="Yes",CN$3&gt;=Projects!$C$35,CN$3&lt;Projects!$C$35+Projects!$D$35),Projects!$B$35*(Assumptions!$B$10+Assumptions!$B$11+Assumptions!$B$12)/Projects!$D$35*0.95,0)-IF(AND(Projects!$G$35="Yes",CN$3=Projects!$C$35+Projects!$D$35-1),Projects!$B$35*(Assumptions!$B$10+Assumptions!$B$11+Assumptions!$B$12)*0.05,0)</f>
        <v/>
      </c>
      <c r="CO44" s="399">
        <f>IF(AND(Projects!$G$35="Yes",CO$3&gt;=Projects!$C$35,CO$3&lt;Projects!$C$35+Projects!$D$35),Projects!$B$35*INDEX(Curves!$B$4:$AR$4,1,CO$3-Projects!$C$35+1),0)-IF(AND(Projects!$G$35="Yes",CO$3&gt;=Projects!$C$35,CO$3&lt;Projects!$C$35+Projects!$D$35),Projects!$B$35*(Assumptions!$B$10+Assumptions!$B$11+Assumptions!$B$12)/Projects!$D$35*0.95,0)-IF(AND(Projects!$G$35="Yes",CO$3=Projects!$C$35+Projects!$D$35-1),Projects!$B$35*(Assumptions!$B$10+Assumptions!$B$11+Assumptions!$B$12)*0.05,0)</f>
        <v/>
      </c>
      <c r="CP44" s="399">
        <f>IF(AND(Projects!$G$35="Yes",CP$3&gt;=Projects!$C$35,CP$3&lt;Projects!$C$35+Projects!$D$35),Projects!$B$35*INDEX(Curves!$B$4:$AR$4,1,CP$3-Projects!$C$35+1),0)-IF(AND(Projects!$G$35="Yes",CP$3&gt;=Projects!$C$35,CP$3&lt;Projects!$C$35+Projects!$D$35),Projects!$B$35*(Assumptions!$B$10+Assumptions!$B$11+Assumptions!$B$12)/Projects!$D$35*0.95,0)-IF(AND(Projects!$G$35="Yes",CP$3=Projects!$C$35+Projects!$D$35-1),Projects!$B$35*(Assumptions!$B$10+Assumptions!$B$11+Assumptions!$B$12)*0.05,0)</f>
        <v/>
      </c>
      <c r="CQ44" s="399">
        <f>IF(AND(Projects!$G$35="Yes",CQ$3&gt;=Projects!$C$35,CQ$3&lt;Projects!$C$35+Projects!$D$35),Projects!$B$35*INDEX(Curves!$B$4:$AR$4,1,CQ$3-Projects!$C$35+1),0)-IF(AND(Projects!$G$35="Yes",CQ$3&gt;=Projects!$C$35,CQ$3&lt;Projects!$C$35+Projects!$D$35),Projects!$B$35*(Assumptions!$B$10+Assumptions!$B$11+Assumptions!$B$12)/Projects!$D$35*0.95,0)-IF(AND(Projects!$G$35="Yes",CQ$3=Projects!$C$35+Projects!$D$35-1),Projects!$B$35*(Assumptions!$B$10+Assumptions!$B$11+Assumptions!$B$12)*0.05,0)</f>
        <v/>
      </c>
      <c r="CR44" s="399">
        <f>IF(AND(Projects!$G$35="Yes",CR$3&gt;=Projects!$C$35,CR$3&lt;Projects!$C$35+Projects!$D$35),Projects!$B$35*INDEX(Curves!$B$4:$AR$4,1,CR$3-Projects!$C$35+1),0)-IF(AND(Projects!$G$35="Yes",CR$3&gt;=Projects!$C$35,CR$3&lt;Projects!$C$35+Projects!$D$35),Projects!$B$35*(Assumptions!$B$10+Assumptions!$B$11+Assumptions!$B$12)/Projects!$D$35*0.95,0)-IF(AND(Projects!$G$35="Yes",CR$3=Projects!$C$35+Projects!$D$35-1),Projects!$B$35*(Assumptions!$B$10+Assumptions!$B$11+Assumptions!$B$12)*0.05,0)</f>
        <v/>
      </c>
      <c r="CS44" s="399">
        <f>IF(AND(Projects!$G$35="Yes",CS$3&gt;=Projects!$C$35,CS$3&lt;Projects!$C$35+Projects!$D$35),Projects!$B$35*INDEX(Curves!$B$4:$AR$4,1,CS$3-Projects!$C$35+1),0)-IF(AND(Projects!$G$35="Yes",CS$3&gt;=Projects!$C$35,CS$3&lt;Projects!$C$35+Projects!$D$35),Projects!$B$35*(Assumptions!$B$10+Assumptions!$B$11+Assumptions!$B$12)/Projects!$D$35*0.95,0)-IF(AND(Projects!$G$35="Yes",CS$3=Projects!$C$35+Projects!$D$35-1),Projects!$B$35*(Assumptions!$B$10+Assumptions!$B$11+Assumptions!$B$12)*0.05,0)</f>
        <v/>
      </c>
      <c r="CT44" s="399">
        <f>IF(AND(Projects!$G$35="Yes",CT$3&gt;=Projects!$C$35,CT$3&lt;Projects!$C$35+Projects!$D$35),Projects!$B$35*INDEX(Curves!$B$4:$AR$4,1,CT$3-Projects!$C$35+1),0)-IF(AND(Projects!$G$35="Yes",CT$3&gt;=Projects!$C$35,CT$3&lt;Projects!$C$35+Projects!$D$35),Projects!$B$35*(Assumptions!$B$10+Assumptions!$B$11+Assumptions!$B$12)/Projects!$D$35*0.95,0)-IF(AND(Projects!$G$35="Yes",CT$3=Projects!$C$35+Projects!$D$35-1),Projects!$B$35*(Assumptions!$B$10+Assumptions!$B$11+Assumptions!$B$12)*0.05,0)</f>
        <v/>
      </c>
      <c r="CU44" s="399">
        <f>IF(AND(Projects!$G$35="Yes",CU$3&gt;=Projects!$C$35,CU$3&lt;Projects!$C$35+Projects!$D$35),Projects!$B$35*INDEX(Curves!$B$4:$AR$4,1,CU$3-Projects!$C$35+1),0)-IF(AND(Projects!$G$35="Yes",CU$3&gt;=Projects!$C$35,CU$3&lt;Projects!$C$35+Projects!$D$35),Projects!$B$35*(Assumptions!$B$10+Assumptions!$B$11+Assumptions!$B$12)/Projects!$D$35*0.95,0)-IF(AND(Projects!$G$35="Yes",CU$3=Projects!$C$35+Projects!$D$35-1),Projects!$B$35*(Assumptions!$B$10+Assumptions!$B$11+Assumptions!$B$12)*0.05,0)</f>
        <v/>
      </c>
      <c r="CV44" s="399">
        <f>IF(AND(Projects!$G$35="Yes",CV$3&gt;=Projects!$C$35,CV$3&lt;Projects!$C$35+Projects!$D$35),Projects!$B$35*INDEX(Curves!$B$4:$AR$4,1,CV$3-Projects!$C$35+1),0)-IF(AND(Projects!$G$35="Yes",CV$3&gt;=Projects!$C$35,CV$3&lt;Projects!$C$35+Projects!$D$35),Projects!$B$35*(Assumptions!$B$10+Assumptions!$B$11+Assumptions!$B$12)/Projects!$D$35*0.95,0)-IF(AND(Projects!$G$35="Yes",CV$3=Projects!$C$35+Projects!$D$35-1),Projects!$B$35*(Assumptions!$B$10+Assumptions!$B$11+Assumptions!$B$12)*0.05,0)</f>
        <v/>
      </c>
      <c r="CW44" s="399">
        <f>IF(AND(Projects!$G$35="Yes",CW$3&gt;=Projects!$C$35,CW$3&lt;Projects!$C$35+Projects!$D$35),Projects!$B$35*INDEX(Curves!$B$4:$AR$4,1,CW$3-Projects!$C$35+1),0)-IF(AND(Projects!$G$35="Yes",CW$3&gt;=Projects!$C$35,CW$3&lt;Projects!$C$35+Projects!$D$35),Projects!$B$35*(Assumptions!$B$10+Assumptions!$B$11+Assumptions!$B$12)/Projects!$D$35*0.95,0)-IF(AND(Projects!$G$35="Yes",CW$3=Projects!$C$35+Projects!$D$35-1),Projects!$B$35*(Assumptions!$B$10+Assumptions!$B$11+Assumptions!$B$12)*0.05,0)</f>
        <v/>
      </c>
      <c r="CX44" s="399">
        <f>IF(AND(Projects!$G$35="Yes",CX$3&gt;=Projects!$C$35,CX$3&lt;Projects!$C$35+Projects!$D$35),Projects!$B$35*INDEX(Curves!$B$4:$AR$4,1,CX$3-Projects!$C$35+1),0)-IF(AND(Projects!$G$35="Yes",CX$3&gt;=Projects!$C$35,CX$3&lt;Projects!$C$35+Projects!$D$35),Projects!$B$35*(Assumptions!$B$10+Assumptions!$B$11+Assumptions!$B$12)/Projects!$D$35*0.95,0)-IF(AND(Projects!$G$35="Yes",CX$3=Projects!$C$35+Projects!$D$35-1),Projects!$B$35*(Assumptions!$B$10+Assumptions!$B$11+Assumptions!$B$12)*0.05,0)</f>
        <v/>
      </c>
      <c r="CY44" s="399">
        <f>IF(AND(Projects!$G$35="Yes",CY$3&gt;=Projects!$C$35,CY$3&lt;Projects!$C$35+Projects!$D$35),Projects!$B$35*INDEX(Curves!$B$4:$AR$4,1,CY$3-Projects!$C$35+1),0)-IF(AND(Projects!$G$35="Yes",CY$3&gt;=Projects!$C$35,CY$3&lt;Projects!$C$35+Projects!$D$35),Projects!$B$35*(Assumptions!$B$10+Assumptions!$B$11+Assumptions!$B$12)/Projects!$D$35*0.95,0)-IF(AND(Projects!$G$35="Yes",CY$3=Projects!$C$35+Projects!$D$35-1),Projects!$B$35*(Assumptions!$B$10+Assumptions!$B$11+Assumptions!$B$12)*0.05,0)</f>
        <v/>
      </c>
      <c r="CZ44" s="399">
        <f>IF(AND(Projects!$G$35="Yes",CZ$3&gt;=Projects!$C$35,CZ$3&lt;Projects!$C$35+Projects!$D$35),Projects!$B$35*INDEX(Curves!$B$4:$AR$4,1,CZ$3-Projects!$C$35+1),0)-IF(AND(Projects!$G$35="Yes",CZ$3&gt;=Projects!$C$35,CZ$3&lt;Projects!$C$35+Projects!$D$35),Projects!$B$35*(Assumptions!$B$10+Assumptions!$B$11+Assumptions!$B$12)/Projects!$D$35*0.95,0)-IF(AND(Projects!$G$35="Yes",CZ$3=Projects!$C$35+Projects!$D$35-1),Projects!$B$35*(Assumptions!$B$10+Assumptions!$B$11+Assumptions!$B$12)*0.05,0)</f>
        <v/>
      </c>
      <c r="DA44" s="399">
        <f>IF(AND(Projects!$G$35="Yes",DA$3&gt;=Projects!$C$35,DA$3&lt;Projects!$C$35+Projects!$D$35),Projects!$B$35*INDEX(Curves!$B$4:$AR$4,1,DA$3-Projects!$C$35+1),0)-IF(AND(Projects!$G$35="Yes",DA$3&gt;=Projects!$C$35,DA$3&lt;Projects!$C$35+Projects!$D$35),Projects!$B$35*(Assumptions!$B$10+Assumptions!$B$11+Assumptions!$B$12)/Projects!$D$35*0.95,0)-IF(AND(Projects!$G$35="Yes",DA$3=Projects!$C$35+Projects!$D$35-1),Projects!$B$35*(Assumptions!$B$10+Assumptions!$B$11+Assumptions!$B$12)*0.05,0)</f>
        <v/>
      </c>
      <c r="DB44" s="399">
        <f>IF(AND(Projects!$G$35="Yes",DB$3&gt;=Projects!$C$35,DB$3&lt;Projects!$C$35+Projects!$D$35),Projects!$B$35*INDEX(Curves!$B$4:$AR$4,1,DB$3-Projects!$C$35+1),0)-IF(AND(Projects!$G$35="Yes",DB$3&gt;=Projects!$C$35,DB$3&lt;Projects!$C$35+Projects!$D$35),Projects!$B$35*(Assumptions!$B$10+Assumptions!$B$11+Assumptions!$B$12)/Projects!$D$35*0.95,0)-IF(AND(Projects!$G$35="Yes",DB$3=Projects!$C$35+Projects!$D$35-1),Projects!$B$35*(Assumptions!$B$10+Assumptions!$B$11+Assumptions!$B$12)*0.05,0)</f>
        <v/>
      </c>
      <c r="DC44" s="399">
        <f>IF(AND(Projects!$G$35="Yes",DC$3&gt;=Projects!$C$35,DC$3&lt;Projects!$C$35+Projects!$D$35),Projects!$B$35*INDEX(Curves!$B$4:$AR$4,1,DC$3-Projects!$C$35+1),0)-IF(AND(Projects!$G$35="Yes",DC$3&gt;=Projects!$C$35,DC$3&lt;Projects!$C$35+Projects!$D$35),Projects!$B$35*(Assumptions!$B$10+Assumptions!$B$11+Assumptions!$B$12)/Projects!$D$35*0.95,0)-IF(AND(Projects!$G$35="Yes",DC$3=Projects!$C$35+Projects!$D$35-1),Projects!$B$35*(Assumptions!$B$10+Assumptions!$B$11+Assumptions!$B$12)*0.05,0)</f>
        <v/>
      </c>
      <c r="DD44" s="399">
        <f>IF(AND(Projects!$G$35="Yes",DD$3&gt;=Projects!$C$35,DD$3&lt;Projects!$C$35+Projects!$D$35),Projects!$B$35*INDEX(Curves!$B$4:$AR$4,1,DD$3-Projects!$C$35+1),0)-IF(AND(Projects!$G$35="Yes",DD$3&gt;=Projects!$C$35,DD$3&lt;Projects!$C$35+Projects!$D$35),Projects!$B$35*(Assumptions!$B$10+Assumptions!$B$11+Assumptions!$B$12)/Projects!$D$35*0.95,0)-IF(AND(Projects!$G$35="Yes",DD$3=Projects!$C$35+Projects!$D$35-1),Projects!$B$35*(Assumptions!$B$10+Assumptions!$B$11+Assumptions!$B$12)*0.05,0)</f>
        <v/>
      </c>
      <c r="DE44" s="399">
        <f>IF(AND(Projects!$G$35="Yes",DE$3&gt;=Projects!$C$35,DE$3&lt;Projects!$C$35+Projects!$D$35),Projects!$B$35*INDEX(Curves!$B$4:$AR$4,1,DE$3-Projects!$C$35+1),0)-IF(AND(Projects!$G$35="Yes",DE$3&gt;=Projects!$C$35,DE$3&lt;Projects!$C$35+Projects!$D$35),Projects!$B$35*(Assumptions!$B$10+Assumptions!$B$11+Assumptions!$B$12)/Projects!$D$35*0.95,0)-IF(AND(Projects!$G$35="Yes",DE$3=Projects!$C$35+Projects!$D$35-1),Projects!$B$35*(Assumptions!$B$10+Assumptions!$B$11+Assumptions!$B$12)*0.05,0)</f>
        <v/>
      </c>
    </row>
    <row r="45" hidden="1" outlineLevel="1" ht="15" customFormat="1" customHeight="1" s="380">
      <c r="A45" s="407" t="inlineStr">
        <is>
          <t>BD-20</t>
        </is>
      </c>
      <c r="B45" s="399" t="n">
        <v>0</v>
      </c>
      <c r="C45" s="399" t="n">
        <v>0</v>
      </c>
      <c r="D45" s="399" t="n">
        <v>0</v>
      </c>
      <c r="E45" s="399" t="n">
        <v>0</v>
      </c>
      <c r="F45" s="399">
        <f>IF(AND(Projects!$G$36="Yes",F$3&gt;=Projects!$C$36,F$3&lt;Projects!$C$36+Projects!$D$36),Projects!$B$36*INDEX(Curves!$B$4:$AR$4,1,F$3-Projects!$C$36+1),0)-IF(AND(Projects!$G$36="Yes",F$3&gt;=Projects!$C$36,F$3&lt;Projects!$C$36+Projects!$D$36),Projects!$B$36*(Assumptions!$B$10+Assumptions!$B$11+Assumptions!$B$12)/Projects!$D$36*0.95,0)-IF(AND(Projects!$G$36="Yes",F$3=Projects!$C$36+Projects!$D$36-1),Projects!$B$36*(Assumptions!$B$10+Assumptions!$B$11+Assumptions!$B$12)*0.05,0)</f>
        <v/>
      </c>
      <c r="G45" s="399">
        <f>IF(AND(Projects!$G$36="Yes",G$3&gt;=Projects!$C$36,G$3&lt;Projects!$C$36+Projects!$D$36),Projects!$B$36*INDEX(Curves!$B$4:$AR$4,1,G$3-Projects!$C$36+1),0)-IF(AND(Projects!$G$36="Yes",G$3&gt;=Projects!$C$36,G$3&lt;Projects!$C$36+Projects!$D$36),Projects!$B$36*(Assumptions!$B$10+Assumptions!$B$11+Assumptions!$B$12)/Projects!$D$36*0.95,0)-IF(AND(Projects!$G$36="Yes",G$3=Projects!$C$36+Projects!$D$36-1),Projects!$B$36*(Assumptions!$B$10+Assumptions!$B$11+Assumptions!$B$12)*0.05,0)</f>
        <v/>
      </c>
      <c r="H45" s="399">
        <f>IF(AND(Projects!$G$36="Yes",H$3&gt;=Projects!$C$36,H$3&lt;Projects!$C$36+Projects!$D$36),Projects!$B$36*INDEX(Curves!$B$4:$AR$4,1,H$3-Projects!$C$36+1),0)-IF(AND(Projects!$G$36="Yes",H$3&gt;=Projects!$C$36,H$3&lt;Projects!$C$36+Projects!$D$36),Projects!$B$36*(Assumptions!$B$10+Assumptions!$B$11+Assumptions!$B$12)/Projects!$D$36*0.95,0)-IF(AND(Projects!$G$36="Yes",H$3=Projects!$C$36+Projects!$D$36-1),Projects!$B$36*(Assumptions!$B$10+Assumptions!$B$11+Assumptions!$B$12)*0.05,0)</f>
        <v/>
      </c>
      <c r="I45" s="399">
        <f>IF(AND(Projects!$G$36="Yes",I$3&gt;=Projects!$C$36,I$3&lt;Projects!$C$36+Projects!$D$36),Projects!$B$36*INDEX(Curves!$B$4:$AR$4,1,I$3-Projects!$C$36+1),0)-IF(AND(Projects!$G$36="Yes",I$3&gt;=Projects!$C$36,I$3&lt;Projects!$C$36+Projects!$D$36),Projects!$B$36*(Assumptions!$B$10+Assumptions!$B$11+Assumptions!$B$12)/Projects!$D$36*0.95,0)-IF(AND(Projects!$G$36="Yes",I$3=Projects!$C$36+Projects!$D$36-1),Projects!$B$36*(Assumptions!$B$10+Assumptions!$B$11+Assumptions!$B$12)*0.05,0)</f>
        <v/>
      </c>
      <c r="J45" s="399">
        <f>IF(AND(Projects!$G$36="Yes",J$3&gt;=Projects!$C$36,J$3&lt;Projects!$C$36+Projects!$D$36),Projects!$B$36*INDEX(Curves!$B$4:$AR$4,1,J$3-Projects!$C$36+1),0)-IF(AND(Projects!$G$36="Yes",J$3&gt;=Projects!$C$36,J$3&lt;Projects!$C$36+Projects!$D$36),Projects!$B$36*(Assumptions!$B$10+Assumptions!$B$11+Assumptions!$B$12)/Projects!$D$36*0.95,0)-IF(AND(Projects!$G$36="Yes",J$3=Projects!$C$36+Projects!$D$36-1),Projects!$B$36*(Assumptions!$B$10+Assumptions!$B$11+Assumptions!$B$12)*0.05,0)</f>
        <v/>
      </c>
      <c r="K45" s="399">
        <f>IF(AND(Projects!$G$36="Yes",K$3&gt;=Projects!$C$36,K$3&lt;Projects!$C$36+Projects!$D$36),Projects!$B$36*INDEX(Curves!$B$4:$AR$4,1,K$3-Projects!$C$36+1),0)-IF(AND(Projects!$G$36="Yes",K$3&gt;=Projects!$C$36,K$3&lt;Projects!$C$36+Projects!$D$36),Projects!$B$36*(Assumptions!$B$10+Assumptions!$B$11+Assumptions!$B$12)/Projects!$D$36*0.95,0)-IF(AND(Projects!$G$36="Yes",K$3=Projects!$C$36+Projects!$D$36-1),Projects!$B$36*(Assumptions!$B$10+Assumptions!$B$11+Assumptions!$B$12)*0.05,0)</f>
        <v/>
      </c>
      <c r="L45" s="399">
        <f>IF(AND(Projects!$G$36="Yes",L$3&gt;=Projects!$C$36,L$3&lt;Projects!$C$36+Projects!$D$36),Projects!$B$36*INDEX(Curves!$B$4:$AR$4,1,L$3-Projects!$C$36+1),0)-IF(AND(Projects!$G$36="Yes",L$3&gt;=Projects!$C$36,L$3&lt;Projects!$C$36+Projects!$D$36),Projects!$B$36*(Assumptions!$B$10+Assumptions!$B$11+Assumptions!$B$12)/Projects!$D$36*0.95,0)-IF(AND(Projects!$G$36="Yes",L$3=Projects!$C$36+Projects!$D$36-1),Projects!$B$36*(Assumptions!$B$10+Assumptions!$B$11+Assumptions!$B$12)*0.05,0)</f>
        <v/>
      </c>
      <c r="M45" s="399">
        <f>IF(AND(Projects!$G$36="Yes",M$3&gt;=Projects!$C$36,M$3&lt;Projects!$C$36+Projects!$D$36),Projects!$B$36*INDEX(Curves!$B$4:$AR$4,1,M$3-Projects!$C$36+1),0)-IF(AND(Projects!$G$36="Yes",M$3&gt;=Projects!$C$36,M$3&lt;Projects!$C$36+Projects!$D$36),Projects!$B$36*(Assumptions!$B$10+Assumptions!$B$11+Assumptions!$B$12)/Projects!$D$36*0.95,0)-IF(AND(Projects!$G$36="Yes",M$3=Projects!$C$36+Projects!$D$36-1),Projects!$B$36*(Assumptions!$B$10+Assumptions!$B$11+Assumptions!$B$12)*0.05,0)</f>
        <v/>
      </c>
      <c r="N45" s="399">
        <f>IF(AND(Projects!$G$36="Yes",N$3&gt;=Projects!$C$36,N$3&lt;Projects!$C$36+Projects!$D$36),Projects!$B$36*INDEX(Curves!$B$4:$AR$4,1,N$3-Projects!$C$36+1),0)-IF(AND(Projects!$G$36="Yes",N$3&gt;=Projects!$C$36,N$3&lt;Projects!$C$36+Projects!$D$36),Projects!$B$36*(Assumptions!$B$10+Assumptions!$B$11+Assumptions!$B$12)/Projects!$D$36*0.95,0)-IF(AND(Projects!$G$36="Yes",N$3=Projects!$C$36+Projects!$D$36-1),Projects!$B$36*(Assumptions!$B$10+Assumptions!$B$11+Assumptions!$B$12)*0.05,0)</f>
        <v/>
      </c>
      <c r="O45" s="399">
        <f>IF(AND(Projects!$G$36="Yes",O$3&gt;=Projects!$C$36,O$3&lt;Projects!$C$36+Projects!$D$36),Projects!$B$36*INDEX(Curves!$B$4:$AR$4,1,O$3-Projects!$C$36+1),0)-IF(AND(Projects!$G$36="Yes",O$3&gt;=Projects!$C$36,O$3&lt;Projects!$C$36+Projects!$D$36),Projects!$B$36*(Assumptions!$B$10+Assumptions!$B$11+Assumptions!$B$12)/Projects!$D$36*0.95,0)-IF(AND(Projects!$G$36="Yes",O$3=Projects!$C$36+Projects!$D$36-1),Projects!$B$36*(Assumptions!$B$10+Assumptions!$B$11+Assumptions!$B$12)*0.05,0)</f>
        <v/>
      </c>
      <c r="P45" s="399">
        <f>IF(AND(Projects!$G$36="Yes",P$3&gt;=Projects!$C$36,P$3&lt;Projects!$C$36+Projects!$D$36),Projects!$B$36*INDEX(Curves!$B$4:$AR$4,1,P$3-Projects!$C$36+1),0)-IF(AND(Projects!$G$36="Yes",P$3&gt;=Projects!$C$36,P$3&lt;Projects!$C$36+Projects!$D$36),Projects!$B$36*(Assumptions!$B$10+Assumptions!$B$11+Assumptions!$B$12)/Projects!$D$36*0.95,0)-IF(AND(Projects!$G$36="Yes",P$3=Projects!$C$36+Projects!$D$36-1),Projects!$B$36*(Assumptions!$B$10+Assumptions!$B$11+Assumptions!$B$12)*0.05,0)</f>
        <v/>
      </c>
      <c r="Q45" s="399">
        <f>IF(AND(Projects!$G$36="Yes",Q$3&gt;=Projects!$C$36,Q$3&lt;Projects!$C$36+Projects!$D$36),Projects!$B$36*INDEX(Curves!$B$4:$AR$4,1,Q$3-Projects!$C$36+1),0)-IF(AND(Projects!$G$36="Yes",Q$3&gt;=Projects!$C$36,Q$3&lt;Projects!$C$36+Projects!$D$36),Projects!$B$36*(Assumptions!$B$10+Assumptions!$B$11+Assumptions!$B$12)/Projects!$D$36*0.95,0)-IF(AND(Projects!$G$36="Yes",Q$3=Projects!$C$36+Projects!$D$36-1),Projects!$B$36*(Assumptions!$B$10+Assumptions!$B$11+Assumptions!$B$12)*0.05,0)</f>
        <v/>
      </c>
      <c r="R45" s="399">
        <f>IF(AND(Projects!$G$36="Yes",R$3&gt;=Projects!$C$36,R$3&lt;Projects!$C$36+Projects!$D$36),Projects!$B$36*INDEX(Curves!$B$4:$AR$4,1,R$3-Projects!$C$36+1),0)-IF(AND(Projects!$G$36="Yes",R$3&gt;=Projects!$C$36,R$3&lt;Projects!$C$36+Projects!$D$36),Projects!$B$36*(Assumptions!$B$10+Assumptions!$B$11+Assumptions!$B$12)/Projects!$D$36*0.95,0)-IF(AND(Projects!$G$36="Yes",R$3=Projects!$C$36+Projects!$D$36-1),Projects!$B$36*(Assumptions!$B$10+Assumptions!$B$11+Assumptions!$B$12)*0.05,0)</f>
        <v/>
      </c>
      <c r="S45" s="399">
        <f>IF(AND(Projects!$G$36="Yes",S$3&gt;=Projects!$C$36,S$3&lt;Projects!$C$36+Projects!$D$36),Projects!$B$36*INDEX(Curves!$B$4:$AR$4,1,S$3-Projects!$C$36+1),0)-IF(AND(Projects!$G$36="Yes",S$3&gt;=Projects!$C$36,S$3&lt;Projects!$C$36+Projects!$D$36),Projects!$B$36*(Assumptions!$B$10+Assumptions!$B$11+Assumptions!$B$12)/Projects!$D$36*0.95,0)-IF(AND(Projects!$G$36="Yes",S$3=Projects!$C$36+Projects!$D$36-1),Projects!$B$36*(Assumptions!$B$10+Assumptions!$B$11+Assumptions!$B$12)*0.05,0)</f>
        <v/>
      </c>
      <c r="T45" s="399">
        <f>IF(AND(Projects!$G$36="Yes",T$3&gt;=Projects!$C$36,T$3&lt;Projects!$C$36+Projects!$D$36),Projects!$B$36*INDEX(Curves!$B$4:$AR$4,1,T$3-Projects!$C$36+1),0)-IF(AND(Projects!$G$36="Yes",T$3&gt;=Projects!$C$36,T$3&lt;Projects!$C$36+Projects!$D$36),Projects!$B$36*(Assumptions!$B$10+Assumptions!$B$11+Assumptions!$B$12)/Projects!$D$36*0.95,0)-IF(AND(Projects!$G$36="Yes",T$3=Projects!$C$36+Projects!$D$36-1),Projects!$B$36*(Assumptions!$B$10+Assumptions!$B$11+Assumptions!$B$12)*0.05,0)</f>
        <v/>
      </c>
      <c r="U45" s="399">
        <f>IF(AND(Projects!$G$36="Yes",U$3&gt;=Projects!$C$36,U$3&lt;Projects!$C$36+Projects!$D$36),Projects!$B$36*INDEX(Curves!$B$4:$AR$4,1,U$3-Projects!$C$36+1),0)-IF(AND(Projects!$G$36="Yes",U$3&gt;=Projects!$C$36,U$3&lt;Projects!$C$36+Projects!$D$36),Projects!$B$36*(Assumptions!$B$10+Assumptions!$B$11+Assumptions!$B$12)/Projects!$D$36*0.95,0)-IF(AND(Projects!$G$36="Yes",U$3=Projects!$C$36+Projects!$D$36-1),Projects!$B$36*(Assumptions!$B$10+Assumptions!$B$11+Assumptions!$B$12)*0.05,0)</f>
        <v/>
      </c>
      <c r="V45" s="399">
        <f>IF(AND(Projects!$G$36="Yes",V$3&gt;=Projects!$C$36,V$3&lt;Projects!$C$36+Projects!$D$36),Projects!$B$36*INDEX(Curves!$B$4:$AR$4,1,V$3-Projects!$C$36+1),0)-IF(AND(Projects!$G$36="Yes",V$3&gt;=Projects!$C$36,V$3&lt;Projects!$C$36+Projects!$D$36),Projects!$B$36*(Assumptions!$B$10+Assumptions!$B$11+Assumptions!$B$12)/Projects!$D$36*0.95,0)-IF(AND(Projects!$G$36="Yes",V$3=Projects!$C$36+Projects!$D$36-1),Projects!$B$36*(Assumptions!$B$10+Assumptions!$B$11+Assumptions!$B$12)*0.05,0)</f>
        <v/>
      </c>
      <c r="W45" s="399">
        <f>IF(AND(Projects!$G$36="Yes",W$3&gt;=Projects!$C$36,W$3&lt;Projects!$C$36+Projects!$D$36),Projects!$B$36*INDEX(Curves!$B$4:$AR$4,1,W$3-Projects!$C$36+1),0)-IF(AND(Projects!$G$36="Yes",W$3&gt;=Projects!$C$36,W$3&lt;Projects!$C$36+Projects!$D$36),Projects!$B$36*(Assumptions!$B$10+Assumptions!$B$11+Assumptions!$B$12)/Projects!$D$36*0.95,0)-IF(AND(Projects!$G$36="Yes",W$3=Projects!$C$36+Projects!$D$36-1),Projects!$B$36*(Assumptions!$B$10+Assumptions!$B$11+Assumptions!$B$12)*0.05,0)</f>
        <v/>
      </c>
      <c r="X45" s="399">
        <f>IF(AND(Projects!$G$36="Yes",X$3&gt;=Projects!$C$36,X$3&lt;Projects!$C$36+Projects!$D$36),Projects!$B$36*INDEX(Curves!$B$4:$AR$4,1,X$3-Projects!$C$36+1),0)-IF(AND(Projects!$G$36="Yes",X$3&gt;=Projects!$C$36,X$3&lt;Projects!$C$36+Projects!$D$36),Projects!$B$36*(Assumptions!$B$10+Assumptions!$B$11+Assumptions!$B$12)/Projects!$D$36*0.95,0)-IF(AND(Projects!$G$36="Yes",X$3=Projects!$C$36+Projects!$D$36-1),Projects!$B$36*(Assumptions!$B$10+Assumptions!$B$11+Assumptions!$B$12)*0.05,0)</f>
        <v/>
      </c>
      <c r="Y45" s="399">
        <f>IF(AND(Projects!$G$36="Yes",Y$3&gt;=Projects!$C$36,Y$3&lt;Projects!$C$36+Projects!$D$36),Projects!$B$36*INDEX(Curves!$B$4:$AR$4,1,Y$3-Projects!$C$36+1),0)-IF(AND(Projects!$G$36="Yes",Y$3&gt;=Projects!$C$36,Y$3&lt;Projects!$C$36+Projects!$D$36),Projects!$B$36*(Assumptions!$B$10+Assumptions!$B$11+Assumptions!$B$12)/Projects!$D$36*0.95,0)-IF(AND(Projects!$G$36="Yes",Y$3=Projects!$C$36+Projects!$D$36-1),Projects!$B$36*(Assumptions!$B$10+Assumptions!$B$11+Assumptions!$B$12)*0.05,0)</f>
        <v/>
      </c>
      <c r="Z45" s="399">
        <f>IF(AND(Projects!$G$36="Yes",Z$3&gt;=Projects!$C$36,Z$3&lt;Projects!$C$36+Projects!$D$36),Projects!$B$36*INDEX(Curves!$B$4:$AR$4,1,Z$3-Projects!$C$36+1),0)-IF(AND(Projects!$G$36="Yes",Z$3&gt;=Projects!$C$36,Z$3&lt;Projects!$C$36+Projects!$D$36),Projects!$B$36*(Assumptions!$B$10+Assumptions!$B$11+Assumptions!$B$12)/Projects!$D$36*0.95,0)-IF(AND(Projects!$G$36="Yes",Z$3=Projects!$C$36+Projects!$D$36-1),Projects!$B$36*(Assumptions!$B$10+Assumptions!$B$11+Assumptions!$B$12)*0.05,0)</f>
        <v/>
      </c>
      <c r="AA45" s="399">
        <f>IF(AND(Projects!$G$36="Yes",AA$3&gt;=Projects!$C$36,AA$3&lt;Projects!$C$36+Projects!$D$36),Projects!$B$36*INDEX(Curves!$B$4:$AR$4,1,AA$3-Projects!$C$36+1),0)-IF(AND(Projects!$G$36="Yes",AA$3&gt;=Projects!$C$36,AA$3&lt;Projects!$C$36+Projects!$D$36),Projects!$B$36*(Assumptions!$B$10+Assumptions!$B$11+Assumptions!$B$12)/Projects!$D$36*0.95,0)-IF(AND(Projects!$G$36="Yes",AA$3=Projects!$C$36+Projects!$D$36-1),Projects!$B$36*(Assumptions!$B$10+Assumptions!$B$11+Assumptions!$B$12)*0.05,0)</f>
        <v/>
      </c>
      <c r="AB45" s="399">
        <f>IF(AND(Projects!$G$36="Yes",AB$3&gt;=Projects!$C$36,AB$3&lt;Projects!$C$36+Projects!$D$36),Projects!$B$36*INDEX(Curves!$B$4:$AR$4,1,AB$3-Projects!$C$36+1),0)-IF(AND(Projects!$G$36="Yes",AB$3&gt;=Projects!$C$36,AB$3&lt;Projects!$C$36+Projects!$D$36),Projects!$B$36*(Assumptions!$B$10+Assumptions!$B$11+Assumptions!$B$12)/Projects!$D$36*0.95,0)-IF(AND(Projects!$G$36="Yes",AB$3=Projects!$C$36+Projects!$D$36-1),Projects!$B$36*(Assumptions!$B$10+Assumptions!$B$11+Assumptions!$B$12)*0.05,0)</f>
        <v/>
      </c>
      <c r="AC45" s="399">
        <f>IF(AND(Projects!$G$36="Yes",AC$3&gt;=Projects!$C$36,AC$3&lt;Projects!$C$36+Projects!$D$36),Projects!$B$36*INDEX(Curves!$B$4:$AR$4,1,AC$3-Projects!$C$36+1),0)-IF(AND(Projects!$G$36="Yes",AC$3&gt;=Projects!$C$36,AC$3&lt;Projects!$C$36+Projects!$D$36),Projects!$B$36*(Assumptions!$B$10+Assumptions!$B$11+Assumptions!$B$12)/Projects!$D$36*0.95,0)-IF(AND(Projects!$G$36="Yes",AC$3=Projects!$C$36+Projects!$D$36-1),Projects!$B$36*(Assumptions!$B$10+Assumptions!$B$11+Assumptions!$B$12)*0.05,0)</f>
        <v/>
      </c>
      <c r="AD45" s="399">
        <f>IF(AND(Projects!$G$36="Yes",AD$3&gt;=Projects!$C$36,AD$3&lt;Projects!$C$36+Projects!$D$36),Projects!$B$36*INDEX(Curves!$B$4:$AR$4,1,AD$3-Projects!$C$36+1),0)-IF(AND(Projects!$G$36="Yes",AD$3&gt;=Projects!$C$36,AD$3&lt;Projects!$C$36+Projects!$D$36),Projects!$B$36*(Assumptions!$B$10+Assumptions!$B$11+Assumptions!$B$12)/Projects!$D$36*0.95,0)-IF(AND(Projects!$G$36="Yes",AD$3=Projects!$C$36+Projects!$D$36-1),Projects!$B$36*(Assumptions!$B$10+Assumptions!$B$11+Assumptions!$B$12)*0.05,0)</f>
        <v/>
      </c>
      <c r="AE45" s="399">
        <f>IF(AND(Projects!$G$36="Yes",AE$3&gt;=Projects!$C$36,AE$3&lt;Projects!$C$36+Projects!$D$36),Projects!$B$36*INDEX(Curves!$B$4:$AR$4,1,AE$3-Projects!$C$36+1),0)-IF(AND(Projects!$G$36="Yes",AE$3&gt;=Projects!$C$36,AE$3&lt;Projects!$C$36+Projects!$D$36),Projects!$B$36*(Assumptions!$B$10+Assumptions!$B$11+Assumptions!$B$12)/Projects!$D$36*0.95,0)-IF(AND(Projects!$G$36="Yes",AE$3=Projects!$C$36+Projects!$D$36-1),Projects!$B$36*(Assumptions!$B$10+Assumptions!$B$11+Assumptions!$B$12)*0.05,0)</f>
        <v/>
      </c>
      <c r="AF45" s="399">
        <f>IF(AND(Projects!$G$36="Yes",AF$3&gt;=Projects!$C$36,AF$3&lt;Projects!$C$36+Projects!$D$36),Projects!$B$36*INDEX(Curves!$B$4:$AR$4,1,AF$3-Projects!$C$36+1),0)-IF(AND(Projects!$G$36="Yes",AF$3&gt;=Projects!$C$36,AF$3&lt;Projects!$C$36+Projects!$D$36),Projects!$B$36*(Assumptions!$B$10+Assumptions!$B$11+Assumptions!$B$12)/Projects!$D$36*0.95,0)-IF(AND(Projects!$G$36="Yes",AF$3=Projects!$C$36+Projects!$D$36-1),Projects!$B$36*(Assumptions!$B$10+Assumptions!$B$11+Assumptions!$B$12)*0.05,0)</f>
        <v/>
      </c>
      <c r="AG45" s="399">
        <f>IF(AND(Projects!$G$36="Yes",AG$3&gt;=Projects!$C$36,AG$3&lt;Projects!$C$36+Projects!$D$36),Projects!$B$36*INDEX(Curves!$B$4:$AR$4,1,AG$3-Projects!$C$36+1),0)-IF(AND(Projects!$G$36="Yes",AG$3&gt;=Projects!$C$36,AG$3&lt;Projects!$C$36+Projects!$D$36),Projects!$B$36*(Assumptions!$B$10+Assumptions!$B$11+Assumptions!$B$12)/Projects!$D$36*0.95,0)-IF(AND(Projects!$G$36="Yes",AG$3=Projects!$C$36+Projects!$D$36-1),Projects!$B$36*(Assumptions!$B$10+Assumptions!$B$11+Assumptions!$B$12)*0.05,0)</f>
        <v/>
      </c>
      <c r="AH45" s="399">
        <f>IF(AND(Projects!$G$36="Yes",AH$3&gt;=Projects!$C$36,AH$3&lt;Projects!$C$36+Projects!$D$36),Projects!$B$36*INDEX(Curves!$B$4:$AR$4,1,AH$3-Projects!$C$36+1),0)-IF(AND(Projects!$G$36="Yes",AH$3&gt;=Projects!$C$36,AH$3&lt;Projects!$C$36+Projects!$D$36),Projects!$B$36*(Assumptions!$B$10+Assumptions!$B$11+Assumptions!$B$12)/Projects!$D$36*0.95,0)-IF(AND(Projects!$G$36="Yes",AH$3=Projects!$C$36+Projects!$D$36-1),Projects!$B$36*(Assumptions!$B$10+Assumptions!$B$11+Assumptions!$B$12)*0.05,0)</f>
        <v/>
      </c>
      <c r="AI45" s="399">
        <f>IF(AND(Projects!$G$36="Yes",AI$3&gt;=Projects!$C$36,AI$3&lt;Projects!$C$36+Projects!$D$36),Projects!$B$36*INDEX(Curves!$B$4:$AR$4,1,AI$3-Projects!$C$36+1),0)-IF(AND(Projects!$G$36="Yes",AI$3&gt;=Projects!$C$36,AI$3&lt;Projects!$C$36+Projects!$D$36),Projects!$B$36*(Assumptions!$B$10+Assumptions!$B$11+Assumptions!$B$12)/Projects!$D$36*0.95,0)-IF(AND(Projects!$G$36="Yes",AI$3=Projects!$C$36+Projects!$D$36-1),Projects!$B$36*(Assumptions!$B$10+Assumptions!$B$11+Assumptions!$B$12)*0.05,0)</f>
        <v/>
      </c>
      <c r="AJ45" s="399">
        <f>IF(AND(Projects!$G$36="Yes",AJ$3&gt;=Projects!$C$36,AJ$3&lt;Projects!$C$36+Projects!$D$36),Projects!$B$36*INDEX(Curves!$B$4:$AR$4,1,AJ$3-Projects!$C$36+1),0)-IF(AND(Projects!$G$36="Yes",AJ$3&gt;=Projects!$C$36,AJ$3&lt;Projects!$C$36+Projects!$D$36),Projects!$B$36*(Assumptions!$B$10+Assumptions!$B$11+Assumptions!$B$12)/Projects!$D$36*0.95,0)-IF(AND(Projects!$G$36="Yes",AJ$3=Projects!$C$36+Projects!$D$36-1),Projects!$B$36*(Assumptions!$B$10+Assumptions!$B$11+Assumptions!$B$12)*0.05,0)</f>
        <v/>
      </c>
      <c r="AK45" s="399">
        <f>IF(AND(Projects!$G$36="Yes",AK$3&gt;=Projects!$C$36,AK$3&lt;Projects!$C$36+Projects!$D$36),Projects!$B$36*INDEX(Curves!$B$4:$AR$4,1,AK$3-Projects!$C$36+1),0)-IF(AND(Projects!$G$36="Yes",AK$3&gt;=Projects!$C$36,AK$3&lt;Projects!$C$36+Projects!$D$36),Projects!$B$36*(Assumptions!$B$10+Assumptions!$B$11+Assumptions!$B$12)/Projects!$D$36*0.95,0)-IF(AND(Projects!$G$36="Yes",AK$3=Projects!$C$36+Projects!$D$36-1),Projects!$B$36*(Assumptions!$B$10+Assumptions!$B$11+Assumptions!$B$12)*0.05,0)</f>
        <v/>
      </c>
      <c r="AL45" s="399">
        <f>IF(AND(Projects!$G$36="Yes",AL$3&gt;=Projects!$C$36,AL$3&lt;Projects!$C$36+Projects!$D$36),Projects!$B$36*INDEX(Curves!$B$4:$AR$4,1,AL$3-Projects!$C$36+1),0)-IF(AND(Projects!$G$36="Yes",AL$3&gt;=Projects!$C$36,AL$3&lt;Projects!$C$36+Projects!$D$36),Projects!$B$36*(Assumptions!$B$10+Assumptions!$B$11+Assumptions!$B$12)/Projects!$D$36*0.95,0)-IF(AND(Projects!$G$36="Yes",AL$3=Projects!$C$36+Projects!$D$36-1),Projects!$B$36*(Assumptions!$B$10+Assumptions!$B$11+Assumptions!$B$12)*0.05,0)</f>
        <v/>
      </c>
      <c r="AM45" s="399">
        <f>IF(AND(Projects!$G$36="Yes",AM$3&gt;=Projects!$C$36,AM$3&lt;Projects!$C$36+Projects!$D$36),Projects!$B$36*INDEX(Curves!$B$4:$AR$4,1,AM$3-Projects!$C$36+1),0)-IF(AND(Projects!$G$36="Yes",AM$3&gt;=Projects!$C$36,AM$3&lt;Projects!$C$36+Projects!$D$36),Projects!$B$36*(Assumptions!$B$10+Assumptions!$B$11+Assumptions!$B$12)/Projects!$D$36*0.95,0)-IF(AND(Projects!$G$36="Yes",AM$3=Projects!$C$36+Projects!$D$36-1),Projects!$B$36*(Assumptions!$B$10+Assumptions!$B$11+Assumptions!$B$12)*0.05,0)</f>
        <v/>
      </c>
      <c r="AN45" s="399">
        <f>IF(AND(Projects!$G$36="Yes",AN$3&gt;=Projects!$C$36,AN$3&lt;Projects!$C$36+Projects!$D$36),Projects!$B$36*INDEX(Curves!$B$4:$AR$4,1,AN$3-Projects!$C$36+1),0)-IF(AND(Projects!$G$36="Yes",AN$3&gt;=Projects!$C$36,AN$3&lt;Projects!$C$36+Projects!$D$36),Projects!$B$36*(Assumptions!$B$10+Assumptions!$B$11+Assumptions!$B$12)/Projects!$D$36*0.95,0)-IF(AND(Projects!$G$36="Yes",AN$3=Projects!$C$36+Projects!$D$36-1),Projects!$B$36*(Assumptions!$B$10+Assumptions!$B$11+Assumptions!$B$12)*0.05,0)</f>
        <v/>
      </c>
      <c r="AO45" s="399">
        <f>IF(AND(Projects!$G$36="Yes",AO$3&gt;=Projects!$C$36,AO$3&lt;Projects!$C$36+Projects!$D$36),Projects!$B$36*INDEX(Curves!$B$4:$AR$4,1,AO$3-Projects!$C$36+1),0)-IF(AND(Projects!$G$36="Yes",AO$3&gt;=Projects!$C$36,AO$3&lt;Projects!$C$36+Projects!$D$36),Projects!$B$36*(Assumptions!$B$10+Assumptions!$B$11+Assumptions!$B$12)/Projects!$D$36*0.95,0)-IF(AND(Projects!$G$36="Yes",AO$3=Projects!$C$36+Projects!$D$36-1),Projects!$B$36*(Assumptions!$B$10+Assumptions!$B$11+Assumptions!$B$12)*0.05,0)</f>
        <v/>
      </c>
      <c r="AP45" s="399">
        <f>IF(AND(Projects!$G$36="Yes",AP$3&gt;=Projects!$C$36,AP$3&lt;Projects!$C$36+Projects!$D$36),Projects!$B$36*INDEX(Curves!$B$4:$AR$4,1,AP$3-Projects!$C$36+1),0)-IF(AND(Projects!$G$36="Yes",AP$3&gt;=Projects!$C$36,AP$3&lt;Projects!$C$36+Projects!$D$36),Projects!$B$36*(Assumptions!$B$10+Assumptions!$B$11+Assumptions!$B$12)/Projects!$D$36*0.95,0)-IF(AND(Projects!$G$36="Yes",AP$3=Projects!$C$36+Projects!$D$36-1),Projects!$B$36*(Assumptions!$B$10+Assumptions!$B$11+Assumptions!$B$12)*0.05,0)</f>
        <v/>
      </c>
      <c r="AQ45" s="399">
        <f>IF(AND(Projects!$G$36="Yes",AQ$3&gt;=Projects!$C$36,AQ$3&lt;Projects!$C$36+Projects!$D$36),Projects!$B$36*INDEX(Curves!$B$4:$AR$4,1,AQ$3-Projects!$C$36+1),0)-IF(AND(Projects!$G$36="Yes",AQ$3&gt;=Projects!$C$36,AQ$3&lt;Projects!$C$36+Projects!$D$36),Projects!$B$36*(Assumptions!$B$10+Assumptions!$B$11+Assumptions!$B$12)/Projects!$D$36*0.95,0)-IF(AND(Projects!$G$36="Yes",AQ$3=Projects!$C$36+Projects!$D$36-1),Projects!$B$36*(Assumptions!$B$10+Assumptions!$B$11+Assumptions!$B$12)*0.05,0)</f>
        <v/>
      </c>
      <c r="AR45" s="399">
        <f>IF(AND(Projects!$G$36="Yes",AR$3&gt;=Projects!$C$36,AR$3&lt;Projects!$C$36+Projects!$D$36),Projects!$B$36*INDEX(Curves!$B$4:$AR$4,1,AR$3-Projects!$C$36+1),0)-IF(AND(Projects!$G$36="Yes",AR$3&gt;=Projects!$C$36,AR$3&lt;Projects!$C$36+Projects!$D$36),Projects!$B$36*(Assumptions!$B$10+Assumptions!$B$11+Assumptions!$B$12)/Projects!$D$36*0.95,0)-IF(AND(Projects!$G$36="Yes",AR$3=Projects!$C$36+Projects!$D$36-1),Projects!$B$36*(Assumptions!$B$10+Assumptions!$B$11+Assumptions!$B$12)*0.05,0)</f>
        <v/>
      </c>
      <c r="AS45" s="399">
        <f>IF(AND(Projects!$G$36="Yes",AS$3&gt;=Projects!$C$36,AS$3&lt;Projects!$C$36+Projects!$D$36),Projects!$B$36*INDEX(Curves!$B$4:$AR$4,1,AS$3-Projects!$C$36+1),0)-IF(AND(Projects!$G$36="Yes",AS$3&gt;=Projects!$C$36,AS$3&lt;Projects!$C$36+Projects!$D$36),Projects!$B$36*(Assumptions!$B$10+Assumptions!$B$11+Assumptions!$B$12)/Projects!$D$36*0.95,0)-IF(AND(Projects!$G$36="Yes",AS$3=Projects!$C$36+Projects!$D$36-1),Projects!$B$36*(Assumptions!$B$10+Assumptions!$B$11+Assumptions!$B$12)*0.05,0)</f>
        <v/>
      </c>
      <c r="AT45" s="399">
        <f>IF(AND(Projects!$G$36="Yes",AT$3&gt;=Projects!$C$36,AT$3&lt;Projects!$C$36+Projects!$D$36),Projects!$B$36*INDEX(Curves!$B$4:$AR$4,1,AT$3-Projects!$C$36+1),0)-IF(AND(Projects!$G$36="Yes",AT$3&gt;=Projects!$C$36,AT$3&lt;Projects!$C$36+Projects!$D$36),Projects!$B$36*(Assumptions!$B$10+Assumptions!$B$11+Assumptions!$B$12)/Projects!$D$36*0.95,0)-IF(AND(Projects!$G$36="Yes",AT$3=Projects!$C$36+Projects!$D$36-1),Projects!$B$36*(Assumptions!$B$10+Assumptions!$B$11+Assumptions!$B$12)*0.05,0)</f>
        <v/>
      </c>
      <c r="AU45" s="399">
        <f>IF(AND(Projects!$G$36="Yes",AU$3&gt;=Projects!$C$36,AU$3&lt;Projects!$C$36+Projects!$D$36),Projects!$B$36*INDEX(Curves!$B$4:$AR$4,1,AU$3-Projects!$C$36+1),0)-IF(AND(Projects!$G$36="Yes",AU$3&gt;=Projects!$C$36,AU$3&lt;Projects!$C$36+Projects!$D$36),Projects!$B$36*(Assumptions!$B$10+Assumptions!$B$11+Assumptions!$B$12)/Projects!$D$36*0.95,0)-IF(AND(Projects!$G$36="Yes",AU$3=Projects!$C$36+Projects!$D$36-1),Projects!$B$36*(Assumptions!$B$10+Assumptions!$B$11+Assumptions!$B$12)*0.05,0)</f>
        <v/>
      </c>
      <c r="AV45" s="399">
        <f>IF(AND(Projects!$G$36="Yes",AV$3&gt;=Projects!$C$36,AV$3&lt;Projects!$C$36+Projects!$D$36),Projects!$B$36*INDEX(Curves!$B$4:$AR$4,1,AV$3-Projects!$C$36+1),0)-IF(AND(Projects!$G$36="Yes",AV$3&gt;=Projects!$C$36,AV$3&lt;Projects!$C$36+Projects!$D$36),Projects!$B$36*(Assumptions!$B$10+Assumptions!$B$11+Assumptions!$B$12)/Projects!$D$36*0.95,0)-IF(AND(Projects!$G$36="Yes",AV$3=Projects!$C$36+Projects!$D$36-1),Projects!$B$36*(Assumptions!$B$10+Assumptions!$B$11+Assumptions!$B$12)*0.05,0)</f>
        <v/>
      </c>
      <c r="AW45" s="399">
        <f>IF(AND(Projects!$G$36="Yes",AW$3&gt;=Projects!$C$36,AW$3&lt;Projects!$C$36+Projects!$D$36),Projects!$B$36*INDEX(Curves!$B$4:$AR$4,1,AW$3-Projects!$C$36+1),0)-IF(AND(Projects!$G$36="Yes",AW$3&gt;=Projects!$C$36,AW$3&lt;Projects!$C$36+Projects!$D$36),Projects!$B$36*(Assumptions!$B$10+Assumptions!$B$11+Assumptions!$B$12)/Projects!$D$36*0.95,0)-IF(AND(Projects!$G$36="Yes",AW$3=Projects!$C$36+Projects!$D$36-1),Projects!$B$36*(Assumptions!$B$10+Assumptions!$B$11+Assumptions!$B$12)*0.05,0)</f>
        <v/>
      </c>
      <c r="AX45" s="399">
        <f>IF(AND(Projects!$G$36="Yes",AX$3&gt;=Projects!$C$36,AX$3&lt;Projects!$C$36+Projects!$D$36),Projects!$B$36*INDEX(Curves!$B$4:$AR$4,1,AX$3-Projects!$C$36+1),0)-IF(AND(Projects!$G$36="Yes",AX$3&gt;=Projects!$C$36,AX$3&lt;Projects!$C$36+Projects!$D$36),Projects!$B$36*(Assumptions!$B$10+Assumptions!$B$11+Assumptions!$B$12)/Projects!$D$36*0.95,0)-IF(AND(Projects!$G$36="Yes",AX$3=Projects!$C$36+Projects!$D$36-1),Projects!$B$36*(Assumptions!$B$10+Assumptions!$B$11+Assumptions!$B$12)*0.05,0)</f>
        <v/>
      </c>
      <c r="AY45" s="399">
        <f>IF(AND(Projects!$G$36="Yes",AY$3&gt;=Projects!$C$36,AY$3&lt;Projects!$C$36+Projects!$D$36),Projects!$B$36*INDEX(Curves!$B$4:$AR$4,1,AY$3-Projects!$C$36+1),0)-IF(AND(Projects!$G$36="Yes",AY$3&gt;=Projects!$C$36,AY$3&lt;Projects!$C$36+Projects!$D$36),Projects!$B$36*(Assumptions!$B$10+Assumptions!$B$11+Assumptions!$B$12)/Projects!$D$36*0.95,0)-IF(AND(Projects!$G$36="Yes",AY$3=Projects!$C$36+Projects!$D$36-1),Projects!$B$36*(Assumptions!$B$10+Assumptions!$B$11+Assumptions!$B$12)*0.05,0)</f>
        <v/>
      </c>
      <c r="AZ45" s="399">
        <f>IF(AND(Projects!$G$36="Yes",AZ$3&gt;=Projects!$C$36,AZ$3&lt;Projects!$C$36+Projects!$D$36),Projects!$B$36*INDEX(Curves!$B$4:$AR$4,1,AZ$3-Projects!$C$36+1),0)-IF(AND(Projects!$G$36="Yes",AZ$3&gt;=Projects!$C$36,AZ$3&lt;Projects!$C$36+Projects!$D$36),Projects!$B$36*(Assumptions!$B$10+Assumptions!$B$11+Assumptions!$B$12)/Projects!$D$36*0.95,0)-IF(AND(Projects!$G$36="Yes",AZ$3=Projects!$C$36+Projects!$D$36-1),Projects!$B$36*(Assumptions!$B$10+Assumptions!$B$11+Assumptions!$B$12)*0.05,0)</f>
        <v/>
      </c>
      <c r="BA45" s="399">
        <f>IF(AND(Projects!$G$36="Yes",BA$3&gt;=Projects!$C$36,BA$3&lt;Projects!$C$36+Projects!$D$36),Projects!$B$36*INDEX(Curves!$B$4:$AR$4,1,BA$3-Projects!$C$36+1),0)-IF(AND(Projects!$G$36="Yes",BA$3&gt;=Projects!$C$36,BA$3&lt;Projects!$C$36+Projects!$D$36),Projects!$B$36*(Assumptions!$B$10+Assumptions!$B$11+Assumptions!$B$12)/Projects!$D$36*0.95,0)-IF(AND(Projects!$G$36="Yes",BA$3=Projects!$C$36+Projects!$D$36-1),Projects!$B$36*(Assumptions!$B$10+Assumptions!$B$11+Assumptions!$B$12)*0.05,0)</f>
        <v/>
      </c>
      <c r="BB45" s="399">
        <f>IF(AND(Projects!$G$36="Yes",BB$3&gt;=Projects!$C$36,BB$3&lt;Projects!$C$36+Projects!$D$36),Projects!$B$36*INDEX(Curves!$B$4:$AR$4,1,BB$3-Projects!$C$36+1),0)-IF(AND(Projects!$G$36="Yes",BB$3&gt;=Projects!$C$36,BB$3&lt;Projects!$C$36+Projects!$D$36),Projects!$B$36*(Assumptions!$B$10+Assumptions!$B$11+Assumptions!$B$12)/Projects!$D$36*0.95,0)-IF(AND(Projects!$G$36="Yes",BB$3=Projects!$C$36+Projects!$D$36-1),Projects!$B$36*(Assumptions!$B$10+Assumptions!$B$11+Assumptions!$B$12)*0.05,0)</f>
        <v/>
      </c>
      <c r="BC45" s="399">
        <f>IF(AND(Projects!$G$36="Yes",BC$3&gt;=Projects!$C$36,BC$3&lt;Projects!$C$36+Projects!$D$36),Projects!$B$36*INDEX(Curves!$B$4:$AR$4,1,BC$3-Projects!$C$36+1),0)-IF(AND(Projects!$G$36="Yes",BC$3&gt;=Projects!$C$36,BC$3&lt;Projects!$C$36+Projects!$D$36),Projects!$B$36*(Assumptions!$B$10+Assumptions!$B$11+Assumptions!$B$12)/Projects!$D$36*0.95,0)-IF(AND(Projects!$G$36="Yes",BC$3=Projects!$C$36+Projects!$D$36-1),Projects!$B$36*(Assumptions!$B$10+Assumptions!$B$11+Assumptions!$B$12)*0.05,0)</f>
        <v/>
      </c>
      <c r="BD45" s="399">
        <f>IF(AND(Projects!$G$36="Yes",BD$3&gt;=Projects!$C$36,BD$3&lt;Projects!$C$36+Projects!$D$36),Projects!$B$36*INDEX(Curves!$B$4:$AR$4,1,BD$3-Projects!$C$36+1),0)-IF(AND(Projects!$G$36="Yes",BD$3&gt;=Projects!$C$36,BD$3&lt;Projects!$C$36+Projects!$D$36),Projects!$B$36*(Assumptions!$B$10+Assumptions!$B$11+Assumptions!$B$12)/Projects!$D$36*0.95,0)-IF(AND(Projects!$G$36="Yes",BD$3=Projects!$C$36+Projects!$D$36-1),Projects!$B$36*(Assumptions!$B$10+Assumptions!$B$11+Assumptions!$B$12)*0.05,0)</f>
        <v/>
      </c>
      <c r="BE45" s="399">
        <f>IF(AND(Projects!$G$36="Yes",BE$3&gt;=Projects!$C$36,BE$3&lt;Projects!$C$36+Projects!$D$36),Projects!$B$36*INDEX(Curves!$B$4:$AR$4,1,BE$3-Projects!$C$36+1),0)-IF(AND(Projects!$G$36="Yes",BE$3&gt;=Projects!$C$36,BE$3&lt;Projects!$C$36+Projects!$D$36),Projects!$B$36*(Assumptions!$B$10+Assumptions!$B$11+Assumptions!$B$12)/Projects!$D$36*0.95,0)-IF(AND(Projects!$G$36="Yes",BE$3=Projects!$C$36+Projects!$D$36-1),Projects!$B$36*(Assumptions!$B$10+Assumptions!$B$11+Assumptions!$B$12)*0.05,0)</f>
        <v/>
      </c>
      <c r="BF45" s="399">
        <f>IF(AND(Projects!$G$36="Yes",BF$3&gt;=Projects!$C$36,BF$3&lt;Projects!$C$36+Projects!$D$36),Projects!$B$36*INDEX(Curves!$B$4:$AR$4,1,BF$3-Projects!$C$36+1),0)-IF(AND(Projects!$G$36="Yes",BF$3&gt;=Projects!$C$36,BF$3&lt;Projects!$C$36+Projects!$D$36),Projects!$B$36*(Assumptions!$B$10+Assumptions!$B$11+Assumptions!$B$12)/Projects!$D$36*0.95,0)-IF(AND(Projects!$G$36="Yes",BF$3=Projects!$C$36+Projects!$D$36-1),Projects!$B$36*(Assumptions!$B$10+Assumptions!$B$11+Assumptions!$B$12)*0.05,0)</f>
        <v/>
      </c>
      <c r="BG45" s="399">
        <f>IF(AND(Projects!$G$36="Yes",BG$3&gt;=Projects!$C$36,BG$3&lt;Projects!$C$36+Projects!$D$36),Projects!$B$36*INDEX(Curves!$B$4:$AR$4,1,BG$3-Projects!$C$36+1),0)-IF(AND(Projects!$G$36="Yes",BG$3&gt;=Projects!$C$36,BG$3&lt;Projects!$C$36+Projects!$D$36),Projects!$B$36*(Assumptions!$B$10+Assumptions!$B$11+Assumptions!$B$12)/Projects!$D$36*0.95,0)-IF(AND(Projects!$G$36="Yes",BG$3=Projects!$C$36+Projects!$D$36-1),Projects!$B$36*(Assumptions!$B$10+Assumptions!$B$11+Assumptions!$B$12)*0.05,0)</f>
        <v/>
      </c>
      <c r="BH45" s="399">
        <f>IF(AND(Projects!$G$36="Yes",BH$3&gt;=Projects!$C$36,BH$3&lt;Projects!$C$36+Projects!$D$36),Projects!$B$36*INDEX(Curves!$B$4:$AR$4,1,BH$3-Projects!$C$36+1),0)-IF(AND(Projects!$G$36="Yes",BH$3&gt;=Projects!$C$36,BH$3&lt;Projects!$C$36+Projects!$D$36),Projects!$B$36*(Assumptions!$B$10+Assumptions!$B$11+Assumptions!$B$12)/Projects!$D$36*0.95,0)-IF(AND(Projects!$G$36="Yes",BH$3=Projects!$C$36+Projects!$D$36-1),Projects!$B$36*(Assumptions!$B$10+Assumptions!$B$11+Assumptions!$B$12)*0.05,0)</f>
        <v/>
      </c>
      <c r="BI45" s="399">
        <f>IF(AND(Projects!$G$36="Yes",BI$3&gt;=Projects!$C$36,BI$3&lt;Projects!$C$36+Projects!$D$36),Projects!$B$36*INDEX(Curves!$B$4:$AR$4,1,BI$3-Projects!$C$36+1),0)-IF(AND(Projects!$G$36="Yes",BI$3&gt;=Projects!$C$36,BI$3&lt;Projects!$C$36+Projects!$D$36),Projects!$B$36*(Assumptions!$B$10+Assumptions!$B$11+Assumptions!$B$12)/Projects!$D$36*0.95,0)-IF(AND(Projects!$G$36="Yes",BI$3=Projects!$C$36+Projects!$D$36-1),Projects!$B$36*(Assumptions!$B$10+Assumptions!$B$11+Assumptions!$B$12)*0.05,0)</f>
        <v/>
      </c>
      <c r="BJ45" s="399">
        <f>IF(AND(Projects!$G$36="Yes",BJ$3&gt;=Projects!$C$36,BJ$3&lt;Projects!$C$36+Projects!$D$36),Projects!$B$36*INDEX(Curves!$B$4:$AR$4,1,BJ$3-Projects!$C$36+1),0)-IF(AND(Projects!$G$36="Yes",BJ$3&gt;=Projects!$C$36,BJ$3&lt;Projects!$C$36+Projects!$D$36),Projects!$B$36*(Assumptions!$B$10+Assumptions!$B$11+Assumptions!$B$12)/Projects!$D$36*0.95,0)-IF(AND(Projects!$G$36="Yes",BJ$3=Projects!$C$36+Projects!$D$36-1),Projects!$B$36*(Assumptions!$B$10+Assumptions!$B$11+Assumptions!$B$12)*0.05,0)</f>
        <v/>
      </c>
      <c r="BK45" s="399">
        <f>IF(AND(Projects!$G$36="Yes",BK$3&gt;=Projects!$C$36,BK$3&lt;Projects!$C$36+Projects!$D$36),Projects!$B$36*INDEX(Curves!$B$4:$AR$4,1,BK$3-Projects!$C$36+1),0)-IF(AND(Projects!$G$36="Yes",BK$3&gt;=Projects!$C$36,BK$3&lt;Projects!$C$36+Projects!$D$36),Projects!$B$36*(Assumptions!$B$10+Assumptions!$B$11+Assumptions!$B$12)/Projects!$D$36*0.95,0)-IF(AND(Projects!$G$36="Yes",BK$3=Projects!$C$36+Projects!$D$36-1),Projects!$B$36*(Assumptions!$B$10+Assumptions!$B$11+Assumptions!$B$12)*0.05,0)</f>
        <v/>
      </c>
      <c r="BL45" s="399">
        <f>IF(AND(Projects!$G$36="Yes",BL$3&gt;=Projects!$C$36,BL$3&lt;Projects!$C$36+Projects!$D$36),Projects!$B$36*INDEX(Curves!$B$4:$AR$4,1,BL$3-Projects!$C$36+1),0)-IF(AND(Projects!$G$36="Yes",BL$3&gt;=Projects!$C$36,BL$3&lt;Projects!$C$36+Projects!$D$36),Projects!$B$36*(Assumptions!$B$10+Assumptions!$B$11+Assumptions!$B$12)/Projects!$D$36*0.95,0)-IF(AND(Projects!$G$36="Yes",BL$3=Projects!$C$36+Projects!$D$36-1),Projects!$B$36*(Assumptions!$B$10+Assumptions!$B$11+Assumptions!$B$12)*0.05,0)</f>
        <v/>
      </c>
      <c r="BM45" s="399">
        <f>IF(AND(Projects!$G$36="Yes",BM$3&gt;=Projects!$C$36,BM$3&lt;Projects!$C$36+Projects!$D$36),Projects!$B$36*INDEX(Curves!$B$4:$AR$4,1,BM$3-Projects!$C$36+1),0)-IF(AND(Projects!$G$36="Yes",BM$3&gt;=Projects!$C$36,BM$3&lt;Projects!$C$36+Projects!$D$36),Projects!$B$36*(Assumptions!$B$10+Assumptions!$B$11+Assumptions!$B$12)/Projects!$D$36*0.95,0)-IF(AND(Projects!$G$36="Yes",BM$3=Projects!$C$36+Projects!$D$36-1),Projects!$B$36*(Assumptions!$B$10+Assumptions!$B$11+Assumptions!$B$12)*0.05,0)</f>
        <v/>
      </c>
      <c r="BN45" s="399">
        <f>IF(AND(Projects!$G$36="Yes",BN$3&gt;=Projects!$C$36,BN$3&lt;Projects!$C$36+Projects!$D$36),Projects!$B$36*INDEX(Curves!$B$4:$AR$4,1,BN$3-Projects!$C$36+1),0)-IF(AND(Projects!$G$36="Yes",BN$3&gt;=Projects!$C$36,BN$3&lt;Projects!$C$36+Projects!$D$36),Projects!$B$36*(Assumptions!$B$10+Assumptions!$B$11+Assumptions!$B$12)/Projects!$D$36*0.95,0)-IF(AND(Projects!$G$36="Yes",BN$3=Projects!$C$36+Projects!$D$36-1),Projects!$B$36*(Assumptions!$B$10+Assumptions!$B$11+Assumptions!$B$12)*0.05,0)</f>
        <v/>
      </c>
      <c r="BO45" s="399">
        <f>IF(AND(Projects!$G$36="Yes",BO$3&gt;=Projects!$C$36,BO$3&lt;Projects!$C$36+Projects!$D$36),Projects!$B$36*INDEX(Curves!$B$4:$AR$4,1,BO$3-Projects!$C$36+1),0)-IF(AND(Projects!$G$36="Yes",BO$3&gt;=Projects!$C$36,BO$3&lt;Projects!$C$36+Projects!$D$36),Projects!$B$36*(Assumptions!$B$10+Assumptions!$B$11+Assumptions!$B$12)/Projects!$D$36*0.95,0)-IF(AND(Projects!$G$36="Yes",BO$3=Projects!$C$36+Projects!$D$36-1),Projects!$B$36*(Assumptions!$B$10+Assumptions!$B$11+Assumptions!$B$12)*0.05,0)</f>
        <v/>
      </c>
      <c r="BP45" s="399">
        <f>IF(AND(Projects!$G$36="Yes",BP$3&gt;=Projects!$C$36,BP$3&lt;Projects!$C$36+Projects!$D$36),Projects!$B$36*INDEX(Curves!$B$4:$AR$4,1,BP$3-Projects!$C$36+1),0)-IF(AND(Projects!$G$36="Yes",BP$3&gt;=Projects!$C$36,BP$3&lt;Projects!$C$36+Projects!$D$36),Projects!$B$36*(Assumptions!$B$10+Assumptions!$B$11+Assumptions!$B$12)/Projects!$D$36*0.95,0)-IF(AND(Projects!$G$36="Yes",BP$3=Projects!$C$36+Projects!$D$36-1),Projects!$B$36*(Assumptions!$B$10+Assumptions!$B$11+Assumptions!$B$12)*0.05,0)</f>
        <v/>
      </c>
      <c r="BQ45" s="399">
        <f>IF(AND(Projects!$G$36="Yes",BQ$3&gt;=Projects!$C$36,BQ$3&lt;Projects!$C$36+Projects!$D$36),Projects!$B$36*INDEX(Curves!$B$4:$AR$4,1,BQ$3-Projects!$C$36+1),0)-IF(AND(Projects!$G$36="Yes",BQ$3&gt;=Projects!$C$36,BQ$3&lt;Projects!$C$36+Projects!$D$36),Projects!$B$36*(Assumptions!$B$10+Assumptions!$B$11+Assumptions!$B$12)/Projects!$D$36*0.95,0)-IF(AND(Projects!$G$36="Yes",BQ$3=Projects!$C$36+Projects!$D$36-1),Projects!$B$36*(Assumptions!$B$10+Assumptions!$B$11+Assumptions!$B$12)*0.05,0)</f>
        <v/>
      </c>
      <c r="BR45" s="399">
        <f>IF(AND(Projects!$G$36="Yes",BR$3&gt;=Projects!$C$36,BR$3&lt;Projects!$C$36+Projects!$D$36),Projects!$B$36*INDEX(Curves!$B$4:$AR$4,1,BR$3-Projects!$C$36+1),0)-IF(AND(Projects!$G$36="Yes",BR$3&gt;=Projects!$C$36,BR$3&lt;Projects!$C$36+Projects!$D$36),Projects!$B$36*(Assumptions!$B$10+Assumptions!$B$11+Assumptions!$B$12)/Projects!$D$36*0.95,0)-IF(AND(Projects!$G$36="Yes",BR$3=Projects!$C$36+Projects!$D$36-1),Projects!$B$36*(Assumptions!$B$10+Assumptions!$B$11+Assumptions!$B$12)*0.05,0)</f>
        <v/>
      </c>
      <c r="BS45" s="399">
        <f>IF(AND(Projects!$G$36="Yes",BS$3&gt;=Projects!$C$36,BS$3&lt;Projects!$C$36+Projects!$D$36),Projects!$B$36*INDEX(Curves!$B$4:$AR$4,1,BS$3-Projects!$C$36+1),0)-IF(AND(Projects!$G$36="Yes",BS$3&gt;=Projects!$C$36,BS$3&lt;Projects!$C$36+Projects!$D$36),Projects!$B$36*(Assumptions!$B$10+Assumptions!$B$11+Assumptions!$B$12)/Projects!$D$36*0.95,0)-IF(AND(Projects!$G$36="Yes",BS$3=Projects!$C$36+Projects!$D$36-1),Projects!$B$36*(Assumptions!$B$10+Assumptions!$B$11+Assumptions!$B$12)*0.05,0)</f>
        <v/>
      </c>
      <c r="BT45" s="399">
        <f>IF(AND(Projects!$G$36="Yes",BT$3&gt;=Projects!$C$36,BT$3&lt;Projects!$C$36+Projects!$D$36),Projects!$B$36*INDEX(Curves!$B$4:$AR$4,1,BT$3-Projects!$C$36+1),0)-IF(AND(Projects!$G$36="Yes",BT$3&gt;=Projects!$C$36,BT$3&lt;Projects!$C$36+Projects!$D$36),Projects!$B$36*(Assumptions!$B$10+Assumptions!$B$11+Assumptions!$B$12)/Projects!$D$36*0.95,0)-IF(AND(Projects!$G$36="Yes",BT$3=Projects!$C$36+Projects!$D$36-1),Projects!$B$36*(Assumptions!$B$10+Assumptions!$B$11+Assumptions!$B$12)*0.05,0)</f>
        <v/>
      </c>
      <c r="BU45" s="399">
        <f>IF(AND(Projects!$G$36="Yes",BU$3&gt;=Projects!$C$36,BU$3&lt;Projects!$C$36+Projects!$D$36),Projects!$B$36*INDEX(Curves!$B$4:$AR$4,1,BU$3-Projects!$C$36+1),0)-IF(AND(Projects!$G$36="Yes",BU$3&gt;=Projects!$C$36,BU$3&lt;Projects!$C$36+Projects!$D$36),Projects!$B$36*(Assumptions!$B$10+Assumptions!$B$11+Assumptions!$B$12)/Projects!$D$36*0.95,0)-IF(AND(Projects!$G$36="Yes",BU$3=Projects!$C$36+Projects!$D$36-1),Projects!$B$36*(Assumptions!$B$10+Assumptions!$B$11+Assumptions!$B$12)*0.05,0)</f>
        <v/>
      </c>
      <c r="BV45" s="399">
        <f>IF(AND(Projects!$G$36="Yes",BV$3&gt;=Projects!$C$36,BV$3&lt;Projects!$C$36+Projects!$D$36),Projects!$B$36*INDEX(Curves!$B$4:$AR$4,1,BV$3-Projects!$C$36+1),0)-IF(AND(Projects!$G$36="Yes",BV$3&gt;=Projects!$C$36,BV$3&lt;Projects!$C$36+Projects!$D$36),Projects!$B$36*(Assumptions!$B$10+Assumptions!$B$11+Assumptions!$B$12)/Projects!$D$36*0.95,0)-IF(AND(Projects!$G$36="Yes",BV$3=Projects!$C$36+Projects!$D$36-1),Projects!$B$36*(Assumptions!$B$10+Assumptions!$B$11+Assumptions!$B$12)*0.05,0)</f>
        <v/>
      </c>
      <c r="BW45" s="399">
        <f>IF(AND(Projects!$G$36="Yes",BW$3&gt;=Projects!$C$36,BW$3&lt;Projects!$C$36+Projects!$D$36),Projects!$B$36*INDEX(Curves!$B$4:$AR$4,1,BW$3-Projects!$C$36+1),0)-IF(AND(Projects!$G$36="Yes",BW$3&gt;=Projects!$C$36,BW$3&lt;Projects!$C$36+Projects!$D$36),Projects!$B$36*(Assumptions!$B$10+Assumptions!$B$11+Assumptions!$B$12)/Projects!$D$36*0.95,0)-IF(AND(Projects!$G$36="Yes",BW$3=Projects!$C$36+Projects!$D$36-1),Projects!$B$36*(Assumptions!$B$10+Assumptions!$B$11+Assumptions!$B$12)*0.05,0)</f>
        <v/>
      </c>
      <c r="BX45" s="399">
        <f>IF(AND(Projects!$G$36="Yes",BX$3&gt;=Projects!$C$36,BX$3&lt;Projects!$C$36+Projects!$D$36),Projects!$B$36*INDEX(Curves!$B$4:$AR$4,1,BX$3-Projects!$C$36+1),0)-IF(AND(Projects!$G$36="Yes",BX$3&gt;=Projects!$C$36,BX$3&lt;Projects!$C$36+Projects!$D$36),Projects!$B$36*(Assumptions!$B$10+Assumptions!$B$11+Assumptions!$B$12)/Projects!$D$36*0.95,0)-IF(AND(Projects!$G$36="Yes",BX$3=Projects!$C$36+Projects!$D$36-1),Projects!$B$36*(Assumptions!$B$10+Assumptions!$B$11+Assumptions!$B$12)*0.05,0)</f>
        <v/>
      </c>
      <c r="BY45" s="399">
        <f>IF(AND(Projects!$G$36="Yes",BY$3&gt;=Projects!$C$36,BY$3&lt;Projects!$C$36+Projects!$D$36),Projects!$B$36*INDEX(Curves!$B$4:$AR$4,1,BY$3-Projects!$C$36+1),0)-IF(AND(Projects!$G$36="Yes",BY$3&gt;=Projects!$C$36,BY$3&lt;Projects!$C$36+Projects!$D$36),Projects!$B$36*(Assumptions!$B$10+Assumptions!$B$11+Assumptions!$B$12)/Projects!$D$36*0.95,0)-IF(AND(Projects!$G$36="Yes",BY$3=Projects!$C$36+Projects!$D$36-1),Projects!$B$36*(Assumptions!$B$10+Assumptions!$B$11+Assumptions!$B$12)*0.05,0)</f>
        <v/>
      </c>
      <c r="BZ45" s="399">
        <f>IF(AND(Projects!$G$36="Yes",BZ$3&gt;=Projects!$C$36,BZ$3&lt;Projects!$C$36+Projects!$D$36),Projects!$B$36*INDEX(Curves!$B$4:$AR$4,1,BZ$3-Projects!$C$36+1),0)-IF(AND(Projects!$G$36="Yes",BZ$3&gt;=Projects!$C$36,BZ$3&lt;Projects!$C$36+Projects!$D$36),Projects!$B$36*(Assumptions!$B$10+Assumptions!$B$11+Assumptions!$B$12)/Projects!$D$36*0.95,0)-IF(AND(Projects!$G$36="Yes",BZ$3=Projects!$C$36+Projects!$D$36-1),Projects!$B$36*(Assumptions!$B$10+Assumptions!$B$11+Assumptions!$B$12)*0.05,0)</f>
        <v/>
      </c>
      <c r="CA45" s="399">
        <f>IF(AND(Projects!$G$36="Yes",CA$3&gt;=Projects!$C$36,CA$3&lt;Projects!$C$36+Projects!$D$36),Projects!$B$36*INDEX(Curves!$B$4:$AR$4,1,CA$3-Projects!$C$36+1),0)-IF(AND(Projects!$G$36="Yes",CA$3&gt;=Projects!$C$36,CA$3&lt;Projects!$C$36+Projects!$D$36),Projects!$B$36*(Assumptions!$B$10+Assumptions!$B$11+Assumptions!$B$12)/Projects!$D$36*0.95,0)-IF(AND(Projects!$G$36="Yes",CA$3=Projects!$C$36+Projects!$D$36-1),Projects!$B$36*(Assumptions!$B$10+Assumptions!$B$11+Assumptions!$B$12)*0.05,0)</f>
        <v/>
      </c>
      <c r="CB45" s="399">
        <f>IF(AND(Projects!$G$36="Yes",CB$3&gt;=Projects!$C$36,CB$3&lt;Projects!$C$36+Projects!$D$36),Projects!$B$36*INDEX(Curves!$B$4:$AR$4,1,CB$3-Projects!$C$36+1),0)-IF(AND(Projects!$G$36="Yes",CB$3&gt;=Projects!$C$36,CB$3&lt;Projects!$C$36+Projects!$D$36),Projects!$B$36*(Assumptions!$B$10+Assumptions!$B$11+Assumptions!$B$12)/Projects!$D$36*0.95,0)-IF(AND(Projects!$G$36="Yes",CB$3=Projects!$C$36+Projects!$D$36-1),Projects!$B$36*(Assumptions!$B$10+Assumptions!$B$11+Assumptions!$B$12)*0.05,0)</f>
        <v/>
      </c>
      <c r="CC45" s="399">
        <f>IF(AND(Projects!$G$36="Yes",CC$3&gt;=Projects!$C$36,CC$3&lt;Projects!$C$36+Projects!$D$36),Projects!$B$36*INDEX(Curves!$B$4:$AR$4,1,CC$3-Projects!$C$36+1),0)-IF(AND(Projects!$G$36="Yes",CC$3&gt;=Projects!$C$36,CC$3&lt;Projects!$C$36+Projects!$D$36),Projects!$B$36*(Assumptions!$B$10+Assumptions!$B$11+Assumptions!$B$12)/Projects!$D$36*0.95,0)-IF(AND(Projects!$G$36="Yes",CC$3=Projects!$C$36+Projects!$D$36-1),Projects!$B$36*(Assumptions!$B$10+Assumptions!$B$11+Assumptions!$B$12)*0.05,0)</f>
        <v/>
      </c>
      <c r="CD45" s="399">
        <f>IF(AND(Projects!$G$36="Yes",CD$3&gt;=Projects!$C$36,CD$3&lt;Projects!$C$36+Projects!$D$36),Projects!$B$36*INDEX(Curves!$B$4:$AR$4,1,CD$3-Projects!$C$36+1),0)-IF(AND(Projects!$G$36="Yes",CD$3&gt;=Projects!$C$36,CD$3&lt;Projects!$C$36+Projects!$D$36),Projects!$B$36*(Assumptions!$B$10+Assumptions!$B$11+Assumptions!$B$12)/Projects!$D$36*0.95,0)-IF(AND(Projects!$G$36="Yes",CD$3=Projects!$C$36+Projects!$D$36-1),Projects!$B$36*(Assumptions!$B$10+Assumptions!$B$11+Assumptions!$B$12)*0.05,0)</f>
        <v/>
      </c>
      <c r="CE45" s="399">
        <f>IF(AND(Projects!$G$36="Yes",CE$3&gt;=Projects!$C$36,CE$3&lt;Projects!$C$36+Projects!$D$36),Projects!$B$36*INDEX(Curves!$B$4:$AR$4,1,CE$3-Projects!$C$36+1),0)-IF(AND(Projects!$G$36="Yes",CE$3&gt;=Projects!$C$36,CE$3&lt;Projects!$C$36+Projects!$D$36),Projects!$B$36*(Assumptions!$B$10+Assumptions!$B$11+Assumptions!$B$12)/Projects!$D$36*0.95,0)-IF(AND(Projects!$G$36="Yes",CE$3=Projects!$C$36+Projects!$D$36-1),Projects!$B$36*(Assumptions!$B$10+Assumptions!$B$11+Assumptions!$B$12)*0.05,0)</f>
        <v/>
      </c>
      <c r="CF45" s="399">
        <f>IF(AND(Projects!$G$36="Yes",CF$3&gt;=Projects!$C$36,CF$3&lt;Projects!$C$36+Projects!$D$36),Projects!$B$36*INDEX(Curves!$B$4:$AR$4,1,CF$3-Projects!$C$36+1),0)-IF(AND(Projects!$G$36="Yes",CF$3&gt;=Projects!$C$36,CF$3&lt;Projects!$C$36+Projects!$D$36),Projects!$B$36*(Assumptions!$B$10+Assumptions!$B$11+Assumptions!$B$12)/Projects!$D$36*0.95,0)-IF(AND(Projects!$G$36="Yes",CF$3=Projects!$C$36+Projects!$D$36-1),Projects!$B$36*(Assumptions!$B$10+Assumptions!$B$11+Assumptions!$B$12)*0.05,0)</f>
        <v/>
      </c>
      <c r="CG45" s="399">
        <f>IF(AND(Projects!$G$36="Yes",CG$3&gt;=Projects!$C$36,CG$3&lt;Projects!$C$36+Projects!$D$36),Projects!$B$36*INDEX(Curves!$B$4:$AR$4,1,CG$3-Projects!$C$36+1),0)-IF(AND(Projects!$G$36="Yes",CG$3&gt;=Projects!$C$36,CG$3&lt;Projects!$C$36+Projects!$D$36),Projects!$B$36*(Assumptions!$B$10+Assumptions!$B$11+Assumptions!$B$12)/Projects!$D$36*0.95,0)-IF(AND(Projects!$G$36="Yes",CG$3=Projects!$C$36+Projects!$D$36-1),Projects!$B$36*(Assumptions!$B$10+Assumptions!$B$11+Assumptions!$B$12)*0.05,0)</f>
        <v/>
      </c>
      <c r="CH45" s="399">
        <f>IF(AND(Projects!$G$36="Yes",CH$3&gt;=Projects!$C$36,CH$3&lt;Projects!$C$36+Projects!$D$36),Projects!$B$36*INDEX(Curves!$B$4:$AR$4,1,CH$3-Projects!$C$36+1),0)-IF(AND(Projects!$G$36="Yes",CH$3&gt;=Projects!$C$36,CH$3&lt;Projects!$C$36+Projects!$D$36),Projects!$B$36*(Assumptions!$B$10+Assumptions!$B$11+Assumptions!$B$12)/Projects!$D$36*0.95,0)-IF(AND(Projects!$G$36="Yes",CH$3=Projects!$C$36+Projects!$D$36-1),Projects!$B$36*(Assumptions!$B$10+Assumptions!$B$11+Assumptions!$B$12)*0.05,0)</f>
        <v/>
      </c>
      <c r="CI45" s="399">
        <f>IF(AND(Projects!$G$36="Yes",CI$3&gt;=Projects!$C$36,CI$3&lt;Projects!$C$36+Projects!$D$36),Projects!$B$36*INDEX(Curves!$B$4:$AR$4,1,CI$3-Projects!$C$36+1),0)-IF(AND(Projects!$G$36="Yes",CI$3&gt;=Projects!$C$36,CI$3&lt;Projects!$C$36+Projects!$D$36),Projects!$B$36*(Assumptions!$B$10+Assumptions!$B$11+Assumptions!$B$12)/Projects!$D$36*0.95,0)-IF(AND(Projects!$G$36="Yes",CI$3=Projects!$C$36+Projects!$D$36-1),Projects!$B$36*(Assumptions!$B$10+Assumptions!$B$11+Assumptions!$B$12)*0.05,0)</f>
        <v/>
      </c>
      <c r="CJ45" s="399">
        <f>IF(AND(Projects!$G$36="Yes",CJ$3&gt;=Projects!$C$36,CJ$3&lt;Projects!$C$36+Projects!$D$36),Projects!$B$36*INDEX(Curves!$B$4:$AR$4,1,CJ$3-Projects!$C$36+1),0)-IF(AND(Projects!$G$36="Yes",CJ$3&gt;=Projects!$C$36,CJ$3&lt;Projects!$C$36+Projects!$D$36),Projects!$B$36*(Assumptions!$B$10+Assumptions!$B$11+Assumptions!$B$12)/Projects!$D$36*0.95,0)-IF(AND(Projects!$G$36="Yes",CJ$3=Projects!$C$36+Projects!$D$36-1),Projects!$B$36*(Assumptions!$B$10+Assumptions!$B$11+Assumptions!$B$12)*0.05,0)</f>
        <v/>
      </c>
      <c r="CK45" s="399">
        <f>IF(AND(Projects!$G$36="Yes",CK$3&gt;=Projects!$C$36,CK$3&lt;Projects!$C$36+Projects!$D$36),Projects!$B$36*INDEX(Curves!$B$4:$AR$4,1,CK$3-Projects!$C$36+1),0)-IF(AND(Projects!$G$36="Yes",CK$3&gt;=Projects!$C$36,CK$3&lt;Projects!$C$36+Projects!$D$36),Projects!$B$36*(Assumptions!$B$10+Assumptions!$B$11+Assumptions!$B$12)/Projects!$D$36*0.95,0)-IF(AND(Projects!$G$36="Yes",CK$3=Projects!$C$36+Projects!$D$36-1),Projects!$B$36*(Assumptions!$B$10+Assumptions!$B$11+Assumptions!$B$12)*0.05,0)</f>
        <v/>
      </c>
      <c r="CL45" s="399">
        <f>IF(AND(Projects!$G$36="Yes",CL$3&gt;=Projects!$C$36,CL$3&lt;Projects!$C$36+Projects!$D$36),Projects!$B$36*INDEX(Curves!$B$4:$AR$4,1,CL$3-Projects!$C$36+1),0)-IF(AND(Projects!$G$36="Yes",CL$3&gt;=Projects!$C$36,CL$3&lt;Projects!$C$36+Projects!$D$36),Projects!$B$36*(Assumptions!$B$10+Assumptions!$B$11+Assumptions!$B$12)/Projects!$D$36*0.95,0)-IF(AND(Projects!$G$36="Yes",CL$3=Projects!$C$36+Projects!$D$36-1),Projects!$B$36*(Assumptions!$B$10+Assumptions!$B$11+Assumptions!$B$12)*0.05,0)</f>
        <v/>
      </c>
      <c r="CM45" s="399">
        <f>IF(AND(Projects!$G$36="Yes",CM$3&gt;=Projects!$C$36,CM$3&lt;Projects!$C$36+Projects!$D$36),Projects!$B$36*INDEX(Curves!$B$4:$AR$4,1,CM$3-Projects!$C$36+1),0)-IF(AND(Projects!$G$36="Yes",CM$3&gt;=Projects!$C$36,CM$3&lt;Projects!$C$36+Projects!$D$36),Projects!$B$36*(Assumptions!$B$10+Assumptions!$B$11+Assumptions!$B$12)/Projects!$D$36*0.95,0)-IF(AND(Projects!$G$36="Yes",CM$3=Projects!$C$36+Projects!$D$36-1),Projects!$B$36*(Assumptions!$B$10+Assumptions!$B$11+Assumptions!$B$12)*0.05,0)</f>
        <v/>
      </c>
      <c r="CN45" s="399">
        <f>IF(AND(Projects!$G$36="Yes",CN$3&gt;=Projects!$C$36,CN$3&lt;Projects!$C$36+Projects!$D$36),Projects!$B$36*INDEX(Curves!$B$4:$AR$4,1,CN$3-Projects!$C$36+1),0)-IF(AND(Projects!$G$36="Yes",CN$3&gt;=Projects!$C$36,CN$3&lt;Projects!$C$36+Projects!$D$36),Projects!$B$36*(Assumptions!$B$10+Assumptions!$B$11+Assumptions!$B$12)/Projects!$D$36*0.95,0)-IF(AND(Projects!$G$36="Yes",CN$3=Projects!$C$36+Projects!$D$36-1),Projects!$B$36*(Assumptions!$B$10+Assumptions!$B$11+Assumptions!$B$12)*0.05,0)</f>
        <v/>
      </c>
      <c r="CO45" s="399">
        <f>IF(AND(Projects!$G$36="Yes",CO$3&gt;=Projects!$C$36,CO$3&lt;Projects!$C$36+Projects!$D$36),Projects!$B$36*INDEX(Curves!$B$4:$AR$4,1,CO$3-Projects!$C$36+1),0)-IF(AND(Projects!$G$36="Yes",CO$3&gt;=Projects!$C$36,CO$3&lt;Projects!$C$36+Projects!$D$36),Projects!$B$36*(Assumptions!$B$10+Assumptions!$B$11+Assumptions!$B$12)/Projects!$D$36*0.95,0)-IF(AND(Projects!$G$36="Yes",CO$3=Projects!$C$36+Projects!$D$36-1),Projects!$B$36*(Assumptions!$B$10+Assumptions!$B$11+Assumptions!$B$12)*0.05,0)</f>
        <v/>
      </c>
      <c r="CP45" s="399">
        <f>IF(AND(Projects!$G$36="Yes",CP$3&gt;=Projects!$C$36,CP$3&lt;Projects!$C$36+Projects!$D$36),Projects!$B$36*INDEX(Curves!$B$4:$AR$4,1,CP$3-Projects!$C$36+1),0)-IF(AND(Projects!$G$36="Yes",CP$3&gt;=Projects!$C$36,CP$3&lt;Projects!$C$36+Projects!$D$36),Projects!$B$36*(Assumptions!$B$10+Assumptions!$B$11+Assumptions!$B$12)/Projects!$D$36*0.95,0)-IF(AND(Projects!$G$36="Yes",CP$3=Projects!$C$36+Projects!$D$36-1),Projects!$B$36*(Assumptions!$B$10+Assumptions!$B$11+Assumptions!$B$12)*0.05,0)</f>
        <v/>
      </c>
      <c r="CQ45" s="399">
        <f>IF(AND(Projects!$G$36="Yes",CQ$3&gt;=Projects!$C$36,CQ$3&lt;Projects!$C$36+Projects!$D$36),Projects!$B$36*INDEX(Curves!$B$4:$AR$4,1,CQ$3-Projects!$C$36+1),0)-IF(AND(Projects!$G$36="Yes",CQ$3&gt;=Projects!$C$36,CQ$3&lt;Projects!$C$36+Projects!$D$36),Projects!$B$36*(Assumptions!$B$10+Assumptions!$B$11+Assumptions!$B$12)/Projects!$D$36*0.95,0)-IF(AND(Projects!$G$36="Yes",CQ$3=Projects!$C$36+Projects!$D$36-1),Projects!$B$36*(Assumptions!$B$10+Assumptions!$B$11+Assumptions!$B$12)*0.05,0)</f>
        <v/>
      </c>
      <c r="CR45" s="399">
        <f>IF(AND(Projects!$G$36="Yes",CR$3&gt;=Projects!$C$36,CR$3&lt;Projects!$C$36+Projects!$D$36),Projects!$B$36*INDEX(Curves!$B$4:$AR$4,1,CR$3-Projects!$C$36+1),0)-IF(AND(Projects!$G$36="Yes",CR$3&gt;=Projects!$C$36,CR$3&lt;Projects!$C$36+Projects!$D$36),Projects!$B$36*(Assumptions!$B$10+Assumptions!$B$11+Assumptions!$B$12)/Projects!$D$36*0.95,0)-IF(AND(Projects!$G$36="Yes",CR$3=Projects!$C$36+Projects!$D$36-1),Projects!$B$36*(Assumptions!$B$10+Assumptions!$B$11+Assumptions!$B$12)*0.05,0)</f>
        <v/>
      </c>
      <c r="CS45" s="399">
        <f>IF(AND(Projects!$G$36="Yes",CS$3&gt;=Projects!$C$36,CS$3&lt;Projects!$C$36+Projects!$D$36),Projects!$B$36*INDEX(Curves!$B$4:$AR$4,1,CS$3-Projects!$C$36+1),0)-IF(AND(Projects!$G$36="Yes",CS$3&gt;=Projects!$C$36,CS$3&lt;Projects!$C$36+Projects!$D$36),Projects!$B$36*(Assumptions!$B$10+Assumptions!$B$11+Assumptions!$B$12)/Projects!$D$36*0.95,0)-IF(AND(Projects!$G$36="Yes",CS$3=Projects!$C$36+Projects!$D$36-1),Projects!$B$36*(Assumptions!$B$10+Assumptions!$B$11+Assumptions!$B$12)*0.05,0)</f>
        <v/>
      </c>
      <c r="CT45" s="399">
        <f>IF(AND(Projects!$G$36="Yes",CT$3&gt;=Projects!$C$36,CT$3&lt;Projects!$C$36+Projects!$D$36),Projects!$B$36*INDEX(Curves!$B$4:$AR$4,1,CT$3-Projects!$C$36+1),0)-IF(AND(Projects!$G$36="Yes",CT$3&gt;=Projects!$C$36,CT$3&lt;Projects!$C$36+Projects!$D$36),Projects!$B$36*(Assumptions!$B$10+Assumptions!$B$11+Assumptions!$B$12)/Projects!$D$36*0.95,0)-IF(AND(Projects!$G$36="Yes",CT$3=Projects!$C$36+Projects!$D$36-1),Projects!$B$36*(Assumptions!$B$10+Assumptions!$B$11+Assumptions!$B$12)*0.05,0)</f>
        <v/>
      </c>
      <c r="CU45" s="399">
        <f>IF(AND(Projects!$G$36="Yes",CU$3&gt;=Projects!$C$36,CU$3&lt;Projects!$C$36+Projects!$D$36),Projects!$B$36*INDEX(Curves!$B$4:$AR$4,1,CU$3-Projects!$C$36+1),0)-IF(AND(Projects!$G$36="Yes",CU$3&gt;=Projects!$C$36,CU$3&lt;Projects!$C$36+Projects!$D$36),Projects!$B$36*(Assumptions!$B$10+Assumptions!$B$11+Assumptions!$B$12)/Projects!$D$36*0.95,0)-IF(AND(Projects!$G$36="Yes",CU$3=Projects!$C$36+Projects!$D$36-1),Projects!$B$36*(Assumptions!$B$10+Assumptions!$B$11+Assumptions!$B$12)*0.05,0)</f>
        <v/>
      </c>
      <c r="CV45" s="399">
        <f>IF(AND(Projects!$G$36="Yes",CV$3&gt;=Projects!$C$36,CV$3&lt;Projects!$C$36+Projects!$D$36),Projects!$B$36*INDEX(Curves!$B$4:$AR$4,1,CV$3-Projects!$C$36+1),0)-IF(AND(Projects!$G$36="Yes",CV$3&gt;=Projects!$C$36,CV$3&lt;Projects!$C$36+Projects!$D$36),Projects!$B$36*(Assumptions!$B$10+Assumptions!$B$11+Assumptions!$B$12)/Projects!$D$36*0.95,0)-IF(AND(Projects!$G$36="Yes",CV$3=Projects!$C$36+Projects!$D$36-1),Projects!$B$36*(Assumptions!$B$10+Assumptions!$B$11+Assumptions!$B$12)*0.05,0)</f>
        <v/>
      </c>
      <c r="CW45" s="399">
        <f>IF(AND(Projects!$G$36="Yes",CW$3&gt;=Projects!$C$36,CW$3&lt;Projects!$C$36+Projects!$D$36),Projects!$B$36*INDEX(Curves!$B$4:$AR$4,1,CW$3-Projects!$C$36+1),0)-IF(AND(Projects!$G$36="Yes",CW$3&gt;=Projects!$C$36,CW$3&lt;Projects!$C$36+Projects!$D$36),Projects!$B$36*(Assumptions!$B$10+Assumptions!$B$11+Assumptions!$B$12)/Projects!$D$36*0.95,0)-IF(AND(Projects!$G$36="Yes",CW$3=Projects!$C$36+Projects!$D$36-1),Projects!$B$36*(Assumptions!$B$10+Assumptions!$B$11+Assumptions!$B$12)*0.05,0)</f>
        <v/>
      </c>
      <c r="CX45" s="399">
        <f>IF(AND(Projects!$G$36="Yes",CX$3&gt;=Projects!$C$36,CX$3&lt;Projects!$C$36+Projects!$D$36),Projects!$B$36*INDEX(Curves!$B$4:$AR$4,1,CX$3-Projects!$C$36+1),0)-IF(AND(Projects!$G$36="Yes",CX$3&gt;=Projects!$C$36,CX$3&lt;Projects!$C$36+Projects!$D$36),Projects!$B$36*(Assumptions!$B$10+Assumptions!$B$11+Assumptions!$B$12)/Projects!$D$36*0.95,0)-IF(AND(Projects!$G$36="Yes",CX$3=Projects!$C$36+Projects!$D$36-1),Projects!$B$36*(Assumptions!$B$10+Assumptions!$B$11+Assumptions!$B$12)*0.05,0)</f>
        <v/>
      </c>
      <c r="CY45" s="399">
        <f>IF(AND(Projects!$G$36="Yes",CY$3&gt;=Projects!$C$36,CY$3&lt;Projects!$C$36+Projects!$D$36),Projects!$B$36*INDEX(Curves!$B$4:$AR$4,1,CY$3-Projects!$C$36+1),0)-IF(AND(Projects!$G$36="Yes",CY$3&gt;=Projects!$C$36,CY$3&lt;Projects!$C$36+Projects!$D$36),Projects!$B$36*(Assumptions!$B$10+Assumptions!$B$11+Assumptions!$B$12)/Projects!$D$36*0.95,0)-IF(AND(Projects!$G$36="Yes",CY$3=Projects!$C$36+Projects!$D$36-1),Projects!$B$36*(Assumptions!$B$10+Assumptions!$B$11+Assumptions!$B$12)*0.05,0)</f>
        <v/>
      </c>
      <c r="CZ45" s="399">
        <f>IF(AND(Projects!$G$36="Yes",CZ$3&gt;=Projects!$C$36,CZ$3&lt;Projects!$C$36+Projects!$D$36),Projects!$B$36*INDEX(Curves!$B$4:$AR$4,1,CZ$3-Projects!$C$36+1),0)-IF(AND(Projects!$G$36="Yes",CZ$3&gt;=Projects!$C$36,CZ$3&lt;Projects!$C$36+Projects!$D$36),Projects!$B$36*(Assumptions!$B$10+Assumptions!$B$11+Assumptions!$B$12)/Projects!$D$36*0.95,0)-IF(AND(Projects!$G$36="Yes",CZ$3=Projects!$C$36+Projects!$D$36-1),Projects!$B$36*(Assumptions!$B$10+Assumptions!$B$11+Assumptions!$B$12)*0.05,0)</f>
        <v/>
      </c>
      <c r="DA45" s="399">
        <f>IF(AND(Projects!$G$36="Yes",DA$3&gt;=Projects!$C$36,DA$3&lt;Projects!$C$36+Projects!$D$36),Projects!$B$36*INDEX(Curves!$B$4:$AR$4,1,DA$3-Projects!$C$36+1),0)-IF(AND(Projects!$G$36="Yes",DA$3&gt;=Projects!$C$36,DA$3&lt;Projects!$C$36+Projects!$D$36),Projects!$B$36*(Assumptions!$B$10+Assumptions!$B$11+Assumptions!$B$12)/Projects!$D$36*0.95,0)-IF(AND(Projects!$G$36="Yes",DA$3=Projects!$C$36+Projects!$D$36-1),Projects!$B$36*(Assumptions!$B$10+Assumptions!$B$11+Assumptions!$B$12)*0.05,0)</f>
        <v/>
      </c>
      <c r="DB45" s="399">
        <f>IF(AND(Projects!$G$36="Yes",DB$3&gt;=Projects!$C$36,DB$3&lt;Projects!$C$36+Projects!$D$36),Projects!$B$36*INDEX(Curves!$B$4:$AR$4,1,DB$3-Projects!$C$36+1),0)-IF(AND(Projects!$G$36="Yes",DB$3&gt;=Projects!$C$36,DB$3&lt;Projects!$C$36+Projects!$D$36),Projects!$B$36*(Assumptions!$B$10+Assumptions!$B$11+Assumptions!$B$12)/Projects!$D$36*0.95,0)-IF(AND(Projects!$G$36="Yes",DB$3=Projects!$C$36+Projects!$D$36-1),Projects!$B$36*(Assumptions!$B$10+Assumptions!$B$11+Assumptions!$B$12)*0.05,0)</f>
        <v/>
      </c>
      <c r="DC45" s="399">
        <f>IF(AND(Projects!$G$36="Yes",DC$3&gt;=Projects!$C$36,DC$3&lt;Projects!$C$36+Projects!$D$36),Projects!$B$36*INDEX(Curves!$B$4:$AR$4,1,DC$3-Projects!$C$36+1),0)-IF(AND(Projects!$G$36="Yes",DC$3&gt;=Projects!$C$36,DC$3&lt;Projects!$C$36+Projects!$D$36),Projects!$B$36*(Assumptions!$B$10+Assumptions!$B$11+Assumptions!$B$12)/Projects!$D$36*0.95,0)-IF(AND(Projects!$G$36="Yes",DC$3=Projects!$C$36+Projects!$D$36-1),Projects!$B$36*(Assumptions!$B$10+Assumptions!$B$11+Assumptions!$B$12)*0.05,0)</f>
        <v/>
      </c>
      <c r="DD45" s="399">
        <f>IF(AND(Projects!$G$36="Yes",DD$3&gt;=Projects!$C$36,DD$3&lt;Projects!$C$36+Projects!$D$36),Projects!$B$36*INDEX(Curves!$B$4:$AR$4,1,DD$3-Projects!$C$36+1),0)-IF(AND(Projects!$G$36="Yes",DD$3&gt;=Projects!$C$36,DD$3&lt;Projects!$C$36+Projects!$D$36),Projects!$B$36*(Assumptions!$B$10+Assumptions!$B$11+Assumptions!$B$12)/Projects!$D$36*0.95,0)-IF(AND(Projects!$G$36="Yes",DD$3=Projects!$C$36+Projects!$D$36-1),Projects!$B$36*(Assumptions!$B$10+Assumptions!$B$11+Assumptions!$B$12)*0.05,0)</f>
        <v/>
      </c>
      <c r="DE45" s="399">
        <f>IF(AND(Projects!$G$36="Yes",DE$3&gt;=Projects!$C$36,DE$3&lt;Projects!$C$36+Projects!$D$36),Projects!$B$36*INDEX(Curves!$B$4:$AR$4,1,DE$3-Projects!$C$36+1),0)-IF(AND(Projects!$G$36="Yes",DE$3&gt;=Projects!$C$36,DE$3&lt;Projects!$C$36+Projects!$D$36),Projects!$B$36*(Assumptions!$B$10+Assumptions!$B$11+Assumptions!$B$12)/Projects!$D$36*0.95,0)-IF(AND(Projects!$G$36="Yes",DE$3=Projects!$C$36+Projects!$D$36-1),Projects!$B$36*(Assumptions!$B$10+Assumptions!$B$11+Assumptions!$B$12)*0.05,0)</f>
        <v/>
      </c>
    </row>
    <row r="46" hidden="1" outlineLevel="1" ht="15" customFormat="1" customHeight="1" s="380">
      <c r="A46" s="407" t="inlineStr">
        <is>
          <t>BD-21</t>
        </is>
      </c>
      <c r="B46" s="399" t="n">
        <v>0</v>
      </c>
      <c r="C46" s="399" t="n">
        <v>0</v>
      </c>
      <c r="D46" s="399" t="n">
        <v>0</v>
      </c>
      <c r="E46" s="399" t="n">
        <v>0</v>
      </c>
      <c r="F46" s="399">
        <f>IF(AND(Projects!$G$37="Yes",F$3&gt;=Projects!$C$37,F$3&lt;Projects!$C$37+Projects!$D$37),Projects!$B$37*INDEX(Curves!$B$4:$AR$4,1,F$3-Projects!$C$37+1),0)-IF(AND(Projects!$G$37="Yes",F$3&gt;=Projects!$C$37,F$3&lt;Projects!$C$37+Projects!$D$37),Projects!$B$37*(Assumptions!$B$10+Assumptions!$B$11+Assumptions!$B$12)/Projects!$D$37*0.95,0)-IF(AND(Projects!$G$37="Yes",F$3=Projects!$C$37+Projects!$D$37-1),Projects!$B$37*(Assumptions!$B$10+Assumptions!$B$11+Assumptions!$B$12)*0.05,0)</f>
        <v/>
      </c>
      <c r="G46" s="399">
        <f>IF(AND(Projects!$G$37="Yes",G$3&gt;=Projects!$C$37,G$3&lt;Projects!$C$37+Projects!$D$37),Projects!$B$37*INDEX(Curves!$B$4:$AR$4,1,G$3-Projects!$C$37+1),0)-IF(AND(Projects!$G$37="Yes",G$3&gt;=Projects!$C$37,G$3&lt;Projects!$C$37+Projects!$D$37),Projects!$B$37*(Assumptions!$B$10+Assumptions!$B$11+Assumptions!$B$12)/Projects!$D$37*0.95,0)-IF(AND(Projects!$G$37="Yes",G$3=Projects!$C$37+Projects!$D$37-1),Projects!$B$37*(Assumptions!$B$10+Assumptions!$B$11+Assumptions!$B$12)*0.05,0)</f>
        <v/>
      </c>
      <c r="H46" s="399">
        <f>IF(AND(Projects!$G$37="Yes",H$3&gt;=Projects!$C$37,H$3&lt;Projects!$C$37+Projects!$D$37),Projects!$B$37*INDEX(Curves!$B$4:$AR$4,1,H$3-Projects!$C$37+1),0)-IF(AND(Projects!$G$37="Yes",H$3&gt;=Projects!$C$37,H$3&lt;Projects!$C$37+Projects!$D$37),Projects!$B$37*(Assumptions!$B$10+Assumptions!$B$11+Assumptions!$B$12)/Projects!$D$37*0.95,0)-IF(AND(Projects!$G$37="Yes",H$3=Projects!$C$37+Projects!$D$37-1),Projects!$B$37*(Assumptions!$B$10+Assumptions!$B$11+Assumptions!$B$12)*0.05,0)</f>
        <v/>
      </c>
      <c r="I46" s="399">
        <f>IF(AND(Projects!$G$37="Yes",I$3&gt;=Projects!$C$37,I$3&lt;Projects!$C$37+Projects!$D$37),Projects!$B$37*INDEX(Curves!$B$4:$AR$4,1,I$3-Projects!$C$37+1),0)-IF(AND(Projects!$G$37="Yes",I$3&gt;=Projects!$C$37,I$3&lt;Projects!$C$37+Projects!$D$37),Projects!$B$37*(Assumptions!$B$10+Assumptions!$B$11+Assumptions!$B$12)/Projects!$D$37*0.95,0)-IF(AND(Projects!$G$37="Yes",I$3=Projects!$C$37+Projects!$D$37-1),Projects!$B$37*(Assumptions!$B$10+Assumptions!$B$11+Assumptions!$B$12)*0.05,0)</f>
        <v/>
      </c>
      <c r="J46" s="399">
        <f>IF(AND(Projects!$G$37="Yes",J$3&gt;=Projects!$C$37,J$3&lt;Projects!$C$37+Projects!$D$37),Projects!$B$37*INDEX(Curves!$B$4:$AR$4,1,J$3-Projects!$C$37+1),0)-IF(AND(Projects!$G$37="Yes",J$3&gt;=Projects!$C$37,J$3&lt;Projects!$C$37+Projects!$D$37),Projects!$B$37*(Assumptions!$B$10+Assumptions!$B$11+Assumptions!$B$12)/Projects!$D$37*0.95,0)-IF(AND(Projects!$G$37="Yes",J$3=Projects!$C$37+Projects!$D$37-1),Projects!$B$37*(Assumptions!$B$10+Assumptions!$B$11+Assumptions!$B$12)*0.05,0)</f>
        <v/>
      </c>
      <c r="K46" s="399">
        <f>IF(AND(Projects!$G$37="Yes",K$3&gt;=Projects!$C$37,K$3&lt;Projects!$C$37+Projects!$D$37),Projects!$B$37*INDEX(Curves!$B$4:$AR$4,1,K$3-Projects!$C$37+1),0)-IF(AND(Projects!$G$37="Yes",K$3&gt;=Projects!$C$37,K$3&lt;Projects!$C$37+Projects!$D$37),Projects!$B$37*(Assumptions!$B$10+Assumptions!$B$11+Assumptions!$B$12)/Projects!$D$37*0.95,0)-IF(AND(Projects!$G$37="Yes",K$3=Projects!$C$37+Projects!$D$37-1),Projects!$B$37*(Assumptions!$B$10+Assumptions!$B$11+Assumptions!$B$12)*0.05,0)</f>
        <v/>
      </c>
      <c r="L46" s="399">
        <f>IF(AND(Projects!$G$37="Yes",L$3&gt;=Projects!$C$37,L$3&lt;Projects!$C$37+Projects!$D$37),Projects!$B$37*INDEX(Curves!$B$4:$AR$4,1,L$3-Projects!$C$37+1),0)-IF(AND(Projects!$G$37="Yes",L$3&gt;=Projects!$C$37,L$3&lt;Projects!$C$37+Projects!$D$37),Projects!$B$37*(Assumptions!$B$10+Assumptions!$B$11+Assumptions!$B$12)/Projects!$D$37*0.95,0)-IF(AND(Projects!$G$37="Yes",L$3=Projects!$C$37+Projects!$D$37-1),Projects!$B$37*(Assumptions!$B$10+Assumptions!$B$11+Assumptions!$B$12)*0.05,0)</f>
        <v/>
      </c>
      <c r="M46" s="399">
        <f>IF(AND(Projects!$G$37="Yes",M$3&gt;=Projects!$C$37,M$3&lt;Projects!$C$37+Projects!$D$37),Projects!$B$37*INDEX(Curves!$B$4:$AR$4,1,M$3-Projects!$C$37+1),0)-IF(AND(Projects!$G$37="Yes",M$3&gt;=Projects!$C$37,M$3&lt;Projects!$C$37+Projects!$D$37),Projects!$B$37*(Assumptions!$B$10+Assumptions!$B$11+Assumptions!$B$12)/Projects!$D$37*0.95,0)-IF(AND(Projects!$G$37="Yes",M$3=Projects!$C$37+Projects!$D$37-1),Projects!$B$37*(Assumptions!$B$10+Assumptions!$B$11+Assumptions!$B$12)*0.05,0)</f>
        <v/>
      </c>
      <c r="N46" s="399">
        <f>IF(AND(Projects!$G$37="Yes",N$3&gt;=Projects!$C$37,N$3&lt;Projects!$C$37+Projects!$D$37),Projects!$B$37*INDEX(Curves!$B$4:$AR$4,1,N$3-Projects!$C$37+1),0)-IF(AND(Projects!$G$37="Yes",N$3&gt;=Projects!$C$37,N$3&lt;Projects!$C$37+Projects!$D$37),Projects!$B$37*(Assumptions!$B$10+Assumptions!$B$11+Assumptions!$B$12)/Projects!$D$37*0.95,0)-IF(AND(Projects!$G$37="Yes",N$3=Projects!$C$37+Projects!$D$37-1),Projects!$B$37*(Assumptions!$B$10+Assumptions!$B$11+Assumptions!$B$12)*0.05,0)</f>
        <v/>
      </c>
      <c r="O46" s="399">
        <f>IF(AND(Projects!$G$37="Yes",O$3&gt;=Projects!$C$37,O$3&lt;Projects!$C$37+Projects!$D$37),Projects!$B$37*INDEX(Curves!$B$4:$AR$4,1,O$3-Projects!$C$37+1),0)-IF(AND(Projects!$G$37="Yes",O$3&gt;=Projects!$C$37,O$3&lt;Projects!$C$37+Projects!$D$37),Projects!$B$37*(Assumptions!$B$10+Assumptions!$B$11+Assumptions!$B$12)/Projects!$D$37*0.95,0)-IF(AND(Projects!$G$37="Yes",O$3=Projects!$C$37+Projects!$D$37-1),Projects!$B$37*(Assumptions!$B$10+Assumptions!$B$11+Assumptions!$B$12)*0.05,0)</f>
        <v/>
      </c>
      <c r="P46" s="399">
        <f>IF(AND(Projects!$G$37="Yes",P$3&gt;=Projects!$C$37,P$3&lt;Projects!$C$37+Projects!$D$37),Projects!$B$37*INDEX(Curves!$B$4:$AR$4,1,P$3-Projects!$C$37+1),0)-IF(AND(Projects!$G$37="Yes",P$3&gt;=Projects!$C$37,P$3&lt;Projects!$C$37+Projects!$D$37),Projects!$B$37*(Assumptions!$B$10+Assumptions!$B$11+Assumptions!$B$12)/Projects!$D$37*0.95,0)-IF(AND(Projects!$G$37="Yes",P$3=Projects!$C$37+Projects!$D$37-1),Projects!$B$37*(Assumptions!$B$10+Assumptions!$B$11+Assumptions!$B$12)*0.05,0)</f>
        <v/>
      </c>
      <c r="Q46" s="399">
        <f>IF(AND(Projects!$G$37="Yes",Q$3&gt;=Projects!$C$37,Q$3&lt;Projects!$C$37+Projects!$D$37),Projects!$B$37*INDEX(Curves!$B$4:$AR$4,1,Q$3-Projects!$C$37+1),0)-IF(AND(Projects!$G$37="Yes",Q$3&gt;=Projects!$C$37,Q$3&lt;Projects!$C$37+Projects!$D$37),Projects!$B$37*(Assumptions!$B$10+Assumptions!$B$11+Assumptions!$B$12)/Projects!$D$37*0.95,0)-IF(AND(Projects!$G$37="Yes",Q$3=Projects!$C$37+Projects!$D$37-1),Projects!$B$37*(Assumptions!$B$10+Assumptions!$B$11+Assumptions!$B$12)*0.05,0)</f>
        <v/>
      </c>
      <c r="R46" s="399">
        <f>IF(AND(Projects!$G$37="Yes",R$3&gt;=Projects!$C$37,R$3&lt;Projects!$C$37+Projects!$D$37),Projects!$B$37*INDEX(Curves!$B$4:$AR$4,1,R$3-Projects!$C$37+1),0)-IF(AND(Projects!$G$37="Yes",R$3&gt;=Projects!$C$37,R$3&lt;Projects!$C$37+Projects!$D$37),Projects!$B$37*(Assumptions!$B$10+Assumptions!$B$11+Assumptions!$B$12)/Projects!$D$37*0.95,0)-IF(AND(Projects!$G$37="Yes",R$3=Projects!$C$37+Projects!$D$37-1),Projects!$B$37*(Assumptions!$B$10+Assumptions!$B$11+Assumptions!$B$12)*0.05,0)</f>
        <v/>
      </c>
      <c r="S46" s="399">
        <f>IF(AND(Projects!$G$37="Yes",S$3&gt;=Projects!$C$37,S$3&lt;Projects!$C$37+Projects!$D$37),Projects!$B$37*INDEX(Curves!$B$4:$AR$4,1,S$3-Projects!$C$37+1),0)-IF(AND(Projects!$G$37="Yes",S$3&gt;=Projects!$C$37,S$3&lt;Projects!$C$37+Projects!$D$37),Projects!$B$37*(Assumptions!$B$10+Assumptions!$B$11+Assumptions!$B$12)/Projects!$D$37*0.95,0)-IF(AND(Projects!$G$37="Yes",S$3=Projects!$C$37+Projects!$D$37-1),Projects!$B$37*(Assumptions!$B$10+Assumptions!$B$11+Assumptions!$B$12)*0.05,0)</f>
        <v/>
      </c>
      <c r="T46" s="399">
        <f>IF(AND(Projects!$G$37="Yes",T$3&gt;=Projects!$C$37,T$3&lt;Projects!$C$37+Projects!$D$37),Projects!$B$37*INDEX(Curves!$B$4:$AR$4,1,T$3-Projects!$C$37+1),0)-IF(AND(Projects!$G$37="Yes",T$3&gt;=Projects!$C$37,T$3&lt;Projects!$C$37+Projects!$D$37),Projects!$B$37*(Assumptions!$B$10+Assumptions!$B$11+Assumptions!$B$12)/Projects!$D$37*0.95,0)-IF(AND(Projects!$G$37="Yes",T$3=Projects!$C$37+Projects!$D$37-1),Projects!$B$37*(Assumptions!$B$10+Assumptions!$B$11+Assumptions!$B$12)*0.05,0)</f>
        <v/>
      </c>
      <c r="U46" s="399">
        <f>IF(AND(Projects!$G$37="Yes",U$3&gt;=Projects!$C$37,U$3&lt;Projects!$C$37+Projects!$D$37),Projects!$B$37*INDEX(Curves!$B$4:$AR$4,1,U$3-Projects!$C$37+1),0)-IF(AND(Projects!$G$37="Yes",U$3&gt;=Projects!$C$37,U$3&lt;Projects!$C$37+Projects!$D$37),Projects!$B$37*(Assumptions!$B$10+Assumptions!$B$11+Assumptions!$B$12)/Projects!$D$37*0.95,0)-IF(AND(Projects!$G$37="Yes",U$3=Projects!$C$37+Projects!$D$37-1),Projects!$B$37*(Assumptions!$B$10+Assumptions!$B$11+Assumptions!$B$12)*0.05,0)</f>
        <v/>
      </c>
      <c r="V46" s="399">
        <f>IF(AND(Projects!$G$37="Yes",V$3&gt;=Projects!$C$37,V$3&lt;Projects!$C$37+Projects!$D$37),Projects!$B$37*INDEX(Curves!$B$4:$AR$4,1,V$3-Projects!$C$37+1),0)-IF(AND(Projects!$G$37="Yes",V$3&gt;=Projects!$C$37,V$3&lt;Projects!$C$37+Projects!$D$37),Projects!$B$37*(Assumptions!$B$10+Assumptions!$B$11+Assumptions!$B$12)/Projects!$D$37*0.95,0)-IF(AND(Projects!$G$37="Yes",V$3=Projects!$C$37+Projects!$D$37-1),Projects!$B$37*(Assumptions!$B$10+Assumptions!$B$11+Assumptions!$B$12)*0.05,0)</f>
        <v/>
      </c>
      <c r="W46" s="399">
        <f>IF(AND(Projects!$G$37="Yes",W$3&gt;=Projects!$C$37,W$3&lt;Projects!$C$37+Projects!$D$37),Projects!$B$37*INDEX(Curves!$B$4:$AR$4,1,W$3-Projects!$C$37+1),0)-IF(AND(Projects!$G$37="Yes",W$3&gt;=Projects!$C$37,W$3&lt;Projects!$C$37+Projects!$D$37),Projects!$B$37*(Assumptions!$B$10+Assumptions!$B$11+Assumptions!$B$12)/Projects!$D$37*0.95,0)-IF(AND(Projects!$G$37="Yes",W$3=Projects!$C$37+Projects!$D$37-1),Projects!$B$37*(Assumptions!$B$10+Assumptions!$B$11+Assumptions!$B$12)*0.05,0)</f>
        <v/>
      </c>
      <c r="X46" s="399">
        <f>IF(AND(Projects!$G$37="Yes",X$3&gt;=Projects!$C$37,X$3&lt;Projects!$C$37+Projects!$D$37),Projects!$B$37*INDEX(Curves!$B$4:$AR$4,1,X$3-Projects!$C$37+1),0)-IF(AND(Projects!$G$37="Yes",X$3&gt;=Projects!$C$37,X$3&lt;Projects!$C$37+Projects!$D$37),Projects!$B$37*(Assumptions!$B$10+Assumptions!$B$11+Assumptions!$B$12)/Projects!$D$37*0.95,0)-IF(AND(Projects!$G$37="Yes",X$3=Projects!$C$37+Projects!$D$37-1),Projects!$B$37*(Assumptions!$B$10+Assumptions!$B$11+Assumptions!$B$12)*0.05,0)</f>
        <v/>
      </c>
      <c r="Y46" s="399">
        <f>IF(AND(Projects!$G$37="Yes",Y$3&gt;=Projects!$C$37,Y$3&lt;Projects!$C$37+Projects!$D$37),Projects!$B$37*INDEX(Curves!$B$4:$AR$4,1,Y$3-Projects!$C$37+1),0)-IF(AND(Projects!$G$37="Yes",Y$3&gt;=Projects!$C$37,Y$3&lt;Projects!$C$37+Projects!$D$37),Projects!$B$37*(Assumptions!$B$10+Assumptions!$B$11+Assumptions!$B$12)/Projects!$D$37*0.95,0)-IF(AND(Projects!$G$37="Yes",Y$3=Projects!$C$37+Projects!$D$37-1),Projects!$B$37*(Assumptions!$B$10+Assumptions!$B$11+Assumptions!$B$12)*0.05,0)</f>
        <v/>
      </c>
      <c r="Z46" s="399">
        <f>IF(AND(Projects!$G$37="Yes",Z$3&gt;=Projects!$C$37,Z$3&lt;Projects!$C$37+Projects!$D$37),Projects!$B$37*INDEX(Curves!$B$4:$AR$4,1,Z$3-Projects!$C$37+1),0)-IF(AND(Projects!$G$37="Yes",Z$3&gt;=Projects!$C$37,Z$3&lt;Projects!$C$37+Projects!$D$37),Projects!$B$37*(Assumptions!$B$10+Assumptions!$B$11+Assumptions!$B$12)/Projects!$D$37*0.95,0)-IF(AND(Projects!$G$37="Yes",Z$3=Projects!$C$37+Projects!$D$37-1),Projects!$B$37*(Assumptions!$B$10+Assumptions!$B$11+Assumptions!$B$12)*0.05,0)</f>
        <v/>
      </c>
      <c r="AA46" s="399">
        <f>IF(AND(Projects!$G$37="Yes",AA$3&gt;=Projects!$C$37,AA$3&lt;Projects!$C$37+Projects!$D$37),Projects!$B$37*INDEX(Curves!$B$4:$AR$4,1,AA$3-Projects!$C$37+1),0)-IF(AND(Projects!$G$37="Yes",AA$3&gt;=Projects!$C$37,AA$3&lt;Projects!$C$37+Projects!$D$37),Projects!$B$37*(Assumptions!$B$10+Assumptions!$B$11+Assumptions!$B$12)/Projects!$D$37*0.95,0)-IF(AND(Projects!$G$37="Yes",AA$3=Projects!$C$37+Projects!$D$37-1),Projects!$B$37*(Assumptions!$B$10+Assumptions!$B$11+Assumptions!$B$12)*0.05,0)</f>
        <v/>
      </c>
      <c r="AB46" s="399">
        <f>IF(AND(Projects!$G$37="Yes",AB$3&gt;=Projects!$C$37,AB$3&lt;Projects!$C$37+Projects!$D$37),Projects!$B$37*INDEX(Curves!$B$4:$AR$4,1,AB$3-Projects!$C$37+1),0)-IF(AND(Projects!$G$37="Yes",AB$3&gt;=Projects!$C$37,AB$3&lt;Projects!$C$37+Projects!$D$37),Projects!$B$37*(Assumptions!$B$10+Assumptions!$B$11+Assumptions!$B$12)/Projects!$D$37*0.95,0)-IF(AND(Projects!$G$37="Yes",AB$3=Projects!$C$37+Projects!$D$37-1),Projects!$B$37*(Assumptions!$B$10+Assumptions!$B$11+Assumptions!$B$12)*0.05,0)</f>
        <v/>
      </c>
      <c r="AC46" s="399">
        <f>IF(AND(Projects!$G$37="Yes",AC$3&gt;=Projects!$C$37,AC$3&lt;Projects!$C$37+Projects!$D$37),Projects!$B$37*INDEX(Curves!$B$4:$AR$4,1,AC$3-Projects!$C$37+1),0)-IF(AND(Projects!$G$37="Yes",AC$3&gt;=Projects!$C$37,AC$3&lt;Projects!$C$37+Projects!$D$37),Projects!$B$37*(Assumptions!$B$10+Assumptions!$B$11+Assumptions!$B$12)/Projects!$D$37*0.95,0)-IF(AND(Projects!$G$37="Yes",AC$3=Projects!$C$37+Projects!$D$37-1),Projects!$B$37*(Assumptions!$B$10+Assumptions!$B$11+Assumptions!$B$12)*0.05,0)</f>
        <v/>
      </c>
      <c r="AD46" s="399">
        <f>IF(AND(Projects!$G$37="Yes",AD$3&gt;=Projects!$C$37,AD$3&lt;Projects!$C$37+Projects!$D$37),Projects!$B$37*INDEX(Curves!$B$4:$AR$4,1,AD$3-Projects!$C$37+1),0)-IF(AND(Projects!$G$37="Yes",AD$3&gt;=Projects!$C$37,AD$3&lt;Projects!$C$37+Projects!$D$37),Projects!$B$37*(Assumptions!$B$10+Assumptions!$B$11+Assumptions!$B$12)/Projects!$D$37*0.95,0)-IF(AND(Projects!$G$37="Yes",AD$3=Projects!$C$37+Projects!$D$37-1),Projects!$B$37*(Assumptions!$B$10+Assumptions!$B$11+Assumptions!$B$12)*0.05,0)</f>
        <v/>
      </c>
      <c r="AE46" s="399">
        <f>IF(AND(Projects!$G$37="Yes",AE$3&gt;=Projects!$C$37,AE$3&lt;Projects!$C$37+Projects!$D$37),Projects!$B$37*INDEX(Curves!$B$4:$AR$4,1,AE$3-Projects!$C$37+1),0)-IF(AND(Projects!$G$37="Yes",AE$3&gt;=Projects!$C$37,AE$3&lt;Projects!$C$37+Projects!$D$37),Projects!$B$37*(Assumptions!$B$10+Assumptions!$B$11+Assumptions!$B$12)/Projects!$D$37*0.95,0)-IF(AND(Projects!$G$37="Yes",AE$3=Projects!$C$37+Projects!$D$37-1),Projects!$B$37*(Assumptions!$B$10+Assumptions!$B$11+Assumptions!$B$12)*0.05,0)</f>
        <v/>
      </c>
      <c r="AF46" s="399">
        <f>IF(AND(Projects!$G$37="Yes",AF$3&gt;=Projects!$C$37,AF$3&lt;Projects!$C$37+Projects!$D$37),Projects!$B$37*INDEX(Curves!$B$4:$AR$4,1,AF$3-Projects!$C$37+1),0)-IF(AND(Projects!$G$37="Yes",AF$3&gt;=Projects!$C$37,AF$3&lt;Projects!$C$37+Projects!$D$37),Projects!$B$37*(Assumptions!$B$10+Assumptions!$B$11+Assumptions!$B$12)/Projects!$D$37*0.95,0)-IF(AND(Projects!$G$37="Yes",AF$3=Projects!$C$37+Projects!$D$37-1),Projects!$B$37*(Assumptions!$B$10+Assumptions!$B$11+Assumptions!$B$12)*0.05,0)</f>
        <v/>
      </c>
      <c r="AG46" s="399">
        <f>IF(AND(Projects!$G$37="Yes",AG$3&gt;=Projects!$C$37,AG$3&lt;Projects!$C$37+Projects!$D$37),Projects!$B$37*INDEX(Curves!$B$4:$AR$4,1,AG$3-Projects!$C$37+1),0)-IF(AND(Projects!$G$37="Yes",AG$3&gt;=Projects!$C$37,AG$3&lt;Projects!$C$37+Projects!$D$37),Projects!$B$37*(Assumptions!$B$10+Assumptions!$B$11+Assumptions!$B$12)/Projects!$D$37*0.95,0)-IF(AND(Projects!$G$37="Yes",AG$3=Projects!$C$37+Projects!$D$37-1),Projects!$B$37*(Assumptions!$B$10+Assumptions!$B$11+Assumptions!$B$12)*0.05,0)</f>
        <v/>
      </c>
      <c r="AH46" s="399">
        <f>IF(AND(Projects!$G$37="Yes",AH$3&gt;=Projects!$C$37,AH$3&lt;Projects!$C$37+Projects!$D$37),Projects!$B$37*INDEX(Curves!$B$4:$AR$4,1,AH$3-Projects!$C$37+1),0)-IF(AND(Projects!$G$37="Yes",AH$3&gt;=Projects!$C$37,AH$3&lt;Projects!$C$37+Projects!$D$37),Projects!$B$37*(Assumptions!$B$10+Assumptions!$B$11+Assumptions!$B$12)/Projects!$D$37*0.95,0)-IF(AND(Projects!$G$37="Yes",AH$3=Projects!$C$37+Projects!$D$37-1),Projects!$B$37*(Assumptions!$B$10+Assumptions!$B$11+Assumptions!$B$12)*0.05,0)</f>
        <v/>
      </c>
      <c r="AI46" s="399">
        <f>IF(AND(Projects!$G$37="Yes",AI$3&gt;=Projects!$C$37,AI$3&lt;Projects!$C$37+Projects!$D$37),Projects!$B$37*INDEX(Curves!$B$4:$AR$4,1,AI$3-Projects!$C$37+1),0)-IF(AND(Projects!$G$37="Yes",AI$3&gt;=Projects!$C$37,AI$3&lt;Projects!$C$37+Projects!$D$37),Projects!$B$37*(Assumptions!$B$10+Assumptions!$B$11+Assumptions!$B$12)/Projects!$D$37*0.95,0)-IF(AND(Projects!$G$37="Yes",AI$3=Projects!$C$37+Projects!$D$37-1),Projects!$B$37*(Assumptions!$B$10+Assumptions!$B$11+Assumptions!$B$12)*0.05,0)</f>
        <v/>
      </c>
      <c r="AJ46" s="399">
        <f>IF(AND(Projects!$G$37="Yes",AJ$3&gt;=Projects!$C$37,AJ$3&lt;Projects!$C$37+Projects!$D$37),Projects!$B$37*INDEX(Curves!$B$4:$AR$4,1,AJ$3-Projects!$C$37+1),0)-IF(AND(Projects!$G$37="Yes",AJ$3&gt;=Projects!$C$37,AJ$3&lt;Projects!$C$37+Projects!$D$37),Projects!$B$37*(Assumptions!$B$10+Assumptions!$B$11+Assumptions!$B$12)/Projects!$D$37*0.95,0)-IF(AND(Projects!$G$37="Yes",AJ$3=Projects!$C$37+Projects!$D$37-1),Projects!$B$37*(Assumptions!$B$10+Assumptions!$B$11+Assumptions!$B$12)*0.05,0)</f>
        <v/>
      </c>
      <c r="AK46" s="399">
        <f>IF(AND(Projects!$G$37="Yes",AK$3&gt;=Projects!$C$37,AK$3&lt;Projects!$C$37+Projects!$D$37),Projects!$B$37*INDEX(Curves!$B$4:$AR$4,1,AK$3-Projects!$C$37+1),0)-IF(AND(Projects!$G$37="Yes",AK$3&gt;=Projects!$C$37,AK$3&lt;Projects!$C$37+Projects!$D$37),Projects!$B$37*(Assumptions!$B$10+Assumptions!$B$11+Assumptions!$B$12)/Projects!$D$37*0.95,0)-IF(AND(Projects!$G$37="Yes",AK$3=Projects!$C$37+Projects!$D$37-1),Projects!$B$37*(Assumptions!$B$10+Assumptions!$B$11+Assumptions!$B$12)*0.05,0)</f>
        <v/>
      </c>
      <c r="AL46" s="399">
        <f>IF(AND(Projects!$G$37="Yes",AL$3&gt;=Projects!$C$37,AL$3&lt;Projects!$C$37+Projects!$D$37),Projects!$B$37*INDEX(Curves!$B$4:$AR$4,1,AL$3-Projects!$C$37+1),0)-IF(AND(Projects!$G$37="Yes",AL$3&gt;=Projects!$C$37,AL$3&lt;Projects!$C$37+Projects!$D$37),Projects!$B$37*(Assumptions!$B$10+Assumptions!$B$11+Assumptions!$B$12)/Projects!$D$37*0.95,0)-IF(AND(Projects!$G$37="Yes",AL$3=Projects!$C$37+Projects!$D$37-1),Projects!$B$37*(Assumptions!$B$10+Assumptions!$B$11+Assumptions!$B$12)*0.05,0)</f>
        <v/>
      </c>
      <c r="AM46" s="399">
        <f>IF(AND(Projects!$G$37="Yes",AM$3&gt;=Projects!$C$37,AM$3&lt;Projects!$C$37+Projects!$D$37),Projects!$B$37*INDEX(Curves!$B$4:$AR$4,1,AM$3-Projects!$C$37+1),0)-IF(AND(Projects!$G$37="Yes",AM$3&gt;=Projects!$C$37,AM$3&lt;Projects!$C$37+Projects!$D$37),Projects!$B$37*(Assumptions!$B$10+Assumptions!$B$11+Assumptions!$B$12)/Projects!$D$37*0.95,0)-IF(AND(Projects!$G$37="Yes",AM$3=Projects!$C$37+Projects!$D$37-1),Projects!$B$37*(Assumptions!$B$10+Assumptions!$B$11+Assumptions!$B$12)*0.05,0)</f>
        <v/>
      </c>
      <c r="AN46" s="399">
        <f>IF(AND(Projects!$G$37="Yes",AN$3&gt;=Projects!$C$37,AN$3&lt;Projects!$C$37+Projects!$D$37),Projects!$B$37*INDEX(Curves!$B$4:$AR$4,1,AN$3-Projects!$C$37+1),0)-IF(AND(Projects!$G$37="Yes",AN$3&gt;=Projects!$C$37,AN$3&lt;Projects!$C$37+Projects!$D$37),Projects!$B$37*(Assumptions!$B$10+Assumptions!$B$11+Assumptions!$B$12)/Projects!$D$37*0.95,0)-IF(AND(Projects!$G$37="Yes",AN$3=Projects!$C$37+Projects!$D$37-1),Projects!$B$37*(Assumptions!$B$10+Assumptions!$B$11+Assumptions!$B$12)*0.05,0)</f>
        <v/>
      </c>
      <c r="AO46" s="399">
        <f>IF(AND(Projects!$G$37="Yes",AO$3&gt;=Projects!$C$37,AO$3&lt;Projects!$C$37+Projects!$D$37),Projects!$B$37*INDEX(Curves!$B$4:$AR$4,1,AO$3-Projects!$C$37+1),0)-IF(AND(Projects!$G$37="Yes",AO$3&gt;=Projects!$C$37,AO$3&lt;Projects!$C$37+Projects!$D$37),Projects!$B$37*(Assumptions!$B$10+Assumptions!$B$11+Assumptions!$B$12)/Projects!$D$37*0.95,0)-IF(AND(Projects!$G$37="Yes",AO$3=Projects!$C$37+Projects!$D$37-1),Projects!$B$37*(Assumptions!$B$10+Assumptions!$B$11+Assumptions!$B$12)*0.05,0)</f>
        <v/>
      </c>
      <c r="AP46" s="399">
        <f>IF(AND(Projects!$G$37="Yes",AP$3&gt;=Projects!$C$37,AP$3&lt;Projects!$C$37+Projects!$D$37),Projects!$B$37*INDEX(Curves!$B$4:$AR$4,1,AP$3-Projects!$C$37+1),0)-IF(AND(Projects!$G$37="Yes",AP$3&gt;=Projects!$C$37,AP$3&lt;Projects!$C$37+Projects!$D$37),Projects!$B$37*(Assumptions!$B$10+Assumptions!$B$11+Assumptions!$B$12)/Projects!$D$37*0.95,0)-IF(AND(Projects!$G$37="Yes",AP$3=Projects!$C$37+Projects!$D$37-1),Projects!$B$37*(Assumptions!$B$10+Assumptions!$B$11+Assumptions!$B$12)*0.05,0)</f>
        <v/>
      </c>
      <c r="AQ46" s="399">
        <f>IF(AND(Projects!$G$37="Yes",AQ$3&gt;=Projects!$C$37,AQ$3&lt;Projects!$C$37+Projects!$D$37),Projects!$B$37*INDEX(Curves!$B$4:$AR$4,1,AQ$3-Projects!$C$37+1),0)-IF(AND(Projects!$G$37="Yes",AQ$3&gt;=Projects!$C$37,AQ$3&lt;Projects!$C$37+Projects!$D$37),Projects!$B$37*(Assumptions!$B$10+Assumptions!$B$11+Assumptions!$B$12)/Projects!$D$37*0.95,0)-IF(AND(Projects!$G$37="Yes",AQ$3=Projects!$C$37+Projects!$D$37-1),Projects!$B$37*(Assumptions!$B$10+Assumptions!$B$11+Assumptions!$B$12)*0.05,0)</f>
        <v/>
      </c>
      <c r="AR46" s="399">
        <f>IF(AND(Projects!$G$37="Yes",AR$3&gt;=Projects!$C$37,AR$3&lt;Projects!$C$37+Projects!$D$37),Projects!$B$37*INDEX(Curves!$B$4:$AR$4,1,AR$3-Projects!$C$37+1),0)-IF(AND(Projects!$G$37="Yes",AR$3&gt;=Projects!$C$37,AR$3&lt;Projects!$C$37+Projects!$D$37),Projects!$B$37*(Assumptions!$B$10+Assumptions!$B$11+Assumptions!$B$12)/Projects!$D$37*0.95,0)-IF(AND(Projects!$G$37="Yes",AR$3=Projects!$C$37+Projects!$D$37-1),Projects!$B$37*(Assumptions!$B$10+Assumptions!$B$11+Assumptions!$B$12)*0.05,0)</f>
        <v/>
      </c>
      <c r="AS46" s="399">
        <f>IF(AND(Projects!$G$37="Yes",AS$3&gt;=Projects!$C$37,AS$3&lt;Projects!$C$37+Projects!$D$37),Projects!$B$37*INDEX(Curves!$B$4:$AR$4,1,AS$3-Projects!$C$37+1),0)-IF(AND(Projects!$G$37="Yes",AS$3&gt;=Projects!$C$37,AS$3&lt;Projects!$C$37+Projects!$D$37),Projects!$B$37*(Assumptions!$B$10+Assumptions!$B$11+Assumptions!$B$12)/Projects!$D$37*0.95,0)-IF(AND(Projects!$G$37="Yes",AS$3=Projects!$C$37+Projects!$D$37-1),Projects!$B$37*(Assumptions!$B$10+Assumptions!$B$11+Assumptions!$B$12)*0.05,0)</f>
        <v/>
      </c>
      <c r="AT46" s="399">
        <f>IF(AND(Projects!$G$37="Yes",AT$3&gt;=Projects!$C$37,AT$3&lt;Projects!$C$37+Projects!$D$37),Projects!$B$37*INDEX(Curves!$B$4:$AR$4,1,AT$3-Projects!$C$37+1),0)-IF(AND(Projects!$G$37="Yes",AT$3&gt;=Projects!$C$37,AT$3&lt;Projects!$C$37+Projects!$D$37),Projects!$B$37*(Assumptions!$B$10+Assumptions!$B$11+Assumptions!$B$12)/Projects!$D$37*0.95,0)-IF(AND(Projects!$G$37="Yes",AT$3=Projects!$C$37+Projects!$D$37-1),Projects!$B$37*(Assumptions!$B$10+Assumptions!$B$11+Assumptions!$B$12)*0.05,0)</f>
        <v/>
      </c>
      <c r="AU46" s="399">
        <f>IF(AND(Projects!$G$37="Yes",AU$3&gt;=Projects!$C$37,AU$3&lt;Projects!$C$37+Projects!$D$37),Projects!$B$37*INDEX(Curves!$B$4:$AR$4,1,AU$3-Projects!$C$37+1),0)-IF(AND(Projects!$G$37="Yes",AU$3&gt;=Projects!$C$37,AU$3&lt;Projects!$C$37+Projects!$D$37),Projects!$B$37*(Assumptions!$B$10+Assumptions!$B$11+Assumptions!$B$12)/Projects!$D$37*0.95,0)-IF(AND(Projects!$G$37="Yes",AU$3=Projects!$C$37+Projects!$D$37-1),Projects!$B$37*(Assumptions!$B$10+Assumptions!$B$11+Assumptions!$B$12)*0.05,0)</f>
        <v/>
      </c>
      <c r="AV46" s="399">
        <f>IF(AND(Projects!$G$37="Yes",AV$3&gt;=Projects!$C$37,AV$3&lt;Projects!$C$37+Projects!$D$37),Projects!$B$37*INDEX(Curves!$B$4:$AR$4,1,AV$3-Projects!$C$37+1),0)-IF(AND(Projects!$G$37="Yes",AV$3&gt;=Projects!$C$37,AV$3&lt;Projects!$C$37+Projects!$D$37),Projects!$B$37*(Assumptions!$B$10+Assumptions!$B$11+Assumptions!$B$12)/Projects!$D$37*0.95,0)-IF(AND(Projects!$G$37="Yes",AV$3=Projects!$C$37+Projects!$D$37-1),Projects!$B$37*(Assumptions!$B$10+Assumptions!$B$11+Assumptions!$B$12)*0.05,0)</f>
        <v/>
      </c>
      <c r="AW46" s="399">
        <f>IF(AND(Projects!$G$37="Yes",AW$3&gt;=Projects!$C$37,AW$3&lt;Projects!$C$37+Projects!$D$37),Projects!$B$37*INDEX(Curves!$B$4:$AR$4,1,AW$3-Projects!$C$37+1),0)-IF(AND(Projects!$G$37="Yes",AW$3&gt;=Projects!$C$37,AW$3&lt;Projects!$C$37+Projects!$D$37),Projects!$B$37*(Assumptions!$B$10+Assumptions!$B$11+Assumptions!$B$12)/Projects!$D$37*0.95,0)-IF(AND(Projects!$G$37="Yes",AW$3=Projects!$C$37+Projects!$D$37-1),Projects!$B$37*(Assumptions!$B$10+Assumptions!$B$11+Assumptions!$B$12)*0.05,0)</f>
        <v/>
      </c>
      <c r="AX46" s="399">
        <f>IF(AND(Projects!$G$37="Yes",AX$3&gt;=Projects!$C$37,AX$3&lt;Projects!$C$37+Projects!$D$37),Projects!$B$37*INDEX(Curves!$B$4:$AR$4,1,AX$3-Projects!$C$37+1),0)-IF(AND(Projects!$G$37="Yes",AX$3&gt;=Projects!$C$37,AX$3&lt;Projects!$C$37+Projects!$D$37),Projects!$B$37*(Assumptions!$B$10+Assumptions!$B$11+Assumptions!$B$12)/Projects!$D$37*0.95,0)-IF(AND(Projects!$G$37="Yes",AX$3=Projects!$C$37+Projects!$D$37-1),Projects!$B$37*(Assumptions!$B$10+Assumptions!$B$11+Assumptions!$B$12)*0.05,0)</f>
        <v/>
      </c>
      <c r="AY46" s="399">
        <f>IF(AND(Projects!$G$37="Yes",AY$3&gt;=Projects!$C$37,AY$3&lt;Projects!$C$37+Projects!$D$37),Projects!$B$37*INDEX(Curves!$B$4:$AR$4,1,AY$3-Projects!$C$37+1),0)-IF(AND(Projects!$G$37="Yes",AY$3&gt;=Projects!$C$37,AY$3&lt;Projects!$C$37+Projects!$D$37),Projects!$B$37*(Assumptions!$B$10+Assumptions!$B$11+Assumptions!$B$12)/Projects!$D$37*0.95,0)-IF(AND(Projects!$G$37="Yes",AY$3=Projects!$C$37+Projects!$D$37-1),Projects!$B$37*(Assumptions!$B$10+Assumptions!$B$11+Assumptions!$B$12)*0.05,0)</f>
        <v/>
      </c>
      <c r="AZ46" s="399">
        <f>IF(AND(Projects!$G$37="Yes",AZ$3&gt;=Projects!$C$37,AZ$3&lt;Projects!$C$37+Projects!$D$37),Projects!$B$37*INDEX(Curves!$B$4:$AR$4,1,AZ$3-Projects!$C$37+1),0)-IF(AND(Projects!$G$37="Yes",AZ$3&gt;=Projects!$C$37,AZ$3&lt;Projects!$C$37+Projects!$D$37),Projects!$B$37*(Assumptions!$B$10+Assumptions!$B$11+Assumptions!$B$12)/Projects!$D$37*0.95,0)-IF(AND(Projects!$G$37="Yes",AZ$3=Projects!$C$37+Projects!$D$37-1),Projects!$B$37*(Assumptions!$B$10+Assumptions!$B$11+Assumptions!$B$12)*0.05,0)</f>
        <v/>
      </c>
      <c r="BA46" s="399">
        <f>IF(AND(Projects!$G$37="Yes",BA$3&gt;=Projects!$C$37,BA$3&lt;Projects!$C$37+Projects!$D$37),Projects!$B$37*INDEX(Curves!$B$4:$AR$4,1,BA$3-Projects!$C$37+1),0)-IF(AND(Projects!$G$37="Yes",BA$3&gt;=Projects!$C$37,BA$3&lt;Projects!$C$37+Projects!$D$37),Projects!$B$37*(Assumptions!$B$10+Assumptions!$B$11+Assumptions!$B$12)/Projects!$D$37*0.95,0)-IF(AND(Projects!$G$37="Yes",BA$3=Projects!$C$37+Projects!$D$37-1),Projects!$B$37*(Assumptions!$B$10+Assumptions!$B$11+Assumptions!$B$12)*0.05,0)</f>
        <v/>
      </c>
      <c r="BB46" s="399">
        <f>IF(AND(Projects!$G$37="Yes",BB$3&gt;=Projects!$C$37,BB$3&lt;Projects!$C$37+Projects!$D$37),Projects!$B$37*INDEX(Curves!$B$4:$AR$4,1,BB$3-Projects!$C$37+1),0)-IF(AND(Projects!$G$37="Yes",BB$3&gt;=Projects!$C$37,BB$3&lt;Projects!$C$37+Projects!$D$37),Projects!$B$37*(Assumptions!$B$10+Assumptions!$B$11+Assumptions!$B$12)/Projects!$D$37*0.95,0)-IF(AND(Projects!$G$37="Yes",BB$3=Projects!$C$37+Projects!$D$37-1),Projects!$B$37*(Assumptions!$B$10+Assumptions!$B$11+Assumptions!$B$12)*0.05,0)</f>
        <v/>
      </c>
      <c r="BC46" s="399">
        <f>IF(AND(Projects!$G$37="Yes",BC$3&gt;=Projects!$C$37,BC$3&lt;Projects!$C$37+Projects!$D$37),Projects!$B$37*INDEX(Curves!$B$4:$AR$4,1,BC$3-Projects!$C$37+1),0)-IF(AND(Projects!$G$37="Yes",BC$3&gt;=Projects!$C$37,BC$3&lt;Projects!$C$37+Projects!$D$37),Projects!$B$37*(Assumptions!$B$10+Assumptions!$B$11+Assumptions!$B$12)/Projects!$D$37*0.95,0)-IF(AND(Projects!$G$37="Yes",BC$3=Projects!$C$37+Projects!$D$37-1),Projects!$B$37*(Assumptions!$B$10+Assumptions!$B$11+Assumptions!$B$12)*0.05,0)</f>
        <v/>
      </c>
      <c r="BD46" s="399">
        <f>IF(AND(Projects!$G$37="Yes",BD$3&gt;=Projects!$C$37,BD$3&lt;Projects!$C$37+Projects!$D$37),Projects!$B$37*INDEX(Curves!$B$4:$AR$4,1,BD$3-Projects!$C$37+1),0)-IF(AND(Projects!$G$37="Yes",BD$3&gt;=Projects!$C$37,BD$3&lt;Projects!$C$37+Projects!$D$37),Projects!$B$37*(Assumptions!$B$10+Assumptions!$B$11+Assumptions!$B$12)/Projects!$D$37*0.95,0)-IF(AND(Projects!$G$37="Yes",BD$3=Projects!$C$37+Projects!$D$37-1),Projects!$B$37*(Assumptions!$B$10+Assumptions!$B$11+Assumptions!$B$12)*0.05,0)</f>
        <v/>
      </c>
      <c r="BE46" s="399">
        <f>IF(AND(Projects!$G$37="Yes",BE$3&gt;=Projects!$C$37,BE$3&lt;Projects!$C$37+Projects!$D$37),Projects!$B$37*INDEX(Curves!$B$4:$AR$4,1,BE$3-Projects!$C$37+1),0)-IF(AND(Projects!$G$37="Yes",BE$3&gt;=Projects!$C$37,BE$3&lt;Projects!$C$37+Projects!$D$37),Projects!$B$37*(Assumptions!$B$10+Assumptions!$B$11+Assumptions!$B$12)/Projects!$D$37*0.95,0)-IF(AND(Projects!$G$37="Yes",BE$3=Projects!$C$37+Projects!$D$37-1),Projects!$B$37*(Assumptions!$B$10+Assumptions!$B$11+Assumptions!$B$12)*0.05,0)</f>
        <v/>
      </c>
      <c r="BF46" s="399">
        <f>IF(AND(Projects!$G$37="Yes",BF$3&gt;=Projects!$C$37,BF$3&lt;Projects!$C$37+Projects!$D$37),Projects!$B$37*INDEX(Curves!$B$4:$AR$4,1,BF$3-Projects!$C$37+1),0)-IF(AND(Projects!$G$37="Yes",BF$3&gt;=Projects!$C$37,BF$3&lt;Projects!$C$37+Projects!$D$37),Projects!$B$37*(Assumptions!$B$10+Assumptions!$B$11+Assumptions!$B$12)/Projects!$D$37*0.95,0)-IF(AND(Projects!$G$37="Yes",BF$3=Projects!$C$37+Projects!$D$37-1),Projects!$B$37*(Assumptions!$B$10+Assumptions!$B$11+Assumptions!$B$12)*0.05,0)</f>
        <v/>
      </c>
      <c r="BG46" s="399">
        <f>IF(AND(Projects!$G$37="Yes",BG$3&gt;=Projects!$C$37,BG$3&lt;Projects!$C$37+Projects!$D$37),Projects!$B$37*INDEX(Curves!$B$4:$AR$4,1,BG$3-Projects!$C$37+1),0)-IF(AND(Projects!$G$37="Yes",BG$3&gt;=Projects!$C$37,BG$3&lt;Projects!$C$37+Projects!$D$37),Projects!$B$37*(Assumptions!$B$10+Assumptions!$B$11+Assumptions!$B$12)/Projects!$D$37*0.95,0)-IF(AND(Projects!$G$37="Yes",BG$3=Projects!$C$37+Projects!$D$37-1),Projects!$B$37*(Assumptions!$B$10+Assumptions!$B$11+Assumptions!$B$12)*0.05,0)</f>
        <v/>
      </c>
      <c r="BH46" s="399">
        <f>IF(AND(Projects!$G$37="Yes",BH$3&gt;=Projects!$C$37,BH$3&lt;Projects!$C$37+Projects!$D$37),Projects!$B$37*INDEX(Curves!$B$4:$AR$4,1,BH$3-Projects!$C$37+1),0)-IF(AND(Projects!$G$37="Yes",BH$3&gt;=Projects!$C$37,BH$3&lt;Projects!$C$37+Projects!$D$37),Projects!$B$37*(Assumptions!$B$10+Assumptions!$B$11+Assumptions!$B$12)/Projects!$D$37*0.95,0)-IF(AND(Projects!$G$37="Yes",BH$3=Projects!$C$37+Projects!$D$37-1),Projects!$B$37*(Assumptions!$B$10+Assumptions!$B$11+Assumptions!$B$12)*0.05,0)</f>
        <v/>
      </c>
      <c r="BI46" s="399">
        <f>IF(AND(Projects!$G$37="Yes",BI$3&gt;=Projects!$C$37,BI$3&lt;Projects!$C$37+Projects!$D$37),Projects!$B$37*INDEX(Curves!$B$4:$AR$4,1,BI$3-Projects!$C$37+1),0)-IF(AND(Projects!$G$37="Yes",BI$3&gt;=Projects!$C$37,BI$3&lt;Projects!$C$37+Projects!$D$37),Projects!$B$37*(Assumptions!$B$10+Assumptions!$B$11+Assumptions!$B$12)/Projects!$D$37*0.95,0)-IF(AND(Projects!$G$37="Yes",BI$3=Projects!$C$37+Projects!$D$37-1),Projects!$B$37*(Assumptions!$B$10+Assumptions!$B$11+Assumptions!$B$12)*0.05,0)</f>
        <v/>
      </c>
      <c r="BJ46" s="399">
        <f>IF(AND(Projects!$G$37="Yes",BJ$3&gt;=Projects!$C$37,BJ$3&lt;Projects!$C$37+Projects!$D$37),Projects!$B$37*INDEX(Curves!$B$4:$AR$4,1,BJ$3-Projects!$C$37+1),0)-IF(AND(Projects!$G$37="Yes",BJ$3&gt;=Projects!$C$37,BJ$3&lt;Projects!$C$37+Projects!$D$37),Projects!$B$37*(Assumptions!$B$10+Assumptions!$B$11+Assumptions!$B$12)/Projects!$D$37*0.95,0)-IF(AND(Projects!$G$37="Yes",BJ$3=Projects!$C$37+Projects!$D$37-1),Projects!$B$37*(Assumptions!$B$10+Assumptions!$B$11+Assumptions!$B$12)*0.05,0)</f>
        <v/>
      </c>
      <c r="BK46" s="399">
        <f>IF(AND(Projects!$G$37="Yes",BK$3&gt;=Projects!$C$37,BK$3&lt;Projects!$C$37+Projects!$D$37),Projects!$B$37*INDEX(Curves!$B$4:$AR$4,1,BK$3-Projects!$C$37+1),0)-IF(AND(Projects!$G$37="Yes",BK$3&gt;=Projects!$C$37,BK$3&lt;Projects!$C$37+Projects!$D$37),Projects!$B$37*(Assumptions!$B$10+Assumptions!$B$11+Assumptions!$B$12)/Projects!$D$37*0.95,0)-IF(AND(Projects!$G$37="Yes",BK$3=Projects!$C$37+Projects!$D$37-1),Projects!$B$37*(Assumptions!$B$10+Assumptions!$B$11+Assumptions!$B$12)*0.05,0)</f>
        <v/>
      </c>
      <c r="BL46" s="399">
        <f>IF(AND(Projects!$G$37="Yes",BL$3&gt;=Projects!$C$37,BL$3&lt;Projects!$C$37+Projects!$D$37),Projects!$B$37*INDEX(Curves!$B$4:$AR$4,1,BL$3-Projects!$C$37+1),0)-IF(AND(Projects!$G$37="Yes",BL$3&gt;=Projects!$C$37,BL$3&lt;Projects!$C$37+Projects!$D$37),Projects!$B$37*(Assumptions!$B$10+Assumptions!$B$11+Assumptions!$B$12)/Projects!$D$37*0.95,0)-IF(AND(Projects!$G$37="Yes",BL$3=Projects!$C$37+Projects!$D$37-1),Projects!$B$37*(Assumptions!$B$10+Assumptions!$B$11+Assumptions!$B$12)*0.05,0)</f>
        <v/>
      </c>
      <c r="BM46" s="399">
        <f>IF(AND(Projects!$G$37="Yes",BM$3&gt;=Projects!$C$37,BM$3&lt;Projects!$C$37+Projects!$D$37),Projects!$B$37*INDEX(Curves!$B$4:$AR$4,1,BM$3-Projects!$C$37+1),0)-IF(AND(Projects!$G$37="Yes",BM$3&gt;=Projects!$C$37,BM$3&lt;Projects!$C$37+Projects!$D$37),Projects!$B$37*(Assumptions!$B$10+Assumptions!$B$11+Assumptions!$B$12)/Projects!$D$37*0.95,0)-IF(AND(Projects!$G$37="Yes",BM$3=Projects!$C$37+Projects!$D$37-1),Projects!$B$37*(Assumptions!$B$10+Assumptions!$B$11+Assumptions!$B$12)*0.05,0)</f>
        <v/>
      </c>
      <c r="BN46" s="399">
        <f>IF(AND(Projects!$G$37="Yes",BN$3&gt;=Projects!$C$37,BN$3&lt;Projects!$C$37+Projects!$D$37),Projects!$B$37*INDEX(Curves!$B$4:$AR$4,1,BN$3-Projects!$C$37+1),0)-IF(AND(Projects!$G$37="Yes",BN$3&gt;=Projects!$C$37,BN$3&lt;Projects!$C$37+Projects!$D$37),Projects!$B$37*(Assumptions!$B$10+Assumptions!$B$11+Assumptions!$B$12)/Projects!$D$37*0.95,0)-IF(AND(Projects!$G$37="Yes",BN$3=Projects!$C$37+Projects!$D$37-1),Projects!$B$37*(Assumptions!$B$10+Assumptions!$B$11+Assumptions!$B$12)*0.05,0)</f>
        <v/>
      </c>
      <c r="BO46" s="399">
        <f>IF(AND(Projects!$G$37="Yes",BO$3&gt;=Projects!$C$37,BO$3&lt;Projects!$C$37+Projects!$D$37),Projects!$B$37*INDEX(Curves!$B$4:$AR$4,1,BO$3-Projects!$C$37+1),0)-IF(AND(Projects!$G$37="Yes",BO$3&gt;=Projects!$C$37,BO$3&lt;Projects!$C$37+Projects!$D$37),Projects!$B$37*(Assumptions!$B$10+Assumptions!$B$11+Assumptions!$B$12)/Projects!$D$37*0.95,0)-IF(AND(Projects!$G$37="Yes",BO$3=Projects!$C$37+Projects!$D$37-1),Projects!$B$37*(Assumptions!$B$10+Assumptions!$B$11+Assumptions!$B$12)*0.05,0)</f>
        <v/>
      </c>
      <c r="BP46" s="399">
        <f>IF(AND(Projects!$G$37="Yes",BP$3&gt;=Projects!$C$37,BP$3&lt;Projects!$C$37+Projects!$D$37),Projects!$B$37*INDEX(Curves!$B$4:$AR$4,1,BP$3-Projects!$C$37+1),0)-IF(AND(Projects!$G$37="Yes",BP$3&gt;=Projects!$C$37,BP$3&lt;Projects!$C$37+Projects!$D$37),Projects!$B$37*(Assumptions!$B$10+Assumptions!$B$11+Assumptions!$B$12)/Projects!$D$37*0.95,0)-IF(AND(Projects!$G$37="Yes",BP$3=Projects!$C$37+Projects!$D$37-1),Projects!$B$37*(Assumptions!$B$10+Assumptions!$B$11+Assumptions!$B$12)*0.05,0)</f>
        <v/>
      </c>
      <c r="BQ46" s="399">
        <f>IF(AND(Projects!$G$37="Yes",BQ$3&gt;=Projects!$C$37,BQ$3&lt;Projects!$C$37+Projects!$D$37),Projects!$B$37*INDEX(Curves!$B$4:$AR$4,1,BQ$3-Projects!$C$37+1),0)-IF(AND(Projects!$G$37="Yes",BQ$3&gt;=Projects!$C$37,BQ$3&lt;Projects!$C$37+Projects!$D$37),Projects!$B$37*(Assumptions!$B$10+Assumptions!$B$11+Assumptions!$B$12)/Projects!$D$37*0.95,0)-IF(AND(Projects!$G$37="Yes",BQ$3=Projects!$C$37+Projects!$D$37-1),Projects!$B$37*(Assumptions!$B$10+Assumptions!$B$11+Assumptions!$B$12)*0.05,0)</f>
        <v/>
      </c>
      <c r="BR46" s="399">
        <f>IF(AND(Projects!$G$37="Yes",BR$3&gt;=Projects!$C$37,BR$3&lt;Projects!$C$37+Projects!$D$37),Projects!$B$37*INDEX(Curves!$B$4:$AR$4,1,BR$3-Projects!$C$37+1),0)-IF(AND(Projects!$G$37="Yes",BR$3&gt;=Projects!$C$37,BR$3&lt;Projects!$C$37+Projects!$D$37),Projects!$B$37*(Assumptions!$B$10+Assumptions!$B$11+Assumptions!$B$12)/Projects!$D$37*0.95,0)-IF(AND(Projects!$G$37="Yes",BR$3=Projects!$C$37+Projects!$D$37-1),Projects!$B$37*(Assumptions!$B$10+Assumptions!$B$11+Assumptions!$B$12)*0.05,0)</f>
        <v/>
      </c>
      <c r="BS46" s="399">
        <f>IF(AND(Projects!$G$37="Yes",BS$3&gt;=Projects!$C$37,BS$3&lt;Projects!$C$37+Projects!$D$37),Projects!$B$37*INDEX(Curves!$B$4:$AR$4,1,BS$3-Projects!$C$37+1),0)-IF(AND(Projects!$G$37="Yes",BS$3&gt;=Projects!$C$37,BS$3&lt;Projects!$C$37+Projects!$D$37),Projects!$B$37*(Assumptions!$B$10+Assumptions!$B$11+Assumptions!$B$12)/Projects!$D$37*0.95,0)-IF(AND(Projects!$G$37="Yes",BS$3=Projects!$C$37+Projects!$D$37-1),Projects!$B$37*(Assumptions!$B$10+Assumptions!$B$11+Assumptions!$B$12)*0.05,0)</f>
        <v/>
      </c>
      <c r="BT46" s="399">
        <f>IF(AND(Projects!$G$37="Yes",BT$3&gt;=Projects!$C$37,BT$3&lt;Projects!$C$37+Projects!$D$37),Projects!$B$37*INDEX(Curves!$B$4:$AR$4,1,BT$3-Projects!$C$37+1),0)-IF(AND(Projects!$G$37="Yes",BT$3&gt;=Projects!$C$37,BT$3&lt;Projects!$C$37+Projects!$D$37),Projects!$B$37*(Assumptions!$B$10+Assumptions!$B$11+Assumptions!$B$12)/Projects!$D$37*0.95,0)-IF(AND(Projects!$G$37="Yes",BT$3=Projects!$C$37+Projects!$D$37-1),Projects!$B$37*(Assumptions!$B$10+Assumptions!$B$11+Assumptions!$B$12)*0.05,0)</f>
        <v/>
      </c>
      <c r="BU46" s="399">
        <f>IF(AND(Projects!$G$37="Yes",BU$3&gt;=Projects!$C$37,BU$3&lt;Projects!$C$37+Projects!$D$37),Projects!$B$37*INDEX(Curves!$B$4:$AR$4,1,BU$3-Projects!$C$37+1),0)-IF(AND(Projects!$G$37="Yes",BU$3&gt;=Projects!$C$37,BU$3&lt;Projects!$C$37+Projects!$D$37),Projects!$B$37*(Assumptions!$B$10+Assumptions!$B$11+Assumptions!$B$12)/Projects!$D$37*0.95,0)-IF(AND(Projects!$G$37="Yes",BU$3=Projects!$C$37+Projects!$D$37-1),Projects!$B$37*(Assumptions!$B$10+Assumptions!$B$11+Assumptions!$B$12)*0.05,0)</f>
        <v/>
      </c>
      <c r="BV46" s="399">
        <f>IF(AND(Projects!$G$37="Yes",BV$3&gt;=Projects!$C$37,BV$3&lt;Projects!$C$37+Projects!$D$37),Projects!$B$37*INDEX(Curves!$B$4:$AR$4,1,BV$3-Projects!$C$37+1),0)-IF(AND(Projects!$G$37="Yes",BV$3&gt;=Projects!$C$37,BV$3&lt;Projects!$C$37+Projects!$D$37),Projects!$B$37*(Assumptions!$B$10+Assumptions!$B$11+Assumptions!$B$12)/Projects!$D$37*0.95,0)-IF(AND(Projects!$G$37="Yes",BV$3=Projects!$C$37+Projects!$D$37-1),Projects!$B$37*(Assumptions!$B$10+Assumptions!$B$11+Assumptions!$B$12)*0.05,0)</f>
        <v/>
      </c>
      <c r="BW46" s="399">
        <f>IF(AND(Projects!$G$37="Yes",BW$3&gt;=Projects!$C$37,BW$3&lt;Projects!$C$37+Projects!$D$37),Projects!$B$37*INDEX(Curves!$B$4:$AR$4,1,BW$3-Projects!$C$37+1),0)-IF(AND(Projects!$G$37="Yes",BW$3&gt;=Projects!$C$37,BW$3&lt;Projects!$C$37+Projects!$D$37),Projects!$B$37*(Assumptions!$B$10+Assumptions!$B$11+Assumptions!$B$12)/Projects!$D$37*0.95,0)-IF(AND(Projects!$G$37="Yes",BW$3=Projects!$C$37+Projects!$D$37-1),Projects!$B$37*(Assumptions!$B$10+Assumptions!$B$11+Assumptions!$B$12)*0.05,0)</f>
        <v/>
      </c>
      <c r="BX46" s="399">
        <f>IF(AND(Projects!$G$37="Yes",BX$3&gt;=Projects!$C$37,BX$3&lt;Projects!$C$37+Projects!$D$37),Projects!$B$37*INDEX(Curves!$B$4:$AR$4,1,BX$3-Projects!$C$37+1),0)-IF(AND(Projects!$G$37="Yes",BX$3&gt;=Projects!$C$37,BX$3&lt;Projects!$C$37+Projects!$D$37),Projects!$B$37*(Assumptions!$B$10+Assumptions!$B$11+Assumptions!$B$12)/Projects!$D$37*0.95,0)-IF(AND(Projects!$G$37="Yes",BX$3=Projects!$C$37+Projects!$D$37-1),Projects!$B$37*(Assumptions!$B$10+Assumptions!$B$11+Assumptions!$B$12)*0.05,0)</f>
        <v/>
      </c>
      <c r="BY46" s="399">
        <f>IF(AND(Projects!$G$37="Yes",BY$3&gt;=Projects!$C$37,BY$3&lt;Projects!$C$37+Projects!$D$37),Projects!$B$37*INDEX(Curves!$B$4:$AR$4,1,BY$3-Projects!$C$37+1),0)-IF(AND(Projects!$G$37="Yes",BY$3&gt;=Projects!$C$37,BY$3&lt;Projects!$C$37+Projects!$D$37),Projects!$B$37*(Assumptions!$B$10+Assumptions!$B$11+Assumptions!$B$12)/Projects!$D$37*0.95,0)-IF(AND(Projects!$G$37="Yes",BY$3=Projects!$C$37+Projects!$D$37-1),Projects!$B$37*(Assumptions!$B$10+Assumptions!$B$11+Assumptions!$B$12)*0.05,0)</f>
        <v/>
      </c>
      <c r="BZ46" s="399">
        <f>IF(AND(Projects!$G$37="Yes",BZ$3&gt;=Projects!$C$37,BZ$3&lt;Projects!$C$37+Projects!$D$37),Projects!$B$37*INDEX(Curves!$B$4:$AR$4,1,BZ$3-Projects!$C$37+1),0)-IF(AND(Projects!$G$37="Yes",BZ$3&gt;=Projects!$C$37,BZ$3&lt;Projects!$C$37+Projects!$D$37),Projects!$B$37*(Assumptions!$B$10+Assumptions!$B$11+Assumptions!$B$12)/Projects!$D$37*0.95,0)-IF(AND(Projects!$G$37="Yes",BZ$3=Projects!$C$37+Projects!$D$37-1),Projects!$B$37*(Assumptions!$B$10+Assumptions!$B$11+Assumptions!$B$12)*0.05,0)</f>
        <v/>
      </c>
      <c r="CA46" s="399">
        <f>IF(AND(Projects!$G$37="Yes",CA$3&gt;=Projects!$C$37,CA$3&lt;Projects!$C$37+Projects!$D$37),Projects!$B$37*INDEX(Curves!$B$4:$AR$4,1,CA$3-Projects!$C$37+1),0)-IF(AND(Projects!$G$37="Yes",CA$3&gt;=Projects!$C$37,CA$3&lt;Projects!$C$37+Projects!$D$37),Projects!$B$37*(Assumptions!$B$10+Assumptions!$B$11+Assumptions!$B$12)/Projects!$D$37*0.95,0)-IF(AND(Projects!$G$37="Yes",CA$3=Projects!$C$37+Projects!$D$37-1),Projects!$B$37*(Assumptions!$B$10+Assumptions!$B$11+Assumptions!$B$12)*0.05,0)</f>
        <v/>
      </c>
      <c r="CB46" s="399">
        <f>IF(AND(Projects!$G$37="Yes",CB$3&gt;=Projects!$C$37,CB$3&lt;Projects!$C$37+Projects!$D$37),Projects!$B$37*INDEX(Curves!$B$4:$AR$4,1,CB$3-Projects!$C$37+1),0)-IF(AND(Projects!$G$37="Yes",CB$3&gt;=Projects!$C$37,CB$3&lt;Projects!$C$37+Projects!$D$37),Projects!$B$37*(Assumptions!$B$10+Assumptions!$B$11+Assumptions!$B$12)/Projects!$D$37*0.95,0)-IF(AND(Projects!$G$37="Yes",CB$3=Projects!$C$37+Projects!$D$37-1),Projects!$B$37*(Assumptions!$B$10+Assumptions!$B$11+Assumptions!$B$12)*0.05,0)</f>
        <v/>
      </c>
      <c r="CC46" s="399">
        <f>IF(AND(Projects!$G$37="Yes",CC$3&gt;=Projects!$C$37,CC$3&lt;Projects!$C$37+Projects!$D$37),Projects!$B$37*INDEX(Curves!$B$4:$AR$4,1,CC$3-Projects!$C$37+1),0)-IF(AND(Projects!$G$37="Yes",CC$3&gt;=Projects!$C$37,CC$3&lt;Projects!$C$37+Projects!$D$37),Projects!$B$37*(Assumptions!$B$10+Assumptions!$B$11+Assumptions!$B$12)/Projects!$D$37*0.95,0)-IF(AND(Projects!$G$37="Yes",CC$3=Projects!$C$37+Projects!$D$37-1),Projects!$B$37*(Assumptions!$B$10+Assumptions!$B$11+Assumptions!$B$12)*0.05,0)</f>
        <v/>
      </c>
      <c r="CD46" s="399">
        <f>IF(AND(Projects!$G$37="Yes",CD$3&gt;=Projects!$C$37,CD$3&lt;Projects!$C$37+Projects!$D$37),Projects!$B$37*INDEX(Curves!$B$4:$AR$4,1,CD$3-Projects!$C$37+1),0)-IF(AND(Projects!$G$37="Yes",CD$3&gt;=Projects!$C$37,CD$3&lt;Projects!$C$37+Projects!$D$37),Projects!$B$37*(Assumptions!$B$10+Assumptions!$B$11+Assumptions!$B$12)/Projects!$D$37*0.95,0)-IF(AND(Projects!$G$37="Yes",CD$3=Projects!$C$37+Projects!$D$37-1),Projects!$B$37*(Assumptions!$B$10+Assumptions!$B$11+Assumptions!$B$12)*0.05,0)</f>
        <v/>
      </c>
      <c r="CE46" s="399">
        <f>IF(AND(Projects!$G$37="Yes",CE$3&gt;=Projects!$C$37,CE$3&lt;Projects!$C$37+Projects!$D$37),Projects!$B$37*INDEX(Curves!$B$4:$AR$4,1,CE$3-Projects!$C$37+1),0)-IF(AND(Projects!$G$37="Yes",CE$3&gt;=Projects!$C$37,CE$3&lt;Projects!$C$37+Projects!$D$37),Projects!$B$37*(Assumptions!$B$10+Assumptions!$B$11+Assumptions!$B$12)/Projects!$D$37*0.95,0)-IF(AND(Projects!$G$37="Yes",CE$3=Projects!$C$37+Projects!$D$37-1),Projects!$B$37*(Assumptions!$B$10+Assumptions!$B$11+Assumptions!$B$12)*0.05,0)</f>
        <v/>
      </c>
      <c r="CF46" s="399">
        <f>IF(AND(Projects!$G$37="Yes",CF$3&gt;=Projects!$C$37,CF$3&lt;Projects!$C$37+Projects!$D$37),Projects!$B$37*INDEX(Curves!$B$4:$AR$4,1,CF$3-Projects!$C$37+1),0)-IF(AND(Projects!$G$37="Yes",CF$3&gt;=Projects!$C$37,CF$3&lt;Projects!$C$37+Projects!$D$37),Projects!$B$37*(Assumptions!$B$10+Assumptions!$B$11+Assumptions!$B$12)/Projects!$D$37*0.95,0)-IF(AND(Projects!$G$37="Yes",CF$3=Projects!$C$37+Projects!$D$37-1),Projects!$B$37*(Assumptions!$B$10+Assumptions!$B$11+Assumptions!$B$12)*0.05,0)</f>
        <v/>
      </c>
      <c r="CG46" s="399">
        <f>IF(AND(Projects!$G$37="Yes",CG$3&gt;=Projects!$C$37,CG$3&lt;Projects!$C$37+Projects!$D$37),Projects!$B$37*INDEX(Curves!$B$4:$AR$4,1,CG$3-Projects!$C$37+1),0)-IF(AND(Projects!$G$37="Yes",CG$3&gt;=Projects!$C$37,CG$3&lt;Projects!$C$37+Projects!$D$37),Projects!$B$37*(Assumptions!$B$10+Assumptions!$B$11+Assumptions!$B$12)/Projects!$D$37*0.95,0)-IF(AND(Projects!$G$37="Yes",CG$3=Projects!$C$37+Projects!$D$37-1),Projects!$B$37*(Assumptions!$B$10+Assumptions!$B$11+Assumptions!$B$12)*0.05,0)</f>
        <v/>
      </c>
      <c r="CH46" s="399">
        <f>IF(AND(Projects!$G$37="Yes",CH$3&gt;=Projects!$C$37,CH$3&lt;Projects!$C$37+Projects!$D$37),Projects!$B$37*INDEX(Curves!$B$4:$AR$4,1,CH$3-Projects!$C$37+1),0)-IF(AND(Projects!$G$37="Yes",CH$3&gt;=Projects!$C$37,CH$3&lt;Projects!$C$37+Projects!$D$37),Projects!$B$37*(Assumptions!$B$10+Assumptions!$B$11+Assumptions!$B$12)/Projects!$D$37*0.95,0)-IF(AND(Projects!$G$37="Yes",CH$3=Projects!$C$37+Projects!$D$37-1),Projects!$B$37*(Assumptions!$B$10+Assumptions!$B$11+Assumptions!$B$12)*0.05,0)</f>
        <v/>
      </c>
      <c r="CI46" s="399">
        <f>IF(AND(Projects!$G$37="Yes",CI$3&gt;=Projects!$C$37,CI$3&lt;Projects!$C$37+Projects!$D$37),Projects!$B$37*INDEX(Curves!$B$4:$AR$4,1,CI$3-Projects!$C$37+1),0)-IF(AND(Projects!$G$37="Yes",CI$3&gt;=Projects!$C$37,CI$3&lt;Projects!$C$37+Projects!$D$37),Projects!$B$37*(Assumptions!$B$10+Assumptions!$B$11+Assumptions!$B$12)/Projects!$D$37*0.95,0)-IF(AND(Projects!$G$37="Yes",CI$3=Projects!$C$37+Projects!$D$37-1),Projects!$B$37*(Assumptions!$B$10+Assumptions!$B$11+Assumptions!$B$12)*0.05,0)</f>
        <v/>
      </c>
      <c r="CJ46" s="399">
        <f>IF(AND(Projects!$G$37="Yes",CJ$3&gt;=Projects!$C$37,CJ$3&lt;Projects!$C$37+Projects!$D$37),Projects!$B$37*INDEX(Curves!$B$4:$AR$4,1,CJ$3-Projects!$C$37+1),0)-IF(AND(Projects!$G$37="Yes",CJ$3&gt;=Projects!$C$37,CJ$3&lt;Projects!$C$37+Projects!$D$37),Projects!$B$37*(Assumptions!$B$10+Assumptions!$B$11+Assumptions!$B$12)/Projects!$D$37*0.95,0)-IF(AND(Projects!$G$37="Yes",CJ$3=Projects!$C$37+Projects!$D$37-1),Projects!$B$37*(Assumptions!$B$10+Assumptions!$B$11+Assumptions!$B$12)*0.05,0)</f>
        <v/>
      </c>
      <c r="CK46" s="399">
        <f>IF(AND(Projects!$G$37="Yes",CK$3&gt;=Projects!$C$37,CK$3&lt;Projects!$C$37+Projects!$D$37),Projects!$B$37*INDEX(Curves!$B$4:$AR$4,1,CK$3-Projects!$C$37+1),0)-IF(AND(Projects!$G$37="Yes",CK$3&gt;=Projects!$C$37,CK$3&lt;Projects!$C$37+Projects!$D$37),Projects!$B$37*(Assumptions!$B$10+Assumptions!$B$11+Assumptions!$B$12)/Projects!$D$37*0.95,0)-IF(AND(Projects!$G$37="Yes",CK$3=Projects!$C$37+Projects!$D$37-1),Projects!$B$37*(Assumptions!$B$10+Assumptions!$B$11+Assumptions!$B$12)*0.05,0)</f>
        <v/>
      </c>
      <c r="CL46" s="399">
        <f>IF(AND(Projects!$G$37="Yes",CL$3&gt;=Projects!$C$37,CL$3&lt;Projects!$C$37+Projects!$D$37),Projects!$B$37*INDEX(Curves!$B$4:$AR$4,1,CL$3-Projects!$C$37+1),0)-IF(AND(Projects!$G$37="Yes",CL$3&gt;=Projects!$C$37,CL$3&lt;Projects!$C$37+Projects!$D$37),Projects!$B$37*(Assumptions!$B$10+Assumptions!$B$11+Assumptions!$B$12)/Projects!$D$37*0.95,0)-IF(AND(Projects!$G$37="Yes",CL$3=Projects!$C$37+Projects!$D$37-1),Projects!$B$37*(Assumptions!$B$10+Assumptions!$B$11+Assumptions!$B$12)*0.05,0)</f>
        <v/>
      </c>
      <c r="CM46" s="399">
        <f>IF(AND(Projects!$G$37="Yes",CM$3&gt;=Projects!$C$37,CM$3&lt;Projects!$C$37+Projects!$D$37),Projects!$B$37*INDEX(Curves!$B$4:$AR$4,1,CM$3-Projects!$C$37+1),0)-IF(AND(Projects!$G$37="Yes",CM$3&gt;=Projects!$C$37,CM$3&lt;Projects!$C$37+Projects!$D$37),Projects!$B$37*(Assumptions!$B$10+Assumptions!$B$11+Assumptions!$B$12)/Projects!$D$37*0.95,0)-IF(AND(Projects!$G$37="Yes",CM$3=Projects!$C$37+Projects!$D$37-1),Projects!$B$37*(Assumptions!$B$10+Assumptions!$B$11+Assumptions!$B$12)*0.05,0)</f>
        <v/>
      </c>
      <c r="CN46" s="399">
        <f>IF(AND(Projects!$G$37="Yes",CN$3&gt;=Projects!$C$37,CN$3&lt;Projects!$C$37+Projects!$D$37),Projects!$B$37*INDEX(Curves!$B$4:$AR$4,1,CN$3-Projects!$C$37+1),0)-IF(AND(Projects!$G$37="Yes",CN$3&gt;=Projects!$C$37,CN$3&lt;Projects!$C$37+Projects!$D$37),Projects!$B$37*(Assumptions!$B$10+Assumptions!$B$11+Assumptions!$B$12)/Projects!$D$37*0.95,0)-IF(AND(Projects!$G$37="Yes",CN$3=Projects!$C$37+Projects!$D$37-1),Projects!$B$37*(Assumptions!$B$10+Assumptions!$B$11+Assumptions!$B$12)*0.05,0)</f>
        <v/>
      </c>
      <c r="CO46" s="399">
        <f>IF(AND(Projects!$G$37="Yes",CO$3&gt;=Projects!$C$37,CO$3&lt;Projects!$C$37+Projects!$D$37),Projects!$B$37*INDEX(Curves!$B$4:$AR$4,1,CO$3-Projects!$C$37+1),0)-IF(AND(Projects!$G$37="Yes",CO$3&gt;=Projects!$C$37,CO$3&lt;Projects!$C$37+Projects!$D$37),Projects!$B$37*(Assumptions!$B$10+Assumptions!$B$11+Assumptions!$B$12)/Projects!$D$37*0.95,0)-IF(AND(Projects!$G$37="Yes",CO$3=Projects!$C$37+Projects!$D$37-1),Projects!$B$37*(Assumptions!$B$10+Assumptions!$B$11+Assumptions!$B$12)*0.05,0)</f>
        <v/>
      </c>
      <c r="CP46" s="399">
        <f>IF(AND(Projects!$G$37="Yes",CP$3&gt;=Projects!$C$37,CP$3&lt;Projects!$C$37+Projects!$D$37),Projects!$B$37*INDEX(Curves!$B$4:$AR$4,1,CP$3-Projects!$C$37+1),0)-IF(AND(Projects!$G$37="Yes",CP$3&gt;=Projects!$C$37,CP$3&lt;Projects!$C$37+Projects!$D$37),Projects!$B$37*(Assumptions!$B$10+Assumptions!$B$11+Assumptions!$B$12)/Projects!$D$37*0.95,0)-IF(AND(Projects!$G$37="Yes",CP$3=Projects!$C$37+Projects!$D$37-1),Projects!$B$37*(Assumptions!$B$10+Assumptions!$B$11+Assumptions!$B$12)*0.05,0)</f>
        <v/>
      </c>
      <c r="CQ46" s="399">
        <f>IF(AND(Projects!$G$37="Yes",CQ$3&gt;=Projects!$C$37,CQ$3&lt;Projects!$C$37+Projects!$D$37),Projects!$B$37*INDEX(Curves!$B$4:$AR$4,1,CQ$3-Projects!$C$37+1),0)-IF(AND(Projects!$G$37="Yes",CQ$3&gt;=Projects!$C$37,CQ$3&lt;Projects!$C$37+Projects!$D$37),Projects!$B$37*(Assumptions!$B$10+Assumptions!$B$11+Assumptions!$B$12)/Projects!$D$37*0.95,0)-IF(AND(Projects!$G$37="Yes",CQ$3=Projects!$C$37+Projects!$D$37-1),Projects!$B$37*(Assumptions!$B$10+Assumptions!$B$11+Assumptions!$B$12)*0.05,0)</f>
        <v/>
      </c>
      <c r="CR46" s="399">
        <f>IF(AND(Projects!$G$37="Yes",CR$3&gt;=Projects!$C$37,CR$3&lt;Projects!$C$37+Projects!$D$37),Projects!$B$37*INDEX(Curves!$B$4:$AR$4,1,CR$3-Projects!$C$37+1),0)-IF(AND(Projects!$G$37="Yes",CR$3&gt;=Projects!$C$37,CR$3&lt;Projects!$C$37+Projects!$D$37),Projects!$B$37*(Assumptions!$B$10+Assumptions!$B$11+Assumptions!$B$12)/Projects!$D$37*0.95,0)-IF(AND(Projects!$G$37="Yes",CR$3=Projects!$C$37+Projects!$D$37-1),Projects!$B$37*(Assumptions!$B$10+Assumptions!$B$11+Assumptions!$B$12)*0.05,0)</f>
        <v/>
      </c>
      <c r="CS46" s="399">
        <f>IF(AND(Projects!$G$37="Yes",CS$3&gt;=Projects!$C$37,CS$3&lt;Projects!$C$37+Projects!$D$37),Projects!$B$37*INDEX(Curves!$B$4:$AR$4,1,CS$3-Projects!$C$37+1),0)-IF(AND(Projects!$G$37="Yes",CS$3&gt;=Projects!$C$37,CS$3&lt;Projects!$C$37+Projects!$D$37),Projects!$B$37*(Assumptions!$B$10+Assumptions!$B$11+Assumptions!$B$12)/Projects!$D$37*0.95,0)-IF(AND(Projects!$G$37="Yes",CS$3=Projects!$C$37+Projects!$D$37-1),Projects!$B$37*(Assumptions!$B$10+Assumptions!$B$11+Assumptions!$B$12)*0.05,0)</f>
        <v/>
      </c>
      <c r="CT46" s="399">
        <f>IF(AND(Projects!$G$37="Yes",CT$3&gt;=Projects!$C$37,CT$3&lt;Projects!$C$37+Projects!$D$37),Projects!$B$37*INDEX(Curves!$B$4:$AR$4,1,CT$3-Projects!$C$37+1),0)-IF(AND(Projects!$G$37="Yes",CT$3&gt;=Projects!$C$37,CT$3&lt;Projects!$C$37+Projects!$D$37),Projects!$B$37*(Assumptions!$B$10+Assumptions!$B$11+Assumptions!$B$12)/Projects!$D$37*0.95,0)-IF(AND(Projects!$G$37="Yes",CT$3=Projects!$C$37+Projects!$D$37-1),Projects!$B$37*(Assumptions!$B$10+Assumptions!$B$11+Assumptions!$B$12)*0.05,0)</f>
        <v/>
      </c>
      <c r="CU46" s="399">
        <f>IF(AND(Projects!$G$37="Yes",CU$3&gt;=Projects!$C$37,CU$3&lt;Projects!$C$37+Projects!$D$37),Projects!$B$37*INDEX(Curves!$B$4:$AR$4,1,CU$3-Projects!$C$37+1),0)-IF(AND(Projects!$G$37="Yes",CU$3&gt;=Projects!$C$37,CU$3&lt;Projects!$C$37+Projects!$D$37),Projects!$B$37*(Assumptions!$B$10+Assumptions!$B$11+Assumptions!$B$12)/Projects!$D$37*0.95,0)-IF(AND(Projects!$G$37="Yes",CU$3=Projects!$C$37+Projects!$D$37-1),Projects!$B$37*(Assumptions!$B$10+Assumptions!$B$11+Assumptions!$B$12)*0.05,0)</f>
        <v/>
      </c>
      <c r="CV46" s="399">
        <f>IF(AND(Projects!$G$37="Yes",CV$3&gt;=Projects!$C$37,CV$3&lt;Projects!$C$37+Projects!$D$37),Projects!$B$37*INDEX(Curves!$B$4:$AR$4,1,CV$3-Projects!$C$37+1),0)-IF(AND(Projects!$G$37="Yes",CV$3&gt;=Projects!$C$37,CV$3&lt;Projects!$C$37+Projects!$D$37),Projects!$B$37*(Assumptions!$B$10+Assumptions!$B$11+Assumptions!$B$12)/Projects!$D$37*0.95,0)-IF(AND(Projects!$G$37="Yes",CV$3=Projects!$C$37+Projects!$D$37-1),Projects!$B$37*(Assumptions!$B$10+Assumptions!$B$11+Assumptions!$B$12)*0.05,0)</f>
        <v/>
      </c>
      <c r="CW46" s="399">
        <f>IF(AND(Projects!$G$37="Yes",CW$3&gt;=Projects!$C$37,CW$3&lt;Projects!$C$37+Projects!$D$37),Projects!$B$37*INDEX(Curves!$B$4:$AR$4,1,CW$3-Projects!$C$37+1),0)-IF(AND(Projects!$G$37="Yes",CW$3&gt;=Projects!$C$37,CW$3&lt;Projects!$C$37+Projects!$D$37),Projects!$B$37*(Assumptions!$B$10+Assumptions!$B$11+Assumptions!$B$12)/Projects!$D$37*0.95,0)-IF(AND(Projects!$G$37="Yes",CW$3=Projects!$C$37+Projects!$D$37-1),Projects!$B$37*(Assumptions!$B$10+Assumptions!$B$11+Assumptions!$B$12)*0.05,0)</f>
        <v/>
      </c>
      <c r="CX46" s="399">
        <f>IF(AND(Projects!$G$37="Yes",CX$3&gt;=Projects!$C$37,CX$3&lt;Projects!$C$37+Projects!$D$37),Projects!$B$37*INDEX(Curves!$B$4:$AR$4,1,CX$3-Projects!$C$37+1),0)-IF(AND(Projects!$G$37="Yes",CX$3&gt;=Projects!$C$37,CX$3&lt;Projects!$C$37+Projects!$D$37),Projects!$B$37*(Assumptions!$B$10+Assumptions!$B$11+Assumptions!$B$12)/Projects!$D$37*0.95,0)-IF(AND(Projects!$G$37="Yes",CX$3=Projects!$C$37+Projects!$D$37-1),Projects!$B$37*(Assumptions!$B$10+Assumptions!$B$11+Assumptions!$B$12)*0.05,0)</f>
        <v/>
      </c>
      <c r="CY46" s="399">
        <f>IF(AND(Projects!$G$37="Yes",CY$3&gt;=Projects!$C$37,CY$3&lt;Projects!$C$37+Projects!$D$37),Projects!$B$37*INDEX(Curves!$B$4:$AR$4,1,CY$3-Projects!$C$37+1),0)-IF(AND(Projects!$G$37="Yes",CY$3&gt;=Projects!$C$37,CY$3&lt;Projects!$C$37+Projects!$D$37),Projects!$B$37*(Assumptions!$B$10+Assumptions!$B$11+Assumptions!$B$12)/Projects!$D$37*0.95,0)-IF(AND(Projects!$G$37="Yes",CY$3=Projects!$C$37+Projects!$D$37-1),Projects!$B$37*(Assumptions!$B$10+Assumptions!$B$11+Assumptions!$B$12)*0.05,0)</f>
        <v/>
      </c>
      <c r="CZ46" s="399">
        <f>IF(AND(Projects!$G$37="Yes",CZ$3&gt;=Projects!$C$37,CZ$3&lt;Projects!$C$37+Projects!$D$37),Projects!$B$37*INDEX(Curves!$B$4:$AR$4,1,CZ$3-Projects!$C$37+1),0)-IF(AND(Projects!$G$37="Yes",CZ$3&gt;=Projects!$C$37,CZ$3&lt;Projects!$C$37+Projects!$D$37),Projects!$B$37*(Assumptions!$B$10+Assumptions!$B$11+Assumptions!$B$12)/Projects!$D$37*0.95,0)-IF(AND(Projects!$G$37="Yes",CZ$3=Projects!$C$37+Projects!$D$37-1),Projects!$B$37*(Assumptions!$B$10+Assumptions!$B$11+Assumptions!$B$12)*0.05,0)</f>
        <v/>
      </c>
      <c r="DA46" s="399">
        <f>IF(AND(Projects!$G$37="Yes",DA$3&gt;=Projects!$C$37,DA$3&lt;Projects!$C$37+Projects!$D$37),Projects!$B$37*INDEX(Curves!$B$4:$AR$4,1,DA$3-Projects!$C$37+1),0)-IF(AND(Projects!$G$37="Yes",DA$3&gt;=Projects!$C$37,DA$3&lt;Projects!$C$37+Projects!$D$37),Projects!$B$37*(Assumptions!$B$10+Assumptions!$B$11+Assumptions!$B$12)/Projects!$D$37*0.95,0)-IF(AND(Projects!$G$37="Yes",DA$3=Projects!$C$37+Projects!$D$37-1),Projects!$B$37*(Assumptions!$B$10+Assumptions!$B$11+Assumptions!$B$12)*0.05,0)</f>
        <v/>
      </c>
      <c r="DB46" s="399">
        <f>IF(AND(Projects!$G$37="Yes",DB$3&gt;=Projects!$C$37,DB$3&lt;Projects!$C$37+Projects!$D$37),Projects!$B$37*INDEX(Curves!$B$4:$AR$4,1,DB$3-Projects!$C$37+1),0)-IF(AND(Projects!$G$37="Yes",DB$3&gt;=Projects!$C$37,DB$3&lt;Projects!$C$37+Projects!$D$37),Projects!$B$37*(Assumptions!$B$10+Assumptions!$B$11+Assumptions!$B$12)/Projects!$D$37*0.95,0)-IF(AND(Projects!$G$37="Yes",DB$3=Projects!$C$37+Projects!$D$37-1),Projects!$B$37*(Assumptions!$B$10+Assumptions!$B$11+Assumptions!$B$12)*0.05,0)</f>
        <v/>
      </c>
      <c r="DC46" s="399">
        <f>IF(AND(Projects!$G$37="Yes",DC$3&gt;=Projects!$C$37,DC$3&lt;Projects!$C$37+Projects!$D$37),Projects!$B$37*INDEX(Curves!$B$4:$AR$4,1,DC$3-Projects!$C$37+1),0)-IF(AND(Projects!$G$37="Yes",DC$3&gt;=Projects!$C$37,DC$3&lt;Projects!$C$37+Projects!$D$37),Projects!$B$37*(Assumptions!$B$10+Assumptions!$B$11+Assumptions!$B$12)/Projects!$D$37*0.95,0)-IF(AND(Projects!$G$37="Yes",DC$3=Projects!$C$37+Projects!$D$37-1),Projects!$B$37*(Assumptions!$B$10+Assumptions!$B$11+Assumptions!$B$12)*0.05,0)</f>
        <v/>
      </c>
      <c r="DD46" s="399">
        <f>IF(AND(Projects!$G$37="Yes",DD$3&gt;=Projects!$C$37,DD$3&lt;Projects!$C$37+Projects!$D$37),Projects!$B$37*INDEX(Curves!$B$4:$AR$4,1,DD$3-Projects!$C$37+1),0)-IF(AND(Projects!$G$37="Yes",DD$3&gt;=Projects!$C$37,DD$3&lt;Projects!$C$37+Projects!$D$37),Projects!$B$37*(Assumptions!$B$10+Assumptions!$B$11+Assumptions!$B$12)/Projects!$D$37*0.95,0)-IF(AND(Projects!$G$37="Yes",DD$3=Projects!$C$37+Projects!$D$37-1),Projects!$B$37*(Assumptions!$B$10+Assumptions!$B$11+Assumptions!$B$12)*0.05,0)</f>
        <v/>
      </c>
      <c r="DE46" s="399">
        <f>IF(AND(Projects!$G$37="Yes",DE$3&gt;=Projects!$C$37,DE$3&lt;Projects!$C$37+Projects!$D$37),Projects!$B$37*INDEX(Curves!$B$4:$AR$4,1,DE$3-Projects!$C$37+1),0)-IF(AND(Projects!$G$37="Yes",DE$3&gt;=Projects!$C$37,DE$3&lt;Projects!$C$37+Projects!$D$37),Projects!$B$37*(Assumptions!$B$10+Assumptions!$B$11+Assumptions!$B$12)/Projects!$D$37*0.95,0)-IF(AND(Projects!$G$37="Yes",DE$3=Projects!$C$37+Projects!$D$37-1),Projects!$B$37*(Assumptions!$B$10+Assumptions!$B$11+Assumptions!$B$12)*0.05,0)</f>
        <v/>
      </c>
    </row>
    <row r="47" hidden="1" outlineLevel="1" ht="15" customFormat="1" customHeight="1" s="380">
      <c r="A47" s="407" t="inlineStr">
        <is>
          <t>BD-22</t>
        </is>
      </c>
      <c r="B47" s="399" t="n">
        <v>0</v>
      </c>
      <c r="C47" s="399" t="n">
        <v>0</v>
      </c>
      <c r="D47" s="399" t="n">
        <v>0</v>
      </c>
      <c r="E47" s="399" t="n">
        <v>0</v>
      </c>
      <c r="F47" s="399">
        <f>IF(AND(Projects!$G$38="Yes",F$3&gt;=Projects!$C$38,F$3&lt;Projects!$C$38+Projects!$D$38),Projects!$B$38*INDEX(Curves!$B$4:$AR$4,1,F$3-Projects!$C$38+1),0)-IF(AND(Projects!$G$38="Yes",F$3&gt;=Projects!$C$38,F$3&lt;Projects!$C$38+Projects!$D$38),Projects!$B$38*(Assumptions!$B$10+Assumptions!$B$11+Assumptions!$B$12)/Projects!$D$38*0.95,0)-IF(AND(Projects!$G$38="Yes",F$3=Projects!$C$38+Projects!$D$38-1),Projects!$B$38*(Assumptions!$B$10+Assumptions!$B$11+Assumptions!$B$12)*0.05,0)</f>
        <v/>
      </c>
      <c r="G47" s="399">
        <f>IF(AND(Projects!$G$38="Yes",G$3&gt;=Projects!$C$38,G$3&lt;Projects!$C$38+Projects!$D$38),Projects!$B$38*INDEX(Curves!$B$4:$AR$4,1,G$3-Projects!$C$38+1),0)-IF(AND(Projects!$G$38="Yes",G$3&gt;=Projects!$C$38,G$3&lt;Projects!$C$38+Projects!$D$38),Projects!$B$38*(Assumptions!$B$10+Assumptions!$B$11+Assumptions!$B$12)/Projects!$D$38*0.95,0)-IF(AND(Projects!$G$38="Yes",G$3=Projects!$C$38+Projects!$D$38-1),Projects!$B$38*(Assumptions!$B$10+Assumptions!$B$11+Assumptions!$B$12)*0.05,0)</f>
        <v/>
      </c>
      <c r="H47" s="399">
        <f>IF(AND(Projects!$G$38="Yes",H$3&gt;=Projects!$C$38,H$3&lt;Projects!$C$38+Projects!$D$38),Projects!$B$38*INDEX(Curves!$B$4:$AR$4,1,H$3-Projects!$C$38+1),0)-IF(AND(Projects!$G$38="Yes",H$3&gt;=Projects!$C$38,H$3&lt;Projects!$C$38+Projects!$D$38),Projects!$B$38*(Assumptions!$B$10+Assumptions!$B$11+Assumptions!$B$12)/Projects!$D$38*0.95,0)-IF(AND(Projects!$G$38="Yes",H$3=Projects!$C$38+Projects!$D$38-1),Projects!$B$38*(Assumptions!$B$10+Assumptions!$B$11+Assumptions!$B$12)*0.05,0)</f>
        <v/>
      </c>
      <c r="I47" s="399">
        <f>IF(AND(Projects!$G$38="Yes",I$3&gt;=Projects!$C$38,I$3&lt;Projects!$C$38+Projects!$D$38),Projects!$B$38*INDEX(Curves!$B$4:$AR$4,1,I$3-Projects!$C$38+1),0)-IF(AND(Projects!$G$38="Yes",I$3&gt;=Projects!$C$38,I$3&lt;Projects!$C$38+Projects!$D$38),Projects!$B$38*(Assumptions!$B$10+Assumptions!$B$11+Assumptions!$B$12)/Projects!$D$38*0.95,0)-IF(AND(Projects!$G$38="Yes",I$3=Projects!$C$38+Projects!$D$38-1),Projects!$B$38*(Assumptions!$B$10+Assumptions!$B$11+Assumptions!$B$12)*0.05,0)</f>
        <v/>
      </c>
      <c r="J47" s="399">
        <f>IF(AND(Projects!$G$38="Yes",J$3&gt;=Projects!$C$38,J$3&lt;Projects!$C$38+Projects!$D$38),Projects!$B$38*INDEX(Curves!$B$4:$AR$4,1,J$3-Projects!$C$38+1),0)-IF(AND(Projects!$G$38="Yes",J$3&gt;=Projects!$C$38,J$3&lt;Projects!$C$38+Projects!$D$38),Projects!$B$38*(Assumptions!$B$10+Assumptions!$B$11+Assumptions!$B$12)/Projects!$D$38*0.95,0)-IF(AND(Projects!$G$38="Yes",J$3=Projects!$C$38+Projects!$D$38-1),Projects!$B$38*(Assumptions!$B$10+Assumptions!$B$11+Assumptions!$B$12)*0.05,0)</f>
        <v/>
      </c>
      <c r="K47" s="399">
        <f>IF(AND(Projects!$G$38="Yes",K$3&gt;=Projects!$C$38,K$3&lt;Projects!$C$38+Projects!$D$38),Projects!$B$38*INDEX(Curves!$B$4:$AR$4,1,K$3-Projects!$C$38+1),0)-IF(AND(Projects!$G$38="Yes",K$3&gt;=Projects!$C$38,K$3&lt;Projects!$C$38+Projects!$D$38),Projects!$B$38*(Assumptions!$B$10+Assumptions!$B$11+Assumptions!$B$12)/Projects!$D$38*0.95,0)-IF(AND(Projects!$G$38="Yes",K$3=Projects!$C$38+Projects!$D$38-1),Projects!$B$38*(Assumptions!$B$10+Assumptions!$B$11+Assumptions!$B$12)*0.05,0)</f>
        <v/>
      </c>
      <c r="L47" s="399">
        <f>IF(AND(Projects!$G$38="Yes",L$3&gt;=Projects!$C$38,L$3&lt;Projects!$C$38+Projects!$D$38),Projects!$B$38*INDEX(Curves!$B$4:$AR$4,1,L$3-Projects!$C$38+1),0)-IF(AND(Projects!$G$38="Yes",L$3&gt;=Projects!$C$38,L$3&lt;Projects!$C$38+Projects!$D$38),Projects!$B$38*(Assumptions!$B$10+Assumptions!$B$11+Assumptions!$B$12)/Projects!$D$38*0.95,0)-IF(AND(Projects!$G$38="Yes",L$3=Projects!$C$38+Projects!$D$38-1),Projects!$B$38*(Assumptions!$B$10+Assumptions!$B$11+Assumptions!$B$12)*0.05,0)</f>
        <v/>
      </c>
      <c r="M47" s="399">
        <f>IF(AND(Projects!$G$38="Yes",M$3&gt;=Projects!$C$38,M$3&lt;Projects!$C$38+Projects!$D$38),Projects!$B$38*INDEX(Curves!$B$4:$AR$4,1,M$3-Projects!$C$38+1),0)-IF(AND(Projects!$G$38="Yes",M$3&gt;=Projects!$C$38,M$3&lt;Projects!$C$38+Projects!$D$38),Projects!$B$38*(Assumptions!$B$10+Assumptions!$B$11+Assumptions!$B$12)/Projects!$D$38*0.95,0)-IF(AND(Projects!$G$38="Yes",M$3=Projects!$C$38+Projects!$D$38-1),Projects!$B$38*(Assumptions!$B$10+Assumptions!$B$11+Assumptions!$B$12)*0.05,0)</f>
        <v/>
      </c>
      <c r="N47" s="399">
        <f>IF(AND(Projects!$G$38="Yes",N$3&gt;=Projects!$C$38,N$3&lt;Projects!$C$38+Projects!$D$38),Projects!$B$38*INDEX(Curves!$B$4:$AR$4,1,N$3-Projects!$C$38+1),0)-IF(AND(Projects!$G$38="Yes",N$3&gt;=Projects!$C$38,N$3&lt;Projects!$C$38+Projects!$D$38),Projects!$B$38*(Assumptions!$B$10+Assumptions!$B$11+Assumptions!$B$12)/Projects!$D$38*0.95,0)-IF(AND(Projects!$G$38="Yes",N$3=Projects!$C$38+Projects!$D$38-1),Projects!$B$38*(Assumptions!$B$10+Assumptions!$B$11+Assumptions!$B$12)*0.05,0)</f>
        <v/>
      </c>
      <c r="O47" s="399">
        <f>IF(AND(Projects!$G$38="Yes",O$3&gt;=Projects!$C$38,O$3&lt;Projects!$C$38+Projects!$D$38),Projects!$B$38*INDEX(Curves!$B$4:$AR$4,1,O$3-Projects!$C$38+1),0)-IF(AND(Projects!$G$38="Yes",O$3&gt;=Projects!$C$38,O$3&lt;Projects!$C$38+Projects!$D$38),Projects!$B$38*(Assumptions!$B$10+Assumptions!$B$11+Assumptions!$B$12)/Projects!$D$38*0.95,0)-IF(AND(Projects!$G$38="Yes",O$3=Projects!$C$38+Projects!$D$38-1),Projects!$B$38*(Assumptions!$B$10+Assumptions!$B$11+Assumptions!$B$12)*0.05,0)</f>
        <v/>
      </c>
      <c r="P47" s="399">
        <f>IF(AND(Projects!$G$38="Yes",P$3&gt;=Projects!$C$38,P$3&lt;Projects!$C$38+Projects!$D$38),Projects!$B$38*INDEX(Curves!$B$4:$AR$4,1,P$3-Projects!$C$38+1),0)-IF(AND(Projects!$G$38="Yes",P$3&gt;=Projects!$C$38,P$3&lt;Projects!$C$38+Projects!$D$38),Projects!$B$38*(Assumptions!$B$10+Assumptions!$B$11+Assumptions!$B$12)/Projects!$D$38*0.95,0)-IF(AND(Projects!$G$38="Yes",P$3=Projects!$C$38+Projects!$D$38-1),Projects!$B$38*(Assumptions!$B$10+Assumptions!$B$11+Assumptions!$B$12)*0.05,0)</f>
        <v/>
      </c>
      <c r="Q47" s="399">
        <f>IF(AND(Projects!$G$38="Yes",Q$3&gt;=Projects!$C$38,Q$3&lt;Projects!$C$38+Projects!$D$38),Projects!$B$38*INDEX(Curves!$B$4:$AR$4,1,Q$3-Projects!$C$38+1),0)-IF(AND(Projects!$G$38="Yes",Q$3&gt;=Projects!$C$38,Q$3&lt;Projects!$C$38+Projects!$D$38),Projects!$B$38*(Assumptions!$B$10+Assumptions!$B$11+Assumptions!$B$12)/Projects!$D$38*0.95,0)-IF(AND(Projects!$G$38="Yes",Q$3=Projects!$C$38+Projects!$D$38-1),Projects!$B$38*(Assumptions!$B$10+Assumptions!$B$11+Assumptions!$B$12)*0.05,0)</f>
        <v/>
      </c>
      <c r="R47" s="399">
        <f>IF(AND(Projects!$G$38="Yes",R$3&gt;=Projects!$C$38,R$3&lt;Projects!$C$38+Projects!$D$38),Projects!$B$38*INDEX(Curves!$B$4:$AR$4,1,R$3-Projects!$C$38+1),0)-IF(AND(Projects!$G$38="Yes",R$3&gt;=Projects!$C$38,R$3&lt;Projects!$C$38+Projects!$D$38),Projects!$B$38*(Assumptions!$B$10+Assumptions!$B$11+Assumptions!$B$12)/Projects!$D$38*0.95,0)-IF(AND(Projects!$G$38="Yes",R$3=Projects!$C$38+Projects!$D$38-1),Projects!$B$38*(Assumptions!$B$10+Assumptions!$B$11+Assumptions!$B$12)*0.05,0)</f>
        <v/>
      </c>
      <c r="S47" s="399">
        <f>IF(AND(Projects!$G$38="Yes",S$3&gt;=Projects!$C$38,S$3&lt;Projects!$C$38+Projects!$D$38),Projects!$B$38*INDEX(Curves!$B$4:$AR$4,1,S$3-Projects!$C$38+1),0)-IF(AND(Projects!$G$38="Yes",S$3&gt;=Projects!$C$38,S$3&lt;Projects!$C$38+Projects!$D$38),Projects!$B$38*(Assumptions!$B$10+Assumptions!$B$11+Assumptions!$B$12)/Projects!$D$38*0.95,0)-IF(AND(Projects!$G$38="Yes",S$3=Projects!$C$38+Projects!$D$38-1),Projects!$B$38*(Assumptions!$B$10+Assumptions!$B$11+Assumptions!$B$12)*0.05,0)</f>
        <v/>
      </c>
      <c r="T47" s="399">
        <f>IF(AND(Projects!$G$38="Yes",T$3&gt;=Projects!$C$38,T$3&lt;Projects!$C$38+Projects!$D$38),Projects!$B$38*INDEX(Curves!$B$4:$AR$4,1,T$3-Projects!$C$38+1),0)-IF(AND(Projects!$G$38="Yes",T$3&gt;=Projects!$C$38,T$3&lt;Projects!$C$38+Projects!$D$38),Projects!$B$38*(Assumptions!$B$10+Assumptions!$B$11+Assumptions!$B$12)/Projects!$D$38*0.95,0)-IF(AND(Projects!$G$38="Yes",T$3=Projects!$C$38+Projects!$D$38-1),Projects!$B$38*(Assumptions!$B$10+Assumptions!$B$11+Assumptions!$B$12)*0.05,0)</f>
        <v/>
      </c>
      <c r="U47" s="399">
        <f>IF(AND(Projects!$G$38="Yes",U$3&gt;=Projects!$C$38,U$3&lt;Projects!$C$38+Projects!$D$38),Projects!$B$38*INDEX(Curves!$B$4:$AR$4,1,U$3-Projects!$C$38+1),0)-IF(AND(Projects!$G$38="Yes",U$3&gt;=Projects!$C$38,U$3&lt;Projects!$C$38+Projects!$D$38),Projects!$B$38*(Assumptions!$B$10+Assumptions!$B$11+Assumptions!$B$12)/Projects!$D$38*0.95,0)-IF(AND(Projects!$G$38="Yes",U$3=Projects!$C$38+Projects!$D$38-1),Projects!$B$38*(Assumptions!$B$10+Assumptions!$B$11+Assumptions!$B$12)*0.05,0)</f>
        <v/>
      </c>
      <c r="V47" s="399">
        <f>IF(AND(Projects!$G$38="Yes",V$3&gt;=Projects!$C$38,V$3&lt;Projects!$C$38+Projects!$D$38),Projects!$B$38*INDEX(Curves!$B$4:$AR$4,1,V$3-Projects!$C$38+1),0)-IF(AND(Projects!$G$38="Yes",V$3&gt;=Projects!$C$38,V$3&lt;Projects!$C$38+Projects!$D$38),Projects!$B$38*(Assumptions!$B$10+Assumptions!$B$11+Assumptions!$B$12)/Projects!$D$38*0.95,0)-IF(AND(Projects!$G$38="Yes",V$3=Projects!$C$38+Projects!$D$38-1),Projects!$B$38*(Assumptions!$B$10+Assumptions!$B$11+Assumptions!$B$12)*0.05,0)</f>
        <v/>
      </c>
      <c r="W47" s="399">
        <f>IF(AND(Projects!$G$38="Yes",W$3&gt;=Projects!$C$38,W$3&lt;Projects!$C$38+Projects!$D$38),Projects!$B$38*INDEX(Curves!$B$4:$AR$4,1,W$3-Projects!$C$38+1),0)-IF(AND(Projects!$G$38="Yes",W$3&gt;=Projects!$C$38,W$3&lt;Projects!$C$38+Projects!$D$38),Projects!$B$38*(Assumptions!$B$10+Assumptions!$B$11+Assumptions!$B$12)/Projects!$D$38*0.95,0)-IF(AND(Projects!$G$38="Yes",W$3=Projects!$C$38+Projects!$D$38-1),Projects!$B$38*(Assumptions!$B$10+Assumptions!$B$11+Assumptions!$B$12)*0.05,0)</f>
        <v/>
      </c>
      <c r="X47" s="399">
        <f>IF(AND(Projects!$G$38="Yes",X$3&gt;=Projects!$C$38,X$3&lt;Projects!$C$38+Projects!$D$38),Projects!$B$38*INDEX(Curves!$B$4:$AR$4,1,X$3-Projects!$C$38+1),0)-IF(AND(Projects!$G$38="Yes",X$3&gt;=Projects!$C$38,X$3&lt;Projects!$C$38+Projects!$D$38),Projects!$B$38*(Assumptions!$B$10+Assumptions!$B$11+Assumptions!$B$12)/Projects!$D$38*0.95,0)-IF(AND(Projects!$G$38="Yes",X$3=Projects!$C$38+Projects!$D$38-1),Projects!$B$38*(Assumptions!$B$10+Assumptions!$B$11+Assumptions!$B$12)*0.05,0)</f>
        <v/>
      </c>
      <c r="Y47" s="399">
        <f>IF(AND(Projects!$G$38="Yes",Y$3&gt;=Projects!$C$38,Y$3&lt;Projects!$C$38+Projects!$D$38),Projects!$B$38*INDEX(Curves!$B$4:$AR$4,1,Y$3-Projects!$C$38+1),0)-IF(AND(Projects!$G$38="Yes",Y$3&gt;=Projects!$C$38,Y$3&lt;Projects!$C$38+Projects!$D$38),Projects!$B$38*(Assumptions!$B$10+Assumptions!$B$11+Assumptions!$B$12)/Projects!$D$38*0.95,0)-IF(AND(Projects!$G$38="Yes",Y$3=Projects!$C$38+Projects!$D$38-1),Projects!$B$38*(Assumptions!$B$10+Assumptions!$B$11+Assumptions!$B$12)*0.05,0)</f>
        <v/>
      </c>
      <c r="Z47" s="399">
        <f>IF(AND(Projects!$G$38="Yes",Z$3&gt;=Projects!$C$38,Z$3&lt;Projects!$C$38+Projects!$D$38),Projects!$B$38*INDEX(Curves!$B$4:$AR$4,1,Z$3-Projects!$C$38+1),0)-IF(AND(Projects!$G$38="Yes",Z$3&gt;=Projects!$C$38,Z$3&lt;Projects!$C$38+Projects!$D$38),Projects!$B$38*(Assumptions!$B$10+Assumptions!$B$11+Assumptions!$B$12)/Projects!$D$38*0.95,0)-IF(AND(Projects!$G$38="Yes",Z$3=Projects!$C$38+Projects!$D$38-1),Projects!$B$38*(Assumptions!$B$10+Assumptions!$B$11+Assumptions!$B$12)*0.05,0)</f>
        <v/>
      </c>
      <c r="AA47" s="399">
        <f>IF(AND(Projects!$G$38="Yes",AA$3&gt;=Projects!$C$38,AA$3&lt;Projects!$C$38+Projects!$D$38),Projects!$B$38*INDEX(Curves!$B$4:$AR$4,1,AA$3-Projects!$C$38+1),0)-IF(AND(Projects!$G$38="Yes",AA$3&gt;=Projects!$C$38,AA$3&lt;Projects!$C$38+Projects!$D$38),Projects!$B$38*(Assumptions!$B$10+Assumptions!$B$11+Assumptions!$B$12)/Projects!$D$38*0.95,0)-IF(AND(Projects!$G$38="Yes",AA$3=Projects!$C$38+Projects!$D$38-1),Projects!$B$38*(Assumptions!$B$10+Assumptions!$B$11+Assumptions!$B$12)*0.05,0)</f>
        <v/>
      </c>
      <c r="AB47" s="399">
        <f>IF(AND(Projects!$G$38="Yes",AB$3&gt;=Projects!$C$38,AB$3&lt;Projects!$C$38+Projects!$D$38),Projects!$B$38*INDEX(Curves!$B$4:$AR$4,1,AB$3-Projects!$C$38+1),0)-IF(AND(Projects!$G$38="Yes",AB$3&gt;=Projects!$C$38,AB$3&lt;Projects!$C$38+Projects!$D$38),Projects!$B$38*(Assumptions!$B$10+Assumptions!$B$11+Assumptions!$B$12)/Projects!$D$38*0.95,0)-IF(AND(Projects!$G$38="Yes",AB$3=Projects!$C$38+Projects!$D$38-1),Projects!$B$38*(Assumptions!$B$10+Assumptions!$B$11+Assumptions!$B$12)*0.05,0)</f>
        <v/>
      </c>
      <c r="AC47" s="399">
        <f>IF(AND(Projects!$G$38="Yes",AC$3&gt;=Projects!$C$38,AC$3&lt;Projects!$C$38+Projects!$D$38),Projects!$B$38*INDEX(Curves!$B$4:$AR$4,1,AC$3-Projects!$C$38+1),0)-IF(AND(Projects!$G$38="Yes",AC$3&gt;=Projects!$C$38,AC$3&lt;Projects!$C$38+Projects!$D$38),Projects!$B$38*(Assumptions!$B$10+Assumptions!$B$11+Assumptions!$B$12)/Projects!$D$38*0.95,0)-IF(AND(Projects!$G$38="Yes",AC$3=Projects!$C$38+Projects!$D$38-1),Projects!$B$38*(Assumptions!$B$10+Assumptions!$B$11+Assumptions!$B$12)*0.05,0)</f>
        <v/>
      </c>
      <c r="AD47" s="399">
        <f>IF(AND(Projects!$G$38="Yes",AD$3&gt;=Projects!$C$38,AD$3&lt;Projects!$C$38+Projects!$D$38),Projects!$B$38*INDEX(Curves!$B$4:$AR$4,1,AD$3-Projects!$C$38+1),0)-IF(AND(Projects!$G$38="Yes",AD$3&gt;=Projects!$C$38,AD$3&lt;Projects!$C$38+Projects!$D$38),Projects!$B$38*(Assumptions!$B$10+Assumptions!$B$11+Assumptions!$B$12)/Projects!$D$38*0.95,0)-IF(AND(Projects!$G$38="Yes",AD$3=Projects!$C$38+Projects!$D$38-1),Projects!$B$38*(Assumptions!$B$10+Assumptions!$B$11+Assumptions!$B$12)*0.05,0)</f>
        <v/>
      </c>
      <c r="AE47" s="399">
        <f>IF(AND(Projects!$G$38="Yes",AE$3&gt;=Projects!$C$38,AE$3&lt;Projects!$C$38+Projects!$D$38),Projects!$B$38*INDEX(Curves!$B$4:$AR$4,1,AE$3-Projects!$C$38+1),0)-IF(AND(Projects!$G$38="Yes",AE$3&gt;=Projects!$C$38,AE$3&lt;Projects!$C$38+Projects!$D$38),Projects!$B$38*(Assumptions!$B$10+Assumptions!$B$11+Assumptions!$B$12)/Projects!$D$38*0.95,0)-IF(AND(Projects!$G$38="Yes",AE$3=Projects!$C$38+Projects!$D$38-1),Projects!$B$38*(Assumptions!$B$10+Assumptions!$B$11+Assumptions!$B$12)*0.05,0)</f>
        <v/>
      </c>
      <c r="AF47" s="399">
        <f>IF(AND(Projects!$G$38="Yes",AF$3&gt;=Projects!$C$38,AF$3&lt;Projects!$C$38+Projects!$D$38),Projects!$B$38*INDEX(Curves!$B$4:$AR$4,1,AF$3-Projects!$C$38+1),0)-IF(AND(Projects!$G$38="Yes",AF$3&gt;=Projects!$C$38,AF$3&lt;Projects!$C$38+Projects!$D$38),Projects!$B$38*(Assumptions!$B$10+Assumptions!$B$11+Assumptions!$B$12)/Projects!$D$38*0.95,0)-IF(AND(Projects!$G$38="Yes",AF$3=Projects!$C$38+Projects!$D$38-1),Projects!$B$38*(Assumptions!$B$10+Assumptions!$B$11+Assumptions!$B$12)*0.05,0)</f>
        <v/>
      </c>
      <c r="AG47" s="399">
        <f>IF(AND(Projects!$G$38="Yes",AG$3&gt;=Projects!$C$38,AG$3&lt;Projects!$C$38+Projects!$D$38),Projects!$B$38*INDEX(Curves!$B$4:$AR$4,1,AG$3-Projects!$C$38+1),0)-IF(AND(Projects!$G$38="Yes",AG$3&gt;=Projects!$C$38,AG$3&lt;Projects!$C$38+Projects!$D$38),Projects!$B$38*(Assumptions!$B$10+Assumptions!$B$11+Assumptions!$B$12)/Projects!$D$38*0.95,0)-IF(AND(Projects!$G$38="Yes",AG$3=Projects!$C$38+Projects!$D$38-1),Projects!$B$38*(Assumptions!$B$10+Assumptions!$B$11+Assumptions!$B$12)*0.05,0)</f>
        <v/>
      </c>
      <c r="AH47" s="399">
        <f>IF(AND(Projects!$G$38="Yes",AH$3&gt;=Projects!$C$38,AH$3&lt;Projects!$C$38+Projects!$D$38),Projects!$B$38*INDEX(Curves!$B$4:$AR$4,1,AH$3-Projects!$C$38+1),0)-IF(AND(Projects!$G$38="Yes",AH$3&gt;=Projects!$C$38,AH$3&lt;Projects!$C$38+Projects!$D$38),Projects!$B$38*(Assumptions!$B$10+Assumptions!$B$11+Assumptions!$B$12)/Projects!$D$38*0.95,0)-IF(AND(Projects!$G$38="Yes",AH$3=Projects!$C$38+Projects!$D$38-1),Projects!$B$38*(Assumptions!$B$10+Assumptions!$B$11+Assumptions!$B$12)*0.05,0)</f>
        <v/>
      </c>
      <c r="AI47" s="399">
        <f>IF(AND(Projects!$G$38="Yes",AI$3&gt;=Projects!$C$38,AI$3&lt;Projects!$C$38+Projects!$D$38),Projects!$B$38*INDEX(Curves!$B$4:$AR$4,1,AI$3-Projects!$C$38+1),0)-IF(AND(Projects!$G$38="Yes",AI$3&gt;=Projects!$C$38,AI$3&lt;Projects!$C$38+Projects!$D$38),Projects!$B$38*(Assumptions!$B$10+Assumptions!$B$11+Assumptions!$B$12)/Projects!$D$38*0.95,0)-IF(AND(Projects!$G$38="Yes",AI$3=Projects!$C$38+Projects!$D$38-1),Projects!$B$38*(Assumptions!$B$10+Assumptions!$B$11+Assumptions!$B$12)*0.05,0)</f>
        <v/>
      </c>
      <c r="AJ47" s="399">
        <f>IF(AND(Projects!$G$38="Yes",AJ$3&gt;=Projects!$C$38,AJ$3&lt;Projects!$C$38+Projects!$D$38),Projects!$B$38*INDEX(Curves!$B$4:$AR$4,1,AJ$3-Projects!$C$38+1),0)-IF(AND(Projects!$G$38="Yes",AJ$3&gt;=Projects!$C$38,AJ$3&lt;Projects!$C$38+Projects!$D$38),Projects!$B$38*(Assumptions!$B$10+Assumptions!$B$11+Assumptions!$B$12)/Projects!$D$38*0.95,0)-IF(AND(Projects!$G$38="Yes",AJ$3=Projects!$C$38+Projects!$D$38-1),Projects!$B$38*(Assumptions!$B$10+Assumptions!$B$11+Assumptions!$B$12)*0.05,0)</f>
        <v/>
      </c>
      <c r="AK47" s="399">
        <f>IF(AND(Projects!$G$38="Yes",AK$3&gt;=Projects!$C$38,AK$3&lt;Projects!$C$38+Projects!$D$38),Projects!$B$38*INDEX(Curves!$B$4:$AR$4,1,AK$3-Projects!$C$38+1),0)-IF(AND(Projects!$G$38="Yes",AK$3&gt;=Projects!$C$38,AK$3&lt;Projects!$C$38+Projects!$D$38),Projects!$B$38*(Assumptions!$B$10+Assumptions!$B$11+Assumptions!$B$12)/Projects!$D$38*0.95,0)-IF(AND(Projects!$G$38="Yes",AK$3=Projects!$C$38+Projects!$D$38-1),Projects!$B$38*(Assumptions!$B$10+Assumptions!$B$11+Assumptions!$B$12)*0.05,0)</f>
        <v/>
      </c>
      <c r="AL47" s="399">
        <f>IF(AND(Projects!$G$38="Yes",AL$3&gt;=Projects!$C$38,AL$3&lt;Projects!$C$38+Projects!$D$38),Projects!$B$38*INDEX(Curves!$B$4:$AR$4,1,AL$3-Projects!$C$38+1),0)-IF(AND(Projects!$G$38="Yes",AL$3&gt;=Projects!$C$38,AL$3&lt;Projects!$C$38+Projects!$D$38),Projects!$B$38*(Assumptions!$B$10+Assumptions!$B$11+Assumptions!$B$12)/Projects!$D$38*0.95,0)-IF(AND(Projects!$G$38="Yes",AL$3=Projects!$C$38+Projects!$D$38-1),Projects!$B$38*(Assumptions!$B$10+Assumptions!$B$11+Assumptions!$B$12)*0.05,0)</f>
        <v/>
      </c>
      <c r="AM47" s="399">
        <f>IF(AND(Projects!$G$38="Yes",AM$3&gt;=Projects!$C$38,AM$3&lt;Projects!$C$38+Projects!$D$38),Projects!$B$38*INDEX(Curves!$B$4:$AR$4,1,AM$3-Projects!$C$38+1),0)-IF(AND(Projects!$G$38="Yes",AM$3&gt;=Projects!$C$38,AM$3&lt;Projects!$C$38+Projects!$D$38),Projects!$B$38*(Assumptions!$B$10+Assumptions!$B$11+Assumptions!$B$12)/Projects!$D$38*0.95,0)-IF(AND(Projects!$G$38="Yes",AM$3=Projects!$C$38+Projects!$D$38-1),Projects!$B$38*(Assumptions!$B$10+Assumptions!$B$11+Assumptions!$B$12)*0.05,0)</f>
        <v/>
      </c>
      <c r="AN47" s="399">
        <f>IF(AND(Projects!$G$38="Yes",AN$3&gt;=Projects!$C$38,AN$3&lt;Projects!$C$38+Projects!$D$38),Projects!$B$38*INDEX(Curves!$B$4:$AR$4,1,AN$3-Projects!$C$38+1),0)-IF(AND(Projects!$G$38="Yes",AN$3&gt;=Projects!$C$38,AN$3&lt;Projects!$C$38+Projects!$D$38),Projects!$B$38*(Assumptions!$B$10+Assumptions!$B$11+Assumptions!$B$12)/Projects!$D$38*0.95,0)-IF(AND(Projects!$G$38="Yes",AN$3=Projects!$C$38+Projects!$D$38-1),Projects!$B$38*(Assumptions!$B$10+Assumptions!$B$11+Assumptions!$B$12)*0.05,0)</f>
        <v/>
      </c>
      <c r="AO47" s="399">
        <f>IF(AND(Projects!$G$38="Yes",AO$3&gt;=Projects!$C$38,AO$3&lt;Projects!$C$38+Projects!$D$38),Projects!$B$38*INDEX(Curves!$B$4:$AR$4,1,AO$3-Projects!$C$38+1),0)-IF(AND(Projects!$G$38="Yes",AO$3&gt;=Projects!$C$38,AO$3&lt;Projects!$C$38+Projects!$D$38),Projects!$B$38*(Assumptions!$B$10+Assumptions!$B$11+Assumptions!$B$12)/Projects!$D$38*0.95,0)-IF(AND(Projects!$G$38="Yes",AO$3=Projects!$C$38+Projects!$D$38-1),Projects!$B$38*(Assumptions!$B$10+Assumptions!$B$11+Assumptions!$B$12)*0.05,0)</f>
        <v/>
      </c>
      <c r="AP47" s="399">
        <f>IF(AND(Projects!$G$38="Yes",AP$3&gt;=Projects!$C$38,AP$3&lt;Projects!$C$38+Projects!$D$38),Projects!$B$38*INDEX(Curves!$B$4:$AR$4,1,AP$3-Projects!$C$38+1),0)-IF(AND(Projects!$G$38="Yes",AP$3&gt;=Projects!$C$38,AP$3&lt;Projects!$C$38+Projects!$D$38),Projects!$B$38*(Assumptions!$B$10+Assumptions!$B$11+Assumptions!$B$12)/Projects!$D$38*0.95,0)-IF(AND(Projects!$G$38="Yes",AP$3=Projects!$C$38+Projects!$D$38-1),Projects!$B$38*(Assumptions!$B$10+Assumptions!$B$11+Assumptions!$B$12)*0.05,0)</f>
        <v/>
      </c>
      <c r="AQ47" s="399">
        <f>IF(AND(Projects!$G$38="Yes",AQ$3&gt;=Projects!$C$38,AQ$3&lt;Projects!$C$38+Projects!$D$38),Projects!$B$38*INDEX(Curves!$B$4:$AR$4,1,AQ$3-Projects!$C$38+1),0)-IF(AND(Projects!$G$38="Yes",AQ$3&gt;=Projects!$C$38,AQ$3&lt;Projects!$C$38+Projects!$D$38),Projects!$B$38*(Assumptions!$B$10+Assumptions!$B$11+Assumptions!$B$12)/Projects!$D$38*0.95,0)-IF(AND(Projects!$G$38="Yes",AQ$3=Projects!$C$38+Projects!$D$38-1),Projects!$B$38*(Assumptions!$B$10+Assumptions!$B$11+Assumptions!$B$12)*0.05,0)</f>
        <v/>
      </c>
      <c r="AR47" s="399">
        <f>IF(AND(Projects!$G$38="Yes",AR$3&gt;=Projects!$C$38,AR$3&lt;Projects!$C$38+Projects!$D$38),Projects!$B$38*INDEX(Curves!$B$4:$AR$4,1,AR$3-Projects!$C$38+1),0)-IF(AND(Projects!$G$38="Yes",AR$3&gt;=Projects!$C$38,AR$3&lt;Projects!$C$38+Projects!$D$38),Projects!$B$38*(Assumptions!$B$10+Assumptions!$B$11+Assumptions!$B$12)/Projects!$D$38*0.95,0)-IF(AND(Projects!$G$38="Yes",AR$3=Projects!$C$38+Projects!$D$38-1),Projects!$B$38*(Assumptions!$B$10+Assumptions!$B$11+Assumptions!$B$12)*0.05,0)</f>
        <v/>
      </c>
      <c r="AS47" s="399">
        <f>IF(AND(Projects!$G$38="Yes",AS$3&gt;=Projects!$C$38,AS$3&lt;Projects!$C$38+Projects!$D$38),Projects!$B$38*INDEX(Curves!$B$4:$AR$4,1,AS$3-Projects!$C$38+1),0)-IF(AND(Projects!$G$38="Yes",AS$3&gt;=Projects!$C$38,AS$3&lt;Projects!$C$38+Projects!$D$38),Projects!$B$38*(Assumptions!$B$10+Assumptions!$B$11+Assumptions!$B$12)/Projects!$D$38*0.95,0)-IF(AND(Projects!$G$38="Yes",AS$3=Projects!$C$38+Projects!$D$38-1),Projects!$B$38*(Assumptions!$B$10+Assumptions!$B$11+Assumptions!$B$12)*0.05,0)</f>
        <v/>
      </c>
      <c r="AT47" s="399">
        <f>IF(AND(Projects!$G$38="Yes",AT$3&gt;=Projects!$C$38,AT$3&lt;Projects!$C$38+Projects!$D$38),Projects!$B$38*INDEX(Curves!$B$4:$AR$4,1,AT$3-Projects!$C$38+1),0)-IF(AND(Projects!$G$38="Yes",AT$3&gt;=Projects!$C$38,AT$3&lt;Projects!$C$38+Projects!$D$38),Projects!$B$38*(Assumptions!$B$10+Assumptions!$B$11+Assumptions!$B$12)/Projects!$D$38*0.95,0)-IF(AND(Projects!$G$38="Yes",AT$3=Projects!$C$38+Projects!$D$38-1),Projects!$B$38*(Assumptions!$B$10+Assumptions!$B$11+Assumptions!$B$12)*0.05,0)</f>
        <v/>
      </c>
      <c r="AU47" s="399">
        <f>IF(AND(Projects!$G$38="Yes",AU$3&gt;=Projects!$C$38,AU$3&lt;Projects!$C$38+Projects!$D$38),Projects!$B$38*INDEX(Curves!$B$4:$AR$4,1,AU$3-Projects!$C$38+1),0)-IF(AND(Projects!$G$38="Yes",AU$3&gt;=Projects!$C$38,AU$3&lt;Projects!$C$38+Projects!$D$38),Projects!$B$38*(Assumptions!$B$10+Assumptions!$B$11+Assumptions!$B$12)/Projects!$D$38*0.95,0)-IF(AND(Projects!$G$38="Yes",AU$3=Projects!$C$38+Projects!$D$38-1),Projects!$B$38*(Assumptions!$B$10+Assumptions!$B$11+Assumptions!$B$12)*0.05,0)</f>
        <v/>
      </c>
      <c r="AV47" s="399">
        <f>IF(AND(Projects!$G$38="Yes",AV$3&gt;=Projects!$C$38,AV$3&lt;Projects!$C$38+Projects!$D$38),Projects!$B$38*INDEX(Curves!$B$4:$AR$4,1,AV$3-Projects!$C$38+1),0)-IF(AND(Projects!$G$38="Yes",AV$3&gt;=Projects!$C$38,AV$3&lt;Projects!$C$38+Projects!$D$38),Projects!$B$38*(Assumptions!$B$10+Assumptions!$B$11+Assumptions!$B$12)/Projects!$D$38*0.95,0)-IF(AND(Projects!$G$38="Yes",AV$3=Projects!$C$38+Projects!$D$38-1),Projects!$B$38*(Assumptions!$B$10+Assumptions!$B$11+Assumptions!$B$12)*0.05,0)</f>
        <v/>
      </c>
      <c r="AW47" s="399">
        <f>IF(AND(Projects!$G$38="Yes",AW$3&gt;=Projects!$C$38,AW$3&lt;Projects!$C$38+Projects!$D$38),Projects!$B$38*INDEX(Curves!$B$4:$AR$4,1,AW$3-Projects!$C$38+1),0)-IF(AND(Projects!$G$38="Yes",AW$3&gt;=Projects!$C$38,AW$3&lt;Projects!$C$38+Projects!$D$38),Projects!$B$38*(Assumptions!$B$10+Assumptions!$B$11+Assumptions!$B$12)/Projects!$D$38*0.95,0)-IF(AND(Projects!$G$38="Yes",AW$3=Projects!$C$38+Projects!$D$38-1),Projects!$B$38*(Assumptions!$B$10+Assumptions!$B$11+Assumptions!$B$12)*0.05,0)</f>
        <v/>
      </c>
      <c r="AX47" s="399">
        <f>IF(AND(Projects!$G$38="Yes",AX$3&gt;=Projects!$C$38,AX$3&lt;Projects!$C$38+Projects!$D$38),Projects!$B$38*INDEX(Curves!$B$4:$AR$4,1,AX$3-Projects!$C$38+1),0)-IF(AND(Projects!$G$38="Yes",AX$3&gt;=Projects!$C$38,AX$3&lt;Projects!$C$38+Projects!$D$38),Projects!$B$38*(Assumptions!$B$10+Assumptions!$B$11+Assumptions!$B$12)/Projects!$D$38*0.95,0)-IF(AND(Projects!$G$38="Yes",AX$3=Projects!$C$38+Projects!$D$38-1),Projects!$B$38*(Assumptions!$B$10+Assumptions!$B$11+Assumptions!$B$12)*0.05,0)</f>
        <v/>
      </c>
      <c r="AY47" s="399">
        <f>IF(AND(Projects!$G$38="Yes",AY$3&gt;=Projects!$C$38,AY$3&lt;Projects!$C$38+Projects!$D$38),Projects!$B$38*INDEX(Curves!$B$4:$AR$4,1,AY$3-Projects!$C$38+1),0)-IF(AND(Projects!$G$38="Yes",AY$3&gt;=Projects!$C$38,AY$3&lt;Projects!$C$38+Projects!$D$38),Projects!$B$38*(Assumptions!$B$10+Assumptions!$B$11+Assumptions!$B$12)/Projects!$D$38*0.95,0)-IF(AND(Projects!$G$38="Yes",AY$3=Projects!$C$38+Projects!$D$38-1),Projects!$B$38*(Assumptions!$B$10+Assumptions!$B$11+Assumptions!$B$12)*0.05,0)</f>
        <v/>
      </c>
      <c r="AZ47" s="399">
        <f>IF(AND(Projects!$G$38="Yes",AZ$3&gt;=Projects!$C$38,AZ$3&lt;Projects!$C$38+Projects!$D$38),Projects!$B$38*INDEX(Curves!$B$4:$AR$4,1,AZ$3-Projects!$C$38+1),0)-IF(AND(Projects!$G$38="Yes",AZ$3&gt;=Projects!$C$38,AZ$3&lt;Projects!$C$38+Projects!$D$38),Projects!$B$38*(Assumptions!$B$10+Assumptions!$B$11+Assumptions!$B$12)/Projects!$D$38*0.95,0)-IF(AND(Projects!$G$38="Yes",AZ$3=Projects!$C$38+Projects!$D$38-1),Projects!$B$38*(Assumptions!$B$10+Assumptions!$B$11+Assumptions!$B$12)*0.05,0)</f>
        <v/>
      </c>
      <c r="BA47" s="399">
        <f>IF(AND(Projects!$G$38="Yes",BA$3&gt;=Projects!$C$38,BA$3&lt;Projects!$C$38+Projects!$D$38),Projects!$B$38*INDEX(Curves!$B$4:$AR$4,1,BA$3-Projects!$C$38+1),0)-IF(AND(Projects!$G$38="Yes",BA$3&gt;=Projects!$C$38,BA$3&lt;Projects!$C$38+Projects!$D$38),Projects!$B$38*(Assumptions!$B$10+Assumptions!$B$11+Assumptions!$B$12)/Projects!$D$38*0.95,0)-IF(AND(Projects!$G$38="Yes",BA$3=Projects!$C$38+Projects!$D$38-1),Projects!$B$38*(Assumptions!$B$10+Assumptions!$B$11+Assumptions!$B$12)*0.05,0)</f>
        <v/>
      </c>
      <c r="BB47" s="399">
        <f>IF(AND(Projects!$G$38="Yes",BB$3&gt;=Projects!$C$38,BB$3&lt;Projects!$C$38+Projects!$D$38),Projects!$B$38*INDEX(Curves!$B$4:$AR$4,1,BB$3-Projects!$C$38+1),0)-IF(AND(Projects!$G$38="Yes",BB$3&gt;=Projects!$C$38,BB$3&lt;Projects!$C$38+Projects!$D$38),Projects!$B$38*(Assumptions!$B$10+Assumptions!$B$11+Assumptions!$B$12)/Projects!$D$38*0.95,0)-IF(AND(Projects!$G$38="Yes",BB$3=Projects!$C$38+Projects!$D$38-1),Projects!$B$38*(Assumptions!$B$10+Assumptions!$B$11+Assumptions!$B$12)*0.05,0)</f>
        <v/>
      </c>
      <c r="BC47" s="399">
        <f>IF(AND(Projects!$G$38="Yes",BC$3&gt;=Projects!$C$38,BC$3&lt;Projects!$C$38+Projects!$D$38),Projects!$B$38*INDEX(Curves!$B$4:$AR$4,1,BC$3-Projects!$C$38+1),0)-IF(AND(Projects!$G$38="Yes",BC$3&gt;=Projects!$C$38,BC$3&lt;Projects!$C$38+Projects!$D$38),Projects!$B$38*(Assumptions!$B$10+Assumptions!$B$11+Assumptions!$B$12)/Projects!$D$38*0.95,0)-IF(AND(Projects!$G$38="Yes",BC$3=Projects!$C$38+Projects!$D$38-1),Projects!$B$38*(Assumptions!$B$10+Assumptions!$B$11+Assumptions!$B$12)*0.05,0)</f>
        <v/>
      </c>
      <c r="BD47" s="399">
        <f>IF(AND(Projects!$G$38="Yes",BD$3&gt;=Projects!$C$38,BD$3&lt;Projects!$C$38+Projects!$D$38),Projects!$B$38*INDEX(Curves!$B$4:$AR$4,1,BD$3-Projects!$C$38+1),0)-IF(AND(Projects!$G$38="Yes",BD$3&gt;=Projects!$C$38,BD$3&lt;Projects!$C$38+Projects!$D$38),Projects!$B$38*(Assumptions!$B$10+Assumptions!$B$11+Assumptions!$B$12)/Projects!$D$38*0.95,0)-IF(AND(Projects!$G$38="Yes",BD$3=Projects!$C$38+Projects!$D$38-1),Projects!$B$38*(Assumptions!$B$10+Assumptions!$B$11+Assumptions!$B$12)*0.05,0)</f>
        <v/>
      </c>
      <c r="BE47" s="399">
        <f>IF(AND(Projects!$G$38="Yes",BE$3&gt;=Projects!$C$38,BE$3&lt;Projects!$C$38+Projects!$D$38),Projects!$B$38*INDEX(Curves!$B$4:$AR$4,1,BE$3-Projects!$C$38+1),0)-IF(AND(Projects!$G$38="Yes",BE$3&gt;=Projects!$C$38,BE$3&lt;Projects!$C$38+Projects!$D$38),Projects!$B$38*(Assumptions!$B$10+Assumptions!$B$11+Assumptions!$B$12)/Projects!$D$38*0.95,0)-IF(AND(Projects!$G$38="Yes",BE$3=Projects!$C$38+Projects!$D$38-1),Projects!$B$38*(Assumptions!$B$10+Assumptions!$B$11+Assumptions!$B$12)*0.05,0)</f>
        <v/>
      </c>
      <c r="BF47" s="399">
        <f>IF(AND(Projects!$G$38="Yes",BF$3&gt;=Projects!$C$38,BF$3&lt;Projects!$C$38+Projects!$D$38),Projects!$B$38*INDEX(Curves!$B$4:$AR$4,1,BF$3-Projects!$C$38+1),0)-IF(AND(Projects!$G$38="Yes",BF$3&gt;=Projects!$C$38,BF$3&lt;Projects!$C$38+Projects!$D$38),Projects!$B$38*(Assumptions!$B$10+Assumptions!$B$11+Assumptions!$B$12)/Projects!$D$38*0.95,0)-IF(AND(Projects!$G$38="Yes",BF$3=Projects!$C$38+Projects!$D$38-1),Projects!$B$38*(Assumptions!$B$10+Assumptions!$B$11+Assumptions!$B$12)*0.05,0)</f>
        <v/>
      </c>
      <c r="BG47" s="399">
        <f>IF(AND(Projects!$G$38="Yes",BG$3&gt;=Projects!$C$38,BG$3&lt;Projects!$C$38+Projects!$D$38),Projects!$B$38*INDEX(Curves!$B$4:$AR$4,1,BG$3-Projects!$C$38+1),0)-IF(AND(Projects!$G$38="Yes",BG$3&gt;=Projects!$C$38,BG$3&lt;Projects!$C$38+Projects!$D$38),Projects!$B$38*(Assumptions!$B$10+Assumptions!$B$11+Assumptions!$B$12)/Projects!$D$38*0.95,0)-IF(AND(Projects!$G$38="Yes",BG$3=Projects!$C$38+Projects!$D$38-1),Projects!$B$38*(Assumptions!$B$10+Assumptions!$B$11+Assumptions!$B$12)*0.05,0)</f>
        <v/>
      </c>
      <c r="BH47" s="399">
        <f>IF(AND(Projects!$G$38="Yes",BH$3&gt;=Projects!$C$38,BH$3&lt;Projects!$C$38+Projects!$D$38),Projects!$B$38*INDEX(Curves!$B$4:$AR$4,1,BH$3-Projects!$C$38+1),0)-IF(AND(Projects!$G$38="Yes",BH$3&gt;=Projects!$C$38,BH$3&lt;Projects!$C$38+Projects!$D$38),Projects!$B$38*(Assumptions!$B$10+Assumptions!$B$11+Assumptions!$B$12)/Projects!$D$38*0.95,0)-IF(AND(Projects!$G$38="Yes",BH$3=Projects!$C$38+Projects!$D$38-1),Projects!$B$38*(Assumptions!$B$10+Assumptions!$B$11+Assumptions!$B$12)*0.05,0)</f>
        <v/>
      </c>
      <c r="BI47" s="399">
        <f>IF(AND(Projects!$G$38="Yes",BI$3&gt;=Projects!$C$38,BI$3&lt;Projects!$C$38+Projects!$D$38),Projects!$B$38*INDEX(Curves!$B$4:$AR$4,1,BI$3-Projects!$C$38+1),0)-IF(AND(Projects!$G$38="Yes",BI$3&gt;=Projects!$C$38,BI$3&lt;Projects!$C$38+Projects!$D$38),Projects!$B$38*(Assumptions!$B$10+Assumptions!$B$11+Assumptions!$B$12)/Projects!$D$38*0.95,0)-IF(AND(Projects!$G$38="Yes",BI$3=Projects!$C$38+Projects!$D$38-1),Projects!$B$38*(Assumptions!$B$10+Assumptions!$B$11+Assumptions!$B$12)*0.05,0)</f>
        <v/>
      </c>
      <c r="BJ47" s="399">
        <f>IF(AND(Projects!$G$38="Yes",BJ$3&gt;=Projects!$C$38,BJ$3&lt;Projects!$C$38+Projects!$D$38),Projects!$B$38*INDEX(Curves!$B$4:$AR$4,1,BJ$3-Projects!$C$38+1),0)-IF(AND(Projects!$G$38="Yes",BJ$3&gt;=Projects!$C$38,BJ$3&lt;Projects!$C$38+Projects!$D$38),Projects!$B$38*(Assumptions!$B$10+Assumptions!$B$11+Assumptions!$B$12)/Projects!$D$38*0.95,0)-IF(AND(Projects!$G$38="Yes",BJ$3=Projects!$C$38+Projects!$D$38-1),Projects!$B$38*(Assumptions!$B$10+Assumptions!$B$11+Assumptions!$B$12)*0.05,0)</f>
        <v/>
      </c>
      <c r="BK47" s="399">
        <f>IF(AND(Projects!$G$38="Yes",BK$3&gt;=Projects!$C$38,BK$3&lt;Projects!$C$38+Projects!$D$38),Projects!$B$38*INDEX(Curves!$B$4:$AR$4,1,BK$3-Projects!$C$38+1),0)-IF(AND(Projects!$G$38="Yes",BK$3&gt;=Projects!$C$38,BK$3&lt;Projects!$C$38+Projects!$D$38),Projects!$B$38*(Assumptions!$B$10+Assumptions!$B$11+Assumptions!$B$12)/Projects!$D$38*0.95,0)-IF(AND(Projects!$G$38="Yes",BK$3=Projects!$C$38+Projects!$D$38-1),Projects!$B$38*(Assumptions!$B$10+Assumptions!$B$11+Assumptions!$B$12)*0.05,0)</f>
        <v/>
      </c>
      <c r="BL47" s="399">
        <f>IF(AND(Projects!$G$38="Yes",BL$3&gt;=Projects!$C$38,BL$3&lt;Projects!$C$38+Projects!$D$38),Projects!$B$38*INDEX(Curves!$B$4:$AR$4,1,BL$3-Projects!$C$38+1),0)-IF(AND(Projects!$G$38="Yes",BL$3&gt;=Projects!$C$38,BL$3&lt;Projects!$C$38+Projects!$D$38),Projects!$B$38*(Assumptions!$B$10+Assumptions!$B$11+Assumptions!$B$12)/Projects!$D$38*0.95,0)-IF(AND(Projects!$G$38="Yes",BL$3=Projects!$C$38+Projects!$D$38-1),Projects!$B$38*(Assumptions!$B$10+Assumptions!$B$11+Assumptions!$B$12)*0.05,0)</f>
        <v/>
      </c>
      <c r="BM47" s="399">
        <f>IF(AND(Projects!$G$38="Yes",BM$3&gt;=Projects!$C$38,BM$3&lt;Projects!$C$38+Projects!$D$38),Projects!$B$38*INDEX(Curves!$B$4:$AR$4,1,BM$3-Projects!$C$38+1),0)-IF(AND(Projects!$G$38="Yes",BM$3&gt;=Projects!$C$38,BM$3&lt;Projects!$C$38+Projects!$D$38),Projects!$B$38*(Assumptions!$B$10+Assumptions!$B$11+Assumptions!$B$12)/Projects!$D$38*0.95,0)-IF(AND(Projects!$G$38="Yes",BM$3=Projects!$C$38+Projects!$D$38-1),Projects!$B$38*(Assumptions!$B$10+Assumptions!$B$11+Assumptions!$B$12)*0.05,0)</f>
        <v/>
      </c>
      <c r="BN47" s="399">
        <f>IF(AND(Projects!$G$38="Yes",BN$3&gt;=Projects!$C$38,BN$3&lt;Projects!$C$38+Projects!$D$38),Projects!$B$38*INDEX(Curves!$B$4:$AR$4,1,BN$3-Projects!$C$38+1),0)-IF(AND(Projects!$G$38="Yes",BN$3&gt;=Projects!$C$38,BN$3&lt;Projects!$C$38+Projects!$D$38),Projects!$B$38*(Assumptions!$B$10+Assumptions!$B$11+Assumptions!$B$12)/Projects!$D$38*0.95,0)-IF(AND(Projects!$G$38="Yes",BN$3=Projects!$C$38+Projects!$D$38-1),Projects!$B$38*(Assumptions!$B$10+Assumptions!$B$11+Assumptions!$B$12)*0.05,0)</f>
        <v/>
      </c>
      <c r="BO47" s="399">
        <f>IF(AND(Projects!$G$38="Yes",BO$3&gt;=Projects!$C$38,BO$3&lt;Projects!$C$38+Projects!$D$38),Projects!$B$38*INDEX(Curves!$B$4:$AR$4,1,BO$3-Projects!$C$38+1),0)-IF(AND(Projects!$G$38="Yes",BO$3&gt;=Projects!$C$38,BO$3&lt;Projects!$C$38+Projects!$D$38),Projects!$B$38*(Assumptions!$B$10+Assumptions!$B$11+Assumptions!$B$12)/Projects!$D$38*0.95,0)-IF(AND(Projects!$G$38="Yes",BO$3=Projects!$C$38+Projects!$D$38-1),Projects!$B$38*(Assumptions!$B$10+Assumptions!$B$11+Assumptions!$B$12)*0.05,0)</f>
        <v/>
      </c>
      <c r="BP47" s="399">
        <f>IF(AND(Projects!$G$38="Yes",BP$3&gt;=Projects!$C$38,BP$3&lt;Projects!$C$38+Projects!$D$38),Projects!$B$38*INDEX(Curves!$B$4:$AR$4,1,BP$3-Projects!$C$38+1),0)-IF(AND(Projects!$G$38="Yes",BP$3&gt;=Projects!$C$38,BP$3&lt;Projects!$C$38+Projects!$D$38),Projects!$B$38*(Assumptions!$B$10+Assumptions!$B$11+Assumptions!$B$12)/Projects!$D$38*0.95,0)-IF(AND(Projects!$G$38="Yes",BP$3=Projects!$C$38+Projects!$D$38-1),Projects!$B$38*(Assumptions!$B$10+Assumptions!$B$11+Assumptions!$B$12)*0.05,0)</f>
        <v/>
      </c>
      <c r="BQ47" s="399">
        <f>IF(AND(Projects!$G$38="Yes",BQ$3&gt;=Projects!$C$38,BQ$3&lt;Projects!$C$38+Projects!$D$38),Projects!$B$38*INDEX(Curves!$B$4:$AR$4,1,BQ$3-Projects!$C$38+1),0)-IF(AND(Projects!$G$38="Yes",BQ$3&gt;=Projects!$C$38,BQ$3&lt;Projects!$C$38+Projects!$D$38),Projects!$B$38*(Assumptions!$B$10+Assumptions!$B$11+Assumptions!$B$12)/Projects!$D$38*0.95,0)-IF(AND(Projects!$G$38="Yes",BQ$3=Projects!$C$38+Projects!$D$38-1),Projects!$B$38*(Assumptions!$B$10+Assumptions!$B$11+Assumptions!$B$12)*0.05,0)</f>
        <v/>
      </c>
      <c r="BR47" s="399">
        <f>IF(AND(Projects!$G$38="Yes",BR$3&gt;=Projects!$C$38,BR$3&lt;Projects!$C$38+Projects!$D$38),Projects!$B$38*INDEX(Curves!$B$4:$AR$4,1,BR$3-Projects!$C$38+1),0)-IF(AND(Projects!$G$38="Yes",BR$3&gt;=Projects!$C$38,BR$3&lt;Projects!$C$38+Projects!$D$38),Projects!$B$38*(Assumptions!$B$10+Assumptions!$B$11+Assumptions!$B$12)/Projects!$D$38*0.95,0)-IF(AND(Projects!$G$38="Yes",BR$3=Projects!$C$38+Projects!$D$38-1),Projects!$B$38*(Assumptions!$B$10+Assumptions!$B$11+Assumptions!$B$12)*0.05,0)</f>
        <v/>
      </c>
      <c r="BS47" s="399">
        <f>IF(AND(Projects!$G$38="Yes",BS$3&gt;=Projects!$C$38,BS$3&lt;Projects!$C$38+Projects!$D$38),Projects!$B$38*INDEX(Curves!$B$4:$AR$4,1,BS$3-Projects!$C$38+1),0)-IF(AND(Projects!$G$38="Yes",BS$3&gt;=Projects!$C$38,BS$3&lt;Projects!$C$38+Projects!$D$38),Projects!$B$38*(Assumptions!$B$10+Assumptions!$B$11+Assumptions!$B$12)/Projects!$D$38*0.95,0)-IF(AND(Projects!$G$38="Yes",BS$3=Projects!$C$38+Projects!$D$38-1),Projects!$B$38*(Assumptions!$B$10+Assumptions!$B$11+Assumptions!$B$12)*0.05,0)</f>
        <v/>
      </c>
      <c r="BT47" s="399">
        <f>IF(AND(Projects!$G$38="Yes",BT$3&gt;=Projects!$C$38,BT$3&lt;Projects!$C$38+Projects!$D$38),Projects!$B$38*INDEX(Curves!$B$4:$AR$4,1,BT$3-Projects!$C$38+1),0)-IF(AND(Projects!$G$38="Yes",BT$3&gt;=Projects!$C$38,BT$3&lt;Projects!$C$38+Projects!$D$38),Projects!$B$38*(Assumptions!$B$10+Assumptions!$B$11+Assumptions!$B$12)/Projects!$D$38*0.95,0)-IF(AND(Projects!$G$38="Yes",BT$3=Projects!$C$38+Projects!$D$38-1),Projects!$B$38*(Assumptions!$B$10+Assumptions!$B$11+Assumptions!$B$12)*0.05,0)</f>
        <v/>
      </c>
      <c r="BU47" s="399">
        <f>IF(AND(Projects!$G$38="Yes",BU$3&gt;=Projects!$C$38,BU$3&lt;Projects!$C$38+Projects!$D$38),Projects!$B$38*INDEX(Curves!$B$4:$AR$4,1,BU$3-Projects!$C$38+1),0)-IF(AND(Projects!$G$38="Yes",BU$3&gt;=Projects!$C$38,BU$3&lt;Projects!$C$38+Projects!$D$38),Projects!$B$38*(Assumptions!$B$10+Assumptions!$B$11+Assumptions!$B$12)/Projects!$D$38*0.95,0)-IF(AND(Projects!$G$38="Yes",BU$3=Projects!$C$38+Projects!$D$38-1),Projects!$B$38*(Assumptions!$B$10+Assumptions!$B$11+Assumptions!$B$12)*0.05,0)</f>
        <v/>
      </c>
      <c r="BV47" s="399">
        <f>IF(AND(Projects!$G$38="Yes",BV$3&gt;=Projects!$C$38,BV$3&lt;Projects!$C$38+Projects!$D$38),Projects!$B$38*INDEX(Curves!$B$4:$AR$4,1,BV$3-Projects!$C$38+1),0)-IF(AND(Projects!$G$38="Yes",BV$3&gt;=Projects!$C$38,BV$3&lt;Projects!$C$38+Projects!$D$38),Projects!$B$38*(Assumptions!$B$10+Assumptions!$B$11+Assumptions!$B$12)/Projects!$D$38*0.95,0)-IF(AND(Projects!$G$38="Yes",BV$3=Projects!$C$38+Projects!$D$38-1),Projects!$B$38*(Assumptions!$B$10+Assumptions!$B$11+Assumptions!$B$12)*0.05,0)</f>
        <v/>
      </c>
      <c r="BW47" s="399">
        <f>IF(AND(Projects!$G$38="Yes",BW$3&gt;=Projects!$C$38,BW$3&lt;Projects!$C$38+Projects!$D$38),Projects!$B$38*INDEX(Curves!$B$4:$AR$4,1,BW$3-Projects!$C$38+1),0)-IF(AND(Projects!$G$38="Yes",BW$3&gt;=Projects!$C$38,BW$3&lt;Projects!$C$38+Projects!$D$38),Projects!$B$38*(Assumptions!$B$10+Assumptions!$B$11+Assumptions!$B$12)/Projects!$D$38*0.95,0)-IF(AND(Projects!$G$38="Yes",BW$3=Projects!$C$38+Projects!$D$38-1),Projects!$B$38*(Assumptions!$B$10+Assumptions!$B$11+Assumptions!$B$12)*0.05,0)</f>
        <v/>
      </c>
      <c r="BX47" s="399">
        <f>IF(AND(Projects!$G$38="Yes",BX$3&gt;=Projects!$C$38,BX$3&lt;Projects!$C$38+Projects!$D$38),Projects!$B$38*INDEX(Curves!$B$4:$AR$4,1,BX$3-Projects!$C$38+1),0)-IF(AND(Projects!$G$38="Yes",BX$3&gt;=Projects!$C$38,BX$3&lt;Projects!$C$38+Projects!$D$38),Projects!$B$38*(Assumptions!$B$10+Assumptions!$B$11+Assumptions!$B$12)/Projects!$D$38*0.95,0)-IF(AND(Projects!$G$38="Yes",BX$3=Projects!$C$38+Projects!$D$38-1),Projects!$B$38*(Assumptions!$B$10+Assumptions!$B$11+Assumptions!$B$12)*0.05,0)</f>
        <v/>
      </c>
      <c r="BY47" s="399">
        <f>IF(AND(Projects!$G$38="Yes",BY$3&gt;=Projects!$C$38,BY$3&lt;Projects!$C$38+Projects!$D$38),Projects!$B$38*INDEX(Curves!$B$4:$AR$4,1,BY$3-Projects!$C$38+1),0)-IF(AND(Projects!$G$38="Yes",BY$3&gt;=Projects!$C$38,BY$3&lt;Projects!$C$38+Projects!$D$38),Projects!$B$38*(Assumptions!$B$10+Assumptions!$B$11+Assumptions!$B$12)/Projects!$D$38*0.95,0)-IF(AND(Projects!$G$38="Yes",BY$3=Projects!$C$38+Projects!$D$38-1),Projects!$B$38*(Assumptions!$B$10+Assumptions!$B$11+Assumptions!$B$12)*0.05,0)</f>
        <v/>
      </c>
      <c r="BZ47" s="399">
        <f>IF(AND(Projects!$G$38="Yes",BZ$3&gt;=Projects!$C$38,BZ$3&lt;Projects!$C$38+Projects!$D$38),Projects!$B$38*INDEX(Curves!$B$4:$AR$4,1,BZ$3-Projects!$C$38+1),0)-IF(AND(Projects!$G$38="Yes",BZ$3&gt;=Projects!$C$38,BZ$3&lt;Projects!$C$38+Projects!$D$38),Projects!$B$38*(Assumptions!$B$10+Assumptions!$B$11+Assumptions!$B$12)/Projects!$D$38*0.95,0)-IF(AND(Projects!$G$38="Yes",BZ$3=Projects!$C$38+Projects!$D$38-1),Projects!$B$38*(Assumptions!$B$10+Assumptions!$B$11+Assumptions!$B$12)*0.05,0)</f>
        <v/>
      </c>
      <c r="CA47" s="399">
        <f>IF(AND(Projects!$G$38="Yes",CA$3&gt;=Projects!$C$38,CA$3&lt;Projects!$C$38+Projects!$D$38),Projects!$B$38*INDEX(Curves!$B$4:$AR$4,1,CA$3-Projects!$C$38+1),0)-IF(AND(Projects!$G$38="Yes",CA$3&gt;=Projects!$C$38,CA$3&lt;Projects!$C$38+Projects!$D$38),Projects!$B$38*(Assumptions!$B$10+Assumptions!$B$11+Assumptions!$B$12)/Projects!$D$38*0.95,0)-IF(AND(Projects!$G$38="Yes",CA$3=Projects!$C$38+Projects!$D$38-1),Projects!$B$38*(Assumptions!$B$10+Assumptions!$B$11+Assumptions!$B$12)*0.05,0)</f>
        <v/>
      </c>
      <c r="CB47" s="399">
        <f>IF(AND(Projects!$G$38="Yes",CB$3&gt;=Projects!$C$38,CB$3&lt;Projects!$C$38+Projects!$D$38),Projects!$B$38*INDEX(Curves!$B$4:$AR$4,1,CB$3-Projects!$C$38+1),0)-IF(AND(Projects!$G$38="Yes",CB$3&gt;=Projects!$C$38,CB$3&lt;Projects!$C$38+Projects!$D$38),Projects!$B$38*(Assumptions!$B$10+Assumptions!$B$11+Assumptions!$B$12)/Projects!$D$38*0.95,0)-IF(AND(Projects!$G$38="Yes",CB$3=Projects!$C$38+Projects!$D$38-1),Projects!$B$38*(Assumptions!$B$10+Assumptions!$B$11+Assumptions!$B$12)*0.05,0)</f>
        <v/>
      </c>
      <c r="CC47" s="399">
        <f>IF(AND(Projects!$G$38="Yes",CC$3&gt;=Projects!$C$38,CC$3&lt;Projects!$C$38+Projects!$D$38),Projects!$B$38*INDEX(Curves!$B$4:$AR$4,1,CC$3-Projects!$C$38+1),0)-IF(AND(Projects!$G$38="Yes",CC$3&gt;=Projects!$C$38,CC$3&lt;Projects!$C$38+Projects!$D$38),Projects!$B$38*(Assumptions!$B$10+Assumptions!$B$11+Assumptions!$B$12)/Projects!$D$38*0.95,0)-IF(AND(Projects!$G$38="Yes",CC$3=Projects!$C$38+Projects!$D$38-1),Projects!$B$38*(Assumptions!$B$10+Assumptions!$B$11+Assumptions!$B$12)*0.05,0)</f>
        <v/>
      </c>
      <c r="CD47" s="399">
        <f>IF(AND(Projects!$G$38="Yes",CD$3&gt;=Projects!$C$38,CD$3&lt;Projects!$C$38+Projects!$D$38),Projects!$B$38*INDEX(Curves!$B$4:$AR$4,1,CD$3-Projects!$C$38+1),0)-IF(AND(Projects!$G$38="Yes",CD$3&gt;=Projects!$C$38,CD$3&lt;Projects!$C$38+Projects!$D$38),Projects!$B$38*(Assumptions!$B$10+Assumptions!$B$11+Assumptions!$B$12)/Projects!$D$38*0.95,0)-IF(AND(Projects!$G$38="Yes",CD$3=Projects!$C$38+Projects!$D$38-1),Projects!$B$38*(Assumptions!$B$10+Assumptions!$B$11+Assumptions!$B$12)*0.05,0)</f>
        <v/>
      </c>
      <c r="CE47" s="399">
        <f>IF(AND(Projects!$G$38="Yes",CE$3&gt;=Projects!$C$38,CE$3&lt;Projects!$C$38+Projects!$D$38),Projects!$B$38*INDEX(Curves!$B$4:$AR$4,1,CE$3-Projects!$C$38+1),0)-IF(AND(Projects!$G$38="Yes",CE$3&gt;=Projects!$C$38,CE$3&lt;Projects!$C$38+Projects!$D$38),Projects!$B$38*(Assumptions!$B$10+Assumptions!$B$11+Assumptions!$B$12)/Projects!$D$38*0.95,0)-IF(AND(Projects!$G$38="Yes",CE$3=Projects!$C$38+Projects!$D$38-1),Projects!$B$38*(Assumptions!$B$10+Assumptions!$B$11+Assumptions!$B$12)*0.05,0)</f>
        <v/>
      </c>
      <c r="CF47" s="399">
        <f>IF(AND(Projects!$G$38="Yes",CF$3&gt;=Projects!$C$38,CF$3&lt;Projects!$C$38+Projects!$D$38),Projects!$B$38*INDEX(Curves!$B$4:$AR$4,1,CF$3-Projects!$C$38+1),0)-IF(AND(Projects!$G$38="Yes",CF$3&gt;=Projects!$C$38,CF$3&lt;Projects!$C$38+Projects!$D$38),Projects!$B$38*(Assumptions!$B$10+Assumptions!$B$11+Assumptions!$B$12)/Projects!$D$38*0.95,0)-IF(AND(Projects!$G$38="Yes",CF$3=Projects!$C$38+Projects!$D$38-1),Projects!$B$38*(Assumptions!$B$10+Assumptions!$B$11+Assumptions!$B$12)*0.05,0)</f>
        <v/>
      </c>
      <c r="CG47" s="399">
        <f>IF(AND(Projects!$G$38="Yes",CG$3&gt;=Projects!$C$38,CG$3&lt;Projects!$C$38+Projects!$D$38),Projects!$B$38*INDEX(Curves!$B$4:$AR$4,1,CG$3-Projects!$C$38+1),0)-IF(AND(Projects!$G$38="Yes",CG$3&gt;=Projects!$C$38,CG$3&lt;Projects!$C$38+Projects!$D$38),Projects!$B$38*(Assumptions!$B$10+Assumptions!$B$11+Assumptions!$B$12)/Projects!$D$38*0.95,0)-IF(AND(Projects!$G$38="Yes",CG$3=Projects!$C$38+Projects!$D$38-1),Projects!$B$38*(Assumptions!$B$10+Assumptions!$B$11+Assumptions!$B$12)*0.05,0)</f>
        <v/>
      </c>
      <c r="CH47" s="399">
        <f>IF(AND(Projects!$G$38="Yes",CH$3&gt;=Projects!$C$38,CH$3&lt;Projects!$C$38+Projects!$D$38),Projects!$B$38*INDEX(Curves!$B$4:$AR$4,1,CH$3-Projects!$C$38+1),0)-IF(AND(Projects!$G$38="Yes",CH$3&gt;=Projects!$C$38,CH$3&lt;Projects!$C$38+Projects!$D$38),Projects!$B$38*(Assumptions!$B$10+Assumptions!$B$11+Assumptions!$B$12)/Projects!$D$38*0.95,0)-IF(AND(Projects!$G$38="Yes",CH$3=Projects!$C$38+Projects!$D$38-1),Projects!$B$38*(Assumptions!$B$10+Assumptions!$B$11+Assumptions!$B$12)*0.05,0)</f>
        <v/>
      </c>
      <c r="CI47" s="399">
        <f>IF(AND(Projects!$G$38="Yes",CI$3&gt;=Projects!$C$38,CI$3&lt;Projects!$C$38+Projects!$D$38),Projects!$B$38*INDEX(Curves!$B$4:$AR$4,1,CI$3-Projects!$C$38+1),0)-IF(AND(Projects!$G$38="Yes",CI$3&gt;=Projects!$C$38,CI$3&lt;Projects!$C$38+Projects!$D$38),Projects!$B$38*(Assumptions!$B$10+Assumptions!$B$11+Assumptions!$B$12)/Projects!$D$38*0.95,0)-IF(AND(Projects!$G$38="Yes",CI$3=Projects!$C$38+Projects!$D$38-1),Projects!$B$38*(Assumptions!$B$10+Assumptions!$B$11+Assumptions!$B$12)*0.05,0)</f>
        <v/>
      </c>
      <c r="CJ47" s="399">
        <f>IF(AND(Projects!$G$38="Yes",CJ$3&gt;=Projects!$C$38,CJ$3&lt;Projects!$C$38+Projects!$D$38),Projects!$B$38*INDEX(Curves!$B$4:$AR$4,1,CJ$3-Projects!$C$38+1),0)-IF(AND(Projects!$G$38="Yes",CJ$3&gt;=Projects!$C$38,CJ$3&lt;Projects!$C$38+Projects!$D$38),Projects!$B$38*(Assumptions!$B$10+Assumptions!$B$11+Assumptions!$B$12)/Projects!$D$38*0.95,0)-IF(AND(Projects!$G$38="Yes",CJ$3=Projects!$C$38+Projects!$D$38-1),Projects!$B$38*(Assumptions!$B$10+Assumptions!$B$11+Assumptions!$B$12)*0.05,0)</f>
        <v/>
      </c>
      <c r="CK47" s="399">
        <f>IF(AND(Projects!$G$38="Yes",CK$3&gt;=Projects!$C$38,CK$3&lt;Projects!$C$38+Projects!$D$38),Projects!$B$38*INDEX(Curves!$B$4:$AR$4,1,CK$3-Projects!$C$38+1),0)-IF(AND(Projects!$G$38="Yes",CK$3&gt;=Projects!$C$38,CK$3&lt;Projects!$C$38+Projects!$D$38),Projects!$B$38*(Assumptions!$B$10+Assumptions!$B$11+Assumptions!$B$12)/Projects!$D$38*0.95,0)-IF(AND(Projects!$G$38="Yes",CK$3=Projects!$C$38+Projects!$D$38-1),Projects!$B$38*(Assumptions!$B$10+Assumptions!$B$11+Assumptions!$B$12)*0.05,0)</f>
        <v/>
      </c>
      <c r="CL47" s="399">
        <f>IF(AND(Projects!$G$38="Yes",CL$3&gt;=Projects!$C$38,CL$3&lt;Projects!$C$38+Projects!$D$38),Projects!$B$38*INDEX(Curves!$B$4:$AR$4,1,CL$3-Projects!$C$38+1),0)-IF(AND(Projects!$G$38="Yes",CL$3&gt;=Projects!$C$38,CL$3&lt;Projects!$C$38+Projects!$D$38),Projects!$B$38*(Assumptions!$B$10+Assumptions!$B$11+Assumptions!$B$12)/Projects!$D$38*0.95,0)-IF(AND(Projects!$G$38="Yes",CL$3=Projects!$C$38+Projects!$D$38-1),Projects!$B$38*(Assumptions!$B$10+Assumptions!$B$11+Assumptions!$B$12)*0.05,0)</f>
        <v/>
      </c>
      <c r="CM47" s="399">
        <f>IF(AND(Projects!$G$38="Yes",CM$3&gt;=Projects!$C$38,CM$3&lt;Projects!$C$38+Projects!$D$38),Projects!$B$38*INDEX(Curves!$B$4:$AR$4,1,CM$3-Projects!$C$38+1),0)-IF(AND(Projects!$G$38="Yes",CM$3&gt;=Projects!$C$38,CM$3&lt;Projects!$C$38+Projects!$D$38),Projects!$B$38*(Assumptions!$B$10+Assumptions!$B$11+Assumptions!$B$12)/Projects!$D$38*0.95,0)-IF(AND(Projects!$G$38="Yes",CM$3=Projects!$C$38+Projects!$D$38-1),Projects!$B$38*(Assumptions!$B$10+Assumptions!$B$11+Assumptions!$B$12)*0.05,0)</f>
        <v/>
      </c>
      <c r="CN47" s="399">
        <f>IF(AND(Projects!$G$38="Yes",CN$3&gt;=Projects!$C$38,CN$3&lt;Projects!$C$38+Projects!$D$38),Projects!$B$38*INDEX(Curves!$B$4:$AR$4,1,CN$3-Projects!$C$38+1),0)-IF(AND(Projects!$G$38="Yes",CN$3&gt;=Projects!$C$38,CN$3&lt;Projects!$C$38+Projects!$D$38),Projects!$B$38*(Assumptions!$B$10+Assumptions!$B$11+Assumptions!$B$12)/Projects!$D$38*0.95,0)-IF(AND(Projects!$G$38="Yes",CN$3=Projects!$C$38+Projects!$D$38-1),Projects!$B$38*(Assumptions!$B$10+Assumptions!$B$11+Assumptions!$B$12)*0.05,0)</f>
        <v/>
      </c>
      <c r="CO47" s="399">
        <f>IF(AND(Projects!$G$38="Yes",CO$3&gt;=Projects!$C$38,CO$3&lt;Projects!$C$38+Projects!$D$38),Projects!$B$38*INDEX(Curves!$B$4:$AR$4,1,CO$3-Projects!$C$38+1),0)-IF(AND(Projects!$G$38="Yes",CO$3&gt;=Projects!$C$38,CO$3&lt;Projects!$C$38+Projects!$D$38),Projects!$B$38*(Assumptions!$B$10+Assumptions!$B$11+Assumptions!$B$12)/Projects!$D$38*0.95,0)-IF(AND(Projects!$G$38="Yes",CO$3=Projects!$C$38+Projects!$D$38-1),Projects!$B$38*(Assumptions!$B$10+Assumptions!$B$11+Assumptions!$B$12)*0.05,0)</f>
        <v/>
      </c>
      <c r="CP47" s="399">
        <f>IF(AND(Projects!$G$38="Yes",CP$3&gt;=Projects!$C$38,CP$3&lt;Projects!$C$38+Projects!$D$38),Projects!$B$38*INDEX(Curves!$B$4:$AR$4,1,CP$3-Projects!$C$38+1),0)-IF(AND(Projects!$G$38="Yes",CP$3&gt;=Projects!$C$38,CP$3&lt;Projects!$C$38+Projects!$D$38),Projects!$B$38*(Assumptions!$B$10+Assumptions!$B$11+Assumptions!$B$12)/Projects!$D$38*0.95,0)-IF(AND(Projects!$G$38="Yes",CP$3=Projects!$C$38+Projects!$D$38-1),Projects!$B$38*(Assumptions!$B$10+Assumptions!$B$11+Assumptions!$B$12)*0.05,0)</f>
        <v/>
      </c>
      <c r="CQ47" s="399">
        <f>IF(AND(Projects!$G$38="Yes",CQ$3&gt;=Projects!$C$38,CQ$3&lt;Projects!$C$38+Projects!$D$38),Projects!$B$38*INDEX(Curves!$B$4:$AR$4,1,CQ$3-Projects!$C$38+1),0)-IF(AND(Projects!$G$38="Yes",CQ$3&gt;=Projects!$C$38,CQ$3&lt;Projects!$C$38+Projects!$D$38),Projects!$B$38*(Assumptions!$B$10+Assumptions!$B$11+Assumptions!$B$12)/Projects!$D$38*0.95,0)-IF(AND(Projects!$G$38="Yes",CQ$3=Projects!$C$38+Projects!$D$38-1),Projects!$B$38*(Assumptions!$B$10+Assumptions!$B$11+Assumptions!$B$12)*0.05,0)</f>
        <v/>
      </c>
      <c r="CR47" s="399">
        <f>IF(AND(Projects!$G$38="Yes",CR$3&gt;=Projects!$C$38,CR$3&lt;Projects!$C$38+Projects!$D$38),Projects!$B$38*INDEX(Curves!$B$4:$AR$4,1,CR$3-Projects!$C$38+1),0)-IF(AND(Projects!$G$38="Yes",CR$3&gt;=Projects!$C$38,CR$3&lt;Projects!$C$38+Projects!$D$38),Projects!$B$38*(Assumptions!$B$10+Assumptions!$B$11+Assumptions!$B$12)/Projects!$D$38*0.95,0)-IF(AND(Projects!$G$38="Yes",CR$3=Projects!$C$38+Projects!$D$38-1),Projects!$B$38*(Assumptions!$B$10+Assumptions!$B$11+Assumptions!$B$12)*0.05,0)</f>
        <v/>
      </c>
      <c r="CS47" s="399">
        <f>IF(AND(Projects!$G$38="Yes",CS$3&gt;=Projects!$C$38,CS$3&lt;Projects!$C$38+Projects!$D$38),Projects!$B$38*INDEX(Curves!$B$4:$AR$4,1,CS$3-Projects!$C$38+1),0)-IF(AND(Projects!$G$38="Yes",CS$3&gt;=Projects!$C$38,CS$3&lt;Projects!$C$38+Projects!$D$38),Projects!$B$38*(Assumptions!$B$10+Assumptions!$B$11+Assumptions!$B$12)/Projects!$D$38*0.95,0)-IF(AND(Projects!$G$38="Yes",CS$3=Projects!$C$38+Projects!$D$38-1),Projects!$B$38*(Assumptions!$B$10+Assumptions!$B$11+Assumptions!$B$12)*0.05,0)</f>
        <v/>
      </c>
      <c r="CT47" s="399">
        <f>IF(AND(Projects!$G$38="Yes",CT$3&gt;=Projects!$C$38,CT$3&lt;Projects!$C$38+Projects!$D$38),Projects!$B$38*INDEX(Curves!$B$4:$AR$4,1,CT$3-Projects!$C$38+1),0)-IF(AND(Projects!$G$38="Yes",CT$3&gt;=Projects!$C$38,CT$3&lt;Projects!$C$38+Projects!$D$38),Projects!$B$38*(Assumptions!$B$10+Assumptions!$B$11+Assumptions!$B$12)/Projects!$D$38*0.95,0)-IF(AND(Projects!$G$38="Yes",CT$3=Projects!$C$38+Projects!$D$38-1),Projects!$B$38*(Assumptions!$B$10+Assumptions!$B$11+Assumptions!$B$12)*0.05,0)</f>
        <v/>
      </c>
      <c r="CU47" s="399">
        <f>IF(AND(Projects!$G$38="Yes",CU$3&gt;=Projects!$C$38,CU$3&lt;Projects!$C$38+Projects!$D$38),Projects!$B$38*INDEX(Curves!$B$4:$AR$4,1,CU$3-Projects!$C$38+1),0)-IF(AND(Projects!$G$38="Yes",CU$3&gt;=Projects!$C$38,CU$3&lt;Projects!$C$38+Projects!$D$38),Projects!$B$38*(Assumptions!$B$10+Assumptions!$B$11+Assumptions!$B$12)/Projects!$D$38*0.95,0)-IF(AND(Projects!$G$38="Yes",CU$3=Projects!$C$38+Projects!$D$38-1),Projects!$B$38*(Assumptions!$B$10+Assumptions!$B$11+Assumptions!$B$12)*0.05,0)</f>
        <v/>
      </c>
      <c r="CV47" s="399">
        <f>IF(AND(Projects!$G$38="Yes",CV$3&gt;=Projects!$C$38,CV$3&lt;Projects!$C$38+Projects!$D$38),Projects!$B$38*INDEX(Curves!$B$4:$AR$4,1,CV$3-Projects!$C$38+1),0)-IF(AND(Projects!$G$38="Yes",CV$3&gt;=Projects!$C$38,CV$3&lt;Projects!$C$38+Projects!$D$38),Projects!$B$38*(Assumptions!$B$10+Assumptions!$B$11+Assumptions!$B$12)/Projects!$D$38*0.95,0)-IF(AND(Projects!$G$38="Yes",CV$3=Projects!$C$38+Projects!$D$38-1),Projects!$B$38*(Assumptions!$B$10+Assumptions!$B$11+Assumptions!$B$12)*0.05,0)</f>
        <v/>
      </c>
      <c r="CW47" s="399">
        <f>IF(AND(Projects!$G$38="Yes",CW$3&gt;=Projects!$C$38,CW$3&lt;Projects!$C$38+Projects!$D$38),Projects!$B$38*INDEX(Curves!$B$4:$AR$4,1,CW$3-Projects!$C$38+1),0)-IF(AND(Projects!$G$38="Yes",CW$3&gt;=Projects!$C$38,CW$3&lt;Projects!$C$38+Projects!$D$38),Projects!$B$38*(Assumptions!$B$10+Assumptions!$B$11+Assumptions!$B$12)/Projects!$D$38*0.95,0)-IF(AND(Projects!$G$38="Yes",CW$3=Projects!$C$38+Projects!$D$38-1),Projects!$B$38*(Assumptions!$B$10+Assumptions!$B$11+Assumptions!$B$12)*0.05,0)</f>
        <v/>
      </c>
      <c r="CX47" s="399">
        <f>IF(AND(Projects!$G$38="Yes",CX$3&gt;=Projects!$C$38,CX$3&lt;Projects!$C$38+Projects!$D$38),Projects!$B$38*INDEX(Curves!$B$4:$AR$4,1,CX$3-Projects!$C$38+1),0)-IF(AND(Projects!$G$38="Yes",CX$3&gt;=Projects!$C$38,CX$3&lt;Projects!$C$38+Projects!$D$38),Projects!$B$38*(Assumptions!$B$10+Assumptions!$B$11+Assumptions!$B$12)/Projects!$D$38*0.95,0)-IF(AND(Projects!$G$38="Yes",CX$3=Projects!$C$38+Projects!$D$38-1),Projects!$B$38*(Assumptions!$B$10+Assumptions!$B$11+Assumptions!$B$12)*0.05,0)</f>
        <v/>
      </c>
      <c r="CY47" s="399">
        <f>IF(AND(Projects!$G$38="Yes",CY$3&gt;=Projects!$C$38,CY$3&lt;Projects!$C$38+Projects!$D$38),Projects!$B$38*INDEX(Curves!$B$4:$AR$4,1,CY$3-Projects!$C$38+1),0)-IF(AND(Projects!$G$38="Yes",CY$3&gt;=Projects!$C$38,CY$3&lt;Projects!$C$38+Projects!$D$38),Projects!$B$38*(Assumptions!$B$10+Assumptions!$B$11+Assumptions!$B$12)/Projects!$D$38*0.95,0)-IF(AND(Projects!$G$38="Yes",CY$3=Projects!$C$38+Projects!$D$38-1),Projects!$B$38*(Assumptions!$B$10+Assumptions!$B$11+Assumptions!$B$12)*0.05,0)</f>
        <v/>
      </c>
      <c r="CZ47" s="399">
        <f>IF(AND(Projects!$G$38="Yes",CZ$3&gt;=Projects!$C$38,CZ$3&lt;Projects!$C$38+Projects!$D$38),Projects!$B$38*INDEX(Curves!$B$4:$AR$4,1,CZ$3-Projects!$C$38+1),0)-IF(AND(Projects!$G$38="Yes",CZ$3&gt;=Projects!$C$38,CZ$3&lt;Projects!$C$38+Projects!$D$38),Projects!$B$38*(Assumptions!$B$10+Assumptions!$B$11+Assumptions!$B$12)/Projects!$D$38*0.95,0)-IF(AND(Projects!$G$38="Yes",CZ$3=Projects!$C$38+Projects!$D$38-1),Projects!$B$38*(Assumptions!$B$10+Assumptions!$B$11+Assumptions!$B$12)*0.05,0)</f>
        <v/>
      </c>
      <c r="DA47" s="399">
        <f>IF(AND(Projects!$G$38="Yes",DA$3&gt;=Projects!$C$38,DA$3&lt;Projects!$C$38+Projects!$D$38),Projects!$B$38*INDEX(Curves!$B$4:$AR$4,1,DA$3-Projects!$C$38+1),0)-IF(AND(Projects!$G$38="Yes",DA$3&gt;=Projects!$C$38,DA$3&lt;Projects!$C$38+Projects!$D$38),Projects!$B$38*(Assumptions!$B$10+Assumptions!$B$11+Assumptions!$B$12)/Projects!$D$38*0.95,0)-IF(AND(Projects!$G$38="Yes",DA$3=Projects!$C$38+Projects!$D$38-1),Projects!$B$38*(Assumptions!$B$10+Assumptions!$B$11+Assumptions!$B$12)*0.05,0)</f>
        <v/>
      </c>
      <c r="DB47" s="399">
        <f>IF(AND(Projects!$G$38="Yes",DB$3&gt;=Projects!$C$38,DB$3&lt;Projects!$C$38+Projects!$D$38),Projects!$B$38*INDEX(Curves!$B$4:$AR$4,1,DB$3-Projects!$C$38+1),0)-IF(AND(Projects!$G$38="Yes",DB$3&gt;=Projects!$C$38,DB$3&lt;Projects!$C$38+Projects!$D$38),Projects!$B$38*(Assumptions!$B$10+Assumptions!$B$11+Assumptions!$B$12)/Projects!$D$38*0.95,0)-IF(AND(Projects!$G$38="Yes",DB$3=Projects!$C$38+Projects!$D$38-1),Projects!$B$38*(Assumptions!$B$10+Assumptions!$B$11+Assumptions!$B$12)*0.05,0)</f>
        <v/>
      </c>
      <c r="DC47" s="399">
        <f>IF(AND(Projects!$G$38="Yes",DC$3&gt;=Projects!$C$38,DC$3&lt;Projects!$C$38+Projects!$D$38),Projects!$B$38*INDEX(Curves!$B$4:$AR$4,1,DC$3-Projects!$C$38+1),0)-IF(AND(Projects!$G$38="Yes",DC$3&gt;=Projects!$C$38,DC$3&lt;Projects!$C$38+Projects!$D$38),Projects!$B$38*(Assumptions!$B$10+Assumptions!$B$11+Assumptions!$B$12)/Projects!$D$38*0.95,0)-IF(AND(Projects!$G$38="Yes",DC$3=Projects!$C$38+Projects!$D$38-1),Projects!$B$38*(Assumptions!$B$10+Assumptions!$B$11+Assumptions!$B$12)*0.05,0)</f>
        <v/>
      </c>
      <c r="DD47" s="399">
        <f>IF(AND(Projects!$G$38="Yes",DD$3&gt;=Projects!$C$38,DD$3&lt;Projects!$C$38+Projects!$D$38),Projects!$B$38*INDEX(Curves!$B$4:$AR$4,1,DD$3-Projects!$C$38+1),0)-IF(AND(Projects!$G$38="Yes",DD$3&gt;=Projects!$C$38,DD$3&lt;Projects!$C$38+Projects!$D$38),Projects!$B$38*(Assumptions!$B$10+Assumptions!$B$11+Assumptions!$B$12)/Projects!$D$38*0.95,0)-IF(AND(Projects!$G$38="Yes",DD$3=Projects!$C$38+Projects!$D$38-1),Projects!$B$38*(Assumptions!$B$10+Assumptions!$B$11+Assumptions!$B$12)*0.05,0)</f>
        <v/>
      </c>
      <c r="DE47" s="399">
        <f>IF(AND(Projects!$G$38="Yes",DE$3&gt;=Projects!$C$38,DE$3&lt;Projects!$C$38+Projects!$D$38),Projects!$B$38*INDEX(Curves!$B$4:$AR$4,1,DE$3-Projects!$C$38+1),0)-IF(AND(Projects!$G$38="Yes",DE$3&gt;=Projects!$C$38,DE$3&lt;Projects!$C$38+Projects!$D$38),Projects!$B$38*(Assumptions!$B$10+Assumptions!$B$11+Assumptions!$B$12)/Projects!$D$38*0.95,0)-IF(AND(Projects!$G$38="Yes",DE$3=Projects!$C$38+Projects!$D$38-1),Projects!$B$38*(Assumptions!$B$10+Assumptions!$B$11+Assumptions!$B$12)*0.05,0)</f>
        <v/>
      </c>
    </row>
    <row r="48" hidden="1" outlineLevel="1" ht="15" customFormat="1" customHeight="1" s="380">
      <c r="A48" s="407" t="inlineStr">
        <is>
          <t>BD-23</t>
        </is>
      </c>
      <c r="B48" s="399" t="n">
        <v>0</v>
      </c>
      <c r="C48" s="399" t="n">
        <v>0</v>
      </c>
      <c r="D48" s="399" t="n">
        <v>0</v>
      </c>
      <c r="E48" s="399" t="n">
        <v>0</v>
      </c>
      <c r="F48" s="399">
        <f>IF(AND(Projects!$G$39="Yes",F$3&gt;=Projects!$C$39,F$3&lt;Projects!$C$39+Projects!$D$39),Projects!$B$39*INDEX(Curves!$B$4:$AR$4,1,F$3-Projects!$C$39+1),0)-IF(AND(Projects!$G$39="Yes",F$3&gt;=Projects!$C$39,F$3&lt;Projects!$C$39+Projects!$D$39),Projects!$B$39*(Assumptions!$B$10+Assumptions!$B$11+Assumptions!$B$12)/Projects!$D$39*0.95,0)-IF(AND(Projects!$G$39="Yes",F$3=Projects!$C$39+Projects!$D$39-1),Projects!$B$39*(Assumptions!$B$10+Assumptions!$B$11+Assumptions!$B$12)*0.05,0)</f>
        <v/>
      </c>
      <c r="G48" s="399">
        <f>IF(AND(Projects!$G$39="Yes",G$3&gt;=Projects!$C$39,G$3&lt;Projects!$C$39+Projects!$D$39),Projects!$B$39*INDEX(Curves!$B$4:$AR$4,1,G$3-Projects!$C$39+1),0)-IF(AND(Projects!$G$39="Yes",G$3&gt;=Projects!$C$39,G$3&lt;Projects!$C$39+Projects!$D$39),Projects!$B$39*(Assumptions!$B$10+Assumptions!$B$11+Assumptions!$B$12)/Projects!$D$39*0.95,0)-IF(AND(Projects!$G$39="Yes",G$3=Projects!$C$39+Projects!$D$39-1),Projects!$B$39*(Assumptions!$B$10+Assumptions!$B$11+Assumptions!$B$12)*0.05,0)</f>
        <v/>
      </c>
      <c r="H48" s="399">
        <f>IF(AND(Projects!$G$39="Yes",H$3&gt;=Projects!$C$39,H$3&lt;Projects!$C$39+Projects!$D$39),Projects!$B$39*INDEX(Curves!$B$4:$AR$4,1,H$3-Projects!$C$39+1),0)-IF(AND(Projects!$G$39="Yes",H$3&gt;=Projects!$C$39,H$3&lt;Projects!$C$39+Projects!$D$39),Projects!$B$39*(Assumptions!$B$10+Assumptions!$B$11+Assumptions!$B$12)/Projects!$D$39*0.95,0)-IF(AND(Projects!$G$39="Yes",H$3=Projects!$C$39+Projects!$D$39-1),Projects!$B$39*(Assumptions!$B$10+Assumptions!$B$11+Assumptions!$B$12)*0.05,0)</f>
        <v/>
      </c>
      <c r="I48" s="399">
        <f>IF(AND(Projects!$G$39="Yes",I$3&gt;=Projects!$C$39,I$3&lt;Projects!$C$39+Projects!$D$39),Projects!$B$39*INDEX(Curves!$B$4:$AR$4,1,I$3-Projects!$C$39+1),0)-IF(AND(Projects!$G$39="Yes",I$3&gt;=Projects!$C$39,I$3&lt;Projects!$C$39+Projects!$D$39),Projects!$B$39*(Assumptions!$B$10+Assumptions!$B$11+Assumptions!$B$12)/Projects!$D$39*0.95,0)-IF(AND(Projects!$G$39="Yes",I$3=Projects!$C$39+Projects!$D$39-1),Projects!$B$39*(Assumptions!$B$10+Assumptions!$B$11+Assumptions!$B$12)*0.05,0)</f>
        <v/>
      </c>
      <c r="J48" s="399">
        <f>IF(AND(Projects!$G$39="Yes",J$3&gt;=Projects!$C$39,J$3&lt;Projects!$C$39+Projects!$D$39),Projects!$B$39*INDEX(Curves!$B$4:$AR$4,1,J$3-Projects!$C$39+1),0)-IF(AND(Projects!$G$39="Yes",J$3&gt;=Projects!$C$39,J$3&lt;Projects!$C$39+Projects!$D$39),Projects!$B$39*(Assumptions!$B$10+Assumptions!$B$11+Assumptions!$B$12)/Projects!$D$39*0.95,0)-IF(AND(Projects!$G$39="Yes",J$3=Projects!$C$39+Projects!$D$39-1),Projects!$B$39*(Assumptions!$B$10+Assumptions!$B$11+Assumptions!$B$12)*0.05,0)</f>
        <v/>
      </c>
      <c r="K48" s="399">
        <f>IF(AND(Projects!$G$39="Yes",K$3&gt;=Projects!$C$39,K$3&lt;Projects!$C$39+Projects!$D$39),Projects!$B$39*INDEX(Curves!$B$4:$AR$4,1,K$3-Projects!$C$39+1),0)-IF(AND(Projects!$G$39="Yes",K$3&gt;=Projects!$C$39,K$3&lt;Projects!$C$39+Projects!$D$39),Projects!$B$39*(Assumptions!$B$10+Assumptions!$B$11+Assumptions!$B$12)/Projects!$D$39*0.95,0)-IF(AND(Projects!$G$39="Yes",K$3=Projects!$C$39+Projects!$D$39-1),Projects!$B$39*(Assumptions!$B$10+Assumptions!$B$11+Assumptions!$B$12)*0.05,0)</f>
        <v/>
      </c>
      <c r="L48" s="399">
        <f>IF(AND(Projects!$G$39="Yes",L$3&gt;=Projects!$C$39,L$3&lt;Projects!$C$39+Projects!$D$39),Projects!$B$39*INDEX(Curves!$B$4:$AR$4,1,L$3-Projects!$C$39+1),0)-IF(AND(Projects!$G$39="Yes",L$3&gt;=Projects!$C$39,L$3&lt;Projects!$C$39+Projects!$D$39),Projects!$B$39*(Assumptions!$B$10+Assumptions!$B$11+Assumptions!$B$12)/Projects!$D$39*0.95,0)-IF(AND(Projects!$G$39="Yes",L$3=Projects!$C$39+Projects!$D$39-1),Projects!$B$39*(Assumptions!$B$10+Assumptions!$B$11+Assumptions!$B$12)*0.05,0)</f>
        <v/>
      </c>
      <c r="M48" s="399">
        <f>IF(AND(Projects!$G$39="Yes",M$3&gt;=Projects!$C$39,M$3&lt;Projects!$C$39+Projects!$D$39),Projects!$B$39*INDEX(Curves!$B$4:$AR$4,1,M$3-Projects!$C$39+1),0)-IF(AND(Projects!$G$39="Yes",M$3&gt;=Projects!$C$39,M$3&lt;Projects!$C$39+Projects!$D$39),Projects!$B$39*(Assumptions!$B$10+Assumptions!$B$11+Assumptions!$B$12)/Projects!$D$39*0.95,0)-IF(AND(Projects!$G$39="Yes",M$3=Projects!$C$39+Projects!$D$39-1),Projects!$B$39*(Assumptions!$B$10+Assumptions!$B$11+Assumptions!$B$12)*0.05,0)</f>
        <v/>
      </c>
      <c r="N48" s="399">
        <f>IF(AND(Projects!$G$39="Yes",N$3&gt;=Projects!$C$39,N$3&lt;Projects!$C$39+Projects!$D$39),Projects!$B$39*INDEX(Curves!$B$4:$AR$4,1,N$3-Projects!$C$39+1),0)-IF(AND(Projects!$G$39="Yes",N$3&gt;=Projects!$C$39,N$3&lt;Projects!$C$39+Projects!$D$39),Projects!$B$39*(Assumptions!$B$10+Assumptions!$B$11+Assumptions!$B$12)/Projects!$D$39*0.95,0)-IF(AND(Projects!$G$39="Yes",N$3=Projects!$C$39+Projects!$D$39-1),Projects!$B$39*(Assumptions!$B$10+Assumptions!$B$11+Assumptions!$B$12)*0.05,0)</f>
        <v/>
      </c>
      <c r="O48" s="399">
        <f>IF(AND(Projects!$G$39="Yes",O$3&gt;=Projects!$C$39,O$3&lt;Projects!$C$39+Projects!$D$39),Projects!$B$39*INDEX(Curves!$B$4:$AR$4,1,O$3-Projects!$C$39+1),0)-IF(AND(Projects!$G$39="Yes",O$3&gt;=Projects!$C$39,O$3&lt;Projects!$C$39+Projects!$D$39),Projects!$B$39*(Assumptions!$B$10+Assumptions!$B$11+Assumptions!$B$12)/Projects!$D$39*0.95,0)-IF(AND(Projects!$G$39="Yes",O$3=Projects!$C$39+Projects!$D$39-1),Projects!$B$39*(Assumptions!$B$10+Assumptions!$B$11+Assumptions!$B$12)*0.05,0)</f>
        <v/>
      </c>
      <c r="P48" s="399">
        <f>IF(AND(Projects!$G$39="Yes",P$3&gt;=Projects!$C$39,P$3&lt;Projects!$C$39+Projects!$D$39),Projects!$B$39*INDEX(Curves!$B$4:$AR$4,1,P$3-Projects!$C$39+1),0)-IF(AND(Projects!$G$39="Yes",P$3&gt;=Projects!$C$39,P$3&lt;Projects!$C$39+Projects!$D$39),Projects!$B$39*(Assumptions!$B$10+Assumptions!$B$11+Assumptions!$B$12)/Projects!$D$39*0.95,0)-IF(AND(Projects!$G$39="Yes",P$3=Projects!$C$39+Projects!$D$39-1),Projects!$B$39*(Assumptions!$B$10+Assumptions!$B$11+Assumptions!$B$12)*0.05,0)</f>
        <v/>
      </c>
      <c r="Q48" s="399">
        <f>IF(AND(Projects!$G$39="Yes",Q$3&gt;=Projects!$C$39,Q$3&lt;Projects!$C$39+Projects!$D$39),Projects!$B$39*INDEX(Curves!$B$4:$AR$4,1,Q$3-Projects!$C$39+1),0)-IF(AND(Projects!$G$39="Yes",Q$3&gt;=Projects!$C$39,Q$3&lt;Projects!$C$39+Projects!$D$39),Projects!$B$39*(Assumptions!$B$10+Assumptions!$B$11+Assumptions!$B$12)/Projects!$D$39*0.95,0)-IF(AND(Projects!$G$39="Yes",Q$3=Projects!$C$39+Projects!$D$39-1),Projects!$B$39*(Assumptions!$B$10+Assumptions!$B$11+Assumptions!$B$12)*0.05,0)</f>
        <v/>
      </c>
      <c r="R48" s="399">
        <f>IF(AND(Projects!$G$39="Yes",R$3&gt;=Projects!$C$39,R$3&lt;Projects!$C$39+Projects!$D$39),Projects!$B$39*INDEX(Curves!$B$4:$AR$4,1,R$3-Projects!$C$39+1),0)-IF(AND(Projects!$G$39="Yes",R$3&gt;=Projects!$C$39,R$3&lt;Projects!$C$39+Projects!$D$39),Projects!$B$39*(Assumptions!$B$10+Assumptions!$B$11+Assumptions!$B$12)/Projects!$D$39*0.95,0)-IF(AND(Projects!$G$39="Yes",R$3=Projects!$C$39+Projects!$D$39-1),Projects!$B$39*(Assumptions!$B$10+Assumptions!$B$11+Assumptions!$B$12)*0.05,0)</f>
        <v/>
      </c>
      <c r="S48" s="399">
        <f>IF(AND(Projects!$G$39="Yes",S$3&gt;=Projects!$C$39,S$3&lt;Projects!$C$39+Projects!$D$39),Projects!$B$39*INDEX(Curves!$B$4:$AR$4,1,S$3-Projects!$C$39+1),0)-IF(AND(Projects!$G$39="Yes",S$3&gt;=Projects!$C$39,S$3&lt;Projects!$C$39+Projects!$D$39),Projects!$B$39*(Assumptions!$B$10+Assumptions!$B$11+Assumptions!$B$12)/Projects!$D$39*0.95,0)-IF(AND(Projects!$G$39="Yes",S$3=Projects!$C$39+Projects!$D$39-1),Projects!$B$39*(Assumptions!$B$10+Assumptions!$B$11+Assumptions!$B$12)*0.05,0)</f>
        <v/>
      </c>
      <c r="T48" s="399">
        <f>IF(AND(Projects!$G$39="Yes",T$3&gt;=Projects!$C$39,T$3&lt;Projects!$C$39+Projects!$D$39),Projects!$B$39*INDEX(Curves!$B$4:$AR$4,1,T$3-Projects!$C$39+1),0)-IF(AND(Projects!$G$39="Yes",T$3&gt;=Projects!$C$39,T$3&lt;Projects!$C$39+Projects!$D$39),Projects!$B$39*(Assumptions!$B$10+Assumptions!$B$11+Assumptions!$B$12)/Projects!$D$39*0.95,0)-IF(AND(Projects!$G$39="Yes",T$3=Projects!$C$39+Projects!$D$39-1),Projects!$B$39*(Assumptions!$B$10+Assumptions!$B$11+Assumptions!$B$12)*0.05,0)</f>
        <v/>
      </c>
      <c r="U48" s="399">
        <f>IF(AND(Projects!$G$39="Yes",U$3&gt;=Projects!$C$39,U$3&lt;Projects!$C$39+Projects!$D$39),Projects!$B$39*INDEX(Curves!$B$4:$AR$4,1,U$3-Projects!$C$39+1),0)-IF(AND(Projects!$G$39="Yes",U$3&gt;=Projects!$C$39,U$3&lt;Projects!$C$39+Projects!$D$39),Projects!$B$39*(Assumptions!$B$10+Assumptions!$B$11+Assumptions!$B$12)/Projects!$D$39*0.95,0)-IF(AND(Projects!$G$39="Yes",U$3=Projects!$C$39+Projects!$D$39-1),Projects!$B$39*(Assumptions!$B$10+Assumptions!$B$11+Assumptions!$B$12)*0.05,0)</f>
        <v/>
      </c>
      <c r="V48" s="399">
        <f>IF(AND(Projects!$G$39="Yes",V$3&gt;=Projects!$C$39,V$3&lt;Projects!$C$39+Projects!$D$39),Projects!$B$39*INDEX(Curves!$B$4:$AR$4,1,V$3-Projects!$C$39+1),0)-IF(AND(Projects!$G$39="Yes",V$3&gt;=Projects!$C$39,V$3&lt;Projects!$C$39+Projects!$D$39),Projects!$B$39*(Assumptions!$B$10+Assumptions!$B$11+Assumptions!$B$12)/Projects!$D$39*0.95,0)-IF(AND(Projects!$G$39="Yes",V$3=Projects!$C$39+Projects!$D$39-1),Projects!$B$39*(Assumptions!$B$10+Assumptions!$B$11+Assumptions!$B$12)*0.05,0)</f>
        <v/>
      </c>
      <c r="W48" s="399">
        <f>IF(AND(Projects!$G$39="Yes",W$3&gt;=Projects!$C$39,W$3&lt;Projects!$C$39+Projects!$D$39),Projects!$B$39*INDEX(Curves!$B$4:$AR$4,1,W$3-Projects!$C$39+1),0)-IF(AND(Projects!$G$39="Yes",W$3&gt;=Projects!$C$39,W$3&lt;Projects!$C$39+Projects!$D$39),Projects!$B$39*(Assumptions!$B$10+Assumptions!$B$11+Assumptions!$B$12)/Projects!$D$39*0.95,0)-IF(AND(Projects!$G$39="Yes",W$3=Projects!$C$39+Projects!$D$39-1),Projects!$B$39*(Assumptions!$B$10+Assumptions!$B$11+Assumptions!$B$12)*0.05,0)</f>
        <v/>
      </c>
      <c r="X48" s="399">
        <f>IF(AND(Projects!$G$39="Yes",X$3&gt;=Projects!$C$39,X$3&lt;Projects!$C$39+Projects!$D$39),Projects!$B$39*INDEX(Curves!$B$4:$AR$4,1,X$3-Projects!$C$39+1),0)-IF(AND(Projects!$G$39="Yes",X$3&gt;=Projects!$C$39,X$3&lt;Projects!$C$39+Projects!$D$39),Projects!$B$39*(Assumptions!$B$10+Assumptions!$B$11+Assumptions!$B$12)/Projects!$D$39*0.95,0)-IF(AND(Projects!$G$39="Yes",X$3=Projects!$C$39+Projects!$D$39-1),Projects!$B$39*(Assumptions!$B$10+Assumptions!$B$11+Assumptions!$B$12)*0.05,0)</f>
        <v/>
      </c>
      <c r="Y48" s="399">
        <f>IF(AND(Projects!$G$39="Yes",Y$3&gt;=Projects!$C$39,Y$3&lt;Projects!$C$39+Projects!$D$39),Projects!$B$39*INDEX(Curves!$B$4:$AR$4,1,Y$3-Projects!$C$39+1),0)-IF(AND(Projects!$G$39="Yes",Y$3&gt;=Projects!$C$39,Y$3&lt;Projects!$C$39+Projects!$D$39),Projects!$B$39*(Assumptions!$B$10+Assumptions!$B$11+Assumptions!$B$12)/Projects!$D$39*0.95,0)-IF(AND(Projects!$G$39="Yes",Y$3=Projects!$C$39+Projects!$D$39-1),Projects!$B$39*(Assumptions!$B$10+Assumptions!$B$11+Assumptions!$B$12)*0.05,0)</f>
        <v/>
      </c>
      <c r="Z48" s="399">
        <f>IF(AND(Projects!$G$39="Yes",Z$3&gt;=Projects!$C$39,Z$3&lt;Projects!$C$39+Projects!$D$39),Projects!$B$39*INDEX(Curves!$B$4:$AR$4,1,Z$3-Projects!$C$39+1),0)-IF(AND(Projects!$G$39="Yes",Z$3&gt;=Projects!$C$39,Z$3&lt;Projects!$C$39+Projects!$D$39),Projects!$B$39*(Assumptions!$B$10+Assumptions!$B$11+Assumptions!$B$12)/Projects!$D$39*0.95,0)-IF(AND(Projects!$G$39="Yes",Z$3=Projects!$C$39+Projects!$D$39-1),Projects!$B$39*(Assumptions!$B$10+Assumptions!$B$11+Assumptions!$B$12)*0.05,0)</f>
        <v/>
      </c>
      <c r="AA48" s="399">
        <f>IF(AND(Projects!$G$39="Yes",AA$3&gt;=Projects!$C$39,AA$3&lt;Projects!$C$39+Projects!$D$39),Projects!$B$39*INDEX(Curves!$B$4:$AR$4,1,AA$3-Projects!$C$39+1),0)-IF(AND(Projects!$G$39="Yes",AA$3&gt;=Projects!$C$39,AA$3&lt;Projects!$C$39+Projects!$D$39),Projects!$B$39*(Assumptions!$B$10+Assumptions!$B$11+Assumptions!$B$12)/Projects!$D$39*0.95,0)-IF(AND(Projects!$G$39="Yes",AA$3=Projects!$C$39+Projects!$D$39-1),Projects!$B$39*(Assumptions!$B$10+Assumptions!$B$11+Assumptions!$B$12)*0.05,0)</f>
        <v/>
      </c>
      <c r="AB48" s="399">
        <f>IF(AND(Projects!$G$39="Yes",AB$3&gt;=Projects!$C$39,AB$3&lt;Projects!$C$39+Projects!$D$39),Projects!$B$39*INDEX(Curves!$B$4:$AR$4,1,AB$3-Projects!$C$39+1),0)-IF(AND(Projects!$G$39="Yes",AB$3&gt;=Projects!$C$39,AB$3&lt;Projects!$C$39+Projects!$D$39),Projects!$B$39*(Assumptions!$B$10+Assumptions!$B$11+Assumptions!$B$12)/Projects!$D$39*0.95,0)-IF(AND(Projects!$G$39="Yes",AB$3=Projects!$C$39+Projects!$D$39-1),Projects!$B$39*(Assumptions!$B$10+Assumptions!$B$11+Assumptions!$B$12)*0.05,0)</f>
        <v/>
      </c>
      <c r="AC48" s="399">
        <f>IF(AND(Projects!$G$39="Yes",AC$3&gt;=Projects!$C$39,AC$3&lt;Projects!$C$39+Projects!$D$39),Projects!$B$39*INDEX(Curves!$B$4:$AR$4,1,AC$3-Projects!$C$39+1),0)-IF(AND(Projects!$G$39="Yes",AC$3&gt;=Projects!$C$39,AC$3&lt;Projects!$C$39+Projects!$D$39),Projects!$B$39*(Assumptions!$B$10+Assumptions!$B$11+Assumptions!$B$12)/Projects!$D$39*0.95,0)-IF(AND(Projects!$G$39="Yes",AC$3=Projects!$C$39+Projects!$D$39-1),Projects!$B$39*(Assumptions!$B$10+Assumptions!$B$11+Assumptions!$B$12)*0.05,0)</f>
        <v/>
      </c>
      <c r="AD48" s="399">
        <f>IF(AND(Projects!$G$39="Yes",AD$3&gt;=Projects!$C$39,AD$3&lt;Projects!$C$39+Projects!$D$39),Projects!$B$39*INDEX(Curves!$B$4:$AR$4,1,AD$3-Projects!$C$39+1),0)-IF(AND(Projects!$G$39="Yes",AD$3&gt;=Projects!$C$39,AD$3&lt;Projects!$C$39+Projects!$D$39),Projects!$B$39*(Assumptions!$B$10+Assumptions!$B$11+Assumptions!$B$12)/Projects!$D$39*0.95,0)-IF(AND(Projects!$G$39="Yes",AD$3=Projects!$C$39+Projects!$D$39-1),Projects!$B$39*(Assumptions!$B$10+Assumptions!$B$11+Assumptions!$B$12)*0.05,0)</f>
        <v/>
      </c>
      <c r="AE48" s="399">
        <f>IF(AND(Projects!$G$39="Yes",AE$3&gt;=Projects!$C$39,AE$3&lt;Projects!$C$39+Projects!$D$39),Projects!$B$39*INDEX(Curves!$B$4:$AR$4,1,AE$3-Projects!$C$39+1),0)-IF(AND(Projects!$G$39="Yes",AE$3&gt;=Projects!$C$39,AE$3&lt;Projects!$C$39+Projects!$D$39),Projects!$B$39*(Assumptions!$B$10+Assumptions!$B$11+Assumptions!$B$12)/Projects!$D$39*0.95,0)-IF(AND(Projects!$G$39="Yes",AE$3=Projects!$C$39+Projects!$D$39-1),Projects!$B$39*(Assumptions!$B$10+Assumptions!$B$11+Assumptions!$B$12)*0.05,0)</f>
        <v/>
      </c>
      <c r="AF48" s="399">
        <f>IF(AND(Projects!$G$39="Yes",AF$3&gt;=Projects!$C$39,AF$3&lt;Projects!$C$39+Projects!$D$39),Projects!$B$39*INDEX(Curves!$B$4:$AR$4,1,AF$3-Projects!$C$39+1),0)-IF(AND(Projects!$G$39="Yes",AF$3&gt;=Projects!$C$39,AF$3&lt;Projects!$C$39+Projects!$D$39),Projects!$B$39*(Assumptions!$B$10+Assumptions!$B$11+Assumptions!$B$12)/Projects!$D$39*0.95,0)-IF(AND(Projects!$G$39="Yes",AF$3=Projects!$C$39+Projects!$D$39-1),Projects!$B$39*(Assumptions!$B$10+Assumptions!$B$11+Assumptions!$B$12)*0.05,0)</f>
        <v/>
      </c>
      <c r="AG48" s="399">
        <f>IF(AND(Projects!$G$39="Yes",AG$3&gt;=Projects!$C$39,AG$3&lt;Projects!$C$39+Projects!$D$39),Projects!$B$39*INDEX(Curves!$B$4:$AR$4,1,AG$3-Projects!$C$39+1),0)-IF(AND(Projects!$G$39="Yes",AG$3&gt;=Projects!$C$39,AG$3&lt;Projects!$C$39+Projects!$D$39),Projects!$B$39*(Assumptions!$B$10+Assumptions!$B$11+Assumptions!$B$12)/Projects!$D$39*0.95,0)-IF(AND(Projects!$G$39="Yes",AG$3=Projects!$C$39+Projects!$D$39-1),Projects!$B$39*(Assumptions!$B$10+Assumptions!$B$11+Assumptions!$B$12)*0.05,0)</f>
        <v/>
      </c>
      <c r="AH48" s="399">
        <f>IF(AND(Projects!$G$39="Yes",AH$3&gt;=Projects!$C$39,AH$3&lt;Projects!$C$39+Projects!$D$39),Projects!$B$39*INDEX(Curves!$B$4:$AR$4,1,AH$3-Projects!$C$39+1),0)-IF(AND(Projects!$G$39="Yes",AH$3&gt;=Projects!$C$39,AH$3&lt;Projects!$C$39+Projects!$D$39),Projects!$B$39*(Assumptions!$B$10+Assumptions!$B$11+Assumptions!$B$12)/Projects!$D$39*0.95,0)-IF(AND(Projects!$G$39="Yes",AH$3=Projects!$C$39+Projects!$D$39-1),Projects!$B$39*(Assumptions!$B$10+Assumptions!$B$11+Assumptions!$B$12)*0.05,0)</f>
        <v/>
      </c>
      <c r="AI48" s="399">
        <f>IF(AND(Projects!$G$39="Yes",AI$3&gt;=Projects!$C$39,AI$3&lt;Projects!$C$39+Projects!$D$39),Projects!$B$39*INDEX(Curves!$B$4:$AR$4,1,AI$3-Projects!$C$39+1),0)-IF(AND(Projects!$G$39="Yes",AI$3&gt;=Projects!$C$39,AI$3&lt;Projects!$C$39+Projects!$D$39),Projects!$B$39*(Assumptions!$B$10+Assumptions!$B$11+Assumptions!$B$12)/Projects!$D$39*0.95,0)-IF(AND(Projects!$G$39="Yes",AI$3=Projects!$C$39+Projects!$D$39-1),Projects!$B$39*(Assumptions!$B$10+Assumptions!$B$11+Assumptions!$B$12)*0.05,0)</f>
        <v/>
      </c>
      <c r="AJ48" s="399">
        <f>IF(AND(Projects!$G$39="Yes",AJ$3&gt;=Projects!$C$39,AJ$3&lt;Projects!$C$39+Projects!$D$39),Projects!$B$39*INDEX(Curves!$B$4:$AR$4,1,AJ$3-Projects!$C$39+1),0)-IF(AND(Projects!$G$39="Yes",AJ$3&gt;=Projects!$C$39,AJ$3&lt;Projects!$C$39+Projects!$D$39),Projects!$B$39*(Assumptions!$B$10+Assumptions!$B$11+Assumptions!$B$12)/Projects!$D$39*0.95,0)-IF(AND(Projects!$G$39="Yes",AJ$3=Projects!$C$39+Projects!$D$39-1),Projects!$B$39*(Assumptions!$B$10+Assumptions!$B$11+Assumptions!$B$12)*0.05,0)</f>
        <v/>
      </c>
      <c r="AK48" s="399">
        <f>IF(AND(Projects!$G$39="Yes",AK$3&gt;=Projects!$C$39,AK$3&lt;Projects!$C$39+Projects!$D$39),Projects!$B$39*INDEX(Curves!$B$4:$AR$4,1,AK$3-Projects!$C$39+1),0)-IF(AND(Projects!$G$39="Yes",AK$3&gt;=Projects!$C$39,AK$3&lt;Projects!$C$39+Projects!$D$39),Projects!$B$39*(Assumptions!$B$10+Assumptions!$B$11+Assumptions!$B$12)/Projects!$D$39*0.95,0)-IF(AND(Projects!$G$39="Yes",AK$3=Projects!$C$39+Projects!$D$39-1),Projects!$B$39*(Assumptions!$B$10+Assumptions!$B$11+Assumptions!$B$12)*0.05,0)</f>
        <v/>
      </c>
      <c r="AL48" s="399">
        <f>IF(AND(Projects!$G$39="Yes",AL$3&gt;=Projects!$C$39,AL$3&lt;Projects!$C$39+Projects!$D$39),Projects!$B$39*INDEX(Curves!$B$4:$AR$4,1,AL$3-Projects!$C$39+1),0)-IF(AND(Projects!$G$39="Yes",AL$3&gt;=Projects!$C$39,AL$3&lt;Projects!$C$39+Projects!$D$39),Projects!$B$39*(Assumptions!$B$10+Assumptions!$B$11+Assumptions!$B$12)/Projects!$D$39*0.95,0)-IF(AND(Projects!$G$39="Yes",AL$3=Projects!$C$39+Projects!$D$39-1),Projects!$B$39*(Assumptions!$B$10+Assumptions!$B$11+Assumptions!$B$12)*0.05,0)</f>
        <v/>
      </c>
      <c r="AM48" s="399">
        <f>IF(AND(Projects!$G$39="Yes",AM$3&gt;=Projects!$C$39,AM$3&lt;Projects!$C$39+Projects!$D$39),Projects!$B$39*INDEX(Curves!$B$4:$AR$4,1,AM$3-Projects!$C$39+1),0)-IF(AND(Projects!$G$39="Yes",AM$3&gt;=Projects!$C$39,AM$3&lt;Projects!$C$39+Projects!$D$39),Projects!$B$39*(Assumptions!$B$10+Assumptions!$B$11+Assumptions!$B$12)/Projects!$D$39*0.95,0)-IF(AND(Projects!$G$39="Yes",AM$3=Projects!$C$39+Projects!$D$39-1),Projects!$B$39*(Assumptions!$B$10+Assumptions!$B$11+Assumptions!$B$12)*0.05,0)</f>
        <v/>
      </c>
      <c r="AN48" s="399">
        <f>IF(AND(Projects!$G$39="Yes",AN$3&gt;=Projects!$C$39,AN$3&lt;Projects!$C$39+Projects!$D$39),Projects!$B$39*INDEX(Curves!$B$4:$AR$4,1,AN$3-Projects!$C$39+1),0)-IF(AND(Projects!$G$39="Yes",AN$3&gt;=Projects!$C$39,AN$3&lt;Projects!$C$39+Projects!$D$39),Projects!$B$39*(Assumptions!$B$10+Assumptions!$B$11+Assumptions!$B$12)/Projects!$D$39*0.95,0)-IF(AND(Projects!$G$39="Yes",AN$3=Projects!$C$39+Projects!$D$39-1),Projects!$B$39*(Assumptions!$B$10+Assumptions!$B$11+Assumptions!$B$12)*0.05,0)</f>
        <v/>
      </c>
      <c r="AO48" s="399">
        <f>IF(AND(Projects!$G$39="Yes",AO$3&gt;=Projects!$C$39,AO$3&lt;Projects!$C$39+Projects!$D$39),Projects!$B$39*INDEX(Curves!$B$4:$AR$4,1,AO$3-Projects!$C$39+1),0)-IF(AND(Projects!$G$39="Yes",AO$3&gt;=Projects!$C$39,AO$3&lt;Projects!$C$39+Projects!$D$39),Projects!$B$39*(Assumptions!$B$10+Assumptions!$B$11+Assumptions!$B$12)/Projects!$D$39*0.95,0)-IF(AND(Projects!$G$39="Yes",AO$3=Projects!$C$39+Projects!$D$39-1),Projects!$B$39*(Assumptions!$B$10+Assumptions!$B$11+Assumptions!$B$12)*0.05,0)</f>
        <v/>
      </c>
      <c r="AP48" s="399">
        <f>IF(AND(Projects!$G$39="Yes",AP$3&gt;=Projects!$C$39,AP$3&lt;Projects!$C$39+Projects!$D$39),Projects!$B$39*INDEX(Curves!$B$4:$AR$4,1,AP$3-Projects!$C$39+1),0)-IF(AND(Projects!$G$39="Yes",AP$3&gt;=Projects!$C$39,AP$3&lt;Projects!$C$39+Projects!$D$39),Projects!$B$39*(Assumptions!$B$10+Assumptions!$B$11+Assumptions!$B$12)/Projects!$D$39*0.95,0)-IF(AND(Projects!$G$39="Yes",AP$3=Projects!$C$39+Projects!$D$39-1),Projects!$B$39*(Assumptions!$B$10+Assumptions!$B$11+Assumptions!$B$12)*0.05,0)</f>
        <v/>
      </c>
      <c r="AQ48" s="399">
        <f>IF(AND(Projects!$G$39="Yes",AQ$3&gt;=Projects!$C$39,AQ$3&lt;Projects!$C$39+Projects!$D$39),Projects!$B$39*INDEX(Curves!$B$4:$AR$4,1,AQ$3-Projects!$C$39+1),0)-IF(AND(Projects!$G$39="Yes",AQ$3&gt;=Projects!$C$39,AQ$3&lt;Projects!$C$39+Projects!$D$39),Projects!$B$39*(Assumptions!$B$10+Assumptions!$B$11+Assumptions!$B$12)/Projects!$D$39*0.95,0)-IF(AND(Projects!$G$39="Yes",AQ$3=Projects!$C$39+Projects!$D$39-1),Projects!$B$39*(Assumptions!$B$10+Assumptions!$B$11+Assumptions!$B$12)*0.05,0)</f>
        <v/>
      </c>
      <c r="AR48" s="399">
        <f>IF(AND(Projects!$G$39="Yes",AR$3&gt;=Projects!$C$39,AR$3&lt;Projects!$C$39+Projects!$D$39),Projects!$B$39*INDEX(Curves!$B$4:$AR$4,1,AR$3-Projects!$C$39+1),0)-IF(AND(Projects!$G$39="Yes",AR$3&gt;=Projects!$C$39,AR$3&lt;Projects!$C$39+Projects!$D$39),Projects!$B$39*(Assumptions!$B$10+Assumptions!$B$11+Assumptions!$B$12)/Projects!$D$39*0.95,0)-IF(AND(Projects!$G$39="Yes",AR$3=Projects!$C$39+Projects!$D$39-1),Projects!$B$39*(Assumptions!$B$10+Assumptions!$B$11+Assumptions!$B$12)*0.05,0)</f>
        <v/>
      </c>
      <c r="AS48" s="399">
        <f>IF(AND(Projects!$G$39="Yes",AS$3&gt;=Projects!$C$39,AS$3&lt;Projects!$C$39+Projects!$D$39),Projects!$B$39*INDEX(Curves!$B$4:$AR$4,1,AS$3-Projects!$C$39+1),0)-IF(AND(Projects!$G$39="Yes",AS$3&gt;=Projects!$C$39,AS$3&lt;Projects!$C$39+Projects!$D$39),Projects!$B$39*(Assumptions!$B$10+Assumptions!$B$11+Assumptions!$B$12)/Projects!$D$39*0.95,0)-IF(AND(Projects!$G$39="Yes",AS$3=Projects!$C$39+Projects!$D$39-1),Projects!$B$39*(Assumptions!$B$10+Assumptions!$B$11+Assumptions!$B$12)*0.05,0)</f>
        <v/>
      </c>
      <c r="AT48" s="399">
        <f>IF(AND(Projects!$G$39="Yes",AT$3&gt;=Projects!$C$39,AT$3&lt;Projects!$C$39+Projects!$D$39),Projects!$B$39*INDEX(Curves!$B$4:$AR$4,1,AT$3-Projects!$C$39+1),0)-IF(AND(Projects!$G$39="Yes",AT$3&gt;=Projects!$C$39,AT$3&lt;Projects!$C$39+Projects!$D$39),Projects!$B$39*(Assumptions!$B$10+Assumptions!$B$11+Assumptions!$B$12)/Projects!$D$39*0.95,0)-IF(AND(Projects!$G$39="Yes",AT$3=Projects!$C$39+Projects!$D$39-1),Projects!$B$39*(Assumptions!$B$10+Assumptions!$B$11+Assumptions!$B$12)*0.05,0)</f>
        <v/>
      </c>
      <c r="AU48" s="399">
        <f>IF(AND(Projects!$G$39="Yes",AU$3&gt;=Projects!$C$39,AU$3&lt;Projects!$C$39+Projects!$D$39),Projects!$B$39*INDEX(Curves!$B$4:$AR$4,1,AU$3-Projects!$C$39+1),0)-IF(AND(Projects!$G$39="Yes",AU$3&gt;=Projects!$C$39,AU$3&lt;Projects!$C$39+Projects!$D$39),Projects!$B$39*(Assumptions!$B$10+Assumptions!$B$11+Assumptions!$B$12)/Projects!$D$39*0.95,0)-IF(AND(Projects!$G$39="Yes",AU$3=Projects!$C$39+Projects!$D$39-1),Projects!$B$39*(Assumptions!$B$10+Assumptions!$B$11+Assumptions!$B$12)*0.05,0)</f>
        <v/>
      </c>
      <c r="AV48" s="399">
        <f>IF(AND(Projects!$G$39="Yes",AV$3&gt;=Projects!$C$39,AV$3&lt;Projects!$C$39+Projects!$D$39),Projects!$B$39*INDEX(Curves!$B$4:$AR$4,1,AV$3-Projects!$C$39+1),0)-IF(AND(Projects!$G$39="Yes",AV$3&gt;=Projects!$C$39,AV$3&lt;Projects!$C$39+Projects!$D$39),Projects!$B$39*(Assumptions!$B$10+Assumptions!$B$11+Assumptions!$B$12)/Projects!$D$39*0.95,0)-IF(AND(Projects!$G$39="Yes",AV$3=Projects!$C$39+Projects!$D$39-1),Projects!$B$39*(Assumptions!$B$10+Assumptions!$B$11+Assumptions!$B$12)*0.05,0)</f>
        <v/>
      </c>
      <c r="AW48" s="399">
        <f>IF(AND(Projects!$G$39="Yes",AW$3&gt;=Projects!$C$39,AW$3&lt;Projects!$C$39+Projects!$D$39),Projects!$B$39*INDEX(Curves!$B$4:$AR$4,1,AW$3-Projects!$C$39+1),0)-IF(AND(Projects!$G$39="Yes",AW$3&gt;=Projects!$C$39,AW$3&lt;Projects!$C$39+Projects!$D$39),Projects!$B$39*(Assumptions!$B$10+Assumptions!$B$11+Assumptions!$B$12)/Projects!$D$39*0.95,0)-IF(AND(Projects!$G$39="Yes",AW$3=Projects!$C$39+Projects!$D$39-1),Projects!$B$39*(Assumptions!$B$10+Assumptions!$B$11+Assumptions!$B$12)*0.05,0)</f>
        <v/>
      </c>
      <c r="AX48" s="399">
        <f>IF(AND(Projects!$G$39="Yes",AX$3&gt;=Projects!$C$39,AX$3&lt;Projects!$C$39+Projects!$D$39),Projects!$B$39*INDEX(Curves!$B$4:$AR$4,1,AX$3-Projects!$C$39+1),0)-IF(AND(Projects!$G$39="Yes",AX$3&gt;=Projects!$C$39,AX$3&lt;Projects!$C$39+Projects!$D$39),Projects!$B$39*(Assumptions!$B$10+Assumptions!$B$11+Assumptions!$B$12)/Projects!$D$39*0.95,0)-IF(AND(Projects!$G$39="Yes",AX$3=Projects!$C$39+Projects!$D$39-1),Projects!$B$39*(Assumptions!$B$10+Assumptions!$B$11+Assumptions!$B$12)*0.05,0)</f>
        <v/>
      </c>
      <c r="AY48" s="399">
        <f>IF(AND(Projects!$G$39="Yes",AY$3&gt;=Projects!$C$39,AY$3&lt;Projects!$C$39+Projects!$D$39),Projects!$B$39*INDEX(Curves!$B$4:$AR$4,1,AY$3-Projects!$C$39+1),0)-IF(AND(Projects!$G$39="Yes",AY$3&gt;=Projects!$C$39,AY$3&lt;Projects!$C$39+Projects!$D$39),Projects!$B$39*(Assumptions!$B$10+Assumptions!$B$11+Assumptions!$B$12)/Projects!$D$39*0.95,0)-IF(AND(Projects!$G$39="Yes",AY$3=Projects!$C$39+Projects!$D$39-1),Projects!$B$39*(Assumptions!$B$10+Assumptions!$B$11+Assumptions!$B$12)*0.05,0)</f>
        <v/>
      </c>
      <c r="AZ48" s="399">
        <f>IF(AND(Projects!$G$39="Yes",AZ$3&gt;=Projects!$C$39,AZ$3&lt;Projects!$C$39+Projects!$D$39),Projects!$B$39*INDEX(Curves!$B$4:$AR$4,1,AZ$3-Projects!$C$39+1),0)-IF(AND(Projects!$G$39="Yes",AZ$3&gt;=Projects!$C$39,AZ$3&lt;Projects!$C$39+Projects!$D$39),Projects!$B$39*(Assumptions!$B$10+Assumptions!$B$11+Assumptions!$B$12)/Projects!$D$39*0.95,0)-IF(AND(Projects!$G$39="Yes",AZ$3=Projects!$C$39+Projects!$D$39-1),Projects!$B$39*(Assumptions!$B$10+Assumptions!$B$11+Assumptions!$B$12)*0.05,0)</f>
        <v/>
      </c>
      <c r="BA48" s="399">
        <f>IF(AND(Projects!$G$39="Yes",BA$3&gt;=Projects!$C$39,BA$3&lt;Projects!$C$39+Projects!$D$39),Projects!$B$39*INDEX(Curves!$B$4:$AR$4,1,BA$3-Projects!$C$39+1),0)-IF(AND(Projects!$G$39="Yes",BA$3&gt;=Projects!$C$39,BA$3&lt;Projects!$C$39+Projects!$D$39),Projects!$B$39*(Assumptions!$B$10+Assumptions!$B$11+Assumptions!$B$12)/Projects!$D$39*0.95,0)-IF(AND(Projects!$G$39="Yes",BA$3=Projects!$C$39+Projects!$D$39-1),Projects!$B$39*(Assumptions!$B$10+Assumptions!$B$11+Assumptions!$B$12)*0.05,0)</f>
        <v/>
      </c>
      <c r="BB48" s="399">
        <f>IF(AND(Projects!$G$39="Yes",BB$3&gt;=Projects!$C$39,BB$3&lt;Projects!$C$39+Projects!$D$39),Projects!$B$39*INDEX(Curves!$B$4:$AR$4,1,BB$3-Projects!$C$39+1),0)-IF(AND(Projects!$G$39="Yes",BB$3&gt;=Projects!$C$39,BB$3&lt;Projects!$C$39+Projects!$D$39),Projects!$B$39*(Assumptions!$B$10+Assumptions!$B$11+Assumptions!$B$12)/Projects!$D$39*0.95,0)-IF(AND(Projects!$G$39="Yes",BB$3=Projects!$C$39+Projects!$D$39-1),Projects!$B$39*(Assumptions!$B$10+Assumptions!$B$11+Assumptions!$B$12)*0.05,0)</f>
        <v/>
      </c>
      <c r="BC48" s="399">
        <f>IF(AND(Projects!$G$39="Yes",BC$3&gt;=Projects!$C$39,BC$3&lt;Projects!$C$39+Projects!$D$39),Projects!$B$39*INDEX(Curves!$B$4:$AR$4,1,BC$3-Projects!$C$39+1),0)-IF(AND(Projects!$G$39="Yes",BC$3&gt;=Projects!$C$39,BC$3&lt;Projects!$C$39+Projects!$D$39),Projects!$B$39*(Assumptions!$B$10+Assumptions!$B$11+Assumptions!$B$12)/Projects!$D$39*0.95,0)-IF(AND(Projects!$G$39="Yes",BC$3=Projects!$C$39+Projects!$D$39-1),Projects!$B$39*(Assumptions!$B$10+Assumptions!$B$11+Assumptions!$B$12)*0.05,0)</f>
        <v/>
      </c>
      <c r="BD48" s="399">
        <f>IF(AND(Projects!$G$39="Yes",BD$3&gt;=Projects!$C$39,BD$3&lt;Projects!$C$39+Projects!$D$39),Projects!$B$39*INDEX(Curves!$B$4:$AR$4,1,BD$3-Projects!$C$39+1),0)-IF(AND(Projects!$G$39="Yes",BD$3&gt;=Projects!$C$39,BD$3&lt;Projects!$C$39+Projects!$D$39),Projects!$B$39*(Assumptions!$B$10+Assumptions!$B$11+Assumptions!$B$12)/Projects!$D$39*0.95,0)-IF(AND(Projects!$G$39="Yes",BD$3=Projects!$C$39+Projects!$D$39-1),Projects!$B$39*(Assumptions!$B$10+Assumptions!$B$11+Assumptions!$B$12)*0.05,0)</f>
        <v/>
      </c>
      <c r="BE48" s="399">
        <f>IF(AND(Projects!$G$39="Yes",BE$3&gt;=Projects!$C$39,BE$3&lt;Projects!$C$39+Projects!$D$39),Projects!$B$39*INDEX(Curves!$B$4:$AR$4,1,BE$3-Projects!$C$39+1),0)-IF(AND(Projects!$G$39="Yes",BE$3&gt;=Projects!$C$39,BE$3&lt;Projects!$C$39+Projects!$D$39),Projects!$B$39*(Assumptions!$B$10+Assumptions!$B$11+Assumptions!$B$12)/Projects!$D$39*0.95,0)-IF(AND(Projects!$G$39="Yes",BE$3=Projects!$C$39+Projects!$D$39-1),Projects!$B$39*(Assumptions!$B$10+Assumptions!$B$11+Assumptions!$B$12)*0.05,0)</f>
        <v/>
      </c>
      <c r="BF48" s="399">
        <f>IF(AND(Projects!$G$39="Yes",BF$3&gt;=Projects!$C$39,BF$3&lt;Projects!$C$39+Projects!$D$39),Projects!$B$39*INDEX(Curves!$B$4:$AR$4,1,BF$3-Projects!$C$39+1),0)-IF(AND(Projects!$G$39="Yes",BF$3&gt;=Projects!$C$39,BF$3&lt;Projects!$C$39+Projects!$D$39),Projects!$B$39*(Assumptions!$B$10+Assumptions!$B$11+Assumptions!$B$12)/Projects!$D$39*0.95,0)-IF(AND(Projects!$G$39="Yes",BF$3=Projects!$C$39+Projects!$D$39-1),Projects!$B$39*(Assumptions!$B$10+Assumptions!$B$11+Assumptions!$B$12)*0.05,0)</f>
        <v/>
      </c>
      <c r="BG48" s="399">
        <f>IF(AND(Projects!$G$39="Yes",BG$3&gt;=Projects!$C$39,BG$3&lt;Projects!$C$39+Projects!$D$39),Projects!$B$39*INDEX(Curves!$B$4:$AR$4,1,BG$3-Projects!$C$39+1),0)-IF(AND(Projects!$G$39="Yes",BG$3&gt;=Projects!$C$39,BG$3&lt;Projects!$C$39+Projects!$D$39),Projects!$B$39*(Assumptions!$B$10+Assumptions!$B$11+Assumptions!$B$12)/Projects!$D$39*0.95,0)-IF(AND(Projects!$G$39="Yes",BG$3=Projects!$C$39+Projects!$D$39-1),Projects!$B$39*(Assumptions!$B$10+Assumptions!$B$11+Assumptions!$B$12)*0.05,0)</f>
        <v/>
      </c>
      <c r="BH48" s="399">
        <f>IF(AND(Projects!$G$39="Yes",BH$3&gt;=Projects!$C$39,BH$3&lt;Projects!$C$39+Projects!$D$39),Projects!$B$39*INDEX(Curves!$B$4:$AR$4,1,BH$3-Projects!$C$39+1),0)-IF(AND(Projects!$G$39="Yes",BH$3&gt;=Projects!$C$39,BH$3&lt;Projects!$C$39+Projects!$D$39),Projects!$B$39*(Assumptions!$B$10+Assumptions!$B$11+Assumptions!$B$12)/Projects!$D$39*0.95,0)-IF(AND(Projects!$G$39="Yes",BH$3=Projects!$C$39+Projects!$D$39-1),Projects!$B$39*(Assumptions!$B$10+Assumptions!$B$11+Assumptions!$B$12)*0.05,0)</f>
        <v/>
      </c>
      <c r="BI48" s="399">
        <f>IF(AND(Projects!$G$39="Yes",BI$3&gt;=Projects!$C$39,BI$3&lt;Projects!$C$39+Projects!$D$39),Projects!$B$39*INDEX(Curves!$B$4:$AR$4,1,BI$3-Projects!$C$39+1),0)-IF(AND(Projects!$G$39="Yes",BI$3&gt;=Projects!$C$39,BI$3&lt;Projects!$C$39+Projects!$D$39),Projects!$B$39*(Assumptions!$B$10+Assumptions!$B$11+Assumptions!$B$12)/Projects!$D$39*0.95,0)-IF(AND(Projects!$G$39="Yes",BI$3=Projects!$C$39+Projects!$D$39-1),Projects!$B$39*(Assumptions!$B$10+Assumptions!$B$11+Assumptions!$B$12)*0.05,0)</f>
        <v/>
      </c>
      <c r="BJ48" s="399">
        <f>IF(AND(Projects!$G$39="Yes",BJ$3&gt;=Projects!$C$39,BJ$3&lt;Projects!$C$39+Projects!$D$39),Projects!$B$39*INDEX(Curves!$B$4:$AR$4,1,BJ$3-Projects!$C$39+1),0)-IF(AND(Projects!$G$39="Yes",BJ$3&gt;=Projects!$C$39,BJ$3&lt;Projects!$C$39+Projects!$D$39),Projects!$B$39*(Assumptions!$B$10+Assumptions!$B$11+Assumptions!$B$12)/Projects!$D$39*0.95,0)-IF(AND(Projects!$G$39="Yes",BJ$3=Projects!$C$39+Projects!$D$39-1),Projects!$B$39*(Assumptions!$B$10+Assumptions!$B$11+Assumptions!$B$12)*0.05,0)</f>
        <v/>
      </c>
      <c r="BK48" s="399">
        <f>IF(AND(Projects!$G$39="Yes",BK$3&gt;=Projects!$C$39,BK$3&lt;Projects!$C$39+Projects!$D$39),Projects!$B$39*INDEX(Curves!$B$4:$AR$4,1,BK$3-Projects!$C$39+1),0)-IF(AND(Projects!$G$39="Yes",BK$3&gt;=Projects!$C$39,BK$3&lt;Projects!$C$39+Projects!$D$39),Projects!$B$39*(Assumptions!$B$10+Assumptions!$B$11+Assumptions!$B$12)/Projects!$D$39*0.95,0)-IF(AND(Projects!$G$39="Yes",BK$3=Projects!$C$39+Projects!$D$39-1),Projects!$B$39*(Assumptions!$B$10+Assumptions!$B$11+Assumptions!$B$12)*0.05,0)</f>
        <v/>
      </c>
      <c r="BL48" s="399">
        <f>IF(AND(Projects!$G$39="Yes",BL$3&gt;=Projects!$C$39,BL$3&lt;Projects!$C$39+Projects!$D$39),Projects!$B$39*INDEX(Curves!$B$4:$AR$4,1,BL$3-Projects!$C$39+1),0)-IF(AND(Projects!$G$39="Yes",BL$3&gt;=Projects!$C$39,BL$3&lt;Projects!$C$39+Projects!$D$39),Projects!$B$39*(Assumptions!$B$10+Assumptions!$B$11+Assumptions!$B$12)/Projects!$D$39*0.95,0)-IF(AND(Projects!$G$39="Yes",BL$3=Projects!$C$39+Projects!$D$39-1),Projects!$B$39*(Assumptions!$B$10+Assumptions!$B$11+Assumptions!$B$12)*0.05,0)</f>
        <v/>
      </c>
      <c r="BM48" s="399">
        <f>IF(AND(Projects!$G$39="Yes",BM$3&gt;=Projects!$C$39,BM$3&lt;Projects!$C$39+Projects!$D$39),Projects!$B$39*INDEX(Curves!$B$4:$AR$4,1,BM$3-Projects!$C$39+1),0)-IF(AND(Projects!$G$39="Yes",BM$3&gt;=Projects!$C$39,BM$3&lt;Projects!$C$39+Projects!$D$39),Projects!$B$39*(Assumptions!$B$10+Assumptions!$B$11+Assumptions!$B$12)/Projects!$D$39*0.95,0)-IF(AND(Projects!$G$39="Yes",BM$3=Projects!$C$39+Projects!$D$39-1),Projects!$B$39*(Assumptions!$B$10+Assumptions!$B$11+Assumptions!$B$12)*0.05,0)</f>
        <v/>
      </c>
      <c r="BN48" s="399">
        <f>IF(AND(Projects!$G$39="Yes",BN$3&gt;=Projects!$C$39,BN$3&lt;Projects!$C$39+Projects!$D$39),Projects!$B$39*INDEX(Curves!$B$4:$AR$4,1,BN$3-Projects!$C$39+1),0)-IF(AND(Projects!$G$39="Yes",BN$3&gt;=Projects!$C$39,BN$3&lt;Projects!$C$39+Projects!$D$39),Projects!$B$39*(Assumptions!$B$10+Assumptions!$B$11+Assumptions!$B$12)/Projects!$D$39*0.95,0)-IF(AND(Projects!$G$39="Yes",BN$3=Projects!$C$39+Projects!$D$39-1),Projects!$B$39*(Assumptions!$B$10+Assumptions!$B$11+Assumptions!$B$12)*0.05,0)</f>
        <v/>
      </c>
      <c r="BO48" s="399">
        <f>IF(AND(Projects!$G$39="Yes",BO$3&gt;=Projects!$C$39,BO$3&lt;Projects!$C$39+Projects!$D$39),Projects!$B$39*INDEX(Curves!$B$4:$AR$4,1,BO$3-Projects!$C$39+1),0)-IF(AND(Projects!$G$39="Yes",BO$3&gt;=Projects!$C$39,BO$3&lt;Projects!$C$39+Projects!$D$39),Projects!$B$39*(Assumptions!$B$10+Assumptions!$B$11+Assumptions!$B$12)/Projects!$D$39*0.95,0)-IF(AND(Projects!$G$39="Yes",BO$3=Projects!$C$39+Projects!$D$39-1),Projects!$B$39*(Assumptions!$B$10+Assumptions!$B$11+Assumptions!$B$12)*0.05,0)</f>
        <v/>
      </c>
      <c r="BP48" s="399">
        <f>IF(AND(Projects!$G$39="Yes",BP$3&gt;=Projects!$C$39,BP$3&lt;Projects!$C$39+Projects!$D$39),Projects!$B$39*INDEX(Curves!$B$4:$AR$4,1,BP$3-Projects!$C$39+1),0)-IF(AND(Projects!$G$39="Yes",BP$3&gt;=Projects!$C$39,BP$3&lt;Projects!$C$39+Projects!$D$39),Projects!$B$39*(Assumptions!$B$10+Assumptions!$B$11+Assumptions!$B$12)/Projects!$D$39*0.95,0)-IF(AND(Projects!$G$39="Yes",BP$3=Projects!$C$39+Projects!$D$39-1),Projects!$B$39*(Assumptions!$B$10+Assumptions!$B$11+Assumptions!$B$12)*0.05,0)</f>
        <v/>
      </c>
      <c r="BQ48" s="399">
        <f>IF(AND(Projects!$G$39="Yes",BQ$3&gt;=Projects!$C$39,BQ$3&lt;Projects!$C$39+Projects!$D$39),Projects!$B$39*INDEX(Curves!$B$4:$AR$4,1,BQ$3-Projects!$C$39+1),0)-IF(AND(Projects!$G$39="Yes",BQ$3&gt;=Projects!$C$39,BQ$3&lt;Projects!$C$39+Projects!$D$39),Projects!$B$39*(Assumptions!$B$10+Assumptions!$B$11+Assumptions!$B$12)/Projects!$D$39*0.95,0)-IF(AND(Projects!$G$39="Yes",BQ$3=Projects!$C$39+Projects!$D$39-1),Projects!$B$39*(Assumptions!$B$10+Assumptions!$B$11+Assumptions!$B$12)*0.05,0)</f>
        <v/>
      </c>
      <c r="BR48" s="399">
        <f>IF(AND(Projects!$G$39="Yes",BR$3&gt;=Projects!$C$39,BR$3&lt;Projects!$C$39+Projects!$D$39),Projects!$B$39*INDEX(Curves!$B$4:$AR$4,1,BR$3-Projects!$C$39+1),0)-IF(AND(Projects!$G$39="Yes",BR$3&gt;=Projects!$C$39,BR$3&lt;Projects!$C$39+Projects!$D$39),Projects!$B$39*(Assumptions!$B$10+Assumptions!$B$11+Assumptions!$B$12)/Projects!$D$39*0.95,0)-IF(AND(Projects!$G$39="Yes",BR$3=Projects!$C$39+Projects!$D$39-1),Projects!$B$39*(Assumptions!$B$10+Assumptions!$B$11+Assumptions!$B$12)*0.05,0)</f>
        <v/>
      </c>
      <c r="BS48" s="399">
        <f>IF(AND(Projects!$G$39="Yes",BS$3&gt;=Projects!$C$39,BS$3&lt;Projects!$C$39+Projects!$D$39),Projects!$B$39*INDEX(Curves!$B$4:$AR$4,1,BS$3-Projects!$C$39+1),0)-IF(AND(Projects!$G$39="Yes",BS$3&gt;=Projects!$C$39,BS$3&lt;Projects!$C$39+Projects!$D$39),Projects!$B$39*(Assumptions!$B$10+Assumptions!$B$11+Assumptions!$B$12)/Projects!$D$39*0.95,0)-IF(AND(Projects!$G$39="Yes",BS$3=Projects!$C$39+Projects!$D$39-1),Projects!$B$39*(Assumptions!$B$10+Assumptions!$B$11+Assumptions!$B$12)*0.05,0)</f>
        <v/>
      </c>
      <c r="BT48" s="399">
        <f>IF(AND(Projects!$G$39="Yes",BT$3&gt;=Projects!$C$39,BT$3&lt;Projects!$C$39+Projects!$D$39),Projects!$B$39*INDEX(Curves!$B$4:$AR$4,1,BT$3-Projects!$C$39+1),0)-IF(AND(Projects!$G$39="Yes",BT$3&gt;=Projects!$C$39,BT$3&lt;Projects!$C$39+Projects!$D$39),Projects!$B$39*(Assumptions!$B$10+Assumptions!$B$11+Assumptions!$B$12)/Projects!$D$39*0.95,0)-IF(AND(Projects!$G$39="Yes",BT$3=Projects!$C$39+Projects!$D$39-1),Projects!$B$39*(Assumptions!$B$10+Assumptions!$B$11+Assumptions!$B$12)*0.05,0)</f>
        <v/>
      </c>
      <c r="BU48" s="399">
        <f>IF(AND(Projects!$G$39="Yes",BU$3&gt;=Projects!$C$39,BU$3&lt;Projects!$C$39+Projects!$D$39),Projects!$B$39*INDEX(Curves!$B$4:$AR$4,1,BU$3-Projects!$C$39+1),0)-IF(AND(Projects!$G$39="Yes",BU$3&gt;=Projects!$C$39,BU$3&lt;Projects!$C$39+Projects!$D$39),Projects!$B$39*(Assumptions!$B$10+Assumptions!$B$11+Assumptions!$B$12)/Projects!$D$39*0.95,0)-IF(AND(Projects!$G$39="Yes",BU$3=Projects!$C$39+Projects!$D$39-1),Projects!$B$39*(Assumptions!$B$10+Assumptions!$B$11+Assumptions!$B$12)*0.05,0)</f>
        <v/>
      </c>
      <c r="BV48" s="399">
        <f>IF(AND(Projects!$G$39="Yes",BV$3&gt;=Projects!$C$39,BV$3&lt;Projects!$C$39+Projects!$D$39),Projects!$B$39*INDEX(Curves!$B$4:$AR$4,1,BV$3-Projects!$C$39+1),0)-IF(AND(Projects!$G$39="Yes",BV$3&gt;=Projects!$C$39,BV$3&lt;Projects!$C$39+Projects!$D$39),Projects!$B$39*(Assumptions!$B$10+Assumptions!$B$11+Assumptions!$B$12)/Projects!$D$39*0.95,0)-IF(AND(Projects!$G$39="Yes",BV$3=Projects!$C$39+Projects!$D$39-1),Projects!$B$39*(Assumptions!$B$10+Assumptions!$B$11+Assumptions!$B$12)*0.05,0)</f>
        <v/>
      </c>
      <c r="BW48" s="399">
        <f>IF(AND(Projects!$G$39="Yes",BW$3&gt;=Projects!$C$39,BW$3&lt;Projects!$C$39+Projects!$D$39),Projects!$B$39*INDEX(Curves!$B$4:$AR$4,1,BW$3-Projects!$C$39+1),0)-IF(AND(Projects!$G$39="Yes",BW$3&gt;=Projects!$C$39,BW$3&lt;Projects!$C$39+Projects!$D$39),Projects!$B$39*(Assumptions!$B$10+Assumptions!$B$11+Assumptions!$B$12)/Projects!$D$39*0.95,0)-IF(AND(Projects!$G$39="Yes",BW$3=Projects!$C$39+Projects!$D$39-1),Projects!$B$39*(Assumptions!$B$10+Assumptions!$B$11+Assumptions!$B$12)*0.05,0)</f>
        <v/>
      </c>
      <c r="BX48" s="399">
        <f>IF(AND(Projects!$G$39="Yes",BX$3&gt;=Projects!$C$39,BX$3&lt;Projects!$C$39+Projects!$D$39),Projects!$B$39*INDEX(Curves!$B$4:$AR$4,1,BX$3-Projects!$C$39+1),0)-IF(AND(Projects!$G$39="Yes",BX$3&gt;=Projects!$C$39,BX$3&lt;Projects!$C$39+Projects!$D$39),Projects!$B$39*(Assumptions!$B$10+Assumptions!$B$11+Assumptions!$B$12)/Projects!$D$39*0.95,0)-IF(AND(Projects!$G$39="Yes",BX$3=Projects!$C$39+Projects!$D$39-1),Projects!$B$39*(Assumptions!$B$10+Assumptions!$B$11+Assumptions!$B$12)*0.05,0)</f>
        <v/>
      </c>
      <c r="BY48" s="399">
        <f>IF(AND(Projects!$G$39="Yes",BY$3&gt;=Projects!$C$39,BY$3&lt;Projects!$C$39+Projects!$D$39),Projects!$B$39*INDEX(Curves!$B$4:$AR$4,1,BY$3-Projects!$C$39+1),0)-IF(AND(Projects!$G$39="Yes",BY$3&gt;=Projects!$C$39,BY$3&lt;Projects!$C$39+Projects!$D$39),Projects!$B$39*(Assumptions!$B$10+Assumptions!$B$11+Assumptions!$B$12)/Projects!$D$39*0.95,0)-IF(AND(Projects!$G$39="Yes",BY$3=Projects!$C$39+Projects!$D$39-1),Projects!$B$39*(Assumptions!$B$10+Assumptions!$B$11+Assumptions!$B$12)*0.05,0)</f>
        <v/>
      </c>
      <c r="BZ48" s="399">
        <f>IF(AND(Projects!$G$39="Yes",BZ$3&gt;=Projects!$C$39,BZ$3&lt;Projects!$C$39+Projects!$D$39),Projects!$B$39*INDEX(Curves!$B$4:$AR$4,1,BZ$3-Projects!$C$39+1),0)-IF(AND(Projects!$G$39="Yes",BZ$3&gt;=Projects!$C$39,BZ$3&lt;Projects!$C$39+Projects!$D$39),Projects!$B$39*(Assumptions!$B$10+Assumptions!$B$11+Assumptions!$B$12)/Projects!$D$39*0.95,0)-IF(AND(Projects!$G$39="Yes",BZ$3=Projects!$C$39+Projects!$D$39-1),Projects!$B$39*(Assumptions!$B$10+Assumptions!$B$11+Assumptions!$B$12)*0.05,0)</f>
        <v/>
      </c>
      <c r="CA48" s="399">
        <f>IF(AND(Projects!$G$39="Yes",CA$3&gt;=Projects!$C$39,CA$3&lt;Projects!$C$39+Projects!$D$39),Projects!$B$39*INDEX(Curves!$B$4:$AR$4,1,CA$3-Projects!$C$39+1),0)-IF(AND(Projects!$G$39="Yes",CA$3&gt;=Projects!$C$39,CA$3&lt;Projects!$C$39+Projects!$D$39),Projects!$B$39*(Assumptions!$B$10+Assumptions!$B$11+Assumptions!$B$12)/Projects!$D$39*0.95,0)-IF(AND(Projects!$G$39="Yes",CA$3=Projects!$C$39+Projects!$D$39-1),Projects!$B$39*(Assumptions!$B$10+Assumptions!$B$11+Assumptions!$B$12)*0.05,0)</f>
        <v/>
      </c>
      <c r="CB48" s="399">
        <f>IF(AND(Projects!$G$39="Yes",CB$3&gt;=Projects!$C$39,CB$3&lt;Projects!$C$39+Projects!$D$39),Projects!$B$39*INDEX(Curves!$B$4:$AR$4,1,CB$3-Projects!$C$39+1),0)-IF(AND(Projects!$G$39="Yes",CB$3&gt;=Projects!$C$39,CB$3&lt;Projects!$C$39+Projects!$D$39),Projects!$B$39*(Assumptions!$B$10+Assumptions!$B$11+Assumptions!$B$12)/Projects!$D$39*0.95,0)-IF(AND(Projects!$G$39="Yes",CB$3=Projects!$C$39+Projects!$D$39-1),Projects!$B$39*(Assumptions!$B$10+Assumptions!$B$11+Assumptions!$B$12)*0.05,0)</f>
        <v/>
      </c>
      <c r="CC48" s="399">
        <f>IF(AND(Projects!$G$39="Yes",CC$3&gt;=Projects!$C$39,CC$3&lt;Projects!$C$39+Projects!$D$39),Projects!$B$39*INDEX(Curves!$B$4:$AR$4,1,CC$3-Projects!$C$39+1),0)-IF(AND(Projects!$G$39="Yes",CC$3&gt;=Projects!$C$39,CC$3&lt;Projects!$C$39+Projects!$D$39),Projects!$B$39*(Assumptions!$B$10+Assumptions!$B$11+Assumptions!$B$12)/Projects!$D$39*0.95,0)-IF(AND(Projects!$G$39="Yes",CC$3=Projects!$C$39+Projects!$D$39-1),Projects!$B$39*(Assumptions!$B$10+Assumptions!$B$11+Assumptions!$B$12)*0.05,0)</f>
        <v/>
      </c>
      <c r="CD48" s="399">
        <f>IF(AND(Projects!$G$39="Yes",CD$3&gt;=Projects!$C$39,CD$3&lt;Projects!$C$39+Projects!$D$39),Projects!$B$39*INDEX(Curves!$B$4:$AR$4,1,CD$3-Projects!$C$39+1),0)-IF(AND(Projects!$G$39="Yes",CD$3&gt;=Projects!$C$39,CD$3&lt;Projects!$C$39+Projects!$D$39),Projects!$B$39*(Assumptions!$B$10+Assumptions!$B$11+Assumptions!$B$12)/Projects!$D$39*0.95,0)-IF(AND(Projects!$G$39="Yes",CD$3=Projects!$C$39+Projects!$D$39-1),Projects!$B$39*(Assumptions!$B$10+Assumptions!$B$11+Assumptions!$B$12)*0.05,0)</f>
        <v/>
      </c>
      <c r="CE48" s="399">
        <f>IF(AND(Projects!$G$39="Yes",CE$3&gt;=Projects!$C$39,CE$3&lt;Projects!$C$39+Projects!$D$39),Projects!$B$39*INDEX(Curves!$B$4:$AR$4,1,CE$3-Projects!$C$39+1),0)-IF(AND(Projects!$G$39="Yes",CE$3&gt;=Projects!$C$39,CE$3&lt;Projects!$C$39+Projects!$D$39),Projects!$B$39*(Assumptions!$B$10+Assumptions!$B$11+Assumptions!$B$12)/Projects!$D$39*0.95,0)-IF(AND(Projects!$G$39="Yes",CE$3=Projects!$C$39+Projects!$D$39-1),Projects!$B$39*(Assumptions!$B$10+Assumptions!$B$11+Assumptions!$B$12)*0.05,0)</f>
        <v/>
      </c>
      <c r="CF48" s="399">
        <f>IF(AND(Projects!$G$39="Yes",CF$3&gt;=Projects!$C$39,CF$3&lt;Projects!$C$39+Projects!$D$39),Projects!$B$39*INDEX(Curves!$B$4:$AR$4,1,CF$3-Projects!$C$39+1),0)-IF(AND(Projects!$G$39="Yes",CF$3&gt;=Projects!$C$39,CF$3&lt;Projects!$C$39+Projects!$D$39),Projects!$B$39*(Assumptions!$B$10+Assumptions!$B$11+Assumptions!$B$12)/Projects!$D$39*0.95,0)-IF(AND(Projects!$G$39="Yes",CF$3=Projects!$C$39+Projects!$D$39-1),Projects!$B$39*(Assumptions!$B$10+Assumptions!$B$11+Assumptions!$B$12)*0.05,0)</f>
        <v/>
      </c>
      <c r="CG48" s="399">
        <f>IF(AND(Projects!$G$39="Yes",CG$3&gt;=Projects!$C$39,CG$3&lt;Projects!$C$39+Projects!$D$39),Projects!$B$39*INDEX(Curves!$B$4:$AR$4,1,CG$3-Projects!$C$39+1),0)-IF(AND(Projects!$G$39="Yes",CG$3&gt;=Projects!$C$39,CG$3&lt;Projects!$C$39+Projects!$D$39),Projects!$B$39*(Assumptions!$B$10+Assumptions!$B$11+Assumptions!$B$12)/Projects!$D$39*0.95,0)-IF(AND(Projects!$G$39="Yes",CG$3=Projects!$C$39+Projects!$D$39-1),Projects!$B$39*(Assumptions!$B$10+Assumptions!$B$11+Assumptions!$B$12)*0.05,0)</f>
        <v/>
      </c>
      <c r="CH48" s="399">
        <f>IF(AND(Projects!$G$39="Yes",CH$3&gt;=Projects!$C$39,CH$3&lt;Projects!$C$39+Projects!$D$39),Projects!$B$39*INDEX(Curves!$B$4:$AR$4,1,CH$3-Projects!$C$39+1),0)-IF(AND(Projects!$G$39="Yes",CH$3&gt;=Projects!$C$39,CH$3&lt;Projects!$C$39+Projects!$D$39),Projects!$B$39*(Assumptions!$B$10+Assumptions!$B$11+Assumptions!$B$12)/Projects!$D$39*0.95,0)-IF(AND(Projects!$G$39="Yes",CH$3=Projects!$C$39+Projects!$D$39-1),Projects!$B$39*(Assumptions!$B$10+Assumptions!$B$11+Assumptions!$B$12)*0.05,0)</f>
        <v/>
      </c>
      <c r="CI48" s="399">
        <f>IF(AND(Projects!$G$39="Yes",CI$3&gt;=Projects!$C$39,CI$3&lt;Projects!$C$39+Projects!$D$39),Projects!$B$39*INDEX(Curves!$B$4:$AR$4,1,CI$3-Projects!$C$39+1),0)-IF(AND(Projects!$G$39="Yes",CI$3&gt;=Projects!$C$39,CI$3&lt;Projects!$C$39+Projects!$D$39),Projects!$B$39*(Assumptions!$B$10+Assumptions!$B$11+Assumptions!$B$12)/Projects!$D$39*0.95,0)-IF(AND(Projects!$G$39="Yes",CI$3=Projects!$C$39+Projects!$D$39-1),Projects!$B$39*(Assumptions!$B$10+Assumptions!$B$11+Assumptions!$B$12)*0.05,0)</f>
        <v/>
      </c>
      <c r="CJ48" s="399">
        <f>IF(AND(Projects!$G$39="Yes",CJ$3&gt;=Projects!$C$39,CJ$3&lt;Projects!$C$39+Projects!$D$39),Projects!$B$39*INDEX(Curves!$B$4:$AR$4,1,CJ$3-Projects!$C$39+1),0)-IF(AND(Projects!$G$39="Yes",CJ$3&gt;=Projects!$C$39,CJ$3&lt;Projects!$C$39+Projects!$D$39),Projects!$B$39*(Assumptions!$B$10+Assumptions!$B$11+Assumptions!$B$12)/Projects!$D$39*0.95,0)-IF(AND(Projects!$G$39="Yes",CJ$3=Projects!$C$39+Projects!$D$39-1),Projects!$B$39*(Assumptions!$B$10+Assumptions!$B$11+Assumptions!$B$12)*0.05,0)</f>
        <v/>
      </c>
      <c r="CK48" s="399">
        <f>IF(AND(Projects!$G$39="Yes",CK$3&gt;=Projects!$C$39,CK$3&lt;Projects!$C$39+Projects!$D$39),Projects!$B$39*INDEX(Curves!$B$4:$AR$4,1,CK$3-Projects!$C$39+1),0)-IF(AND(Projects!$G$39="Yes",CK$3&gt;=Projects!$C$39,CK$3&lt;Projects!$C$39+Projects!$D$39),Projects!$B$39*(Assumptions!$B$10+Assumptions!$B$11+Assumptions!$B$12)/Projects!$D$39*0.95,0)-IF(AND(Projects!$G$39="Yes",CK$3=Projects!$C$39+Projects!$D$39-1),Projects!$B$39*(Assumptions!$B$10+Assumptions!$B$11+Assumptions!$B$12)*0.05,0)</f>
        <v/>
      </c>
      <c r="CL48" s="399">
        <f>IF(AND(Projects!$G$39="Yes",CL$3&gt;=Projects!$C$39,CL$3&lt;Projects!$C$39+Projects!$D$39),Projects!$B$39*INDEX(Curves!$B$4:$AR$4,1,CL$3-Projects!$C$39+1),0)-IF(AND(Projects!$G$39="Yes",CL$3&gt;=Projects!$C$39,CL$3&lt;Projects!$C$39+Projects!$D$39),Projects!$B$39*(Assumptions!$B$10+Assumptions!$B$11+Assumptions!$B$12)/Projects!$D$39*0.95,0)-IF(AND(Projects!$G$39="Yes",CL$3=Projects!$C$39+Projects!$D$39-1),Projects!$B$39*(Assumptions!$B$10+Assumptions!$B$11+Assumptions!$B$12)*0.05,0)</f>
        <v/>
      </c>
      <c r="CM48" s="399">
        <f>IF(AND(Projects!$G$39="Yes",CM$3&gt;=Projects!$C$39,CM$3&lt;Projects!$C$39+Projects!$D$39),Projects!$B$39*INDEX(Curves!$B$4:$AR$4,1,CM$3-Projects!$C$39+1),0)-IF(AND(Projects!$G$39="Yes",CM$3&gt;=Projects!$C$39,CM$3&lt;Projects!$C$39+Projects!$D$39),Projects!$B$39*(Assumptions!$B$10+Assumptions!$B$11+Assumptions!$B$12)/Projects!$D$39*0.95,0)-IF(AND(Projects!$G$39="Yes",CM$3=Projects!$C$39+Projects!$D$39-1),Projects!$B$39*(Assumptions!$B$10+Assumptions!$B$11+Assumptions!$B$12)*0.05,0)</f>
        <v/>
      </c>
      <c r="CN48" s="399">
        <f>IF(AND(Projects!$G$39="Yes",CN$3&gt;=Projects!$C$39,CN$3&lt;Projects!$C$39+Projects!$D$39),Projects!$B$39*INDEX(Curves!$B$4:$AR$4,1,CN$3-Projects!$C$39+1),0)-IF(AND(Projects!$G$39="Yes",CN$3&gt;=Projects!$C$39,CN$3&lt;Projects!$C$39+Projects!$D$39),Projects!$B$39*(Assumptions!$B$10+Assumptions!$B$11+Assumptions!$B$12)/Projects!$D$39*0.95,0)-IF(AND(Projects!$G$39="Yes",CN$3=Projects!$C$39+Projects!$D$39-1),Projects!$B$39*(Assumptions!$B$10+Assumptions!$B$11+Assumptions!$B$12)*0.05,0)</f>
        <v/>
      </c>
      <c r="CO48" s="399">
        <f>IF(AND(Projects!$G$39="Yes",CO$3&gt;=Projects!$C$39,CO$3&lt;Projects!$C$39+Projects!$D$39),Projects!$B$39*INDEX(Curves!$B$4:$AR$4,1,CO$3-Projects!$C$39+1),0)-IF(AND(Projects!$G$39="Yes",CO$3&gt;=Projects!$C$39,CO$3&lt;Projects!$C$39+Projects!$D$39),Projects!$B$39*(Assumptions!$B$10+Assumptions!$B$11+Assumptions!$B$12)/Projects!$D$39*0.95,0)-IF(AND(Projects!$G$39="Yes",CO$3=Projects!$C$39+Projects!$D$39-1),Projects!$B$39*(Assumptions!$B$10+Assumptions!$B$11+Assumptions!$B$12)*0.05,0)</f>
        <v/>
      </c>
      <c r="CP48" s="399">
        <f>IF(AND(Projects!$G$39="Yes",CP$3&gt;=Projects!$C$39,CP$3&lt;Projects!$C$39+Projects!$D$39),Projects!$B$39*INDEX(Curves!$B$4:$AR$4,1,CP$3-Projects!$C$39+1),0)-IF(AND(Projects!$G$39="Yes",CP$3&gt;=Projects!$C$39,CP$3&lt;Projects!$C$39+Projects!$D$39),Projects!$B$39*(Assumptions!$B$10+Assumptions!$B$11+Assumptions!$B$12)/Projects!$D$39*0.95,0)-IF(AND(Projects!$G$39="Yes",CP$3=Projects!$C$39+Projects!$D$39-1),Projects!$B$39*(Assumptions!$B$10+Assumptions!$B$11+Assumptions!$B$12)*0.05,0)</f>
        <v/>
      </c>
      <c r="CQ48" s="399">
        <f>IF(AND(Projects!$G$39="Yes",CQ$3&gt;=Projects!$C$39,CQ$3&lt;Projects!$C$39+Projects!$D$39),Projects!$B$39*INDEX(Curves!$B$4:$AR$4,1,CQ$3-Projects!$C$39+1),0)-IF(AND(Projects!$G$39="Yes",CQ$3&gt;=Projects!$C$39,CQ$3&lt;Projects!$C$39+Projects!$D$39),Projects!$B$39*(Assumptions!$B$10+Assumptions!$B$11+Assumptions!$B$12)/Projects!$D$39*0.95,0)-IF(AND(Projects!$G$39="Yes",CQ$3=Projects!$C$39+Projects!$D$39-1),Projects!$B$39*(Assumptions!$B$10+Assumptions!$B$11+Assumptions!$B$12)*0.05,0)</f>
        <v/>
      </c>
      <c r="CR48" s="399">
        <f>IF(AND(Projects!$G$39="Yes",CR$3&gt;=Projects!$C$39,CR$3&lt;Projects!$C$39+Projects!$D$39),Projects!$B$39*INDEX(Curves!$B$4:$AR$4,1,CR$3-Projects!$C$39+1),0)-IF(AND(Projects!$G$39="Yes",CR$3&gt;=Projects!$C$39,CR$3&lt;Projects!$C$39+Projects!$D$39),Projects!$B$39*(Assumptions!$B$10+Assumptions!$B$11+Assumptions!$B$12)/Projects!$D$39*0.95,0)-IF(AND(Projects!$G$39="Yes",CR$3=Projects!$C$39+Projects!$D$39-1),Projects!$B$39*(Assumptions!$B$10+Assumptions!$B$11+Assumptions!$B$12)*0.05,0)</f>
        <v/>
      </c>
      <c r="CS48" s="399">
        <f>IF(AND(Projects!$G$39="Yes",CS$3&gt;=Projects!$C$39,CS$3&lt;Projects!$C$39+Projects!$D$39),Projects!$B$39*INDEX(Curves!$B$4:$AR$4,1,CS$3-Projects!$C$39+1),0)-IF(AND(Projects!$G$39="Yes",CS$3&gt;=Projects!$C$39,CS$3&lt;Projects!$C$39+Projects!$D$39),Projects!$B$39*(Assumptions!$B$10+Assumptions!$B$11+Assumptions!$B$12)/Projects!$D$39*0.95,0)-IF(AND(Projects!$G$39="Yes",CS$3=Projects!$C$39+Projects!$D$39-1),Projects!$B$39*(Assumptions!$B$10+Assumptions!$B$11+Assumptions!$B$12)*0.05,0)</f>
        <v/>
      </c>
      <c r="CT48" s="399">
        <f>IF(AND(Projects!$G$39="Yes",CT$3&gt;=Projects!$C$39,CT$3&lt;Projects!$C$39+Projects!$D$39),Projects!$B$39*INDEX(Curves!$B$4:$AR$4,1,CT$3-Projects!$C$39+1),0)-IF(AND(Projects!$G$39="Yes",CT$3&gt;=Projects!$C$39,CT$3&lt;Projects!$C$39+Projects!$D$39),Projects!$B$39*(Assumptions!$B$10+Assumptions!$B$11+Assumptions!$B$12)/Projects!$D$39*0.95,0)-IF(AND(Projects!$G$39="Yes",CT$3=Projects!$C$39+Projects!$D$39-1),Projects!$B$39*(Assumptions!$B$10+Assumptions!$B$11+Assumptions!$B$12)*0.05,0)</f>
        <v/>
      </c>
      <c r="CU48" s="399">
        <f>IF(AND(Projects!$G$39="Yes",CU$3&gt;=Projects!$C$39,CU$3&lt;Projects!$C$39+Projects!$D$39),Projects!$B$39*INDEX(Curves!$B$4:$AR$4,1,CU$3-Projects!$C$39+1),0)-IF(AND(Projects!$G$39="Yes",CU$3&gt;=Projects!$C$39,CU$3&lt;Projects!$C$39+Projects!$D$39),Projects!$B$39*(Assumptions!$B$10+Assumptions!$B$11+Assumptions!$B$12)/Projects!$D$39*0.95,0)-IF(AND(Projects!$G$39="Yes",CU$3=Projects!$C$39+Projects!$D$39-1),Projects!$B$39*(Assumptions!$B$10+Assumptions!$B$11+Assumptions!$B$12)*0.05,0)</f>
        <v/>
      </c>
      <c r="CV48" s="399">
        <f>IF(AND(Projects!$G$39="Yes",CV$3&gt;=Projects!$C$39,CV$3&lt;Projects!$C$39+Projects!$D$39),Projects!$B$39*INDEX(Curves!$B$4:$AR$4,1,CV$3-Projects!$C$39+1),0)-IF(AND(Projects!$G$39="Yes",CV$3&gt;=Projects!$C$39,CV$3&lt;Projects!$C$39+Projects!$D$39),Projects!$B$39*(Assumptions!$B$10+Assumptions!$B$11+Assumptions!$B$12)/Projects!$D$39*0.95,0)-IF(AND(Projects!$G$39="Yes",CV$3=Projects!$C$39+Projects!$D$39-1),Projects!$B$39*(Assumptions!$B$10+Assumptions!$B$11+Assumptions!$B$12)*0.05,0)</f>
        <v/>
      </c>
      <c r="CW48" s="399">
        <f>IF(AND(Projects!$G$39="Yes",CW$3&gt;=Projects!$C$39,CW$3&lt;Projects!$C$39+Projects!$D$39),Projects!$B$39*INDEX(Curves!$B$4:$AR$4,1,CW$3-Projects!$C$39+1),0)-IF(AND(Projects!$G$39="Yes",CW$3&gt;=Projects!$C$39,CW$3&lt;Projects!$C$39+Projects!$D$39),Projects!$B$39*(Assumptions!$B$10+Assumptions!$B$11+Assumptions!$B$12)/Projects!$D$39*0.95,0)-IF(AND(Projects!$G$39="Yes",CW$3=Projects!$C$39+Projects!$D$39-1),Projects!$B$39*(Assumptions!$B$10+Assumptions!$B$11+Assumptions!$B$12)*0.05,0)</f>
        <v/>
      </c>
      <c r="CX48" s="399">
        <f>IF(AND(Projects!$G$39="Yes",CX$3&gt;=Projects!$C$39,CX$3&lt;Projects!$C$39+Projects!$D$39),Projects!$B$39*INDEX(Curves!$B$4:$AR$4,1,CX$3-Projects!$C$39+1),0)-IF(AND(Projects!$G$39="Yes",CX$3&gt;=Projects!$C$39,CX$3&lt;Projects!$C$39+Projects!$D$39),Projects!$B$39*(Assumptions!$B$10+Assumptions!$B$11+Assumptions!$B$12)/Projects!$D$39*0.95,0)-IF(AND(Projects!$G$39="Yes",CX$3=Projects!$C$39+Projects!$D$39-1),Projects!$B$39*(Assumptions!$B$10+Assumptions!$B$11+Assumptions!$B$12)*0.05,0)</f>
        <v/>
      </c>
      <c r="CY48" s="399">
        <f>IF(AND(Projects!$G$39="Yes",CY$3&gt;=Projects!$C$39,CY$3&lt;Projects!$C$39+Projects!$D$39),Projects!$B$39*INDEX(Curves!$B$4:$AR$4,1,CY$3-Projects!$C$39+1),0)-IF(AND(Projects!$G$39="Yes",CY$3&gt;=Projects!$C$39,CY$3&lt;Projects!$C$39+Projects!$D$39),Projects!$B$39*(Assumptions!$B$10+Assumptions!$B$11+Assumptions!$B$12)/Projects!$D$39*0.95,0)-IF(AND(Projects!$G$39="Yes",CY$3=Projects!$C$39+Projects!$D$39-1),Projects!$B$39*(Assumptions!$B$10+Assumptions!$B$11+Assumptions!$B$12)*0.05,0)</f>
        <v/>
      </c>
      <c r="CZ48" s="399">
        <f>IF(AND(Projects!$G$39="Yes",CZ$3&gt;=Projects!$C$39,CZ$3&lt;Projects!$C$39+Projects!$D$39),Projects!$B$39*INDEX(Curves!$B$4:$AR$4,1,CZ$3-Projects!$C$39+1),0)-IF(AND(Projects!$G$39="Yes",CZ$3&gt;=Projects!$C$39,CZ$3&lt;Projects!$C$39+Projects!$D$39),Projects!$B$39*(Assumptions!$B$10+Assumptions!$B$11+Assumptions!$B$12)/Projects!$D$39*0.95,0)-IF(AND(Projects!$G$39="Yes",CZ$3=Projects!$C$39+Projects!$D$39-1),Projects!$B$39*(Assumptions!$B$10+Assumptions!$B$11+Assumptions!$B$12)*0.05,0)</f>
        <v/>
      </c>
      <c r="DA48" s="399">
        <f>IF(AND(Projects!$G$39="Yes",DA$3&gt;=Projects!$C$39,DA$3&lt;Projects!$C$39+Projects!$D$39),Projects!$B$39*INDEX(Curves!$B$4:$AR$4,1,DA$3-Projects!$C$39+1),0)-IF(AND(Projects!$G$39="Yes",DA$3&gt;=Projects!$C$39,DA$3&lt;Projects!$C$39+Projects!$D$39),Projects!$B$39*(Assumptions!$B$10+Assumptions!$B$11+Assumptions!$B$12)/Projects!$D$39*0.95,0)-IF(AND(Projects!$G$39="Yes",DA$3=Projects!$C$39+Projects!$D$39-1),Projects!$B$39*(Assumptions!$B$10+Assumptions!$B$11+Assumptions!$B$12)*0.05,0)</f>
        <v/>
      </c>
      <c r="DB48" s="399">
        <f>IF(AND(Projects!$G$39="Yes",DB$3&gt;=Projects!$C$39,DB$3&lt;Projects!$C$39+Projects!$D$39),Projects!$B$39*INDEX(Curves!$B$4:$AR$4,1,DB$3-Projects!$C$39+1),0)-IF(AND(Projects!$G$39="Yes",DB$3&gt;=Projects!$C$39,DB$3&lt;Projects!$C$39+Projects!$D$39),Projects!$B$39*(Assumptions!$B$10+Assumptions!$B$11+Assumptions!$B$12)/Projects!$D$39*0.95,0)-IF(AND(Projects!$G$39="Yes",DB$3=Projects!$C$39+Projects!$D$39-1),Projects!$B$39*(Assumptions!$B$10+Assumptions!$B$11+Assumptions!$B$12)*0.05,0)</f>
        <v/>
      </c>
      <c r="DC48" s="399">
        <f>IF(AND(Projects!$G$39="Yes",DC$3&gt;=Projects!$C$39,DC$3&lt;Projects!$C$39+Projects!$D$39),Projects!$B$39*INDEX(Curves!$B$4:$AR$4,1,DC$3-Projects!$C$39+1),0)-IF(AND(Projects!$G$39="Yes",DC$3&gt;=Projects!$C$39,DC$3&lt;Projects!$C$39+Projects!$D$39),Projects!$B$39*(Assumptions!$B$10+Assumptions!$B$11+Assumptions!$B$12)/Projects!$D$39*0.95,0)-IF(AND(Projects!$G$39="Yes",DC$3=Projects!$C$39+Projects!$D$39-1),Projects!$B$39*(Assumptions!$B$10+Assumptions!$B$11+Assumptions!$B$12)*0.05,0)</f>
        <v/>
      </c>
      <c r="DD48" s="399">
        <f>IF(AND(Projects!$G$39="Yes",DD$3&gt;=Projects!$C$39,DD$3&lt;Projects!$C$39+Projects!$D$39),Projects!$B$39*INDEX(Curves!$B$4:$AR$4,1,DD$3-Projects!$C$39+1),0)-IF(AND(Projects!$G$39="Yes",DD$3&gt;=Projects!$C$39,DD$3&lt;Projects!$C$39+Projects!$D$39),Projects!$B$39*(Assumptions!$B$10+Assumptions!$B$11+Assumptions!$B$12)/Projects!$D$39*0.95,0)-IF(AND(Projects!$G$39="Yes",DD$3=Projects!$C$39+Projects!$D$39-1),Projects!$B$39*(Assumptions!$B$10+Assumptions!$B$11+Assumptions!$B$12)*0.05,0)</f>
        <v/>
      </c>
      <c r="DE48" s="399">
        <f>IF(AND(Projects!$G$39="Yes",DE$3&gt;=Projects!$C$39,DE$3&lt;Projects!$C$39+Projects!$D$39),Projects!$B$39*INDEX(Curves!$B$4:$AR$4,1,DE$3-Projects!$C$39+1),0)-IF(AND(Projects!$G$39="Yes",DE$3&gt;=Projects!$C$39,DE$3&lt;Projects!$C$39+Projects!$D$39),Projects!$B$39*(Assumptions!$B$10+Assumptions!$B$11+Assumptions!$B$12)/Projects!$D$39*0.95,0)-IF(AND(Projects!$G$39="Yes",DE$3=Projects!$C$39+Projects!$D$39-1),Projects!$B$39*(Assumptions!$B$10+Assumptions!$B$11+Assumptions!$B$12)*0.05,0)</f>
        <v/>
      </c>
    </row>
    <row r="49" hidden="1" outlineLevel="1" ht="15" customFormat="1" customHeight="1" s="380">
      <c r="A49" s="407" t="inlineStr">
        <is>
          <t>BD-24</t>
        </is>
      </c>
      <c r="B49" s="399" t="n">
        <v>0</v>
      </c>
      <c r="C49" s="399" t="n">
        <v>0</v>
      </c>
      <c r="D49" s="399" t="n">
        <v>0</v>
      </c>
      <c r="E49" s="399" t="n">
        <v>0</v>
      </c>
      <c r="F49" s="399">
        <f>IF(AND(Projects!$G$40="Yes",F$3&gt;=Projects!$C$40,F$3&lt;Projects!$C$40+Projects!$D$40),Projects!$B$40*INDEX(Curves!$B$4:$AR$4,1,F$3-Projects!$C$40+1),0)-IF(AND(Projects!$G$40="Yes",F$3&gt;=Projects!$C$40,F$3&lt;Projects!$C$40+Projects!$D$40),Projects!$B$40*(Assumptions!$B$10+Assumptions!$B$11+Assumptions!$B$12)/Projects!$D$40*0.95,0)-IF(AND(Projects!$G$40="Yes",F$3=Projects!$C$40+Projects!$D$40-1),Projects!$B$40*(Assumptions!$B$10+Assumptions!$B$11+Assumptions!$B$12)*0.05,0)</f>
        <v/>
      </c>
      <c r="G49" s="399">
        <f>IF(AND(Projects!$G$40="Yes",G$3&gt;=Projects!$C$40,G$3&lt;Projects!$C$40+Projects!$D$40),Projects!$B$40*INDEX(Curves!$B$4:$AR$4,1,G$3-Projects!$C$40+1),0)-IF(AND(Projects!$G$40="Yes",G$3&gt;=Projects!$C$40,G$3&lt;Projects!$C$40+Projects!$D$40),Projects!$B$40*(Assumptions!$B$10+Assumptions!$B$11+Assumptions!$B$12)/Projects!$D$40*0.95,0)-IF(AND(Projects!$G$40="Yes",G$3=Projects!$C$40+Projects!$D$40-1),Projects!$B$40*(Assumptions!$B$10+Assumptions!$B$11+Assumptions!$B$12)*0.05,0)</f>
        <v/>
      </c>
      <c r="H49" s="399">
        <f>IF(AND(Projects!$G$40="Yes",H$3&gt;=Projects!$C$40,H$3&lt;Projects!$C$40+Projects!$D$40),Projects!$B$40*INDEX(Curves!$B$4:$AR$4,1,H$3-Projects!$C$40+1),0)-IF(AND(Projects!$G$40="Yes",H$3&gt;=Projects!$C$40,H$3&lt;Projects!$C$40+Projects!$D$40),Projects!$B$40*(Assumptions!$B$10+Assumptions!$B$11+Assumptions!$B$12)/Projects!$D$40*0.95,0)-IF(AND(Projects!$G$40="Yes",H$3=Projects!$C$40+Projects!$D$40-1),Projects!$B$40*(Assumptions!$B$10+Assumptions!$B$11+Assumptions!$B$12)*0.05,0)</f>
        <v/>
      </c>
      <c r="I49" s="399">
        <f>IF(AND(Projects!$G$40="Yes",I$3&gt;=Projects!$C$40,I$3&lt;Projects!$C$40+Projects!$D$40),Projects!$B$40*INDEX(Curves!$B$4:$AR$4,1,I$3-Projects!$C$40+1),0)-IF(AND(Projects!$G$40="Yes",I$3&gt;=Projects!$C$40,I$3&lt;Projects!$C$40+Projects!$D$40),Projects!$B$40*(Assumptions!$B$10+Assumptions!$B$11+Assumptions!$B$12)/Projects!$D$40*0.95,0)-IF(AND(Projects!$G$40="Yes",I$3=Projects!$C$40+Projects!$D$40-1),Projects!$B$40*(Assumptions!$B$10+Assumptions!$B$11+Assumptions!$B$12)*0.05,0)</f>
        <v/>
      </c>
      <c r="J49" s="399">
        <f>IF(AND(Projects!$G$40="Yes",J$3&gt;=Projects!$C$40,J$3&lt;Projects!$C$40+Projects!$D$40),Projects!$B$40*INDEX(Curves!$B$4:$AR$4,1,J$3-Projects!$C$40+1),0)-IF(AND(Projects!$G$40="Yes",J$3&gt;=Projects!$C$40,J$3&lt;Projects!$C$40+Projects!$D$40),Projects!$B$40*(Assumptions!$B$10+Assumptions!$B$11+Assumptions!$B$12)/Projects!$D$40*0.95,0)-IF(AND(Projects!$G$40="Yes",J$3=Projects!$C$40+Projects!$D$40-1),Projects!$B$40*(Assumptions!$B$10+Assumptions!$B$11+Assumptions!$B$12)*0.05,0)</f>
        <v/>
      </c>
      <c r="K49" s="399">
        <f>IF(AND(Projects!$G$40="Yes",K$3&gt;=Projects!$C$40,K$3&lt;Projects!$C$40+Projects!$D$40),Projects!$B$40*INDEX(Curves!$B$4:$AR$4,1,K$3-Projects!$C$40+1),0)-IF(AND(Projects!$G$40="Yes",K$3&gt;=Projects!$C$40,K$3&lt;Projects!$C$40+Projects!$D$40),Projects!$B$40*(Assumptions!$B$10+Assumptions!$B$11+Assumptions!$B$12)/Projects!$D$40*0.95,0)-IF(AND(Projects!$G$40="Yes",K$3=Projects!$C$40+Projects!$D$40-1),Projects!$B$40*(Assumptions!$B$10+Assumptions!$B$11+Assumptions!$B$12)*0.05,0)</f>
        <v/>
      </c>
      <c r="L49" s="399">
        <f>IF(AND(Projects!$G$40="Yes",L$3&gt;=Projects!$C$40,L$3&lt;Projects!$C$40+Projects!$D$40),Projects!$B$40*INDEX(Curves!$B$4:$AR$4,1,L$3-Projects!$C$40+1),0)-IF(AND(Projects!$G$40="Yes",L$3&gt;=Projects!$C$40,L$3&lt;Projects!$C$40+Projects!$D$40),Projects!$B$40*(Assumptions!$B$10+Assumptions!$B$11+Assumptions!$B$12)/Projects!$D$40*0.95,0)-IF(AND(Projects!$G$40="Yes",L$3=Projects!$C$40+Projects!$D$40-1),Projects!$B$40*(Assumptions!$B$10+Assumptions!$B$11+Assumptions!$B$12)*0.05,0)</f>
        <v/>
      </c>
      <c r="M49" s="399">
        <f>IF(AND(Projects!$G$40="Yes",M$3&gt;=Projects!$C$40,M$3&lt;Projects!$C$40+Projects!$D$40),Projects!$B$40*INDEX(Curves!$B$4:$AR$4,1,M$3-Projects!$C$40+1),0)-IF(AND(Projects!$G$40="Yes",M$3&gt;=Projects!$C$40,M$3&lt;Projects!$C$40+Projects!$D$40),Projects!$B$40*(Assumptions!$B$10+Assumptions!$B$11+Assumptions!$B$12)/Projects!$D$40*0.95,0)-IF(AND(Projects!$G$40="Yes",M$3=Projects!$C$40+Projects!$D$40-1),Projects!$B$40*(Assumptions!$B$10+Assumptions!$B$11+Assumptions!$B$12)*0.05,0)</f>
        <v/>
      </c>
      <c r="N49" s="399">
        <f>IF(AND(Projects!$G$40="Yes",N$3&gt;=Projects!$C$40,N$3&lt;Projects!$C$40+Projects!$D$40),Projects!$B$40*INDEX(Curves!$B$4:$AR$4,1,N$3-Projects!$C$40+1),0)-IF(AND(Projects!$G$40="Yes",N$3&gt;=Projects!$C$40,N$3&lt;Projects!$C$40+Projects!$D$40),Projects!$B$40*(Assumptions!$B$10+Assumptions!$B$11+Assumptions!$B$12)/Projects!$D$40*0.95,0)-IF(AND(Projects!$G$40="Yes",N$3=Projects!$C$40+Projects!$D$40-1),Projects!$B$40*(Assumptions!$B$10+Assumptions!$B$11+Assumptions!$B$12)*0.05,0)</f>
        <v/>
      </c>
      <c r="O49" s="399">
        <f>IF(AND(Projects!$G$40="Yes",O$3&gt;=Projects!$C$40,O$3&lt;Projects!$C$40+Projects!$D$40),Projects!$B$40*INDEX(Curves!$B$4:$AR$4,1,O$3-Projects!$C$40+1),0)-IF(AND(Projects!$G$40="Yes",O$3&gt;=Projects!$C$40,O$3&lt;Projects!$C$40+Projects!$D$40),Projects!$B$40*(Assumptions!$B$10+Assumptions!$B$11+Assumptions!$B$12)/Projects!$D$40*0.95,0)-IF(AND(Projects!$G$40="Yes",O$3=Projects!$C$40+Projects!$D$40-1),Projects!$B$40*(Assumptions!$B$10+Assumptions!$B$11+Assumptions!$B$12)*0.05,0)</f>
        <v/>
      </c>
      <c r="P49" s="399">
        <f>IF(AND(Projects!$G$40="Yes",P$3&gt;=Projects!$C$40,P$3&lt;Projects!$C$40+Projects!$D$40),Projects!$B$40*INDEX(Curves!$B$4:$AR$4,1,P$3-Projects!$C$40+1),0)-IF(AND(Projects!$G$40="Yes",P$3&gt;=Projects!$C$40,P$3&lt;Projects!$C$40+Projects!$D$40),Projects!$B$40*(Assumptions!$B$10+Assumptions!$B$11+Assumptions!$B$12)/Projects!$D$40*0.95,0)-IF(AND(Projects!$G$40="Yes",P$3=Projects!$C$40+Projects!$D$40-1),Projects!$B$40*(Assumptions!$B$10+Assumptions!$B$11+Assumptions!$B$12)*0.05,0)</f>
        <v/>
      </c>
      <c r="Q49" s="399">
        <f>IF(AND(Projects!$G$40="Yes",Q$3&gt;=Projects!$C$40,Q$3&lt;Projects!$C$40+Projects!$D$40),Projects!$B$40*INDEX(Curves!$B$4:$AR$4,1,Q$3-Projects!$C$40+1),0)-IF(AND(Projects!$G$40="Yes",Q$3&gt;=Projects!$C$40,Q$3&lt;Projects!$C$40+Projects!$D$40),Projects!$B$40*(Assumptions!$B$10+Assumptions!$B$11+Assumptions!$B$12)/Projects!$D$40*0.95,0)-IF(AND(Projects!$G$40="Yes",Q$3=Projects!$C$40+Projects!$D$40-1),Projects!$B$40*(Assumptions!$B$10+Assumptions!$B$11+Assumptions!$B$12)*0.05,0)</f>
        <v/>
      </c>
      <c r="R49" s="399">
        <f>IF(AND(Projects!$G$40="Yes",R$3&gt;=Projects!$C$40,R$3&lt;Projects!$C$40+Projects!$D$40),Projects!$B$40*INDEX(Curves!$B$4:$AR$4,1,R$3-Projects!$C$40+1),0)-IF(AND(Projects!$G$40="Yes",R$3&gt;=Projects!$C$40,R$3&lt;Projects!$C$40+Projects!$D$40),Projects!$B$40*(Assumptions!$B$10+Assumptions!$B$11+Assumptions!$B$12)/Projects!$D$40*0.95,0)-IF(AND(Projects!$G$40="Yes",R$3=Projects!$C$40+Projects!$D$40-1),Projects!$B$40*(Assumptions!$B$10+Assumptions!$B$11+Assumptions!$B$12)*0.05,0)</f>
        <v/>
      </c>
      <c r="S49" s="399">
        <f>IF(AND(Projects!$G$40="Yes",S$3&gt;=Projects!$C$40,S$3&lt;Projects!$C$40+Projects!$D$40),Projects!$B$40*INDEX(Curves!$B$4:$AR$4,1,S$3-Projects!$C$40+1),0)-IF(AND(Projects!$G$40="Yes",S$3&gt;=Projects!$C$40,S$3&lt;Projects!$C$40+Projects!$D$40),Projects!$B$40*(Assumptions!$B$10+Assumptions!$B$11+Assumptions!$B$12)/Projects!$D$40*0.95,0)-IF(AND(Projects!$G$40="Yes",S$3=Projects!$C$40+Projects!$D$40-1),Projects!$B$40*(Assumptions!$B$10+Assumptions!$B$11+Assumptions!$B$12)*0.05,0)</f>
        <v/>
      </c>
      <c r="T49" s="399">
        <f>IF(AND(Projects!$G$40="Yes",T$3&gt;=Projects!$C$40,T$3&lt;Projects!$C$40+Projects!$D$40),Projects!$B$40*INDEX(Curves!$B$4:$AR$4,1,T$3-Projects!$C$40+1),0)-IF(AND(Projects!$G$40="Yes",T$3&gt;=Projects!$C$40,T$3&lt;Projects!$C$40+Projects!$D$40),Projects!$B$40*(Assumptions!$B$10+Assumptions!$B$11+Assumptions!$B$12)/Projects!$D$40*0.95,0)-IF(AND(Projects!$G$40="Yes",T$3=Projects!$C$40+Projects!$D$40-1),Projects!$B$40*(Assumptions!$B$10+Assumptions!$B$11+Assumptions!$B$12)*0.05,0)</f>
        <v/>
      </c>
      <c r="U49" s="399">
        <f>IF(AND(Projects!$G$40="Yes",U$3&gt;=Projects!$C$40,U$3&lt;Projects!$C$40+Projects!$D$40),Projects!$B$40*INDEX(Curves!$B$4:$AR$4,1,U$3-Projects!$C$40+1),0)-IF(AND(Projects!$G$40="Yes",U$3&gt;=Projects!$C$40,U$3&lt;Projects!$C$40+Projects!$D$40),Projects!$B$40*(Assumptions!$B$10+Assumptions!$B$11+Assumptions!$B$12)/Projects!$D$40*0.95,0)-IF(AND(Projects!$G$40="Yes",U$3=Projects!$C$40+Projects!$D$40-1),Projects!$B$40*(Assumptions!$B$10+Assumptions!$B$11+Assumptions!$B$12)*0.05,0)</f>
        <v/>
      </c>
      <c r="V49" s="399">
        <f>IF(AND(Projects!$G$40="Yes",V$3&gt;=Projects!$C$40,V$3&lt;Projects!$C$40+Projects!$D$40),Projects!$B$40*INDEX(Curves!$B$4:$AR$4,1,V$3-Projects!$C$40+1),0)-IF(AND(Projects!$G$40="Yes",V$3&gt;=Projects!$C$40,V$3&lt;Projects!$C$40+Projects!$D$40),Projects!$B$40*(Assumptions!$B$10+Assumptions!$B$11+Assumptions!$B$12)/Projects!$D$40*0.95,0)-IF(AND(Projects!$G$40="Yes",V$3=Projects!$C$40+Projects!$D$40-1),Projects!$B$40*(Assumptions!$B$10+Assumptions!$B$11+Assumptions!$B$12)*0.05,0)</f>
        <v/>
      </c>
      <c r="W49" s="399">
        <f>IF(AND(Projects!$G$40="Yes",W$3&gt;=Projects!$C$40,W$3&lt;Projects!$C$40+Projects!$D$40),Projects!$B$40*INDEX(Curves!$B$4:$AR$4,1,W$3-Projects!$C$40+1),0)-IF(AND(Projects!$G$40="Yes",W$3&gt;=Projects!$C$40,W$3&lt;Projects!$C$40+Projects!$D$40),Projects!$B$40*(Assumptions!$B$10+Assumptions!$B$11+Assumptions!$B$12)/Projects!$D$40*0.95,0)-IF(AND(Projects!$G$40="Yes",W$3=Projects!$C$40+Projects!$D$40-1),Projects!$B$40*(Assumptions!$B$10+Assumptions!$B$11+Assumptions!$B$12)*0.05,0)</f>
        <v/>
      </c>
      <c r="X49" s="399">
        <f>IF(AND(Projects!$G$40="Yes",X$3&gt;=Projects!$C$40,X$3&lt;Projects!$C$40+Projects!$D$40),Projects!$B$40*INDEX(Curves!$B$4:$AR$4,1,X$3-Projects!$C$40+1),0)-IF(AND(Projects!$G$40="Yes",X$3&gt;=Projects!$C$40,X$3&lt;Projects!$C$40+Projects!$D$40),Projects!$B$40*(Assumptions!$B$10+Assumptions!$B$11+Assumptions!$B$12)/Projects!$D$40*0.95,0)-IF(AND(Projects!$G$40="Yes",X$3=Projects!$C$40+Projects!$D$40-1),Projects!$B$40*(Assumptions!$B$10+Assumptions!$B$11+Assumptions!$B$12)*0.05,0)</f>
        <v/>
      </c>
      <c r="Y49" s="399">
        <f>IF(AND(Projects!$G$40="Yes",Y$3&gt;=Projects!$C$40,Y$3&lt;Projects!$C$40+Projects!$D$40),Projects!$B$40*INDEX(Curves!$B$4:$AR$4,1,Y$3-Projects!$C$40+1),0)-IF(AND(Projects!$G$40="Yes",Y$3&gt;=Projects!$C$40,Y$3&lt;Projects!$C$40+Projects!$D$40),Projects!$B$40*(Assumptions!$B$10+Assumptions!$B$11+Assumptions!$B$12)/Projects!$D$40*0.95,0)-IF(AND(Projects!$G$40="Yes",Y$3=Projects!$C$40+Projects!$D$40-1),Projects!$B$40*(Assumptions!$B$10+Assumptions!$B$11+Assumptions!$B$12)*0.05,0)</f>
        <v/>
      </c>
      <c r="Z49" s="399">
        <f>IF(AND(Projects!$G$40="Yes",Z$3&gt;=Projects!$C$40,Z$3&lt;Projects!$C$40+Projects!$D$40),Projects!$B$40*INDEX(Curves!$B$4:$AR$4,1,Z$3-Projects!$C$40+1),0)-IF(AND(Projects!$G$40="Yes",Z$3&gt;=Projects!$C$40,Z$3&lt;Projects!$C$40+Projects!$D$40),Projects!$B$40*(Assumptions!$B$10+Assumptions!$B$11+Assumptions!$B$12)/Projects!$D$40*0.95,0)-IF(AND(Projects!$G$40="Yes",Z$3=Projects!$C$40+Projects!$D$40-1),Projects!$B$40*(Assumptions!$B$10+Assumptions!$B$11+Assumptions!$B$12)*0.05,0)</f>
        <v/>
      </c>
      <c r="AA49" s="399">
        <f>IF(AND(Projects!$G$40="Yes",AA$3&gt;=Projects!$C$40,AA$3&lt;Projects!$C$40+Projects!$D$40),Projects!$B$40*INDEX(Curves!$B$4:$AR$4,1,AA$3-Projects!$C$40+1),0)-IF(AND(Projects!$G$40="Yes",AA$3&gt;=Projects!$C$40,AA$3&lt;Projects!$C$40+Projects!$D$40),Projects!$B$40*(Assumptions!$B$10+Assumptions!$B$11+Assumptions!$B$12)/Projects!$D$40*0.95,0)-IF(AND(Projects!$G$40="Yes",AA$3=Projects!$C$40+Projects!$D$40-1),Projects!$B$40*(Assumptions!$B$10+Assumptions!$B$11+Assumptions!$B$12)*0.05,0)</f>
        <v/>
      </c>
      <c r="AB49" s="399">
        <f>IF(AND(Projects!$G$40="Yes",AB$3&gt;=Projects!$C$40,AB$3&lt;Projects!$C$40+Projects!$D$40),Projects!$B$40*INDEX(Curves!$B$4:$AR$4,1,AB$3-Projects!$C$40+1),0)-IF(AND(Projects!$G$40="Yes",AB$3&gt;=Projects!$C$40,AB$3&lt;Projects!$C$40+Projects!$D$40),Projects!$B$40*(Assumptions!$B$10+Assumptions!$B$11+Assumptions!$B$12)/Projects!$D$40*0.95,0)-IF(AND(Projects!$G$40="Yes",AB$3=Projects!$C$40+Projects!$D$40-1),Projects!$B$40*(Assumptions!$B$10+Assumptions!$B$11+Assumptions!$B$12)*0.05,0)</f>
        <v/>
      </c>
      <c r="AC49" s="399">
        <f>IF(AND(Projects!$G$40="Yes",AC$3&gt;=Projects!$C$40,AC$3&lt;Projects!$C$40+Projects!$D$40),Projects!$B$40*INDEX(Curves!$B$4:$AR$4,1,AC$3-Projects!$C$40+1),0)-IF(AND(Projects!$G$40="Yes",AC$3&gt;=Projects!$C$40,AC$3&lt;Projects!$C$40+Projects!$D$40),Projects!$B$40*(Assumptions!$B$10+Assumptions!$B$11+Assumptions!$B$12)/Projects!$D$40*0.95,0)-IF(AND(Projects!$G$40="Yes",AC$3=Projects!$C$40+Projects!$D$40-1),Projects!$B$40*(Assumptions!$B$10+Assumptions!$B$11+Assumptions!$B$12)*0.05,0)</f>
        <v/>
      </c>
      <c r="AD49" s="399">
        <f>IF(AND(Projects!$G$40="Yes",AD$3&gt;=Projects!$C$40,AD$3&lt;Projects!$C$40+Projects!$D$40),Projects!$B$40*INDEX(Curves!$B$4:$AR$4,1,AD$3-Projects!$C$40+1),0)-IF(AND(Projects!$G$40="Yes",AD$3&gt;=Projects!$C$40,AD$3&lt;Projects!$C$40+Projects!$D$40),Projects!$B$40*(Assumptions!$B$10+Assumptions!$B$11+Assumptions!$B$12)/Projects!$D$40*0.95,0)-IF(AND(Projects!$G$40="Yes",AD$3=Projects!$C$40+Projects!$D$40-1),Projects!$B$40*(Assumptions!$B$10+Assumptions!$B$11+Assumptions!$B$12)*0.05,0)</f>
        <v/>
      </c>
      <c r="AE49" s="399">
        <f>IF(AND(Projects!$G$40="Yes",AE$3&gt;=Projects!$C$40,AE$3&lt;Projects!$C$40+Projects!$D$40),Projects!$B$40*INDEX(Curves!$B$4:$AR$4,1,AE$3-Projects!$C$40+1),0)-IF(AND(Projects!$G$40="Yes",AE$3&gt;=Projects!$C$40,AE$3&lt;Projects!$C$40+Projects!$D$40),Projects!$B$40*(Assumptions!$B$10+Assumptions!$B$11+Assumptions!$B$12)/Projects!$D$40*0.95,0)-IF(AND(Projects!$G$40="Yes",AE$3=Projects!$C$40+Projects!$D$40-1),Projects!$B$40*(Assumptions!$B$10+Assumptions!$B$11+Assumptions!$B$12)*0.05,0)</f>
        <v/>
      </c>
      <c r="AF49" s="399">
        <f>IF(AND(Projects!$G$40="Yes",AF$3&gt;=Projects!$C$40,AF$3&lt;Projects!$C$40+Projects!$D$40),Projects!$B$40*INDEX(Curves!$B$4:$AR$4,1,AF$3-Projects!$C$40+1),0)-IF(AND(Projects!$G$40="Yes",AF$3&gt;=Projects!$C$40,AF$3&lt;Projects!$C$40+Projects!$D$40),Projects!$B$40*(Assumptions!$B$10+Assumptions!$B$11+Assumptions!$B$12)/Projects!$D$40*0.95,0)-IF(AND(Projects!$G$40="Yes",AF$3=Projects!$C$40+Projects!$D$40-1),Projects!$B$40*(Assumptions!$B$10+Assumptions!$B$11+Assumptions!$B$12)*0.05,0)</f>
        <v/>
      </c>
      <c r="AG49" s="399">
        <f>IF(AND(Projects!$G$40="Yes",AG$3&gt;=Projects!$C$40,AG$3&lt;Projects!$C$40+Projects!$D$40),Projects!$B$40*INDEX(Curves!$B$4:$AR$4,1,AG$3-Projects!$C$40+1),0)-IF(AND(Projects!$G$40="Yes",AG$3&gt;=Projects!$C$40,AG$3&lt;Projects!$C$40+Projects!$D$40),Projects!$B$40*(Assumptions!$B$10+Assumptions!$B$11+Assumptions!$B$12)/Projects!$D$40*0.95,0)-IF(AND(Projects!$G$40="Yes",AG$3=Projects!$C$40+Projects!$D$40-1),Projects!$B$40*(Assumptions!$B$10+Assumptions!$B$11+Assumptions!$B$12)*0.05,0)</f>
        <v/>
      </c>
      <c r="AH49" s="399">
        <f>IF(AND(Projects!$G$40="Yes",AH$3&gt;=Projects!$C$40,AH$3&lt;Projects!$C$40+Projects!$D$40),Projects!$B$40*INDEX(Curves!$B$4:$AR$4,1,AH$3-Projects!$C$40+1),0)-IF(AND(Projects!$G$40="Yes",AH$3&gt;=Projects!$C$40,AH$3&lt;Projects!$C$40+Projects!$D$40),Projects!$B$40*(Assumptions!$B$10+Assumptions!$B$11+Assumptions!$B$12)/Projects!$D$40*0.95,0)-IF(AND(Projects!$G$40="Yes",AH$3=Projects!$C$40+Projects!$D$40-1),Projects!$B$40*(Assumptions!$B$10+Assumptions!$B$11+Assumptions!$B$12)*0.05,0)</f>
        <v/>
      </c>
      <c r="AI49" s="399">
        <f>IF(AND(Projects!$G$40="Yes",AI$3&gt;=Projects!$C$40,AI$3&lt;Projects!$C$40+Projects!$D$40),Projects!$B$40*INDEX(Curves!$B$4:$AR$4,1,AI$3-Projects!$C$40+1),0)-IF(AND(Projects!$G$40="Yes",AI$3&gt;=Projects!$C$40,AI$3&lt;Projects!$C$40+Projects!$D$40),Projects!$B$40*(Assumptions!$B$10+Assumptions!$B$11+Assumptions!$B$12)/Projects!$D$40*0.95,0)-IF(AND(Projects!$G$40="Yes",AI$3=Projects!$C$40+Projects!$D$40-1),Projects!$B$40*(Assumptions!$B$10+Assumptions!$B$11+Assumptions!$B$12)*0.05,0)</f>
        <v/>
      </c>
      <c r="AJ49" s="399">
        <f>IF(AND(Projects!$G$40="Yes",AJ$3&gt;=Projects!$C$40,AJ$3&lt;Projects!$C$40+Projects!$D$40),Projects!$B$40*INDEX(Curves!$B$4:$AR$4,1,AJ$3-Projects!$C$40+1),0)-IF(AND(Projects!$G$40="Yes",AJ$3&gt;=Projects!$C$40,AJ$3&lt;Projects!$C$40+Projects!$D$40),Projects!$B$40*(Assumptions!$B$10+Assumptions!$B$11+Assumptions!$B$12)/Projects!$D$40*0.95,0)-IF(AND(Projects!$G$40="Yes",AJ$3=Projects!$C$40+Projects!$D$40-1),Projects!$B$40*(Assumptions!$B$10+Assumptions!$B$11+Assumptions!$B$12)*0.05,0)</f>
        <v/>
      </c>
      <c r="AK49" s="399">
        <f>IF(AND(Projects!$G$40="Yes",AK$3&gt;=Projects!$C$40,AK$3&lt;Projects!$C$40+Projects!$D$40),Projects!$B$40*INDEX(Curves!$B$4:$AR$4,1,AK$3-Projects!$C$40+1),0)-IF(AND(Projects!$G$40="Yes",AK$3&gt;=Projects!$C$40,AK$3&lt;Projects!$C$40+Projects!$D$40),Projects!$B$40*(Assumptions!$B$10+Assumptions!$B$11+Assumptions!$B$12)/Projects!$D$40*0.95,0)-IF(AND(Projects!$G$40="Yes",AK$3=Projects!$C$40+Projects!$D$40-1),Projects!$B$40*(Assumptions!$B$10+Assumptions!$B$11+Assumptions!$B$12)*0.05,0)</f>
        <v/>
      </c>
      <c r="AL49" s="399">
        <f>IF(AND(Projects!$G$40="Yes",AL$3&gt;=Projects!$C$40,AL$3&lt;Projects!$C$40+Projects!$D$40),Projects!$B$40*INDEX(Curves!$B$4:$AR$4,1,AL$3-Projects!$C$40+1),0)-IF(AND(Projects!$G$40="Yes",AL$3&gt;=Projects!$C$40,AL$3&lt;Projects!$C$40+Projects!$D$40),Projects!$B$40*(Assumptions!$B$10+Assumptions!$B$11+Assumptions!$B$12)/Projects!$D$40*0.95,0)-IF(AND(Projects!$G$40="Yes",AL$3=Projects!$C$40+Projects!$D$40-1),Projects!$B$40*(Assumptions!$B$10+Assumptions!$B$11+Assumptions!$B$12)*0.05,0)</f>
        <v/>
      </c>
      <c r="AM49" s="399">
        <f>IF(AND(Projects!$G$40="Yes",AM$3&gt;=Projects!$C$40,AM$3&lt;Projects!$C$40+Projects!$D$40),Projects!$B$40*INDEX(Curves!$B$4:$AR$4,1,AM$3-Projects!$C$40+1),0)-IF(AND(Projects!$G$40="Yes",AM$3&gt;=Projects!$C$40,AM$3&lt;Projects!$C$40+Projects!$D$40),Projects!$B$40*(Assumptions!$B$10+Assumptions!$B$11+Assumptions!$B$12)/Projects!$D$40*0.95,0)-IF(AND(Projects!$G$40="Yes",AM$3=Projects!$C$40+Projects!$D$40-1),Projects!$B$40*(Assumptions!$B$10+Assumptions!$B$11+Assumptions!$B$12)*0.05,0)</f>
        <v/>
      </c>
      <c r="AN49" s="399">
        <f>IF(AND(Projects!$G$40="Yes",AN$3&gt;=Projects!$C$40,AN$3&lt;Projects!$C$40+Projects!$D$40),Projects!$B$40*INDEX(Curves!$B$4:$AR$4,1,AN$3-Projects!$C$40+1),0)-IF(AND(Projects!$G$40="Yes",AN$3&gt;=Projects!$C$40,AN$3&lt;Projects!$C$40+Projects!$D$40),Projects!$B$40*(Assumptions!$B$10+Assumptions!$B$11+Assumptions!$B$12)/Projects!$D$40*0.95,0)-IF(AND(Projects!$G$40="Yes",AN$3=Projects!$C$40+Projects!$D$40-1),Projects!$B$40*(Assumptions!$B$10+Assumptions!$B$11+Assumptions!$B$12)*0.05,0)</f>
        <v/>
      </c>
      <c r="AO49" s="399">
        <f>IF(AND(Projects!$G$40="Yes",AO$3&gt;=Projects!$C$40,AO$3&lt;Projects!$C$40+Projects!$D$40),Projects!$B$40*INDEX(Curves!$B$4:$AR$4,1,AO$3-Projects!$C$40+1),0)-IF(AND(Projects!$G$40="Yes",AO$3&gt;=Projects!$C$40,AO$3&lt;Projects!$C$40+Projects!$D$40),Projects!$B$40*(Assumptions!$B$10+Assumptions!$B$11+Assumptions!$B$12)/Projects!$D$40*0.95,0)-IF(AND(Projects!$G$40="Yes",AO$3=Projects!$C$40+Projects!$D$40-1),Projects!$B$40*(Assumptions!$B$10+Assumptions!$B$11+Assumptions!$B$12)*0.05,0)</f>
        <v/>
      </c>
      <c r="AP49" s="399">
        <f>IF(AND(Projects!$G$40="Yes",AP$3&gt;=Projects!$C$40,AP$3&lt;Projects!$C$40+Projects!$D$40),Projects!$B$40*INDEX(Curves!$B$4:$AR$4,1,AP$3-Projects!$C$40+1),0)-IF(AND(Projects!$G$40="Yes",AP$3&gt;=Projects!$C$40,AP$3&lt;Projects!$C$40+Projects!$D$40),Projects!$B$40*(Assumptions!$B$10+Assumptions!$B$11+Assumptions!$B$12)/Projects!$D$40*0.95,0)-IF(AND(Projects!$G$40="Yes",AP$3=Projects!$C$40+Projects!$D$40-1),Projects!$B$40*(Assumptions!$B$10+Assumptions!$B$11+Assumptions!$B$12)*0.05,0)</f>
        <v/>
      </c>
      <c r="AQ49" s="399">
        <f>IF(AND(Projects!$G$40="Yes",AQ$3&gt;=Projects!$C$40,AQ$3&lt;Projects!$C$40+Projects!$D$40),Projects!$B$40*INDEX(Curves!$B$4:$AR$4,1,AQ$3-Projects!$C$40+1),0)-IF(AND(Projects!$G$40="Yes",AQ$3&gt;=Projects!$C$40,AQ$3&lt;Projects!$C$40+Projects!$D$40),Projects!$B$40*(Assumptions!$B$10+Assumptions!$B$11+Assumptions!$B$12)/Projects!$D$40*0.95,0)-IF(AND(Projects!$G$40="Yes",AQ$3=Projects!$C$40+Projects!$D$40-1),Projects!$B$40*(Assumptions!$B$10+Assumptions!$B$11+Assumptions!$B$12)*0.05,0)</f>
        <v/>
      </c>
      <c r="AR49" s="399">
        <f>IF(AND(Projects!$G$40="Yes",AR$3&gt;=Projects!$C$40,AR$3&lt;Projects!$C$40+Projects!$D$40),Projects!$B$40*INDEX(Curves!$B$4:$AR$4,1,AR$3-Projects!$C$40+1),0)-IF(AND(Projects!$G$40="Yes",AR$3&gt;=Projects!$C$40,AR$3&lt;Projects!$C$40+Projects!$D$40),Projects!$B$40*(Assumptions!$B$10+Assumptions!$B$11+Assumptions!$B$12)/Projects!$D$40*0.95,0)-IF(AND(Projects!$G$40="Yes",AR$3=Projects!$C$40+Projects!$D$40-1),Projects!$B$40*(Assumptions!$B$10+Assumptions!$B$11+Assumptions!$B$12)*0.05,0)</f>
        <v/>
      </c>
      <c r="AS49" s="399">
        <f>IF(AND(Projects!$G$40="Yes",AS$3&gt;=Projects!$C$40,AS$3&lt;Projects!$C$40+Projects!$D$40),Projects!$B$40*INDEX(Curves!$B$4:$AR$4,1,AS$3-Projects!$C$40+1),0)-IF(AND(Projects!$G$40="Yes",AS$3&gt;=Projects!$C$40,AS$3&lt;Projects!$C$40+Projects!$D$40),Projects!$B$40*(Assumptions!$B$10+Assumptions!$B$11+Assumptions!$B$12)/Projects!$D$40*0.95,0)-IF(AND(Projects!$G$40="Yes",AS$3=Projects!$C$40+Projects!$D$40-1),Projects!$B$40*(Assumptions!$B$10+Assumptions!$B$11+Assumptions!$B$12)*0.05,0)</f>
        <v/>
      </c>
      <c r="AT49" s="399">
        <f>IF(AND(Projects!$G$40="Yes",AT$3&gt;=Projects!$C$40,AT$3&lt;Projects!$C$40+Projects!$D$40),Projects!$B$40*INDEX(Curves!$B$4:$AR$4,1,AT$3-Projects!$C$40+1),0)-IF(AND(Projects!$G$40="Yes",AT$3&gt;=Projects!$C$40,AT$3&lt;Projects!$C$40+Projects!$D$40),Projects!$B$40*(Assumptions!$B$10+Assumptions!$B$11+Assumptions!$B$12)/Projects!$D$40*0.95,0)-IF(AND(Projects!$G$40="Yes",AT$3=Projects!$C$40+Projects!$D$40-1),Projects!$B$40*(Assumptions!$B$10+Assumptions!$B$11+Assumptions!$B$12)*0.05,0)</f>
        <v/>
      </c>
      <c r="AU49" s="399">
        <f>IF(AND(Projects!$G$40="Yes",AU$3&gt;=Projects!$C$40,AU$3&lt;Projects!$C$40+Projects!$D$40),Projects!$B$40*INDEX(Curves!$B$4:$AR$4,1,AU$3-Projects!$C$40+1),0)-IF(AND(Projects!$G$40="Yes",AU$3&gt;=Projects!$C$40,AU$3&lt;Projects!$C$40+Projects!$D$40),Projects!$B$40*(Assumptions!$B$10+Assumptions!$B$11+Assumptions!$B$12)/Projects!$D$40*0.95,0)-IF(AND(Projects!$G$40="Yes",AU$3=Projects!$C$40+Projects!$D$40-1),Projects!$B$40*(Assumptions!$B$10+Assumptions!$B$11+Assumptions!$B$12)*0.05,0)</f>
        <v/>
      </c>
      <c r="AV49" s="399">
        <f>IF(AND(Projects!$G$40="Yes",AV$3&gt;=Projects!$C$40,AV$3&lt;Projects!$C$40+Projects!$D$40),Projects!$B$40*INDEX(Curves!$B$4:$AR$4,1,AV$3-Projects!$C$40+1),0)-IF(AND(Projects!$G$40="Yes",AV$3&gt;=Projects!$C$40,AV$3&lt;Projects!$C$40+Projects!$D$40),Projects!$B$40*(Assumptions!$B$10+Assumptions!$B$11+Assumptions!$B$12)/Projects!$D$40*0.95,0)-IF(AND(Projects!$G$40="Yes",AV$3=Projects!$C$40+Projects!$D$40-1),Projects!$B$40*(Assumptions!$B$10+Assumptions!$B$11+Assumptions!$B$12)*0.05,0)</f>
        <v/>
      </c>
      <c r="AW49" s="399">
        <f>IF(AND(Projects!$G$40="Yes",AW$3&gt;=Projects!$C$40,AW$3&lt;Projects!$C$40+Projects!$D$40),Projects!$B$40*INDEX(Curves!$B$4:$AR$4,1,AW$3-Projects!$C$40+1),0)-IF(AND(Projects!$G$40="Yes",AW$3&gt;=Projects!$C$40,AW$3&lt;Projects!$C$40+Projects!$D$40),Projects!$B$40*(Assumptions!$B$10+Assumptions!$B$11+Assumptions!$B$12)/Projects!$D$40*0.95,0)-IF(AND(Projects!$G$40="Yes",AW$3=Projects!$C$40+Projects!$D$40-1),Projects!$B$40*(Assumptions!$B$10+Assumptions!$B$11+Assumptions!$B$12)*0.05,0)</f>
        <v/>
      </c>
      <c r="AX49" s="399">
        <f>IF(AND(Projects!$G$40="Yes",AX$3&gt;=Projects!$C$40,AX$3&lt;Projects!$C$40+Projects!$D$40),Projects!$B$40*INDEX(Curves!$B$4:$AR$4,1,AX$3-Projects!$C$40+1),0)-IF(AND(Projects!$G$40="Yes",AX$3&gt;=Projects!$C$40,AX$3&lt;Projects!$C$40+Projects!$D$40),Projects!$B$40*(Assumptions!$B$10+Assumptions!$B$11+Assumptions!$B$12)/Projects!$D$40*0.95,0)-IF(AND(Projects!$G$40="Yes",AX$3=Projects!$C$40+Projects!$D$40-1),Projects!$B$40*(Assumptions!$B$10+Assumptions!$B$11+Assumptions!$B$12)*0.05,0)</f>
        <v/>
      </c>
      <c r="AY49" s="399">
        <f>IF(AND(Projects!$G$40="Yes",AY$3&gt;=Projects!$C$40,AY$3&lt;Projects!$C$40+Projects!$D$40),Projects!$B$40*INDEX(Curves!$B$4:$AR$4,1,AY$3-Projects!$C$40+1),0)-IF(AND(Projects!$G$40="Yes",AY$3&gt;=Projects!$C$40,AY$3&lt;Projects!$C$40+Projects!$D$40),Projects!$B$40*(Assumptions!$B$10+Assumptions!$B$11+Assumptions!$B$12)/Projects!$D$40*0.95,0)-IF(AND(Projects!$G$40="Yes",AY$3=Projects!$C$40+Projects!$D$40-1),Projects!$B$40*(Assumptions!$B$10+Assumptions!$B$11+Assumptions!$B$12)*0.05,0)</f>
        <v/>
      </c>
      <c r="AZ49" s="399">
        <f>IF(AND(Projects!$G$40="Yes",AZ$3&gt;=Projects!$C$40,AZ$3&lt;Projects!$C$40+Projects!$D$40),Projects!$B$40*INDEX(Curves!$B$4:$AR$4,1,AZ$3-Projects!$C$40+1),0)-IF(AND(Projects!$G$40="Yes",AZ$3&gt;=Projects!$C$40,AZ$3&lt;Projects!$C$40+Projects!$D$40),Projects!$B$40*(Assumptions!$B$10+Assumptions!$B$11+Assumptions!$B$12)/Projects!$D$40*0.95,0)-IF(AND(Projects!$G$40="Yes",AZ$3=Projects!$C$40+Projects!$D$40-1),Projects!$B$40*(Assumptions!$B$10+Assumptions!$B$11+Assumptions!$B$12)*0.05,0)</f>
        <v/>
      </c>
      <c r="BA49" s="399">
        <f>IF(AND(Projects!$G$40="Yes",BA$3&gt;=Projects!$C$40,BA$3&lt;Projects!$C$40+Projects!$D$40),Projects!$B$40*INDEX(Curves!$B$4:$AR$4,1,BA$3-Projects!$C$40+1),0)-IF(AND(Projects!$G$40="Yes",BA$3&gt;=Projects!$C$40,BA$3&lt;Projects!$C$40+Projects!$D$40),Projects!$B$40*(Assumptions!$B$10+Assumptions!$B$11+Assumptions!$B$12)/Projects!$D$40*0.95,0)-IF(AND(Projects!$G$40="Yes",BA$3=Projects!$C$40+Projects!$D$40-1),Projects!$B$40*(Assumptions!$B$10+Assumptions!$B$11+Assumptions!$B$12)*0.05,0)</f>
        <v/>
      </c>
      <c r="BB49" s="399">
        <f>IF(AND(Projects!$G$40="Yes",BB$3&gt;=Projects!$C$40,BB$3&lt;Projects!$C$40+Projects!$D$40),Projects!$B$40*INDEX(Curves!$B$4:$AR$4,1,BB$3-Projects!$C$40+1),0)-IF(AND(Projects!$G$40="Yes",BB$3&gt;=Projects!$C$40,BB$3&lt;Projects!$C$40+Projects!$D$40),Projects!$B$40*(Assumptions!$B$10+Assumptions!$B$11+Assumptions!$B$12)/Projects!$D$40*0.95,0)-IF(AND(Projects!$G$40="Yes",BB$3=Projects!$C$40+Projects!$D$40-1),Projects!$B$40*(Assumptions!$B$10+Assumptions!$B$11+Assumptions!$B$12)*0.05,0)</f>
        <v/>
      </c>
      <c r="BC49" s="399">
        <f>IF(AND(Projects!$G$40="Yes",BC$3&gt;=Projects!$C$40,BC$3&lt;Projects!$C$40+Projects!$D$40),Projects!$B$40*INDEX(Curves!$B$4:$AR$4,1,BC$3-Projects!$C$40+1),0)-IF(AND(Projects!$G$40="Yes",BC$3&gt;=Projects!$C$40,BC$3&lt;Projects!$C$40+Projects!$D$40),Projects!$B$40*(Assumptions!$B$10+Assumptions!$B$11+Assumptions!$B$12)/Projects!$D$40*0.95,0)-IF(AND(Projects!$G$40="Yes",BC$3=Projects!$C$40+Projects!$D$40-1),Projects!$B$40*(Assumptions!$B$10+Assumptions!$B$11+Assumptions!$B$12)*0.05,0)</f>
        <v/>
      </c>
      <c r="BD49" s="399">
        <f>IF(AND(Projects!$G$40="Yes",BD$3&gt;=Projects!$C$40,BD$3&lt;Projects!$C$40+Projects!$D$40),Projects!$B$40*INDEX(Curves!$B$4:$AR$4,1,BD$3-Projects!$C$40+1),0)-IF(AND(Projects!$G$40="Yes",BD$3&gt;=Projects!$C$40,BD$3&lt;Projects!$C$40+Projects!$D$40),Projects!$B$40*(Assumptions!$B$10+Assumptions!$B$11+Assumptions!$B$12)/Projects!$D$40*0.95,0)-IF(AND(Projects!$G$40="Yes",BD$3=Projects!$C$40+Projects!$D$40-1),Projects!$B$40*(Assumptions!$B$10+Assumptions!$B$11+Assumptions!$B$12)*0.05,0)</f>
        <v/>
      </c>
      <c r="BE49" s="399">
        <f>IF(AND(Projects!$G$40="Yes",BE$3&gt;=Projects!$C$40,BE$3&lt;Projects!$C$40+Projects!$D$40),Projects!$B$40*INDEX(Curves!$B$4:$AR$4,1,BE$3-Projects!$C$40+1),0)-IF(AND(Projects!$G$40="Yes",BE$3&gt;=Projects!$C$40,BE$3&lt;Projects!$C$40+Projects!$D$40),Projects!$B$40*(Assumptions!$B$10+Assumptions!$B$11+Assumptions!$B$12)/Projects!$D$40*0.95,0)-IF(AND(Projects!$G$40="Yes",BE$3=Projects!$C$40+Projects!$D$40-1),Projects!$B$40*(Assumptions!$B$10+Assumptions!$B$11+Assumptions!$B$12)*0.05,0)</f>
        <v/>
      </c>
      <c r="BF49" s="399">
        <f>IF(AND(Projects!$G$40="Yes",BF$3&gt;=Projects!$C$40,BF$3&lt;Projects!$C$40+Projects!$D$40),Projects!$B$40*INDEX(Curves!$B$4:$AR$4,1,BF$3-Projects!$C$40+1),0)-IF(AND(Projects!$G$40="Yes",BF$3&gt;=Projects!$C$40,BF$3&lt;Projects!$C$40+Projects!$D$40),Projects!$B$40*(Assumptions!$B$10+Assumptions!$B$11+Assumptions!$B$12)/Projects!$D$40*0.95,0)-IF(AND(Projects!$G$40="Yes",BF$3=Projects!$C$40+Projects!$D$40-1),Projects!$B$40*(Assumptions!$B$10+Assumptions!$B$11+Assumptions!$B$12)*0.05,0)</f>
        <v/>
      </c>
      <c r="BG49" s="399">
        <f>IF(AND(Projects!$G$40="Yes",BG$3&gt;=Projects!$C$40,BG$3&lt;Projects!$C$40+Projects!$D$40),Projects!$B$40*INDEX(Curves!$B$4:$AR$4,1,BG$3-Projects!$C$40+1),0)-IF(AND(Projects!$G$40="Yes",BG$3&gt;=Projects!$C$40,BG$3&lt;Projects!$C$40+Projects!$D$40),Projects!$B$40*(Assumptions!$B$10+Assumptions!$B$11+Assumptions!$B$12)/Projects!$D$40*0.95,0)-IF(AND(Projects!$G$40="Yes",BG$3=Projects!$C$40+Projects!$D$40-1),Projects!$B$40*(Assumptions!$B$10+Assumptions!$B$11+Assumptions!$B$12)*0.05,0)</f>
        <v/>
      </c>
      <c r="BH49" s="399">
        <f>IF(AND(Projects!$G$40="Yes",BH$3&gt;=Projects!$C$40,BH$3&lt;Projects!$C$40+Projects!$D$40),Projects!$B$40*INDEX(Curves!$B$4:$AR$4,1,BH$3-Projects!$C$40+1),0)-IF(AND(Projects!$G$40="Yes",BH$3&gt;=Projects!$C$40,BH$3&lt;Projects!$C$40+Projects!$D$40),Projects!$B$40*(Assumptions!$B$10+Assumptions!$B$11+Assumptions!$B$12)/Projects!$D$40*0.95,0)-IF(AND(Projects!$G$40="Yes",BH$3=Projects!$C$40+Projects!$D$40-1),Projects!$B$40*(Assumptions!$B$10+Assumptions!$B$11+Assumptions!$B$12)*0.05,0)</f>
        <v/>
      </c>
      <c r="BI49" s="399">
        <f>IF(AND(Projects!$G$40="Yes",BI$3&gt;=Projects!$C$40,BI$3&lt;Projects!$C$40+Projects!$D$40),Projects!$B$40*INDEX(Curves!$B$4:$AR$4,1,BI$3-Projects!$C$40+1),0)-IF(AND(Projects!$G$40="Yes",BI$3&gt;=Projects!$C$40,BI$3&lt;Projects!$C$40+Projects!$D$40),Projects!$B$40*(Assumptions!$B$10+Assumptions!$B$11+Assumptions!$B$12)/Projects!$D$40*0.95,0)-IF(AND(Projects!$G$40="Yes",BI$3=Projects!$C$40+Projects!$D$40-1),Projects!$B$40*(Assumptions!$B$10+Assumptions!$B$11+Assumptions!$B$12)*0.05,0)</f>
        <v/>
      </c>
      <c r="BJ49" s="399">
        <f>IF(AND(Projects!$G$40="Yes",BJ$3&gt;=Projects!$C$40,BJ$3&lt;Projects!$C$40+Projects!$D$40),Projects!$B$40*INDEX(Curves!$B$4:$AR$4,1,BJ$3-Projects!$C$40+1),0)-IF(AND(Projects!$G$40="Yes",BJ$3&gt;=Projects!$C$40,BJ$3&lt;Projects!$C$40+Projects!$D$40),Projects!$B$40*(Assumptions!$B$10+Assumptions!$B$11+Assumptions!$B$12)/Projects!$D$40*0.95,0)-IF(AND(Projects!$G$40="Yes",BJ$3=Projects!$C$40+Projects!$D$40-1),Projects!$B$40*(Assumptions!$B$10+Assumptions!$B$11+Assumptions!$B$12)*0.05,0)</f>
        <v/>
      </c>
      <c r="BK49" s="399">
        <f>IF(AND(Projects!$G$40="Yes",BK$3&gt;=Projects!$C$40,BK$3&lt;Projects!$C$40+Projects!$D$40),Projects!$B$40*INDEX(Curves!$B$4:$AR$4,1,BK$3-Projects!$C$40+1),0)-IF(AND(Projects!$G$40="Yes",BK$3&gt;=Projects!$C$40,BK$3&lt;Projects!$C$40+Projects!$D$40),Projects!$B$40*(Assumptions!$B$10+Assumptions!$B$11+Assumptions!$B$12)/Projects!$D$40*0.95,0)-IF(AND(Projects!$G$40="Yes",BK$3=Projects!$C$40+Projects!$D$40-1),Projects!$B$40*(Assumptions!$B$10+Assumptions!$B$11+Assumptions!$B$12)*0.05,0)</f>
        <v/>
      </c>
      <c r="BL49" s="399">
        <f>IF(AND(Projects!$G$40="Yes",BL$3&gt;=Projects!$C$40,BL$3&lt;Projects!$C$40+Projects!$D$40),Projects!$B$40*INDEX(Curves!$B$4:$AR$4,1,BL$3-Projects!$C$40+1),0)-IF(AND(Projects!$G$40="Yes",BL$3&gt;=Projects!$C$40,BL$3&lt;Projects!$C$40+Projects!$D$40),Projects!$B$40*(Assumptions!$B$10+Assumptions!$B$11+Assumptions!$B$12)/Projects!$D$40*0.95,0)-IF(AND(Projects!$G$40="Yes",BL$3=Projects!$C$40+Projects!$D$40-1),Projects!$B$40*(Assumptions!$B$10+Assumptions!$B$11+Assumptions!$B$12)*0.05,0)</f>
        <v/>
      </c>
      <c r="BM49" s="399">
        <f>IF(AND(Projects!$G$40="Yes",BM$3&gt;=Projects!$C$40,BM$3&lt;Projects!$C$40+Projects!$D$40),Projects!$B$40*INDEX(Curves!$B$4:$AR$4,1,BM$3-Projects!$C$40+1),0)-IF(AND(Projects!$G$40="Yes",BM$3&gt;=Projects!$C$40,BM$3&lt;Projects!$C$40+Projects!$D$40),Projects!$B$40*(Assumptions!$B$10+Assumptions!$B$11+Assumptions!$B$12)/Projects!$D$40*0.95,0)-IF(AND(Projects!$G$40="Yes",BM$3=Projects!$C$40+Projects!$D$40-1),Projects!$B$40*(Assumptions!$B$10+Assumptions!$B$11+Assumptions!$B$12)*0.05,0)</f>
        <v/>
      </c>
      <c r="BN49" s="399">
        <f>IF(AND(Projects!$G$40="Yes",BN$3&gt;=Projects!$C$40,BN$3&lt;Projects!$C$40+Projects!$D$40),Projects!$B$40*INDEX(Curves!$B$4:$AR$4,1,BN$3-Projects!$C$40+1),0)-IF(AND(Projects!$G$40="Yes",BN$3&gt;=Projects!$C$40,BN$3&lt;Projects!$C$40+Projects!$D$40),Projects!$B$40*(Assumptions!$B$10+Assumptions!$B$11+Assumptions!$B$12)/Projects!$D$40*0.95,0)-IF(AND(Projects!$G$40="Yes",BN$3=Projects!$C$40+Projects!$D$40-1),Projects!$B$40*(Assumptions!$B$10+Assumptions!$B$11+Assumptions!$B$12)*0.05,0)</f>
        <v/>
      </c>
      <c r="BO49" s="399">
        <f>IF(AND(Projects!$G$40="Yes",BO$3&gt;=Projects!$C$40,BO$3&lt;Projects!$C$40+Projects!$D$40),Projects!$B$40*INDEX(Curves!$B$4:$AR$4,1,BO$3-Projects!$C$40+1),0)-IF(AND(Projects!$G$40="Yes",BO$3&gt;=Projects!$C$40,BO$3&lt;Projects!$C$40+Projects!$D$40),Projects!$B$40*(Assumptions!$B$10+Assumptions!$B$11+Assumptions!$B$12)/Projects!$D$40*0.95,0)-IF(AND(Projects!$G$40="Yes",BO$3=Projects!$C$40+Projects!$D$40-1),Projects!$B$40*(Assumptions!$B$10+Assumptions!$B$11+Assumptions!$B$12)*0.05,0)</f>
        <v/>
      </c>
      <c r="BP49" s="399">
        <f>IF(AND(Projects!$G$40="Yes",BP$3&gt;=Projects!$C$40,BP$3&lt;Projects!$C$40+Projects!$D$40),Projects!$B$40*INDEX(Curves!$B$4:$AR$4,1,BP$3-Projects!$C$40+1),0)-IF(AND(Projects!$G$40="Yes",BP$3&gt;=Projects!$C$40,BP$3&lt;Projects!$C$40+Projects!$D$40),Projects!$B$40*(Assumptions!$B$10+Assumptions!$B$11+Assumptions!$B$12)/Projects!$D$40*0.95,0)-IF(AND(Projects!$G$40="Yes",BP$3=Projects!$C$40+Projects!$D$40-1),Projects!$B$40*(Assumptions!$B$10+Assumptions!$B$11+Assumptions!$B$12)*0.05,0)</f>
        <v/>
      </c>
      <c r="BQ49" s="399">
        <f>IF(AND(Projects!$G$40="Yes",BQ$3&gt;=Projects!$C$40,BQ$3&lt;Projects!$C$40+Projects!$D$40),Projects!$B$40*INDEX(Curves!$B$4:$AR$4,1,BQ$3-Projects!$C$40+1),0)-IF(AND(Projects!$G$40="Yes",BQ$3&gt;=Projects!$C$40,BQ$3&lt;Projects!$C$40+Projects!$D$40),Projects!$B$40*(Assumptions!$B$10+Assumptions!$B$11+Assumptions!$B$12)/Projects!$D$40*0.95,0)-IF(AND(Projects!$G$40="Yes",BQ$3=Projects!$C$40+Projects!$D$40-1),Projects!$B$40*(Assumptions!$B$10+Assumptions!$B$11+Assumptions!$B$12)*0.05,0)</f>
        <v/>
      </c>
      <c r="BR49" s="399">
        <f>IF(AND(Projects!$G$40="Yes",BR$3&gt;=Projects!$C$40,BR$3&lt;Projects!$C$40+Projects!$D$40),Projects!$B$40*INDEX(Curves!$B$4:$AR$4,1,BR$3-Projects!$C$40+1),0)-IF(AND(Projects!$G$40="Yes",BR$3&gt;=Projects!$C$40,BR$3&lt;Projects!$C$40+Projects!$D$40),Projects!$B$40*(Assumptions!$B$10+Assumptions!$B$11+Assumptions!$B$12)/Projects!$D$40*0.95,0)-IF(AND(Projects!$G$40="Yes",BR$3=Projects!$C$40+Projects!$D$40-1),Projects!$B$40*(Assumptions!$B$10+Assumptions!$B$11+Assumptions!$B$12)*0.05,0)</f>
        <v/>
      </c>
      <c r="BS49" s="399">
        <f>IF(AND(Projects!$G$40="Yes",BS$3&gt;=Projects!$C$40,BS$3&lt;Projects!$C$40+Projects!$D$40),Projects!$B$40*INDEX(Curves!$B$4:$AR$4,1,BS$3-Projects!$C$40+1),0)-IF(AND(Projects!$G$40="Yes",BS$3&gt;=Projects!$C$40,BS$3&lt;Projects!$C$40+Projects!$D$40),Projects!$B$40*(Assumptions!$B$10+Assumptions!$B$11+Assumptions!$B$12)/Projects!$D$40*0.95,0)-IF(AND(Projects!$G$40="Yes",BS$3=Projects!$C$40+Projects!$D$40-1),Projects!$B$40*(Assumptions!$B$10+Assumptions!$B$11+Assumptions!$B$12)*0.05,0)</f>
        <v/>
      </c>
      <c r="BT49" s="399">
        <f>IF(AND(Projects!$G$40="Yes",BT$3&gt;=Projects!$C$40,BT$3&lt;Projects!$C$40+Projects!$D$40),Projects!$B$40*INDEX(Curves!$B$4:$AR$4,1,BT$3-Projects!$C$40+1),0)-IF(AND(Projects!$G$40="Yes",BT$3&gt;=Projects!$C$40,BT$3&lt;Projects!$C$40+Projects!$D$40),Projects!$B$40*(Assumptions!$B$10+Assumptions!$B$11+Assumptions!$B$12)/Projects!$D$40*0.95,0)-IF(AND(Projects!$G$40="Yes",BT$3=Projects!$C$40+Projects!$D$40-1),Projects!$B$40*(Assumptions!$B$10+Assumptions!$B$11+Assumptions!$B$12)*0.05,0)</f>
        <v/>
      </c>
      <c r="BU49" s="399">
        <f>IF(AND(Projects!$G$40="Yes",BU$3&gt;=Projects!$C$40,BU$3&lt;Projects!$C$40+Projects!$D$40),Projects!$B$40*INDEX(Curves!$B$4:$AR$4,1,BU$3-Projects!$C$40+1),0)-IF(AND(Projects!$G$40="Yes",BU$3&gt;=Projects!$C$40,BU$3&lt;Projects!$C$40+Projects!$D$40),Projects!$B$40*(Assumptions!$B$10+Assumptions!$B$11+Assumptions!$B$12)/Projects!$D$40*0.95,0)-IF(AND(Projects!$G$40="Yes",BU$3=Projects!$C$40+Projects!$D$40-1),Projects!$B$40*(Assumptions!$B$10+Assumptions!$B$11+Assumptions!$B$12)*0.05,0)</f>
        <v/>
      </c>
      <c r="BV49" s="399">
        <f>IF(AND(Projects!$G$40="Yes",BV$3&gt;=Projects!$C$40,BV$3&lt;Projects!$C$40+Projects!$D$40),Projects!$B$40*INDEX(Curves!$B$4:$AR$4,1,BV$3-Projects!$C$40+1),0)-IF(AND(Projects!$G$40="Yes",BV$3&gt;=Projects!$C$40,BV$3&lt;Projects!$C$40+Projects!$D$40),Projects!$B$40*(Assumptions!$B$10+Assumptions!$B$11+Assumptions!$B$12)/Projects!$D$40*0.95,0)-IF(AND(Projects!$G$40="Yes",BV$3=Projects!$C$40+Projects!$D$40-1),Projects!$B$40*(Assumptions!$B$10+Assumptions!$B$11+Assumptions!$B$12)*0.05,0)</f>
        <v/>
      </c>
      <c r="BW49" s="399">
        <f>IF(AND(Projects!$G$40="Yes",BW$3&gt;=Projects!$C$40,BW$3&lt;Projects!$C$40+Projects!$D$40),Projects!$B$40*INDEX(Curves!$B$4:$AR$4,1,BW$3-Projects!$C$40+1),0)-IF(AND(Projects!$G$40="Yes",BW$3&gt;=Projects!$C$40,BW$3&lt;Projects!$C$40+Projects!$D$40),Projects!$B$40*(Assumptions!$B$10+Assumptions!$B$11+Assumptions!$B$12)/Projects!$D$40*0.95,0)-IF(AND(Projects!$G$40="Yes",BW$3=Projects!$C$40+Projects!$D$40-1),Projects!$B$40*(Assumptions!$B$10+Assumptions!$B$11+Assumptions!$B$12)*0.05,0)</f>
        <v/>
      </c>
      <c r="BX49" s="399">
        <f>IF(AND(Projects!$G$40="Yes",BX$3&gt;=Projects!$C$40,BX$3&lt;Projects!$C$40+Projects!$D$40),Projects!$B$40*INDEX(Curves!$B$4:$AR$4,1,BX$3-Projects!$C$40+1),0)-IF(AND(Projects!$G$40="Yes",BX$3&gt;=Projects!$C$40,BX$3&lt;Projects!$C$40+Projects!$D$40),Projects!$B$40*(Assumptions!$B$10+Assumptions!$B$11+Assumptions!$B$12)/Projects!$D$40*0.95,0)-IF(AND(Projects!$G$40="Yes",BX$3=Projects!$C$40+Projects!$D$40-1),Projects!$B$40*(Assumptions!$B$10+Assumptions!$B$11+Assumptions!$B$12)*0.05,0)</f>
        <v/>
      </c>
      <c r="BY49" s="399">
        <f>IF(AND(Projects!$G$40="Yes",BY$3&gt;=Projects!$C$40,BY$3&lt;Projects!$C$40+Projects!$D$40),Projects!$B$40*INDEX(Curves!$B$4:$AR$4,1,BY$3-Projects!$C$40+1),0)-IF(AND(Projects!$G$40="Yes",BY$3&gt;=Projects!$C$40,BY$3&lt;Projects!$C$40+Projects!$D$40),Projects!$B$40*(Assumptions!$B$10+Assumptions!$B$11+Assumptions!$B$12)/Projects!$D$40*0.95,0)-IF(AND(Projects!$G$40="Yes",BY$3=Projects!$C$40+Projects!$D$40-1),Projects!$B$40*(Assumptions!$B$10+Assumptions!$B$11+Assumptions!$B$12)*0.05,0)</f>
        <v/>
      </c>
      <c r="BZ49" s="399">
        <f>IF(AND(Projects!$G$40="Yes",BZ$3&gt;=Projects!$C$40,BZ$3&lt;Projects!$C$40+Projects!$D$40),Projects!$B$40*INDEX(Curves!$B$4:$AR$4,1,BZ$3-Projects!$C$40+1),0)-IF(AND(Projects!$G$40="Yes",BZ$3&gt;=Projects!$C$40,BZ$3&lt;Projects!$C$40+Projects!$D$40),Projects!$B$40*(Assumptions!$B$10+Assumptions!$B$11+Assumptions!$B$12)/Projects!$D$40*0.95,0)-IF(AND(Projects!$G$40="Yes",BZ$3=Projects!$C$40+Projects!$D$40-1),Projects!$B$40*(Assumptions!$B$10+Assumptions!$B$11+Assumptions!$B$12)*0.05,0)</f>
        <v/>
      </c>
      <c r="CA49" s="399">
        <f>IF(AND(Projects!$G$40="Yes",CA$3&gt;=Projects!$C$40,CA$3&lt;Projects!$C$40+Projects!$D$40),Projects!$B$40*INDEX(Curves!$B$4:$AR$4,1,CA$3-Projects!$C$40+1),0)-IF(AND(Projects!$G$40="Yes",CA$3&gt;=Projects!$C$40,CA$3&lt;Projects!$C$40+Projects!$D$40),Projects!$B$40*(Assumptions!$B$10+Assumptions!$B$11+Assumptions!$B$12)/Projects!$D$40*0.95,0)-IF(AND(Projects!$G$40="Yes",CA$3=Projects!$C$40+Projects!$D$40-1),Projects!$B$40*(Assumptions!$B$10+Assumptions!$B$11+Assumptions!$B$12)*0.05,0)</f>
        <v/>
      </c>
      <c r="CB49" s="399">
        <f>IF(AND(Projects!$G$40="Yes",CB$3&gt;=Projects!$C$40,CB$3&lt;Projects!$C$40+Projects!$D$40),Projects!$B$40*INDEX(Curves!$B$4:$AR$4,1,CB$3-Projects!$C$40+1),0)-IF(AND(Projects!$G$40="Yes",CB$3&gt;=Projects!$C$40,CB$3&lt;Projects!$C$40+Projects!$D$40),Projects!$B$40*(Assumptions!$B$10+Assumptions!$B$11+Assumptions!$B$12)/Projects!$D$40*0.95,0)-IF(AND(Projects!$G$40="Yes",CB$3=Projects!$C$40+Projects!$D$40-1),Projects!$B$40*(Assumptions!$B$10+Assumptions!$B$11+Assumptions!$B$12)*0.05,0)</f>
        <v/>
      </c>
      <c r="CC49" s="399">
        <f>IF(AND(Projects!$G$40="Yes",CC$3&gt;=Projects!$C$40,CC$3&lt;Projects!$C$40+Projects!$D$40),Projects!$B$40*INDEX(Curves!$B$4:$AR$4,1,CC$3-Projects!$C$40+1),0)-IF(AND(Projects!$G$40="Yes",CC$3&gt;=Projects!$C$40,CC$3&lt;Projects!$C$40+Projects!$D$40),Projects!$B$40*(Assumptions!$B$10+Assumptions!$B$11+Assumptions!$B$12)/Projects!$D$40*0.95,0)-IF(AND(Projects!$G$40="Yes",CC$3=Projects!$C$40+Projects!$D$40-1),Projects!$B$40*(Assumptions!$B$10+Assumptions!$B$11+Assumptions!$B$12)*0.05,0)</f>
        <v/>
      </c>
      <c r="CD49" s="399">
        <f>IF(AND(Projects!$G$40="Yes",CD$3&gt;=Projects!$C$40,CD$3&lt;Projects!$C$40+Projects!$D$40),Projects!$B$40*INDEX(Curves!$B$4:$AR$4,1,CD$3-Projects!$C$40+1),0)-IF(AND(Projects!$G$40="Yes",CD$3&gt;=Projects!$C$40,CD$3&lt;Projects!$C$40+Projects!$D$40),Projects!$B$40*(Assumptions!$B$10+Assumptions!$B$11+Assumptions!$B$12)/Projects!$D$40*0.95,0)-IF(AND(Projects!$G$40="Yes",CD$3=Projects!$C$40+Projects!$D$40-1),Projects!$B$40*(Assumptions!$B$10+Assumptions!$B$11+Assumptions!$B$12)*0.05,0)</f>
        <v/>
      </c>
      <c r="CE49" s="399">
        <f>IF(AND(Projects!$G$40="Yes",CE$3&gt;=Projects!$C$40,CE$3&lt;Projects!$C$40+Projects!$D$40),Projects!$B$40*INDEX(Curves!$B$4:$AR$4,1,CE$3-Projects!$C$40+1),0)-IF(AND(Projects!$G$40="Yes",CE$3&gt;=Projects!$C$40,CE$3&lt;Projects!$C$40+Projects!$D$40),Projects!$B$40*(Assumptions!$B$10+Assumptions!$B$11+Assumptions!$B$12)/Projects!$D$40*0.95,0)-IF(AND(Projects!$G$40="Yes",CE$3=Projects!$C$40+Projects!$D$40-1),Projects!$B$40*(Assumptions!$B$10+Assumptions!$B$11+Assumptions!$B$12)*0.05,0)</f>
        <v/>
      </c>
      <c r="CF49" s="399">
        <f>IF(AND(Projects!$G$40="Yes",CF$3&gt;=Projects!$C$40,CF$3&lt;Projects!$C$40+Projects!$D$40),Projects!$B$40*INDEX(Curves!$B$4:$AR$4,1,CF$3-Projects!$C$40+1),0)-IF(AND(Projects!$G$40="Yes",CF$3&gt;=Projects!$C$40,CF$3&lt;Projects!$C$40+Projects!$D$40),Projects!$B$40*(Assumptions!$B$10+Assumptions!$B$11+Assumptions!$B$12)/Projects!$D$40*0.95,0)-IF(AND(Projects!$G$40="Yes",CF$3=Projects!$C$40+Projects!$D$40-1),Projects!$B$40*(Assumptions!$B$10+Assumptions!$B$11+Assumptions!$B$12)*0.05,0)</f>
        <v/>
      </c>
      <c r="CG49" s="399">
        <f>IF(AND(Projects!$G$40="Yes",CG$3&gt;=Projects!$C$40,CG$3&lt;Projects!$C$40+Projects!$D$40),Projects!$B$40*INDEX(Curves!$B$4:$AR$4,1,CG$3-Projects!$C$40+1),0)-IF(AND(Projects!$G$40="Yes",CG$3&gt;=Projects!$C$40,CG$3&lt;Projects!$C$40+Projects!$D$40),Projects!$B$40*(Assumptions!$B$10+Assumptions!$B$11+Assumptions!$B$12)/Projects!$D$40*0.95,0)-IF(AND(Projects!$G$40="Yes",CG$3=Projects!$C$40+Projects!$D$40-1),Projects!$B$40*(Assumptions!$B$10+Assumptions!$B$11+Assumptions!$B$12)*0.05,0)</f>
        <v/>
      </c>
      <c r="CH49" s="399">
        <f>IF(AND(Projects!$G$40="Yes",CH$3&gt;=Projects!$C$40,CH$3&lt;Projects!$C$40+Projects!$D$40),Projects!$B$40*INDEX(Curves!$B$4:$AR$4,1,CH$3-Projects!$C$40+1),0)-IF(AND(Projects!$G$40="Yes",CH$3&gt;=Projects!$C$40,CH$3&lt;Projects!$C$40+Projects!$D$40),Projects!$B$40*(Assumptions!$B$10+Assumptions!$B$11+Assumptions!$B$12)/Projects!$D$40*0.95,0)-IF(AND(Projects!$G$40="Yes",CH$3=Projects!$C$40+Projects!$D$40-1),Projects!$B$40*(Assumptions!$B$10+Assumptions!$B$11+Assumptions!$B$12)*0.05,0)</f>
        <v/>
      </c>
      <c r="CI49" s="399">
        <f>IF(AND(Projects!$G$40="Yes",CI$3&gt;=Projects!$C$40,CI$3&lt;Projects!$C$40+Projects!$D$40),Projects!$B$40*INDEX(Curves!$B$4:$AR$4,1,CI$3-Projects!$C$40+1),0)-IF(AND(Projects!$G$40="Yes",CI$3&gt;=Projects!$C$40,CI$3&lt;Projects!$C$40+Projects!$D$40),Projects!$B$40*(Assumptions!$B$10+Assumptions!$B$11+Assumptions!$B$12)/Projects!$D$40*0.95,0)-IF(AND(Projects!$G$40="Yes",CI$3=Projects!$C$40+Projects!$D$40-1),Projects!$B$40*(Assumptions!$B$10+Assumptions!$B$11+Assumptions!$B$12)*0.05,0)</f>
        <v/>
      </c>
      <c r="CJ49" s="399">
        <f>IF(AND(Projects!$G$40="Yes",CJ$3&gt;=Projects!$C$40,CJ$3&lt;Projects!$C$40+Projects!$D$40),Projects!$B$40*INDEX(Curves!$B$4:$AR$4,1,CJ$3-Projects!$C$40+1),0)-IF(AND(Projects!$G$40="Yes",CJ$3&gt;=Projects!$C$40,CJ$3&lt;Projects!$C$40+Projects!$D$40),Projects!$B$40*(Assumptions!$B$10+Assumptions!$B$11+Assumptions!$B$12)/Projects!$D$40*0.95,0)-IF(AND(Projects!$G$40="Yes",CJ$3=Projects!$C$40+Projects!$D$40-1),Projects!$B$40*(Assumptions!$B$10+Assumptions!$B$11+Assumptions!$B$12)*0.05,0)</f>
        <v/>
      </c>
      <c r="CK49" s="399">
        <f>IF(AND(Projects!$G$40="Yes",CK$3&gt;=Projects!$C$40,CK$3&lt;Projects!$C$40+Projects!$D$40),Projects!$B$40*INDEX(Curves!$B$4:$AR$4,1,CK$3-Projects!$C$40+1),0)-IF(AND(Projects!$G$40="Yes",CK$3&gt;=Projects!$C$40,CK$3&lt;Projects!$C$40+Projects!$D$40),Projects!$B$40*(Assumptions!$B$10+Assumptions!$B$11+Assumptions!$B$12)/Projects!$D$40*0.95,0)-IF(AND(Projects!$G$40="Yes",CK$3=Projects!$C$40+Projects!$D$40-1),Projects!$B$40*(Assumptions!$B$10+Assumptions!$B$11+Assumptions!$B$12)*0.05,0)</f>
        <v/>
      </c>
      <c r="CL49" s="399">
        <f>IF(AND(Projects!$G$40="Yes",CL$3&gt;=Projects!$C$40,CL$3&lt;Projects!$C$40+Projects!$D$40),Projects!$B$40*INDEX(Curves!$B$4:$AR$4,1,CL$3-Projects!$C$40+1),0)-IF(AND(Projects!$G$40="Yes",CL$3&gt;=Projects!$C$40,CL$3&lt;Projects!$C$40+Projects!$D$40),Projects!$B$40*(Assumptions!$B$10+Assumptions!$B$11+Assumptions!$B$12)/Projects!$D$40*0.95,0)-IF(AND(Projects!$G$40="Yes",CL$3=Projects!$C$40+Projects!$D$40-1),Projects!$B$40*(Assumptions!$B$10+Assumptions!$B$11+Assumptions!$B$12)*0.05,0)</f>
        <v/>
      </c>
      <c r="CM49" s="399">
        <f>IF(AND(Projects!$G$40="Yes",CM$3&gt;=Projects!$C$40,CM$3&lt;Projects!$C$40+Projects!$D$40),Projects!$B$40*INDEX(Curves!$B$4:$AR$4,1,CM$3-Projects!$C$40+1),0)-IF(AND(Projects!$G$40="Yes",CM$3&gt;=Projects!$C$40,CM$3&lt;Projects!$C$40+Projects!$D$40),Projects!$B$40*(Assumptions!$B$10+Assumptions!$B$11+Assumptions!$B$12)/Projects!$D$40*0.95,0)-IF(AND(Projects!$G$40="Yes",CM$3=Projects!$C$40+Projects!$D$40-1),Projects!$B$40*(Assumptions!$B$10+Assumptions!$B$11+Assumptions!$B$12)*0.05,0)</f>
        <v/>
      </c>
      <c r="CN49" s="399">
        <f>IF(AND(Projects!$G$40="Yes",CN$3&gt;=Projects!$C$40,CN$3&lt;Projects!$C$40+Projects!$D$40),Projects!$B$40*INDEX(Curves!$B$4:$AR$4,1,CN$3-Projects!$C$40+1),0)-IF(AND(Projects!$G$40="Yes",CN$3&gt;=Projects!$C$40,CN$3&lt;Projects!$C$40+Projects!$D$40),Projects!$B$40*(Assumptions!$B$10+Assumptions!$B$11+Assumptions!$B$12)/Projects!$D$40*0.95,0)-IF(AND(Projects!$G$40="Yes",CN$3=Projects!$C$40+Projects!$D$40-1),Projects!$B$40*(Assumptions!$B$10+Assumptions!$B$11+Assumptions!$B$12)*0.05,0)</f>
        <v/>
      </c>
      <c r="CO49" s="399">
        <f>IF(AND(Projects!$G$40="Yes",CO$3&gt;=Projects!$C$40,CO$3&lt;Projects!$C$40+Projects!$D$40),Projects!$B$40*INDEX(Curves!$B$4:$AR$4,1,CO$3-Projects!$C$40+1),0)-IF(AND(Projects!$G$40="Yes",CO$3&gt;=Projects!$C$40,CO$3&lt;Projects!$C$40+Projects!$D$40),Projects!$B$40*(Assumptions!$B$10+Assumptions!$B$11+Assumptions!$B$12)/Projects!$D$40*0.95,0)-IF(AND(Projects!$G$40="Yes",CO$3=Projects!$C$40+Projects!$D$40-1),Projects!$B$40*(Assumptions!$B$10+Assumptions!$B$11+Assumptions!$B$12)*0.05,0)</f>
        <v/>
      </c>
      <c r="CP49" s="399">
        <f>IF(AND(Projects!$G$40="Yes",CP$3&gt;=Projects!$C$40,CP$3&lt;Projects!$C$40+Projects!$D$40),Projects!$B$40*INDEX(Curves!$B$4:$AR$4,1,CP$3-Projects!$C$40+1),0)-IF(AND(Projects!$G$40="Yes",CP$3&gt;=Projects!$C$40,CP$3&lt;Projects!$C$40+Projects!$D$40),Projects!$B$40*(Assumptions!$B$10+Assumptions!$B$11+Assumptions!$B$12)/Projects!$D$40*0.95,0)-IF(AND(Projects!$G$40="Yes",CP$3=Projects!$C$40+Projects!$D$40-1),Projects!$B$40*(Assumptions!$B$10+Assumptions!$B$11+Assumptions!$B$12)*0.05,0)</f>
        <v/>
      </c>
      <c r="CQ49" s="399">
        <f>IF(AND(Projects!$G$40="Yes",CQ$3&gt;=Projects!$C$40,CQ$3&lt;Projects!$C$40+Projects!$D$40),Projects!$B$40*INDEX(Curves!$B$4:$AR$4,1,CQ$3-Projects!$C$40+1),0)-IF(AND(Projects!$G$40="Yes",CQ$3&gt;=Projects!$C$40,CQ$3&lt;Projects!$C$40+Projects!$D$40),Projects!$B$40*(Assumptions!$B$10+Assumptions!$B$11+Assumptions!$B$12)/Projects!$D$40*0.95,0)-IF(AND(Projects!$G$40="Yes",CQ$3=Projects!$C$40+Projects!$D$40-1),Projects!$B$40*(Assumptions!$B$10+Assumptions!$B$11+Assumptions!$B$12)*0.05,0)</f>
        <v/>
      </c>
      <c r="CR49" s="399">
        <f>IF(AND(Projects!$G$40="Yes",CR$3&gt;=Projects!$C$40,CR$3&lt;Projects!$C$40+Projects!$D$40),Projects!$B$40*INDEX(Curves!$B$4:$AR$4,1,CR$3-Projects!$C$40+1),0)-IF(AND(Projects!$G$40="Yes",CR$3&gt;=Projects!$C$40,CR$3&lt;Projects!$C$40+Projects!$D$40),Projects!$B$40*(Assumptions!$B$10+Assumptions!$B$11+Assumptions!$B$12)/Projects!$D$40*0.95,0)-IF(AND(Projects!$G$40="Yes",CR$3=Projects!$C$40+Projects!$D$40-1),Projects!$B$40*(Assumptions!$B$10+Assumptions!$B$11+Assumptions!$B$12)*0.05,0)</f>
        <v/>
      </c>
      <c r="CS49" s="399">
        <f>IF(AND(Projects!$G$40="Yes",CS$3&gt;=Projects!$C$40,CS$3&lt;Projects!$C$40+Projects!$D$40),Projects!$B$40*INDEX(Curves!$B$4:$AR$4,1,CS$3-Projects!$C$40+1),0)-IF(AND(Projects!$G$40="Yes",CS$3&gt;=Projects!$C$40,CS$3&lt;Projects!$C$40+Projects!$D$40),Projects!$B$40*(Assumptions!$B$10+Assumptions!$B$11+Assumptions!$B$12)/Projects!$D$40*0.95,0)-IF(AND(Projects!$G$40="Yes",CS$3=Projects!$C$40+Projects!$D$40-1),Projects!$B$40*(Assumptions!$B$10+Assumptions!$B$11+Assumptions!$B$12)*0.05,0)</f>
        <v/>
      </c>
      <c r="CT49" s="399">
        <f>IF(AND(Projects!$G$40="Yes",CT$3&gt;=Projects!$C$40,CT$3&lt;Projects!$C$40+Projects!$D$40),Projects!$B$40*INDEX(Curves!$B$4:$AR$4,1,CT$3-Projects!$C$40+1),0)-IF(AND(Projects!$G$40="Yes",CT$3&gt;=Projects!$C$40,CT$3&lt;Projects!$C$40+Projects!$D$40),Projects!$B$40*(Assumptions!$B$10+Assumptions!$B$11+Assumptions!$B$12)/Projects!$D$40*0.95,0)-IF(AND(Projects!$G$40="Yes",CT$3=Projects!$C$40+Projects!$D$40-1),Projects!$B$40*(Assumptions!$B$10+Assumptions!$B$11+Assumptions!$B$12)*0.05,0)</f>
        <v/>
      </c>
      <c r="CU49" s="399">
        <f>IF(AND(Projects!$G$40="Yes",CU$3&gt;=Projects!$C$40,CU$3&lt;Projects!$C$40+Projects!$D$40),Projects!$B$40*INDEX(Curves!$B$4:$AR$4,1,CU$3-Projects!$C$40+1),0)-IF(AND(Projects!$G$40="Yes",CU$3&gt;=Projects!$C$40,CU$3&lt;Projects!$C$40+Projects!$D$40),Projects!$B$40*(Assumptions!$B$10+Assumptions!$B$11+Assumptions!$B$12)/Projects!$D$40*0.95,0)-IF(AND(Projects!$G$40="Yes",CU$3=Projects!$C$40+Projects!$D$40-1),Projects!$B$40*(Assumptions!$B$10+Assumptions!$B$11+Assumptions!$B$12)*0.05,0)</f>
        <v/>
      </c>
      <c r="CV49" s="399">
        <f>IF(AND(Projects!$G$40="Yes",CV$3&gt;=Projects!$C$40,CV$3&lt;Projects!$C$40+Projects!$D$40),Projects!$B$40*INDEX(Curves!$B$4:$AR$4,1,CV$3-Projects!$C$40+1),0)-IF(AND(Projects!$G$40="Yes",CV$3&gt;=Projects!$C$40,CV$3&lt;Projects!$C$40+Projects!$D$40),Projects!$B$40*(Assumptions!$B$10+Assumptions!$B$11+Assumptions!$B$12)/Projects!$D$40*0.95,0)-IF(AND(Projects!$G$40="Yes",CV$3=Projects!$C$40+Projects!$D$40-1),Projects!$B$40*(Assumptions!$B$10+Assumptions!$B$11+Assumptions!$B$12)*0.05,0)</f>
        <v/>
      </c>
      <c r="CW49" s="399">
        <f>IF(AND(Projects!$G$40="Yes",CW$3&gt;=Projects!$C$40,CW$3&lt;Projects!$C$40+Projects!$D$40),Projects!$B$40*INDEX(Curves!$B$4:$AR$4,1,CW$3-Projects!$C$40+1),0)-IF(AND(Projects!$G$40="Yes",CW$3&gt;=Projects!$C$40,CW$3&lt;Projects!$C$40+Projects!$D$40),Projects!$B$40*(Assumptions!$B$10+Assumptions!$B$11+Assumptions!$B$12)/Projects!$D$40*0.95,0)-IF(AND(Projects!$G$40="Yes",CW$3=Projects!$C$40+Projects!$D$40-1),Projects!$B$40*(Assumptions!$B$10+Assumptions!$B$11+Assumptions!$B$12)*0.05,0)</f>
        <v/>
      </c>
      <c r="CX49" s="399">
        <f>IF(AND(Projects!$G$40="Yes",CX$3&gt;=Projects!$C$40,CX$3&lt;Projects!$C$40+Projects!$D$40),Projects!$B$40*INDEX(Curves!$B$4:$AR$4,1,CX$3-Projects!$C$40+1),0)-IF(AND(Projects!$G$40="Yes",CX$3&gt;=Projects!$C$40,CX$3&lt;Projects!$C$40+Projects!$D$40),Projects!$B$40*(Assumptions!$B$10+Assumptions!$B$11+Assumptions!$B$12)/Projects!$D$40*0.95,0)-IF(AND(Projects!$G$40="Yes",CX$3=Projects!$C$40+Projects!$D$40-1),Projects!$B$40*(Assumptions!$B$10+Assumptions!$B$11+Assumptions!$B$12)*0.05,0)</f>
        <v/>
      </c>
      <c r="CY49" s="399">
        <f>IF(AND(Projects!$G$40="Yes",CY$3&gt;=Projects!$C$40,CY$3&lt;Projects!$C$40+Projects!$D$40),Projects!$B$40*INDEX(Curves!$B$4:$AR$4,1,CY$3-Projects!$C$40+1),0)-IF(AND(Projects!$G$40="Yes",CY$3&gt;=Projects!$C$40,CY$3&lt;Projects!$C$40+Projects!$D$40),Projects!$B$40*(Assumptions!$B$10+Assumptions!$B$11+Assumptions!$B$12)/Projects!$D$40*0.95,0)-IF(AND(Projects!$G$40="Yes",CY$3=Projects!$C$40+Projects!$D$40-1),Projects!$B$40*(Assumptions!$B$10+Assumptions!$B$11+Assumptions!$B$12)*0.05,0)</f>
        <v/>
      </c>
      <c r="CZ49" s="399">
        <f>IF(AND(Projects!$G$40="Yes",CZ$3&gt;=Projects!$C$40,CZ$3&lt;Projects!$C$40+Projects!$D$40),Projects!$B$40*INDEX(Curves!$B$4:$AR$4,1,CZ$3-Projects!$C$40+1),0)-IF(AND(Projects!$G$40="Yes",CZ$3&gt;=Projects!$C$40,CZ$3&lt;Projects!$C$40+Projects!$D$40),Projects!$B$40*(Assumptions!$B$10+Assumptions!$B$11+Assumptions!$B$12)/Projects!$D$40*0.95,0)-IF(AND(Projects!$G$40="Yes",CZ$3=Projects!$C$40+Projects!$D$40-1),Projects!$B$40*(Assumptions!$B$10+Assumptions!$B$11+Assumptions!$B$12)*0.05,0)</f>
        <v/>
      </c>
      <c r="DA49" s="399">
        <f>IF(AND(Projects!$G$40="Yes",DA$3&gt;=Projects!$C$40,DA$3&lt;Projects!$C$40+Projects!$D$40),Projects!$B$40*INDEX(Curves!$B$4:$AR$4,1,DA$3-Projects!$C$40+1),0)-IF(AND(Projects!$G$40="Yes",DA$3&gt;=Projects!$C$40,DA$3&lt;Projects!$C$40+Projects!$D$40),Projects!$B$40*(Assumptions!$B$10+Assumptions!$B$11+Assumptions!$B$12)/Projects!$D$40*0.95,0)-IF(AND(Projects!$G$40="Yes",DA$3=Projects!$C$40+Projects!$D$40-1),Projects!$B$40*(Assumptions!$B$10+Assumptions!$B$11+Assumptions!$B$12)*0.05,0)</f>
        <v/>
      </c>
      <c r="DB49" s="399">
        <f>IF(AND(Projects!$G$40="Yes",DB$3&gt;=Projects!$C$40,DB$3&lt;Projects!$C$40+Projects!$D$40),Projects!$B$40*INDEX(Curves!$B$4:$AR$4,1,DB$3-Projects!$C$40+1),0)-IF(AND(Projects!$G$40="Yes",DB$3&gt;=Projects!$C$40,DB$3&lt;Projects!$C$40+Projects!$D$40),Projects!$B$40*(Assumptions!$B$10+Assumptions!$B$11+Assumptions!$B$12)/Projects!$D$40*0.95,0)-IF(AND(Projects!$G$40="Yes",DB$3=Projects!$C$40+Projects!$D$40-1),Projects!$B$40*(Assumptions!$B$10+Assumptions!$B$11+Assumptions!$B$12)*0.05,0)</f>
        <v/>
      </c>
      <c r="DC49" s="399">
        <f>IF(AND(Projects!$G$40="Yes",DC$3&gt;=Projects!$C$40,DC$3&lt;Projects!$C$40+Projects!$D$40),Projects!$B$40*INDEX(Curves!$B$4:$AR$4,1,DC$3-Projects!$C$40+1),0)-IF(AND(Projects!$G$40="Yes",DC$3&gt;=Projects!$C$40,DC$3&lt;Projects!$C$40+Projects!$D$40),Projects!$B$40*(Assumptions!$B$10+Assumptions!$B$11+Assumptions!$B$12)/Projects!$D$40*0.95,0)-IF(AND(Projects!$G$40="Yes",DC$3=Projects!$C$40+Projects!$D$40-1),Projects!$B$40*(Assumptions!$B$10+Assumptions!$B$11+Assumptions!$B$12)*0.05,0)</f>
        <v/>
      </c>
      <c r="DD49" s="399">
        <f>IF(AND(Projects!$G$40="Yes",DD$3&gt;=Projects!$C$40,DD$3&lt;Projects!$C$40+Projects!$D$40),Projects!$B$40*INDEX(Curves!$B$4:$AR$4,1,DD$3-Projects!$C$40+1),0)-IF(AND(Projects!$G$40="Yes",DD$3&gt;=Projects!$C$40,DD$3&lt;Projects!$C$40+Projects!$D$40),Projects!$B$40*(Assumptions!$B$10+Assumptions!$B$11+Assumptions!$B$12)/Projects!$D$40*0.95,0)-IF(AND(Projects!$G$40="Yes",DD$3=Projects!$C$40+Projects!$D$40-1),Projects!$B$40*(Assumptions!$B$10+Assumptions!$B$11+Assumptions!$B$12)*0.05,0)</f>
        <v/>
      </c>
      <c r="DE49" s="399">
        <f>IF(AND(Projects!$G$40="Yes",DE$3&gt;=Projects!$C$40,DE$3&lt;Projects!$C$40+Projects!$D$40),Projects!$B$40*INDEX(Curves!$B$4:$AR$4,1,DE$3-Projects!$C$40+1),0)-IF(AND(Projects!$G$40="Yes",DE$3&gt;=Projects!$C$40,DE$3&lt;Projects!$C$40+Projects!$D$40),Projects!$B$40*(Assumptions!$B$10+Assumptions!$B$11+Assumptions!$B$12)/Projects!$D$40*0.95,0)-IF(AND(Projects!$G$40="Yes",DE$3=Projects!$C$40+Projects!$D$40-1),Projects!$B$40*(Assumptions!$B$10+Assumptions!$B$11+Assumptions!$B$12)*0.05,0)</f>
        <v/>
      </c>
    </row>
    <row r="50" hidden="1" outlineLevel="1" ht="15" customFormat="1" customHeight="1" s="380">
      <c r="A50" s="407" t="inlineStr">
        <is>
          <t>BD-25</t>
        </is>
      </c>
      <c r="B50" s="399" t="n">
        <v>0</v>
      </c>
      <c r="C50" s="399" t="n">
        <v>0</v>
      </c>
      <c r="D50" s="399" t="n">
        <v>0</v>
      </c>
      <c r="E50" s="399" t="n">
        <v>0</v>
      </c>
      <c r="F50" s="399">
        <f>IF(AND(Projects!$G$41="Yes",F$3&gt;=Projects!$C$41,F$3&lt;Projects!$C$41+Projects!$D$41),Projects!$B$41*INDEX(Curves!$B$4:$AR$4,1,F$3-Projects!$C$41+1),0)-IF(AND(Projects!$G$41="Yes",F$3&gt;=Projects!$C$41,F$3&lt;Projects!$C$41+Projects!$D$41),Projects!$B$41*(Assumptions!$B$10+Assumptions!$B$11+Assumptions!$B$12)/Projects!$D$41*0.95,0)-IF(AND(Projects!$G$41="Yes",F$3=Projects!$C$41+Projects!$D$41-1),Projects!$B$41*(Assumptions!$B$10+Assumptions!$B$11+Assumptions!$B$12)*0.05,0)</f>
        <v/>
      </c>
      <c r="G50" s="399">
        <f>IF(AND(Projects!$G$41="Yes",G$3&gt;=Projects!$C$41,G$3&lt;Projects!$C$41+Projects!$D$41),Projects!$B$41*INDEX(Curves!$B$4:$AR$4,1,G$3-Projects!$C$41+1),0)-IF(AND(Projects!$G$41="Yes",G$3&gt;=Projects!$C$41,G$3&lt;Projects!$C$41+Projects!$D$41),Projects!$B$41*(Assumptions!$B$10+Assumptions!$B$11+Assumptions!$B$12)/Projects!$D$41*0.95,0)-IF(AND(Projects!$G$41="Yes",G$3=Projects!$C$41+Projects!$D$41-1),Projects!$B$41*(Assumptions!$B$10+Assumptions!$B$11+Assumptions!$B$12)*0.05,0)</f>
        <v/>
      </c>
      <c r="H50" s="399">
        <f>IF(AND(Projects!$G$41="Yes",H$3&gt;=Projects!$C$41,H$3&lt;Projects!$C$41+Projects!$D$41),Projects!$B$41*INDEX(Curves!$B$4:$AR$4,1,H$3-Projects!$C$41+1),0)-IF(AND(Projects!$G$41="Yes",H$3&gt;=Projects!$C$41,H$3&lt;Projects!$C$41+Projects!$D$41),Projects!$B$41*(Assumptions!$B$10+Assumptions!$B$11+Assumptions!$B$12)/Projects!$D$41*0.95,0)-IF(AND(Projects!$G$41="Yes",H$3=Projects!$C$41+Projects!$D$41-1),Projects!$B$41*(Assumptions!$B$10+Assumptions!$B$11+Assumptions!$B$12)*0.05,0)</f>
        <v/>
      </c>
      <c r="I50" s="399">
        <f>IF(AND(Projects!$G$41="Yes",I$3&gt;=Projects!$C$41,I$3&lt;Projects!$C$41+Projects!$D$41),Projects!$B$41*INDEX(Curves!$B$4:$AR$4,1,I$3-Projects!$C$41+1),0)-IF(AND(Projects!$G$41="Yes",I$3&gt;=Projects!$C$41,I$3&lt;Projects!$C$41+Projects!$D$41),Projects!$B$41*(Assumptions!$B$10+Assumptions!$B$11+Assumptions!$B$12)/Projects!$D$41*0.95,0)-IF(AND(Projects!$G$41="Yes",I$3=Projects!$C$41+Projects!$D$41-1),Projects!$B$41*(Assumptions!$B$10+Assumptions!$B$11+Assumptions!$B$12)*0.05,0)</f>
        <v/>
      </c>
      <c r="J50" s="399">
        <f>IF(AND(Projects!$G$41="Yes",J$3&gt;=Projects!$C$41,J$3&lt;Projects!$C$41+Projects!$D$41),Projects!$B$41*INDEX(Curves!$B$4:$AR$4,1,J$3-Projects!$C$41+1),0)-IF(AND(Projects!$G$41="Yes",J$3&gt;=Projects!$C$41,J$3&lt;Projects!$C$41+Projects!$D$41),Projects!$B$41*(Assumptions!$B$10+Assumptions!$B$11+Assumptions!$B$12)/Projects!$D$41*0.95,0)-IF(AND(Projects!$G$41="Yes",J$3=Projects!$C$41+Projects!$D$41-1),Projects!$B$41*(Assumptions!$B$10+Assumptions!$B$11+Assumptions!$B$12)*0.05,0)</f>
        <v/>
      </c>
      <c r="K50" s="399">
        <f>IF(AND(Projects!$G$41="Yes",K$3&gt;=Projects!$C$41,K$3&lt;Projects!$C$41+Projects!$D$41),Projects!$B$41*INDEX(Curves!$B$4:$AR$4,1,K$3-Projects!$C$41+1),0)-IF(AND(Projects!$G$41="Yes",K$3&gt;=Projects!$C$41,K$3&lt;Projects!$C$41+Projects!$D$41),Projects!$B$41*(Assumptions!$B$10+Assumptions!$B$11+Assumptions!$B$12)/Projects!$D$41*0.95,0)-IF(AND(Projects!$G$41="Yes",K$3=Projects!$C$41+Projects!$D$41-1),Projects!$B$41*(Assumptions!$B$10+Assumptions!$B$11+Assumptions!$B$12)*0.05,0)</f>
        <v/>
      </c>
      <c r="L50" s="399">
        <f>IF(AND(Projects!$G$41="Yes",L$3&gt;=Projects!$C$41,L$3&lt;Projects!$C$41+Projects!$D$41),Projects!$B$41*INDEX(Curves!$B$4:$AR$4,1,L$3-Projects!$C$41+1),0)-IF(AND(Projects!$G$41="Yes",L$3&gt;=Projects!$C$41,L$3&lt;Projects!$C$41+Projects!$D$41),Projects!$B$41*(Assumptions!$B$10+Assumptions!$B$11+Assumptions!$B$12)/Projects!$D$41*0.95,0)-IF(AND(Projects!$G$41="Yes",L$3=Projects!$C$41+Projects!$D$41-1),Projects!$B$41*(Assumptions!$B$10+Assumptions!$B$11+Assumptions!$B$12)*0.05,0)</f>
        <v/>
      </c>
      <c r="M50" s="399">
        <f>IF(AND(Projects!$G$41="Yes",M$3&gt;=Projects!$C$41,M$3&lt;Projects!$C$41+Projects!$D$41),Projects!$B$41*INDEX(Curves!$B$4:$AR$4,1,M$3-Projects!$C$41+1),0)-IF(AND(Projects!$G$41="Yes",M$3&gt;=Projects!$C$41,M$3&lt;Projects!$C$41+Projects!$D$41),Projects!$B$41*(Assumptions!$B$10+Assumptions!$B$11+Assumptions!$B$12)/Projects!$D$41*0.95,0)-IF(AND(Projects!$G$41="Yes",M$3=Projects!$C$41+Projects!$D$41-1),Projects!$B$41*(Assumptions!$B$10+Assumptions!$B$11+Assumptions!$B$12)*0.05,0)</f>
        <v/>
      </c>
      <c r="N50" s="399">
        <f>IF(AND(Projects!$G$41="Yes",N$3&gt;=Projects!$C$41,N$3&lt;Projects!$C$41+Projects!$D$41),Projects!$B$41*INDEX(Curves!$B$4:$AR$4,1,N$3-Projects!$C$41+1),0)-IF(AND(Projects!$G$41="Yes",N$3&gt;=Projects!$C$41,N$3&lt;Projects!$C$41+Projects!$D$41),Projects!$B$41*(Assumptions!$B$10+Assumptions!$B$11+Assumptions!$B$12)/Projects!$D$41*0.95,0)-IF(AND(Projects!$G$41="Yes",N$3=Projects!$C$41+Projects!$D$41-1),Projects!$B$41*(Assumptions!$B$10+Assumptions!$B$11+Assumptions!$B$12)*0.05,0)</f>
        <v/>
      </c>
      <c r="O50" s="399">
        <f>IF(AND(Projects!$G$41="Yes",O$3&gt;=Projects!$C$41,O$3&lt;Projects!$C$41+Projects!$D$41),Projects!$B$41*INDEX(Curves!$B$4:$AR$4,1,O$3-Projects!$C$41+1),0)-IF(AND(Projects!$G$41="Yes",O$3&gt;=Projects!$C$41,O$3&lt;Projects!$C$41+Projects!$D$41),Projects!$B$41*(Assumptions!$B$10+Assumptions!$B$11+Assumptions!$B$12)/Projects!$D$41*0.95,0)-IF(AND(Projects!$G$41="Yes",O$3=Projects!$C$41+Projects!$D$41-1),Projects!$B$41*(Assumptions!$B$10+Assumptions!$B$11+Assumptions!$B$12)*0.05,0)</f>
        <v/>
      </c>
      <c r="P50" s="399">
        <f>IF(AND(Projects!$G$41="Yes",P$3&gt;=Projects!$C$41,P$3&lt;Projects!$C$41+Projects!$D$41),Projects!$B$41*INDEX(Curves!$B$4:$AR$4,1,P$3-Projects!$C$41+1),0)-IF(AND(Projects!$G$41="Yes",P$3&gt;=Projects!$C$41,P$3&lt;Projects!$C$41+Projects!$D$41),Projects!$B$41*(Assumptions!$B$10+Assumptions!$B$11+Assumptions!$B$12)/Projects!$D$41*0.95,0)-IF(AND(Projects!$G$41="Yes",P$3=Projects!$C$41+Projects!$D$41-1),Projects!$B$41*(Assumptions!$B$10+Assumptions!$B$11+Assumptions!$B$12)*0.05,0)</f>
        <v/>
      </c>
      <c r="Q50" s="399">
        <f>IF(AND(Projects!$G$41="Yes",Q$3&gt;=Projects!$C$41,Q$3&lt;Projects!$C$41+Projects!$D$41),Projects!$B$41*INDEX(Curves!$B$4:$AR$4,1,Q$3-Projects!$C$41+1),0)-IF(AND(Projects!$G$41="Yes",Q$3&gt;=Projects!$C$41,Q$3&lt;Projects!$C$41+Projects!$D$41),Projects!$B$41*(Assumptions!$B$10+Assumptions!$B$11+Assumptions!$B$12)/Projects!$D$41*0.95,0)-IF(AND(Projects!$G$41="Yes",Q$3=Projects!$C$41+Projects!$D$41-1),Projects!$B$41*(Assumptions!$B$10+Assumptions!$B$11+Assumptions!$B$12)*0.05,0)</f>
        <v/>
      </c>
      <c r="R50" s="399">
        <f>IF(AND(Projects!$G$41="Yes",R$3&gt;=Projects!$C$41,R$3&lt;Projects!$C$41+Projects!$D$41),Projects!$B$41*INDEX(Curves!$B$4:$AR$4,1,R$3-Projects!$C$41+1),0)-IF(AND(Projects!$G$41="Yes",R$3&gt;=Projects!$C$41,R$3&lt;Projects!$C$41+Projects!$D$41),Projects!$B$41*(Assumptions!$B$10+Assumptions!$B$11+Assumptions!$B$12)/Projects!$D$41*0.95,0)-IF(AND(Projects!$G$41="Yes",R$3=Projects!$C$41+Projects!$D$41-1),Projects!$B$41*(Assumptions!$B$10+Assumptions!$B$11+Assumptions!$B$12)*0.05,0)</f>
        <v/>
      </c>
      <c r="S50" s="399">
        <f>IF(AND(Projects!$G$41="Yes",S$3&gt;=Projects!$C$41,S$3&lt;Projects!$C$41+Projects!$D$41),Projects!$B$41*INDEX(Curves!$B$4:$AR$4,1,S$3-Projects!$C$41+1),0)-IF(AND(Projects!$G$41="Yes",S$3&gt;=Projects!$C$41,S$3&lt;Projects!$C$41+Projects!$D$41),Projects!$B$41*(Assumptions!$B$10+Assumptions!$B$11+Assumptions!$B$12)/Projects!$D$41*0.95,0)-IF(AND(Projects!$G$41="Yes",S$3=Projects!$C$41+Projects!$D$41-1),Projects!$B$41*(Assumptions!$B$10+Assumptions!$B$11+Assumptions!$B$12)*0.05,0)</f>
        <v/>
      </c>
      <c r="T50" s="399">
        <f>IF(AND(Projects!$G$41="Yes",T$3&gt;=Projects!$C$41,T$3&lt;Projects!$C$41+Projects!$D$41),Projects!$B$41*INDEX(Curves!$B$4:$AR$4,1,T$3-Projects!$C$41+1),0)-IF(AND(Projects!$G$41="Yes",T$3&gt;=Projects!$C$41,T$3&lt;Projects!$C$41+Projects!$D$41),Projects!$B$41*(Assumptions!$B$10+Assumptions!$B$11+Assumptions!$B$12)/Projects!$D$41*0.95,0)-IF(AND(Projects!$G$41="Yes",T$3=Projects!$C$41+Projects!$D$41-1),Projects!$B$41*(Assumptions!$B$10+Assumptions!$B$11+Assumptions!$B$12)*0.05,0)</f>
        <v/>
      </c>
      <c r="U50" s="399">
        <f>IF(AND(Projects!$G$41="Yes",U$3&gt;=Projects!$C$41,U$3&lt;Projects!$C$41+Projects!$D$41),Projects!$B$41*INDEX(Curves!$B$4:$AR$4,1,U$3-Projects!$C$41+1),0)-IF(AND(Projects!$G$41="Yes",U$3&gt;=Projects!$C$41,U$3&lt;Projects!$C$41+Projects!$D$41),Projects!$B$41*(Assumptions!$B$10+Assumptions!$B$11+Assumptions!$B$12)/Projects!$D$41*0.95,0)-IF(AND(Projects!$G$41="Yes",U$3=Projects!$C$41+Projects!$D$41-1),Projects!$B$41*(Assumptions!$B$10+Assumptions!$B$11+Assumptions!$B$12)*0.05,0)</f>
        <v/>
      </c>
      <c r="V50" s="399">
        <f>IF(AND(Projects!$G$41="Yes",V$3&gt;=Projects!$C$41,V$3&lt;Projects!$C$41+Projects!$D$41),Projects!$B$41*INDEX(Curves!$B$4:$AR$4,1,V$3-Projects!$C$41+1),0)-IF(AND(Projects!$G$41="Yes",V$3&gt;=Projects!$C$41,V$3&lt;Projects!$C$41+Projects!$D$41),Projects!$B$41*(Assumptions!$B$10+Assumptions!$B$11+Assumptions!$B$12)/Projects!$D$41*0.95,0)-IF(AND(Projects!$G$41="Yes",V$3=Projects!$C$41+Projects!$D$41-1),Projects!$B$41*(Assumptions!$B$10+Assumptions!$B$11+Assumptions!$B$12)*0.05,0)</f>
        <v/>
      </c>
      <c r="W50" s="399">
        <f>IF(AND(Projects!$G$41="Yes",W$3&gt;=Projects!$C$41,W$3&lt;Projects!$C$41+Projects!$D$41),Projects!$B$41*INDEX(Curves!$B$4:$AR$4,1,W$3-Projects!$C$41+1),0)-IF(AND(Projects!$G$41="Yes",W$3&gt;=Projects!$C$41,W$3&lt;Projects!$C$41+Projects!$D$41),Projects!$B$41*(Assumptions!$B$10+Assumptions!$B$11+Assumptions!$B$12)/Projects!$D$41*0.95,0)-IF(AND(Projects!$G$41="Yes",W$3=Projects!$C$41+Projects!$D$41-1),Projects!$B$41*(Assumptions!$B$10+Assumptions!$B$11+Assumptions!$B$12)*0.05,0)</f>
        <v/>
      </c>
      <c r="X50" s="399">
        <f>IF(AND(Projects!$G$41="Yes",X$3&gt;=Projects!$C$41,X$3&lt;Projects!$C$41+Projects!$D$41),Projects!$B$41*INDEX(Curves!$B$4:$AR$4,1,X$3-Projects!$C$41+1),0)-IF(AND(Projects!$G$41="Yes",X$3&gt;=Projects!$C$41,X$3&lt;Projects!$C$41+Projects!$D$41),Projects!$B$41*(Assumptions!$B$10+Assumptions!$B$11+Assumptions!$B$12)/Projects!$D$41*0.95,0)-IF(AND(Projects!$G$41="Yes",X$3=Projects!$C$41+Projects!$D$41-1),Projects!$B$41*(Assumptions!$B$10+Assumptions!$B$11+Assumptions!$B$12)*0.05,0)</f>
        <v/>
      </c>
      <c r="Y50" s="399">
        <f>IF(AND(Projects!$G$41="Yes",Y$3&gt;=Projects!$C$41,Y$3&lt;Projects!$C$41+Projects!$D$41),Projects!$B$41*INDEX(Curves!$B$4:$AR$4,1,Y$3-Projects!$C$41+1),0)-IF(AND(Projects!$G$41="Yes",Y$3&gt;=Projects!$C$41,Y$3&lt;Projects!$C$41+Projects!$D$41),Projects!$B$41*(Assumptions!$B$10+Assumptions!$B$11+Assumptions!$B$12)/Projects!$D$41*0.95,0)-IF(AND(Projects!$G$41="Yes",Y$3=Projects!$C$41+Projects!$D$41-1),Projects!$B$41*(Assumptions!$B$10+Assumptions!$B$11+Assumptions!$B$12)*0.05,0)</f>
        <v/>
      </c>
      <c r="Z50" s="399">
        <f>IF(AND(Projects!$G$41="Yes",Z$3&gt;=Projects!$C$41,Z$3&lt;Projects!$C$41+Projects!$D$41),Projects!$B$41*INDEX(Curves!$B$4:$AR$4,1,Z$3-Projects!$C$41+1),0)-IF(AND(Projects!$G$41="Yes",Z$3&gt;=Projects!$C$41,Z$3&lt;Projects!$C$41+Projects!$D$41),Projects!$B$41*(Assumptions!$B$10+Assumptions!$B$11+Assumptions!$B$12)/Projects!$D$41*0.95,0)-IF(AND(Projects!$G$41="Yes",Z$3=Projects!$C$41+Projects!$D$41-1),Projects!$B$41*(Assumptions!$B$10+Assumptions!$B$11+Assumptions!$B$12)*0.05,0)</f>
        <v/>
      </c>
      <c r="AA50" s="399">
        <f>IF(AND(Projects!$G$41="Yes",AA$3&gt;=Projects!$C$41,AA$3&lt;Projects!$C$41+Projects!$D$41),Projects!$B$41*INDEX(Curves!$B$4:$AR$4,1,AA$3-Projects!$C$41+1),0)-IF(AND(Projects!$G$41="Yes",AA$3&gt;=Projects!$C$41,AA$3&lt;Projects!$C$41+Projects!$D$41),Projects!$B$41*(Assumptions!$B$10+Assumptions!$B$11+Assumptions!$B$12)/Projects!$D$41*0.95,0)-IF(AND(Projects!$G$41="Yes",AA$3=Projects!$C$41+Projects!$D$41-1),Projects!$B$41*(Assumptions!$B$10+Assumptions!$B$11+Assumptions!$B$12)*0.05,0)</f>
        <v/>
      </c>
      <c r="AB50" s="399">
        <f>IF(AND(Projects!$G$41="Yes",AB$3&gt;=Projects!$C$41,AB$3&lt;Projects!$C$41+Projects!$D$41),Projects!$B$41*INDEX(Curves!$B$4:$AR$4,1,AB$3-Projects!$C$41+1),0)-IF(AND(Projects!$G$41="Yes",AB$3&gt;=Projects!$C$41,AB$3&lt;Projects!$C$41+Projects!$D$41),Projects!$B$41*(Assumptions!$B$10+Assumptions!$B$11+Assumptions!$B$12)/Projects!$D$41*0.95,0)-IF(AND(Projects!$G$41="Yes",AB$3=Projects!$C$41+Projects!$D$41-1),Projects!$B$41*(Assumptions!$B$10+Assumptions!$B$11+Assumptions!$B$12)*0.05,0)</f>
        <v/>
      </c>
      <c r="AC50" s="399">
        <f>IF(AND(Projects!$G$41="Yes",AC$3&gt;=Projects!$C$41,AC$3&lt;Projects!$C$41+Projects!$D$41),Projects!$B$41*INDEX(Curves!$B$4:$AR$4,1,AC$3-Projects!$C$41+1),0)-IF(AND(Projects!$G$41="Yes",AC$3&gt;=Projects!$C$41,AC$3&lt;Projects!$C$41+Projects!$D$41),Projects!$B$41*(Assumptions!$B$10+Assumptions!$B$11+Assumptions!$B$12)/Projects!$D$41*0.95,0)-IF(AND(Projects!$G$41="Yes",AC$3=Projects!$C$41+Projects!$D$41-1),Projects!$B$41*(Assumptions!$B$10+Assumptions!$B$11+Assumptions!$B$12)*0.05,0)</f>
        <v/>
      </c>
      <c r="AD50" s="399">
        <f>IF(AND(Projects!$G$41="Yes",AD$3&gt;=Projects!$C$41,AD$3&lt;Projects!$C$41+Projects!$D$41),Projects!$B$41*INDEX(Curves!$B$4:$AR$4,1,AD$3-Projects!$C$41+1),0)-IF(AND(Projects!$G$41="Yes",AD$3&gt;=Projects!$C$41,AD$3&lt;Projects!$C$41+Projects!$D$41),Projects!$B$41*(Assumptions!$B$10+Assumptions!$B$11+Assumptions!$B$12)/Projects!$D$41*0.95,0)-IF(AND(Projects!$G$41="Yes",AD$3=Projects!$C$41+Projects!$D$41-1),Projects!$B$41*(Assumptions!$B$10+Assumptions!$B$11+Assumptions!$B$12)*0.05,0)</f>
        <v/>
      </c>
      <c r="AE50" s="399">
        <f>IF(AND(Projects!$G$41="Yes",AE$3&gt;=Projects!$C$41,AE$3&lt;Projects!$C$41+Projects!$D$41),Projects!$B$41*INDEX(Curves!$B$4:$AR$4,1,AE$3-Projects!$C$41+1),0)-IF(AND(Projects!$G$41="Yes",AE$3&gt;=Projects!$C$41,AE$3&lt;Projects!$C$41+Projects!$D$41),Projects!$B$41*(Assumptions!$B$10+Assumptions!$B$11+Assumptions!$B$12)/Projects!$D$41*0.95,0)-IF(AND(Projects!$G$41="Yes",AE$3=Projects!$C$41+Projects!$D$41-1),Projects!$B$41*(Assumptions!$B$10+Assumptions!$B$11+Assumptions!$B$12)*0.05,0)</f>
        <v/>
      </c>
      <c r="AF50" s="399">
        <f>IF(AND(Projects!$G$41="Yes",AF$3&gt;=Projects!$C$41,AF$3&lt;Projects!$C$41+Projects!$D$41),Projects!$B$41*INDEX(Curves!$B$4:$AR$4,1,AF$3-Projects!$C$41+1),0)-IF(AND(Projects!$G$41="Yes",AF$3&gt;=Projects!$C$41,AF$3&lt;Projects!$C$41+Projects!$D$41),Projects!$B$41*(Assumptions!$B$10+Assumptions!$B$11+Assumptions!$B$12)/Projects!$D$41*0.95,0)-IF(AND(Projects!$G$41="Yes",AF$3=Projects!$C$41+Projects!$D$41-1),Projects!$B$41*(Assumptions!$B$10+Assumptions!$B$11+Assumptions!$B$12)*0.05,0)</f>
        <v/>
      </c>
      <c r="AG50" s="399">
        <f>IF(AND(Projects!$G$41="Yes",AG$3&gt;=Projects!$C$41,AG$3&lt;Projects!$C$41+Projects!$D$41),Projects!$B$41*INDEX(Curves!$B$4:$AR$4,1,AG$3-Projects!$C$41+1),0)-IF(AND(Projects!$G$41="Yes",AG$3&gt;=Projects!$C$41,AG$3&lt;Projects!$C$41+Projects!$D$41),Projects!$B$41*(Assumptions!$B$10+Assumptions!$B$11+Assumptions!$B$12)/Projects!$D$41*0.95,0)-IF(AND(Projects!$G$41="Yes",AG$3=Projects!$C$41+Projects!$D$41-1),Projects!$B$41*(Assumptions!$B$10+Assumptions!$B$11+Assumptions!$B$12)*0.05,0)</f>
        <v/>
      </c>
      <c r="AH50" s="399">
        <f>IF(AND(Projects!$G$41="Yes",AH$3&gt;=Projects!$C$41,AH$3&lt;Projects!$C$41+Projects!$D$41),Projects!$B$41*INDEX(Curves!$B$4:$AR$4,1,AH$3-Projects!$C$41+1),0)-IF(AND(Projects!$G$41="Yes",AH$3&gt;=Projects!$C$41,AH$3&lt;Projects!$C$41+Projects!$D$41),Projects!$B$41*(Assumptions!$B$10+Assumptions!$B$11+Assumptions!$B$12)/Projects!$D$41*0.95,0)-IF(AND(Projects!$G$41="Yes",AH$3=Projects!$C$41+Projects!$D$41-1),Projects!$B$41*(Assumptions!$B$10+Assumptions!$B$11+Assumptions!$B$12)*0.05,0)</f>
        <v/>
      </c>
      <c r="AI50" s="399">
        <f>IF(AND(Projects!$G$41="Yes",AI$3&gt;=Projects!$C$41,AI$3&lt;Projects!$C$41+Projects!$D$41),Projects!$B$41*INDEX(Curves!$B$4:$AR$4,1,AI$3-Projects!$C$41+1),0)-IF(AND(Projects!$G$41="Yes",AI$3&gt;=Projects!$C$41,AI$3&lt;Projects!$C$41+Projects!$D$41),Projects!$B$41*(Assumptions!$B$10+Assumptions!$B$11+Assumptions!$B$12)/Projects!$D$41*0.95,0)-IF(AND(Projects!$G$41="Yes",AI$3=Projects!$C$41+Projects!$D$41-1),Projects!$B$41*(Assumptions!$B$10+Assumptions!$B$11+Assumptions!$B$12)*0.05,0)</f>
        <v/>
      </c>
      <c r="AJ50" s="399">
        <f>IF(AND(Projects!$G$41="Yes",AJ$3&gt;=Projects!$C$41,AJ$3&lt;Projects!$C$41+Projects!$D$41),Projects!$B$41*INDEX(Curves!$B$4:$AR$4,1,AJ$3-Projects!$C$41+1),0)-IF(AND(Projects!$G$41="Yes",AJ$3&gt;=Projects!$C$41,AJ$3&lt;Projects!$C$41+Projects!$D$41),Projects!$B$41*(Assumptions!$B$10+Assumptions!$B$11+Assumptions!$B$12)/Projects!$D$41*0.95,0)-IF(AND(Projects!$G$41="Yes",AJ$3=Projects!$C$41+Projects!$D$41-1),Projects!$B$41*(Assumptions!$B$10+Assumptions!$B$11+Assumptions!$B$12)*0.05,0)</f>
        <v/>
      </c>
      <c r="AK50" s="399">
        <f>IF(AND(Projects!$G$41="Yes",AK$3&gt;=Projects!$C$41,AK$3&lt;Projects!$C$41+Projects!$D$41),Projects!$B$41*INDEX(Curves!$B$4:$AR$4,1,AK$3-Projects!$C$41+1),0)-IF(AND(Projects!$G$41="Yes",AK$3&gt;=Projects!$C$41,AK$3&lt;Projects!$C$41+Projects!$D$41),Projects!$B$41*(Assumptions!$B$10+Assumptions!$B$11+Assumptions!$B$12)/Projects!$D$41*0.95,0)-IF(AND(Projects!$G$41="Yes",AK$3=Projects!$C$41+Projects!$D$41-1),Projects!$B$41*(Assumptions!$B$10+Assumptions!$B$11+Assumptions!$B$12)*0.05,0)</f>
        <v/>
      </c>
      <c r="AL50" s="399">
        <f>IF(AND(Projects!$G$41="Yes",AL$3&gt;=Projects!$C$41,AL$3&lt;Projects!$C$41+Projects!$D$41),Projects!$B$41*INDEX(Curves!$B$4:$AR$4,1,AL$3-Projects!$C$41+1),0)-IF(AND(Projects!$G$41="Yes",AL$3&gt;=Projects!$C$41,AL$3&lt;Projects!$C$41+Projects!$D$41),Projects!$B$41*(Assumptions!$B$10+Assumptions!$B$11+Assumptions!$B$12)/Projects!$D$41*0.95,0)-IF(AND(Projects!$G$41="Yes",AL$3=Projects!$C$41+Projects!$D$41-1),Projects!$B$41*(Assumptions!$B$10+Assumptions!$B$11+Assumptions!$B$12)*0.05,0)</f>
        <v/>
      </c>
      <c r="AM50" s="399">
        <f>IF(AND(Projects!$G$41="Yes",AM$3&gt;=Projects!$C$41,AM$3&lt;Projects!$C$41+Projects!$D$41),Projects!$B$41*INDEX(Curves!$B$4:$AR$4,1,AM$3-Projects!$C$41+1),0)-IF(AND(Projects!$G$41="Yes",AM$3&gt;=Projects!$C$41,AM$3&lt;Projects!$C$41+Projects!$D$41),Projects!$B$41*(Assumptions!$B$10+Assumptions!$B$11+Assumptions!$B$12)/Projects!$D$41*0.95,0)-IF(AND(Projects!$G$41="Yes",AM$3=Projects!$C$41+Projects!$D$41-1),Projects!$B$41*(Assumptions!$B$10+Assumptions!$B$11+Assumptions!$B$12)*0.05,0)</f>
        <v/>
      </c>
      <c r="AN50" s="399">
        <f>IF(AND(Projects!$G$41="Yes",AN$3&gt;=Projects!$C$41,AN$3&lt;Projects!$C$41+Projects!$D$41),Projects!$B$41*INDEX(Curves!$B$4:$AR$4,1,AN$3-Projects!$C$41+1),0)-IF(AND(Projects!$G$41="Yes",AN$3&gt;=Projects!$C$41,AN$3&lt;Projects!$C$41+Projects!$D$41),Projects!$B$41*(Assumptions!$B$10+Assumptions!$B$11+Assumptions!$B$12)/Projects!$D$41*0.95,0)-IF(AND(Projects!$G$41="Yes",AN$3=Projects!$C$41+Projects!$D$41-1),Projects!$B$41*(Assumptions!$B$10+Assumptions!$B$11+Assumptions!$B$12)*0.05,0)</f>
        <v/>
      </c>
      <c r="AO50" s="399">
        <f>IF(AND(Projects!$G$41="Yes",AO$3&gt;=Projects!$C$41,AO$3&lt;Projects!$C$41+Projects!$D$41),Projects!$B$41*INDEX(Curves!$B$4:$AR$4,1,AO$3-Projects!$C$41+1),0)-IF(AND(Projects!$G$41="Yes",AO$3&gt;=Projects!$C$41,AO$3&lt;Projects!$C$41+Projects!$D$41),Projects!$B$41*(Assumptions!$B$10+Assumptions!$B$11+Assumptions!$B$12)/Projects!$D$41*0.95,0)-IF(AND(Projects!$G$41="Yes",AO$3=Projects!$C$41+Projects!$D$41-1),Projects!$B$41*(Assumptions!$B$10+Assumptions!$B$11+Assumptions!$B$12)*0.05,0)</f>
        <v/>
      </c>
      <c r="AP50" s="399">
        <f>IF(AND(Projects!$G$41="Yes",AP$3&gt;=Projects!$C$41,AP$3&lt;Projects!$C$41+Projects!$D$41),Projects!$B$41*INDEX(Curves!$B$4:$AR$4,1,AP$3-Projects!$C$41+1),0)-IF(AND(Projects!$G$41="Yes",AP$3&gt;=Projects!$C$41,AP$3&lt;Projects!$C$41+Projects!$D$41),Projects!$B$41*(Assumptions!$B$10+Assumptions!$B$11+Assumptions!$B$12)/Projects!$D$41*0.95,0)-IF(AND(Projects!$G$41="Yes",AP$3=Projects!$C$41+Projects!$D$41-1),Projects!$B$41*(Assumptions!$B$10+Assumptions!$B$11+Assumptions!$B$12)*0.05,0)</f>
        <v/>
      </c>
      <c r="AQ50" s="399">
        <f>IF(AND(Projects!$G$41="Yes",AQ$3&gt;=Projects!$C$41,AQ$3&lt;Projects!$C$41+Projects!$D$41),Projects!$B$41*INDEX(Curves!$B$4:$AR$4,1,AQ$3-Projects!$C$41+1),0)-IF(AND(Projects!$G$41="Yes",AQ$3&gt;=Projects!$C$41,AQ$3&lt;Projects!$C$41+Projects!$D$41),Projects!$B$41*(Assumptions!$B$10+Assumptions!$B$11+Assumptions!$B$12)/Projects!$D$41*0.95,0)-IF(AND(Projects!$G$41="Yes",AQ$3=Projects!$C$41+Projects!$D$41-1),Projects!$B$41*(Assumptions!$B$10+Assumptions!$B$11+Assumptions!$B$12)*0.05,0)</f>
        <v/>
      </c>
      <c r="AR50" s="399">
        <f>IF(AND(Projects!$G$41="Yes",AR$3&gt;=Projects!$C$41,AR$3&lt;Projects!$C$41+Projects!$D$41),Projects!$B$41*INDEX(Curves!$B$4:$AR$4,1,AR$3-Projects!$C$41+1),0)-IF(AND(Projects!$G$41="Yes",AR$3&gt;=Projects!$C$41,AR$3&lt;Projects!$C$41+Projects!$D$41),Projects!$B$41*(Assumptions!$B$10+Assumptions!$B$11+Assumptions!$B$12)/Projects!$D$41*0.95,0)-IF(AND(Projects!$G$41="Yes",AR$3=Projects!$C$41+Projects!$D$41-1),Projects!$B$41*(Assumptions!$B$10+Assumptions!$B$11+Assumptions!$B$12)*0.05,0)</f>
        <v/>
      </c>
      <c r="AS50" s="399">
        <f>IF(AND(Projects!$G$41="Yes",AS$3&gt;=Projects!$C$41,AS$3&lt;Projects!$C$41+Projects!$D$41),Projects!$B$41*INDEX(Curves!$B$4:$AR$4,1,AS$3-Projects!$C$41+1),0)-IF(AND(Projects!$G$41="Yes",AS$3&gt;=Projects!$C$41,AS$3&lt;Projects!$C$41+Projects!$D$41),Projects!$B$41*(Assumptions!$B$10+Assumptions!$B$11+Assumptions!$B$12)/Projects!$D$41*0.95,0)-IF(AND(Projects!$G$41="Yes",AS$3=Projects!$C$41+Projects!$D$41-1),Projects!$B$41*(Assumptions!$B$10+Assumptions!$B$11+Assumptions!$B$12)*0.05,0)</f>
        <v/>
      </c>
      <c r="AT50" s="399">
        <f>IF(AND(Projects!$G$41="Yes",AT$3&gt;=Projects!$C$41,AT$3&lt;Projects!$C$41+Projects!$D$41),Projects!$B$41*INDEX(Curves!$B$4:$AR$4,1,AT$3-Projects!$C$41+1),0)-IF(AND(Projects!$G$41="Yes",AT$3&gt;=Projects!$C$41,AT$3&lt;Projects!$C$41+Projects!$D$41),Projects!$B$41*(Assumptions!$B$10+Assumptions!$B$11+Assumptions!$B$12)/Projects!$D$41*0.95,0)-IF(AND(Projects!$G$41="Yes",AT$3=Projects!$C$41+Projects!$D$41-1),Projects!$B$41*(Assumptions!$B$10+Assumptions!$B$11+Assumptions!$B$12)*0.05,0)</f>
        <v/>
      </c>
      <c r="AU50" s="399">
        <f>IF(AND(Projects!$G$41="Yes",AU$3&gt;=Projects!$C$41,AU$3&lt;Projects!$C$41+Projects!$D$41),Projects!$B$41*INDEX(Curves!$B$4:$AR$4,1,AU$3-Projects!$C$41+1),0)-IF(AND(Projects!$G$41="Yes",AU$3&gt;=Projects!$C$41,AU$3&lt;Projects!$C$41+Projects!$D$41),Projects!$B$41*(Assumptions!$B$10+Assumptions!$B$11+Assumptions!$B$12)/Projects!$D$41*0.95,0)-IF(AND(Projects!$G$41="Yes",AU$3=Projects!$C$41+Projects!$D$41-1),Projects!$B$41*(Assumptions!$B$10+Assumptions!$B$11+Assumptions!$B$12)*0.05,0)</f>
        <v/>
      </c>
      <c r="AV50" s="399">
        <f>IF(AND(Projects!$G$41="Yes",AV$3&gt;=Projects!$C$41,AV$3&lt;Projects!$C$41+Projects!$D$41),Projects!$B$41*INDEX(Curves!$B$4:$AR$4,1,AV$3-Projects!$C$41+1),0)-IF(AND(Projects!$G$41="Yes",AV$3&gt;=Projects!$C$41,AV$3&lt;Projects!$C$41+Projects!$D$41),Projects!$B$41*(Assumptions!$B$10+Assumptions!$B$11+Assumptions!$B$12)/Projects!$D$41*0.95,0)-IF(AND(Projects!$G$41="Yes",AV$3=Projects!$C$41+Projects!$D$41-1),Projects!$B$41*(Assumptions!$B$10+Assumptions!$B$11+Assumptions!$B$12)*0.05,0)</f>
        <v/>
      </c>
      <c r="AW50" s="399">
        <f>IF(AND(Projects!$G$41="Yes",AW$3&gt;=Projects!$C$41,AW$3&lt;Projects!$C$41+Projects!$D$41),Projects!$B$41*INDEX(Curves!$B$4:$AR$4,1,AW$3-Projects!$C$41+1),0)-IF(AND(Projects!$G$41="Yes",AW$3&gt;=Projects!$C$41,AW$3&lt;Projects!$C$41+Projects!$D$41),Projects!$B$41*(Assumptions!$B$10+Assumptions!$B$11+Assumptions!$B$12)/Projects!$D$41*0.95,0)-IF(AND(Projects!$G$41="Yes",AW$3=Projects!$C$41+Projects!$D$41-1),Projects!$B$41*(Assumptions!$B$10+Assumptions!$B$11+Assumptions!$B$12)*0.05,0)</f>
        <v/>
      </c>
      <c r="AX50" s="399">
        <f>IF(AND(Projects!$G$41="Yes",AX$3&gt;=Projects!$C$41,AX$3&lt;Projects!$C$41+Projects!$D$41),Projects!$B$41*INDEX(Curves!$B$4:$AR$4,1,AX$3-Projects!$C$41+1),0)-IF(AND(Projects!$G$41="Yes",AX$3&gt;=Projects!$C$41,AX$3&lt;Projects!$C$41+Projects!$D$41),Projects!$B$41*(Assumptions!$B$10+Assumptions!$B$11+Assumptions!$B$12)/Projects!$D$41*0.95,0)-IF(AND(Projects!$G$41="Yes",AX$3=Projects!$C$41+Projects!$D$41-1),Projects!$B$41*(Assumptions!$B$10+Assumptions!$B$11+Assumptions!$B$12)*0.05,0)</f>
        <v/>
      </c>
      <c r="AY50" s="399">
        <f>IF(AND(Projects!$G$41="Yes",AY$3&gt;=Projects!$C$41,AY$3&lt;Projects!$C$41+Projects!$D$41),Projects!$B$41*INDEX(Curves!$B$4:$AR$4,1,AY$3-Projects!$C$41+1),0)-IF(AND(Projects!$G$41="Yes",AY$3&gt;=Projects!$C$41,AY$3&lt;Projects!$C$41+Projects!$D$41),Projects!$B$41*(Assumptions!$B$10+Assumptions!$B$11+Assumptions!$B$12)/Projects!$D$41*0.95,0)-IF(AND(Projects!$G$41="Yes",AY$3=Projects!$C$41+Projects!$D$41-1),Projects!$B$41*(Assumptions!$B$10+Assumptions!$B$11+Assumptions!$B$12)*0.05,0)</f>
        <v/>
      </c>
      <c r="AZ50" s="399">
        <f>IF(AND(Projects!$G$41="Yes",AZ$3&gt;=Projects!$C$41,AZ$3&lt;Projects!$C$41+Projects!$D$41),Projects!$B$41*INDEX(Curves!$B$4:$AR$4,1,AZ$3-Projects!$C$41+1),0)-IF(AND(Projects!$G$41="Yes",AZ$3&gt;=Projects!$C$41,AZ$3&lt;Projects!$C$41+Projects!$D$41),Projects!$B$41*(Assumptions!$B$10+Assumptions!$B$11+Assumptions!$B$12)/Projects!$D$41*0.95,0)-IF(AND(Projects!$G$41="Yes",AZ$3=Projects!$C$41+Projects!$D$41-1),Projects!$B$41*(Assumptions!$B$10+Assumptions!$B$11+Assumptions!$B$12)*0.05,0)</f>
        <v/>
      </c>
      <c r="BA50" s="399">
        <f>IF(AND(Projects!$G$41="Yes",BA$3&gt;=Projects!$C$41,BA$3&lt;Projects!$C$41+Projects!$D$41),Projects!$B$41*INDEX(Curves!$B$4:$AR$4,1,BA$3-Projects!$C$41+1),0)-IF(AND(Projects!$G$41="Yes",BA$3&gt;=Projects!$C$41,BA$3&lt;Projects!$C$41+Projects!$D$41),Projects!$B$41*(Assumptions!$B$10+Assumptions!$B$11+Assumptions!$B$12)/Projects!$D$41*0.95,0)-IF(AND(Projects!$G$41="Yes",BA$3=Projects!$C$41+Projects!$D$41-1),Projects!$B$41*(Assumptions!$B$10+Assumptions!$B$11+Assumptions!$B$12)*0.05,0)</f>
        <v/>
      </c>
      <c r="BB50" s="399">
        <f>IF(AND(Projects!$G$41="Yes",BB$3&gt;=Projects!$C$41,BB$3&lt;Projects!$C$41+Projects!$D$41),Projects!$B$41*INDEX(Curves!$B$4:$AR$4,1,BB$3-Projects!$C$41+1),0)-IF(AND(Projects!$G$41="Yes",BB$3&gt;=Projects!$C$41,BB$3&lt;Projects!$C$41+Projects!$D$41),Projects!$B$41*(Assumptions!$B$10+Assumptions!$B$11+Assumptions!$B$12)/Projects!$D$41*0.95,0)-IF(AND(Projects!$G$41="Yes",BB$3=Projects!$C$41+Projects!$D$41-1),Projects!$B$41*(Assumptions!$B$10+Assumptions!$B$11+Assumptions!$B$12)*0.05,0)</f>
        <v/>
      </c>
      <c r="BC50" s="399">
        <f>IF(AND(Projects!$G$41="Yes",BC$3&gt;=Projects!$C$41,BC$3&lt;Projects!$C$41+Projects!$D$41),Projects!$B$41*INDEX(Curves!$B$4:$AR$4,1,BC$3-Projects!$C$41+1),0)-IF(AND(Projects!$G$41="Yes",BC$3&gt;=Projects!$C$41,BC$3&lt;Projects!$C$41+Projects!$D$41),Projects!$B$41*(Assumptions!$B$10+Assumptions!$B$11+Assumptions!$B$12)/Projects!$D$41*0.95,0)-IF(AND(Projects!$G$41="Yes",BC$3=Projects!$C$41+Projects!$D$41-1),Projects!$B$41*(Assumptions!$B$10+Assumptions!$B$11+Assumptions!$B$12)*0.05,0)</f>
        <v/>
      </c>
      <c r="BD50" s="399">
        <f>IF(AND(Projects!$G$41="Yes",BD$3&gt;=Projects!$C$41,BD$3&lt;Projects!$C$41+Projects!$D$41),Projects!$B$41*INDEX(Curves!$B$4:$AR$4,1,BD$3-Projects!$C$41+1),0)-IF(AND(Projects!$G$41="Yes",BD$3&gt;=Projects!$C$41,BD$3&lt;Projects!$C$41+Projects!$D$41),Projects!$B$41*(Assumptions!$B$10+Assumptions!$B$11+Assumptions!$B$12)/Projects!$D$41*0.95,0)-IF(AND(Projects!$G$41="Yes",BD$3=Projects!$C$41+Projects!$D$41-1),Projects!$B$41*(Assumptions!$B$10+Assumptions!$B$11+Assumptions!$B$12)*0.05,0)</f>
        <v/>
      </c>
      <c r="BE50" s="399">
        <f>IF(AND(Projects!$G$41="Yes",BE$3&gt;=Projects!$C$41,BE$3&lt;Projects!$C$41+Projects!$D$41),Projects!$B$41*INDEX(Curves!$B$4:$AR$4,1,BE$3-Projects!$C$41+1),0)-IF(AND(Projects!$G$41="Yes",BE$3&gt;=Projects!$C$41,BE$3&lt;Projects!$C$41+Projects!$D$41),Projects!$B$41*(Assumptions!$B$10+Assumptions!$B$11+Assumptions!$B$12)/Projects!$D$41*0.95,0)-IF(AND(Projects!$G$41="Yes",BE$3=Projects!$C$41+Projects!$D$41-1),Projects!$B$41*(Assumptions!$B$10+Assumptions!$B$11+Assumptions!$B$12)*0.05,0)</f>
        <v/>
      </c>
      <c r="BF50" s="399">
        <f>IF(AND(Projects!$G$41="Yes",BF$3&gt;=Projects!$C$41,BF$3&lt;Projects!$C$41+Projects!$D$41),Projects!$B$41*INDEX(Curves!$B$4:$AR$4,1,BF$3-Projects!$C$41+1),0)-IF(AND(Projects!$G$41="Yes",BF$3&gt;=Projects!$C$41,BF$3&lt;Projects!$C$41+Projects!$D$41),Projects!$B$41*(Assumptions!$B$10+Assumptions!$B$11+Assumptions!$B$12)/Projects!$D$41*0.95,0)-IF(AND(Projects!$G$41="Yes",BF$3=Projects!$C$41+Projects!$D$41-1),Projects!$B$41*(Assumptions!$B$10+Assumptions!$B$11+Assumptions!$B$12)*0.05,0)</f>
        <v/>
      </c>
      <c r="BG50" s="399">
        <f>IF(AND(Projects!$G$41="Yes",BG$3&gt;=Projects!$C$41,BG$3&lt;Projects!$C$41+Projects!$D$41),Projects!$B$41*INDEX(Curves!$B$4:$AR$4,1,BG$3-Projects!$C$41+1),0)-IF(AND(Projects!$G$41="Yes",BG$3&gt;=Projects!$C$41,BG$3&lt;Projects!$C$41+Projects!$D$41),Projects!$B$41*(Assumptions!$B$10+Assumptions!$B$11+Assumptions!$B$12)/Projects!$D$41*0.95,0)-IF(AND(Projects!$G$41="Yes",BG$3=Projects!$C$41+Projects!$D$41-1),Projects!$B$41*(Assumptions!$B$10+Assumptions!$B$11+Assumptions!$B$12)*0.05,0)</f>
        <v/>
      </c>
      <c r="BH50" s="399">
        <f>IF(AND(Projects!$G$41="Yes",BH$3&gt;=Projects!$C$41,BH$3&lt;Projects!$C$41+Projects!$D$41),Projects!$B$41*INDEX(Curves!$B$4:$AR$4,1,BH$3-Projects!$C$41+1),0)-IF(AND(Projects!$G$41="Yes",BH$3&gt;=Projects!$C$41,BH$3&lt;Projects!$C$41+Projects!$D$41),Projects!$B$41*(Assumptions!$B$10+Assumptions!$B$11+Assumptions!$B$12)/Projects!$D$41*0.95,0)-IF(AND(Projects!$G$41="Yes",BH$3=Projects!$C$41+Projects!$D$41-1),Projects!$B$41*(Assumptions!$B$10+Assumptions!$B$11+Assumptions!$B$12)*0.05,0)</f>
        <v/>
      </c>
      <c r="BI50" s="399">
        <f>IF(AND(Projects!$G$41="Yes",BI$3&gt;=Projects!$C$41,BI$3&lt;Projects!$C$41+Projects!$D$41),Projects!$B$41*INDEX(Curves!$B$4:$AR$4,1,BI$3-Projects!$C$41+1),0)-IF(AND(Projects!$G$41="Yes",BI$3&gt;=Projects!$C$41,BI$3&lt;Projects!$C$41+Projects!$D$41),Projects!$B$41*(Assumptions!$B$10+Assumptions!$B$11+Assumptions!$B$12)/Projects!$D$41*0.95,0)-IF(AND(Projects!$G$41="Yes",BI$3=Projects!$C$41+Projects!$D$41-1),Projects!$B$41*(Assumptions!$B$10+Assumptions!$B$11+Assumptions!$B$12)*0.05,0)</f>
        <v/>
      </c>
      <c r="BJ50" s="399">
        <f>IF(AND(Projects!$G$41="Yes",BJ$3&gt;=Projects!$C$41,BJ$3&lt;Projects!$C$41+Projects!$D$41),Projects!$B$41*INDEX(Curves!$B$4:$AR$4,1,BJ$3-Projects!$C$41+1),0)-IF(AND(Projects!$G$41="Yes",BJ$3&gt;=Projects!$C$41,BJ$3&lt;Projects!$C$41+Projects!$D$41),Projects!$B$41*(Assumptions!$B$10+Assumptions!$B$11+Assumptions!$B$12)/Projects!$D$41*0.95,0)-IF(AND(Projects!$G$41="Yes",BJ$3=Projects!$C$41+Projects!$D$41-1),Projects!$B$41*(Assumptions!$B$10+Assumptions!$B$11+Assumptions!$B$12)*0.05,0)</f>
        <v/>
      </c>
      <c r="BK50" s="399">
        <f>IF(AND(Projects!$G$41="Yes",BK$3&gt;=Projects!$C$41,BK$3&lt;Projects!$C$41+Projects!$D$41),Projects!$B$41*INDEX(Curves!$B$4:$AR$4,1,BK$3-Projects!$C$41+1),0)-IF(AND(Projects!$G$41="Yes",BK$3&gt;=Projects!$C$41,BK$3&lt;Projects!$C$41+Projects!$D$41),Projects!$B$41*(Assumptions!$B$10+Assumptions!$B$11+Assumptions!$B$12)/Projects!$D$41*0.95,0)-IF(AND(Projects!$G$41="Yes",BK$3=Projects!$C$41+Projects!$D$41-1),Projects!$B$41*(Assumptions!$B$10+Assumptions!$B$11+Assumptions!$B$12)*0.05,0)</f>
        <v/>
      </c>
      <c r="BL50" s="399">
        <f>IF(AND(Projects!$G$41="Yes",BL$3&gt;=Projects!$C$41,BL$3&lt;Projects!$C$41+Projects!$D$41),Projects!$B$41*INDEX(Curves!$B$4:$AR$4,1,BL$3-Projects!$C$41+1),0)-IF(AND(Projects!$G$41="Yes",BL$3&gt;=Projects!$C$41,BL$3&lt;Projects!$C$41+Projects!$D$41),Projects!$B$41*(Assumptions!$B$10+Assumptions!$B$11+Assumptions!$B$12)/Projects!$D$41*0.95,0)-IF(AND(Projects!$G$41="Yes",BL$3=Projects!$C$41+Projects!$D$41-1),Projects!$B$41*(Assumptions!$B$10+Assumptions!$B$11+Assumptions!$B$12)*0.05,0)</f>
        <v/>
      </c>
      <c r="BM50" s="399">
        <f>IF(AND(Projects!$G$41="Yes",BM$3&gt;=Projects!$C$41,BM$3&lt;Projects!$C$41+Projects!$D$41),Projects!$B$41*INDEX(Curves!$B$4:$AR$4,1,BM$3-Projects!$C$41+1),0)-IF(AND(Projects!$G$41="Yes",BM$3&gt;=Projects!$C$41,BM$3&lt;Projects!$C$41+Projects!$D$41),Projects!$B$41*(Assumptions!$B$10+Assumptions!$B$11+Assumptions!$B$12)/Projects!$D$41*0.95,0)-IF(AND(Projects!$G$41="Yes",BM$3=Projects!$C$41+Projects!$D$41-1),Projects!$B$41*(Assumptions!$B$10+Assumptions!$B$11+Assumptions!$B$12)*0.05,0)</f>
        <v/>
      </c>
      <c r="BN50" s="399">
        <f>IF(AND(Projects!$G$41="Yes",BN$3&gt;=Projects!$C$41,BN$3&lt;Projects!$C$41+Projects!$D$41),Projects!$B$41*INDEX(Curves!$B$4:$AR$4,1,BN$3-Projects!$C$41+1),0)-IF(AND(Projects!$G$41="Yes",BN$3&gt;=Projects!$C$41,BN$3&lt;Projects!$C$41+Projects!$D$41),Projects!$B$41*(Assumptions!$B$10+Assumptions!$B$11+Assumptions!$B$12)/Projects!$D$41*0.95,0)-IF(AND(Projects!$G$41="Yes",BN$3=Projects!$C$41+Projects!$D$41-1),Projects!$B$41*(Assumptions!$B$10+Assumptions!$B$11+Assumptions!$B$12)*0.05,0)</f>
        <v/>
      </c>
      <c r="BO50" s="399">
        <f>IF(AND(Projects!$G$41="Yes",BO$3&gt;=Projects!$C$41,BO$3&lt;Projects!$C$41+Projects!$D$41),Projects!$B$41*INDEX(Curves!$B$4:$AR$4,1,BO$3-Projects!$C$41+1),0)-IF(AND(Projects!$G$41="Yes",BO$3&gt;=Projects!$C$41,BO$3&lt;Projects!$C$41+Projects!$D$41),Projects!$B$41*(Assumptions!$B$10+Assumptions!$B$11+Assumptions!$B$12)/Projects!$D$41*0.95,0)-IF(AND(Projects!$G$41="Yes",BO$3=Projects!$C$41+Projects!$D$41-1),Projects!$B$41*(Assumptions!$B$10+Assumptions!$B$11+Assumptions!$B$12)*0.05,0)</f>
        <v/>
      </c>
      <c r="BP50" s="399">
        <f>IF(AND(Projects!$G$41="Yes",BP$3&gt;=Projects!$C$41,BP$3&lt;Projects!$C$41+Projects!$D$41),Projects!$B$41*INDEX(Curves!$B$4:$AR$4,1,BP$3-Projects!$C$41+1),0)-IF(AND(Projects!$G$41="Yes",BP$3&gt;=Projects!$C$41,BP$3&lt;Projects!$C$41+Projects!$D$41),Projects!$B$41*(Assumptions!$B$10+Assumptions!$B$11+Assumptions!$B$12)/Projects!$D$41*0.95,0)-IF(AND(Projects!$G$41="Yes",BP$3=Projects!$C$41+Projects!$D$41-1),Projects!$B$41*(Assumptions!$B$10+Assumptions!$B$11+Assumptions!$B$12)*0.05,0)</f>
        <v/>
      </c>
      <c r="BQ50" s="399">
        <f>IF(AND(Projects!$G$41="Yes",BQ$3&gt;=Projects!$C$41,BQ$3&lt;Projects!$C$41+Projects!$D$41),Projects!$B$41*INDEX(Curves!$B$4:$AR$4,1,BQ$3-Projects!$C$41+1),0)-IF(AND(Projects!$G$41="Yes",BQ$3&gt;=Projects!$C$41,BQ$3&lt;Projects!$C$41+Projects!$D$41),Projects!$B$41*(Assumptions!$B$10+Assumptions!$B$11+Assumptions!$B$12)/Projects!$D$41*0.95,0)-IF(AND(Projects!$G$41="Yes",BQ$3=Projects!$C$41+Projects!$D$41-1),Projects!$B$41*(Assumptions!$B$10+Assumptions!$B$11+Assumptions!$B$12)*0.05,0)</f>
        <v/>
      </c>
      <c r="BR50" s="399">
        <f>IF(AND(Projects!$G$41="Yes",BR$3&gt;=Projects!$C$41,BR$3&lt;Projects!$C$41+Projects!$D$41),Projects!$B$41*INDEX(Curves!$B$4:$AR$4,1,BR$3-Projects!$C$41+1),0)-IF(AND(Projects!$G$41="Yes",BR$3&gt;=Projects!$C$41,BR$3&lt;Projects!$C$41+Projects!$D$41),Projects!$B$41*(Assumptions!$B$10+Assumptions!$B$11+Assumptions!$B$12)/Projects!$D$41*0.95,0)-IF(AND(Projects!$G$41="Yes",BR$3=Projects!$C$41+Projects!$D$41-1),Projects!$B$41*(Assumptions!$B$10+Assumptions!$B$11+Assumptions!$B$12)*0.05,0)</f>
        <v/>
      </c>
      <c r="BS50" s="399">
        <f>IF(AND(Projects!$G$41="Yes",BS$3&gt;=Projects!$C$41,BS$3&lt;Projects!$C$41+Projects!$D$41),Projects!$B$41*INDEX(Curves!$B$4:$AR$4,1,BS$3-Projects!$C$41+1),0)-IF(AND(Projects!$G$41="Yes",BS$3&gt;=Projects!$C$41,BS$3&lt;Projects!$C$41+Projects!$D$41),Projects!$B$41*(Assumptions!$B$10+Assumptions!$B$11+Assumptions!$B$12)/Projects!$D$41*0.95,0)-IF(AND(Projects!$G$41="Yes",BS$3=Projects!$C$41+Projects!$D$41-1),Projects!$B$41*(Assumptions!$B$10+Assumptions!$B$11+Assumptions!$B$12)*0.05,0)</f>
        <v/>
      </c>
      <c r="BT50" s="399">
        <f>IF(AND(Projects!$G$41="Yes",BT$3&gt;=Projects!$C$41,BT$3&lt;Projects!$C$41+Projects!$D$41),Projects!$B$41*INDEX(Curves!$B$4:$AR$4,1,BT$3-Projects!$C$41+1),0)-IF(AND(Projects!$G$41="Yes",BT$3&gt;=Projects!$C$41,BT$3&lt;Projects!$C$41+Projects!$D$41),Projects!$B$41*(Assumptions!$B$10+Assumptions!$B$11+Assumptions!$B$12)/Projects!$D$41*0.95,0)-IF(AND(Projects!$G$41="Yes",BT$3=Projects!$C$41+Projects!$D$41-1),Projects!$B$41*(Assumptions!$B$10+Assumptions!$B$11+Assumptions!$B$12)*0.05,0)</f>
        <v/>
      </c>
      <c r="BU50" s="399">
        <f>IF(AND(Projects!$G$41="Yes",BU$3&gt;=Projects!$C$41,BU$3&lt;Projects!$C$41+Projects!$D$41),Projects!$B$41*INDEX(Curves!$B$4:$AR$4,1,BU$3-Projects!$C$41+1),0)-IF(AND(Projects!$G$41="Yes",BU$3&gt;=Projects!$C$41,BU$3&lt;Projects!$C$41+Projects!$D$41),Projects!$B$41*(Assumptions!$B$10+Assumptions!$B$11+Assumptions!$B$12)/Projects!$D$41*0.95,0)-IF(AND(Projects!$G$41="Yes",BU$3=Projects!$C$41+Projects!$D$41-1),Projects!$B$41*(Assumptions!$B$10+Assumptions!$B$11+Assumptions!$B$12)*0.05,0)</f>
        <v/>
      </c>
      <c r="BV50" s="399">
        <f>IF(AND(Projects!$G$41="Yes",BV$3&gt;=Projects!$C$41,BV$3&lt;Projects!$C$41+Projects!$D$41),Projects!$B$41*INDEX(Curves!$B$4:$AR$4,1,BV$3-Projects!$C$41+1),0)-IF(AND(Projects!$G$41="Yes",BV$3&gt;=Projects!$C$41,BV$3&lt;Projects!$C$41+Projects!$D$41),Projects!$B$41*(Assumptions!$B$10+Assumptions!$B$11+Assumptions!$B$12)/Projects!$D$41*0.95,0)-IF(AND(Projects!$G$41="Yes",BV$3=Projects!$C$41+Projects!$D$41-1),Projects!$B$41*(Assumptions!$B$10+Assumptions!$B$11+Assumptions!$B$12)*0.05,0)</f>
        <v/>
      </c>
      <c r="BW50" s="399">
        <f>IF(AND(Projects!$G$41="Yes",BW$3&gt;=Projects!$C$41,BW$3&lt;Projects!$C$41+Projects!$D$41),Projects!$B$41*INDEX(Curves!$B$4:$AR$4,1,BW$3-Projects!$C$41+1),0)-IF(AND(Projects!$G$41="Yes",BW$3&gt;=Projects!$C$41,BW$3&lt;Projects!$C$41+Projects!$D$41),Projects!$B$41*(Assumptions!$B$10+Assumptions!$B$11+Assumptions!$B$12)/Projects!$D$41*0.95,0)-IF(AND(Projects!$G$41="Yes",BW$3=Projects!$C$41+Projects!$D$41-1),Projects!$B$41*(Assumptions!$B$10+Assumptions!$B$11+Assumptions!$B$12)*0.05,0)</f>
        <v/>
      </c>
      <c r="BX50" s="399">
        <f>IF(AND(Projects!$G$41="Yes",BX$3&gt;=Projects!$C$41,BX$3&lt;Projects!$C$41+Projects!$D$41),Projects!$B$41*INDEX(Curves!$B$4:$AR$4,1,BX$3-Projects!$C$41+1),0)-IF(AND(Projects!$G$41="Yes",BX$3&gt;=Projects!$C$41,BX$3&lt;Projects!$C$41+Projects!$D$41),Projects!$B$41*(Assumptions!$B$10+Assumptions!$B$11+Assumptions!$B$12)/Projects!$D$41*0.95,0)-IF(AND(Projects!$G$41="Yes",BX$3=Projects!$C$41+Projects!$D$41-1),Projects!$B$41*(Assumptions!$B$10+Assumptions!$B$11+Assumptions!$B$12)*0.05,0)</f>
        <v/>
      </c>
      <c r="BY50" s="399">
        <f>IF(AND(Projects!$G$41="Yes",BY$3&gt;=Projects!$C$41,BY$3&lt;Projects!$C$41+Projects!$D$41),Projects!$B$41*INDEX(Curves!$B$4:$AR$4,1,BY$3-Projects!$C$41+1),0)-IF(AND(Projects!$G$41="Yes",BY$3&gt;=Projects!$C$41,BY$3&lt;Projects!$C$41+Projects!$D$41),Projects!$B$41*(Assumptions!$B$10+Assumptions!$B$11+Assumptions!$B$12)/Projects!$D$41*0.95,0)-IF(AND(Projects!$G$41="Yes",BY$3=Projects!$C$41+Projects!$D$41-1),Projects!$B$41*(Assumptions!$B$10+Assumptions!$B$11+Assumptions!$B$12)*0.05,0)</f>
        <v/>
      </c>
      <c r="BZ50" s="399">
        <f>IF(AND(Projects!$G$41="Yes",BZ$3&gt;=Projects!$C$41,BZ$3&lt;Projects!$C$41+Projects!$D$41),Projects!$B$41*INDEX(Curves!$B$4:$AR$4,1,BZ$3-Projects!$C$41+1),0)-IF(AND(Projects!$G$41="Yes",BZ$3&gt;=Projects!$C$41,BZ$3&lt;Projects!$C$41+Projects!$D$41),Projects!$B$41*(Assumptions!$B$10+Assumptions!$B$11+Assumptions!$B$12)/Projects!$D$41*0.95,0)-IF(AND(Projects!$G$41="Yes",BZ$3=Projects!$C$41+Projects!$D$41-1),Projects!$B$41*(Assumptions!$B$10+Assumptions!$B$11+Assumptions!$B$12)*0.05,0)</f>
        <v/>
      </c>
      <c r="CA50" s="399">
        <f>IF(AND(Projects!$G$41="Yes",CA$3&gt;=Projects!$C$41,CA$3&lt;Projects!$C$41+Projects!$D$41),Projects!$B$41*INDEX(Curves!$B$4:$AR$4,1,CA$3-Projects!$C$41+1),0)-IF(AND(Projects!$G$41="Yes",CA$3&gt;=Projects!$C$41,CA$3&lt;Projects!$C$41+Projects!$D$41),Projects!$B$41*(Assumptions!$B$10+Assumptions!$B$11+Assumptions!$B$12)/Projects!$D$41*0.95,0)-IF(AND(Projects!$G$41="Yes",CA$3=Projects!$C$41+Projects!$D$41-1),Projects!$B$41*(Assumptions!$B$10+Assumptions!$B$11+Assumptions!$B$12)*0.05,0)</f>
        <v/>
      </c>
      <c r="CB50" s="399">
        <f>IF(AND(Projects!$G$41="Yes",CB$3&gt;=Projects!$C$41,CB$3&lt;Projects!$C$41+Projects!$D$41),Projects!$B$41*INDEX(Curves!$B$4:$AR$4,1,CB$3-Projects!$C$41+1),0)-IF(AND(Projects!$G$41="Yes",CB$3&gt;=Projects!$C$41,CB$3&lt;Projects!$C$41+Projects!$D$41),Projects!$B$41*(Assumptions!$B$10+Assumptions!$B$11+Assumptions!$B$12)/Projects!$D$41*0.95,0)-IF(AND(Projects!$G$41="Yes",CB$3=Projects!$C$41+Projects!$D$41-1),Projects!$B$41*(Assumptions!$B$10+Assumptions!$B$11+Assumptions!$B$12)*0.05,0)</f>
        <v/>
      </c>
      <c r="CC50" s="399">
        <f>IF(AND(Projects!$G$41="Yes",CC$3&gt;=Projects!$C$41,CC$3&lt;Projects!$C$41+Projects!$D$41),Projects!$B$41*INDEX(Curves!$B$4:$AR$4,1,CC$3-Projects!$C$41+1),0)-IF(AND(Projects!$G$41="Yes",CC$3&gt;=Projects!$C$41,CC$3&lt;Projects!$C$41+Projects!$D$41),Projects!$B$41*(Assumptions!$B$10+Assumptions!$B$11+Assumptions!$B$12)/Projects!$D$41*0.95,0)-IF(AND(Projects!$G$41="Yes",CC$3=Projects!$C$41+Projects!$D$41-1),Projects!$B$41*(Assumptions!$B$10+Assumptions!$B$11+Assumptions!$B$12)*0.05,0)</f>
        <v/>
      </c>
      <c r="CD50" s="399">
        <f>IF(AND(Projects!$G$41="Yes",CD$3&gt;=Projects!$C$41,CD$3&lt;Projects!$C$41+Projects!$D$41),Projects!$B$41*INDEX(Curves!$B$4:$AR$4,1,CD$3-Projects!$C$41+1),0)-IF(AND(Projects!$G$41="Yes",CD$3&gt;=Projects!$C$41,CD$3&lt;Projects!$C$41+Projects!$D$41),Projects!$B$41*(Assumptions!$B$10+Assumptions!$B$11+Assumptions!$B$12)/Projects!$D$41*0.95,0)-IF(AND(Projects!$G$41="Yes",CD$3=Projects!$C$41+Projects!$D$41-1),Projects!$B$41*(Assumptions!$B$10+Assumptions!$B$11+Assumptions!$B$12)*0.05,0)</f>
        <v/>
      </c>
      <c r="CE50" s="399">
        <f>IF(AND(Projects!$G$41="Yes",CE$3&gt;=Projects!$C$41,CE$3&lt;Projects!$C$41+Projects!$D$41),Projects!$B$41*INDEX(Curves!$B$4:$AR$4,1,CE$3-Projects!$C$41+1),0)-IF(AND(Projects!$G$41="Yes",CE$3&gt;=Projects!$C$41,CE$3&lt;Projects!$C$41+Projects!$D$41),Projects!$B$41*(Assumptions!$B$10+Assumptions!$B$11+Assumptions!$B$12)/Projects!$D$41*0.95,0)-IF(AND(Projects!$G$41="Yes",CE$3=Projects!$C$41+Projects!$D$41-1),Projects!$B$41*(Assumptions!$B$10+Assumptions!$B$11+Assumptions!$B$12)*0.05,0)</f>
        <v/>
      </c>
      <c r="CF50" s="399">
        <f>IF(AND(Projects!$G$41="Yes",CF$3&gt;=Projects!$C$41,CF$3&lt;Projects!$C$41+Projects!$D$41),Projects!$B$41*INDEX(Curves!$B$4:$AR$4,1,CF$3-Projects!$C$41+1),0)-IF(AND(Projects!$G$41="Yes",CF$3&gt;=Projects!$C$41,CF$3&lt;Projects!$C$41+Projects!$D$41),Projects!$B$41*(Assumptions!$B$10+Assumptions!$B$11+Assumptions!$B$12)/Projects!$D$41*0.95,0)-IF(AND(Projects!$G$41="Yes",CF$3=Projects!$C$41+Projects!$D$41-1),Projects!$B$41*(Assumptions!$B$10+Assumptions!$B$11+Assumptions!$B$12)*0.05,0)</f>
        <v/>
      </c>
      <c r="CG50" s="399">
        <f>IF(AND(Projects!$G$41="Yes",CG$3&gt;=Projects!$C$41,CG$3&lt;Projects!$C$41+Projects!$D$41),Projects!$B$41*INDEX(Curves!$B$4:$AR$4,1,CG$3-Projects!$C$41+1),0)-IF(AND(Projects!$G$41="Yes",CG$3&gt;=Projects!$C$41,CG$3&lt;Projects!$C$41+Projects!$D$41),Projects!$B$41*(Assumptions!$B$10+Assumptions!$B$11+Assumptions!$B$12)/Projects!$D$41*0.95,0)-IF(AND(Projects!$G$41="Yes",CG$3=Projects!$C$41+Projects!$D$41-1),Projects!$B$41*(Assumptions!$B$10+Assumptions!$B$11+Assumptions!$B$12)*0.05,0)</f>
        <v/>
      </c>
      <c r="CH50" s="399">
        <f>IF(AND(Projects!$G$41="Yes",CH$3&gt;=Projects!$C$41,CH$3&lt;Projects!$C$41+Projects!$D$41),Projects!$B$41*INDEX(Curves!$B$4:$AR$4,1,CH$3-Projects!$C$41+1),0)-IF(AND(Projects!$G$41="Yes",CH$3&gt;=Projects!$C$41,CH$3&lt;Projects!$C$41+Projects!$D$41),Projects!$B$41*(Assumptions!$B$10+Assumptions!$B$11+Assumptions!$B$12)/Projects!$D$41*0.95,0)-IF(AND(Projects!$G$41="Yes",CH$3=Projects!$C$41+Projects!$D$41-1),Projects!$B$41*(Assumptions!$B$10+Assumptions!$B$11+Assumptions!$B$12)*0.05,0)</f>
        <v/>
      </c>
      <c r="CI50" s="399">
        <f>IF(AND(Projects!$G$41="Yes",CI$3&gt;=Projects!$C$41,CI$3&lt;Projects!$C$41+Projects!$D$41),Projects!$B$41*INDEX(Curves!$B$4:$AR$4,1,CI$3-Projects!$C$41+1),0)-IF(AND(Projects!$G$41="Yes",CI$3&gt;=Projects!$C$41,CI$3&lt;Projects!$C$41+Projects!$D$41),Projects!$B$41*(Assumptions!$B$10+Assumptions!$B$11+Assumptions!$B$12)/Projects!$D$41*0.95,0)-IF(AND(Projects!$G$41="Yes",CI$3=Projects!$C$41+Projects!$D$41-1),Projects!$B$41*(Assumptions!$B$10+Assumptions!$B$11+Assumptions!$B$12)*0.05,0)</f>
        <v/>
      </c>
      <c r="CJ50" s="399">
        <f>IF(AND(Projects!$G$41="Yes",CJ$3&gt;=Projects!$C$41,CJ$3&lt;Projects!$C$41+Projects!$D$41),Projects!$B$41*INDEX(Curves!$B$4:$AR$4,1,CJ$3-Projects!$C$41+1),0)-IF(AND(Projects!$G$41="Yes",CJ$3&gt;=Projects!$C$41,CJ$3&lt;Projects!$C$41+Projects!$D$41),Projects!$B$41*(Assumptions!$B$10+Assumptions!$B$11+Assumptions!$B$12)/Projects!$D$41*0.95,0)-IF(AND(Projects!$G$41="Yes",CJ$3=Projects!$C$41+Projects!$D$41-1),Projects!$B$41*(Assumptions!$B$10+Assumptions!$B$11+Assumptions!$B$12)*0.05,0)</f>
        <v/>
      </c>
      <c r="CK50" s="399">
        <f>IF(AND(Projects!$G$41="Yes",CK$3&gt;=Projects!$C$41,CK$3&lt;Projects!$C$41+Projects!$D$41),Projects!$B$41*INDEX(Curves!$B$4:$AR$4,1,CK$3-Projects!$C$41+1),0)-IF(AND(Projects!$G$41="Yes",CK$3&gt;=Projects!$C$41,CK$3&lt;Projects!$C$41+Projects!$D$41),Projects!$B$41*(Assumptions!$B$10+Assumptions!$B$11+Assumptions!$B$12)/Projects!$D$41*0.95,0)-IF(AND(Projects!$G$41="Yes",CK$3=Projects!$C$41+Projects!$D$41-1),Projects!$B$41*(Assumptions!$B$10+Assumptions!$B$11+Assumptions!$B$12)*0.05,0)</f>
        <v/>
      </c>
      <c r="CL50" s="399">
        <f>IF(AND(Projects!$G$41="Yes",CL$3&gt;=Projects!$C$41,CL$3&lt;Projects!$C$41+Projects!$D$41),Projects!$B$41*INDEX(Curves!$B$4:$AR$4,1,CL$3-Projects!$C$41+1),0)-IF(AND(Projects!$G$41="Yes",CL$3&gt;=Projects!$C$41,CL$3&lt;Projects!$C$41+Projects!$D$41),Projects!$B$41*(Assumptions!$B$10+Assumptions!$B$11+Assumptions!$B$12)/Projects!$D$41*0.95,0)-IF(AND(Projects!$G$41="Yes",CL$3=Projects!$C$41+Projects!$D$41-1),Projects!$B$41*(Assumptions!$B$10+Assumptions!$B$11+Assumptions!$B$12)*0.05,0)</f>
        <v/>
      </c>
      <c r="CM50" s="399">
        <f>IF(AND(Projects!$G$41="Yes",CM$3&gt;=Projects!$C$41,CM$3&lt;Projects!$C$41+Projects!$D$41),Projects!$B$41*INDEX(Curves!$B$4:$AR$4,1,CM$3-Projects!$C$41+1),0)-IF(AND(Projects!$G$41="Yes",CM$3&gt;=Projects!$C$41,CM$3&lt;Projects!$C$41+Projects!$D$41),Projects!$B$41*(Assumptions!$B$10+Assumptions!$B$11+Assumptions!$B$12)/Projects!$D$41*0.95,0)-IF(AND(Projects!$G$41="Yes",CM$3=Projects!$C$41+Projects!$D$41-1),Projects!$B$41*(Assumptions!$B$10+Assumptions!$B$11+Assumptions!$B$12)*0.05,0)</f>
        <v/>
      </c>
      <c r="CN50" s="399">
        <f>IF(AND(Projects!$G$41="Yes",CN$3&gt;=Projects!$C$41,CN$3&lt;Projects!$C$41+Projects!$D$41),Projects!$B$41*INDEX(Curves!$B$4:$AR$4,1,CN$3-Projects!$C$41+1),0)-IF(AND(Projects!$G$41="Yes",CN$3&gt;=Projects!$C$41,CN$3&lt;Projects!$C$41+Projects!$D$41),Projects!$B$41*(Assumptions!$B$10+Assumptions!$B$11+Assumptions!$B$12)/Projects!$D$41*0.95,0)-IF(AND(Projects!$G$41="Yes",CN$3=Projects!$C$41+Projects!$D$41-1),Projects!$B$41*(Assumptions!$B$10+Assumptions!$B$11+Assumptions!$B$12)*0.05,0)</f>
        <v/>
      </c>
      <c r="CO50" s="399">
        <f>IF(AND(Projects!$G$41="Yes",CO$3&gt;=Projects!$C$41,CO$3&lt;Projects!$C$41+Projects!$D$41),Projects!$B$41*INDEX(Curves!$B$4:$AR$4,1,CO$3-Projects!$C$41+1),0)-IF(AND(Projects!$G$41="Yes",CO$3&gt;=Projects!$C$41,CO$3&lt;Projects!$C$41+Projects!$D$41),Projects!$B$41*(Assumptions!$B$10+Assumptions!$B$11+Assumptions!$B$12)/Projects!$D$41*0.95,0)-IF(AND(Projects!$G$41="Yes",CO$3=Projects!$C$41+Projects!$D$41-1),Projects!$B$41*(Assumptions!$B$10+Assumptions!$B$11+Assumptions!$B$12)*0.05,0)</f>
        <v/>
      </c>
      <c r="CP50" s="399">
        <f>IF(AND(Projects!$G$41="Yes",CP$3&gt;=Projects!$C$41,CP$3&lt;Projects!$C$41+Projects!$D$41),Projects!$B$41*INDEX(Curves!$B$4:$AR$4,1,CP$3-Projects!$C$41+1),0)-IF(AND(Projects!$G$41="Yes",CP$3&gt;=Projects!$C$41,CP$3&lt;Projects!$C$41+Projects!$D$41),Projects!$B$41*(Assumptions!$B$10+Assumptions!$B$11+Assumptions!$B$12)/Projects!$D$41*0.95,0)-IF(AND(Projects!$G$41="Yes",CP$3=Projects!$C$41+Projects!$D$41-1),Projects!$B$41*(Assumptions!$B$10+Assumptions!$B$11+Assumptions!$B$12)*0.05,0)</f>
        <v/>
      </c>
      <c r="CQ50" s="399">
        <f>IF(AND(Projects!$G$41="Yes",CQ$3&gt;=Projects!$C$41,CQ$3&lt;Projects!$C$41+Projects!$D$41),Projects!$B$41*INDEX(Curves!$B$4:$AR$4,1,CQ$3-Projects!$C$41+1),0)-IF(AND(Projects!$G$41="Yes",CQ$3&gt;=Projects!$C$41,CQ$3&lt;Projects!$C$41+Projects!$D$41),Projects!$B$41*(Assumptions!$B$10+Assumptions!$B$11+Assumptions!$B$12)/Projects!$D$41*0.95,0)-IF(AND(Projects!$G$41="Yes",CQ$3=Projects!$C$41+Projects!$D$41-1),Projects!$B$41*(Assumptions!$B$10+Assumptions!$B$11+Assumptions!$B$12)*0.05,0)</f>
        <v/>
      </c>
      <c r="CR50" s="399">
        <f>IF(AND(Projects!$G$41="Yes",CR$3&gt;=Projects!$C$41,CR$3&lt;Projects!$C$41+Projects!$D$41),Projects!$B$41*INDEX(Curves!$B$4:$AR$4,1,CR$3-Projects!$C$41+1),0)-IF(AND(Projects!$G$41="Yes",CR$3&gt;=Projects!$C$41,CR$3&lt;Projects!$C$41+Projects!$D$41),Projects!$B$41*(Assumptions!$B$10+Assumptions!$B$11+Assumptions!$B$12)/Projects!$D$41*0.95,0)-IF(AND(Projects!$G$41="Yes",CR$3=Projects!$C$41+Projects!$D$41-1),Projects!$B$41*(Assumptions!$B$10+Assumptions!$B$11+Assumptions!$B$12)*0.05,0)</f>
        <v/>
      </c>
      <c r="CS50" s="399">
        <f>IF(AND(Projects!$G$41="Yes",CS$3&gt;=Projects!$C$41,CS$3&lt;Projects!$C$41+Projects!$D$41),Projects!$B$41*INDEX(Curves!$B$4:$AR$4,1,CS$3-Projects!$C$41+1),0)-IF(AND(Projects!$G$41="Yes",CS$3&gt;=Projects!$C$41,CS$3&lt;Projects!$C$41+Projects!$D$41),Projects!$B$41*(Assumptions!$B$10+Assumptions!$B$11+Assumptions!$B$12)/Projects!$D$41*0.95,0)-IF(AND(Projects!$G$41="Yes",CS$3=Projects!$C$41+Projects!$D$41-1),Projects!$B$41*(Assumptions!$B$10+Assumptions!$B$11+Assumptions!$B$12)*0.05,0)</f>
        <v/>
      </c>
      <c r="CT50" s="399">
        <f>IF(AND(Projects!$G$41="Yes",CT$3&gt;=Projects!$C$41,CT$3&lt;Projects!$C$41+Projects!$D$41),Projects!$B$41*INDEX(Curves!$B$4:$AR$4,1,CT$3-Projects!$C$41+1),0)-IF(AND(Projects!$G$41="Yes",CT$3&gt;=Projects!$C$41,CT$3&lt;Projects!$C$41+Projects!$D$41),Projects!$B$41*(Assumptions!$B$10+Assumptions!$B$11+Assumptions!$B$12)/Projects!$D$41*0.95,0)-IF(AND(Projects!$G$41="Yes",CT$3=Projects!$C$41+Projects!$D$41-1),Projects!$B$41*(Assumptions!$B$10+Assumptions!$B$11+Assumptions!$B$12)*0.05,0)</f>
        <v/>
      </c>
      <c r="CU50" s="399">
        <f>IF(AND(Projects!$G$41="Yes",CU$3&gt;=Projects!$C$41,CU$3&lt;Projects!$C$41+Projects!$D$41),Projects!$B$41*INDEX(Curves!$B$4:$AR$4,1,CU$3-Projects!$C$41+1),0)-IF(AND(Projects!$G$41="Yes",CU$3&gt;=Projects!$C$41,CU$3&lt;Projects!$C$41+Projects!$D$41),Projects!$B$41*(Assumptions!$B$10+Assumptions!$B$11+Assumptions!$B$12)/Projects!$D$41*0.95,0)-IF(AND(Projects!$G$41="Yes",CU$3=Projects!$C$41+Projects!$D$41-1),Projects!$B$41*(Assumptions!$B$10+Assumptions!$B$11+Assumptions!$B$12)*0.05,0)</f>
        <v/>
      </c>
      <c r="CV50" s="399">
        <f>IF(AND(Projects!$G$41="Yes",CV$3&gt;=Projects!$C$41,CV$3&lt;Projects!$C$41+Projects!$D$41),Projects!$B$41*INDEX(Curves!$B$4:$AR$4,1,CV$3-Projects!$C$41+1),0)-IF(AND(Projects!$G$41="Yes",CV$3&gt;=Projects!$C$41,CV$3&lt;Projects!$C$41+Projects!$D$41),Projects!$B$41*(Assumptions!$B$10+Assumptions!$B$11+Assumptions!$B$12)/Projects!$D$41*0.95,0)-IF(AND(Projects!$G$41="Yes",CV$3=Projects!$C$41+Projects!$D$41-1),Projects!$B$41*(Assumptions!$B$10+Assumptions!$B$11+Assumptions!$B$12)*0.05,0)</f>
        <v/>
      </c>
      <c r="CW50" s="399">
        <f>IF(AND(Projects!$G$41="Yes",CW$3&gt;=Projects!$C$41,CW$3&lt;Projects!$C$41+Projects!$D$41),Projects!$B$41*INDEX(Curves!$B$4:$AR$4,1,CW$3-Projects!$C$41+1),0)-IF(AND(Projects!$G$41="Yes",CW$3&gt;=Projects!$C$41,CW$3&lt;Projects!$C$41+Projects!$D$41),Projects!$B$41*(Assumptions!$B$10+Assumptions!$B$11+Assumptions!$B$12)/Projects!$D$41*0.95,0)-IF(AND(Projects!$G$41="Yes",CW$3=Projects!$C$41+Projects!$D$41-1),Projects!$B$41*(Assumptions!$B$10+Assumptions!$B$11+Assumptions!$B$12)*0.05,0)</f>
        <v/>
      </c>
      <c r="CX50" s="399">
        <f>IF(AND(Projects!$G$41="Yes",CX$3&gt;=Projects!$C$41,CX$3&lt;Projects!$C$41+Projects!$D$41),Projects!$B$41*INDEX(Curves!$B$4:$AR$4,1,CX$3-Projects!$C$41+1),0)-IF(AND(Projects!$G$41="Yes",CX$3&gt;=Projects!$C$41,CX$3&lt;Projects!$C$41+Projects!$D$41),Projects!$B$41*(Assumptions!$B$10+Assumptions!$B$11+Assumptions!$B$12)/Projects!$D$41*0.95,0)-IF(AND(Projects!$G$41="Yes",CX$3=Projects!$C$41+Projects!$D$41-1),Projects!$B$41*(Assumptions!$B$10+Assumptions!$B$11+Assumptions!$B$12)*0.05,0)</f>
        <v/>
      </c>
      <c r="CY50" s="399">
        <f>IF(AND(Projects!$G$41="Yes",CY$3&gt;=Projects!$C$41,CY$3&lt;Projects!$C$41+Projects!$D$41),Projects!$B$41*INDEX(Curves!$B$4:$AR$4,1,CY$3-Projects!$C$41+1),0)-IF(AND(Projects!$G$41="Yes",CY$3&gt;=Projects!$C$41,CY$3&lt;Projects!$C$41+Projects!$D$41),Projects!$B$41*(Assumptions!$B$10+Assumptions!$B$11+Assumptions!$B$12)/Projects!$D$41*0.95,0)-IF(AND(Projects!$G$41="Yes",CY$3=Projects!$C$41+Projects!$D$41-1),Projects!$B$41*(Assumptions!$B$10+Assumptions!$B$11+Assumptions!$B$12)*0.05,0)</f>
        <v/>
      </c>
      <c r="CZ50" s="399">
        <f>IF(AND(Projects!$G$41="Yes",CZ$3&gt;=Projects!$C$41,CZ$3&lt;Projects!$C$41+Projects!$D$41),Projects!$B$41*INDEX(Curves!$B$4:$AR$4,1,CZ$3-Projects!$C$41+1),0)-IF(AND(Projects!$G$41="Yes",CZ$3&gt;=Projects!$C$41,CZ$3&lt;Projects!$C$41+Projects!$D$41),Projects!$B$41*(Assumptions!$B$10+Assumptions!$B$11+Assumptions!$B$12)/Projects!$D$41*0.95,0)-IF(AND(Projects!$G$41="Yes",CZ$3=Projects!$C$41+Projects!$D$41-1),Projects!$B$41*(Assumptions!$B$10+Assumptions!$B$11+Assumptions!$B$12)*0.05,0)</f>
        <v/>
      </c>
      <c r="DA50" s="399">
        <f>IF(AND(Projects!$G$41="Yes",DA$3&gt;=Projects!$C$41,DA$3&lt;Projects!$C$41+Projects!$D$41),Projects!$B$41*INDEX(Curves!$B$4:$AR$4,1,DA$3-Projects!$C$41+1),0)-IF(AND(Projects!$G$41="Yes",DA$3&gt;=Projects!$C$41,DA$3&lt;Projects!$C$41+Projects!$D$41),Projects!$B$41*(Assumptions!$B$10+Assumptions!$B$11+Assumptions!$B$12)/Projects!$D$41*0.95,0)-IF(AND(Projects!$G$41="Yes",DA$3=Projects!$C$41+Projects!$D$41-1),Projects!$B$41*(Assumptions!$B$10+Assumptions!$B$11+Assumptions!$B$12)*0.05,0)</f>
        <v/>
      </c>
      <c r="DB50" s="399">
        <f>IF(AND(Projects!$G$41="Yes",DB$3&gt;=Projects!$C$41,DB$3&lt;Projects!$C$41+Projects!$D$41),Projects!$B$41*INDEX(Curves!$B$4:$AR$4,1,DB$3-Projects!$C$41+1),0)-IF(AND(Projects!$G$41="Yes",DB$3&gt;=Projects!$C$41,DB$3&lt;Projects!$C$41+Projects!$D$41),Projects!$B$41*(Assumptions!$B$10+Assumptions!$B$11+Assumptions!$B$12)/Projects!$D$41*0.95,0)-IF(AND(Projects!$G$41="Yes",DB$3=Projects!$C$41+Projects!$D$41-1),Projects!$B$41*(Assumptions!$B$10+Assumptions!$B$11+Assumptions!$B$12)*0.05,0)</f>
        <v/>
      </c>
      <c r="DC50" s="399">
        <f>IF(AND(Projects!$G$41="Yes",DC$3&gt;=Projects!$C$41,DC$3&lt;Projects!$C$41+Projects!$D$41),Projects!$B$41*INDEX(Curves!$B$4:$AR$4,1,DC$3-Projects!$C$41+1),0)-IF(AND(Projects!$G$41="Yes",DC$3&gt;=Projects!$C$41,DC$3&lt;Projects!$C$41+Projects!$D$41),Projects!$B$41*(Assumptions!$B$10+Assumptions!$B$11+Assumptions!$B$12)/Projects!$D$41*0.95,0)-IF(AND(Projects!$G$41="Yes",DC$3=Projects!$C$41+Projects!$D$41-1),Projects!$B$41*(Assumptions!$B$10+Assumptions!$B$11+Assumptions!$B$12)*0.05,0)</f>
        <v/>
      </c>
      <c r="DD50" s="399">
        <f>IF(AND(Projects!$G$41="Yes",DD$3&gt;=Projects!$C$41,DD$3&lt;Projects!$C$41+Projects!$D$41),Projects!$B$41*INDEX(Curves!$B$4:$AR$4,1,DD$3-Projects!$C$41+1),0)-IF(AND(Projects!$G$41="Yes",DD$3&gt;=Projects!$C$41,DD$3&lt;Projects!$C$41+Projects!$D$41),Projects!$B$41*(Assumptions!$B$10+Assumptions!$B$11+Assumptions!$B$12)/Projects!$D$41*0.95,0)-IF(AND(Projects!$G$41="Yes",DD$3=Projects!$C$41+Projects!$D$41-1),Projects!$B$41*(Assumptions!$B$10+Assumptions!$B$11+Assumptions!$B$12)*0.05,0)</f>
        <v/>
      </c>
      <c r="DE50" s="399">
        <f>IF(AND(Projects!$G$41="Yes",DE$3&gt;=Projects!$C$41,DE$3&lt;Projects!$C$41+Projects!$D$41),Projects!$B$41*INDEX(Curves!$B$4:$AR$4,1,DE$3-Projects!$C$41+1),0)-IF(AND(Projects!$G$41="Yes",DE$3&gt;=Projects!$C$41,DE$3&lt;Projects!$C$41+Projects!$D$41),Projects!$B$41*(Assumptions!$B$10+Assumptions!$B$11+Assumptions!$B$12)/Projects!$D$41*0.95,0)-IF(AND(Projects!$G$41="Yes",DE$3=Projects!$C$41+Projects!$D$41-1),Projects!$B$41*(Assumptions!$B$10+Assumptions!$B$11+Assumptions!$B$12)*0.05,0)</f>
        <v/>
      </c>
    </row>
    <row r="51" hidden="1" outlineLevel="1" ht="15" customFormat="1" customHeight="1" s="380">
      <c r="A51" s="407" t="inlineStr">
        <is>
          <t>BD-26</t>
        </is>
      </c>
      <c r="B51" s="399" t="n">
        <v>0</v>
      </c>
      <c r="C51" s="399" t="n">
        <v>0</v>
      </c>
      <c r="D51" s="399" t="n">
        <v>0</v>
      </c>
      <c r="E51" s="399" t="n">
        <v>0</v>
      </c>
      <c r="F51" s="399">
        <f>IF(AND(Projects!$G$42="Yes",F$3&gt;=Projects!$C$42,F$3&lt;Projects!$C$42+Projects!$D$42),Projects!$B$42*INDEX(Curves!$B$4:$AR$4,1,F$3-Projects!$C$42+1),0)-IF(AND(Projects!$G$42="Yes",F$3&gt;=Projects!$C$42,F$3&lt;Projects!$C$42+Projects!$D$42),Projects!$B$42*(Assumptions!$B$10+Assumptions!$B$11+Assumptions!$B$12)/Projects!$D$42*0.95,0)-IF(AND(Projects!$G$42="Yes",F$3=Projects!$C$42+Projects!$D$42-1),Projects!$B$42*(Assumptions!$B$10+Assumptions!$B$11+Assumptions!$B$12)*0.05,0)</f>
        <v/>
      </c>
      <c r="G51" s="399">
        <f>IF(AND(Projects!$G$42="Yes",G$3&gt;=Projects!$C$42,G$3&lt;Projects!$C$42+Projects!$D$42),Projects!$B$42*INDEX(Curves!$B$4:$AR$4,1,G$3-Projects!$C$42+1),0)-IF(AND(Projects!$G$42="Yes",G$3&gt;=Projects!$C$42,G$3&lt;Projects!$C$42+Projects!$D$42),Projects!$B$42*(Assumptions!$B$10+Assumptions!$B$11+Assumptions!$B$12)/Projects!$D$42*0.95,0)-IF(AND(Projects!$G$42="Yes",G$3=Projects!$C$42+Projects!$D$42-1),Projects!$B$42*(Assumptions!$B$10+Assumptions!$B$11+Assumptions!$B$12)*0.05,0)</f>
        <v/>
      </c>
      <c r="H51" s="399">
        <f>IF(AND(Projects!$G$42="Yes",H$3&gt;=Projects!$C$42,H$3&lt;Projects!$C$42+Projects!$D$42),Projects!$B$42*INDEX(Curves!$B$4:$AR$4,1,H$3-Projects!$C$42+1),0)-IF(AND(Projects!$G$42="Yes",H$3&gt;=Projects!$C$42,H$3&lt;Projects!$C$42+Projects!$D$42),Projects!$B$42*(Assumptions!$B$10+Assumptions!$B$11+Assumptions!$B$12)/Projects!$D$42*0.95,0)-IF(AND(Projects!$G$42="Yes",H$3=Projects!$C$42+Projects!$D$42-1),Projects!$B$42*(Assumptions!$B$10+Assumptions!$B$11+Assumptions!$B$12)*0.05,0)</f>
        <v/>
      </c>
      <c r="I51" s="399">
        <f>IF(AND(Projects!$G$42="Yes",I$3&gt;=Projects!$C$42,I$3&lt;Projects!$C$42+Projects!$D$42),Projects!$B$42*INDEX(Curves!$B$4:$AR$4,1,I$3-Projects!$C$42+1),0)-IF(AND(Projects!$G$42="Yes",I$3&gt;=Projects!$C$42,I$3&lt;Projects!$C$42+Projects!$D$42),Projects!$B$42*(Assumptions!$B$10+Assumptions!$B$11+Assumptions!$B$12)/Projects!$D$42*0.95,0)-IF(AND(Projects!$G$42="Yes",I$3=Projects!$C$42+Projects!$D$42-1),Projects!$B$42*(Assumptions!$B$10+Assumptions!$B$11+Assumptions!$B$12)*0.05,0)</f>
        <v/>
      </c>
      <c r="J51" s="399">
        <f>IF(AND(Projects!$G$42="Yes",J$3&gt;=Projects!$C$42,J$3&lt;Projects!$C$42+Projects!$D$42),Projects!$B$42*INDEX(Curves!$B$4:$AR$4,1,J$3-Projects!$C$42+1),0)-IF(AND(Projects!$G$42="Yes",J$3&gt;=Projects!$C$42,J$3&lt;Projects!$C$42+Projects!$D$42),Projects!$B$42*(Assumptions!$B$10+Assumptions!$B$11+Assumptions!$B$12)/Projects!$D$42*0.95,0)-IF(AND(Projects!$G$42="Yes",J$3=Projects!$C$42+Projects!$D$42-1),Projects!$B$42*(Assumptions!$B$10+Assumptions!$B$11+Assumptions!$B$12)*0.05,0)</f>
        <v/>
      </c>
      <c r="K51" s="399">
        <f>IF(AND(Projects!$G$42="Yes",K$3&gt;=Projects!$C$42,K$3&lt;Projects!$C$42+Projects!$D$42),Projects!$B$42*INDEX(Curves!$B$4:$AR$4,1,K$3-Projects!$C$42+1),0)-IF(AND(Projects!$G$42="Yes",K$3&gt;=Projects!$C$42,K$3&lt;Projects!$C$42+Projects!$D$42),Projects!$B$42*(Assumptions!$B$10+Assumptions!$B$11+Assumptions!$B$12)/Projects!$D$42*0.95,0)-IF(AND(Projects!$G$42="Yes",K$3=Projects!$C$42+Projects!$D$42-1),Projects!$B$42*(Assumptions!$B$10+Assumptions!$B$11+Assumptions!$B$12)*0.05,0)</f>
        <v/>
      </c>
      <c r="L51" s="399">
        <f>IF(AND(Projects!$G$42="Yes",L$3&gt;=Projects!$C$42,L$3&lt;Projects!$C$42+Projects!$D$42),Projects!$B$42*INDEX(Curves!$B$4:$AR$4,1,L$3-Projects!$C$42+1),0)-IF(AND(Projects!$G$42="Yes",L$3&gt;=Projects!$C$42,L$3&lt;Projects!$C$42+Projects!$D$42),Projects!$B$42*(Assumptions!$B$10+Assumptions!$B$11+Assumptions!$B$12)/Projects!$D$42*0.95,0)-IF(AND(Projects!$G$42="Yes",L$3=Projects!$C$42+Projects!$D$42-1),Projects!$B$42*(Assumptions!$B$10+Assumptions!$B$11+Assumptions!$B$12)*0.05,0)</f>
        <v/>
      </c>
      <c r="M51" s="399">
        <f>IF(AND(Projects!$G$42="Yes",M$3&gt;=Projects!$C$42,M$3&lt;Projects!$C$42+Projects!$D$42),Projects!$B$42*INDEX(Curves!$B$4:$AR$4,1,M$3-Projects!$C$42+1),0)-IF(AND(Projects!$G$42="Yes",M$3&gt;=Projects!$C$42,M$3&lt;Projects!$C$42+Projects!$D$42),Projects!$B$42*(Assumptions!$B$10+Assumptions!$B$11+Assumptions!$B$12)/Projects!$D$42*0.95,0)-IF(AND(Projects!$G$42="Yes",M$3=Projects!$C$42+Projects!$D$42-1),Projects!$B$42*(Assumptions!$B$10+Assumptions!$B$11+Assumptions!$B$12)*0.05,0)</f>
        <v/>
      </c>
      <c r="N51" s="399">
        <f>IF(AND(Projects!$G$42="Yes",N$3&gt;=Projects!$C$42,N$3&lt;Projects!$C$42+Projects!$D$42),Projects!$B$42*INDEX(Curves!$B$4:$AR$4,1,N$3-Projects!$C$42+1),0)-IF(AND(Projects!$G$42="Yes",N$3&gt;=Projects!$C$42,N$3&lt;Projects!$C$42+Projects!$D$42),Projects!$B$42*(Assumptions!$B$10+Assumptions!$B$11+Assumptions!$B$12)/Projects!$D$42*0.95,0)-IF(AND(Projects!$G$42="Yes",N$3=Projects!$C$42+Projects!$D$42-1),Projects!$B$42*(Assumptions!$B$10+Assumptions!$B$11+Assumptions!$B$12)*0.05,0)</f>
        <v/>
      </c>
      <c r="O51" s="399">
        <f>IF(AND(Projects!$G$42="Yes",O$3&gt;=Projects!$C$42,O$3&lt;Projects!$C$42+Projects!$D$42),Projects!$B$42*INDEX(Curves!$B$4:$AR$4,1,O$3-Projects!$C$42+1),0)-IF(AND(Projects!$G$42="Yes",O$3&gt;=Projects!$C$42,O$3&lt;Projects!$C$42+Projects!$D$42),Projects!$B$42*(Assumptions!$B$10+Assumptions!$B$11+Assumptions!$B$12)/Projects!$D$42*0.95,0)-IF(AND(Projects!$G$42="Yes",O$3=Projects!$C$42+Projects!$D$42-1),Projects!$B$42*(Assumptions!$B$10+Assumptions!$B$11+Assumptions!$B$12)*0.05,0)</f>
        <v/>
      </c>
      <c r="P51" s="399">
        <f>IF(AND(Projects!$G$42="Yes",P$3&gt;=Projects!$C$42,P$3&lt;Projects!$C$42+Projects!$D$42),Projects!$B$42*INDEX(Curves!$B$4:$AR$4,1,P$3-Projects!$C$42+1),0)-IF(AND(Projects!$G$42="Yes",P$3&gt;=Projects!$C$42,P$3&lt;Projects!$C$42+Projects!$D$42),Projects!$B$42*(Assumptions!$B$10+Assumptions!$B$11+Assumptions!$B$12)/Projects!$D$42*0.95,0)-IF(AND(Projects!$G$42="Yes",P$3=Projects!$C$42+Projects!$D$42-1),Projects!$B$42*(Assumptions!$B$10+Assumptions!$B$11+Assumptions!$B$12)*0.05,0)</f>
        <v/>
      </c>
      <c r="Q51" s="399">
        <f>IF(AND(Projects!$G$42="Yes",Q$3&gt;=Projects!$C$42,Q$3&lt;Projects!$C$42+Projects!$D$42),Projects!$B$42*INDEX(Curves!$B$4:$AR$4,1,Q$3-Projects!$C$42+1),0)-IF(AND(Projects!$G$42="Yes",Q$3&gt;=Projects!$C$42,Q$3&lt;Projects!$C$42+Projects!$D$42),Projects!$B$42*(Assumptions!$B$10+Assumptions!$B$11+Assumptions!$B$12)/Projects!$D$42*0.95,0)-IF(AND(Projects!$G$42="Yes",Q$3=Projects!$C$42+Projects!$D$42-1),Projects!$B$42*(Assumptions!$B$10+Assumptions!$B$11+Assumptions!$B$12)*0.05,0)</f>
        <v/>
      </c>
      <c r="R51" s="399">
        <f>IF(AND(Projects!$G$42="Yes",R$3&gt;=Projects!$C$42,R$3&lt;Projects!$C$42+Projects!$D$42),Projects!$B$42*INDEX(Curves!$B$4:$AR$4,1,R$3-Projects!$C$42+1),0)-IF(AND(Projects!$G$42="Yes",R$3&gt;=Projects!$C$42,R$3&lt;Projects!$C$42+Projects!$D$42),Projects!$B$42*(Assumptions!$B$10+Assumptions!$B$11+Assumptions!$B$12)/Projects!$D$42*0.95,0)-IF(AND(Projects!$G$42="Yes",R$3=Projects!$C$42+Projects!$D$42-1),Projects!$B$42*(Assumptions!$B$10+Assumptions!$B$11+Assumptions!$B$12)*0.05,0)</f>
        <v/>
      </c>
      <c r="S51" s="399">
        <f>IF(AND(Projects!$G$42="Yes",S$3&gt;=Projects!$C$42,S$3&lt;Projects!$C$42+Projects!$D$42),Projects!$B$42*INDEX(Curves!$B$4:$AR$4,1,S$3-Projects!$C$42+1),0)-IF(AND(Projects!$G$42="Yes",S$3&gt;=Projects!$C$42,S$3&lt;Projects!$C$42+Projects!$D$42),Projects!$B$42*(Assumptions!$B$10+Assumptions!$B$11+Assumptions!$B$12)/Projects!$D$42*0.95,0)-IF(AND(Projects!$G$42="Yes",S$3=Projects!$C$42+Projects!$D$42-1),Projects!$B$42*(Assumptions!$B$10+Assumptions!$B$11+Assumptions!$B$12)*0.05,0)</f>
        <v/>
      </c>
      <c r="T51" s="399">
        <f>IF(AND(Projects!$G$42="Yes",T$3&gt;=Projects!$C$42,T$3&lt;Projects!$C$42+Projects!$D$42),Projects!$B$42*INDEX(Curves!$B$4:$AR$4,1,T$3-Projects!$C$42+1),0)-IF(AND(Projects!$G$42="Yes",T$3&gt;=Projects!$C$42,T$3&lt;Projects!$C$42+Projects!$D$42),Projects!$B$42*(Assumptions!$B$10+Assumptions!$B$11+Assumptions!$B$12)/Projects!$D$42*0.95,0)-IF(AND(Projects!$G$42="Yes",T$3=Projects!$C$42+Projects!$D$42-1),Projects!$B$42*(Assumptions!$B$10+Assumptions!$B$11+Assumptions!$B$12)*0.05,0)</f>
        <v/>
      </c>
      <c r="U51" s="399">
        <f>IF(AND(Projects!$G$42="Yes",U$3&gt;=Projects!$C$42,U$3&lt;Projects!$C$42+Projects!$D$42),Projects!$B$42*INDEX(Curves!$B$4:$AR$4,1,U$3-Projects!$C$42+1),0)-IF(AND(Projects!$G$42="Yes",U$3&gt;=Projects!$C$42,U$3&lt;Projects!$C$42+Projects!$D$42),Projects!$B$42*(Assumptions!$B$10+Assumptions!$B$11+Assumptions!$B$12)/Projects!$D$42*0.95,0)-IF(AND(Projects!$G$42="Yes",U$3=Projects!$C$42+Projects!$D$42-1),Projects!$B$42*(Assumptions!$B$10+Assumptions!$B$11+Assumptions!$B$12)*0.05,0)</f>
        <v/>
      </c>
      <c r="V51" s="399">
        <f>IF(AND(Projects!$G$42="Yes",V$3&gt;=Projects!$C$42,V$3&lt;Projects!$C$42+Projects!$D$42),Projects!$B$42*INDEX(Curves!$B$4:$AR$4,1,V$3-Projects!$C$42+1),0)-IF(AND(Projects!$G$42="Yes",V$3&gt;=Projects!$C$42,V$3&lt;Projects!$C$42+Projects!$D$42),Projects!$B$42*(Assumptions!$B$10+Assumptions!$B$11+Assumptions!$B$12)/Projects!$D$42*0.95,0)-IF(AND(Projects!$G$42="Yes",V$3=Projects!$C$42+Projects!$D$42-1),Projects!$B$42*(Assumptions!$B$10+Assumptions!$B$11+Assumptions!$B$12)*0.05,0)</f>
        <v/>
      </c>
      <c r="W51" s="399">
        <f>IF(AND(Projects!$G$42="Yes",W$3&gt;=Projects!$C$42,W$3&lt;Projects!$C$42+Projects!$D$42),Projects!$B$42*INDEX(Curves!$B$4:$AR$4,1,W$3-Projects!$C$42+1),0)-IF(AND(Projects!$G$42="Yes",W$3&gt;=Projects!$C$42,W$3&lt;Projects!$C$42+Projects!$D$42),Projects!$B$42*(Assumptions!$B$10+Assumptions!$B$11+Assumptions!$B$12)/Projects!$D$42*0.95,0)-IF(AND(Projects!$G$42="Yes",W$3=Projects!$C$42+Projects!$D$42-1),Projects!$B$42*(Assumptions!$B$10+Assumptions!$B$11+Assumptions!$B$12)*0.05,0)</f>
        <v/>
      </c>
      <c r="X51" s="399">
        <f>IF(AND(Projects!$G$42="Yes",X$3&gt;=Projects!$C$42,X$3&lt;Projects!$C$42+Projects!$D$42),Projects!$B$42*INDEX(Curves!$B$4:$AR$4,1,X$3-Projects!$C$42+1),0)-IF(AND(Projects!$G$42="Yes",X$3&gt;=Projects!$C$42,X$3&lt;Projects!$C$42+Projects!$D$42),Projects!$B$42*(Assumptions!$B$10+Assumptions!$B$11+Assumptions!$B$12)/Projects!$D$42*0.95,0)-IF(AND(Projects!$G$42="Yes",X$3=Projects!$C$42+Projects!$D$42-1),Projects!$B$42*(Assumptions!$B$10+Assumptions!$B$11+Assumptions!$B$12)*0.05,0)</f>
        <v/>
      </c>
      <c r="Y51" s="399">
        <f>IF(AND(Projects!$G$42="Yes",Y$3&gt;=Projects!$C$42,Y$3&lt;Projects!$C$42+Projects!$D$42),Projects!$B$42*INDEX(Curves!$B$4:$AR$4,1,Y$3-Projects!$C$42+1),0)-IF(AND(Projects!$G$42="Yes",Y$3&gt;=Projects!$C$42,Y$3&lt;Projects!$C$42+Projects!$D$42),Projects!$B$42*(Assumptions!$B$10+Assumptions!$B$11+Assumptions!$B$12)/Projects!$D$42*0.95,0)-IF(AND(Projects!$G$42="Yes",Y$3=Projects!$C$42+Projects!$D$42-1),Projects!$B$42*(Assumptions!$B$10+Assumptions!$B$11+Assumptions!$B$12)*0.05,0)</f>
        <v/>
      </c>
      <c r="Z51" s="399">
        <f>IF(AND(Projects!$G$42="Yes",Z$3&gt;=Projects!$C$42,Z$3&lt;Projects!$C$42+Projects!$D$42),Projects!$B$42*INDEX(Curves!$B$4:$AR$4,1,Z$3-Projects!$C$42+1),0)-IF(AND(Projects!$G$42="Yes",Z$3&gt;=Projects!$C$42,Z$3&lt;Projects!$C$42+Projects!$D$42),Projects!$B$42*(Assumptions!$B$10+Assumptions!$B$11+Assumptions!$B$12)/Projects!$D$42*0.95,0)-IF(AND(Projects!$G$42="Yes",Z$3=Projects!$C$42+Projects!$D$42-1),Projects!$B$42*(Assumptions!$B$10+Assumptions!$B$11+Assumptions!$B$12)*0.05,0)</f>
        <v/>
      </c>
      <c r="AA51" s="399">
        <f>IF(AND(Projects!$G$42="Yes",AA$3&gt;=Projects!$C$42,AA$3&lt;Projects!$C$42+Projects!$D$42),Projects!$B$42*INDEX(Curves!$B$4:$AR$4,1,AA$3-Projects!$C$42+1),0)-IF(AND(Projects!$G$42="Yes",AA$3&gt;=Projects!$C$42,AA$3&lt;Projects!$C$42+Projects!$D$42),Projects!$B$42*(Assumptions!$B$10+Assumptions!$B$11+Assumptions!$B$12)/Projects!$D$42*0.95,0)-IF(AND(Projects!$G$42="Yes",AA$3=Projects!$C$42+Projects!$D$42-1),Projects!$B$42*(Assumptions!$B$10+Assumptions!$B$11+Assumptions!$B$12)*0.05,0)</f>
        <v/>
      </c>
      <c r="AB51" s="399">
        <f>IF(AND(Projects!$G$42="Yes",AB$3&gt;=Projects!$C$42,AB$3&lt;Projects!$C$42+Projects!$D$42),Projects!$B$42*INDEX(Curves!$B$4:$AR$4,1,AB$3-Projects!$C$42+1),0)-IF(AND(Projects!$G$42="Yes",AB$3&gt;=Projects!$C$42,AB$3&lt;Projects!$C$42+Projects!$D$42),Projects!$B$42*(Assumptions!$B$10+Assumptions!$B$11+Assumptions!$B$12)/Projects!$D$42*0.95,0)-IF(AND(Projects!$G$42="Yes",AB$3=Projects!$C$42+Projects!$D$42-1),Projects!$B$42*(Assumptions!$B$10+Assumptions!$B$11+Assumptions!$B$12)*0.05,0)</f>
        <v/>
      </c>
      <c r="AC51" s="399">
        <f>IF(AND(Projects!$G$42="Yes",AC$3&gt;=Projects!$C$42,AC$3&lt;Projects!$C$42+Projects!$D$42),Projects!$B$42*INDEX(Curves!$B$4:$AR$4,1,AC$3-Projects!$C$42+1),0)-IF(AND(Projects!$G$42="Yes",AC$3&gt;=Projects!$C$42,AC$3&lt;Projects!$C$42+Projects!$D$42),Projects!$B$42*(Assumptions!$B$10+Assumptions!$B$11+Assumptions!$B$12)/Projects!$D$42*0.95,0)-IF(AND(Projects!$G$42="Yes",AC$3=Projects!$C$42+Projects!$D$42-1),Projects!$B$42*(Assumptions!$B$10+Assumptions!$B$11+Assumptions!$B$12)*0.05,0)</f>
        <v/>
      </c>
      <c r="AD51" s="399">
        <f>IF(AND(Projects!$G$42="Yes",AD$3&gt;=Projects!$C$42,AD$3&lt;Projects!$C$42+Projects!$D$42),Projects!$B$42*INDEX(Curves!$B$4:$AR$4,1,AD$3-Projects!$C$42+1),0)-IF(AND(Projects!$G$42="Yes",AD$3&gt;=Projects!$C$42,AD$3&lt;Projects!$C$42+Projects!$D$42),Projects!$B$42*(Assumptions!$B$10+Assumptions!$B$11+Assumptions!$B$12)/Projects!$D$42*0.95,0)-IF(AND(Projects!$G$42="Yes",AD$3=Projects!$C$42+Projects!$D$42-1),Projects!$B$42*(Assumptions!$B$10+Assumptions!$B$11+Assumptions!$B$12)*0.05,0)</f>
        <v/>
      </c>
      <c r="AE51" s="399">
        <f>IF(AND(Projects!$G$42="Yes",AE$3&gt;=Projects!$C$42,AE$3&lt;Projects!$C$42+Projects!$D$42),Projects!$B$42*INDEX(Curves!$B$4:$AR$4,1,AE$3-Projects!$C$42+1),0)-IF(AND(Projects!$G$42="Yes",AE$3&gt;=Projects!$C$42,AE$3&lt;Projects!$C$42+Projects!$D$42),Projects!$B$42*(Assumptions!$B$10+Assumptions!$B$11+Assumptions!$B$12)/Projects!$D$42*0.95,0)-IF(AND(Projects!$G$42="Yes",AE$3=Projects!$C$42+Projects!$D$42-1),Projects!$B$42*(Assumptions!$B$10+Assumptions!$B$11+Assumptions!$B$12)*0.05,0)</f>
        <v/>
      </c>
      <c r="AF51" s="399">
        <f>IF(AND(Projects!$G$42="Yes",AF$3&gt;=Projects!$C$42,AF$3&lt;Projects!$C$42+Projects!$D$42),Projects!$B$42*INDEX(Curves!$B$4:$AR$4,1,AF$3-Projects!$C$42+1),0)-IF(AND(Projects!$G$42="Yes",AF$3&gt;=Projects!$C$42,AF$3&lt;Projects!$C$42+Projects!$D$42),Projects!$B$42*(Assumptions!$B$10+Assumptions!$B$11+Assumptions!$B$12)/Projects!$D$42*0.95,0)-IF(AND(Projects!$G$42="Yes",AF$3=Projects!$C$42+Projects!$D$42-1),Projects!$B$42*(Assumptions!$B$10+Assumptions!$B$11+Assumptions!$B$12)*0.05,0)</f>
        <v/>
      </c>
      <c r="AG51" s="399">
        <f>IF(AND(Projects!$G$42="Yes",AG$3&gt;=Projects!$C$42,AG$3&lt;Projects!$C$42+Projects!$D$42),Projects!$B$42*INDEX(Curves!$B$4:$AR$4,1,AG$3-Projects!$C$42+1),0)-IF(AND(Projects!$G$42="Yes",AG$3&gt;=Projects!$C$42,AG$3&lt;Projects!$C$42+Projects!$D$42),Projects!$B$42*(Assumptions!$B$10+Assumptions!$B$11+Assumptions!$B$12)/Projects!$D$42*0.95,0)-IF(AND(Projects!$G$42="Yes",AG$3=Projects!$C$42+Projects!$D$42-1),Projects!$B$42*(Assumptions!$B$10+Assumptions!$B$11+Assumptions!$B$12)*0.05,0)</f>
        <v/>
      </c>
      <c r="AH51" s="399">
        <f>IF(AND(Projects!$G$42="Yes",AH$3&gt;=Projects!$C$42,AH$3&lt;Projects!$C$42+Projects!$D$42),Projects!$B$42*INDEX(Curves!$B$4:$AR$4,1,AH$3-Projects!$C$42+1),0)-IF(AND(Projects!$G$42="Yes",AH$3&gt;=Projects!$C$42,AH$3&lt;Projects!$C$42+Projects!$D$42),Projects!$B$42*(Assumptions!$B$10+Assumptions!$B$11+Assumptions!$B$12)/Projects!$D$42*0.95,0)-IF(AND(Projects!$G$42="Yes",AH$3=Projects!$C$42+Projects!$D$42-1),Projects!$B$42*(Assumptions!$B$10+Assumptions!$B$11+Assumptions!$B$12)*0.05,0)</f>
        <v/>
      </c>
      <c r="AI51" s="399">
        <f>IF(AND(Projects!$G$42="Yes",AI$3&gt;=Projects!$C$42,AI$3&lt;Projects!$C$42+Projects!$D$42),Projects!$B$42*INDEX(Curves!$B$4:$AR$4,1,AI$3-Projects!$C$42+1),0)-IF(AND(Projects!$G$42="Yes",AI$3&gt;=Projects!$C$42,AI$3&lt;Projects!$C$42+Projects!$D$42),Projects!$B$42*(Assumptions!$B$10+Assumptions!$B$11+Assumptions!$B$12)/Projects!$D$42*0.95,0)-IF(AND(Projects!$G$42="Yes",AI$3=Projects!$C$42+Projects!$D$42-1),Projects!$B$42*(Assumptions!$B$10+Assumptions!$B$11+Assumptions!$B$12)*0.05,0)</f>
        <v/>
      </c>
      <c r="AJ51" s="399">
        <f>IF(AND(Projects!$G$42="Yes",AJ$3&gt;=Projects!$C$42,AJ$3&lt;Projects!$C$42+Projects!$D$42),Projects!$B$42*INDEX(Curves!$B$4:$AR$4,1,AJ$3-Projects!$C$42+1),0)-IF(AND(Projects!$G$42="Yes",AJ$3&gt;=Projects!$C$42,AJ$3&lt;Projects!$C$42+Projects!$D$42),Projects!$B$42*(Assumptions!$B$10+Assumptions!$B$11+Assumptions!$B$12)/Projects!$D$42*0.95,0)-IF(AND(Projects!$G$42="Yes",AJ$3=Projects!$C$42+Projects!$D$42-1),Projects!$B$42*(Assumptions!$B$10+Assumptions!$B$11+Assumptions!$B$12)*0.05,0)</f>
        <v/>
      </c>
      <c r="AK51" s="399">
        <f>IF(AND(Projects!$G$42="Yes",AK$3&gt;=Projects!$C$42,AK$3&lt;Projects!$C$42+Projects!$D$42),Projects!$B$42*INDEX(Curves!$B$4:$AR$4,1,AK$3-Projects!$C$42+1),0)-IF(AND(Projects!$G$42="Yes",AK$3&gt;=Projects!$C$42,AK$3&lt;Projects!$C$42+Projects!$D$42),Projects!$B$42*(Assumptions!$B$10+Assumptions!$B$11+Assumptions!$B$12)/Projects!$D$42*0.95,0)-IF(AND(Projects!$G$42="Yes",AK$3=Projects!$C$42+Projects!$D$42-1),Projects!$B$42*(Assumptions!$B$10+Assumptions!$B$11+Assumptions!$B$12)*0.05,0)</f>
        <v/>
      </c>
      <c r="AL51" s="399">
        <f>IF(AND(Projects!$G$42="Yes",AL$3&gt;=Projects!$C$42,AL$3&lt;Projects!$C$42+Projects!$D$42),Projects!$B$42*INDEX(Curves!$B$4:$AR$4,1,AL$3-Projects!$C$42+1),0)-IF(AND(Projects!$G$42="Yes",AL$3&gt;=Projects!$C$42,AL$3&lt;Projects!$C$42+Projects!$D$42),Projects!$B$42*(Assumptions!$B$10+Assumptions!$B$11+Assumptions!$B$12)/Projects!$D$42*0.95,0)-IF(AND(Projects!$G$42="Yes",AL$3=Projects!$C$42+Projects!$D$42-1),Projects!$B$42*(Assumptions!$B$10+Assumptions!$B$11+Assumptions!$B$12)*0.05,0)</f>
        <v/>
      </c>
      <c r="AM51" s="399">
        <f>IF(AND(Projects!$G$42="Yes",AM$3&gt;=Projects!$C$42,AM$3&lt;Projects!$C$42+Projects!$D$42),Projects!$B$42*INDEX(Curves!$B$4:$AR$4,1,AM$3-Projects!$C$42+1),0)-IF(AND(Projects!$G$42="Yes",AM$3&gt;=Projects!$C$42,AM$3&lt;Projects!$C$42+Projects!$D$42),Projects!$B$42*(Assumptions!$B$10+Assumptions!$B$11+Assumptions!$B$12)/Projects!$D$42*0.95,0)-IF(AND(Projects!$G$42="Yes",AM$3=Projects!$C$42+Projects!$D$42-1),Projects!$B$42*(Assumptions!$B$10+Assumptions!$B$11+Assumptions!$B$12)*0.05,0)</f>
        <v/>
      </c>
      <c r="AN51" s="399">
        <f>IF(AND(Projects!$G$42="Yes",AN$3&gt;=Projects!$C$42,AN$3&lt;Projects!$C$42+Projects!$D$42),Projects!$B$42*INDEX(Curves!$B$4:$AR$4,1,AN$3-Projects!$C$42+1),0)-IF(AND(Projects!$G$42="Yes",AN$3&gt;=Projects!$C$42,AN$3&lt;Projects!$C$42+Projects!$D$42),Projects!$B$42*(Assumptions!$B$10+Assumptions!$B$11+Assumptions!$B$12)/Projects!$D$42*0.95,0)-IF(AND(Projects!$G$42="Yes",AN$3=Projects!$C$42+Projects!$D$42-1),Projects!$B$42*(Assumptions!$B$10+Assumptions!$B$11+Assumptions!$B$12)*0.05,0)</f>
        <v/>
      </c>
      <c r="AO51" s="399">
        <f>IF(AND(Projects!$G$42="Yes",AO$3&gt;=Projects!$C$42,AO$3&lt;Projects!$C$42+Projects!$D$42),Projects!$B$42*INDEX(Curves!$B$4:$AR$4,1,AO$3-Projects!$C$42+1),0)-IF(AND(Projects!$G$42="Yes",AO$3&gt;=Projects!$C$42,AO$3&lt;Projects!$C$42+Projects!$D$42),Projects!$B$42*(Assumptions!$B$10+Assumptions!$B$11+Assumptions!$B$12)/Projects!$D$42*0.95,0)-IF(AND(Projects!$G$42="Yes",AO$3=Projects!$C$42+Projects!$D$42-1),Projects!$B$42*(Assumptions!$B$10+Assumptions!$B$11+Assumptions!$B$12)*0.05,0)</f>
        <v/>
      </c>
      <c r="AP51" s="399">
        <f>IF(AND(Projects!$G$42="Yes",AP$3&gt;=Projects!$C$42,AP$3&lt;Projects!$C$42+Projects!$D$42),Projects!$B$42*INDEX(Curves!$B$4:$AR$4,1,AP$3-Projects!$C$42+1),0)-IF(AND(Projects!$G$42="Yes",AP$3&gt;=Projects!$C$42,AP$3&lt;Projects!$C$42+Projects!$D$42),Projects!$B$42*(Assumptions!$B$10+Assumptions!$B$11+Assumptions!$B$12)/Projects!$D$42*0.95,0)-IF(AND(Projects!$G$42="Yes",AP$3=Projects!$C$42+Projects!$D$42-1),Projects!$B$42*(Assumptions!$B$10+Assumptions!$B$11+Assumptions!$B$12)*0.05,0)</f>
        <v/>
      </c>
      <c r="AQ51" s="399">
        <f>IF(AND(Projects!$G$42="Yes",AQ$3&gt;=Projects!$C$42,AQ$3&lt;Projects!$C$42+Projects!$D$42),Projects!$B$42*INDEX(Curves!$B$4:$AR$4,1,AQ$3-Projects!$C$42+1),0)-IF(AND(Projects!$G$42="Yes",AQ$3&gt;=Projects!$C$42,AQ$3&lt;Projects!$C$42+Projects!$D$42),Projects!$B$42*(Assumptions!$B$10+Assumptions!$B$11+Assumptions!$B$12)/Projects!$D$42*0.95,0)-IF(AND(Projects!$G$42="Yes",AQ$3=Projects!$C$42+Projects!$D$42-1),Projects!$B$42*(Assumptions!$B$10+Assumptions!$B$11+Assumptions!$B$12)*0.05,0)</f>
        <v/>
      </c>
      <c r="AR51" s="399">
        <f>IF(AND(Projects!$G$42="Yes",AR$3&gt;=Projects!$C$42,AR$3&lt;Projects!$C$42+Projects!$D$42),Projects!$B$42*INDEX(Curves!$B$4:$AR$4,1,AR$3-Projects!$C$42+1),0)-IF(AND(Projects!$G$42="Yes",AR$3&gt;=Projects!$C$42,AR$3&lt;Projects!$C$42+Projects!$D$42),Projects!$B$42*(Assumptions!$B$10+Assumptions!$B$11+Assumptions!$B$12)/Projects!$D$42*0.95,0)-IF(AND(Projects!$G$42="Yes",AR$3=Projects!$C$42+Projects!$D$42-1),Projects!$B$42*(Assumptions!$B$10+Assumptions!$B$11+Assumptions!$B$12)*0.05,0)</f>
        <v/>
      </c>
      <c r="AS51" s="399">
        <f>IF(AND(Projects!$G$42="Yes",AS$3&gt;=Projects!$C$42,AS$3&lt;Projects!$C$42+Projects!$D$42),Projects!$B$42*INDEX(Curves!$B$4:$AR$4,1,AS$3-Projects!$C$42+1),0)-IF(AND(Projects!$G$42="Yes",AS$3&gt;=Projects!$C$42,AS$3&lt;Projects!$C$42+Projects!$D$42),Projects!$B$42*(Assumptions!$B$10+Assumptions!$B$11+Assumptions!$B$12)/Projects!$D$42*0.95,0)-IF(AND(Projects!$G$42="Yes",AS$3=Projects!$C$42+Projects!$D$42-1),Projects!$B$42*(Assumptions!$B$10+Assumptions!$B$11+Assumptions!$B$12)*0.05,0)</f>
        <v/>
      </c>
      <c r="AT51" s="399">
        <f>IF(AND(Projects!$G$42="Yes",AT$3&gt;=Projects!$C$42,AT$3&lt;Projects!$C$42+Projects!$D$42),Projects!$B$42*INDEX(Curves!$B$4:$AR$4,1,AT$3-Projects!$C$42+1),0)-IF(AND(Projects!$G$42="Yes",AT$3&gt;=Projects!$C$42,AT$3&lt;Projects!$C$42+Projects!$D$42),Projects!$B$42*(Assumptions!$B$10+Assumptions!$B$11+Assumptions!$B$12)/Projects!$D$42*0.95,0)-IF(AND(Projects!$G$42="Yes",AT$3=Projects!$C$42+Projects!$D$42-1),Projects!$B$42*(Assumptions!$B$10+Assumptions!$B$11+Assumptions!$B$12)*0.05,0)</f>
        <v/>
      </c>
      <c r="AU51" s="399">
        <f>IF(AND(Projects!$G$42="Yes",AU$3&gt;=Projects!$C$42,AU$3&lt;Projects!$C$42+Projects!$D$42),Projects!$B$42*INDEX(Curves!$B$4:$AR$4,1,AU$3-Projects!$C$42+1),0)-IF(AND(Projects!$G$42="Yes",AU$3&gt;=Projects!$C$42,AU$3&lt;Projects!$C$42+Projects!$D$42),Projects!$B$42*(Assumptions!$B$10+Assumptions!$B$11+Assumptions!$B$12)/Projects!$D$42*0.95,0)-IF(AND(Projects!$G$42="Yes",AU$3=Projects!$C$42+Projects!$D$42-1),Projects!$B$42*(Assumptions!$B$10+Assumptions!$B$11+Assumptions!$B$12)*0.05,0)</f>
        <v/>
      </c>
      <c r="AV51" s="399">
        <f>IF(AND(Projects!$G$42="Yes",AV$3&gt;=Projects!$C$42,AV$3&lt;Projects!$C$42+Projects!$D$42),Projects!$B$42*INDEX(Curves!$B$4:$AR$4,1,AV$3-Projects!$C$42+1),0)-IF(AND(Projects!$G$42="Yes",AV$3&gt;=Projects!$C$42,AV$3&lt;Projects!$C$42+Projects!$D$42),Projects!$B$42*(Assumptions!$B$10+Assumptions!$B$11+Assumptions!$B$12)/Projects!$D$42*0.95,0)-IF(AND(Projects!$G$42="Yes",AV$3=Projects!$C$42+Projects!$D$42-1),Projects!$B$42*(Assumptions!$B$10+Assumptions!$B$11+Assumptions!$B$12)*0.05,0)</f>
        <v/>
      </c>
      <c r="AW51" s="399">
        <f>IF(AND(Projects!$G$42="Yes",AW$3&gt;=Projects!$C$42,AW$3&lt;Projects!$C$42+Projects!$D$42),Projects!$B$42*INDEX(Curves!$B$4:$AR$4,1,AW$3-Projects!$C$42+1),0)-IF(AND(Projects!$G$42="Yes",AW$3&gt;=Projects!$C$42,AW$3&lt;Projects!$C$42+Projects!$D$42),Projects!$B$42*(Assumptions!$B$10+Assumptions!$B$11+Assumptions!$B$12)/Projects!$D$42*0.95,0)-IF(AND(Projects!$G$42="Yes",AW$3=Projects!$C$42+Projects!$D$42-1),Projects!$B$42*(Assumptions!$B$10+Assumptions!$B$11+Assumptions!$B$12)*0.05,0)</f>
        <v/>
      </c>
      <c r="AX51" s="399">
        <f>IF(AND(Projects!$G$42="Yes",AX$3&gt;=Projects!$C$42,AX$3&lt;Projects!$C$42+Projects!$D$42),Projects!$B$42*INDEX(Curves!$B$4:$AR$4,1,AX$3-Projects!$C$42+1),0)-IF(AND(Projects!$G$42="Yes",AX$3&gt;=Projects!$C$42,AX$3&lt;Projects!$C$42+Projects!$D$42),Projects!$B$42*(Assumptions!$B$10+Assumptions!$B$11+Assumptions!$B$12)/Projects!$D$42*0.95,0)-IF(AND(Projects!$G$42="Yes",AX$3=Projects!$C$42+Projects!$D$42-1),Projects!$B$42*(Assumptions!$B$10+Assumptions!$B$11+Assumptions!$B$12)*0.05,0)</f>
        <v/>
      </c>
      <c r="AY51" s="399">
        <f>IF(AND(Projects!$G$42="Yes",AY$3&gt;=Projects!$C$42,AY$3&lt;Projects!$C$42+Projects!$D$42),Projects!$B$42*INDEX(Curves!$B$4:$AR$4,1,AY$3-Projects!$C$42+1),0)-IF(AND(Projects!$G$42="Yes",AY$3&gt;=Projects!$C$42,AY$3&lt;Projects!$C$42+Projects!$D$42),Projects!$B$42*(Assumptions!$B$10+Assumptions!$B$11+Assumptions!$B$12)/Projects!$D$42*0.95,0)-IF(AND(Projects!$G$42="Yes",AY$3=Projects!$C$42+Projects!$D$42-1),Projects!$B$42*(Assumptions!$B$10+Assumptions!$B$11+Assumptions!$B$12)*0.05,0)</f>
        <v/>
      </c>
      <c r="AZ51" s="399">
        <f>IF(AND(Projects!$G$42="Yes",AZ$3&gt;=Projects!$C$42,AZ$3&lt;Projects!$C$42+Projects!$D$42),Projects!$B$42*INDEX(Curves!$B$4:$AR$4,1,AZ$3-Projects!$C$42+1),0)-IF(AND(Projects!$G$42="Yes",AZ$3&gt;=Projects!$C$42,AZ$3&lt;Projects!$C$42+Projects!$D$42),Projects!$B$42*(Assumptions!$B$10+Assumptions!$B$11+Assumptions!$B$12)/Projects!$D$42*0.95,0)-IF(AND(Projects!$G$42="Yes",AZ$3=Projects!$C$42+Projects!$D$42-1),Projects!$B$42*(Assumptions!$B$10+Assumptions!$B$11+Assumptions!$B$12)*0.05,0)</f>
        <v/>
      </c>
      <c r="BA51" s="399">
        <f>IF(AND(Projects!$G$42="Yes",BA$3&gt;=Projects!$C$42,BA$3&lt;Projects!$C$42+Projects!$D$42),Projects!$B$42*INDEX(Curves!$B$4:$AR$4,1,BA$3-Projects!$C$42+1),0)-IF(AND(Projects!$G$42="Yes",BA$3&gt;=Projects!$C$42,BA$3&lt;Projects!$C$42+Projects!$D$42),Projects!$B$42*(Assumptions!$B$10+Assumptions!$B$11+Assumptions!$B$12)/Projects!$D$42*0.95,0)-IF(AND(Projects!$G$42="Yes",BA$3=Projects!$C$42+Projects!$D$42-1),Projects!$B$42*(Assumptions!$B$10+Assumptions!$B$11+Assumptions!$B$12)*0.05,0)</f>
        <v/>
      </c>
      <c r="BB51" s="399">
        <f>IF(AND(Projects!$G$42="Yes",BB$3&gt;=Projects!$C$42,BB$3&lt;Projects!$C$42+Projects!$D$42),Projects!$B$42*INDEX(Curves!$B$4:$AR$4,1,BB$3-Projects!$C$42+1),0)-IF(AND(Projects!$G$42="Yes",BB$3&gt;=Projects!$C$42,BB$3&lt;Projects!$C$42+Projects!$D$42),Projects!$B$42*(Assumptions!$B$10+Assumptions!$B$11+Assumptions!$B$12)/Projects!$D$42*0.95,0)-IF(AND(Projects!$G$42="Yes",BB$3=Projects!$C$42+Projects!$D$42-1),Projects!$B$42*(Assumptions!$B$10+Assumptions!$B$11+Assumptions!$B$12)*0.05,0)</f>
        <v/>
      </c>
      <c r="BC51" s="399">
        <f>IF(AND(Projects!$G$42="Yes",BC$3&gt;=Projects!$C$42,BC$3&lt;Projects!$C$42+Projects!$D$42),Projects!$B$42*INDEX(Curves!$B$4:$AR$4,1,BC$3-Projects!$C$42+1),0)-IF(AND(Projects!$G$42="Yes",BC$3&gt;=Projects!$C$42,BC$3&lt;Projects!$C$42+Projects!$D$42),Projects!$B$42*(Assumptions!$B$10+Assumptions!$B$11+Assumptions!$B$12)/Projects!$D$42*0.95,0)-IF(AND(Projects!$G$42="Yes",BC$3=Projects!$C$42+Projects!$D$42-1),Projects!$B$42*(Assumptions!$B$10+Assumptions!$B$11+Assumptions!$B$12)*0.05,0)</f>
        <v/>
      </c>
      <c r="BD51" s="399">
        <f>IF(AND(Projects!$G$42="Yes",BD$3&gt;=Projects!$C$42,BD$3&lt;Projects!$C$42+Projects!$D$42),Projects!$B$42*INDEX(Curves!$B$4:$AR$4,1,BD$3-Projects!$C$42+1),0)-IF(AND(Projects!$G$42="Yes",BD$3&gt;=Projects!$C$42,BD$3&lt;Projects!$C$42+Projects!$D$42),Projects!$B$42*(Assumptions!$B$10+Assumptions!$B$11+Assumptions!$B$12)/Projects!$D$42*0.95,0)-IF(AND(Projects!$G$42="Yes",BD$3=Projects!$C$42+Projects!$D$42-1),Projects!$B$42*(Assumptions!$B$10+Assumptions!$B$11+Assumptions!$B$12)*0.05,0)</f>
        <v/>
      </c>
      <c r="BE51" s="399">
        <f>IF(AND(Projects!$G$42="Yes",BE$3&gt;=Projects!$C$42,BE$3&lt;Projects!$C$42+Projects!$D$42),Projects!$B$42*INDEX(Curves!$B$4:$AR$4,1,BE$3-Projects!$C$42+1),0)-IF(AND(Projects!$G$42="Yes",BE$3&gt;=Projects!$C$42,BE$3&lt;Projects!$C$42+Projects!$D$42),Projects!$B$42*(Assumptions!$B$10+Assumptions!$B$11+Assumptions!$B$12)/Projects!$D$42*0.95,0)-IF(AND(Projects!$G$42="Yes",BE$3=Projects!$C$42+Projects!$D$42-1),Projects!$B$42*(Assumptions!$B$10+Assumptions!$B$11+Assumptions!$B$12)*0.05,0)</f>
        <v/>
      </c>
      <c r="BF51" s="399">
        <f>IF(AND(Projects!$G$42="Yes",BF$3&gt;=Projects!$C$42,BF$3&lt;Projects!$C$42+Projects!$D$42),Projects!$B$42*INDEX(Curves!$B$4:$AR$4,1,BF$3-Projects!$C$42+1),0)-IF(AND(Projects!$G$42="Yes",BF$3&gt;=Projects!$C$42,BF$3&lt;Projects!$C$42+Projects!$D$42),Projects!$B$42*(Assumptions!$B$10+Assumptions!$B$11+Assumptions!$B$12)/Projects!$D$42*0.95,0)-IF(AND(Projects!$G$42="Yes",BF$3=Projects!$C$42+Projects!$D$42-1),Projects!$B$42*(Assumptions!$B$10+Assumptions!$B$11+Assumptions!$B$12)*0.05,0)</f>
        <v/>
      </c>
      <c r="BG51" s="399">
        <f>IF(AND(Projects!$G$42="Yes",BG$3&gt;=Projects!$C$42,BG$3&lt;Projects!$C$42+Projects!$D$42),Projects!$B$42*INDEX(Curves!$B$4:$AR$4,1,BG$3-Projects!$C$42+1),0)-IF(AND(Projects!$G$42="Yes",BG$3&gt;=Projects!$C$42,BG$3&lt;Projects!$C$42+Projects!$D$42),Projects!$B$42*(Assumptions!$B$10+Assumptions!$B$11+Assumptions!$B$12)/Projects!$D$42*0.95,0)-IF(AND(Projects!$G$42="Yes",BG$3=Projects!$C$42+Projects!$D$42-1),Projects!$B$42*(Assumptions!$B$10+Assumptions!$B$11+Assumptions!$B$12)*0.05,0)</f>
        <v/>
      </c>
      <c r="BH51" s="399">
        <f>IF(AND(Projects!$G$42="Yes",BH$3&gt;=Projects!$C$42,BH$3&lt;Projects!$C$42+Projects!$D$42),Projects!$B$42*INDEX(Curves!$B$4:$AR$4,1,BH$3-Projects!$C$42+1),0)-IF(AND(Projects!$G$42="Yes",BH$3&gt;=Projects!$C$42,BH$3&lt;Projects!$C$42+Projects!$D$42),Projects!$B$42*(Assumptions!$B$10+Assumptions!$B$11+Assumptions!$B$12)/Projects!$D$42*0.95,0)-IF(AND(Projects!$G$42="Yes",BH$3=Projects!$C$42+Projects!$D$42-1),Projects!$B$42*(Assumptions!$B$10+Assumptions!$B$11+Assumptions!$B$12)*0.05,0)</f>
        <v/>
      </c>
      <c r="BI51" s="399">
        <f>IF(AND(Projects!$G$42="Yes",BI$3&gt;=Projects!$C$42,BI$3&lt;Projects!$C$42+Projects!$D$42),Projects!$B$42*INDEX(Curves!$B$4:$AR$4,1,BI$3-Projects!$C$42+1),0)-IF(AND(Projects!$G$42="Yes",BI$3&gt;=Projects!$C$42,BI$3&lt;Projects!$C$42+Projects!$D$42),Projects!$B$42*(Assumptions!$B$10+Assumptions!$B$11+Assumptions!$B$12)/Projects!$D$42*0.95,0)-IF(AND(Projects!$G$42="Yes",BI$3=Projects!$C$42+Projects!$D$42-1),Projects!$B$42*(Assumptions!$B$10+Assumptions!$B$11+Assumptions!$B$12)*0.05,0)</f>
        <v/>
      </c>
      <c r="BJ51" s="399">
        <f>IF(AND(Projects!$G$42="Yes",BJ$3&gt;=Projects!$C$42,BJ$3&lt;Projects!$C$42+Projects!$D$42),Projects!$B$42*INDEX(Curves!$B$4:$AR$4,1,BJ$3-Projects!$C$42+1),0)-IF(AND(Projects!$G$42="Yes",BJ$3&gt;=Projects!$C$42,BJ$3&lt;Projects!$C$42+Projects!$D$42),Projects!$B$42*(Assumptions!$B$10+Assumptions!$B$11+Assumptions!$B$12)/Projects!$D$42*0.95,0)-IF(AND(Projects!$G$42="Yes",BJ$3=Projects!$C$42+Projects!$D$42-1),Projects!$B$42*(Assumptions!$B$10+Assumptions!$B$11+Assumptions!$B$12)*0.05,0)</f>
        <v/>
      </c>
      <c r="BK51" s="399">
        <f>IF(AND(Projects!$G$42="Yes",BK$3&gt;=Projects!$C$42,BK$3&lt;Projects!$C$42+Projects!$D$42),Projects!$B$42*INDEX(Curves!$B$4:$AR$4,1,BK$3-Projects!$C$42+1),0)-IF(AND(Projects!$G$42="Yes",BK$3&gt;=Projects!$C$42,BK$3&lt;Projects!$C$42+Projects!$D$42),Projects!$B$42*(Assumptions!$B$10+Assumptions!$B$11+Assumptions!$B$12)/Projects!$D$42*0.95,0)-IF(AND(Projects!$G$42="Yes",BK$3=Projects!$C$42+Projects!$D$42-1),Projects!$B$42*(Assumptions!$B$10+Assumptions!$B$11+Assumptions!$B$12)*0.05,0)</f>
        <v/>
      </c>
      <c r="BL51" s="399">
        <f>IF(AND(Projects!$G$42="Yes",BL$3&gt;=Projects!$C$42,BL$3&lt;Projects!$C$42+Projects!$D$42),Projects!$B$42*INDEX(Curves!$B$4:$AR$4,1,BL$3-Projects!$C$42+1),0)-IF(AND(Projects!$G$42="Yes",BL$3&gt;=Projects!$C$42,BL$3&lt;Projects!$C$42+Projects!$D$42),Projects!$B$42*(Assumptions!$B$10+Assumptions!$B$11+Assumptions!$B$12)/Projects!$D$42*0.95,0)-IF(AND(Projects!$G$42="Yes",BL$3=Projects!$C$42+Projects!$D$42-1),Projects!$B$42*(Assumptions!$B$10+Assumptions!$B$11+Assumptions!$B$12)*0.05,0)</f>
        <v/>
      </c>
      <c r="BM51" s="399">
        <f>IF(AND(Projects!$G$42="Yes",BM$3&gt;=Projects!$C$42,BM$3&lt;Projects!$C$42+Projects!$D$42),Projects!$B$42*INDEX(Curves!$B$4:$AR$4,1,BM$3-Projects!$C$42+1),0)-IF(AND(Projects!$G$42="Yes",BM$3&gt;=Projects!$C$42,BM$3&lt;Projects!$C$42+Projects!$D$42),Projects!$B$42*(Assumptions!$B$10+Assumptions!$B$11+Assumptions!$B$12)/Projects!$D$42*0.95,0)-IF(AND(Projects!$G$42="Yes",BM$3=Projects!$C$42+Projects!$D$42-1),Projects!$B$42*(Assumptions!$B$10+Assumptions!$B$11+Assumptions!$B$12)*0.05,0)</f>
        <v/>
      </c>
      <c r="BN51" s="399">
        <f>IF(AND(Projects!$G$42="Yes",BN$3&gt;=Projects!$C$42,BN$3&lt;Projects!$C$42+Projects!$D$42),Projects!$B$42*INDEX(Curves!$B$4:$AR$4,1,BN$3-Projects!$C$42+1),0)-IF(AND(Projects!$G$42="Yes",BN$3&gt;=Projects!$C$42,BN$3&lt;Projects!$C$42+Projects!$D$42),Projects!$B$42*(Assumptions!$B$10+Assumptions!$B$11+Assumptions!$B$12)/Projects!$D$42*0.95,0)-IF(AND(Projects!$G$42="Yes",BN$3=Projects!$C$42+Projects!$D$42-1),Projects!$B$42*(Assumptions!$B$10+Assumptions!$B$11+Assumptions!$B$12)*0.05,0)</f>
        <v/>
      </c>
      <c r="BO51" s="399">
        <f>IF(AND(Projects!$G$42="Yes",BO$3&gt;=Projects!$C$42,BO$3&lt;Projects!$C$42+Projects!$D$42),Projects!$B$42*INDEX(Curves!$B$4:$AR$4,1,BO$3-Projects!$C$42+1),0)-IF(AND(Projects!$G$42="Yes",BO$3&gt;=Projects!$C$42,BO$3&lt;Projects!$C$42+Projects!$D$42),Projects!$B$42*(Assumptions!$B$10+Assumptions!$B$11+Assumptions!$B$12)/Projects!$D$42*0.95,0)-IF(AND(Projects!$G$42="Yes",BO$3=Projects!$C$42+Projects!$D$42-1),Projects!$B$42*(Assumptions!$B$10+Assumptions!$B$11+Assumptions!$B$12)*0.05,0)</f>
        <v/>
      </c>
      <c r="BP51" s="399">
        <f>IF(AND(Projects!$G$42="Yes",BP$3&gt;=Projects!$C$42,BP$3&lt;Projects!$C$42+Projects!$D$42),Projects!$B$42*INDEX(Curves!$B$4:$AR$4,1,BP$3-Projects!$C$42+1),0)-IF(AND(Projects!$G$42="Yes",BP$3&gt;=Projects!$C$42,BP$3&lt;Projects!$C$42+Projects!$D$42),Projects!$B$42*(Assumptions!$B$10+Assumptions!$B$11+Assumptions!$B$12)/Projects!$D$42*0.95,0)-IF(AND(Projects!$G$42="Yes",BP$3=Projects!$C$42+Projects!$D$42-1),Projects!$B$42*(Assumptions!$B$10+Assumptions!$B$11+Assumptions!$B$12)*0.05,0)</f>
        <v/>
      </c>
      <c r="BQ51" s="399">
        <f>IF(AND(Projects!$G$42="Yes",BQ$3&gt;=Projects!$C$42,BQ$3&lt;Projects!$C$42+Projects!$D$42),Projects!$B$42*INDEX(Curves!$B$4:$AR$4,1,BQ$3-Projects!$C$42+1),0)-IF(AND(Projects!$G$42="Yes",BQ$3&gt;=Projects!$C$42,BQ$3&lt;Projects!$C$42+Projects!$D$42),Projects!$B$42*(Assumptions!$B$10+Assumptions!$B$11+Assumptions!$B$12)/Projects!$D$42*0.95,0)-IF(AND(Projects!$G$42="Yes",BQ$3=Projects!$C$42+Projects!$D$42-1),Projects!$B$42*(Assumptions!$B$10+Assumptions!$B$11+Assumptions!$B$12)*0.05,0)</f>
        <v/>
      </c>
      <c r="BR51" s="399">
        <f>IF(AND(Projects!$G$42="Yes",BR$3&gt;=Projects!$C$42,BR$3&lt;Projects!$C$42+Projects!$D$42),Projects!$B$42*INDEX(Curves!$B$4:$AR$4,1,BR$3-Projects!$C$42+1),0)-IF(AND(Projects!$G$42="Yes",BR$3&gt;=Projects!$C$42,BR$3&lt;Projects!$C$42+Projects!$D$42),Projects!$B$42*(Assumptions!$B$10+Assumptions!$B$11+Assumptions!$B$12)/Projects!$D$42*0.95,0)-IF(AND(Projects!$G$42="Yes",BR$3=Projects!$C$42+Projects!$D$42-1),Projects!$B$42*(Assumptions!$B$10+Assumptions!$B$11+Assumptions!$B$12)*0.05,0)</f>
        <v/>
      </c>
      <c r="BS51" s="399">
        <f>IF(AND(Projects!$G$42="Yes",BS$3&gt;=Projects!$C$42,BS$3&lt;Projects!$C$42+Projects!$D$42),Projects!$B$42*INDEX(Curves!$B$4:$AR$4,1,BS$3-Projects!$C$42+1),0)-IF(AND(Projects!$G$42="Yes",BS$3&gt;=Projects!$C$42,BS$3&lt;Projects!$C$42+Projects!$D$42),Projects!$B$42*(Assumptions!$B$10+Assumptions!$B$11+Assumptions!$B$12)/Projects!$D$42*0.95,0)-IF(AND(Projects!$G$42="Yes",BS$3=Projects!$C$42+Projects!$D$42-1),Projects!$B$42*(Assumptions!$B$10+Assumptions!$B$11+Assumptions!$B$12)*0.05,0)</f>
        <v/>
      </c>
      <c r="BT51" s="399">
        <f>IF(AND(Projects!$G$42="Yes",BT$3&gt;=Projects!$C$42,BT$3&lt;Projects!$C$42+Projects!$D$42),Projects!$B$42*INDEX(Curves!$B$4:$AR$4,1,BT$3-Projects!$C$42+1),0)-IF(AND(Projects!$G$42="Yes",BT$3&gt;=Projects!$C$42,BT$3&lt;Projects!$C$42+Projects!$D$42),Projects!$B$42*(Assumptions!$B$10+Assumptions!$B$11+Assumptions!$B$12)/Projects!$D$42*0.95,0)-IF(AND(Projects!$G$42="Yes",BT$3=Projects!$C$42+Projects!$D$42-1),Projects!$B$42*(Assumptions!$B$10+Assumptions!$B$11+Assumptions!$B$12)*0.05,0)</f>
        <v/>
      </c>
      <c r="BU51" s="399">
        <f>IF(AND(Projects!$G$42="Yes",BU$3&gt;=Projects!$C$42,BU$3&lt;Projects!$C$42+Projects!$D$42),Projects!$B$42*INDEX(Curves!$B$4:$AR$4,1,BU$3-Projects!$C$42+1),0)-IF(AND(Projects!$G$42="Yes",BU$3&gt;=Projects!$C$42,BU$3&lt;Projects!$C$42+Projects!$D$42),Projects!$B$42*(Assumptions!$B$10+Assumptions!$B$11+Assumptions!$B$12)/Projects!$D$42*0.95,0)-IF(AND(Projects!$G$42="Yes",BU$3=Projects!$C$42+Projects!$D$42-1),Projects!$B$42*(Assumptions!$B$10+Assumptions!$B$11+Assumptions!$B$12)*0.05,0)</f>
        <v/>
      </c>
      <c r="BV51" s="399">
        <f>IF(AND(Projects!$G$42="Yes",BV$3&gt;=Projects!$C$42,BV$3&lt;Projects!$C$42+Projects!$D$42),Projects!$B$42*INDEX(Curves!$B$4:$AR$4,1,BV$3-Projects!$C$42+1),0)-IF(AND(Projects!$G$42="Yes",BV$3&gt;=Projects!$C$42,BV$3&lt;Projects!$C$42+Projects!$D$42),Projects!$B$42*(Assumptions!$B$10+Assumptions!$B$11+Assumptions!$B$12)/Projects!$D$42*0.95,0)-IF(AND(Projects!$G$42="Yes",BV$3=Projects!$C$42+Projects!$D$42-1),Projects!$B$42*(Assumptions!$B$10+Assumptions!$B$11+Assumptions!$B$12)*0.05,0)</f>
        <v/>
      </c>
      <c r="BW51" s="399">
        <f>IF(AND(Projects!$G$42="Yes",BW$3&gt;=Projects!$C$42,BW$3&lt;Projects!$C$42+Projects!$D$42),Projects!$B$42*INDEX(Curves!$B$4:$AR$4,1,BW$3-Projects!$C$42+1),0)-IF(AND(Projects!$G$42="Yes",BW$3&gt;=Projects!$C$42,BW$3&lt;Projects!$C$42+Projects!$D$42),Projects!$B$42*(Assumptions!$B$10+Assumptions!$B$11+Assumptions!$B$12)/Projects!$D$42*0.95,0)-IF(AND(Projects!$G$42="Yes",BW$3=Projects!$C$42+Projects!$D$42-1),Projects!$B$42*(Assumptions!$B$10+Assumptions!$B$11+Assumptions!$B$12)*0.05,0)</f>
        <v/>
      </c>
      <c r="BX51" s="399">
        <f>IF(AND(Projects!$G$42="Yes",BX$3&gt;=Projects!$C$42,BX$3&lt;Projects!$C$42+Projects!$D$42),Projects!$B$42*INDEX(Curves!$B$4:$AR$4,1,BX$3-Projects!$C$42+1),0)-IF(AND(Projects!$G$42="Yes",BX$3&gt;=Projects!$C$42,BX$3&lt;Projects!$C$42+Projects!$D$42),Projects!$B$42*(Assumptions!$B$10+Assumptions!$B$11+Assumptions!$B$12)/Projects!$D$42*0.95,0)-IF(AND(Projects!$G$42="Yes",BX$3=Projects!$C$42+Projects!$D$42-1),Projects!$B$42*(Assumptions!$B$10+Assumptions!$B$11+Assumptions!$B$12)*0.05,0)</f>
        <v/>
      </c>
      <c r="BY51" s="399">
        <f>IF(AND(Projects!$G$42="Yes",BY$3&gt;=Projects!$C$42,BY$3&lt;Projects!$C$42+Projects!$D$42),Projects!$B$42*INDEX(Curves!$B$4:$AR$4,1,BY$3-Projects!$C$42+1),0)-IF(AND(Projects!$G$42="Yes",BY$3&gt;=Projects!$C$42,BY$3&lt;Projects!$C$42+Projects!$D$42),Projects!$B$42*(Assumptions!$B$10+Assumptions!$B$11+Assumptions!$B$12)/Projects!$D$42*0.95,0)-IF(AND(Projects!$G$42="Yes",BY$3=Projects!$C$42+Projects!$D$42-1),Projects!$B$42*(Assumptions!$B$10+Assumptions!$B$11+Assumptions!$B$12)*0.05,0)</f>
        <v/>
      </c>
      <c r="BZ51" s="399">
        <f>IF(AND(Projects!$G$42="Yes",BZ$3&gt;=Projects!$C$42,BZ$3&lt;Projects!$C$42+Projects!$D$42),Projects!$B$42*INDEX(Curves!$B$4:$AR$4,1,BZ$3-Projects!$C$42+1),0)-IF(AND(Projects!$G$42="Yes",BZ$3&gt;=Projects!$C$42,BZ$3&lt;Projects!$C$42+Projects!$D$42),Projects!$B$42*(Assumptions!$B$10+Assumptions!$B$11+Assumptions!$B$12)/Projects!$D$42*0.95,0)-IF(AND(Projects!$G$42="Yes",BZ$3=Projects!$C$42+Projects!$D$42-1),Projects!$B$42*(Assumptions!$B$10+Assumptions!$B$11+Assumptions!$B$12)*0.05,0)</f>
        <v/>
      </c>
      <c r="CA51" s="399">
        <f>IF(AND(Projects!$G$42="Yes",CA$3&gt;=Projects!$C$42,CA$3&lt;Projects!$C$42+Projects!$D$42),Projects!$B$42*INDEX(Curves!$B$4:$AR$4,1,CA$3-Projects!$C$42+1),0)-IF(AND(Projects!$G$42="Yes",CA$3&gt;=Projects!$C$42,CA$3&lt;Projects!$C$42+Projects!$D$42),Projects!$B$42*(Assumptions!$B$10+Assumptions!$B$11+Assumptions!$B$12)/Projects!$D$42*0.95,0)-IF(AND(Projects!$G$42="Yes",CA$3=Projects!$C$42+Projects!$D$42-1),Projects!$B$42*(Assumptions!$B$10+Assumptions!$B$11+Assumptions!$B$12)*0.05,0)</f>
        <v/>
      </c>
      <c r="CB51" s="399">
        <f>IF(AND(Projects!$G$42="Yes",CB$3&gt;=Projects!$C$42,CB$3&lt;Projects!$C$42+Projects!$D$42),Projects!$B$42*INDEX(Curves!$B$4:$AR$4,1,CB$3-Projects!$C$42+1),0)-IF(AND(Projects!$G$42="Yes",CB$3&gt;=Projects!$C$42,CB$3&lt;Projects!$C$42+Projects!$D$42),Projects!$B$42*(Assumptions!$B$10+Assumptions!$B$11+Assumptions!$B$12)/Projects!$D$42*0.95,0)-IF(AND(Projects!$G$42="Yes",CB$3=Projects!$C$42+Projects!$D$42-1),Projects!$B$42*(Assumptions!$B$10+Assumptions!$B$11+Assumptions!$B$12)*0.05,0)</f>
        <v/>
      </c>
      <c r="CC51" s="399">
        <f>IF(AND(Projects!$G$42="Yes",CC$3&gt;=Projects!$C$42,CC$3&lt;Projects!$C$42+Projects!$D$42),Projects!$B$42*INDEX(Curves!$B$4:$AR$4,1,CC$3-Projects!$C$42+1),0)-IF(AND(Projects!$G$42="Yes",CC$3&gt;=Projects!$C$42,CC$3&lt;Projects!$C$42+Projects!$D$42),Projects!$B$42*(Assumptions!$B$10+Assumptions!$B$11+Assumptions!$B$12)/Projects!$D$42*0.95,0)-IF(AND(Projects!$G$42="Yes",CC$3=Projects!$C$42+Projects!$D$42-1),Projects!$B$42*(Assumptions!$B$10+Assumptions!$B$11+Assumptions!$B$12)*0.05,0)</f>
        <v/>
      </c>
      <c r="CD51" s="399">
        <f>IF(AND(Projects!$G$42="Yes",CD$3&gt;=Projects!$C$42,CD$3&lt;Projects!$C$42+Projects!$D$42),Projects!$B$42*INDEX(Curves!$B$4:$AR$4,1,CD$3-Projects!$C$42+1),0)-IF(AND(Projects!$G$42="Yes",CD$3&gt;=Projects!$C$42,CD$3&lt;Projects!$C$42+Projects!$D$42),Projects!$B$42*(Assumptions!$B$10+Assumptions!$B$11+Assumptions!$B$12)/Projects!$D$42*0.95,0)-IF(AND(Projects!$G$42="Yes",CD$3=Projects!$C$42+Projects!$D$42-1),Projects!$B$42*(Assumptions!$B$10+Assumptions!$B$11+Assumptions!$B$12)*0.05,0)</f>
        <v/>
      </c>
      <c r="CE51" s="399">
        <f>IF(AND(Projects!$G$42="Yes",CE$3&gt;=Projects!$C$42,CE$3&lt;Projects!$C$42+Projects!$D$42),Projects!$B$42*INDEX(Curves!$B$4:$AR$4,1,CE$3-Projects!$C$42+1),0)-IF(AND(Projects!$G$42="Yes",CE$3&gt;=Projects!$C$42,CE$3&lt;Projects!$C$42+Projects!$D$42),Projects!$B$42*(Assumptions!$B$10+Assumptions!$B$11+Assumptions!$B$12)/Projects!$D$42*0.95,0)-IF(AND(Projects!$G$42="Yes",CE$3=Projects!$C$42+Projects!$D$42-1),Projects!$B$42*(Assumptions!$B$10+Assumptions!$B$11+Assumptions!$B$12)*0.05,0)</f>
        <v/>
      </c>
      <c r="CF51" s="399">
        <f>IF(AND(Projects!$G$42="Yes",CF$3&gt;=Projects!$C$42,CF$3&lt;Projects!$C$42+Projects!$D$42),Projects!$B$42*INDEX(Curves!$B$4:$AR$4,1,CF$3-Projects!$C$42+1),0)-IF(AND(Projects!$G$42="Yes",CF$3&gt;=Projects!$C$42,CF$3&lt;Projects!$C$42+Projects!$D$42),Projects!$B$42*(Assumptions!$B$10+Assumptions!$B$11+Assumptions!$B$12)/Projects!$D$42*0.95,0)-IF(AND(Projects!$G$42="Yes",CF$3=Projects!$C$42+Projects!$D$42-1),Projects!$B$42*(Assumptions!$B$10+Assumptions!$B$11+Assumptions!$B$12)*0.05,0)</f>
        <v/>
      </c>
      <c r="CG51" s="399">
        <f>IF(AND(Projects!$G$42="Yes",CG$3&gt;=Projects!$C$42,CG$3&lt;Projects!$C$42+Projects!$D$42),Projects!$B$42*INDEX(Curves!$B$4:$AR$4,1,CG$3-Projects!$C$42+1),0)-IF(AND(Projects!$G$42="Yes",CG$3&gt;=Projects!$C$42,CG$3&lt;Projects!$C$42+Projects!$D$42),Projects!$B$42*(Assumptions!$B$10+Assumptions!$B$11+Assumptions!$B$12)/Projects!$D$42*0.95,0)-IF(AND(Projects!$G$42="Yes",CG$3=Projects!$C$42+Projects!$D$42-1),Projects!$B$42*(Assumptions!$B$10+Assumptions!$B$11+Assumptions!$B$12)*0.05,0)</f>
        <v/>
      </c>
      <c r="CH51" s="399">
        <f>IF(AND(Projects!$G$42="Yes",CH$3&gt;=Projects!$C$42,CH$3&lt;Projects!$C$42+Projects!$D$42),Projects!$B$42*INDEX(Curves!$B$4:$AR$4,1,CH$3-Projects!$C$42+1),0)-IF(AND(Projects!$G$42="Yes",CH$3&gt;=Projects!$C$42,CH$3&lt;Projects!$C$42+Projects!$D$42),Projects!$B$42*(Assumptions!$B$10+Assumptions!$B$11+Assumptions!$B$12)/Projects!$D$42*0.95,0)-IF(AND(Projects!$G$42="Yes",CH$3=Projects!$C$42+Projects!$D$42-1),Projects!$B$42*(Assumptions!$B$10+Assumptions!$B$11+Assumptions!$B$12)*0.05,0)</f>
        <v/>
      </c>
      <c r="CI51" s="399">
        <f>IF(AND(Projects!$G$42="Yes",CI$3&gt;=Projects!$C$42,CI$3&lt;Projects!$C$42+Projects!$D$42),Projects!$B$42*INDEX(Curves!$B$4:$AR$4,1,CI$3-Projects!$C$42+1),0)-IF(AND(Projects!$G$42="Yes",CI$3&gt;=Projects!$C$42,CI$3&lt;Projects!$C$42+Projects!$D$42),Projects!$B$42*(Assumptions!$B$10+Assumptions!$B$11+Assumptions!$B$12)/Projects!$D$42*0.95,0)-IF(AND(Projects!$G$42="Yes",CI$3=Projects!$C$42+Projects!$D$42-1),Projects!$B$42*(Assumptions!$B$10+Assumptions!$B$11+Assumptions!$B$12)*0.05,0)</f>
        <v/>
      </c>
      <c r="CJ51" s="399">
        <f>IF(AND(Projects!$G$42="Yes",CJ$3&gt;=Projects!$C$42,CJ$3&lt;Projects!$C$42+Projects!$D$42),Projects!$B$42*INDEX(Curves!$B$4:$AR$4,1,CJ$3-Projects!$C$42+1),0)-IF(AND(Projects!$G$42="Yes",CJ$3&gt;=Projects!$C$42,CJ$3&lt;Projects!$C$42+Projects!$D$42),Projects!$B$42*(Assumptions!$B$10+Assumptions!$B$11+Assumptions!$B$12)/Projects!$D$42*0.95,0)-IF(AND(Projects!$G$42="Yes",CJ$3=Projects!$C$42+Projects!$D$42-1),Projects!$B$42*(Assumptions!$B$10+Assumptions!$B$11+Assumptions!$B$12)*0.05,0)</f>
        <v/>
      </c>
      <c r="CK51" s="399">
        <f>IF(AND(Projects!$G$42="Yes",CK$3&gt;=Projects!$C$42,CK$3&lt;Projects!$C$42+Projects!$D$42),Projects!$B$42*INDEX(Curves!$B$4:$AR$4,1,CK$3-Projects!$C$42+1),0)-IF(AND(Projects!$G$42="Yes",CK$3&gt;=Projects!$C$42,CK$3&lt;Projects!$C$42+Projects!$D$42),Projects!$B$42*(Assumptions!$B$10+Assumptions!$B$11+Assumptions!$B$12)/Projects!$D$42*0.95,0)-IF(AND(Projects!$G$42="Yes",CK$3=Projects!$C$42+Projects!$D$42-1),Projects!$B$42*(Assumptions!$B$10+Assumptions!$B$11+Assumptions!$B$12)*0.05,0)</f>
        <v/>
      </c>
      <c r="CL51" s="399">
        <f>IF(AND(Projects!$G$42="Yes",CL$3&gt;=Projects!$C$42,CL$3&lt;Projects!$C$42+Projects!$D$42),Projects!$B$42*INDEX(Curves!$B$4:$AR$4,1,CL$3-Projects!$C$42+1),0)-IF(AND(Projects!$G$42="Yes",CL$3&gt;=Projects!$C$42,CL$3&lt;Projects!$C$42+Projects!$D$42),Projects!$B$42*(Assumptions!$B$10+Assumptions!$B$11+Assumptions!$B$12)/Projects!$D$42*0.95,0)-IF(AND(Projects!$G$42="Yes",CL$3=Projects!$C$42+Projects!$D$42-1),Projects!$B$42*(Assumptions!$B$10+Assumptions!$B$11+Assumptions!$B$12)*0.05,0)</f>
        <v/>
      </c>
      <c r="CM51" s="399">
        <f>IF(AND(Projects!$G$42="Yes",CM$3&gt;=Projects!$C$42,CM$3&lt;Projects!$C$42+Projects!$D$42),Projects!$B$42*INDEX(Curves!$B$4:$AR$4,1,CM$3-Projects!$C$42+1),0)-IF(AND(Projects!$G$42="Yes",CM$3&gt;=Projects!$C$42,CM$3&lt;Projects!$C$42+Projects!$D$42),Projects!$B$42*(Assumptions!$B$10+Assumptions!$B$11+Assumptions!$B$12)/Projects!$D$42*0.95,0)-IF(AND(Projects!$G$42="Yes",CM$3=Projects!$C$42+Projects!$D$42-1),Projects!$B$42*(Assumptions!$B$10+Assumptions!$B$11+Assumptions!$B$12)*0.05,0)</f>
        <v/>
      </c>
      <c r="CN51" s="399">
        <f>IF(AND(Projects!$G$42="Yes",CN$3&gt;=Projects!$C$42,CN$3&lt;Projects!$C$42+Projects!$D$42),Projects!$B$42*INDEX(Curves!$B$4:$AR$4,1,CN$3-Projects!$C$42+1),0)-IF(AND(Projects!$G$42="Yes",CN$3&gt;=Projects!$C$42,CN$3&lt;Projects!$C$42+Projects!$D$42),Projects!$B$42*(Assumptions!$B$10+Assumptions!$B$11+Assumptions!$B$12)/Projects!$D$42*0.95,0)-IF(AND(Projects!$G$42="Yes",CN$3=Projects!$C$42+Projects!$D$42-1),Projects!$B$42*(Assumptions!$B$10+Assumptions!$B$11+Assumptions!$B$12)*0.05,0)</f>
        <v/>
      </c>
      <c r="CO51" s="399">
        <f>IF(AND(Projects!$G$42="Yes",CO$3&gt;=Projects!$C$42,CO$3&lt;Projects!$C$42+Projects!$D$42),Projects!$B$42*INDEX(Curves!$B$4:$AR$4,1,CO$3-Projects!$C$42+1),0)-IF(AND(Projects!$G$42="Yes",CO$3&gt;=Projects!$C$42,CO$3&lt;Projects!$C$42+Projects!$D$42),Projects!$B$42*(Assumptions!$B$10+Assumptions!$B$11+Assumptions!$B$12)/Projects!$D$42*0.95,0)-IF(AND(Projects!$G$42="Yes",CO$3=Projects!$C$42+Projects!$D$42-1),Projects!$B$42*(Assumptions!$B$10+Assumptions!$B$11+Assumptions!$B$12)*0.05,0)</f>
        <v/>
      </c>
      <c r="CP51" s="399">
        <f>IF(AND(Projects!$G$42="Yes",CP$3&gt;=Projects!$C$42,CP$3&lt;Projects!$C$42+Projects!$D$42),Projects!$B$42*INDEX(Curves!$B$4:$AR$4,1,CP$3-Projects!$C$42+1),0)-IF(AND(Projects!$G$42="Yes",CP$3&gt;=Projects!$C$42,CP$3&lt;Projects!$C$42+Projects!$D$42),Projects!$B$42*(Assumptions!$B$10+Assumptions!$B$11+Assumptions!$B$12)/Projects!$D$42*0.95,0)-IF(AND(Projects!$G$42="Yes",CP$3=Projects!$C$42+Projects!$D$42-1),Projects!$B$42*(Assumptions!$B$10+Assumptions!$B$11+Assumptions!$B$12)*0.05,0)</f>
        <v/>
      </c>
      <c r="CQ51" s="399">
        <f>IF(AND(Projects!$G$42="Yes",CQ$3&gt;=Projects!$C$42,CQ$3&lt;Projects!$C$42+Projects!$D$42),Projects!$B$42*INDEX(Curves!$B$4:$AR$4,1,CQ$3-Projects!$C$42+1),0)-IF(AND(Projects!$G$42="Yes",CQ$3&gt;=Projects!$C$42,CQ$3&lt;Projects!$C$42+Projects!$D$42),Projects!$B$42*(Assumptions!$B$10+Assumptions!$B$11+Assumptions!$B$12)/Projects!$D$42*0.95,0)-IF(AND(Projects!$G$42="Yes",CQ$3=Projects!$C$42+Projects!$D$42-1),Projects!$B$42*(Assumptions!$B$10+Assumptions!$B$11+Assumptions!$B$12)*0.05,0)</f>
        <v/>
      </c>
      <c r="CR51" s="399">
        <f>IF(AND(Projects!$G$42="Yes",CR$3&gt;=Projects!$C$42,CR$3&lt;Projects!$C$42+Projects!$D$42),Projects!$B$42*INDEX(Curves!$B$4:$AR$4,1,CR$3-Projects!$C$42+1),0)-IF(AND(Projects!$G$42="Yes",CR$3&gt;=Projects!$C$42,CR$3&lt;Projects!$C$42+Projects!$D$42),Projects!$B$42*(Assumptions!$B$10+Assumptions!$B$11+Assumptions!$B$12)/Projects!$D$42*0.95,0)-IF(AND(Projects!$G$42="Yes",CR$3=Projects!$C$42+Projects!$D$42-1),Projects!$B$42*(Assumptions!$B$10+Assumptions!$B$11+Assumptions!$B$12)*0.05,0)</f>
        <v/>
      </c>
      <c r="CS51" s="399">
        <f>IF(AND(Projects!$G$42="Yes",CS$3&gt;=Projects!$C$42,CS$3&lt;Projects!$C$42+Projects!$D$42),Projects!$B$42*INDEX(Curves!$B$4:$AR$4,1,CS$3-Projects!$C$42+1),0)-IF(AND(Projects!$G$42="Yes",CS$3&gt;=Projects!$C$42,CS$3&lt;Projects!$C$42+Projects!$D$42),Projects!$B$42*(Assumptions!$B$10+Assumptions!$B$11+Assumptions!$B$12)/Projects!$D$42*0.95,0)-IF(AND(Projects!$G$42="Yes",CS$3=Projects!$C$42+Projects!$D$42-1),Projects!$B$42*(Assumptions!$B$10+Assumptions!$B$11+Assumptions!$B$12)*0.05,0)</f>
        <v/>
      </c>
      <c r="CT51" s="399">
        <f>IF(AND(Projects!$G$42="Yes",CT$3&gt;=Projects!$C$42,CT$3&lt;Projects!$C$42+Projects!$D$42),Projects!$B$42*INDEX(Curves!$B$4:$AR$4,1,CT$3-Projects!$C$42+1),0)-IF(AND(Projects!$G$42="Yes",CT$3&gt;=Projects!$C$42,CT$3&lt;Projects!$C$42+Projects!$D$42),Projects!$B$42*(Assumptions!$B$10+Assumptions!$B$11+Assumptions!$B$12)/Projects!$D$42*0.95,0)-IF(AND(Projects!$G$42="Yes",CT$3=Projects!$C$42+Projects!$D$42-1),Projects!$B$42*(Assumptions!$B$10+Assumptions!$B$11+Assumptions!$B$12)*0.05,0)</f>
        <v/>
      </c>
      <c r="CU51" s="399">
        <f>IF(AND(Projects!$G$42="Yes",CU$3&gt;=Projects!$C$42,CU$3&lt;Projects!$C$42+Projects!$D$42),Projects!$B$42*INDEX(Curves!$B$4:$AR$4,1,CU$3-Projects!$C$42+1),0)-IF(AND(Projects!$G$42="Yes",CU$3&gt;=Projects!$C$42,CU$3&lt;Projects!$C$42+Projects!$D$42),Projects!$B$42*(Assumptions!$B$10+Assumptions!$B$11+Assumptions!$B$12)/Projects!$D$42*0.95,0)-IF(AND(Projects!$G$42="Yes",CU$3=Projects!$C$42+Projects!$D$42-1),Projects!$B$42*(Assumptions!$B$10+Assumptions!$B$11+Assumptions!$B$12)*0.05,0)</f>
        <v/>
      </c>
      <c r="CV51" s="399">
        <f>IF(AND(Projects!$G$42="Yes",CV$3&gt;=Projects!$C$42,CV$3&lt;Projects!$C$42+Projects!$D$42),Projects!$B$42*INDEX(Curves!$B$4:$AR$4,1,CV$3-Projects!$C$42+1),0)-IF(AND(Projects!$G$42="Yes",CV$3&gt;=Projects!$C$42,CV$3&lt;Projects!$C$42+Projects!$D$42),Projects!$B$42*(Assumptions!$B$10+Assumptions!$B$11+Assumptions!$B$12)/Projects!$D$42*0.95,0)-IF(AND(Projects!$G$42="Yes",CV$3=Projects!$C$42+Projects!$D$42-1),Projects!$B$42*(Assumptions!$B$10+Assumptions!$B$11+Assumptions!$B$12)*0.05,0)</f>
        <v/>
      </c>
      <c r="CW51" s="399">
        <f>IF(AND(Projects!$G$42="Yes",CW$3&gt;=Projects!$C$42,CW$3&lt;Projects!$C$42+Projects!$D$42),Projects!$B$42*INDEX(Curves!$B$4:$AR$4,1,CW$3-Projects!$C$42+1),0)-IF(AND(Projects!$G$42="Yes",CW$3&gt;=Projects!$C$42,CW$3&lt;Projects!$C$42+Projects!$D$42),Projects!$B$42*(Assumptions!$B$10+Assumptions!$B$11+Assumptions!$B$12)/Projects!$D$42*0.95,0)-IF(AND(Projects!$G$42="Yes",CW$3=Projects!$C$42+Projects!$D$42-1),Projects!$B$42*(Assumptions!$B$10+Assumptions!$B$11+Assumptions!$B$12)*0.05,0)</f>
        <v/>
      </c>
      <c r="CX51" s="399">
        <f>IF(AND(Projects!$G$42="Yes",CX$3&gt;=Projects!$C$42,CX$3&lt;Projects!$C$42+Projects!$D$42),Projects!$B$42*INDEX(Curves!$B$4:$AR$4,1,CX$3-Projects!$C$42+1),0)-IF(AND(Projects!$G$42="Yes",CX$3&gt;=Projects!$C$42,CX$3&lt;Projects!$C$42+Projects!$D$42),Projects!$B$42*(Assumptions!$B$10+Assumptions!$B$11+Assumptions!$B$12)/Projects!$D$42*0.95,0)-IF(AND(Projects!$G$42="Yes",CX$3=Projects!$C$42+Projects!$D$42-1),Projects!$B$42*(Assumptions!$B$10+Assumptions!$B$11+Assumptions!$B$12)*0.05,0)</f>
        <v/>
      </c>
      <c r="CY51" s="399">
        <f>IF(AND(Projects!$G$42="Yes",CY$3&gt;=Projects!$C$42,CY$3&lt;Projects!$C$42+Projects!$D$42),Projects!$B$42*INDEX(Curves!$B$4:$AR$4,1,CY$3-Projects!$C$42+1),0)-IF(AND(Projects!$G$42="Yes",CY$3&gt;=Projects!$C$42,CY$3&lt;Projects!$C$42+Projects!$D$42),Projects!$B$42*(Assumptions!$B$10+Assumptions!$B$11+Assumptions!$B$12)/Projects!$D$42*0.95,0)-IF(AND(Projects!$G$42="Yes",CY$3=Projects!$C$42+Projects!$D$42-1),Projects!$B$42*(Assumptions!$B$10+Assumptions!$B$11+Assumptions!$B$12)*0.05,0)</f>
        <v/>
      </c>
      <c r="CZ51" s="399">
        <f>IF(AND(Projects!$G$42="Yes",CZ$3&gt;=Projects!$C$42,CZ$3&lt;Projects!$C$42+Projects!$D$42),Projects!$B$42*INDEX(Curves!$B$4:$AR$4,1,CZ$3-Projects!$C$42+1),0)-IF(AND(Projects!$G$42="Yes",CZ$3&gt;=Projects!$C$42,CZ$3&lt;Projects!$C$42+Projects!$D$42),Projects!$B$42*(Assumptions!$B$10+Assumptions!$B$11+Assumptions!$B$12)/Projects!$D$42*0.95,0)-IF(AND(Projects!$G$42="Yes",CZ$3=Projects!$C$42+Projects!$D$42-1),Projects!$B$42*(Assumptions!$B$10+Assumptions!$B$11+Assumptions!$B$12)*0.05,0)</f>
        <v/>
      </c>
      <c r="DA51" s="399">
        <f>IF(AND(Projects!$G$42="Yes",DA$3&gt;=Projects!$C$42,DA$3&lt;Projects!$C$42+Projects!$D$42),Projects!$B$42*INDEX(Curves!$B$4:$AR$4,1,DA$3-Projects!$C$42+1),0)-IF(AND(Projects!$G$42="Yes",DA$3&gt;=Projects!$C$42,DA$3&lt;Projects!$C$42+Projects!$D$42),Projects!$B$42*(Assumptions!$B$10+Assumptions!$B$11+Assumptions!$B$12)/Projects!$D$42*0.95,0)-IF(AND(Projects!$G$42="Yes",DA$3=Projects!$C$42+Projects!$D$42-1),Projects!$B$42*(Assumptions!$B$10+Assumptions!$B$11+Assumptions!$B$12)*0.05,0)</f>
        <v/>
      </c>
      <c r="DB51" s="399">
        <f>IF(AND(Projects!$G$42="Yes",DB$3&gt;=Projects!$C$42,DB$3&lt;Projects!$C$42+Projects!$D$42),Projects!$B$42*INDEX(Curves!$B$4:$AR$4,1,DB$3-Projects!$C$42+1),0)-IF(AND(Projects!$G$42="Yes",DB$3&gt;=Projects!$C$42,DB$3&lt;Projects!$C$42+Projects!$D$42),Projects!$B$42*(Assumptions!$B$10+Assumptions!$B$11+Assumptions!$B$12)/Projects!$D$42*0.95,0)-IF(AND(Projects!$G$42="Yes",DB$3=Projects!$C$42+Projects!$D$42-1),Projects!$B$42*(Assumptions!$B$10+Assumptions!$B$11+Assumptions!$B$12)*0.05,0)</f>
        <v/>
      </c>
      <c r="DC51" s="399">
        <f>IF(AND(Projects!$G$42="Yes",DC$3&gt;=Projects!$C$42,DC$3&lt;Projects!$C$42+Projects!$D$42),Projects!$B$42*INDEX(Curves!$B$4:$AR$4,1,DC$3-Projects!$C$42+1),0)-IF(AND(Projects!$G$42="Yes",DC$3&gt;=Projects!$C$42,DC$3&lt;Projects!$C$42+Projects!$D$42),Projects!$B$42*(Assumptions!$B$10+Assumptions!$B$11+Assumptions!$B$12)/Projects!$D$42*0.95,0)-IF(AND(Projects!$G$42="Yes",DC$3=Projects!$C$42+Projects!$D$42-1),Projects!$B$42*(Assumptions!$B$10+Assumptions!$B$11+Assumptions!$B$12)*0.05,0)</f>
        <v/>
      </c>
      <c r="DD51" s="399">
        <f>IF(AND(Projects!$G$42="Yes",DD$3&gt;=Projects!$C$42,DD$3&lt;Projects!$C$42+Projects!$D$42),Projects!$B$42*INDEX(Curves!$B$4:$AR$4,1,DD$3-Projects!$C$42+1),0)-IF(AND(Projects!$G$42="Yes",DD$3&gt;=Projects!$C$42,DD$3&lt;Projects!$C$42+Projects!$D$42),Projects!$B$42*(Assumptions!$B$10+Assumptions!$B$11+Assumptions!$B$12)/Projects!$D$42*0.95,0)-IF(AND(Projects!$G$42="Yes",DD$3=Projects!$C$42+Projects!$D$42-1),Projects!$B$42*(Assumptions!$B$10+Assumptions!$B$11+Assumptions!$B$12)*0.05,0)</f>
        <v/>
      </c>
      <c r="DE51" s="399">
        <f>IF(AND(Projects!$G$42="Yes",DE$3&gt;=Projects!$C$42,DE$3&lt;Projects!$C$42+Projects!$D$42),Projects!$B$42*INDEX(Curves!$B$4:$AR$4,1,DE$3-Projects!$C$42+1),0)-IF(AND(Projects!$G$42="Yes",DE$3&gt;=Projects!$C$42,DE$3&lt;Projects!$C$42+Projects!$D$42),Projects!$B$42*(Assumptions!$B$10+Assumptions!$B$11+Assumptions!$B$12)/Projects!$D$42*0.95,0)-IF(AND(Projects!$G$42="Yes",DE$3=Projects!$C$42+Projects!$D$42-1),Projects!$B$42*(Assumptions!$B$10+Assumptions!$B$11+Assumptions!$B$12)*0.05,0)</f>
        <v/>
      </c>
    </row>
    <row r="52" hidden="1" outlineLevel="1" ht="15" customFormat="1" customHeight="1" s="380">
      <c r="A52" s="407" t="inlineStr">
        <is>
          <t>BD-27</t>
        </is>
      </c>
      <c r="B52" s="399" t="n">
        <v>0</v>
      </c>
      <c r="C52" s="399" t="n">
        <v>0</v>
      </c>
      <c r="D52" s="399" t="n">
        <v>0</v>
      </c>
      <c r="E52" s="399" t="n">
        <v>0</v>
      </c>
      <c r="F52" s="399">
        <f>IF(AND(Projects!$G$43="Yes",F$3&gt;=Projects!$C$43,F$3&lt;Projects!$C$43+Projects!$D$43),Projects!$B$43*INDEX(Curves!$B$4:$AR$4,1,F$3-Projects!$C$43+1),0)-IF(AND(Projects!$G$43="Yes",F$3&gt;=Projects!$C$43,F$3&lt;Projects!$C$43+Projects!$D$43),Projects!$B$43*(Assumptions!$B$10+Assumptions!$B$11+Assumptions!$B$12)/Projects!$D$43*0.95,0)-IF(AND(Projects!$G$43="Yes",F$3=Projects!$C$43+Projects!$D$43-1),Projects!$B$43*(Assumptions!$B$10+Assumptions!$B$11+Assumptions!$B$12)*0.05,0)</f>
        <v/>
      </c>
      <c r="G52" s="399">
        <f>IF(AND(Projects!$G$43="Yes",G$3&gt;=Projects!$C$43,G$3&lt;Projects!$C$43+Projects!$D$43),Projects!$B$43*INDEX(Curves!$B$4:$AR$4,1,G$3-Projects!$C$43+1),0)-IF(AND(Projects!$G$43="Yes",G$3&gt;=Projects!$C$43,G$3&lt;Projects!$C$43+Projects!$D$43),Projects!$B$43*(Assumptions!$B$10+Assumptions!$B$11+Assumptions!$B$12)/Projects!$D$43*0.95,0)-IF(AND(Projects!$G$43="Yes",G$3=Projects!$C$43+Projects!$D$43-1),Projects!$B$43*(Assumptions!$B$10+Assumptions!$B$11+Assumptions!$B$12)*0.05,0)</f>
        <v/>
      </c>
      <c r="H52" s="399">
        <f>IF(AND(Projects!$G$43="Yes",H$3&gt;=Projects!$C$43,H$3&lt;Projects!$C$43+Projects!$D$43),Projects!$B$43*INDEX(Curves!$B$4:$AR$4,1,H$3-Projects!$C$43+1),0)-IF(AND(Projects!$G$43="Yes",H$3&gt;=Projects!$C$43,H$3&lt;Projects!$C$43+Projects!$D$43),Projects!$B$43*(Assumptions!$B$10+Assumptions!$B$11+Assumptions!$B$12)/Projects!$D$43*0.95,0)-IF(AND(Projects!$G$43="Yes",H$3=Projects!$C$43+Projects!$D$43-1),Projects!$B$43*(Assumptions!$B$10+Assumptions!$B$11+Assumptions!$B$12)*0.05,0)</f>
        <v/>
      </c>
      <c r="I52" s="399">
        <f>IF(AND(Projects!$G$43="Yes",I$3&gt;=Projects!$C$43,I$3&lt;Projects!$C$43+Projects!$D$43),Projects!$B$43*INDEX(Curves!$B$4:$AR$4,1,I$3-Projects!$C$43+1),0)-IF(AND(Projects!$G$43="Yes",I$3&gt;=Projects!$C$43,I$3&lt;Projects!$C$43+Projects!$D$43),Projects!$B$43*(Assumptions!$B$10+Assumptions!$B$11+Assumptions!$B$12)/Projects!$D$43*0.95,0)-IF(AND(Projects!$G$43="Yes",I$3=Projects!$C$43+Projects!$D$43-1),Projects!$B$43*(Assumptions!$B$10+Assumptions!$B$11+Assumptions!$B$12)*0.05,0)</f>
        <v/>
      </c>
      <c r="J52" s="399">
        <f>IF(AND(Projects!$G$43="Yes",J$3&gt;=Projects!$C$43,J$3&lt;Projects!$C$43+Projects!$D$43),Projects!$B$43*INDEX(Curves!$B$4:$AR$4,1,J$3-Projects!$C$43+1),0)-IF(AND(Projects!$G$43="Yes",J$3&gt;=Projects!$C$43,J$3&lt;Projects!$C$43+Projects!$D$43),Projects!$B$43*(Assumptions!$B$10+Assumptions!$B$11+Assumptions!$B$12)/Projects!$D$43*0.95,0)-IF(AND(Projects!$G$43="Yes",J$3=Projects!$C$43+Projects!$D$43-1),Projects!$B$43*(Assumptions!$B$10+Assumptions!$B$11+Assumptions!$B$12)*0.05,0)</f>
        <v/>
      </c>
      <c r="K52" s="399">
        <f>IF(AND(Projects!$G$43="Yes",K$3&gt;=Projects!$C$43,K$3&lt;Projects!$C$43+Projects!$D$43),Projects!$B$43*INDEX(Curves!$B$4:$AR$4,1,K$3-Projects!$C$43+1),0)-IF(AND(Projects!$G$43="Yes",K$3&gt;=Projects!$C$43,K$3&lt;Projects!$C$43+Projects!$D$43),Projects!$B$43*(Assumptions!$B$10+Assumptions!$B$11+Assumptions!$B$12)/Projects!$D$43*0.95,0)-IF(AND(Projects!$G$43="Yes",K$3=Projects!$C$43+Projects!$D$43-1),Projects!$B$43*(Assumptions!$B$10+Assumptions!$B$11+Assumptions!$B$12)*0.05,0)</f>
        <v/>
      </c>
      <c r="L52" s="399">
        <f>IF(AND(Projects!$G$43="Yes",L$3&gt;=Projects!$C$43,L$3&lt;Projects!$C$43+Projects!$D$43),Projects!$B$43*INDEX(Curves!$B$4:$AR$4,1,L$3-Projects!$C$43+1),0)-IF(AND(Projects!$G$43="Yes",L$3&gt;=Projects!$C$43,L$3&lt;Projects!$C$43+Projects!$D$43),Projects!$B$43*(Assumptions!$B$10+Assumptions!$B$11+Assumptions!$B$12)/Projects!$D$43*0.95,0)-IF(AND(Projects!$G$43="Yes",L$3=Projects!$C$43+Projects!$D$43-1),Projects!$B$43*(Assumptions!$B$10+Assumptions!$B$11+Assumptions!$B$12)*0.05,0)</f>
        <v/>
      </c>
      <c r="M52" s="399">
        <f>IF(AND(Projects!$G$43="Yes",M$3&gt;=Projects!$C$43,M$3&lt;Projects!$C$43+Projects!$D$43),Projects!$B$43*INDEX(Curves!$B$4:$AR$4,1,M$3-Projects!$C$43+1),0)-IF(AND(Projects!$G$43="Yes",M$3&gt;=Projects!$C$43,M$3&lt;Projects!$C$43+Projects!$D$43),Projects!$B$43*(Assumptions!$B$10+Assumptions!$B$11+Assumptions!$B$12)/Projects!$D$43*0.95,0)-IF(AND(Projects!$G$43="Yes",M$3=Projects!$C$43+Projects!$D$43-1),Projects!$B$43*(Assumptions!$B$10+Assumptions!$B$11+Assumptions!$B$12)*0.05,0)</f>
        <v/>
      </c>
      <c r="N52" s="399">
        <f>IF(AND(Projects!$G$43="Yes",N$3&gt;=Projects!$C$43,N$3&lt;Projects!$C$43+Projects!$D$43),Projects!$B$43*INDEX(Curves!$B$4:$AR$4,1,N$3-Projects!$C$43+1),0)-IF(AND(Projects!$G$43="Yes",N$3&gt;=Projects!$C$43,N$3&lt;Projects!$C$43+Projects!$D$43),Projects!$B$43*(Assumptions!$B$10+Assumptions!$B$11+Assumptions!$B$12)/Projects!$D$43*0.95,0)-IF(AND(Projects!$G$43="Yes",N$3=Projects!$C$43+Projects!$D$43-1),Projects!$B$43*(Assumptions!$B$10+Assumptions!$B$11+Assumptions!$B$12)*0.05,0)</f>
        <v/>
      </c>
      <c r="O52" s="399">
        <f>IF(AND(Projects!$G$43="Yes",O$3&gt;=Projects!$C$43,O$3&lt;Projects!$C$43+Projects!$D$43),Projects!$B$43*INDEX(Curves!$B$4:$AR$4,1,O$3-Projects!$C$43+1),0)-IF(AND(Projects!$G$43="Yes",O$3&gt;=Projects!$C$43,O$3&lt;Projects!$C$43+Projects!$D$43),Projects!$B$43*(Assumptions!$B$10+Assumptions!$B$11+Assumptions!$B$12)/Projects!$D$43*0.95,0)-IF(AND(Projects!$G$43="Yes",O$3=Projects!$C$43+Projects!$D$43-1),Projects!$B$43*(Assumptions!$B$10+Assumptions!$B$11+Assumptions!$B$12)*0.05,0)</f>
        <v/>
      </c>
      <c r="P52" s="399">
        <f>IF(AND(Projects!$G$43="Yes",P$3&gt;=Projects!$C$43,P$3&lt;Projects!$C$43+Projects!$D$43),Projects!$B$43*INDEX(Curves!$B$4:$AR$4,1,P$3-Projects!$C$43+1),0)-IF(AND(Projects!$G$43="Yes",P$3&gt;=Projects!$C$43,P$3&lt;Projects!$C$43+Projects!$D$43),Projects!$B$43*(Assumptions!$B$10+Assumptions!$B$11+Assumptions!$B$12)/Projects!$D$43*0.95,0)-IF(AND(Projects!$G$43="Yes",P$3=Projects!$C$43+Projects!$D$43-1),Projects!$B$43*(Assumptions!$B$10+Assumptions!$B$11+Assumptions!$B$12)*0.05,0)</f>
        <v/>
      </c>
      <c r="Q52" s="399">
        <f>IF(AND(Projects!$G$43="Yes",Q$3&gt;=Projects!$C$43,Q$3&lt;Projects!$C$43+Projects!$D$43),Projects!$B$43*INDEX(Curves!$B$4:$AR$4,1,Q$3-Projects!$C$43+1),0)-IF(AND(Projects!$G$43="Yes",Q$3&gt;=Projects!$C$43,Q$3&lt;Projects!$C$43+Projects!$D$43),Projects!$B$43*(Assumptions!$B$10+Assumptions!$B$11+Assumptions!$B$12)/Projects!$D$43*0.95,0)-IF(AND(Projects!$G$43="Yes",Q$3=Projects!$C$43+Projects!$D$43-1),Projects!$B$43*(Assumptions!$B$10+Assumptions!$B$11+Assumptions!$B$12)*0.05,0)</f>
        <v/>
      </c>
      <c r="R52" s="399">
        <f>IF(AND(Projects!$G$43="Yes",R$3&gt;=Projects!$C$43,R$3&lt;Projects!$C$43+Projects!$D$43),Projects!$B$43*INDEX(Curves!$B$4:$AR$4,1,R$3-Projects!$C$43+1),0)-IF(AND(Projects!$G$43="Yes",R$3&gt;=Projects!$C$43,R$3&lt;Projects!$C$43+Projects!$D$43),Projects!$B$43*(Assumptions!$B$10+Assumptions!$B$11+Assumptions!$B$12)/Projects!$D$43*0.95,0)-IF(AND(Projects!$G$43="Yes",R$3=Projects!$C$43+Projects!$D$43-1),Projects!$B$43*(Assumptions!$B$10+Assumptions!$B$11+Assumptions!$B$12)*0.05,0)</f>
        <v/>
      </c>
      <c r="S52" s="399">
        <f>IF(AND(Projects!$G$43="Yes",S$3&gt;=Projects!$C$43,S$3&lt;Projects!$C$43+Projects!$D$43),Projects!$B$43*INDEX(Curves!$B$4:$AR$4,1,S$3-Projects!$C$43+1),0)-IF(AND(Projects!$G$43="Yes",S$3&gt;=Projects!$C$43,S$3&lt;Projects!$C$43+Projects!$D$43),Projects!$B$43*(Assumptions!$B$10+Assumptions!$B$11+Assumptions!$B$12)/Projects!$D$43*0.95,0)-IF(AND(Projects!$G$43="Yes",S$3=Projects!$C$43+Projects!$D$43-1),Projects!$B$43*(Assumptions!$B$10+Assumptions!$B$11+Assumptions!$B$12)*0.05,0)</f>
        <v/>
      </c>
      <c r="T52" s="399">
        <f>IF(AND(Projects!$G$43="Yes",T$3&gt;=Projects!$C$43,T$3&lt;Projects!$C$43+Projects!$D$43),Projects!$B$43*INDEX(Curves!$B$4:$AR$4,1,T$3-Projects!$C$43+1),0)-IF(AND(Projects!$G$43="Yes",T$3&gt;=Projects!$C$43,T$3&lt;Projects!$C$43+Projects!$D$43),Projects!$B$43*(Assumptions!$B$10+Assumptions!$B$11+Assumptions!$B$12)/Projects!$D$43*0.95,0)-IF(AND(Projects!$G$43="Yes",T$3=Projects!$C$43+Projects!$D$43-1),Projects!$B$43*(Assumptions!$B$10+Assumptions!$B$11+Assumptions!$B$12)*0.05,0)</f>
        <v/>
      </c>
      <c r="U52" s="399">
        <f>IF(AND(Projects!$G$43="Yes",U$3&gt;=Projects!$C$43,U$3&lt;Projects!$C$43+Projects!$D$43),Projects!$B$43*INDEX(Curves!$B$4:$AR$4,1,U$3-Projects!$C$43+1),0)-IF(AND(Projects!$G$43="Yes",U$3&gt;=Projects!$C$43,U$3&lt;Projects!$C$43+Projects!$D$43),Projects!$B$43*(Assumptions!$B$10+Assumptions!$B$11+Assumptions!$B$12)/Projects!$D$43*0.95,0)-IF(AND(Projects!$G$43="Yes",U$3=Projects!$C$43+Projects!$D$43-1),Projects!$B$43*(Assumptions!$B$10+Assumptions!$B$11+Assumptions!$B$12)*0.05,0)</f>
        <v/>
      </c>
      <c r="V52" s="399">
        <f>IF(AND(Projects!$G$43="Yes",V$3&gt;=Projects!$C$43,V$3&lt;Projects!$C$43+Projects!$D$43),Projects!$B$43*INDEX(Curves!$B$4:$AR$4,1,V$3-Projects!$C$43+1),0)-IF(AND(Projects!$G$43="Yes",V$3&gt;=Projects!$C$43,V$3&lt;Projects!$C$43+Projects!$D$43),Projects!$B$43*(Assumptions!$B$10+Assumptions!$B$11+Assumptions!$B$12)/Projects!$D$43*0.95,0)-IF(AND(Projects!$G$43="Yes",V$3=Projects!$C$43+Projects!$D$43-1),Projects!$B$43*(Assumptions!$B$10+Assumptions!$B$11+Assumptions!$B$12)*0.05,0)</f>
        <v/>
      </c>
      <c r="W52" s="399">
        <f>IF(AND(Projects!$G$43="Yes",W$3&gt;=Projects!$C$43,W$3&lt;Projects!$C$43+Projects!$D$43),Projects!$B$43*INDEX(Curves!$B$4:$AR$4,1,W$3-Projects!$C$43+1),0)-IF(AND(Projects!$G$43="Yes",W$3&gt;=Projects!$C$43,W$3&lt;Projects!$C$43+Projects!$D$43),Projects!$B$43*(Assumptions!$B$10+Assumptions!$B$11+Assumptions!$B$12)/Projects!$D$43*0.95,0)-IF(AND(Projects!$G$43="Yes",W$3=Projects!$C$43+Projects!$D$43-1),Projects!$B$43*(Assumptions!$B$10+Assumptions!$B$11+Assumptions!$B$12)*0.05,0)</f>
        <v/>
      </c>
      <c r="X52" s="399">
        <f>IF(AND(Projects!$G$43="Yes",X$3&gt;=Projects!$C$43,X$3&lt;Projects!$C$43+Projects!$D$43),Projects!$B$43*INDEX(Curves!$B$4:$AR$4,1,X$3-Projects!$C$43+1),0)-IF(AND(Projects!$G$43="Yes",X$3&gt;=Projects!$C$43,X$3&lt;Projects!$C$43+Projects!$D$43),Projects!$B$43*(Assumptions!$B$10+Assumptions!$B$11+Assumptions!$B$12)/Projects!$D$43*0.95,0)-IF(AND(Projects!$G$43="Yes",X$3=Projects!$C$43+Projects!$D$43-1),Projects!$B$43*(Assumptions!$B$10+Assumptions!$B$11+Assumptions!$B$12)*0.05,0)</f>
        <v/>
      </c>
      <c r="Y52" s="399">
        <f>IF(AND(Projects!$G$43="Yes",Y$3&gt;=Projects!$C$43,Y$3&lt;Projects!$C$43+Projects!$D$43),Projects!$B$43*INDEX(Curves!$B$4:$AR$4,1,Y$3-Projects!$C$43+1),0)-IF(AND(Projects!$G$43="Yes",Y$3&gt;=Projects!$C$43,Y$3&lt;Projects!$C$43+Projects!$D$43),Projects!$B$43*(Assumptions!$B$10+Assumptions!$B$11+Assumptions!$B$12)/Projects!$D$43*0.95,0)-IF(AND(Projects!$G$43="Yes",Y$3=Projects!$C$43+Projects!$D$43-1),Projects!$B$43*(Assumptions!$B$10+Assumptions!$B$11+Assumptions!$B$12)*0.05,0)</f>
        <v/>
      </c>
      <c r="Z52" s="399">
        <f>IF(AND(Projects!$G$43="Yes",Z$3&gt;=Projects!$C$43,Z$3&lt;Projects!$C$43+Projects!$D$43),Projects!$B$43*INDEX(Curves!$B$4:$AR$4,1,Z$3-Projects!$C$43+1),0)-IF(AND(Projects!$G$43="Yes",Z$3&gt;=Projects!$C$43,Z$3&lt;Projects!$C$43+Projects!$D$43),Projects!$B$43*(Assumptions!$B$10+Assumptions!$B$11+Assumptions!$B$12)/Projects!$D$43*0.95,0)-IF(AND(Projects!$G$43="Yes",Z$3=Projects!$C$43+Projects!$D$43-1),Projects!$B$43*(Assumptions!$B$10+Assumptions!$B$11+Assumptions!$B$12)*0.05,0)</f>
        <v/>
      </c>
      <c r="AA52" s="399">
        <f>IF(AND(Projects!$G$43="Yes",AA$3&gt;=Projects!$C$43,AA$3&lt;Projects!$C$43+Projects!$D$43),Projects!$B$43*INDEX(Curves!$B$4:$AR$4,1,AA$3-Projects!$C$43+1),0)-IF(AND(Projects!$G$43="Yes",AA$3&gt;=Projects!$C$43,AA$3&lt;Projects!$C$43+Projects!$D$43),Projects!$B$43*(Assumptions!$B$10+Assumptions!$B$11+Assumptions!$B$12)/Projects!$D$43*0.95,0)-IF(AND(Projects!$G$43="Yes",AA$3=Projects!$C$43+Projects!$D$43-1),Projects!$B$43*(Assumptions!$B$10+Assumptions!$B$11+Assumptions!$B$12)*0.05,0)</f>
        <v/>
      </c>
      <c r="AB52" s="399">
        <f>IF(AND(Projects!$G$43="Yes",AB$3&gt;=Projects!$C$43,AB$3&lt;Projects!$C$43+Projects!$D$43),Projects!$B$43*INDEX(Curves!$B$4:$AR$4,1,AB$3-Projects!$C$43+1),0)-IF(AND(Projects!$G$43="Yes",AB$3&gt;=Projects!$C$43,AB$3&lt;Projects!$C$43+Projects!$D$43),Projects!$B$43*(Assumptions!$B$10+Assumptions!$B$11+Assumptions!$B$12)/Projects!$D$43*0.95,0)-IF(AND(Projects!$G$43="Yes",AB$3=Projects!$C$43+Projects!$D$43-1),Projects!$B$43*(Assumptions!$B$10+Assumptions!$B$11+Assumptions!$B$12)*0.05,0)</f>
        <v/>
      </c>
      <c r="AC52" s="399">
        <f>IF(AND(Projects!$G$43="Yes",AC$3&gt;=Projects!$C$43,AC$3&lt;Projects!$C$43+Projects!$D$43),Projects!$B$43*INDEX(Curves!$B$4:$AR$4,1,AC$3-Projects!$C$43+1),0)-IF(AND(Projects!$G$43="Yes",AC$3&gt;=Projects!$C$43,AC$3&lt;Projects!$C$43+Projects!$D$43),Projects!$B$43*(Assumptions!$B$10+Assumptions!$B$11+Assumptions!$B$12)/Projects!$D$43*0.95,0)-IF(AND(Projects!$G$43="Yes",AC$3=Projects!$C$43+Projects!$D$43-1),Projects!$B$43*(Assumptions!$B$10+Assumptions!$B$11+Assumptions!$B$12)*0.05,0)</f>
        <v/>
      </c>
      <c r="AD52" s="399">
        <f>IF(AND(Projects!$G$43="Yes",AD$3&gt;=Projects!$C$43,AD$3&lt;Projects!$C$43+Projects!$D$43),Projects!$B$43*INDEX(Curves!$B$4:$AR$4,1,AD$3-Projects!$C$43+1),0)-IF(AND(Projects!$G$43="Yes",AD$3&gt;=Projects!$C$43,AD$3&lt;Projects!$C$43+Projects!$D$43),Projects!$B$43*(Assumptions!$B$10+Assumptions!$B$11+Assumptions!$B$12)/Projects!$D$43*0.95,0)-IF(AND(Projects!$G$43="Yes",AD$3=Projects!$C$43+Projects!$D$43-1),Projects!$B$43*(Assumptions!$B$10+Assumptions!$B$11+Assumptions!$B$12)*0.05,0)</f>
        <v/>
      </c>
      <c r="AE52" s="399">
        <f>IF(AND(Projects!$G$43="Yes",AE$3&gt;=Projects!$C$43,AE$3&lt;Projects!$C$43+Projects!$D$43),Projects!$B$43*INDEX(Curves!$B$4:$AR$4,1,AE$3-Projects!$C$43+1),0)-IF(AND(Projects!$G$43="Yes",AE$3&gt;=Projects!$C$43,AE$3&lt;Projects!$C$43+Projects!$D$43),Projects!$B$43*(Assumptions!$B$10+Assumptions!$B$11+Assumptions!$B$12)/Projects!$D$43*0.95,0)-IF(AND(Projects!$G$43="Yes",AE$3=Projects!$C$43+Projects!$D$43-1),Projects!$B$43*(Assumptions!$B$10+Assumptions!$B$11+Assumptions!$B$12)*0.05,0)</f>
        <v/>
      </c>
      <c r="AF52" s="399">
        <f>IF(AND(Projects!$G$43="Yes",AF$3&gt;=Projects!$C$43,AF$3&lt;Projects!$C$43+Projects!$D$43),Projects!$B$43*INDEX(Curves!$B$4:$AR$4,1,AF$3-Projects!$C$43+1),0)-IF(AND(Projects!$G$43="Yes",AF$3&gt;=Projects!$C$43,AF$3&lt;Projects!$C$43+Projects!$D$43),Projects!$B$43*(Assumptions!$B$10+Assumptions!$B$11+Assumptions!$B$12)/Projects!$D$43*0.95,0)-IF(AND(Projects!$G$43="Yes",AF$3=Projects!$C$43+Projects!$D$43-1),Projects!$B$43*(Assumptions!$B$10+Assumptions!$B$11+Assumptions!$B$12)*0.05,0)</f>
        <v/>
      </c>
      <c r="AG52" s="399">
        <f>IF(AND(Projects!$G$43="Yes",AG$3&gt;=Projects!$C$43,AG$3&lt;Projects!$C$43+Projects!$D$43),Projects!$B$43*INDEX(Curves!$B$4:$AR$4,1,AG$3-Projects!$C$43+1),0)-IF(AND(Projects!$G$43="Yes",AG$3&gt;=Projects!$C$43,AG$3&lt;Projects!$C$43+Projects!$D$43),Projects!$B$43*(Assumptions!$B$10+Assumptions!$B$11+Assumptions!$B$12)/Projects!$D$43*0.95,0)-IF(AND(Projects!$G$43="Yes",AG$3=Projects!$C$43+Projects!$D$43-1),Projects!$B$43*(Assumptions!$B$10+Assumptions!$B$11+Assumptions!$B$12)*0.05,0)</f>
        <v/>
      </c>
      <c r="AH52" s="399">
        <f>IF(AND(Projects!$G$43="Yes",AH$3&gt;=Projects!$C$43,AH$3&lt;Projects!$C$43+Projects!$D$43),Projects!$B$43*INDEX(Curves!$B$4:$AR$4,1,AH$3-Projects!$C$43+1),0)-IF(AND(Projects!$G$43="Yes",AH$3&gt;=Projects!$C$43,AH$3&lt;Projects!$C$43+Projects!$D$43),Projects!$B$43*(Assumptions!$B$10+Assumptions!$B$11+Assumptions!$B$12)/Projects!$D$43*0.95,0)-IF(AND(Projects!$G$43="Yes",AH$3=Projects!$C$43+Projects!$D$43-1),Projects!$B$43*(Assumptions!$B$10+Assumptions!$B$11+Assumptions!$B$12)*0.05,0)</f>
        <v/>
      </c>
      <c r="AI52" s="399">
        <f>IF(AND(Projects!$G$43="Yes",AI$3&gt;=Projects!$C$43,AI$3&lt;Projects!$C$43+Projects!$D$43),Projects!$B$43*INDEX(Curves!$B$4:$AR$4,1,AI$3-Projects!$C$43+1),0)-IF(AND(Projects!$G$43="Yes",AI$3&gt;=Projects!$C$43,AI$3&lt;Projects!$C$43+Projects!$D$43),Projects!$B$43*(Assumptions!$B$10+Assumptions!$B$11+Assumptions!$B$12)/Projects!$D$43*0.95,0)-IF(AND(Projects!$G$43="Yes",AI$3=Projects!$C$43+Projects!$D$43-1),Projects!$B$43*(Assumptions!$B$10+Assumptions!$B$11+Assumptions!$B$12)*0.05,0)</f>
        <v/>
      </c>
      <c r="AJ52" s="399">
        <f>IF(AND(Projects!$G$43="Yes",AJ$3&gt;=Projects!$C$43,AJ$3&lt;Projects!$C$43+Projects!$D$43),Projects!$B$43*INDEX(Curves!$B$4:$AR$4,1,AJ$3-Projects!$C$43+1),0)-IF(AND(Projects!$G$43="Yes",AJ$3&gt;=Projects!$C$43,AJ$3&lt;Projects!$C$43+Projects!$D$43),Projects!$B$43*(Assumptions!$B$10+Assumptions!$B$11+Assumptions!$B$12)/Projects!$D$43*0.95,0)-IF(AND(Projects!$G$43="Yes",AJ$3=Projects!$C$43+Projects!$D$43-1),Projects!$B$43*(Assumptions!$B$10+Assumptions!$B$11+Assumptions!$B$12)*0.05,0)</f>
        <v/>
      </c>
      <c r="AK52" s="399">
        <f>IF(AND(Projects!$G$43="Yes",AK$3&gt;=Projects!$C$43,AK$3&lt;Projects!$C$43+Projects!$D$43),Projects!$B$43*INDEX(Curves!$B$4:$AR$4,1,AK$3-Projects!$C$43+1),0)-IF(AND(Projects!$G$43="Yes",AK$3&gt;=Projects!$C$43,AK$3&lt;Projects!$C$43+Projects!$D$43),Projects!$B$43*(Assumptions!$B$10+Assumptions!$B$11+Assumptions!$B$12)/Projects!$D$43*0.95,0)-IF(AND(Projects!$G$43="Yes",AK$3=Projects!$C$43+Projects!$D$43-1),Projects!$B$43*(Assumptions!$B$10+Assumptions!$B$11+Assumptions!$B$12)*0.05,0)</f>
        <v/>
      </c>
      <c r="AL52" s="399">
        <f>IF(AND(Projects!$G$43="Yes",AL$3&gt;=Projects!$C$43,AL$3&lt;Projects!$C$43+Projects!$D$43),Projects!$B$43*INDEX(Curves!$B$4:$AR$4,1,AL$3-Projects!$C$43+1),0)-IF(AND(Projects!$G$43="Yes",AL$3&gt;=Projects!$C$43,AL$3&lt;Projects!$C$43+Projects!$D$43),Projects!$B$43*(Assumptions!$B$10+Assumptions!$B$11+Assumptions!$B$12)/Projects!$D$43*0.95,0)-IF(AND(Projects!$G$43="Yes",AL$3=Projects!$C$43+Projects!$D$43-1),Projects!$B$43*(Assumptions!$B$10+Assumptions!$B$11+Assumptions!$B$12)*0.05,0)</f>
        <v/>
      </c>
      <c r="AM52" s="399">
        <f>IF(AND(Projects!$G$43="Yes",AM$3&gt;=Projects!$C$43,AM$3&lt;Projects!$C$43+Projects!$D$43),Projects!$B$43*INDEX(Curves!$B$4:$AR$4,1,AM$3-Projects!$C$43+1),0)-IF(AND(Projects!$G$43="Yes",AM$3&gt;=Projects!$C$43,AM$3&lt;Projects!$C$43+Projects!$D$43),Projects!$B$43*(Assumptions!$B$10+Assumptions!$B$11+Assumptions!$B$12)/Projects!$D$43*0.95,0)-IF(AND(Projects!$G$43="Yes",AM$3=Projects!$C$43+Projects!$D$43-1),Projects!$B$43*(Assumptions!$B$10+Assumptions!$B$11+Assumptions!$B$12)*0.05,0)</f>
        <v/>
      </c>
      <c r="AN52" s="399">
        <f>IF(AND(Projects!$G$43="Yes",AN$3&gt;=Projects!$C$43,AN$3&lt;Projects!$C$43+Projects!$D$43),Projects!$B$43*INDEX(Curves!$B$4:$AR$4,1,AN$3-Projects!$C$43+1),0)-IF(AND(Projects!$G$43="Yes",AN$3&gt;=Projects!$C$43,AN$3&lt;Projects!$C$43+Projects!$D$43),Projects!$B$43*(Assumptions!$B$10+Assumptions!$B$11+Assumptions!$B$12)/Projects!$D$43*0.95,0)-IF(AND(Projects!$G$43="Yes",AN$3=Projects!$C$43+Projects!$D$43-1),Projects!$B$43*(Assumptions!$B$10+Assumptions!$B$11+Assumptions!$B$12)*0.05,0)</f>
        <v/>
      </c>
      <c r="AO52" s="399">
        <f>IF(AND(Projects!$G$43="Yes",AO$3&gt;=Projects!$C$43,AO$3&lt;Projects!$C$43+Projects!$D$43),Projects!$B$43*INDEX(Curves!$B$4:$AR$4,1,AO$3-Projects!$C$43+1),0)-IF(AND(Projects!$G$43="Yes",AO$3&gt;=Projects!$C$43,AO$3&lt;Projects!$C$43+Projects!$D$43),Projects!$B$43*(Assumptions!$B$10+Assumptions!$B$11+Assumptions!$B$12)/Projects!$D$43*0.95,0)-IF(AND(Projects!$G$43="Yes",AO$3=Projects!$C$43+Projects!$D$43-1),Projects!$B$43*(Assumptions!$B$10+Assumptions!$B$11+Assumptions!$B$12)*0.05,0)</f>
        <v/>
      </c>
      <c r="AP52" s="399">
        <f>IF(AND(Projects!$G$43="Yes",AP$3&gt;=Projects!$C$43,AP$3&lt;Projects!$C$43+Projects!$D$43),Projects!$B$43*INDEX(Curves!$B$4:$AR$4,1,AP$3-Projects!$C$43+1),0)-IF(AND(Projects!$G$43="Yes",AP$3&gt;=Projects!$C$43,AP$3&lt;Projects!$C$43+Projects!$D$43),Projects!$B$43*(Assumptions!$B$10+Assumptions!$B$11+Assumptions!$B$12)/Projects!$D$43*0.95,0)-IF(AND(Projects!$G$43="Yes",AP$3=Projects!$C$43+Projects!$D$43-1),Projects!$B$43*(Assumptions!$B$10+Assumptions!$B$11+Assumptions!$B$12)*0.05,0)</f>
        <v/>
      </c>
      <c r="AQ52" s="399">
        <f>IF(AND(Projects!$G$43="Yes",AQ$3&gt;=Projects!$C$43,AQ$3&lt;Projects!$C$43+Projects!$D$43),Projects!$B$43*INDEX(Curves!$B$4:$AR$4,1,AQ$3-Projects!$C$43+1),0)-IF(AND(Projects!$G$43="Yes",AQ$3&gt;=Projects!$C$43,AQ$3&lt;Projects!$C$43+Projects!$D$43),Projects!$B$43*(Assumptions!$B$10+Assumptions!$B$11+Assumptions!$B$12)/Projects!$D$43*0.95,0)-IF(AND(Projects!$G$43="Yes",AQ$3=Projects!$C$43+Projects!$D$43-1),Projects!$B$43*(Assumptions!$B$10+Assumptions!$B$11+Assumptions!$B$12)*0.05,0)</f>
        <v/>
      </c>
      <c r="AR52" s="399">
        <f>IF(AND(Projects!$G$43="Yes",AR$3&gt;=Projects!$C$43,AR$3&lt;Projects!$C$43+Projects!$D$43),Projects!$B$43*INDEX(Curves!$B$4:$AR$4,1,AR$3-Projects!$C$43+1),0)-IF(AND(Projects!$G$43="Yes",AR$3&gt;=Projects!$C$43,AR$3&lt;Projects!$C$43+Projects!$D$43),Projects!$B$43*(Assumptions!$B$10+Assumptions!$B$11+Assumptions!$B$12)/Projects!$D$43*0.95,0)-IF(AND(Projects!$G$43="Yes",AR$3=Projects!$C$43+Projects!$D$43-1),Projects!$B$43*(Assumptions!$B$10+Assumptions!$B$11+Assumptions!$B$12)*0.05,0)</f>
        <v/>
      </c>
      <c r="AS52" s="399">
        <f>IF(AND(Projects!$G$43="Yes",AS$3&gt;=Projects!$C$43,AS$3&lt;Projects!$C$43+Projects!$D$43),Projects!$B$43*INDEX(Curves!$B$4:$AR$4,1,AS$3-Projects!$C$43+1),0)-IF(AND(Projects!$G$43="Yes",AS$3&gt;=Projects!$C$43,AS$3&lt;Projects!$C$43+Projects!$D$43),Projects!$B$43*(Assumptions!$B$10+Assumptions!$B$11+Assumptions!$B$12)/Projects!$D$43*0.95,0)-IF(AND(Projects!$G$43="Yes",AS$3=Projects!$C$43+Projects!$D$43-1),Projects!$B$43*(Assumptions!$B$10+Assumptions!$B$11+Assumptions!$B$12)*0.05,0)</f>
        <v/>
      </c>
      <c r="AT52" s="399">
        <f>IF(AND(Projects!$G$43="Yes",AT$3&gt;=Projects!$C$43,AT$3&lt;Projects!$C$43+Projects!$D$43),Projects!$B$43*INDEX(Curves!$B$4:$AR$4,1,AT$3-Projects!$C$43+1),0)-IF(AND(Projects!$G$43="Yes",AT$3&gt;=Projects!$C$43,AT$3&lt;Projects!$C$43+Projects!$D$43),Projects!$B$43*(Assumptions!$B$10+Assumptions!$B$11+Assumptions!$B$12)/Projects!$D$43*0.95,0)-IF(AND(Projects!$G$43="Yes",AT$3=Projects!$C$43+Projects!$D$43-1),Projects!$B$43*(Assumptions!$B$10+Assumptions!$B$11+Assumptions!$B$12)*0.05,0)</f>
        <v/>
      </c>
      <c r="AU52" s="399">
        <f>IF(AND(Projects!$G$43="Yes",AU$3&gt;=Projects!$C$43,AU$3&lt;Projects!$C$43+Projects!$D$43),Projects!$B$43*INDEX(Curves!$B$4:$AR$4,1,AU$3-Projects!$C$43+1),0)-IF(AND(Projects!$G$43="Yes",AU$3&gt;=Projects!$C$43,AU$3&lt;Projects!$C$43+Projects!$D$43),Projects!$B$43*(Assumptions!$B$10+Assumptions!$B$11+Assumptions!$B$12)/Projects!$D$43*0.95,0)-IF(AND(Projects!$G$43="Yes",AU$3=Projects!$C$43+Projects!$D$43-1),Projects!$B$43*(Assumptions!$B$10+Assumptions!$B$11+Assumptions!$B$12)*0.05,0)</f>
        <v/>
      </c>
      <c r="AV52" s="399">
        <f>IF(AND(Projects!$G$43="Yes",AV$3&gt;=Projects!$C$43,AV$3&lt;Projects!$C$43+Projects!$D$43),Projects!$B$43*INDEX(Curves!$B$4:$AR$4,1,AV$3-Projects!$C$43+1),0)-IF(AND(Projects!$G$43="Yes",AV$3&gt;=Projects!$C$43,AV$3&lt;Projects!$C$43+Projects!$D$43),Projects!$B$43*(Assumptions!$B$10+Assumptions!$B$11+Assumptions!$B$12)/Projects!$D$43*0.95,0)-IF(AND(Projects!$G$43="Yes",AV$3=Projects!$C$43+Projects!$D$43-1),Projects!$B$43*(Assumptions!$B$10+Assumptions!$B$11+Assumptions!$B$12)*0.05,0)</f>
        <v/>
      </c>
      <c r="AW52" s="399">
        <f>IF(AND(Projects!$G$43="Yes",AW$3&gt;=Projects!$C$43,AW$3&lt;Projects!$C$43+Projects!$D$43),Projects!$B$43*INDEX(Curves!$B$4:$AR$4,1,AW$3-Projects!$C$43+1),0)-IF(AND(Projects!$G$43="Yes",AW$3&gt;=Projects!$C$43,AW$3&lt;Projects!$C$43+Projects!$D$43),Projects!$B$43*(Assumptions!$B$10+Assumptions!$B$11+Assumptions!$B$12)/Projects!$D$43*0.95,0)-IF(AND(Projects!$G$43="Yes",AW$3=Projects!$C$43+Projects!$D$43-1),Projects!$B$43*(Assumptions!$B$10+Assumptions!$B$11+Assumptions!$B$12)*0.05,0)</f>
        <v/>
      </c>
      <c r="AX52" s="399">
        <f>IF(AND(Projects!$G$43="Yes",AX$3&gt;=Projects!$C$43,AX$3&lt;Projects!$C$43+Projects!$D$43),Projects!$B$43*INDEX(Curves!$B$4:$AR$4,1,AX$3-Projects!$C$43+1),0)-IF(AND(Projects!$G$43="Yes",AX$3&gt;=Projects!$C$43,AX$3&lt;Projects!$C$43+Projects!$D$43),Projects!$B$43*(Assumptions!$B$10+Assumptions!$B$11+Assumptions!$B$12)/Projects!$D$43*0.95,0)-IF(AND(Projects!$G$43="Yes",AX$3=Projects!$C$43+Projects!$D$43-1),Projects!$B$43*(Assumptions!$B$10+Assumptions!$B$11+Assumptions!$B$12)*0.05,0)</f>
        <v/>
      </c>
      <c r="AY52" s="399">
        <f>IF(AND(Projects!$G$43="Yes",AY$3&gt;=Projects!$C$43,AY$3&lt;Projects!$C$43+Projects!$D$43),Projects!$B$43*INDEX(Curves!$B$4:$AR$4,1,AY$3-Projects!$C$43+1),0)-IF(AND(Projects!$G$43="Yes",AY$3&gt;=Projects!$C$43,AY$3&lt;Projects!$C$43+Projects!$D$43),Projects!$B$43*(Assumptions!$B$10+Assumptions!$B$11+Assumptions!$B$12)/Projects!$D$43*0.95,0)-IF(AND(Projects!$G$43="Yes",AY$3=Projects!$C$43+Projects!$D$43-1),Projects!$B$43*(Assumptions!$B$10+Assumptions!$B$11+Assumptions!$B$12)*0.05,0)</f>
        <v/>
      </c>
      <c r="AZ52" s="399">
        <f>IF(AND(Projects!$G$43="Yes",AZ$3&gt;=Projects!$C$43,AZ$3&lt;Projects!$C$43+Projects!$D$43),Projects!$B$43*INDEX(Curves!$B$4:$AR$4,1,AZ$3-Projects!$C$43+1),0)-IF(AND(Projects!$G$43="Yes",AZ$3&gt;=Projects!$C$43,AZ$3&lt;Projects!$C$43+Projects!$D$43),Projects!$B$43*(Assumptions!$B$10+Assumptions!$B$11+Assumptions!$B$12)/Projects!$D$43*0.95,0)-IF(AND(Projects!$G$43="Yes",AZ$3=Projects!$C$43+Projects!$D$43-1),Projects!$B$43*(Assumptions!$B$10+Assumptions!$B$11+Assumptions!$B$12)*0.05,0)</f>
        <v/>
      </c>
      <c r="BA52" s="399">
        <f>IF(AND(Projects!$G$43="Yes",BA$3&gt;=Projects!$C$43,BA$3&lt;Projects!$C$43+Projects!$D$43),Projects!$B$43*INDEX(Curves!$B$4:$AR$4,1,BA$3-Projects!$C$43+1),0)-IF(AND(Projects!$G$43="Yes",BA$3&gt;=Projects!$C$43,BA$3&lt;Projects!$C$43+Projects!$D$43),Projects!$B$43*(Assumptions!$B$10+Assumptions!$B$11+Assumptions!$B$12)/Projects!$D$43*0.95,0)-IF(AND(Projects!$G$43="Yes",BA$3=Projects!$C$43+Projects!$D$43-1),Projects!$B$43*(Assumptions!$B$10+Assumptions!$B$11+Assumptions!$B$12)*0.05,0)</f>
        <v/>
      </c>
      <c r="BB52" s="399">
        <f>IF(AND(Projects!$G$43="Yes",BB$3&gt;=Projects!$C$43,BB$3&lt;Projects!$C$43+Projects!$D$43),Projects!$B$43*INDEX(Curves!$B$4:$AR$4,1,BB$3-Projects!$C$43+1),0)-IF(AND(Projects!$G$43="Yes",BB$3&gt;=Projects!$C$43,BB$3&lt;Projects!$C$43+Projects!$D$43),Projects!$B$43*(Assumptions!$B$10+Assumptions!$B$11+Assumptions!$B$12)/Projects!$D$43*0.95,0)-IF(AND(Projects!$G$43="Yes",BB$3=Projects!$C$43+Projects!$D$43-1),Projects!$B$43*(Assumptions!$B$10+Assumptions!$B$11+Assumptions!$B$12)*0.05,0)</f>
        <v/>
      </c>
      <c r="BC52" s="399">
        <f>IF(AND(Projects!$G$43="Yes",BC$3&gt;=Projects!$C$43,BC$3&lt;Projects!$C$43+Projects!$D$43),Projects!$B$43*INDEX(Curves!$B$4:$AR$4,1,BC$3-Projects!$C$43+1),0)-IF(AND(Projects!$G$43="Yes",BC$3&gt;=Projects!$C$43,BC$3&lt;Projects!$C$43+Projects!$D$43),Projects!$B$43*(Assumptions!$B$10+Assumptions!$B$11+Assumptions!$B$12)/Projects!$D$43*0.95,0)-IF(AND(Projects!$G$43="Yes",BC$3=Projects!$C$43+Projects!$D$43-1),Projects!$B$43*(Assumptions!$B$10+Assumptions!$B$11+Assumptions!$B$12)*0.05,0)</f>
        <v/>
      </c>
      <c r="BD52" s="399">
        <f>IF(AND(Projects!$G$43="Yes",BD$3&gt;=Projects!$C$43,BD$3&lt;Projects!$C$43+Projects!$D$43),Projects!$B$43*INDEX(Curves!$B$4:$AR$4,1,BD$3-Projects!$C$43+1),0)-IF(AND(Projects!$G$43="Yes",BD$3&gt;=Projects!$C$43,BD$3&lt;Projects!$C$43+Projects!$D$43),Projects!$B$43*(Assumptions!$B$10+Assumptions!$B$11+Assumptions!$B$12)/Projects!$D$43*0.95,0)-IF(AND(Projects!$G$43="Yes",BD$3=Projects!$C$43+Projects!$D$43-1),Projects!$B$43*(Assumptions!$B$10+Assumptions!$B$11+Assumptions!$B$12)*0.05,0)</f>
        <v/>
      </c>
      <c r="BE52" s="399">
        <f>IF(AND(Projects!$G$43="Yes",BE$3&gt;=Projects!$C$43,BE$3&lt;Projects!$C$43+Projects!$D$43),Projects!$B$43*INDEX(Curves!$B$4:$AR$4,1,BE$3-Projects!$C$43+1),0)-IF(AND(Projects!$G$43="Yes",BE$3&gt;=Projects!$C$43,BE$3&lt;Projects!$C$43+Projects!$D$43),Projects!$B$43*(Assumptions!$B$10+Assumptions!$B$11+Assumptions!$B$12)/Projects!$D$43*0.95,0)-IF(AND(Projects!$G$43="Yes",BE$3=Projects!$C$43+Projects!$D$43-1),Projects!$B$43*(Assumptions!$B$10+Assumptions!$B$11+Assumptions!$B$12)*0.05,0)</f>
        <v/>
      </c>
      <c r="BF52" s="399">
        <f>IF(AND(Projects!$G$43="Yes",BF$3&gt;=Projects!$C$43,BF$3&lt;Projects!$C$43+Projects!$D$43),Projects!$B$43*INDEX(Curves!$B$4:$AR$4,1,BF$3-Projects!$C$43+1),0)-IF(AND(Projects!$G$43="Yes",BF$3&gt;=Projects!$C$43,BF$3&lt;Projects!$C$43+Projects!$D$43),Projects!$B$43*(Assumptions!$B$10+Assumptions!$B$11+Assumptions!$B$12)/Projects!$D$43*0.95,0)-IF(AND(Projects!$G$43="Yes",BF$3=Projects!$C$43+Projects!$D$43-1),Projects!$B$43*(Assumptions!$B$10+Assumptions!$B$11+Assumptions!$B$12)*0.05,0)</f>
        <v/>
      </c>
      <c r="BG52" s="399">
        <f>IF(AND(Projects!$G$43="Yes",BG$3&gt;=Projects!$C$43,BG$3&lt;Projects!$C$43+Projects!$D$43),Projects!$B$43*INDEX(Curves!$B$4:$AR$4,1,BG$3-Projects!$C$43+1),0)-IF(AND(Projects!$G$43="Yes",BG$3&gt;=Projects!$C$43,BG$3&lt;Projects!$C$43+Projects!$D$43),Projects!$B$43*(Assumptions!$B$10+Assumptions!$B$11+Assumptions!$B$12)/Projects!$D$43*0.95,0)-IF(AND(Projects!$G$43="Yes",BG$3=Projects!$C$43+Projects!$D$43-1),Projects!$B$43*(Assumptions!$B$10+Assumptions!$B$11+Assumptions!$B$12)*0.05,0)</f>
        <v/>
      </c>
      <c r="BH52" s="399">
        <f>IF(AND(Projects!$G$43="Yes",BH$3&gt;=Projects!$C$43,BH$3&lt;Projects!$C$43+Projects!$D$43),Projects!$B$43*INDEX(Curves!$B$4:$AR$4,1,BH$3-Projects!$C$43+1),0)-IF(AND(Projects!$G$43="Yes",BH$3&gt;=Projects!$C$43,BH$3&lt;Projects!$C$43+Projects!$D$43),Projects!$B$43*(Assumptions!$B$10+Assumptions!$B$11+Assumptions!$B$12)/Projects!$D$43*0.95,0)-IF(AND(Projects!$G$43="Yes",BH$3=Projects!$C$43+Projects!$D$43-1),Projects!$B$43*(Assumptions!$B$10+Assumptions!$B$11+Assumptions!$B$12)*0.05,0)</f>
        <v/>
      </c>
      <c r="BI52" s="399">
        <f>IF(AND(Projects!$G$43="Yes",BI$3&gt;=Projects!$C$43,BI$3&lt;Projects!$C$43+Projects!$D$43),Projects!$B$43*INDEX(Curves!$B$4:$AR$4,1,BI$3-Projects!$C$43+1),0)-IF(AND(Projects!$G$43="Yes",BI$3&gt;=Projects!$C$43,BI$3&lt;Projects!$C$43+Projects!$D$43),Projects!$B$43*(Assumptions!$B$10+Assumptions!$B$11+Assumptions!$B$12)/Projects!$D$43*0.95,0)-IF(AND(Projects!$G$43="Yes",BI$3=Projects!$C$43+Projects!$D$43-1),Projects!$B$43*(Assumptions!$B$10+Assumptions!$B$11+Assumptions!$B$12)*0.05,0)</f>
        <v/>
      </c>
      <c r="BJ52" s="399">
        <f>IF(AND(Projects!$G$43="Yes",BJ$3&gt;=Projects!$C$43,BJ$3&lt;Projects!$C$43+Projects!$D$43),Projects!$B$43*INDEX(Curves!$B$4:$AR$4,1,BJ$3-Projects!$C$43+1),0)-IF(AND(Projects!$G$43="Yes",BJ$3&gt;=Projects!$C$43,BJ$3&lt;Projects!$C$43+Projects!$D$43),Projects!$B$43*(Assumptions!$B$10+Assumptions!$B$11+Assumptions!$B$12)/Projects!$D$43*0.95,0)-IF(AND(Projects!$G$43="Yes",BJ$3=Projects!$C$43+Projects!$D$43-1),Projects!$B$43*(Assumptions!$B$10+Assumptions!$B$11+Assumptions!$B$12)*0.05,0)</f>
        <v/>
      </c>
      <c r="BK52" s="399">
        <f>IF(AND(Projects!$G$43="Yes",BK$3&gt;=Projects!$C$43,BK$3&lt;Projects!$C$43+Projects!$D$43),Projects!$B$43*INDEX(Curves!$B$4:$AR$4,1,BK$3-Projects!$C$43+1),0)-IF(AND(Projects!$G$43="Yes",BK$3&gt;=Projects!$C$43,BK$3&lt;Projects!$C$43+Projects!$D$43),Projects!$B$43*(Assumptions!$B$10+Assumptions!$B$11+Assumptions!$B$12)/Projects!$D$43*0.95,0)-IF(AND(Projects!$G$43="Yes",BK$3=Projects!$C$43+Projects!$D$43-1),Projects!$B$43*(Assumptions!$B$10+Assumptions!$B$11+Assumptions!$B$12)*0.05,0)</f>
        <v/>
      </c>
      <c r="BL52" s="399">
        <f>IF(AND(Projects!$G$43="Yes",BL$3&gt;=Projects!$C$43,BL$3&lt;Projects!$C$43+Projects!$D$43),Projects!$B$43*INDEX(Curves!$B$4:$AR$4,1,BL$3-Projects!$C$43+1),0)-IF(AND(Projects!$G$43="Yes",BL$3&gt;=Projects!$C$43,BL$3&lt;Projects!$C$43+Projects!$D$43),Projects!$B$43*(Assumptions!$B$10+Assumptions!$B$11+Assumptions!$B$12)/Projects!$D$43*0.95,0)-IF(AND(Projects!$G$43="Yes",BL$3=Projects!$C$43+Projects!$D$43-1),Projects!$B$43*(Assumptions!$B$10+Assumptions!$B$11+Assumptions!$B$12)*0.05,0)</f>
        <v/>
      </c>
      <c r="BM52" s="399">
        <f>IF(AND(Projects!$G$43="Yes",BM$3&gt;=Projects!$C$43,BM$3&lt;Projects!$C$43+Projects!$D$43),Projects!$B$43*INDEX(Curves!$B$4:$AR$4,1,BM$3-Projects!$C$43+1),0)-IF(AND(Projects!$G$43="Yes",BM$3&gt;=Projects!$C$43,BM$3&lt;Projects!$C$43+Projects!$D$43),Projects!$B$43*(Assumptions!$B$10+Assumptions!$B$11+Assumptions!$B$12)/Projects!$D$43*0.95,0)-IF(AND(Projects!$G$43="Yes",BM$3=Projects!$C$43+Projects!$D$43-1),Projects!$B$43*(Assumptions!$B$10+Assumptions!$B$11+Assumptions!$B$12)*0.05,0)</f>
        <v/>
      </c>
      <c r="BN52" s="399">
        <f>IF(AND(Projects!$G$43="Yes",BN$3&gt;=Projects!$C$43,BN$3&lt;Projects!$C$43+Projects!$D$43),Projects!$B$43*INDEX(Curves!$B$4:$AR$4,1,BN$3-Projects!$C$43+1),0)-IF(AND(Projects!$G$43="Yes",BN$3&gt;=Projects!$C$43,BN$3&lt;Projects!$C$43+Projects!$D$43),Projects!$B$43*(Assumptions!$B$10+Assumptions!$B$11+Assumptions!$B$12)/Projects!$D$43*0.95,0)-IF(AND(Projects!$G$43="Yes",BN$3=Projects!$C$43+Projects!$D$43-1),Projects!$B$43*(Assumptions!$B$10+Assumptions!$B$11+Assumptions!$B$12)*0.05,0)</f>
        <v/>
      </c>
      <c r="BO52" s="399">
        <f>IF(AND(Projects!$G$43="Yes",BO$3&gt;=Projects!$C$43,BO$3&lt;Projects!$C$43+Projects!$D$43),Projects!$B$43*INDEX(Curves!$B$4:$AR$4,1,BO$3-Projects!$C$43+1),0)-IF(AND(Projects!$G$43="Yes",BO$3&gt;=Projects!$C$43,BO$3&lt;Projects!$C$43+Projects!$D$43),Projects!$B$43*(Assumptions!$B$10+Assumptions!$B$11+Assumptions!$B$12)/Projects!$D$43*0.95,0)-IF(AND(Projects!$G$43="Yes",BO$3=Projects!$C$43+Projects!$D$43-1),Projects!$B$43*(Assumptions!$B$10+Assumptions!$B$11+Assumptions!$B$12)*0.05,0)</f>
        <v/>
      </c>
      <c r="BP52" s="399">
        <f>IF(AND(Projects!$G$43="Yes",BP$3&gt;=Projects!$C$43,BP$3&lt;Projects!$C$43+Projects!$D$43),Projects!$B$43*INDEX(Curves!$B$4:$AR$4,1,BP$3-Projects!$C$43+1),0)-IF(AND(Projects!$G$43="Yes",BP$3&gt;=Projects!$C$43,BP$3&lt;Projects!$C$43+Projects!$D$43),Projects!$B$43*(Assumptions!$B$10+Assumptions!$B$11+Assumptions!$B$12)/Projects!$D$43*0.95,0)-IF(AND(Projects!$G$43="Yes",BP$3=Projects!$C$43+Projects!$D$43-1),Projects!$B$43*(Assumptions!$B$10+Assumptions!$B$11+Assumptions!$B$12)*0.05,0)</f>
        <v/>
      </c>
      <c r="BQ52" s="399">
        <f>IF(AND(Projects!$G$43="Yes",BQ$3&gt;=Projects!$C$43,BQ$3&lt;Projects!$C$43+Projects!$D$43),Projects!$B$43*INDEX(Curves!$B$4:$AR$4,1,BQ$3-Projects!$C$43+1),0)-IF(AND(Projects!$G$43="Yes",BQ$3&gt;=Projects!$C$43,BQ$3&lt;Projects!$C$43+Projects!$D$43),Projects!$B$43*(Assumptions!$B$10+Assumptions!$B$11+Assumptions!$B$12)/Projects!$D$43*0.95,0)-IF(AND(Projects!$G$43="Yes",BQ$3=Projects!$C$43+Projects!$D$43-1),Projects!$B$43*(Assumptions!$B$10+Assumptions!$B$11+Assumptions!$B$12)*0.05,0)</f>
        <v/>
      </c>
      <c r="BR52" s="399">
        <f>IF(AND(Projects!$G$43="Yes",BR$3&gt;=Projects!$C$43,BR$3&lt;Projects!$C$43+Projects!$D$43),Projects!$B$43*INDEX(Curves!$B$4:$AR$4,1,BR$3-Projects!$C$43+1),0)-IF(AND(Projects!$G$43="Yes",BR$3&gt;=Projects!$C$43,BR$3&lt;Projects!$C$43+Projects!$D$43),Projects!$B$43*(Assumptions!$B$10+Assumptions!$B$11+Assumptions!$B$12)/Projects!$D$43*0.95,0)-IF(AND(Projects!$G$43="Yes",BR$3=Projects!$C$43+Projects!$D$43-1),Projects!$B$43*(Assumptions!$B$10+Assumptions!$B$11+Assumptions!$B$12)*0.05,0)</f>
        <v/>
      </c>
      <c r="BS52" s="399">
        <f>IF(AND(Projects!$G$43="Yes",BS$3&gt;=Projects!$C$43,BS$3&lt;Projects!$C$43+Projects!$D$43),Projects!$B$43*INDEX(Curves!$B$4:$AR$4,1,BS$3-Projects!$C$43+1),0)-IF(AND(Projects!$G$43="Yes",BS$3&gt;=Projects!$C$43,BS$3&lt;Projects!$C$43+Projects!$D$43),Projects!$B$43*(Assumptions!$B$10+Assumptions!$B$11+Assumptions!$B$12)/Projects!$D$43*0.95,0)-IF(AND(Projects!$G$43="Yes",BS$3=Projects!$C$43+Projects!$D$43-1),Projects!$B$43*(Assumptions!$B$10+Assumptions!$B$11+Assumptions!$B$12)*0.05,0)</f>
        <v/>
      </c>
      <c r="BT52" s="399">
        <f>IF(AND(Projects!$G$43="Yes",BT$3&gt;=Projects!$C$43,BT$3&lt;Projects!$C$43+Projects!$D$43),Projects!$B$43*INDEX(Curves!$B$4:$AR$4,1,BT$3-Projects!$C$43+1),0)-IF(AND(Projects!$G$43="Yes",BT$3&gt;=Projects!$C$43,BT$3&lt;Projects!$C$43+Projects!$D$43),Projects!$B$43*(Assumptions!$B$10+Assumptions!$B$11+Assumptions!$B$12)/Projects!$D$43*0.95,0)-IF(AND(Projects!$G$43="Yes",BT$3=Projects!$C$43+Projects!$D$43-1),Projects!$B$43*(Assumptions!$B$10+Assumptions!$B$11+Assumptions!$B$12)*0.05,0)</f>
        <v/>
      </c>
      <c r="BU52" s="399">
        <f>IF(AND(Projects!$G$43="Yes",BU$3&gt;=Projects!$C$43,BU$3&lt;Projects!$C$43+Projects!$D$43),Projects!$B$43*INDEX(Curves!$B$4:$AR$4,1,BU$3-Projects!$C$43+1),0)-IF(AND(Projects!$G$43="Yes",BU$3&gt;=Projects!$C$43,BU$3&lt;Projects!$C$43+Projects!$D$43),Projects!$B$43*(Assumptions!$B$10+Assumptions!$B$11+Assumptions!$B$12)/Projects!$D$43*0.95,0)-IF(AND(Projects!$G$43="Yes",BU$3=Projects!$C$43+Projects!$D$43-1),Projects!$B$43*(Assumptions!$B$10+Assumptions!$B$11+Assumptions!$B$12)*0.05,0)</f>
        <v/>
      </c>
      <c r="BV52" s="399">
        <f>IF(AND(Projects!$G$43="Yes",BV$3&gt;=Projects!$C$43,BV$3&lt;Projects!$C$43+Projects!$D$43),Projects!$B$43*INDEX(Curves!$B$4:$AR$4,1,BV$3-Projects!$C$43+1),0)-IF(AND(Projects!$G$43="Yes",BV$3&gt;=Projects!$C$43,BV$3&lt;Projects!$C$43+Projects!$D$43),Projects!$B$43*(Assumptions!$B$10+Assumptions!$B$11+Assumptions!$B$12)/Projects!$D$43*0.95,0)-IF(AND(Projects!$G$43="Yes",BV$3=Projects!$C$43+Projects!$D$43-1),Projects!$B$43*(Assumptions!$B$10+Assumptions!$B$11+Assumptions!$B$12)*0.05,0)</f>
        <v/>
      </c>
      <c r="BW52" s="399">
        <f>IF(AND(Projects!$G$43="Yes",BW$3&gt;=Projects!$C$43,BW$3&lt;Projects!$C$43+Projects!$D$43),Projects!$B$43*INDEX(Curves!$B$4:$AR$4,1,BW$3-Projects!$C$43+1),0)-IF(AND(Projects!$G$43="Yes",BW$3&gt;=Projects!$C$43,BW$3&lt;Projects!$C$43+Projects!$D$43),Projects!$B$43*(Assumptions!$B$10+Assumptions!$B$11+Assumptions!$B$12)/Projects!$D$43*0.95,0)-IF(AND(Projects!$G$43="Yes",BW$3=Projects!$C$43+Projects!$D$43-1),Projects!$B$43*(Assumptions!$B$10+Assumptions!$B$11+Assumptions!$B$12)*0.05,0)</f>
        <v/>
      </c>
      <c r="BX52" s="399">
        <f>IF(AND(Projects!$G$43="Yes",BX$3&gt;=Projects!$C$43,BX$3&lt;Projects!$C$43+Projects!$D$43),Projects!$B$43*INDEX(Curves!$B$4:$AR$4,1,BX$3-Projects!$C$43+1),0)-IF(AND(Projects!$G$43="Yes",BX$3&gt;=Projects!$C$43,BX$3&lt;Projects!$C$43+Projects!$D$43),Projects!$B$43*(Assumptions!$B$10+Assumptions!$B$11+Assumptions!$B$12)/Projects!$D$43*0.95,0)-IF(AND(Projects!$G$43="Yes",BX$3=Projects!$C$43+Projects!$D$43-1),Projects!$B$43*(Assumptions!$B$10+Assumptions!$B$11+Assumptions!$B$12)*0.05,0)</f>
        <v/>
      </c>
      <c r="BY52" s="399">
        <f>IF(AND(Projects!$G$43="Yes",BY$3&gt;=Projects!$C$43,BY$3&lt;Projects!$C$43+Projects!$D$43),Projects!$B$43*INDEX(Curves!$B$4:$AR$4,1,BY$3-Projects!$C$43+1),0)-IF(AND(Projects!$G$43="Yes",BY$3&gt;=Projects!$C$43,BY$3&lt;Projects!$C$43+Projects!$D$43),Projects!$B$43*(Assumptions!$B$10+Assumptions!$B$11+Assumptions!$B$12)/Projects!$D$43*0.95,0)-IF(AND(Projects!$G$43="Yes",BY$3=Projects!$C$43+Projects!$D$43-1),Projects!$B$43*(Assumptions!$B$10+Assumptions!$B$11+Assumptions!$B$12)*0.05,0)</f>
        <v/>
      </c>
      <c r="BZ52" s="399">
        <f>IF(AND(Projects!$G$43="Yes",BZ$3&gt;=Projects!$C$43,BZ$3&lt;Projects!$C$43+Projects!$D$43),Projects!$B$43*INDEX(Curves!$B$4:$AR$4,1,BZ$3-Projects!$C$43+1),0)-IF(AND(Projects!$G$43="Yes",BZ$3&gt;=Projects!$C$43,BZ$3&lt;Projects!$C$43+Projects!$D$43),Projects!$B$43*(Assumptions!$B$10+Assumptions!$B$11+Assumptions!$B$12)/Projects!$D$43*0.95,0)-IF(AND(Projects!$G$43="Yes",BZ$3=Projects!$C$43+Projects!$D$43-1),Projects!$B$43*(Assumptions!$B$10+Assumptions!$B$11+Assumptions!$B$12)*0.05,0)</f>
        <v/>
      </c>
      <c r="CA52" s="399">
        <f>IF(AND(Projects!$G$43="Yes",CA$3&gt;=Projects!$C$43,CA$3&lt;Projects!$C$43+Projects!$D$43),Projects!$B$43*INDEX(Curves!$B$4:$AR$4,1,CA$3-Projects!$C$43+1),0)-IF(AND(Projects!$G$43="Yes",CA$3&gt;=Projects!$C$43,CA$3&lt;Projects!$C$43+Projects!$D$43),Projects!$B$43*(Assumptions!$B$10+Assumptions!$B$11+Assumptions!$B$12)/Projects!$D$43*0.95,0)-IF(AND(Projects!$G$43="Yes",CA$3=Projects!$C$43+Projects!$D$43-1),Projects!$B$43*(Assumptions!$B$10+Assumptions!$B$11+Assumptions!$B$12)*0.05,0)</f>
        <v/>
      </c>
      <c r="CB52" s="399">
        <f>IF(AND(Projects!$G$43="Yes",CB$3&gt;=Projects!$C$43,CB$3&lt;Projects!$C$43+Projects!$D$43),Projects!$B$43*INDEX(Curves!$B$4:$AR$4,1,CB$3-Projects!$C$43+1),0)-IF(AND(Projects!$G$43="Yes",CB$3&gt;=Projects!$C$43,CB$3&lt;Projects!$C$43+Projects!$D$43),Projects!$B$43*(Assumptions!$B$10+Assumptions!$B$11+Assumptions!$B$12)/Projects!$D$43*0.95,0)-IF(AND(Projects!$G$43="Yes",CB$3=Projects!$C$43+Projects!$D$43-1),Projects!$B$43*(Assumptions!$B$10+Assumptions!$B$11+Assumptions!$B$12)*0.05,0)</f>
        <v/>
      </c>
      <c r="CC52" s="399">
        <f>IF(AND(Projects!$G$43="Yes",CC$3&gt;=Projects!$C$43,CC$3&lt;Projects!$C$43+Projects!$D$43),Projects!$B$43*INDEX(Curves!$B$4:$AR$4,1,CC$3-Projects!$C$43+1),0)-IF(AND(Projects!$G$43="Yes",CC$3&gt;=Projects!$C$43,CC$3&lt;Projects!$C$43+Projects!$D$43),Projects!$B$43*(Assumptions!$B$10+Assumptions!$B$11+Assumptions!$B$12)/Projects!$D$43*0.95,0)-IF(AND(Projects!$G$43="Yes",CC$3=Projects!$C$43+Projects!$D$43-1),Projects!$B$43*(Assumptions!$B$10+Assumptions!$B$11+Assumptions!$B$12)*0.05,0)</f>
        <v/>
      </c>
      <c r="CD52" s="399">
        <f>IF(AND(Projects!$G$43="Yes",CD$3&gt;=Projects!$C$43,CD$3&lt;Projects!$C$43+Projects!$D$43),Projects!$B$43*INDEX(Curves!$B$4:$AR$4,1,CD$3-Projects!$C$43+1),0)-IF(AND(Projects!$G$43="Yes",CD$3&gt;=Projects!$C$43,CD$3&lt;Projects!$C$43+Projects!$D$43),Projects!$B$43*(Assumptions!$B$10+Assumptions!$B$11+Assumptions!$B$12)/Projects!$D$43*0.95,0)-IF(AND(Projects!$G$43="Yes",CD$3=Projects!$C$43+Projects!$D$43-1),Projects!$B$43*(Assumptions!$B$10+Assumptions!$B$11+Assumptions!$B$12)*0.05,0)</f>
        <v/>
      </c>
      <c r="CE52" s="399">
        <f>IF(AND(Projects!$G$43="Yes",CE$3&gt;=Projects!$C$43,CE$3&lt;Projects!$C$43+Projects!$D$43),Projects!$B$43*INDEX(Curves!$B$4:$AR$4,1,CE$3-Projects!$C$43+1),0)-IF(AND(Projects!$G$43="Yes",CE$3&gt;=Projects!$C$43,CE$3&lt;Projects!$C$43+Projects!$D$43),Projects!$B$43*(Assumptions!$B$10+Assumptions!$B$11+Assumptions!$B$12)/Projects!$D$43*0.95,0)-IF(AND(Projects!$G$43="Yes",CE$3=Projects!$C$43+Projects!$D$43-1),Projects!$B$43*(Assumptions!$B$10+Assumptions!$B$11+Assumptions!$B$12)*0.05,0)</f>
        <v/>
      </c>
      <c r="CF52" s="399">
        <f>IF(AND(Projects!$G$43="Yes",CF$3&gt;=Projects!$C$43,CF$3&lt;Projects!$C$43+Projects!$D$43),Projects!$B$43*INDEX(Curves!$B$4:$AR$4,1,CF$3-Projects!$C$43+1),0)-IF(AND(Projects!$G$43="Yes",CF$3&gt;=Projects!$C$43,CF$3&lt;Projects!$C$43+Projects!$D$43),Projects!$B$43*(Assumptions!$B$10+Assumptions!$B$11+Assumptions!$B$12)/Projects!$D$43*0.95,0)-IF(AND(Projects!$G$43="Yes",CF$3=Projects!$C$43+Projects!$D$43-1),Projects!$B$43*(Assumptions!$B$10+Assumptions!$B$11+Assumptions!$B$12)*0.05,0)</f>
        <v/>
      </c>
      <c r="CG52" s="399">
        <f>IF(AND(Projects!$G$43="Yes",CG$3&gt;=Projects!$C$43,CG$3&lt;Projects!$C$43+Projects!$D$43),Projects!$B$43*INDEX(Curves!$B$4:$AR$4,1,CG$3-Projects!$C$43+1),0)-IF(AND(Projects!$G$43="Yes",CG$3&gt;=Projects!$C$43,CG$3&lt;Projects!$C$43+Projects!$D$43),Projects!$B$43*(Assumptions!$B$10+Assumptions!$B$11+Assumptions!$B$12)/Projects!$D$43*0.95,0)-IF(AND(Projects!$G$43="Yes",CG$3=Projects!$C$43+Projects!$D$43-1),Projects!$B$43*(Assumptions!$B$10+Assumptions!$B$11+Assumptions!$B$12)*0.05,0)</f>
        <v/>
      </c>
      <c r="CH52" s="399">
        <f>IF(AND(Projects!$G$43="Yes",CH$3&gt;=Projects!$C$43,CH$3&lt;Projects!$C$43+Projects!$D$43),Projects!$B$43*INDEX(Curves!$B$4:$AR$4,1,CH$3-Projects!$C$43+1),0)-IF(AND(Projects!$G$43="Yes",CH$3&gt;=Projects!$C$43,CH$3&lt;Projects!$C$43+Projects!$D$43),Projects!$B$43*(Assumptions!$B$10+Assumptions!$B$11+Assumptions!$B$12)/Projects!$D$43*0.95,0)-IF(AND(Projects!$G$43="Yes",CH$3=Projects!$C$43+Projects!$D$43-1),Projects!$B$43*(Assumptions!$B$10+Assumptions!$B$11+Assumptions!$B$12)*0.05,0)</f>
        <v/>
      </c>
      <c r="CI52" s="399">
        <f>IF(AND(Projects!$G$43="Yes",CI$3&gt;=Projects!$C$43,CI$3&lt;Projects!$C$43+Projects!$D$43),Projects!$B$43*INDEX(Curves!$B$4:$AR$4,1,CI$3-Projects!$C$43+1),0)-IF(AND(Projects!$G$43="Yes",CI$3&gt;=Projects!$C$43,CI$3&lt;Projects!$C$43+Projects!$D$43),Projects!$B$43*(Assumptions!$B$10+Assumptions!$B$11+Assumptions!$B$12)/Projects!$D$43*0.95,0)-IF(AND(Projects!$G$43="Yes",CI$3=Projects!$C$43+Projects!$D$43-1),Projects!$B$43*(Assumptions!$B$10+Assumptions!$B$11+Assumptions!$B$12)*0.05,0)</f>
        <v/>
      </c>
      <c r="CJ52" s="399">
        <f>IF(AND(Projects!$G$43="Yes",CJ$3&gt;=Projects!$C$43,CJ$3&lt;Projects!$C$43+Projects!$D$43),Projects!$B$43*INDEX(Curves!$B$4:$AR$4,1,CJ$3-Projects!$C$43+1),0)-IF(AND(Projects!$G$43="Yes",CJ$3&gt;=Projects!$C$43,CJ$3&lt;Projects!$C$43+Projects!$D$43),Projects!$B$43*(Assumptions!$B$10+Assumptions!$B$11+Assumptions!$B$12)/Projects!$D$43*0.95,0)-IF(AND(Projects!$G$43="Yes",CJ$3=Projects!$C$43+Projects!$D$43-1),Projects!$B$43*(Assumptions!$B$10+Assumptions!$B$11+Assumptions!$B$12)*0.05,0)</f>
        <v/>
      </c>
      <c r="CK52" s="399">
        <f>IF(AND(Projects!$G$43="Yes",CK$3&gt;=Projects!$C$43,CK$3&lt;Projects!$C$43+Projects!$D$43),Projects!$B$43*INDEX(Curves!$B$4:$AR$4,1,CK$3-Projects!$C$43+1),0)-IF(AND(Projects!$G$43="Yes",CK$3&gt;=Projects!$C$43,CK$3&lt;Projects!$C$43+Projects!$D$43),Projects!$B$43*(Assumptions!$B$10+Assumptions!$B$11+Assumptions!$B$12)/Projects!$D$43*0.95,0)-IF(AND(Projects!$G$43="Yes",CK$3=Projects!$C$43+Projects!$D$43-1),Projects!$B$43*(Assumptions!$B$10+Assumptions!$B$11+Assumptions!$B$12)*0.05,0)</f>
        <v/>
      </c>
      <c r="CL52" s="399">
        <f>IF(AND(Projects!$G$43="Yes",CL$3&gt;=Projects!$C$43,CL$3&lt;Projects!$C$43+Projects!$D$43),Projects!$B$43*INDEX(Curves!$B$4:$AR$4,1,CL$3-Projects!$C$43+1),0)-IF(AND(Projects!$G$43="Yes",CL$3&gt;=Projects!$C$43,CL$3&lt;Projects!$C$43+Projects!$D$43),Projects!$B$43*(Assumptions!$B$10+Assumptions!$B$11+Assumptions!$B$12)/Projects!$D$43*0.95,0)-IF(AND(Projects!$G$43="Yes",CL$3=Projects!$C$43+Projects!$D$43-1),Projects!$B$43*(Assumptions!$B$10+Assumptions!$B$11+Assumptions!$B$12)*0.05,0)</f>
        <v/>
      </c>
      <c r="CM52" s="399">
        <f>IF(AND(Projects!$G$43="Yes",CM$3&gt;=Projects!$C$43,CM$3&lt;Projects!$C$43+Projects!$D$43),Projects!$B$43*INDEX(Curves!$B$4:$AR$4,1,CM$3-Projects!$C$43+1),0)-IF(AND(Projects!$G$43="Yes",CM$3&gt;=Projects!$C$43,CM$3&lt;Projects!$C$43+Projects!$D$43),Projects!$B$43*(Assumptions!$B$10+Assumptions!$B$11+Assumptions!$B$12)/Projects!$D$43*0.95,0)-IF(AND(Projects!$G$43="Yes",CM$3=Projects!$C$43+Projects!$D$43-1),Projects!$B$43*(Assumptions!$B$10+Assumptions!$B$11+Assumptions!$B$12)*0.05,0)</f>
        <v/>
      </c>
      <c r="CN52" s="399">
        <f>IF(AND(Projects!$G$43="Yes",CN$3&gt;=Projects!$C$43,CN$3&lt;Projects!$C$43+Projects!$D$43),Projects!$B$43*INDEX(Curves!$B$4:$AR$4,1,CN$3-Projects!$C$43+1),0)-IF(AND(Projects!$G$43="Yes",CN$3&gt;=Projects!$C$43,CN$3&lt;Projects!$C$43+Projects!$D$43),Projects!$B$43*(Assumptions!$B$10+Assumptions!$B$11+Assumptions!$B$12)/Projects!$D$43*0.95,0)-IF(AND(Projects!$G$43="Yes",CN$3=Projects!$C$43+Projects!$D$43-1),Projects!$B$43*(Assumptions!$B$10+Assumptions!$B$11+Assumptions!$B$12)*0.05,0)</f>
        <v/>
      </c>
      <c r="CO52" s="399">
        <f>IF(AND(Projects!$G$43="Yes",CO$3&gt;=Projects!$C$43,CO$3&lt;Projects!$C$43+Projects!$D$43),Projects!$B$43*INDEX(Curves!$B$4:$AR$4,1,CO$3-Projects!$C$43+1),0)-IF(AND(Projects!$G$43="Yes",CO$3&gt;=Projects!$C$43,CO$3&lt;Projects!$C$43+Projects!$D$43),Projects!$B$43*(Assumptions!$B$10+Assumptions!$B$11+Assumptions!$B$12)/Projects!$D$43*0.95,0)-IF(AND(Projects!$G$43="Yes",CO$3=Projects!$C$43+Projects!$D$43-1),Projects!$B$43*(Assumptions!$B$10+Assumptions!$B$11+Assumptions!$B$12)*0.05,0)</f>
        <v/>
      </c>
      <c r="CP52" s="399">
        <f>IF(AND(Projects!$G$43="Yes",CP$3&gt;=Projects!$C$43,CP$3&lt;Projects!$C$43+Projects!$D$43),Projects!$B$43*INDEX(Curves!$B$4:$AR$4,1,CP$3-Projects!$C$43+1),0)-IF(AND(Projects!$G$43="Yes",CP$3&gt;=Projects!$C$43,CP$3&lt;Projects!$C$43+Projects!$D$43),Projects!$B$43*(Assumptions!$B$10+Assumptions!$B$11+Assumptions!$B$12)/Projects!$D$43*0.95,0)-IF(AND(Projects!$G$43="Yes",CP$3=Projects!$C$43+Projects!$D$43-1),Projects!$B$43*(Assumptions!$B$10+Assumptions!$B$11+Assumptions!$B$12)*0.05,0)</f>
        <v/>
      </c>
      <c r="CQ52" s="399">
        <f>IF(AND(Projects!$G$43="Yes",CQ$3&gt;=Projects!$C$43,CQ$3&lt;Projects!$C$43+Projects!$D$43),Projects!$B$43*INDEX(Curves!$B$4:$AR$4,1,CQ$3-Projects!$C$43+1),0)-IF(AND(Projects!$G$43="Yes",CQ$3&gt;=Projects!$C$43,CQ$3&lt;Projects!$C$43+Projects!$D$43),Projects!$B$43*(Assumptions!$B$10+Assumptions!$B$11+Assumptions!$B$12)/Projects!$D$43*0.95,0)-IF(AND(Projects!$G$43="Yes",CQ$3=Projects!$C$43+Projects!$D$43-1),Projects!$B$43*(Assumptions!$B$10+Assumptions!$B$11+Assumptions!$B$12)*0.05,0)</f>
        <v/>
      </c>
      <c r="CR52" s="399">
        <f>IF(AND(Projects!$G$43="Yes",CR$3&gt;=Projects!$C$43,CR$3&lt;Projects!$C$43+Projects!$D$43),Projects!$B$43*INDEX(Curves!$B$4:$AR$4,1,CR$3-Projects!$C$43+1),0)-IF(AND(Projects!$G$43="Yes",CR$3&gt;=Projects!$C$43,CR$3&lt;Projects!$C$43+Projects!$D$43),Projects!$B$43*(Assumptions!$B$10+Assumptions!$B$11+Assumptions!$B$12)/Projects!$D$43*0.95,0)-IF(AND(Projects!$G$43="Yes",CR$3=Projects!$C$43+Projects!$D$43-1),Projects!$B$43*(Assumptions!$B$10+Assumptions!$B$11+Assumptions!$B$12)*0.05,0)</f>
        <v/>
      </c>
      <c r="CS52" s="399">
        <f>IF(AND(Projects!$G$43="Yes",CS$3&gt;=Projects!$C$43,CS$3&lt;Projects!$C$43+Projects!$D$43),Projects!$B$43*INDEX(Curves!$B$4:$AR$4,1,CS$3-Projects!$C$43+1),0)-IF(AND(Projects!$G$43="Yes",CS$3&gt;=Projects!$C$43,CS$3&lt;Projects!$C$43+Projects!$D$43),Projects!$B$43*(Assumptions!$B$10+Assumptions!$B$11+Assumptions!$B$12)/Projects!$D$43*0.95,0)-IF(AND(Projects!$G$43="Yes",CS$3=Projects!$C$43+Projects!$D$43-1),Projects!$B$43*(Assumptions!$B$10+Assumptions!$B$11+Assumptions!$B$12)*0.05,0)</f>
        <v/>
      </c>
      <c r="CT52" s="399">
        <f>IF(AND(Projects!$G$43="Yes",CT$3&gt;=Projects!$C$43,CT$3&lt;Projects!$C$43+Projects!$D$43),Projects!$B$43*INDEX(Curves!$B$4:$AR$4,1,CT$3-Projects!$C$43+1),0)-IF(AND(Projects!$G$43="Yes",CT$3&gt;=Projects!$C$43,CT$3&lt;Projects!$C$43+Projects!$D$43),Projects!$B$43*(Assumptions!$B$10+Assumptions!$B$11+Assumptions!$B$12)/Projects!$D$43*0.95,0)-IF(AND(Projects!$G$43="Yes",CT$3=Projects!$C$43+Projects!$D$43-1),Projects!$B$43*(Assumptions!$B$10+Assumptions!$B$11+Assumptions!$B$12)*0.05,0)</f>
        <v/>
      </c>
      <c r="CU52" s="399">
        <f>IF(AND(Projects!$G$43="Yes",CU$3&gt;=Projects!$C$43,CU$3&lt;Projects!$C$43+Projects!$D$43),Projects!$B$43*INDEX(Curves!$B$4:$AR$4,1,CU$3-Projects!$C$43+1),0)-IF(AND(Projects!$G$43="Yes",CU$3&gt;=Projects!$C$43,CU$3&lt;Projects!$C$43+Projects!$D$43),Projects!$B$43*(Assumptions!$B$10+Assumptions!$B$11+Assumptions!$B$12)/Projects!$D$43*0.95,0)-IF(AND(Projects!$G$43="Yes",CU$3=Projects!$C$43+Projects!$D$43-1),Projects!$B$43*(Assumptions!$B$10+Assumptions!$B$11+Assumptions!$B$12)*0.05,0)</f>
        <v/>
      </c>
      <c r="CV52" s="399">
        <f>IF(AND(Projects!$G$43="Yes",CV$3&gt;=Projects!$C$43,CV$3&lt;Projects!$C$43+Projects!$D$43),Projects!$B$43*INDEX(Curves!$B$4:$AR$4,1,CV$3-Projects!$C$43+1),0)-IF(AND(Projects!$G$43="Yes",CV$3&gt;=Projects!$C$43,CV$3&lt;Projects!$C$43+Projects!$D$43),Projects!$B$43*(Assumptions!$B$10+Assumptions!$B$11+Assumptions!$B$12)/Projects!$D$43*0.95,0)-IF(AND(Projects!$G$43="Yes",CV$3=Projects!$C$43+Projects!$D$43-1),Projects!$B$43*(Assumptions!$B$10+Assumptions!$B$11+Assumptions!$B$12)*0.05,0)</f>
        <v/>
      </c>
      <c r="CW52" s="399">
        <f>IF(AND(Projects!$G$43="Yes",CW$3&gt;=Projects!$C$43,CW$3&lt;Projects!$C$43+Projects!$D$43),Projects!$B$43*INDEX(Curves!$B$4:$AR$4,1,CW$3-Projects!$C$43+1),0)-IF(AND(Projects!$G$43="Yes",CW$3&gt;=Projects!$C$43,CW$3&lt;Projects!$C$43+Projects!$D$43),Projects!$B$43*(Assumptions!$B$10+Assumptions!$B$11+Assumptions!$B$12)/Projects!$D$43*0.95,0)-IF(AND(Projects!$G$43="Yes",CW$3=Projects!$C$43+Projects!$D$43-1),Projects!$B$43*(Assumptions!$B$10+Assumptions!$B$11+Assumptions!$B$12)*0.05,0)</f>
        <v/>
      </c>
      <c r="CX52" s="399">
        <f>IF(AND(Projects!$G$43="Yes",CX$3&gt;=Projects!$C$43,CX$3&lt;Projects!$C$43+Projects!$D$43),Projects!$B$43*INDEX(Curves!$B$4:$AR$4,1,CX$3-Projects!$C$43+1),0)-IF(AND(Projects!$G$43="Yes",CX$3&gt;=Projects!$C$43,CX$3&lt;Projects!$C$43+Projects!$D$43),Projects!$B$43*(Assumptions!$B$10+Assumptions!$B$11+Assumptions!$B$12)/Projects!$D$43*0.95,0)-IF(AND(Projects!$G$43="Yes",CX$3=Projects!$C$43+Projects!$D$43-1),Projects!$B$43*(Assumptions!$B$10+Assumptions!$B$11+Assumptions!$B$12)*0.05,0)</f>
        <v/>
      </c>
      <c r="CY52" s="399">
        <f>IF(AND(Projects!$G$43="Yes",CY$3&gt;=Projects!$C$43,CY$3&lt;Projects!$C$43+Projects!$D$43),Projects!$B$43*INDEX(Curves!$B$4:$AR$4,1,CY$3-Projects!$C$43+1),0)-IF(AND(Projects!$G$43="Yes",CY$3&gt;=Projects!$C$43,CY$3&lt;Projects!$C$43+Projects!$D$43),Projects!$B$43*(Assumptions!$B$10+Assumptions!$B$11+Assumptions!$B$12)/Projects!$D$43*0.95,0)-IF(AND(Projects!$G$43="Yes",CY$3=Projects!$C$43+Projects!$D$43-1),Projects!$B$43*(Assumptions!$B$10+Assumptions!$B$11+Assumptions!$B$12)*0.05,0)</f>
        <v/>
      </c>
      <c r="CZ52" s="399">
        <f>IF(AND(Projects!$G$43="Yes",CZ$3&gt;=Projects!$C$43,CZ$3&lt;Projects!$C$43+Projects!$D$43),Projects!$B$43*INDEX(Curves!$B$4:$AR$4,1,CZ$3-Projects!$C$43+1),0)-IF(AND(Projects!$G$43="Yes",CZ$3&gt;=Projects!$C$43,CZ$3&lt;Projects!$C$43+Projects!$D$43),Projects!$B$43*(Assumptions!$B$10+Assumptions!$B$11+Assumptions!$B$12)/Projects!$D$43*0.95,0)-IF(AND(Projects!$G$43="Yes",CZ$3=Projects!$C$43+Projects!$D$43-1),Projects!$B$43*(Assumptions!$B$10+Assumptions!$B$11+Assumptions!$B$12)*0.05,0)</f>
        <v/>
      </c>
      <c r="DA52" s="399">
        <f>IF(AND(Projects!$G$43="Yes",DA$3&gt;=Projects!$C$43,DA$3&lt;Projects!$C$43+Projects!$D$43),Projects!$B$43*INDEX(Curves!$B$4:$AR$4,1,DA$3-Projects!$C$43+1),0)-IF(AND(Projects!$G$43="Yes",DA$3&gt;=Projects!$C$43,DA$3&lt;Projects!$C$43+Projects!$D$43),Projects!$B$43*(Assumptions!$B$10+Assumptions!$B$11+Assumptions!$B$12)/Projects!$D$43*0.95,0)-IF(AND(Projects!$G$43="Yes",DA$3=Projects!$C$43+Projects!$D$43-1),Projects!$B$43*(Assumptions!$B$10+Assumptions!$B$11+Assumptions!$B$12)*0.05,0)</f>
        <v/>
      </c>
      <c r="DB52" s="399">
        <f>IF(AND(Projects!$G$43="Yes",DB$3&gt;=Projects!$C$43,DB$3&lt;Projects!$C$43+Projects!$D$43),Projects!$B$43*INDEX(Curves!$B$4:$AR$4,1,DB$3-Projects!$C$43+1),0)-IF(AND(Projects!$G$43="Yes",DB$3&gt;=Projects!$C$43,DB$3&lt;Projects!$C$43+Projects!$D$43),Projects!$B$43*(Assumptions!$B$10+Assumptions!$B$11+Assumptions!$B$12)/Projects!$D$43*0.95,0)-IF(AND(Projects!$G$43="Yes",DB$3=Projects!$C$43+Projects!$D$43-1),Projects!$B$43*(Assumptions!$B$10+Assumptions!$B$11+Assumptions!$B$12)*0.05,0)</f>
        <v/>
      </c>
      <c r="DC52" s="399">
        <f>IF(AND(Projects!$G$43="Yes",DC$3&gt;=Projects!$C$43,DC$3&lt;Projects!$C$43+Projects!$D$43),Projects!$B$43*INDEX(Curves!$B$4:$AR$4,1,DC$3-Projects!$C$43+1),0)-IF(AND(Projects!$G$43="Yes",DC$3&gt;=Projects!$C$43,DC$3&lt;Projects!$C$43+Projects!$D$43),Projects!$B$43*(Assumptions!$B$10+Assumptions!$B$11+Assumptions!$B$12)/Projects!$D$43*0.95,0)-IF(AND(Projects!$G$43="Yes",DC$3=Projects!$C$43+Projects!$D$43-1),Projects!$B$43*(Assumptions!$B$10+Assumptions!$B$11+Assumptions!$B$12)*0.05,0)</f>
        <v/>
      </c>
      <c r="DD52" s="399">
        <f>IF(AND(Projects!$G$43="Yes",DD$3&gt;=Projects!$C$43,DD$3&lt;Projects!$C$43+Projects!$D$43),Projects!$B$43*INDEX(Curves!$B$4:$AR$4,1,DD$3-Projects!$C$43+1),0)-IF(AND(Projects!$G$43="Yes",DD$3&gt;=Projects!$C$43,DD$3&lt;Projects!$C$43+Projects!$D$43),Projects!$B$43*(Assumptions!$B$10+Assumptions!$B$11+Assumptions!$B$12)/Projects!$D$43*0.95,0)-IF(AND(Projects!$G$43="Yes",DD$3=Projects!$C$43+Projects!$D$43-1),Projects!$B$43*(Assumptions!$B$10+Assumptions!$B$11+Assumptions!$B$12)*0.05,0)</f>
        <v/>
      </c>
      <c r="DE52" s="399">
        <f>IF(AND(Projects!$G$43="Yes",DE$3&gt;=Projects!$C$43,DE$3&lt;Projects!$C$43+Projects!$D$43),Projects!$B$43*INDEX(Curves!$B$4:$AR$4,1,DE$3-Projects!$C$43+1),0)-IF(AND(Projects!$G$43="Yes",DE$3&gt;=Projects!$C$43,DE$3&lt;Projects!$C$43+Projects!$D$43),Projects!$B$43*(Assumptions!$B$10+Assumptions!$B$11+Assumptions!$B$12)/Projects!$D$43*0.95,0)-IF(AND(Projects!$G$43="Yes",DE$3=Projects!$C$43+Projects!$D$43-1),Projects!$B$43*(Assumptions!$B$10+Assumptions!$B$11+Assumptions!$B$12)*0.05,0)</f>
        <v/>
      </c>
    </row>
    <row r="53" hidden="1" outlineLevel="1" ht="15" customFormat="1" customHeight="1" s="380">
      <c r="A53" s="407" t="inlineStr">
        <is>
          <t>BD-28</t>
        </is>
      </c>
      <c r="B53" s="399" t="n">
        <v>0</v>
      </c>
      <c r="C53" s="399" t="n">
        <v>0</v>
      </c>
      <c r="D53" s="399" t="n">
        <v>0</v>
      </c>
      <c r="E53" s="399" t="n">
        <v>0</v>
      </c>
      <c r="F53" s="399">
        <f>IF(AND(Projects!$G$44="Yes",F$3&gt;=Projects!$C$44,F$3&lt;Projects!$C$44+Projects!$D$44),Projects!$B$44*INDEX(Curves!$B$4:$AR$4,1,F$3-Projects!$C$44+1),0)-IF(AND(Projects!$G$44="Yes",F$3&gt;=Projects!$C$44,F$3&lt;Projects!$C$44+Projects!$D$44),Projects!$B$44*(Assumptions!$B$10+Assumptions!$B$11+Assumptions!$B$12)/Projects!$D$44*0.95,0)-IF(AND(Projects!$G$44="Yes",F$3=Projects!$C$44+Projects!$D$44-1),Projects!$B$44*(Assumptions!$B$10+Assumptions!$B$11+Assumptions!$B$12)*0.05,0)</f>
        <v/>
      </c>
      <c r="G53" s="399">
        <f>IF(AND(Projects!$G$44="Yes",G$3&gt;=Projects!$C$44,G$3&lt;Projects!$C$44+Projects!$D$44),Projects!$B$44*INDEX(Curves!$B$4:$AR$4,1,G$3-Projects!$C$44+1),0)-IF(AND(Projects!$G$44="Yes",G$3&gt;=Projects!$C$44,G$3&lt;Projects!$C$44+Projects!$D$44),Projects!$B$44*(Assumptions!$B$10+Assumptions!$B$11+Assumptions!$B$12)/Projects!$D$44*0.95,0)-IF(AND(Projects!$G$44="Yes",G$3=Projects!$C$44+Projects!$D$44-1),Projects!$B$44*(Assumptions!$B$10+Assumptions!$B$11+Assumptions!$B$12)*0.05,0)</f>
        <v/>
      </c>
      <c r="H53" s="399">
        <f>IF(AND(Projects!$G$44="Yes",H$3&gt;=Projects!$C$44,H$3&lt;Projects!$C$44+Projects!$D$44),Projects!$B$44*INDEX(Curves!$B$4:$AR$4,1,H$3-Projects!$C$44+1),0)-IF(AND(Projects!$G$44="Yes",H$3&gt;=Projects!$C$44,H$3&lt;Projects!$C$44+Projects!$D$44),Projects!$B$44*(Assumptions!$B$10+Assumptions!$B$11+Assumptions!$B$12)/Projects!$D$44*0.95,0)-IF(AND(Projects!$G$44="Yes",H$3=Projects!$C$44+Projects!$D$44-1),Projects!$B$44*(Assumptions!$B$10+Assumptions!$B$11+Assumptions!$B$12)*0.05,0)</f>
        <v/>
      </c>
      <c r="I53" s="399">
        <f>IF(AND(Projects!$G$44="Yes",I$3&gt;=Projects!$C$44,I$3&lt;Projects!$C$44+Projects!$D$44),Projects!$B$44*INDEX(Curves!$B$4:$AR$4,1,I$3-Projects!$C$44+1),0)-IF(AND(Projects!$G$44="Yes",I$3&gt;=Projects!$C$44,I$3&lt;Projects!$C$44+Projects!$D$44),Projects!$B$44*(Assumptions!$B$10+Assumptions!$B$11+Assumptions!$B$12)/Projects!$D$44*0.95,0)-IF(AND(Projects!$G$44="Yes",I$3=Projects!$C$44+Projects!$D$44-1),Projects!$B$44*(Assumptions!$B$10+Assumptions!$B$11+Assumptions!$B$12)*0.05,0)</f>
        <v/>
      </c>
      <c r="J53" s="399">
        <f>IF(AND(Projects!$G$44="Yes",J$3&gt;=Projects!$C$44,J$3&lt;Projects!$C$44+Projects!$D$44),Projects!$B$44*INDEX(Curves!$B$4:$AR$4,1,J$3-Projects!$C$44+1),0)-IF(AND(Projects!$G$44="Yes",J$3&gt;=Projects!$C$44,J$3&lt;Projects!$C$44+Projects!$D$44),Projects!$B$44*(Assumptions!$B$10+Assumptions!$B$11+Assumptions!$B$12)/Projects!$D$44*0.95,0)-IF(AND(Projects!$G$44="Yes",J$3=Projects!$C$44+Projects!$D$44-1),Projects!$B$44*(Assumptions!$B$10+Assumptions!$B$11+Assumptions!$B$12)*0.05,0)</f>
        <v/>
      </c>
      <c r="K53" s="399">
        <f>IF(AND(Projects!$G$44="Yes",K$3&gt;=Projects!$C$44,K$3&lt;Projects!$C$44+Projects!$D$44),Projects!$B$44*INDEX(Curves!$B$4:$AR$4,1,K$3-Projects!$C$44+1),0)-IF(AND(Projects!$G$44="Yes",K$3&gt;=Projects!$C$44,K$3&lt;Projects!$C$44+Projects!$D$44),Projects!$B$44*(Assumptions!$B$10+Assumptions!$B$11+Assumptions!$B$12)/Projects!$D$44*0.95,0)-IF(AND(Projects!$G$44="Yes",K$3=Projects!$C$44+Projects!$D$44-1),Projects!$B$44*(Assumptions!$B$10+Assumptions!$B$11+Assumptions!$B$12)*0.05,0)</f>
        <v/>
      </c>
      <c r="L53" s="399">
        <f>IF(AND(Projects!$G$44="Yes",L$3&gt;=Projects!$C$44,L$3&lt;Projects!$C$44+Projects!$D$44),Projects!$B$44*INDEX(Curves!$B$4:$AR$4,1,L$3-Projects!$C$44+1),0)-IF(AND(Projects!$G$44="Yes",L$3&gt;=Projects!$C$44,L$3&lt;Projects!$C$44+Projects!$D$44),Projects!$B$44*(Assumptions!$B$10+Assumptions!$B$11+Assumptions!$B$12)/Projects!$D$44*0.95,0)-IF(AND(Projects!$G$44="Yes",L$3=Projects!$C$44+Projects!$D$44-1),Projects!$B$44*(Assumptions!$B$10+Assumptions!$B$11+Assumptions!$B$12)*0.05,0)</f>
        <v/>
      </c>
      <c r="M53" s="399">
        <f>IF(AND(Projects!$G$44="Yes",M$3&gt;=Projects!$C$44,M$3&lt;Projects!$C$44+Projects!$D$44),Projects!$B$44*INDEX(Curves!$B$4:$AR$4,1,M$3-Projects!$C$44+1),0)-IF(AND(Projects!$G$44="Yes",M$3&gt;=Projects!$C$44,M$3&lt;Projects!$C$44+Projects!$D$44),Projects!$B$44*(Assumptions!$B$10+Assumptions!$B$11+Assumptions!$B$12)/Projects!$D$44*0.95,0)-IF(AND(Projects!$G$44="Yes",M$3=Projects!$C$44+Projects!$D$44-1),Projects!$B$44*(Assumptions!$B$10+Assumptions!$B$11+Assumptions!$B$12)*0.05,0)</f>
        <v/>
      </c>
      <c r="N53" s="399">
        <f>IF(AND(Projects!$G$44="Yes",N$3&gt;=Projects!$C$44,N$3&lt;Projects!$C$44+Projects!$D$44),Projects!$B$44*INDEX(Curves!$B$4:$AR$4,1,N$3-Projects!$C$44+1),0)-IF(AND(Projects!$G$44="Yes",N$3&gt;=Projects!$C$44,N$3&lt;Projects!$C$44+Projects!$D$44),Projects!$B$44*(Assumptions!$B$10+Assumptions!$B$11+Assumptions!$B$12)/Projects!$D$44*0.95,0)-IF(AND(Projects!$G$44="Yes",N$3=Projects!$C$44+Projects!$D$44-1),Projects!$B$44*(Assumptions!$B$10+Assumptions!$B$11+Assumptions!$B$12)*0.05,0)</f>
        <v/>
      </c>
      <c r="O53" s="399">
        <f>IF(AND(Projects!$G$44="Yes",O$3&gt;=Projects!$C$44,O$3&lt;Projects!$C$44+Projects!$D$44),Projects!$B$44*INDEX(Curves!$B$4:$AR$4,1,O$3-Projects!$C$44+1),0)-IF(AND(Projects!$G$44="Yes",O$3&gt;=Projects!$C$44,O$3&lt;Projects!$C$44+Projects!$D$44),Projects!$B$44*(Assumptions!$B$10+Assumptions!$B$11+Assumptions!$B$12)/Projects!$D$44*0.95,0)-IF(AND(Projects!$G$44="Yes",O$3=Projects!$C$44+Projects!$D$44-1),Projects!$B$44*(Assumptions!$B$10+Assumptions!$B$11+Assumptions!$B$12)*0.05,0)</f>
        <v/>
      </c>
      <c r="P53" s="399">
        <f>IF(AND(Projects!$G$44="Yes",P$3&gt;=Projects!$C$44,P$3&lt;Projects!$C$44+Projects!$D$44),Projects!$B$44*INDEX(Curves!$B$4:$AR$4,1,P$3-Projects!$C$44+1),0)-IF(AND(Projects!$G$44="Yes",P$3&gt;=Projects!$C$44,P$3&lt;Projects!$C$44+Projects!$D$44),Projects!$B$44*(Assumptions!$B$10+Assumptions!$B$11+Assumptions!$B$12)/Projects!$D$44*0.95,0)-IF(AND(Projects!$G$44="Yes",P$3=Projects!$C$44+Projects!$D$44-1),Projects!$B$44*(Assumptions!$B$10+Assumptions!$B$11+Assumptions!$B$12)*0.05,0)</f>
        <v/>
      </c>
      <c r="Q53" s="399">
        <f>IF(AND(Projects!$G$44="Yes",Q$3&gt;=Projects!$C$44,Q$3&lt;Projects!$C$44+Projects!$D$44),Projects!$B$44*INDEX(Curves!$B$4:$AR$4,1,Q$3-Projects!$C$44+1),0)-IF(AND(Projects!$G$44="Yes",Q$3&gt;=Projects!$C$44,Q$3&lt;Projects!$C$44+Projects!$D$44),Projects!$B$44*(Assumptions!$B$10+Assumptions!$B$11+Assumptions!$B$12)/Projects!$D$44*0.95,0)-IF(AND(Projects!$G$44="Yes",Q$3=Projects!$C$44+Projects!$D$44-1),Projects!$B$44*(Assumptions!$B$10+Assumptions!$B$11+Assumptions!$B$12)*0.05,0)</f>
        <v/>
      </c>
      <c r="R53" s="399">
        <f>IF(AND(Projects!$G$44="Yes",R$3&gt;=Projects!$C$44,R$3&lt;Projects!$C$44+Projects!$D$44),Projects!$B$44*INDEX(Curves!$B$4:$AR$4,1,R$3-Projects!$C$44+1),0)-IF(AND(Projects!$G$44="Yes",R$3&gt;=Projects!$C$44,R$3&lt;Projects!$C$44+Projects!$D$44),Projects!$B$44*(Assumptions!$B$10+Assumptions!$B$11+Assumptions!$B$12)/Projects!$D$44*0.95,0)-IF(AND(Projects!$G$44="Yes",R$3=Projects!$C$44+Projects!$D$44-1),Projects!$B$44*(Assumptions!$B$10+Assumptions!$B$11+Assumptions!$B$12)*0.05,0)</f>
        <v/>
      </c>
      <c r="S53" s="399">
        <f>IF(AND(Projects!$G$44="Yes",S$3&gt;=Projects!$C$44,S$3&lt;Projects!$C$44+Projects!$D$44),Projects!$B$44*INDEX(Curves!$B$4:$AR$4,1,S$3-Projects!$C$44+1),0)-IF(AND(Projects!$G$44="Yes",S$3&gt;=Projects!$C$44,S$3&lt;Projects!$C$44+Projects!$D$44),Projects!$B$44*(Assumptions!$B$10+Assumptions!$B$11+Assumptions!$B$12)/Projects!$D$44*0.95,0)-IF(AND(Projects!$G$44="Yes",S$3=Projects!$C$44+Projects!$D$44-1),Projects!$B$44*(Assumptions!$B$10+Assumptions!$B$11+Assumptions!$B$12)*0.05,0)</f>
        <v/>
      </c>
      <c r="T53" s="399">
        <f>IF(AND(Projects!$G$44="Yes",T$3&gt;=Projects!$C$44,T$3&lt;Projects!$C$44+Projects!$D$44),Projects!$B$44*INDEX(Curves!$B$4:$AR$4,1,T$3-Projects!$C$44+1),0)-IF(AND(Projects!$G$44="Yes",T$3&gt;=Projects!$C$44,T$3&lt;Projects!$C$44+Projects!$D$44),Projects!$B$44*(Assumptions!$B$10+Assumptions!$B$11+Assumptions!$B$12)/Projects!$D$44*0.95,0)-IF(AND(Projects!$G$44="Yes",T$3=Projects!$C$44+Projects!$D$44-1),Projects!$B$44*(Assumptions!$B$10+Assumptions!$B$11+Assumptions!$B$12)*0.05,0)</f>
        <v/>
      </c>
      <c r="U53" s="399">
        <f>IF(AND(Projects!$G$44="Yes",U$3&gt;=Projects!$C$44,U$3&lt;Projects!$C$44+Projects!$D$44),Projects!$B$44*INDEX(Curves!$B$4:$AR$4,1,U$3-Projects!$C$44+1),0)-IF(AND(Projects!$G$44="Yes",U$3&gt;=Projects!$C$44,U$3&lt;Projects!$C$44+Projects!$D$44),Projects!$B$44*(Assumptions!$B$10+Assumptions!$B$11+Assumptions!$B$12)/Projects!$D$44*0.95,0)-IF(AND(Projects!$G$44="Yes",U$3=Projects!$C$44+Projects!$D$44-1),Projects!$B$44*(Assumptions!$B$10+Assumptions!$B$11+Assumptions!$B$12)*0.05,0)</f>
        <v/>
      </c>
      <c r="V53" s="399">
        <f>IF(AND(Projects!$G$44="Yes",V$3&gt;=Projects!$C$44,V$3&lt;Projects!$C$44+Projects!$D$44),Projects!$B$44*INDEX(Curves!$B$4:$AR$4,1,V$3-Projects!$C$44+1),0)-IF(AND(Projects!$G$44="Yes",V$3&gt;=Projects!$C$44,V$3&lt;Projects!$C$44+Projects!$D$44),Projects!$B$44*(Assumptions!$B$10+Assumptions!$B$11+Assumptions!$B$12)/Projects!$D$44*0.95,0)-IF(AND(Projects!$G$44="Yes",V$3=Projects!$C$44+Projects!$D$44-1),Projects!$B$44*(Assumptions!$B$10+Assumptions!$B$11+Assumptions!$B$12)*0.05,0)</f>
        <v/>
      </c>
      <c r="W53" s="399">
        <f>IF(AND(Projects!$G$44="Yes",W$3&gt;=Projects!$C$44,W$3&lt;Projects!$C$44+Projects!$D$44),Projects!$B$44*INDEX(Curves!$B$4:$AR$4,1,W$3-Projects!$C$44+1),0)-IF(AND(Projects!$G$44="Yes",W$3&gt;=Projects!$C$44,W$3&lt;Projects!$C$44+Projects!$D$44),Projects!$B$44*(Assumptions!$B$10+Assumptions!$B$11+Assumptions!$B$12)/Projects!$D$44*0.95,0)-IF(AND(Projects!$G$44="Yes",W$3=Projects!$C$44+Projects!$D$44-1),Projects!$B$44*(Assumptions!$B$10+Assumptions!$B$11+Assumptions!$B$12)*0.05,0)</f>
        <v/>
      </c>
      <c r="X53" s="399">
        <f>IF(AND(Projects!$G$44="Yes",X$3&gt;=Projects!$C$44,X$3&lt;Projects!$C$44+Projects!$D$44),Projects!$B$44*INDEX(Curves!$B$4:$AR$4,1,X$3-Projects!$C$44+1),0)-IF(AND(Projects!$G$44="Yes",X$3&gt;=Projects!$C$44,X$3&lt;Projects!$C$44+Projects!$D$44),Projects!$B$44*(Assumptions!$B$10+Assumptions!$B$11+Assumptions!$B$12)/Projects!$D$44*0.95,0)-IF(AND(Projects!$G$44="Yes",X$3=Projects!$C$44+Projects!$D$44-1),Projects!$B$44*(Assumptions!$B$10+Assumptions!$B$11+Assumptions!$B$12)*0.05,0)</f>
        <v/>
      </c>
      <c r="Y53" s="399">
        <f>IF(AND(Projects!$G$44="Yes",Y$3&gt;=Projects!$C$44,Y$3&lt;Projects!$C$44+Projects!$D$44),Projects!$B$44*INDEX(Curves!$B$4:$AR$4,1,Y$3-Projects!$C$44+1),0)-IF(AND(Projects!$G$44="Yes",Y$3&gt;=Projects!$C$44,Y$3&lt;Projects!$C$44+Projects!$D$44),Projects!$B$44*(Assumptions!$B$10+Assumptions!$B$11+Assumptions!$B$12)/Projects!$D$44*0.95,0)-IF(AND(Projects!$G$44="Yes",Y$3=Projects!$C$44+Projects!$D$44-1),Projects!$B$44*(Assumptions!$B$10+Assumptions!$B$11+Assumptions!$B$12)*0.05,0)</f>
        <v/>
      </c>
      <c r="Z53" s="399">
        <f>IF(AND(Projects!$G$44="Yes",Z$3&gt;=Projects!$C$44,Z$3&lt;Projects!$C$44+Projects!$D$44),Projects!$B$44*INDEX(Curves!$B$4:$AR$4,1,Z$3-Projects!$C$44+1),0)-IF(AND(Projects!$G$44="Yes",Z$3&gt;=Projects!$C$44,Z$3&lt;Projects!$C$44+Projects!$D$44),Projects!$B$44*(Assumptions!$B$10+Assumptions!$B$11+Assumptions!$B$12)/Projects!$D$44*0.95,0)-IF(AND(Projects!$G$44="Yes",Z$3=Projects!$C$44+Projects!$D$44-1),Projects!$B$44*(Assumptions!$B$10+Assumptions!$B$11+Assumptions!$B$12)*0.05,0)</f>
        <v/>
      </c>
      <c r="AA53" s="399">
        <f>IF(AND(Projects!$G$44="Yes",AA$3&gt;=Projects!$C$44,AA$3&lt;Projects!$C$44+Projects!$D$44),Projects!$B$44*INDEX(Curves!$B$4:$AR$4,1,AA$3-Projects!$C$44+1),0)-IF(AND(Projects!$G$44="Yes",AA$3&gt;=Projects!$C$44,AA$3&lt;Projects!$C$44+Projects!$D$44),Projects!$B$44*(Assumptions!$B$10+Assumptions!$B$11+Assumptions!$B$12)/Projects!$D$44*0.95,0)-IF(AND(Projects!$G$44="Yes",AA$3=Projects!$C$44+Projects!$D$44-1),Projects!$B$44*(Assumptions!$B$10+Assumptions!$B$11+Assumptions!$B$12)*0.05,0)</f>
        <v/>
      </c>
      <c r="AB53" s="399">
        <f>IF(AND(Projects!$G$44="Yes",AB$3&gt;=Projects!$C$44,AB$3&lt;Projects!$C$44+Projects!$D$44),Projects!$B$44*INDEX(Curves!$B$4:$AR$4,1,AB$3-Projects!$C$44+1),0)-IF(AND(Projects!$G$44="Yes",AB$3&gt;=Projects!$C$44,AB$3&lt;Projects!$C$44+Projects!$D$44),Projects!$B$44*(Assumptions!$B$10+Assumptions!$B$11+Assumptions!$B$12)/Projects!$D$44*0.95,0)-IF(AND(Projects!$G$44="Yes",AB$3=Projects!$C$44+Projects!$D$44-1),Projects!$B$44*(Assumptions!$B$10+Assumptions!$B$11+Assumptions!$B$12)*0.05,0)</f>
        <v/>
      </c>
      <c r="AC53" s="399">
        <f>IF(AND(Projects!$G$44="Yes",AC$3&gt;=Projects!$C$44,AC$3&lt;Projects!$C$44+Projects!$D$44),Projects!$B$44*INDEX(Curves!$B$4:$AR$4,1,AC$3-Projects!$C$44+1),0)-IF(AND(Projects!$G$44="Yes",AC$3&gt;=Projects!$C$44,AC$3&lt;Projects!$C$44+Projects!$D$44),Projects!$B$44*(Assumptions!$B$10+Assumptions!$B$11+Assumptions!$B$12)/Projects!$D$44*0.95,0)-IF(AND(Projects!$G$44="Yes",AC$3=Projects!$C$44+Projects!$D$44-1),Projects!$B$44*(Assumptions!$B$10+Assumptions!$B$11+Assumptions!$B$12)*0.05,0)</f>
        <v/>
      </c>
      <c r="AD53" s="399">
        <f>IF(AND(Projects!$G$44="Yes",AD$3&gt;=Projects!$C$44,AD$3&lt;Projects!$C$44+Projects!$D$44),Projects!$B$44*INDEX(Curves!$B$4:$AR$4,1,AD$3-Projects!$C$44+1),0)-IF(AND(Projects!$G$44="Yes",AD$3&gt;=Projects!$C$44,AD$3&lt;Projects!$C$44+Projects!$D$44),Projects!$B$44*(Assumptions!$B$10+Assumptions!$B$11+Assumptions!$B$12)/Projects!$D$44*0.95,0)-IF(AND(Projects!$G$44="Yes",AD$3=Projects!$C$44+Projects!$D$44-1),Projects!$B$44*(Assumptions!$B$10+Assumptions!$B$11+Assumptions!$B$12)*0.05,0)</f>
        <v/>
      </c>
      <c r="AE53" s="399">
        <f>IF(AND(Projects!$G$44="Yes",AE$3&gt;=Projects!$C$44,AE$3&lt;Projects!$C$44+Projects!$D$44),Projects!$B$44*INDEX(Curves!$B$4:$AR$4,1,AE$3-Projects!$C$44+1),0)-IF(AND(Projects!$G$44="Yes",AE$3&gt;=Projects!$C$44,AE$3&lt;Projects!$C$44+Projects!$D$44),Projects!$B$44*(Assumptions!$B$10+Assumptions!$B$11+Assumptions!$B$12)/Projects!$D$44*0.95,0)-IF(AND(Projects!$G$44="Yes",AE$3=Projects!$C$44+Projects!$D$44-1),Projects!$B$44*(Assumptions!$B$10+Assumptions!$B$11+Assumptions!$B$12)*0.05,0)</f>
        <v/>
      </c>
      <c r="AF53" s="399">
        <f>IF(AND(Projects!$G$44="Yes",AF$3&gt;=Projects!$C$44,AF$3&lt;Projects!$C$44+Projects!$D$44),Projects!$B$44*INDEX(Curves!$B$4:$AR$4,1,AF$3-Projects!$C$44+1),0)-IF(AND(Projects!$G$44="Yes",AF$3&gt;=Projects!$C$44,AF$3&lt;Projects!$C$44+Projects!$D$44),Projects!$B$44*(Assumptions!$B$10+Assumptions!$B$11+Assumptions!$B$12)/Projects!$D$44*0.95,0)-IF(AND(Projects!$G$44="Yes",AF$3=Projects!$C$44+Projects!$D$44-1),Projects!$B$44*(Assumptions!$B$10+Assumptions!$B$11+Assumptions!$B$12)*0.05,0)</f>
        <v/>
      </c>
      <c r="AG53" s="399">
        <f>IF(AND(Projects!$G$44="Yes",AG$3&gt;=Projects!$C$44,AG$3&lt;Projects!$C$44+Projects!$D$44),Projects!$B$44*INDEX(Curves!$B$4:$AR$4,1,AG$3-Projects!$C$44+1),0)-IF(AND(Projects!$G$44="Yes",AG$3&gt;=Projects!$C$44,AG$3&lt;Projects!$C$44+Projects!$D$44),Projects!$B$44*(Assumptions!$B$10+Assumptions!$B$11+Assumptions!$B$12)/Projects!$D$44*0.95,0)-IF(AND(Projects!$G$44="Yes",AG$3=Projects!$C$44+Projects!$D$44-1),Projects!$B$44*(Assumptions!$B$10+Assumptions!$B$11+Assumptions!$B$12)*0.05,0)</f>
        <v/>
      </c>
      <c r="AH53" s="399">
        <f>IF(AND(Projects!$G$44="Yes",AH$3&gt;=Projects!$C$44,AH$3&lt;Projects!$C$44+Projects!$D$44),Projects!$B$44*INDEX(Curves!$B$4:$AR$4,1,AH$3-Projects!$C$44+1),0)-IF(AND(Projects!$G$44="Yes",AH$3&gt;=Projects!$C$44,AH$3&lt;Projects!$C$44+Projects!$D$44),Projects!$B$44*(Assumptions!$B$10+Assumptions!$B$11+Assumptions!$B$12)/Projects!$D$44*0.95,0)-IF(AND(Projects!$G$44="Yes",AH$3=Projects!$C$44+Projects!$D$44-1),Projects!$B$44*(Assumptions!$B$10+Assumptions!$B$11+Assumptions!$B$12)*0.05,0)</f>
        <v/>
      </c>
      <c r="AI53" s="399">
        <f>IF(AND(Projects!$G$44="Yes",AI$3&gt;=Projects!$C$44,AI$3&lt;Projects!$C$44+Projects!$D$44),Projects!$B$44*INDEX(Curves!$B$4:$AR$4,1,AI$3-Projects!$C$44+1),0)-IF(AND(Projects!$G$44="Yes",AI$3&gt;=Projects!$C$44,AI$3&lt;Projects!$C$44+Projects!$D$44),Projects!$B$44*(Assumptions!$B$10+Assumptions!$B$11+Assumptions!$B$12)/Projects!$D$44*0.95,0)-IF(AND(Projects!$G$44="Yes",AI$3=Projects!$C$44+Projects!$D$44-1),Projects!$B$44*(Assumptions!$B$10+Assumptions!$B$11+Assumptions!$B$12)*0.05,0)</f>
        <v/>
      </c>
      <c r="AJ53" s="399">
        <f>IF(AND(Projects!$G$44="Yes",AJ$3&gt;=Projects!$C$44,AJ$3&lt;Projects!$C$44+Projects!$D$44),Projects!$B$44*INDEX(Curves!$B$4:$AR$4,1,AJ$3-Projects!$C$44+1),0)-IF(AND(Projects!$G$44="Yes",AJ$3&gt;=Projects!$C$44,AJ$3&lt;Projects!$C$44+Projects!$D$44),Projects!$B$44*(Assumptions!$B$10+Assumptions!$B$11+Assumptions!$B$12)/Projects!$D$44*0.95,0)-IF(AND(Projects!$G$44="Yes",AJ$3=Projects!$C$44+Projects!$D$44-1),Projects!$B$44*(Assumptions!$B$10+Assumptions!$B$11+Assumptions!$B$12)*0.05,0)</f>
        <v/>
      </c>
      <c r="AK53" s="399">
        <f>IF(AND(Projects!$G$44="Yes",AK$3&gt;=Projects!$C$44,AK$3&lt;Projects!$C$44+Projects!$D$44),Projects!$B$44*INDEX(Curves!$B$4:$AR$4,1,AK$3-Projects!$C$44+1),0)-IF(AND(Projects!$G$44="Yes",AK$3&gt;=Projects!$C$44,AK$3&lt;Projects!$C$44+Projects!$D$44),Projects!$B$44*(Assumptions!$B$10+Assumptions!$B$11+Assumptions!$B$12)/Projects!$D$44*0.95,0)-IF(AND(Projects!$G$44="Yes",AK$3=Projects!$C$44+Projects!$D$44-1),Projects!$B$44*(Assumptions!$B$10+Assumptions!$B$11+Assumptions!$B$12)*0.05,0)</f>
        <v/>
      </c>
      <c r="AL53" s="399">
        <f>IF(AND(Projects!$G$44="Yes",AL$3&gt;=Projects!$C$44,AL$3&lt;Projects!$C$44+Projects!$D$44),Projects!$B$44*INDEX(Curves!$B$4:$AR$4,1,AL$3-Projects!$C$44+1),0)-IF(AND(Projects!$G$44="Yes",AL$3&gt;=Projects!$C$44,AL$3&lt;Projects!$C$44+Projects!$D$44),Projects!$B$44*(Assumptions!$B$10+Assumptions!$B$11+Assumptions!$B$12)/Projects!$D$44*0.95,0)-IF(AND(Projects!$G$44="Yes",AL$3=Projects!$C$44+Projects!$D$44-1),Projects!$B$44*(Assumptions!$B$10+Assumptions!$B$11+Assumptions!$B$12)*0.05,0)</f>
        <v/>
      </c>
      <c r="AM53" s="399">
        <f>IF(AND(Projects!$G$44="Yes",AM$3&gt;=Projects!$C$44,AM$3&lt;Projects!$C$44+Projects!$D$44),Projects!$B$44*INDEX(Curves!$B$4:$AR$4,1,AM$3-Projects!$C$44+1),0)-IF(AND(Projects!$G$44="Yes",AM$3&gt;=Projects!$C$44,AM$3&lt;Projects!$C$44+Projects!$D$44),Projects!$B$44*(Assumptions!$B$10+Assumptions!$B$11+Assumptions!$B$12)/Projects!$D$44*0.95,0)-IF(AND(Projects!$G$44="Yes",AM$3=Projects!$C$44+Projects!$D$44-1),Projects!$B$44*(Assumptions!$B$10+Assumptions!$B$11+Assumptions!$B$12)*0.05,0)</f>
        <v/>
      </c>
      <c r="AN53" s="399">
        <f>IF(AND(Projects!$G$44="Yes",AN$3&gt;=Projects!$C$44,AN$3&lt;Projects!$C$44+Projects!$D$44),Projects!$B$44*INDEX(Curves!$B$4:$AR$4,1,AN$3-Projects!$C$44+1),0)-IF(AND(Projects!$G$44="Yes",AN$3&gt;=Projects!$C$44,AN$3&lt;Projects!$C$44+Projects!$D$44),Projects!$B$44*(Assumptions!$B$10+Assumptions!$B$11+Assumptions!$B$12)/Projects!$D$44*0.95,0)-IF(AND(Projects!$G$44="Yes",AN$3=Projects!$C$44+Projects!$D$44-1),Projects!$B$44*(Assumptions!$B$10+Assumptions!$B$11+Assumptions!$B$12)*0.05,0)</f>
        <v/>
      </c>
      <c r="AO53" s="399">
        <f>IF(AND(Projects!$G$44="Yes",AO$3&gt;=Projects!$C$44,AO$3&lt;Projects!$C$44+Projects!$D$44),Projects!$B$44*INDEX(Curves!$B$4:$AR$4,1,AO$3-Projects!$C$44+1),0)-IF(AND(Projects!$G$44="Yes",AO$3&gt;=Projects!$C$44,AO$3&lt;Projects!$C$44+Projects!$D$44),Projects!$B$44*(Assumptions!$B$10+Assumptions!$B$11+Assumptions!$B$12)/Projects!$D$44*0.95,0)-IF(AND(Projects!$G$44="Yes",AO$3=Projects!$C$44+Projects!$D$44-1),Projects!$B$44*(Assumptions!$B$10+Assumptions!$B$11+Assumptions!$B$12)*0.05,0)</f>
        <v/>
      </c>
      <c r="AP53" s="399">
        <f>IF(AND(Projects!$G$44="Yes",AP$3&gt;=Projects!$C$44,AP$3&lt;Projects!$C$44+Projects!$D$44),Projects!$B$44*INDEX(Curves!$B$4:$AR$4,1,AP$3-Projects!$C$44+1),0)-IF(AND(Projects!$G$44="Yes",AP$3&gt;=Projects!$C$44,AP$3&lt;Projects!$C$44+Projects!$D$44),Projects!$B$44*(Assumptions!$B$10+Assumptions!$B$11+Assumptions!$B$12)/Projects!$D$44*0.95,0)-IF(AND(Projects!$G$44="Yes",AP$3=Projects!$C$44+Projects!$D$44-1),Projects!$B$44*(Assumptions!$B$10+Assumptions!$B$11+Assumptions!$B$12)*0.05,0)</f>
        <v/>
      </c>
      <c r="AQ53" s="399">
        <f>IF(AND(Projects!$G$44="Yes",AQ$3&gt;=Projects!$C$44,AQ$3&lt;Projects!$C$44+Projects!$D$44),Projects!$B$44*INDEX(Curves!$B$4:$AR$4,1,AQ$3-Projects!$C$44+1),0)-IF(AND(Projects!$G$44="Yes",AQ$3&gt;=Projects!$C$44,AQ$3&lt;Projects!$C$44+Projects!$D$44),Projects!$B$44*(Assumptions!$B$10+Assumptions!$B$11+Assumptions!$B$12)/Projects!$D$44*0.95,0)-IF(AND(Projects!$G$44="Yes",AQ$3=Projects!$C$44+Projects!$D$44-1),Projects!$B$44*(Assumptions!$B$10+Assumptions!$B$11+Assumptions!$B$12)*0.05,0)</f>
        <v/>
      </c>
      <c r="AR53" s="399">
        <f>IF(AND(Projects!$G$44="Yes",AR$3&gt;=Projects!$C$44,AR$3&lt;Projects!$C$44+Projects!$D$44),Projects!$B$44*INDEX(Curves!$B$4:$AR$4,1,AR$3-Projects!$C$44+1),0)-IF(AND(Projects!$G$44="Yes",AR$3&gt;=Projects!$C$44,AR$3&lt;Projects!$C$44+Projects!$D$44),Projects!$B$44*(Assumptions!$B$10+Assumptions!$B$11+Assumptions!$B$12)/Projects!$D$44*0.95,0)-IF(AND(Projects!$G$44="Yes",AR$3=Projects!$C$44+Projects!$D$44-1),Projects!$B$44*(Assumptions!$B$10+Assumptions!$B$11+Assumptions!$B$12)*0.05,0)</f>
        <v/>
      </c>
      <c r="AS53" s="399">
        <f>IF(AND(Projects!$G$44="Yes",AS$3&gt;=Projects!$C$44,AS$3&lt;Projects!$C$44+Projects!$D$44),Projects!$B$44*INDEX(Curves!$B$4:$AR$4,1,AS$3-Projects!$C$44+1),0)-IF(AND(Projects!$G$44="Yes",AS$3&gt;=Projects!$C$44,AS$3&lt;Projects!$C$44+Projects!$D$44),Projects!$B$44*(Assumptions!$B$10+Assumptions!$B$11+Assumptions!$B$12)/Projects!$D$44*0.95,0)-IF(AND(Projects!$G$44="Yes",AS$3=Projects!$C$44+Projects!$D$44-1),Projects!$B$44*(Assumptions!$B$10+Assumptions!$B$11+Assumptions!$B$12)*0.05,0)</f>
        <v/>
      </c>
      <c r="AT53" s="399">
        <f>IF(AND(Projects!$G$44="Yes",AT$3&gt;=Projects!$C$44,AT$3&lt;Projects!$C$44+Projects!$D$44),Projects!$B$44*INDEX(Curves!$B$4:$AR$4,1,AT$3-Projects!$C$44+1),0)-IF(AND(Projects!$G$44="Yes",AT$3&gt;=Projects!$C$44,AT$3&lt;Projects!$C$44+Projects!$D$44),Projects!$B$44*(Assumptions!$B$10+Assumptions!$B$11+Assumptions!$B$12)/Projects!$D$44*0.95,0)-IF(AND(Projects!$G$44="Yes",AT$3=Projects!$C$44+Projects!$D$44-1),Projects!$B$44*(Assumptions!$B$10+Assumptions!$B$11+Assumptions!$B$12)*0.05,0)</f>
        <v/>
      </c>
      <c r="AU53" s="399">
        <f>IF(AND(Projects!$G$44="Yes",AU$3&gt;=Projects!$C$44,AU$3&lt;Projects!$C$44+Projects!$D$44),Projects!$B$44*INDEX(Curves!$B$4:$AR$4,1,AU$3-Projects!$C$44+1),0)-IF(AND(Projects!$G$44="Yes",AU$3&gt;=Projects!$C$44,AU$3&lt;Projects!$C$44+Projects!$D$44),Projects!$B$44*(Assumptions!$B$10+Assumptions!$B$11+Assumptions!$B$12)/Projects!$D$44*0.95,0)-IF(AND(Projects!$G$44="Yes",AU$3=Projects!$C$44+Projects!$D$44-1),Projects!$B$44*(Assumptions!$B$10+Assumptions!$B$11+Assumptions!$B$12)*0.05,0)</f>
        <v/>
      </c>
      <c r="AV53" s="399">
        <f>IF(AND(Projects!$G$44="Yes",AV$3&gt;=Projects!$C$44,AV$3&lt;Projects!$C$44+Projects!$D$44),Projects!$B$44*INDEX(Curves!$B$4:$AR$4,1,AV$3-Projects!$C$44+1),0)-IF(AND(Projects!$G$44="Yes",AV$3&gt;=Projects!$C$44,AV$3&lt;Projects!$C$44+Projects!$D$44),Projects!$B$44*(Assumptions!$B$10+Assumptions!$B$11+Assumptions!$B$12)/Projects!$D$44*0.95,0)-IF(AND(Projects!$G$44="Yes",AV$3=Projects!$C$44+Projects!$D$44-1),Projects!$B$44*(Assumptions!$B$10+Assumptions!$B$11+Assumptions!$B$12)*0.05,0)</f>
        <v/>
      </c>
      <c r="AW53" s="399">
        <f>IF(AND(Projects!$G$44="Yes",AW$3&gt;=Projects!$C$44,AW$3&lt;Projects!$C$44+Projects!$D$44),Projects!$B$44*INDEX(Curves!$B$4:$AR$4,1,AW$3-Projects!$C$44+1),0)-IF(AND(Projects!$G$44="Yes",AW$3&gt;=Projects!$C$44,AW$3&lt;Projects!$C$44+Projects!$D$44),Projects!$B$44*(Assumptions!$B$10+Assumptions!$B$11+Assumptions!$B$12)/Projects!$D$44*0.95,0)-IF(AND(Projects!$G$44="Yes",AW$3=Projects!$C$44+Projects!$D$44-1),Projects!$B$44*(Assumptions!$B$10+Assumptions!$B$11+Assumptions!$B$12)*0.05,0)</f>
        <v/>
      </c>
      <c r="AX53" s="399">
        <f>IF(AND(Projects!$G$44="Yes",AX$3&gt;=Projects!$C$44,AX$3&lt;Projects!$C$44+Projects!$D$44),Projects!$B$44*INDEX(Curves!$B$4:$AR$4,1,AX$3-Projects!$C$44+1),0)-IF(AND(Projects!$G$44="Yes",AX$3&gt;=Projects!$C$44,AX$3&lt;Projects!$C$44+Projects!$D$44),Projects!$B$44*(Assumptions!$B$10+Assumptions!$B$11+Assumptions!$B$12)/Projects!$D$44*0.95,0)-IF(AND(Projects!$G$44="Yes",AX$3=Projects!$C$44+Projects!$D$44-1),Projects!$B$44*(Assumptions!$B$10+Assumptions!$B$11+Assumptions!$B$12)*0.05,0)</f>
        <v/>
      </c>
      <c r="AY53" s="399">
        <f>IF(AND(Projects!$G$44="Yes",AY$3&gt;=Projects!$C$44,AY$3&lt;Projects!$C$44+Projects!$D$44),Projects!$B$44*INDEX(Curves!$B$4:$AR$4,1,AY$3-Projects!$C$44+1),0)-IF(AND(Projects!$G$44="Yes",AY$3&gt;=Projects!$C$44,AY$3&lt;Projects!$C$44+Projects!$D$44),Projects!$B$44*(Assumptions!$B$10+Assumptions!$B$11+Assumptions!$B$12)/Projects!$D$44*0.95,0)-IF(AND(Projects!$G$44="Yes",AY$3=Projects!$C$44+Projects!$D$44-1),Projects!$B$44*(Assumptions!$B$10+Assumptions!$B$11+Assumptions!$B$12)*0.05,0)</f>
        <v/>
      </c>
      <c r="AZ53" s="399">
        <f>IF(AND(Projects!$G$44="Yes",AZ$3&gt;=Projects!$C$44,AZ$3&lt;Projects!$C$44+Projects!$D$44),Projects!$B$44*INDEX(Curves!$B$4:$AR$4,1,AZ$3-Projects!$C$44+1),0)-IF(AND(Projects!$G$44="Yes",AZ$3&gt;=Projects!$C$44,AZ$3&lt;Projects!$C$44+Projects!$D$44),Projects!$B$44*(Assumptions!$B$10+Assumptions!$B$11+Assumptions!$B$12)/Projects!$D$44*0.95,0)-IF(AND(Projects!$G$44="Yes",AZ$3=Projects!$C$44+Projects!$D$44-1),Projects!$B$44*(Assumptions!$B$10+Assumptions!$B$11+Assumptions!$B$12)*0.05,0)</f>
        <v/>
      </c>
      <c r="BA53" s="399">
        <f>IF(AND(Projects!$G$44="Yes",BA$3&gt;=Projects!$C$44,BA$3&lt;Projects!$C$44+Projects!$D$44),Projects!$B$44*INDEX(Curves!$B$4:$AR$4,1,BA$3-Projects!$C$44+1),0)-IF(AND(Projects!$G$44="Yes",BA$3&gt;=Projects!$C$44,BA$3&lt;Projects!$C$44+Projects!$D$44),Projects!$B$44*(Assumptions!$B$10+Assumptions!$B$11+Assumptions!$B$12)/Projects!$D$44*0.95,0)-IF(AND(Projects!$G$44="Yes",BA$3=Projects!$C$44+Projects!$D$44-1),Projects!$B$44*(Assumptions!$B$10+Assumptions!$B$11+Assumptions!$B$12)*0.05,0)</f>
        <v/>
      </c>
      <c r="BB53" s="399">
        <f>IF(AND(Projects!$G$44="Yes",BB$3&gt;=Projects!$C$44,BB$3&lt;Projects!$C$44+Projects!$D$44),Projects!$B$44*INDEX(Curves!$B$4:$AR$4,1,BB$3-Projects!$C$44+1),0)-IF(AND(Projects!$G$44="Yes",BB$3&gt;=Projects!$C$44,BB$3&lt;Projects!$C$44+Projects!$D$44),Projects!$B$44*(Assumptions!$B$10+Assumptions!$B$11+Assumptions!$B$12)/Projects!$D$44*0.95,0)-IF(AND(Projects!$G$44="Yes",BB$3=Projects!$C$44+Projects!$D$44-1),Projects!$B$44*(Assumptions!$B$10+Assumptions!$B$11+Assumptions!$B$12)*0.05,0)</f>
        <v/>
      </c>
      <c r="BC53" s="399">
        <f>IF(AND(Projects!$G$44="Yes",BC$3&gt;=Projects!$C$44,BC$3&lt;Projects!$C$44+Projects!$D$44),Projects!$B$44*INDEX(Curves!$B$4:$AR$4,1,BC$3-Projects!$C$44+1),0)-IF(AND(Projects!$G$44="Yes",BC$3&gt;=Projects!$C$44,BC$3&lt;Projects!$C$44+Projects!$D$44),Projects!$B$44*(Assumptions!$B$10+Assumptions!$B$11+Assumptions!$B$12)/Projects!$D$44*0.95,0)-IF(AND(Projects!$G$44="Yes",BC$3=Projects!$C$44+Projects!$D$44-1),Projects!$B$44*(Assumptions!$B$10+Assumptions!$B$11+Assumptions!$B$12)*0.05,0)</f>
        <v/>
      </c>
      <c r="BD53" s="399">
        <f>IF(AND(Projects!$G$44="Yes",BD$3&gt;=Projects!$C$44,BD$3&lt;Projects!$C$44+Projects!$D$44),Projects!$B$44*INDEX(Curves!$B$4:$AR$4,1,BD$3-Projects!$C$44+1),0)-IF(AND(Projects!$G$44="Yes",BD$3&gt;=Projects!$C$44,BD$3&lt;Projects!$C$44+Projects!$D$44),Projects!$B$44*(Assumptions!$B$10+Assumptions!$B$11+Assumptions!$B$12)/Projects!$D$44*0.95,0)-IF(AND(Projects!$G$44="Yes",BD$3=Projects!$C$44+Projects!$D$44-1),Projects!$B$44*(Assumptions!$B$10+Assumptions!$B$11+Assumptions!$B$12)*0.05,0)</f>
        <v/>
      </c>
      <c r="BE53" s="399">
        <f>IF(AND(Projects!$G$44="Yes",BE$3&gt;=Projects!$C$44,BE$3&lt;Projects!$C$44+Projects!$D$44),Projects!$B$44*INDEX(Curves!$B$4:$AR$4,1,BE$3-Projects!$C$44+1),0)-IF(AND(Projects!$G$44="Yes",BE$3&gt;=Projects!$C$44,BE$3&lt;Projects!$C$44+Projects!$D$44),Projects!$B$44*(Assumptions!$B$10+Assumptions!$B$11+Assumptions!$B$12)/Projects!$D$44*0.95,0)-IF(AND(Projects!$G$44="Yes",BE$3=Projects!$C$44+Projects!$D$44-1),Projects!$B$44*(Assumptions!$B$10+Assumptions!$B$11+Assumptions!$B$12)*0.05,0)</f>
        <v/>
      </c>
      <c r="BF53" s="399">
        <f>IF(AND(Projects!$G$44="Yes",BF$3&gt;=Projects!$C$44,BF$3&lt;Projects!$C$44+Projects!$D$44),Projects!$B$44*INDEX(Curves!$B$4:$AR$4,1,BF$3-Projects!$C$44+1),0)-IF(AND(Projects!$G$44="Yes",BF$3&gt;=Projects!$C$44,BF$3&lt;Projects!$C$44+Projects!$D$44),Projects!$B$44*(Assumptions!$B$10+Assumptions!$B$11+Assumptions!$B$12)/Projects!$D$44*0.95,0)-IF(AND(Projects!$G$44="Yes",BF$3=Projects!$C$44+Projects!$D$44-1),Projects!$B$44*(Assumptions!$B$10+Assumptions!$B$11+Assumptions!$B$12)*0.05,0)</f>
        <v/>
      </c>
      <c r="BG53" s="399">
        <f>IF(AND(Projects!$G$44="Yes",BG$3&gt;=Projects!$C$44,BG$3&lt;Projects!$C$44+Projects!$D$44),Projects!$B$44*INDEX(Curves!$B$4:$AR$4,1,BG$3-Projects!$C$44+1),0)-IF(AND(Projects!$G$44="Yes",BG$3&gt;=Projects!$C$44,BG$3&lt;Projects!$C$44+Projects!$D$44),Projects!$B$44*(Assumptions!$B$10+Assumptions!$B$11+Assumptions!$B$12)/Projects!$D$44*0.95,0)-IF(AND(Projects!$G$44="Yes",BG$3=Projects!$C$44+Projects!$D$44-1),Projects!$B$44*(Assumptions!$B$10+Assumptions!$B$11+Assumptions!$B$12)*0.05,0)</f>
        <v/>
      </c>
      <c r="BH53" s="399">
        <f>IF(AND(Projects!$G$44="Yes",BH$3&gt;=Projects!$C$44,BH$3&lt;Projects!$C$44+Projects!$D$44),Projects!$B$44*INDEX(Curves!$B$4:$AR$4,1,BH$3-Projects!$C$44+1),0)-IF(AND(Projects!$G$44="Yes",BH$3&gt;=Projects!$C$44,BH$3&lt;Projects!$C$44+Projects!$D$44),Projects!$B$44*(Assumptions!$B$10+Assumptions!$B$11+Assumptions!$B$12)/Projects!$D$44*0.95,0)-IF(AND(Projects!$G$44="Yes",BH$3=Projects!$C$44+Projects!$D$44-1),Projects!$B$44*(Assumptions!$B$10+Assumptions!$B$11+Assumptions!$B$12)*0.05,0)</f>
        <v/>
      </c>
      <c r="BI53" s="399">
        <f>IF(AND(Projects!$G$44="Yes",BI$3&gt;=Projects!$C$44,BI$3&lt;Projects!$C$44+Projects!$D$44),Projects!$B$44*INDEX(Curves!$B$4:$AR$4,1,BI$3-Projects!$C$44+1),0)-IF(AND(Projects!$G$44="Yes",BI$3&gt;=Projects!$C$44,BI$3&lt;Projects!$C$44+Projects!$D$44),Projects!$B$44*(Assumptions!$B$10+Assumptions!$B$11+Assumptions!$B$12)/Projects!$D$44*0.95,0)-IF(AND(Projects!$G$44="Yes",BI$3=Projects!$C$44+Projects!$D$44-1),Projects!$B$44*(Assumptions!$B$10+Assumptions!$B$11+Assumptions!$B$12)*0.05,0)</f>
        <v/>
      </c>
      <c r="BJ53" s="399">
        <f>IF(AND(Projects!$G$44="Yes",BJ$3&gt;=Projects!$C$44,BJ$3&lt;Projects!$C$44+Projects!$D$44),Projects!$B$44*INDEX(Curves!$B$4:$AR$4,1,BJ$3-Projects!$C$44+1),0)-IF(AND(Projects!$G$44="Yes",BJ$3&gt;=Projects!$C$44,BJ$3&lt;Projects!$C$44+Projects!$D$44),Projects!$B$44*(Assumptions!$B$10+Assumptions!$B$11+Assumptions!$B$12)/Projects!$D$44*0.95,0)-IF(AND(Projects!$G$44="Yes",BJ$3=Projects!$C$44+Projects!$D$44-1),Projects!$B$44*(Assumptions!$B$10+Assumptions!$B$11+Assumptions!$B$12)*0.05,0)</f>
        <v/>
      </c>
      <c r="BK53" s="399">
        <f>IF(AND(Projects!$G$44="Yes",BK$3&gt;=Projects!$C$44,BK$3&lt;Projects!$C$44+Projects!$D$44),Projects!$B$44*INDEX(Curves!$B$4:$AR$4,1,BK$3-Projects!$C$44+1),0)-IF(AND(Projects!$G$44="Yes",BK$3&gt;=Projects!$C$44,BK$3&lt;Projects!$C$44+Projects!$D$44),Projects!$B$44*(Assumptions!$B$10+Assumptions!$B$11+Assumptions!$B$12)/Projects!$D$44*0.95,0)-IF(AND(Projects!$G$44="Yes",BK$3=Projects!$C$44+Projects!$D$44-1),Projects!$B$44*(Assumptions!$B$10+Assumptions!$B$11+Assumptions!$B$12)*0.05,0)</f>
        <v/>
      </c>
      <c r="BL53" s="399">
        <f>IF(AND(Projects!$G$44="Yes",BL$3&gt;=Projects!$C$44,BL$3&lt;Projects!$C$44+Projects!$D$44),Projects!$B$44*INDEX(Curves!$B$4:$AR$4,1,BL$3-Projects!$C$44+1),0)-IF(AND(Projects!$G$44="Yes",BL$3&gt;=Projects!$C$44,BL$3&lt;Projects!$C$44+Projects!$D$44),Projects!$B$44*(Assumptions!$B$10+Assumptions!$B$11+Assumptions!$B$12)/Projects!$D$44*0.95,0)-IF(AND(Projects!$G$44="Yes",BL$3=Projects!$C$44+Projects!$D$44-1),Projects!$B$44*(Assumptions!$B$10+Assumptions!$B$11+Assumptions!$B$12)*0.05,0)</f>
        <v/>
      </c>
      <c r="BM53" s="399">
        <f>IF(AND(Projects!$G$44="Yes",BM$3&gt;=Projects!$C$44,BM$3&lt;Projects!$C$44+Projects!$D$44),Projects!$B$44*INDEX(Curves!$B$4:$AR$4,1,BM$3-Projects!$C$44+1),0)-IF(AND(Projects!$G$44="Yes",BM$3&gt;=Projects!$C$44,BM$3&lt;Projects!$C$44+Projects!$D$44),Projects!$B$44*(Assumptions!$B$10+Assumptions!$B$11+Assumptions!$B$12)/Projects!$D$44*0.95,0)-IF(AND(Projects!$G$44="Yes",BM$3=Projects!$C$44+Projects!$D$44-1),Projects!$B$44*(Assumptions!$B$10+Assumptions!$B$11+Assumptions!$B$12)*0.05,0)</f>
        <v/>
      </c>
      <c r="BN53" s="399">
        <f>IF(AND(Projects!$G$44="Yes",BN$3&gt;=Projects!$C$44,BN$3&lt;Projects!$C$44+Projects!$D$44),Projects!$B$44*INDEX(Curves!$B$4:$AR$4,1,BN$3-Projects!$C$44+1),0)-IF(AND(Projects!$G$44="Yes",BN$3&gt;=Projects!$C$44,BN$3&lt;Projects!$C$44+Projects!$D$44),Projects!$B$44*(Assumptions!$B$10+Assumptions!$B$11+Assumptions!$B$12)/Projects!$D$44*0.95,0)-IF(AND(Projects!$G$44="Yes",BN$3=Projects!$C$44+Projects!$D$44-1),Projects!$B$44*(Assumptions!$B$10+Assumptions!$B$11+Assumptions!$B$12)*0.05,0)</f>
        <v/>
      </c>
      <c r="BO53" s="399">
        <f>IF(AND(Projects!$G$44="Yes",BO$3&gt;=Projects!$C$44,BO$3&lt;Projects!$C$44+Projects!$D$44),Projects!$B$44*INDEX(Curves!$B$4:$AR$4,1,BO$3-Projects!$C$44+1),0)-IF(AND(Projects!$G$44="Yes",BO$3&gt;=Projects!$C$44,BO$3&lt;Projects!$C$44+Projects!$D$44),Projects!$B$44*(Assumptions!$B$10+Assumptions!$B$11+Assumptions!$B$12)/Projects!$D$44*0.95,0)-IF(AND(Projects!$G$44="Yes",BO$3=Projects!$C$44+Projects!$D$44-1),Projects!$B$44*(Assumptions!$B$10+Assumptions!$B$11+Assumptions!$B$12)*0.05,0)</f>
        <v/>
      </c>
      <c r="BP53" s="399">
        <f>IF(AND(Projects!$G$44="Yes",BP$3&gt;=Projects!$C$44,BP$3&lt;Projects!$C$44+Projects!$D$44),Projects!$B$44*INDEX(Curves!$B$4:$AR$4,1,BP$3-Projects!$C$44+1),0)-IF(AND(Projects!$G$44="Yes",BP$3&gt;=Projects!$C$44,BP$3&lt;Projects!$C$44+Projects!$D$44),Projects!$B$44*(Assumptions!$B$10+Assumptions!$B$11+Assumptions!$B$12)/Projects!$D$44*0.95,0)-IF(AND(Projects!$G$44="Yes",BP$3=Projects!$C$44+Projects!$D$44-1),Projects!$B$44*(Assumptions!$B$10+Assumptions!$B$11+Assumptions!$B$12)*0.05,0)</f>
        <v/>
      </c>
      <c r="BQ53" s="399">
        <f>IF(AND(Projects!$G$44="Yes",BQ$3&gt;=Projects!$C$44,BQ$3&lt;Projects!$C$44+Projects!$D$44),Projects!$B$44*INDEX(Curves!$B$4:$AR$4,1,BQ$3-Projects!$C$44+1),0)-IF(AND(Projects!$G$44="Yes",BQ$3&gt;=Projects!$C$44,BQ$3&lt;Projects!$C$44+Projects!$D$44),Projects!$B$44*(Assumptions!$B$10+Assumptions!$B$11+Assumptions!$B$12)/Projects!$D$44*0.95,0)-IF(AND(Projects!$G$44="Yes",BQ$3=Projects!$C$44+Projects!$D$44-1),Projects!$B$44*(Assumptions!$B$10+Assumptions!$B$11+Assumptions!$B$12)*0.05,0)</f>
        <v/>
      </c>
      <c r="BR53" s="399">
        <f>IF(AND(Projects!$G$44="Yes",BR$3&gt;=Projects!$C$44,BR$3&lt;Projects!$C$44+Projects!$D$44),Projects!$B$44*INDEX(Curves!$B$4:$AR$4,1,BR$3-Projects!$C$44+1),0)-IF(AND(Projects!$G$44="Yes",BR$3&gt;=Projects!$C$44,BR$3&lt;Projects!$C$44+Projects!$D$44),Projects!$B$44*(Assumptions!$B$10+Assumptions!$B$11+Assumptions!$B$12)/Projects!$D$44*0.95,0)-IF(AND(Projects!$G$44="Yes",BR$3=Projects!$C$44+Projects!$D$44-1),Projects!$B$44*(Assumptions!$B$10+Assumptions!$B$11+Assumptions!$B$12)*0.05,0)</f>
        <v/>
      </c>
      <c r="BS53" s="399">
        <f>IF(AND(Projects!$G$44="Yes",BS$3&gt;=Projects!$C$44,BS$3&lt;Projects!$C$44+Projects!$D$44),Projects!$B$44*INDEX(Curves!$B$4:$AR$4,1,BS$3-Projects!$C$44+1),0)-IF(AND(Projects!$G$44="Yes",BS$3&gt;=Projects!$C$44,BS$3&lt;Projects!$C$44+Projects!$D$44),Projects!$B$44*(Assumptions!$B$10+Assumptions!$B$11+Assumptions!$B$12)/Projects!$D$44*0.95,0)-IF(AND(Projects!$G$44="Yes",BS$3=Projects!$C$44+Projects!$D$44-1),Projects!$B$44*(Assumptions!$B$10+Assumptions!$B$11+Assumptions!$B$12)*0.05,0)</f>
        <v/>
      </c>
      <c r="BT53" s="399">
        <f>IF(AND(Projects!$G$44="Yes",BT$3&gt;=Projects!$C$44,BT$3&lt;Projects!$C$44+Projects!$D$44),Projects!$B$44*INDEX(Curves!$B$4:$AR$4,1,BT$3-Projects!$C$44+1),0)-IF(AND(Projects!$G$44="Yes",BT$3&gt;=Projects!$C$44,BT$3&lt;Projects!$C$44+Projects!$D$44),Projects!$B$44*(Assumptions!$B$10+Assumptions!$B$11+Assumptions!$B$12)/Projects!$D$44*0.95,0)-IF(AND(Projects!$G$44="Yes",BT$3=Projects!$C$44+Projects!$D$44-1),Projects!$B$44*(Assumptions!$B$10+Assumptions!$B$11+Assumptions!$B$12)*0.05,0)</f>
        <v/>
      </c>
      <c r="BU53" s="399">
        <f>IF(AND(Projects!$G$44="Yes",BU$3&gt;=Projects!$C$44,BU$3&lt;Projects!$C$44+Projects!$D$44),Projects!$B$44*INDEX(Curves!$B$4:$AR$4,1,BU$3-Projects!$C$44+1),0)-IF(AND(Projects!$G$44="Yes",BU$3&gt;=Projects!$C$44,BU$3&lt;Projects!$C$44+Projects!$D$44),Projects!$B$44*(Assumptions!$B$10+Assumptions!$B$11+Assumptions!$B$12)/Projects!$D$44*0.95,0)-IF(AND(Projects!$G$44="Yes",BU$3=Projects!$C$44+Projects!$D$44-1),Projects!$B$44*(Assumptions!$B$10+Assumptions!$B$11+Assumptions!$B$12)*0.05,0)</f>
        <v/>
      </c>
      <c r="BV53" s="399">
        <f>IF(AND(Projects!$G$44="Yes",BV$3&gt;=Projects!$C$44,BV$3&lt;Projects!$C$44+Projects!$D$44),Projects!$B$44*INDEX(Curves!$B$4:$AR$4,1,BV$3-Projects!$C$44+1),0)-IF(AND(Projects!$G$44="Yes",BV$3&gt;=Projects!$C$44,BV$3&lt;Projects!$C$44+Projects!$D$44),Projects!$B$44*(Assumptions!$B$10+Assumptions!$B$11+Assumptions!$B$12)/Projects!$D$44*0.95,0)-IF(AND(Projects!$G$44="Yes",BV$3=Projects!$C$44+Projects!$D$44-1),Projects!$B$44*(Assumptions!$B$10+Assumptions!$B$11+Assumptions!$B$12)*0.05,0)</f>
        <v/>
      </c>
      <c r="BW53" s="399">
        <f>IF(AND(Projects!$G$44="Yes",BW$3&gt;=Projects!$C$44,BW$3&lt;Projects!$C$44+Projects!$D$44),Projects!$B$44*INDEX(Curves!$B$4:$AR$4,1,BW$3-Projects!$C$44+1),0)-IF(AND(Projects!$G$44="Yes",BW$3&gt;=Projects!$C$44,BW$3&lt;Projects!$C$44+Projects!$D$44),Projects!$B$44*(Assumptions!$B$10+Assumptions!$B$11+Assumptions!$B$12)/Projects!$D$44*0.95,0)-IF(AND(Projects!$G$44="Yes",BW$3=Projects!$C$44+Projects!$D$44-1),Projects!$B$44*(Assumptions!$B$10+Assumptions!$B$11+Assumptions!$B$12)*0.05,0)</f>
        <v/>
      </c>
      <c r="BX53" s="399">
        <f>IF(AND(Projects!$G$44="Yes",BX$3&gt;=Projects!$C$44,BX$3&lt;Projects!$C$44+Projects!$D$44),Projects!$B$44*INDEX(Curves!$B$4:$AR$4,1,BX$3-Projects!$C$44+1),0)-IF(AND(Projects!$G$44="Yes",BX$3&gt;=Projects!$C$44,BX$3&lt;Projects!$C$44+Projects!$D$44),Projects!$B$44*(Assumptions!$B$10+Assumptions!$B$11+Assumptions!$B$12)/Projects!$D$44*0.95,0)-IF(AND(Projects!$G$44="Yes",BX$3=Projects!$C$44+Projects!$D$44-1),Projects!$B$44*(Assumptions!$B$10+Assumptions!$B$11+Assumptions!$B$12)*0.05,0)</f>
        <v/>
      </c>
      <c r="BY53" s="399">
        <f>IF(AND(Projects!$G$44="Yes",BY$3&gt;=Projects!$C$44,BY$3&lt;Projects!$C$44+Projects!$D$44),Projects!$B$44*INDEX(Curves!$B$4:$AR$4,1,BY$3-Projects!$C$44+1),0)-IF(AND(Projects!$G$44="Yes",BY$3&gt;=Projects!$C$44,BY$3&lt;Projects!$C$44+Projects!$D$44),Projects!$B$44*(Assumptions!$B$10+Assumptions!$B$11+Assumptions!$B$12)/Projects!$D$44*0.95,0)-IF(AND(Projects!$G$44="Yes",BY$3=Projects!$C$44+Projects!$D$44-1),Projects!$B$44*(Assumptions!$B$10+Assumptions!$B$11+Assumptions!$B$12)*0.05,0)</f>
        <v/>
      </c>
      <c r="BZ53" s="399">
        <f>IF(AND(Projects!$G$44="Yes",BZ$3&gt;=Projects!$C$44,BZ$3&lt;Projects!$C$44+Projects!$D$44),Projects!$B$44*INDEX(Curves!$B$4:$AR$4,1,BZ$3-Projects!$C$44+1),0)-IF(AND(Projects!$G$44="Yes",BZ$3&gt;=Projects!$C$44,BZ$3&lt;Projects!$C$44+Projects!$D$44),Projects!$B$44*(Assumptions!$B$10+Assumptions!$B$11+Assumptions!$B$12)/Projects!$D$44*0.95,0)-IF(AND(Projects!$G$44="Yes",BZ$3=Projects!$C$44+Projects!$D$44-1),Projects!$B$44*(Assumptions!$B$10+Assumptions!$B$11+Assumptions!$B$12)*0.05,0)</f>
        <v/>
      </c>
      <c r="CA53" s="399">
        <f>IF(AND(Projects!$G$44="Yes",CA$3&gt;=Projects!$C$44,CA$3&lt;Projects!$C$44+Projects!$D$44),Projects!$B$44*INDEX(Curves!$B$4:$AR$4,1,CA$3-Projects!$C$44+1),0)-IF(AND(Projects!$G$44="Yes",CA$3&gt;=Projects!$C$44,CA$3&lt;Projects!$C$44+Projects!$D$44),Projects!$B$44*(Assumptions!$B$10+Assumptions!$B$11+Assumptions!$B$12)/Projects!$D$44*0.95,0)-IF(AND(Projects!$G$44="Yes",CA$3=Projects!$C$44+Projects!$D$44-1),Projects!$B$44*(Assumptions!$B$10+Assumptions!$B$11+Assumptions!$B$12)*0.05,0)</f>
        <v/>
      </c>
      <c r="CB53" s="399">
        <f>IF(AND(Projects!$G$44="Yes",CB$3&gt;=Projects!$C$44,CB$3&lt;Projects!$C$44+Projects!$D$44),Projects!$B$44*INDEX(Curves!$B$4:$AR$4,1,CB$3-Projects!$C$44+1),0)-IF(AND(Projects!$G$44="Yes",CB$3&gt;=Projects!$C$44,CB$3&lt;Projects!$C$44+Projects!$D$44),Projects!$B$44*(Assumptions!$B$10+Assumptions!$B$11+Assumptions!$B$12)/Projects!$D$44*0.95,0)-IF(AND(Projects!$G$44="Yes",CB$3=Projects!$C$44+Projects!$D$44-1),Projects!$B$44*(Assumptions!$B$10+Assumptions!$B$11+Assumptions!$B$12)*0.05,0)</f>
        <v/>
      </c>
      <c r="CC53" s="399">
        <f>IF(AND(Projects!$G$44="Yes",CC$3&gt;=Projects!$C$44,CC$3&lt;Projects!$C$44+Projects!$D$44),Projects!$B$44*INDEX(Curves!$B$4:$AR$4,1,CC$3-Projects!$C$44+1),0)-IF(AND(Projects!$G$44="Yes",CC$3&gt;=Projects!$C$44,CC$3&lt;Projects!$C$44+Projects!$D$44),Projects!$B$44*(Assumptions!$B$10+Assumptions!$B$11+Assumptions!$B$12)/Projects!$D$44*0.95,0)-IF(AND(Projects!$G$44="Yes",CC$3=Projects!$C$44+Projects!$D$44-1),Projects!$B$44*(Assumptions!$B$10+Assumptions!$B$11+Assumptions!$B$12)*0.05,0)</f>
        <v/>
      </c>
      <c r="CD53" s="399">
        <f>IF(AND(Projects!$G$44="Yes",CD$3&gt;=Projects!$C$44,CD$3&lt;Projects!$C$44+Projects!$D$44),Projects!$B$44*INDEX(Curves!$B$4:$AR$4,1,CD$3-Projects!$C$44+1),0)-IF(AND(Projects!$G$44="Yes",CD$3&gt;=Projects!$C$44,CD$3&lt;Projects!$C$44+Projects!$D$44),Projects!$B$44*(Assumptions!$B$10+Assumptions!$B$11+Assumptions!$B$12)/Projects!$D$44*0.95,0)-IF(AND(Projects!$G$44="Yes",CD$3=Projects!$C$44+Projects!$D$44-1),Projects!$B$44*(Assumptions!$B$10+Assumptions!$B$11+Assumptions!$B$12)*0.05,0)</f>
        <v/>
      </c>
      <c r="CE53" s="399">
        <f>IF(AND(Projects!$G$44="Yes",CE$3&gt;=Projects!$C$44,CE$3&lt;Projects!$C$44+Projects!$D$44),Projects!$B$44*INDEX(Curves!$B$4:$AR$4,1,CE$3-Projects!$C$44+1),0)-IF(AND(Projects!$G$44="Yes",CE$3&gt;=Projects!$C$44,CE$3&lt;Projects!$C$44+Projects!$D$44),Projects!$B$44*(Assumptions!$B$10+Assumptions!$B$11+Assumptions!$B$12)/Projects!$D$44*0.95,0)-IF(AND(Projects!$G$44="Yes",CE$3=Projects!$C$44+Projects!$D$44-1),Projects!$B$44*(Assumptions!$B$10+Assumptions!$B$11+Assumptions!$B$12)*0.05,0)</f>
        <v/>
      </c>
      <c r="CF53" s="399">
        <f>IF(AND(Projects!$G$44="Yes",CF$3&gt;=Projects!$C$44,CF$3&lt;Projects!$C$44+Projects!$D$44),Projects!$B$44*INDEX(Curves!$B$4:$AR$4,1,CF$3-Projects!$C$44+1),0)-IF(AND(Projects!$G$44="Yes",CF$3&gt;=Projects!$C$44,CF$3&lt;Projects!$C$44+Projects!$D$44),Projects!$B$44*(Assumptions!$B$10+Assumptions!$B$11+Assumptions!$B$12)/Projects!$D$44*0.95,0)-IF(AND(Projects!$G$44="Yes",CF$3=Projects!$C$44+Projects!$D$44-1),Projects!$B$44*(Assumptions!$B$10+Assumptions!$B$11+Assumptions!$B$12)*0.05,0)</f>
        <v/>
      </c>
      <c r="CG53" s="399">
        <f>IF(AND(Projects!$G$44="Yes",CG$3&gt;=Projects!$C$44,CG$3&lt;Projects!$C$44+Projects!$D$44),Projects!$B$44*INDEX(Curves!$B$4:$AR$4,1,CG$3-Projects!$C$44+1),0)-IF(AND(Projects!$G$44="Yes",CG$3&gt;=Projects!$C$44,CG$3&lt;Projects!$C$44+Projects!$D$44),Projects!$B$44*(Assumptions!$B$10+Assumptions!$B$11+Assumptions!$B$12)/Projects!$D$44*0.95,0)-IF(AND(Projects!$G$44="Yes",CG$3=Projects!$C$44+Projects!$D$44-1),Projects!$B$44*(Assumptions!$B$10+Assumptions!$B$11+Assumptions!$B$12)*0.05,0)</f>
        <v/>
      </c>
      <c r="CH53" s="399">
        <f>IF(AND(Projects!$G$44="Yes",CH$3&gt;=Projects!$C$44,CH$3&lt;Projects!$C$44+Projects!$D$44),Projects!$B$44*INDEX(Curves!$B$4:$AR$4,1,CH$3-Projects!$C$44+1),0)-IF(AND(Projects!$G$44="Yes",CH$3&gt;=Projects!$C$44,CH$3&lt;Projects!$C$44+Projects!$D$44),Projects!$B$44*(Assumptions!$B$10+Assumptions!$B$11+Assumptions!$B$12)/Projects!$D$44*0.95,0)-IF(AND(Projects!$G$44="Yes",CH$3=Projects!$C$44+Projects!$D$44-1),Projects!$B$44*(Assumptions!$B$10+Assumptions!$B$11+Assumptions!$B$12)*0.05,0)</f>
        <v/>
      </c>
      <c r="CI53" s="399">
        <f>IF(AND(Projects!$G$44="Yes",CI$3&gt;=Projects!$C$44,CI$3&lt;Projects!$C$44+Projects!$D$44),Projects!$B$44*INDEX(Curves!$B$4:$AR$4,1,CI$3-Projects!$C$44+1),0)-IF(AND(Projects!$G$44="Yes",CI$3&gt;=Projects!$C$44,CI$3&lt;Projects!$C$44+Projects!$D$44),Projects!$B$44*(Assumptions!$B$10+Assumptions!$B$11+Assumptions!$B$12)/Projects!$D$44*0.95,0)-IF(AND(Projects!$G$44="Yes",CI$3=Projects!$C$44+Projects!$D$44-1),Projects!$B$44*(Assumptions!$B$10+Assumptions!$B$11+Assumptions!$B$12)*0.05,0)</f>
        <v/>
      </c>
      <c r="CJ53" s="399">
        <f>IF(AND(Projects!$G$44="Yes",CJ$3&gt;=Projects!$C$44,CJ$3&lt;Projects!$C$44+Projects!$D$44),Projects!$B$44*INDEX(Curves!$B$4:$AR$4,1,CJ$3-Projects!$C$44+1),0)-IF(AND(Projects!$G$44="Yes",CJ$3&gt;=Projects!$C$44,CJ$3&lt;Projects!$C$44+Projects!$D$44),Projects!$B$44*(Assumptions!$B$10+Assumptions!$B$11+Assumptions!$B$12)/Projects!$D$44*0.95,0)-IF(AND(Projects!$G$44="Yes",CJ$3=Projects!$C$44+Projects!$D$44-1),Projects!$B$44*(Assumptions!$B$10+Assumptions!$B$11+Assumptions!$B$12)*0.05,0)</f>
        <v/>
      </c>
      <c r="CK53" s="399">
        <f>IF(AND(Projects!$G$44="Yes",CK$3&gt;=Projects!$C$44,CK$3&lt;Projects!$C$44+Projects!$D$44),Projects!$B$44*INDEX(Curves!$B$4:$AR$4,1,CK$3-Projects!$C$44+1),0)-IF(AND(Projects!$G$44="Yes",CK$3&gt;=Projects!$C$44,CK$3&lt;Projects!$C$44+Projects!$D$44),Projects!$B$44*(Assumptions!$B$10+Assumptions!$B$11+Assumptions!$B$12)/Projects!$D$44*0.95,0)-IF(AND(Projects!$G$44="Yes",CK$3=Projects!$C$44+Projects!$D$44-1),Projects!$B$44*(Assumptions!$B$10+Assumptions!$B$11+Assumptions!$B$12)*0.05,0)</f>
        <v/>
      </c>
      <c r="CL53" s="399">
        <f>IF(AND(Projects!$G$44="Yes",CL$3&gt;=Projects!$C$44,CL$3&lt;Projects!$C$44+Projects!$D$44),Projects!$B$44*INDEX(Curves!$B$4:$AR$4,1,CL$3-Projects!$C$44+1),0)-IF(AND(Projects!$G$44="Yes",CL$3&gt;=Projects!$C$44,CL$3&lt;Projects!$C$44+Projects!$D$44),Projects!$B$44*(Assumptions!$B$10+Assumptions!$B$11+Assumptions!$B$12)/Projects!$D$44*0.95,0)-IF(AND(Projects!$G$44="Yes",CL$3=Projects!$C$44+Projects!$D$44-1),Projects!$B$44*(Assumptions!$B$10+Assumptions!$B$11+Assumptions!$B$12)*0.05,0)</f>
        <v/>
      </c>
      <c r="CM53" s="399">
        <f>IF(AND(Projects!$G$44="Yes",CM$3&gt;=Projects!$C$44,CM$3&lt;Projects!$C$44+Projects!$D$44),Projects!$B$44*INDEX(Curves!$B$4:$AR$4,1,CM$3-Projects!$C$44+1),0)-IF(AND(Projects!$G$44="Yes",CM$3&gt;=Projects!$C$44,CM$3&lt;Projects!$C$44+Projects!$D$44),Projects!$B$44*(Assumptions!$B$10+Assumptions!$B$11+Assumptions!$B$12)/Projects!$D$44*0.95,0)-IF(AND(Projects!$G$44="Yes",CM$3=Projects!$C$44+Projects!$D$44-1),Projects!$B$44*(Assumptions!$B$10+Assumptions!$B$11+Assumptions!$B$12)*0.05,0)</f>
        <v/>
      </c>
      <c r="CN53" s="399">
        <f>IF(AND(Projects!$G$44="Yes",CN$3&gt;=Projects!$C$44,CN$3&lt;Projects!$C$44+Projects!$D$44),Projects!$B$44*INDEX(Curves!$B$4:$AR$4,1,CN$3-Projects!$C$44+1),0)-IF(AND(Projects!$G$44="Yes",CN$3&gt;=Projects!$C$44,CN$3&lt;Projects!$C$44+Projects!$D$44),Projects!$B$44*(Assumptions!$B$10+Assumptions!$B$11+Assumptions!$B$12)/Projects!$D$44*0.95,0)-IF(AND(Projects!$G$44="Yes",CN$3=Projects!$C$44+Projects!$D$44-1),Projects!$B$44*(Assumptions!$B$10+Assumptions!$B$11+Assumptions!$B$12)*0.05,0)</f>
        <v/>
      </c>
      <c r="CO53" s="399">
        <f>IF(AND(Projects!$G$44="Yes",CO$3&gt;=Projects!$C$44,CO$3&lt;Projects!$C$44+Projects!$D$44),Projects!$B$44*INDEX(Curves!$B$4:$AR$4,1,CO$3-Projects!$C$44+1),0)-IF(AND(Projects!$G$44="Yes",CO$3&gt;=Projects!$C$44,CO$3&lt;Projects!$C$44+Projects!$D$44),Projects!$B$44*(Assumptions!$B$10+Assumptions!$B$11+Assumptions!$B$12)/Projects!$D$44*0.95,0)-IF(AND(Projects!$G$44="Yes",CO$3=Projects!$C$44+Projects!$D$44-1),Projects!$B$44*(Assumptions!$B$10+Assumptions!$B$11+Assumptions!$B$12)*0.05,0)</f>
        <v/>
      </c>
      <c r="CP53" s="399">
        <f>IF(AND(Projects!$G$44="Yes",CP$3&gt;=Projects!$C$44,CP$3&lt;Projects!$C$44+Projects!$D$44),Projects!$B$44*INDEX(Curves!$B$4:$AR$4,1,CP$3-Projects!$C$44+1),0)-IF(AND(Projects!$G$44="Yes",CP$3&gt;=Projects!$C$44,CP$3&lt;Projects!$C$44+Projects!$D$44),Projects!$B$44*(Assumptions!$B$10+Assumptions!$B$11+Assumptions!$B$12)/Projects!$D$44*0.95,0)-IF(AND(Projects!$G$44="Yes",CP$3=Projects!$C$44+Projects!$D$44-1),Projects!$B$44*(Assumptions!$B$10+Assumptions!$B$11+Assumptions!$B$12)*0.05,0)</f>
        <v/>
      </c>
      <c r="CQ53" s="399">
        <f>IF(AND(Projects!$G$44="Yes",CQ$3&gt;=Projects!$C$44,CQ$3&lt;Projects!$C$44+Projects!$D$44),Projects!$B$44*INDEX(Curves!$B$4:$AR$4,1,CQ$3-Projects!$C$44+1),0)-IF(AND(Projects!$G$44="Yes",CQ$3&gt;=Projects!$C$44,CQ$3&lt;Projects!$C$44+Projects!$D$44),Projects!$B$44*(Assumptions!$B$10+Assumptions!$B$11+Assumptions!$B$12)/Projects!$D$44*0.95,0)-IF(AND(Projects!$G$44="Yes",CQ$3=Projects!$C$44+Projects!$D$44-1),Projects!$B$44*(Assumptions!$B$10+Assumptions!$B$11+Assumptions!$B$12)*0.05,0)</f>
        <v/>
      </c>
      <c r="CR53" s="399">
        <f>IF(AND(Projects!$G$44="Yes",CR$3&gt;=Projects!$C$44,CR$3&lt;Projects!$C$44+Projects!$D$44),Projects!$B$44*INDEX(Curves!$B$4:$AR$4,1,CR$3-Projects!$C$44+1),0)-IF(AND(Projects!$G$44="Yes",CR$3&gt;=Projects!$C$44,CR$3&lt;Projects!$C$44+Projects!$D$44),Projects!$B$44*(Assumptions!$B$10+Assumptions!$B$11+Assumptions!$B$12)/Projects!$D$44*0.95,0)-IF(AND(Projects!$G$44="Yes",CR$3=Projects!$C$44+Projects!$D$44-1),Projects!$B$44*(Assumptions!$B$10+Assumptions!$B$11+Assumptions!$B$12)*0.05,0)</f>
        <v/>
      </c>
      <c r="CS53" s="399">
        <f>IF(AND(Projects!$G$44="Yes",CS$3&gt;=Projects!$C$44,CS$3&lt;Projects!$C$44+Projects!$D$44),Projects!$B$44*INDEX(Curves!$B$4:$AR$4,1,CS$3-Projects!$C$44+1),0)-IF(AND(Projects!$G$44="Yes",CS$3&gt;=Projects!$C$44,CS$3&lt;Projects!$C$44+Projects!$D$44),Projects!$B$44*(Assumptions!$B$10+Assumptions!$B$11+Assumptions!$B$12)/Projects!$D$44*0.95,0)-IF(AND(Projects!$G$44="Yes",CS$3=Projects!$C$44+Projects!$D$44-1),Projects!$B$44*(Assumptions!$B$10+Assumptions!$B$11+Assumptions!$B$12)*0.05,0)</f>
        <v/>
      </c>
      <c r="CT53" s="399">
        <f>IF(AND(Projects!$G$44="Yes",CT$3&gt;=Projects!$C$44,CT$3&lt;Projects!$C$44+Projects!$D$44),Projects!$B$44*INDEX(Curves!$B$4:$AR$4,1,CT$3-Projects!$C$44+1),0)-IF(AND(Projects!$G$44="Yes",CT$3&gt;=Projects!$C$44,CT$3&lt;Projects!$C$44+Projects!$D$44),Projects!$B$44*(Assumptions!$B$10+Assumptions!$B$11+Assumptions!$B$12)/Projects!$D$44*0.95,0)-IF(AND(Projects!$G$44="Yes",CT$3=Projects!$C$44+Projects!$D$44-1),Projects!$B$44*(Assumptions!$B$10+Assumptions!$B$11+Assumptions!$B$12)*0.05,0)</f>
        <v/>
      </c>
      <c r="CU53" s="399">
        <f>IF(AND(Projects!$G$44="Yes",CU$3&gt;=Projects!$C$44,CU$3&lt;Projects!$C$44+Projects!$D$44),Projects!$B$44*INDEX(Curves!$B$4:$AR$4,1,CU$3-Projects!$C$44+1),0)-IF(AND(Projects!$G$44="Yes",CU$3&gt;=Projects!$C$44,CU$3&lt;Projects!$C$44+Projects!$D$44),Projects!$B$44*(Assumptions!$B$10+Assumptions!$B$11+Assumptions!$B$12)/Projects!$D$44*0.95,0)-IF(AND(Projects!$G$44="Yes",CU$3=Projects!$C$44+Projects!$D$44-1),Projects!$B$44*(Assumptions!$B$10+Assumptions!$B$11+Assumptions!$B$12)*0.05,0)</f>
        <v/>
      </c>
      <c r="CV53" s="399">
        <f>IF(AND(Projects!$G$44="Yes",CV$3&gt;=Projects!$C$44,CV$3&lt;Projects!$C$44+Projects!$D$44),Projects!$B$44*INDEX(Curves!$B$4:$AR$4,1,CV$3-Projects!$C$44+1),0)-IF(AND(Projects!$G$44="Yes",CV$3&gt;=Projects!$C$44,CV$3&lt;Projects!$C$44+Projects!$D$44),Projects!$B$44*(Assumptions!$B$10+Assumptions!$B$11+Assumptions!$B$12)/Projects!$D$44*0.95,0)-IF(AND(Projects!$G$44="Yes",CV$3=Projects!$C$44+Projects!$D$44-1),Projects!$B$44*(Assumptions!$B$10+Assumptions!$B$11+Assumptions!$B$12)*0.05,0)</f>
        <v/>
      </c>
      <c r="CW53" s="399">
        <f>IF(AND(Projects!$G$44="Yes",CW$3&gt;=Projects!$C$44,CW$3&lt;Projects!$C$44+Projects!$D$44),Projects!$B$44*INDEX(Curves!$B$4:$AR$4,1,CW$3-Projects!$C$44+1),0)-IF(AND(Projects!$G$44="Yes",CW$3&gt;=Projects!$C$44,CW$3&lt;Projects!$C$44+Projects!$D$44),Projects!$B$44*(Assumptions!$B$10+Assumptions!$B$11+Assumptions!$B$12)/Projects!$D$44*0.95,0)-IF(AND(Projects!$G$44="Yes",CW$3=Projects!$C$44+Projects!$D$44-1),Projects!$B$44*(Assumptions!$B$10+Assumptions!$B$11+Assumptions!$B$12)*0.05,0)</f>
        <v/>
      </c>
      <c r="CX53" s="399">
        <f>IF(AND(Projects!$G$44="Yes",CX$3&gt;=Projects!$C$44,CX$3&lt;Projects!$C$44+Projects!$D$44),Projects!$B$44*INDEX(Curves!$B$4:$AR$4,1,CX$3-Projects!$C$44+1),0)-IF(AND(Projects!$G$44="Yes",CX$3&gt;=Projects!$C$44,CX$3&lt;Projects!$C$44+Projects!$D$44),Projects!$B$44*(Assumptions!$B$10+Assumptions!$B$11+Assumptions!$B$12)/Projects!$D$44*0.95,0)-IF(AND(Projects!$G$44="Yes",CX$3=Projects!$C$44+Projects!$D$44-1),Projects!$B$44*(Assumptions!$B$10+Assumptions!$B$11+Assumptions!$B$12)*0.05,0)</f>
        <v/>
      </c>
      <c r="CY53" s="399">
        <f>IF(AND(Projects!$G$44="Yes",CY$3&gt;=Projects!$C$44,CY$3&lt;Projects!$C$44+Projects!$D$44),Projects!$B$44*INDEX(Curves!$B$4:$AR$4,1,CY$3-Projects!$C$44+1),0)-IF(AND(Projects!$G$44="Yes",CY$3&gt;=Projects!$C$44,CY$3&lt;Projects!$C$44+Projects!$D$44),Projects!$B$44*(Assumptions!$B$10+Assumptions!$B$11+Assumptions!$B$12)/Projects!$D$44*0.95,0)-IF(AND(Projects!$G$44="Yes",CY$3=Projects!$C$44+Projects!$D$44-1),Projects!$B$44*(Assumptions!$B$10+Assumptions!$B$11+Assumptions!$B$12)*0.05,0)</f>
        <v/>
      </c>
      <c r="CZ53" s="399">
        <f>IF(AND(Projects!$G$44="Yes",CZ$3&gt;=Projects!$C$44,CZ$3&lt;Projects!$C$44+Projects!$D$44),Projects!$B$44*INDEX(Curves!$B$4:$AR$4,1,CZ$3-Projects!$C$44+1),0)-IF(AND(Projects!$G$44="Yes",CZ$3&gt;=Projects!$C$44,CZ$3&lt;Projects!$C$44+Projects!$D$44),Projects!$B$44*(Assumptions!$B$10+Assumptions!$B$11+Assumptions!$B$12)/Projects!$D$44*0.95,0)-IF(AND(Projects!$G$44="Yes",CZ$3=Projects!$C$44+Projects!$D$44-1),Projects!$B$44*(Assumptions!$B$10+Assumptions!$B$11+Assumptions!$B$12)*0.05,0)</f>
        <v/>
      </c>
      <c r="DA53" s="399">
        <f>IF(AND(Projects!$G$44="Yes",DA$3&gt;=Projects!$C$44,DA$3&lt;Projects!$C$44+Projects!$D$44),Projects!$B$44*INDEX(Curves!$B$4:$AR$4,1,DA$3-Projects!$C$44+1),0)-IF(AND(Projects!$G$44="Yes",DA$3&gt;=Projects!$C$44,DA$3&lt;Projects!$C$44+Projects!$D$44),Projects!$B$44*(Assumptions!$B$10+Assumptions!$B$11+Assumptions!$B$12)/Projects!$D$44*0.95,0)-IF(AND(Projects!$G$44="Yes",DA$3=Projects!$C$44+Projects!$D$44-1),Projects!$B$44*(Assumptions!$B$10+Assumptions!$B$11+Assumptions!$B$12)*0.05,0)</f>
        <v/>
      </c>
      <c r="DB53" s="399">
        <f>IF(AND(Projects!$G$44="Yes",DB$3&gt;=Projects!$C$44,DB$3&lt;Projects!$C$44+Projects!$D$44),Projects!$B$44*INDEX(Curves!$B$4:$AR$4,1,DB$3-Projects!$C$44+1),0)-IF(AND(Projects!$G$44="Yes",DB$3&gt;=Projects!$C$44,DB$3&lt;Projects!$C$44+Projects!$D$44),Projects!$B$44*(Assumptions!$B$10+Assumptions!$B$11+Assumptions!$B$12)/Projects!$D$44*0.95,0)-IF(AND(Projects!$G$44="Yes",DB$3=Projects!$C$44+Projects!$D$44-1),Projects!$B$44*(Assumptions!$B$10+Assumptions!$B$11+Assumptions!$B$12)*0.05,0)</f>
        <v/>
      </c>
      <c r="DC53" s="399">
        <f>IF(AND(Projects!$G$44="Yes",DC$3&gt;=Projects!$C$44,DC$3&lt;Projects!$C$44+Projects!$D$44),Projects!$B$44*INDEX(Curves!$B$4:$AR$4,1,DC$3-Projects!$C$44+1),0)-IF(AND(Projects!$G$44="Yes",DC$3&gt;=Projects!$C$44,DC$3&lt;Projects!$C$44+Projects!$D$44),Projects!$B$44*(Assumptions!$B$10+Assumptions!$B$11+Assumptions!$B$12)/Projects!$D$44*0.95,0)-IF(AND(Projects!$G$44="Yes",DC$3=Projects!$C$44+Projects!$D$44-1),Projects!$B$44*(Assumptions!$B$10+Assumptions!$B$11+Assumptions!$B$12)*0.05,0)</f>
        <v/>
      </c>
      <c r="DD53" s="399">
        <f>IF(AND(Projects!$G$44="Yes",DD$3&gt;=Projects!$C$44,DD$3&lt;Projects!$C$44+Projects!$D$44),Projects!$B$44*INDEX(Curves!$B$4:$AR$4,1,DD$3-Projects!$C$44+1),0)-IF(AND(Projects!$G$44="Yes",DD$3&gt;=Projects!$C$44,DD$3&lt;Projects!$C$44+Projects!$D$44),Projects!$B$44*(Assumptions!$B$10+Assumptions!$B$11+Assumptions!$B$12)/Projects!$D$44*0.95,0)-IF(AND(Projects!$G$44="Yes",DD$3=Projects!$C$44+Projects!$D$44-1),Projects!$B$44*(Assumptions!$B$10+Assumptions!$B$11+Assumptions!$B$12)*0.05,0)</f>
        <v/>
      </c>
      <c r="DE53" s="399">
        <f>IF(AND(Projects!$G$44="Yes",DE$3&gt;=Projects!$C$44,DE$3&lt;Projects!$C$44+Projects!$D$44),Projects!$B$44*INDEX(Curves!$B$4:$AR$4,1,DE$3-Projects!$C$44+1),0)-IF(AND(Projects!$G$44="Yes",DE$3&gt;=Projects!$C$44,DE$3&lt;Projects!$C$44+Projects!$D$44),Projects!$B$44*(Assumptions!$B$10+Assumptions!$B$11+Assumptions!$B$12)/Projects!$D$44*0.95,0)-IF(AND(Projects!$G$44="Yes",DE$3=Projects!$C$44+Projects!$D$44-1),Projects!$B$44*(Assumptions!$B$10+Assumptions!$B$11+Assumptions!$B$12)*0.05,0)</f>
        <v/>
      </c>
    </row>
    <row r="54" hidden="1" outlineLevel="1" ht="15" customFormat="1" customHeight="1" s="380">
      <c r="A54" s="407" t="inlineStr">
        <is>
          <t>BD-29</t>
        </is>
      </c>
      <c r="B54" s="399" t="n">
        <v>0</v>
      </c>
      <c r="C54" s="399" t="n">
        <v>0</v>
      </c>
      <c r="D54" s="399" t="n">
        <v>0</v>
      </c>
      <c r="E54" s="399" t="n">
        <v>0</v>
      </c>
      <c r="F54" s="399">
        <f>IF(AND(Projects!$G$45="Yes",F$3&gt;=Projects!$C$45,F$3&lt;Projects!$C$45+Projects!$D$45),Projects!$B$45*INDEX(Curves!$B$4:$AR$4,1,F$3-Projects!$C$45+1),0)-IF(AND(Projects!$G$45="Yes",F$3&gt;=Projects!$C$45,F$3&lt;Projects!$C$45+Projects!$D$45),Projects!$B$45*(Assumptions!$B$10+Assumptions!$B$11+Assumptions!$B$12)/Projects!$D$45*0.95,0)-IF(AND(Projects!$G$45="Yes",F$3=Projects!$C$45+Projects!$D$45-1),Projects!$B$45*(Assumptions!$B$10+Assumptions!$B$11+Assumptions!$B$12)*0.05,0)</f>
        <v/>
      </c>
      <c r="G54" s="399">
        <f>IF(AND(Projects!$G$45="Yes",G$3&gt;=Projects!$C$45,G$3&lt;Projects!$C$45+Projects!$D$45),Projects!$B$45*INDEX(Curves!$B$4:$AR$4,1,G$3-Projects!$C$45+1),0)-IF(AND(Projects!$G$45="Yes",G$3&gt;=Projects!$C$45,G$3&lt;Projects!$C$45+Projects!$D$45),Projects!$B$45*(Assumptions!$B$10+Assumptions!$B$11+Assumptions!$B$12)/Projects!$D$45*0.95,0)-IF(AND(Projects!$G$45="Yes",G$3=Projects!$C$45+Projects!$D$45-1),Projects!$B$45*(Assumptions!$B$10+Assumptions!$B$11+Assumptions!$B$12)*0.05,0)</f>
        <v/>
      </c>
      <c r="H54" s="399">
        <f>IF(AND(Projects!$G$45="Yes",H$3&gt;=Projects!$C$45,H$3&lt;Projects!$C$45+Projects!$D$45),Projects!$B$45*INDEX(Curves!$B$4:$AR$4,1,H$3-Projects!$C$45+1),0)-IF(AND(Projects!$G$45="Yes",H$3&gt;=Projects!$C$45,H$3&lt;Projects!$C$45+Projects!$D$45),Projects!$B$45*(Assumptions!$B$10+Assumptions!$B$11+Assumptions!$B$12)/Projects!$D$45*0.95,0)-IF(AND(Projects!$G$45="Yes",H$3=Projects!$C$45+Projects!$D$45-1),Projects!$B$45*(Assumptions!$B$10+Assumptions!$B$11+Assumptions!$B$12)*0.05,0)</f>
        <v/>
      </c>
      <c r="I54" s="399">
        <f>IF(AND(Projects!$G$45="Yes",I$3&gt;=Projects!$C$45,I$3&lt;Projects!$C$45+Projects!$D$45),Projects!$B$45*INDEX(Curves!$B$4:$AR$4,1,I$3-Projects!$C$45+1),0)-IF(AND(Projects!$G$45="Yes",I$3&gt;=Projects!$C$45,I$3&lt;Projects!$C$45+Projects!$D$45),Projects!$B$45*(Assumptions!$B$10+Assumptions!$B$11+Assumptions!$B$12)/Projects!$D$45*0.95,0)-IF(AND(Projects!$G$45="Yes",I$3=Projects!$C$45+Projects!$D$45-1),Projects!$B$45*(Assumptions!$B$10+Assumptions!$B$11+Assumptions!$B$12)*0.05,0)</f>
        <v/>
      </c>
      <c r="J54" s="399">
        <f>IF(AND(Projects!$G$45="Yes",J$3&gt;=Projects!$C$45,J$3&lt;Projects!$C$45+Projects!$D$45),Projects!$B$45*INDEX(Curves!$B$4:$AR$4,1,J$3-Projects!$C$45+1),0)-IF(AND(Projects!$G$45="Yes",J$3&gt;=Projects!$C$45,J$3&lt;Projects!$C$45+Projects!$D$45),Projects!$B$45*(Assumptions!$B$10+Assumptions!$B$11+Assumptions!$B$12)/Projects!$D$45*0.95,0)-IF(AND(Projects!$G$45="Yes",J$3=Projects!$C$45+Projects!$D$45-1),Projects!$B$45*(Assumptions!$B$10+Assumptions!$B$11+Assumptions!$B$12)*0.05,0)</f>
        <v/>
      </c>
      <c r="K54" s="399">
        <f>IF(AND(Projects!$G$45="Yes",K$3&gt;=Projects!$C$45,K$3&lt;Projects!$C$45+Projects!$D$45),Projects!$B$45*INDEX(Curves!$B$4:$AR$4,1,K$3-Projects!$C$45+1),0)-IF(AND(Projects!$G$45="Yes",K$3&gt;=Projects!$C$45,K$3&lt;Projects!$C$45+Projects!$D$45),Projects!$B$45*(Assumptions!$B$10+Assumptions!$B$11+Assumptions!$B$12)/Projects!$D$45*0.95,0)-IF(AND(Projects!$G$45="Yes",K$3=Projects!$C$45+Projects!$D$45-1),Projects!$B$45*(Assumptions!$B$10+Assumptions!$B$11+Assumptions!$B$12)*0.05,0)</f>
        <v/>
      </c>
      <c r="L54" s="399">
        <f>IF(AND(Projects!$G$45="Yes",L$3&gt;=Projects!$C$45,L$3&lt;Projects!$C$45+Projects!$D$45),Projects!$B$45*INDEX(Curves!$B$4:$AR$4,1,L$3-Projects!$C$45+1),0)-IF(AND(Projects!$G$45="Yes",L$3&gt;=Projects!$C$45,L$3&lt;Projects!$C$45+Projects!$D$45),Projects!$B$45*(Assumptions!$B$10+Assumptions!$B$11+Assumptions!$B$12)/Projects!$D$45*0.95,0)-IF(AND(Projects!$G$45="Yes",L$3=Projects!$C$45+Projects!$D$45-1),Projects!$B$45*(Assumptions!$B$10+Assumptions!$B$11+Assumptions!$B$12)*0.05,0)</f>
        <v/>
      </c>
      <c r="M54" s="399">
        <f>IF(AND(Projects!$G$45="Yes",M$3&gt;=Projects!$C$45,M$3&lt;Projects!$C$45+Projects!$D$45),Projects!$B$45*INDEX(Curves!$B$4:$AR$4,1,M$3-Projects!$C$45+1),0)-IF(AND(Projects!$G$45="Yes",M$3&gt;=Projects!$C$45,M$3&lt;Projects!$C$45+Projects!$D$45),Projects!$B$45*(Assumptions!$B$10+Assumptions!$B$11+Assumptions!$B$12)/Projects!$D$45*0.95,0)-IF(AND(Projects!$G$45="Yes",M$3=Projects!$C$45+Projects!$D$45-1),Projects!$B$45*(Assumptions!$B$10+Assumptions!$B$11+Assumptions!$B$12)*0.05,0)</f>
        <v/>
      </c>
      <c r="N54" s="399">
        <f>IF(AND(Projects!$G$45="Yes",N$3&gt;=Projects!$C$45,N$3&lt;Projects!$C$45+Projects!$D$45),Projects!$B$45*INDEX(Curves!$B$4:$AR$4,1,N$3-Projects!$C$45+1),0)-IF(AND(Projects!$G$45="Yes",N$3&gt;=Projects!$C$45,N$3&lt;Projects!$C$45+Projects!$D$45),Projects!$B$45*(Assumptions!$B$10+Assumptions!$B$11+Assumptions!$B$12)/Projects!$D$45*0.95,0)-IF(AND(Projects!$G$45="Yes",N$3=Projects!$C$45+Projects!$D$45-1),Projects!$B$45*(Assumptions!$B$10+Assumptions!$B$11+Assumptions!$B$12)*0.05,0)</f>
        <v/>
      </c>
      <c r="O54" s="399">
        <f>IF(AND(Projects!$G$45="Yes",O$3&gt;=Projects!$C$45,O$3&lt;Projects!$C$45+Projects!$D$45),Projects!$B$45*INDEX(Curves!$B$4:$AR$4,1,O$3-Projects!$C$45+1),0)-IF(AND(Projects!$G$45="Yes",O$3&gt;=Projects!$C$45,O$3&lt;Projects!$C$45+Projects!$D$45),Projects!$B$45*(Assumptions!$B$10+Assumptions!$B$11+Assumptions!$B$12)/Projects!$D$45*0.95,0)-IF(AND(Projects!$G$45="Yes",O$3=Projects!$C$45+Projects!$D$45-1),Projects!$B$45*(Assumptions!$B$10+Assumptions!$B$11+Assumptions!$B$12)*0.05,0)</f>
        <v/>
      </c>
      <c r="P54" s="399">
        <f>IF(AND(Projects!$G$45="Yes",P$3&gt;=Projects!$C$45,P$3&lt;Projects!$C$45+Projects!$D$45),Projects!$B$45*INDEX(Curves!$B$4:$AR$4,1,P$3-Projects!$C$45+1),0)-IF(AND(Projects!$G$45="Yes",P$3&gt;=Projects!$C$45,P$3&lt;Projects!$C$45+Projects!$D$45),Projects!$B$45*(Assumptions!$B$10+Assumptions!$B$11+Assumptions!$B$12)/Projects!$D$45*0.95,0)-IF(AND(Projects!$G$45="Yes",P$3=Projects!$C$45+Projects!$D$45-1),Projects!$B$45*(Assumptions!$B$10+Assumptions!$B$11+Assumptions!$B$12)*0.05,0)</f>
        <v/>
      </c>
      <c r="Q54" s="399">
        <f>IF(AND(Projects!$G$45="Yes",Q$3&gt;=Projects!$C$45,Q$3&lt;Projects!$C$45+Projects!$D$45),Projects!$B$45*INDEX(Curves!$B$4:$AR$4,1,Q$3-Projects!$C$45+1),0)-IF(AND(Projects!$G$45="Yes",Q$3&gt;=Projects!$C$45,Q$3&lt;Projects!$C$45+Projects!$D$45),Projects!$B$45*(Assumptions!$B$10+Assumptions!$B$11+Assumptions!$B$12)/Projects!$D$45*0.95,0)-IF(AND(Projects!$G$45="Yes",Q$3=Projects!$C$45+Projects!$D$45-1),Projects!$B$45*(Assumptions!$B$10+Assumptions!$B$11+Assumptions!$B$12)*0.05,0)</f>
        <v/>
      </c>
      <c r="R54" s="399">
        <f>IF(AND(Projects!$G$45="Yes",R$3&gt;=Projects!$C$45,R$3&lt;Projects!$C$45+Projects!$D$45),Projects!$B$45*INDEX(Curves!$B$4:$AR$4,1,R$3-Projects!$C$45+1),0)-IF(AND(Projects!$G$45="Yes",R$3&gt;=Projects!$C$45,R$3&lt;Projects!$C$45+Projects!$D$45),Projects!$B$45*(Assumptions!$B$10+Assumptions!$B$11+Assumptions!$B$12)/Projects!$D$45*0.95,0)-IF(AND(Projects!$G$45="Yes",R$3=Projects!$C$45+Projects!$D$45-1),Projects!$B$45*(Assumptions!$B$10+Assumptions!$B$11+Assumptions!$B$12)*0.05,0)</f>
        <v/>
      </c>
      <c r="S54" s="399">
        <f>IF(AND(Projects!$G$45="Yes",S$3&gt;=Projects!$C$45,S$3&lt;Projects!$C$45+Projects!$D$45),Projects!$B$45*INDEX(Curves!$B$4:$AR$4,1,S$3-Projects!$C$45+1),0)-IF(AND(Projects!$G$45="Yes",S$3&gt;=Projects!$C$45,S$3&lt;Projects!$C$45+Projects!$D$45),Projects!$B$45*(Assumptions!$B$10+Assumptions!$B$11+Assumptions!$B$12)/Projects!$D$45*0.95,0)-IF(AND(Projects!$G$45="Yes",S$3=Projects!$C$45+Projects!$D$45-1),Projects!$B$45*(Assumptions!$B$10+Assumptions!$B$11+Assumptions!$B$12)*0.05,0)</f>
        <v/>
      </c>
      <c r="T54" s="399">
        <f>IF(AND(Projects!$G$45="Yes",T$3&gt;=Projects!$C$45,T$3&lt;Projects!$C$45+Projects!$D$45),Projects!$B$45*INDEX(Curves!$B$4:$AR$4,1,T$3-Projects!$C$45+1),0)-IF(AND(Projects!$G$45="Yes",T$3&gt;=Projects!$C$45,T$3&lt;Projects!$C$45+Projects!$D$45),Projects!$B$45*(Assumptions!$B$10+Assumptions!$B$11+Assumptions!$B$12)/Projects!$D$45*0.95,0)-IF(AND(Projects!$G$45="Yes",T$3=Projects!$C$45+Projects!$D$45-1),Projects!$B$45*(Assumptions!$B$10+Assumptions!$B$11+Assumptions!$B$12)*0.05,0)</f>
        <v/>
      </c>
      <c r="U54" s="399">
        <f>IF(AND(Projects!$G$45="Yes",U$3&gt;=Projects!$C$45,U$3&lt;Projects!$C$45+Projects!$D$45),Projects!$B$45*INDEX(Curves!$B$4:$AR$4,1,U$3-Projects!$C$45+1),0)-IF(AND(Projects!$G$45="Yes",U$3&gt;=Projects!$C$45,U$3&lt;Projects!$C$45+Projects!$D$45),Projects!$B$45*(Assumptions!$B$10+Assumptions!$B$11+Assumptions!$B$12)/Projects!$D$45*0.95,0)-IF(AND(Projects!$G$45="Yes",U$3=Projects!$C$45+Projects!$D$45-1),Projects!$B$45*(Assumptions!$B$10+Assumptions!$B$11+Assumptions!$B$12)*0.05,0)</f>
        <v/>
      </c>
      <c r="V54" s="399">
        <f>IF(AND(Projects!$G$45="Yes",V$3&gt;=Projects!$C$45,V$3&lt;Projects!$C$45+Projects!$D$45),Projects!$B$45*INDEX(Curves!$B$4:$AR$4,1,V$3-Projects!$C$45+1),0)-IF(AND(Projects!$G$45="Yes",V$3&gt;=Projects!$C$45,V$3&lt;Projects!$C$45+Projects!$D$45),Projects!$B$45*(Assumptions!$B$10+Assumptions!$B$11+Assumptions!$B$12)/Projects!$D$45*0.95,0)-IF(AND(Projects!$G$45="Yes",V$3=Projects!$C$45+Projects!$D$45-1),Projects!$B$45*(Assumptions!$B$10+Assumptions!$B$11+Assumptions!$B$12)*0.05,0)</f>
        <v/>
      </c>
      <c r="W54" s="399">
        <f>IF(AND(Projects!$G$45="Yes",W$3&gt;=Projects!$C$45,W$3&lt;Projects!$C$45+Projects!$D$45),Projects!$B$45*INDEX(Curves!$B$4:$AR$4,1,W$3-Projects!$C$45+1),0)-IF(AND(Projects!$G$45="Yes",W$3&gt;=Projects!$C$45,W$3&lt;Projects!$C$45+Projects!$D$45),Projects!$B$45*(Assumptions!$B$10+Assumptions!$B$11+Assumptions!$B$12)/Projects!$D$45*0.95,0)-IF(AND(Projects!$G$45="Yes",W$3=Projects!$C$45+Projects!$D$45-1),Projects!$B$45*(Assumptions!$B$10+Assumptions!$B$11+Assumptions!$B$12)*0.05,0)</f>
        <v/>
      </c>
      <c r="X54" s="399">
        <f>IF(AND(Projects!$G$45="Yes",X$3&gt;=Projects!$C$45,X$3&lt;Projects!$C$45+Projects!$D$45),Projects!$B$45*INDEX(Curves!$B$4:$AR$4,1,X$3-Projects!$C$45+1),0)-IF(AND(Projects!$G$45="Yes",X$3&gt;=Projects!$C$45,X$3&lt;Projects!$C$45+Projects!$D$45),Projects!$B$45*(Assumptions!$B$10+Assumptions!$B$11+Assumptions!$B$12)/Projects!$D$45*0.95,0)-IF(AND(Projects!$G$45="Yes",X$3=Projects!$C$45+Projects!$D$45-1),Projects!$B$45*(Assumptions!$B$10+Assumptions!$B$11+Assumptions!$B$12)*0.05,0)</f>
        <v/>
      </c>
      <c r="Y54" s="399">
        <f>IF(AND(Projects!$G$45="Yes",Y$3&gt;=Projects!$C$45,Y$3&lt;Projects!$C$45+Projects!$D$45),Projects!$B$45*INDEX(Curves!$B$4:$AR$4,1,Y$3-Projects!$C$45+1),0)-IF(AND(Projects!$G$45="Yes",Y$3&gt;=Projects!$C$45,Y$3&lt;Projects!$C$45+Projects!$D$45),Projects!$B$45*(Assumptions!$B$10+Assumptions!$B$11+Assumptions!$B$12)/Projects!$D$45*0.95,0)-IF(AND(Projects!$G$45="Yes",Y$3=Projects!$C$45+Projects!$D$45-1),Projects!$B$45*(Assumptions!$B$10+Assumptions!$B$11+Assumptions!$B$12)*0.05,0)</f>
        <v/>
      </c>
      <c r="Z54" s="399">
        <f>IF(AND(Projects!$G$45="Yes",Z$3&gt;=Projects!$C$45,Z$3&lt;Projects!$C$45+Projects!$D$45),Projects!$B$45*INDEX(Curves!$B$4:$AR$4,1,Z$3-Projects!$C$45+1),0)-IF(AND(Projects!$G$45="Yes",Z$3&gt;=Projects!$C$45,Z$3&lt;Projects!$C$45+Projects!$D$45),Projects!$B$45*(Assumptions!$B$10+Assumptions!$B$11+Assumptions!$B$12)/Projects!$D$45*0.95,0)-IF(AND(Projects!$G$45="Yes",Z$3=Projects!$C$45+Projects!$D$45-1),Projects!$B$45*(Assumptions!$B$10+Assumptions!$B$11+Assumptions!$B$12)*0.05,0)</f>
        <v/>
      </c>
      <c r="AA54" s="399">
        <f>IF(AND(Projects!$G$45="Yes",AA$3&gt;=Projects!$C$45,AA$3&lt;Projects!$C$45+Projects!$D$45),Projects!$B$45*INDEX(Curves!$B$4:$AR$4,1,AA$3-Projects!$C$45+1),0)-IF(AND(Projects!$G$45="Yes",AA$3&gt;=Projects!$C$45,AA$3&lt;Projects!$C$45+Projects!$D$45),Projects!$B$45*(Assumptions!$B$10+Assumptions!$B$11+Assumptions!$B$12)/Projects!$D$45*0.95,0)-IF(AND(Projects!$G$45="Yes",AA$3=Projects!$C$45+Projects!$D$45-1),Projects!$B$45*(Assumptions!$B$10+Assumptions!$B$11+Assumptions!$B$12)*0.05,0)</f>
        <v/>
      </c>
      <c r="AB54" s="399">
        <f>IF(AND(Projects!$G$45="Yes",AB$3&gt;=Projects!$C$45,AB$3&lt;Projects!$C$45+Projects!$D$45),Projects!$B$45*INDEX(Curves!$B$4:$AR$4,1,AB$3-Projects!$C$45+1),0)-IF(AND(Projects!$G$45="Yes",AB$3&gt;=Projects!$C$45,AB$3&lt;Projects!$C$45+Projects!$D$45),Projects!$B$45*(Assumptions!$B$10+Assumptions!$B$11+Assumptions!$B$12)/Projects!$D$45*0.95,0)-IF(AND(Projects!$G$45="Yes",AB$3=Projects!$C$45+Projects!$D$45-1),Projects!$B$45*(Assumptions!$B$10+Assumptions!$B$11+Assumptions!$B$12)*0.05,0)</f>
        <v/>
      </c>
      <c r="AC54" s="399">
        <f>IF(AND(Projects!$G$45="Yes",AC$3&gt;=Projects!$C$45,AC$3&lt;Projects!$C$45+Projects!$D$45),Projects!$B$45*INDEX(Curves!$B$4:$AR$4,1,AC$3-Projects!$C$45+1),0)-IF(AND(Projects!$G$45="Yes",AC$3&gt;=Projects!$C$45,AC$3&lt;Projects!$C$45+Projects!$D$45),Projects!$B$45*(Assumptions!$B$10+Assumptions!$B$11+Assumptions!$B$12)/Projects!$D$45*0.95,0)-IF(AND(Projects!$G$45="Yes",AC$3=Projects!$C$45+Projects!$D$45-1),Projects!$B$45*(Assumptions!$B$10+Assumptions!$B$11+Assumptions!$B$12)*0.05,0)</f>
        <v/>
      </c>
      <c r="AD54" s="399">
        <f>IF(AND(Projects!$G$45="Yes",AD$3&gt;=Projects!$C$45,AD$3&lt;Projects!$C$45+Projects!$D$45),Projects!$B$45*INDEX(Curves!$B$4:$AR$4,1,AD$3-Projects!$C$45+1),0)-IF(AND(Projects!$G$45="Yes",AD$3&gt;=Projects!$C$45,AD$3&lt;Projects!$C$45+Projects!$D$45),Projects!$B$45*(Assumptions!$B$10+Assumptions!$B$11+Assumptions!$B$12)/Projects!$D$45*0.95,0)-IF(AND(Projects!$G$45="Yes",AD$3=Projects!$C$45+Projects!$D$45-1),Projects!$B$45*(Assumptions!$B$10+Assumptions!$B$11+Assumptions!$B$12)*0.05,0)</f>
        <v/>
      </c>
      <c r="AE54" s="399">
        <f>IF(AND(Projects!$G$45="Yes",AE$3&gt;=Projects!$C$45,AE$3&lt;Projects!$C$45+Projects!$D$45),Projects!$B$45*INDEX(Curves!$B$4:$AR$4,1,AE$3-Projects!$C$45+1),0)-IF(AND(Projects!$G$45="Yes",AE$3&gt;=Projects!$C$45,AE$3&lt;Projects!$C$45+Projects!$D$45),Projects!$B$45*(Assumptions!$B$10+Assumptions!$B$11+Assumptions!$B$12)/Projects!$D$45*0.95,0)-IF(AND(Projects!$G$45="Yes",AE$3=Projects!$C$45+Projects!$D$45-1),Projects!$B$45*(Assumptions!$B$10+Assumptions!$B$11+Assumptions!$B$12)*0.05,0)</f>
        <v/>
      </c>
      <c r="AF54" s="399">
        <f>IF(AND(Projects!$G$45="Yes",AF$3&gt;=Projects!$C$45,AF$3&lt;Projects!$C$45+Projects!$D$45),Projects!$B$45*INDEX(Curves!$B$4:$AR$4,1,AF$3-Projects!$C$45+1),0)-IF(AND(Projects!$G$45="Yes",AF$3&gt;=Projects!$C$45,AF$3&lt;Projects!$C$45+Projects!$D$45),Projects!$B$45*(Assumptions!$B$10+Assumptions!$B$11+Assumptions!$B$12)/Projects!$D$45*0.95,0)-IF(AND(Projects!$G$45="Yes",AF$3=Projects!$C$45+Projects!$D$45-1),Projects!$B$45*(Assumptions!$B$10+Assumptions!$B$11+Assumptions!$B$12)*0.05,0)</f>
        <v/>
      </c>
      <c r="AG54" s="399">
        <f>IF(AND(Projects!$G$45="Yes",AG$3&gt;=Projects!$C$45,AG$3&lt;Projects!$C$45+Projects!$D$45),Projects!$B$45*INDEX(Curves!$B$4:$AR$4,1,AG$3-Projects!$C$45+1),0)-IF(AND(Projects!$G$45="Yes",AG$3&gt;=Projects!$C$45,AG$3&lt;Projects!$C$45+Projects!$D$45),Projects!$B$45*(Assumptions!$B$10+Assumptions!$B$11+Assumptions!$B$12)/Projects!$D$45*0.95,0)-IF(AND(Projects!$G$45="Yes",AG$3=Projects!$C$45+Projects!$D$45-1),Projects!$B$45*(Assumptions!$B$10+Assumptions!$B$11+Assumptions!$B$12)*0.05,0)</f>
        <v/>
      </c>
      <c r="AH54" s="399">
        <f>IF(AND(Projects!$G$45="Yes",AH$3&gt;=Projects!$C$45,AH$3&lt;Projects!$C$45+Projects!$D$45),Projects!$B$45*INDEX(Curves!$B$4:$AR$4,1,AH$3-Projects!$C$45+1),0)-IF(AND(Projects!$G$45="Yes",AH$3&gt;=Projects!$C$45,AH$3&lt;Projects!$C$45+Projects!$D$45),Projects!$B$45*(Assumptions!$B$10+Assumptions!$B$11+Assumptions!$B$12)/Projects!$D$45*0.95,0)-IF(AND(Projects!$G$45="Yes",AH$3=Projects!$C$45+Projects!$D$45-1),Projects!$B$45*(Assumptions!$B$10+Assumptions!$B$11+Assumptions!$B$12)*0.05,0)</f>
        <v/>
      </c>
      <c r="AI54" s="399">
        <f>IF(AND(Projects!$G$45="Yes",AI$3&gt;=Projects!$C$45,AI$3&lt;Projects!$C$45+Projects!$D$45),Projects!$B$45*INDEX(Curves!$B$4:$AR$4,1,AI$3-Projects!$C$45+1),0)-IF(AND(Projects!$G$45="Yes",AI$3&gt;=Projects!$C$45,AI$3&lt;Projects!$C$45+Projects!$D$45),Projects!$B$45*(Assumptions!$B$10+Assumptions!$B$11+Assumptions!$B$12)/Projects!$D$45*0.95,0)-IF(AND(Projects!$G$45="Yes",AI$3=Projects!$C$45+Projects!$D$45-1),Projects!$B$45*(Assumptions!$B$10+Assumptions!$B$11+Assumptions!$B$12)*0.05,0)</f>
        <v/>
      </c>
      <c r="AJ54" s="399">
        <f>IF(AND(Projects!$G$45="Yes",AJ$3&gt;=Projects!$C$45,AJ$3&lt;Projects!$C$45+Projects!$D$45),Projects!$B$45*INDEX(Curves!$B$4:$AR$4,1,AJ$3-Projects!$C$45+1),0)-IF(AND(Projects!$G$45="Yes",AJ$3&gt;=Projects!$C$45,AJ$3&lt;Projects!$C$45+Projects!$D$45),Projects!$B$45*(Assumptions!$B$10+Assumptions!$B$11+Assumptions!$B$12)/Projects!$D$45*0.95,0)-IF(AND(Projects!$G$45="Yes",AJ$3=Projects!$C$45+Projects!$D$45-1),Projects!$B$45*(Assumptions!$B$10+Assumptions!$B$11+Assumptions!$B$12)*0.05,0)</f>
        <v/>
      </c>
      <c r="AK54" s="399">
        <f>IF(AND(Projects!$G$45="Yes",AK$3&gt;=Projects!$C$45,AK$3&lt;Projects!$C$45+Projects!$D$45),Projects!$B$45*INDEX(Curves!$B$4:$AR$4,1,AK$3-Projects!$C$45+1),0)-IF(AND(Projects!$G$45="Yes",AK$3&gt;=Projects!$C$45,AK$3&lt;Projects!$C$45+Projects!$D$45),Projects!$B$45*(Assumptions!$B$10+Assumptions!$B$11+Assumptions!$B$12)/Projects!$D$45*0.95,0)-IF(AND(Projects!$G$45="Yes",AK$3=Projects!$C$45+Projects!$D$45-1),Projects!$B$45*(Assumptions!$B$10+Assumptions!$B$11+Assumptions!$B$12)*0.05,0)</f>
        <v/>
      </c>
      <c r="AL54" s="399">
        <f>IF(AND(Projects!$G$45="Yes",AL$3&gt;=Projects!$C$45,AL$3&lt;Projects!$C$45+Projects!$D$45),Projects!$B$45*INDEX(Curves!$B$4:$AR$4,1,AL$3-Projects!$C$45+1),0)-IF(AND(Projects!$G$45="Yes",AL$3&gt;=Projects!$C$45,AL$3&lt;Projects!$C$45+Projects!$D$45),Projects!$B$45*(Assumptions!$B$10+Assumptions!$B$11+Assumptions!$B$12)/Projects!$D$45*0.95,0)-IF(AND(Projects!$G$45="Yes",AL$3=Projects!$C$45+Projects!$D$45-1),Projects!$B$45*(Assumptions!$B$10+Assumptions!$B$11+Assumptions!$B$12)*0.05,0)</f>
        <v/>
      </c>
      <c r="AM54" s="399">
        <f>IF(AND(Projects!$G$45="Yes",AM$3&gt;=Projects!$C$45,AM$3&lt;Projects!$C$45+Projects!$D$45),Projects!$B$45*INDEX(Curves!$B$4:$AR$4,1,AM$3-Projects!$C$45+1),0)-IF(AND(Projects!$G$45="Yes",AM$3&gt;=Projects!$C$45,AM$3&lt;Projects!$C$45+Projects!$D$45),Projects!$B$45*(Assumptions!$B$10+Assumptions!$B$11+Assumptions!$B$12)/Projects!$D$45*0.95,0)-IF(AND(Projects!$G$45="Yes",AM$3=Projects!$C$45+Projects!$D$45-1),Projects!$B$45*(Assumptions!$B$10+Assumptions!$B$11+Assumptions!$B$12)*0.05,0)</f>
        <v/>
      </c>
      <c r="AN54" s="399">
        <f>IF(AND(Projects!$G$45="Yes",AN$3&gt;=Projects!$C$45,AN$3&lt;Projects!$C$45+Projects!$D$45),Projects!$B$45*INDEX(Curves!$B$4:$AR$4,1,AN$3-Projects!$C$45+1),0)-IF(AND(Projects!$G$45="Yes",AN$3&gt;=Projects!$C$45,AN$3&lt;Projects!$C$45+Projects!$D$45),Projects!$B$45*(Assumptions!$B$10+Assumptions!$B$11+Assumptions!$B$12)/Projects!$D$45*0.95,0)-IF(AND(Projects!$G$45="Yes",AN$3=Projects!$C$45+Projects!$D$45-1),Projects!$B$45*(Assumptions!$B$10+Assumptions!$B$11+Assumptions!$B$12)*0.05,0)</f>
        <v/>
      </c>
      <c r="AO54" s="399">
        <f>IF(AND(Projects!$G$45="Yes",AO$3&gt;=Projects!$C$45,AO$3&lt;Projects!$C$45+Projects!$D$45),Projects!$B$45*INDEX(Curves!$B$4:$AR$4,1,AO$3-Projects!$C$45+1),0)-IF(AND(Projects!$G$45="Yes",AO$3&gt;=Projects!$C$45,AO$3&lt;Projects!$C$45+Projects!$D$45),Projects!$B$45*(Assumptions!$B$10+Assumptions!$B$11+Assumptions!$B$12)/Projects!$D$45*0.95,0)-IF(AND(Projects!$G$45="Yes",AO$3=Projects!$C$45+Projects!$D$45-1),Projects!$B$45*(Assumptions!$B$10+Assumptions!$B$11+Assumptions!$B$12)*0.05,0)</f>
        <v/>
      </c>
      <c r="AP54" s="399">
        <f>IF(AND(Projects!$G$45="Yes",AP$3&gt;=Projects!$C$45,AP$3&lt;Projects!$C$45+Projects!$D$45),Projects!$B$45*INDEX(Curves!$B$4:$AR$4,1,AP$3-Projects!$C$45+1),0)-IF(AND(Projects!$G$45="Yes",AP$3&gt;=Projects!$C$45,AP$3&lt;Projects!$C$45+Projects!$D$45),Projects!$B$45*(Assumptions!$B$10+Assumptions!$B$11+Assumptions!$B$12)/Projects!$D$45*0.95,0)-IF(AND(Projects!$G$45="Yes",AP$3=Projects!$C$45+Projects!$D$45-1),Projects!$B$45*(Assumptions!$B$10+Assumptions!$B$11+Assumptions!$B$12)*0.05,0)</f>
        <v/>
      </c>
      <c r="AQ54" s="399">
        <f>IF(AND(Projects!$G$45="Yes",AQ$3&gt;=Projects!$C$45,AQ$3&lt;Projects!$C$45+Projects!$D$45),Projects!$B$45*INDEX(Curves!$B$4:$AR$4,1,AQ$3-Projects!$C$45+1),0)-IF(AND(Projects!$G$45="Yes",AQ$3&gt;=Projects!$C$45,AQ$3&lt;Projects!$C$45+Projects!$D$45),Projects!$B$45*(Assumptions!$B$10+Assumptions!$B$11+Assumptions!$B$12)/Projects!$D$45*0.95,0)-IF(AND(Projects!$G$45="Yes",AQ$3=Projects!$C$45+Projects!$D$45-1),Projects!$B$45*(Assumptions!$B$10+Assumptions!$B$11+Assumptions!$B$12)*0.05,0)</f>
        <v/>
      </c>
      <c r="AR54" s="399">
        <f>IF(AND(Projects!$G$45="Yes",AR$3&gt;=Projects!$C$45,AR$3&lt;Projects!$C$45+Projects!$D$45),Projects!$B$45*INDEX(Curves!$B$4:$AR$4,1,AR$3-Projects!$C$45+1),0)-IF(AND(Projects!$G$45="Yes",AR$3&gt;=Projects!$C$45,AR$3&lt;Projects!$C$45+Projects!$D$45),Projects!$B$45*(Assumptions!$B$10+Assumptions!$B$11+Assumptions!$B$12)/Projects!$D$45*0.95,0)-IF(AND(Projects!$G$45="Yes",AR$3=Projects!$C$45+Projects!$D$45-1),Projects!$B$45*(Assumptions!$B$10+Assumptions!$B$11+Assumptions!$B$12)*0.05,0)</f>
        <v/>
      </c>
      <c r="AS54" s="399">
        <f>IF(AND(Projects!$G$45="Yes",AS$3&gt;=Projects!$C$45,AS$3&lt;Projects!$C$45+Projects!$D$45),Projects!$B$45*INDEX(Curves!$B$4:$AR$4,1,AS$3-Projects!$C$45+1),0)-IF(AND(Projects!$G$45="Yes",AS$3&gt;=Projects!$C$45,AS$3&lt;Projects!$C$45+Projects!$D$45),Projects!$B$45*(Assumptions!$B$10+Assumptions!$B$11+Assumptions!$B$12)/Projects!$D$45*0.95,0)-IF(AND(Projects!$G$45="Yes",AS$3=Projects!$C$45+Projects!$D$45-1),Projects!$B$45*(Assumptions!$B$10+Assumptions!$B$11+Assumptions!$B$12)*0.05,0)</f>
        <v/>
      </c>
      <c r="AT54" s="399">
        <f>IF(AND(Projects!$G$45="Yes",AT$3&gt;=Projects!$C$45,AT$3&lt;Projects!$C$45+Projects!$D$45),Projects!$B$45*INDEX(Curves!$B$4:$AR$4,1,AT$3-Projects!$C$45+1),0)-IF(AND(Projects!$G$45="Yes",AT$3&gt;=Projects!$C$45,AT$3&lt;Projects!$C$45+Projects!$D$45),Projects!$B$45*(Assumptions!$B$10+Assumptions!$B$11+Assumptions!$B$12)/Projects!$D$45*0.95,0)-IF(AND(Projects!$G$45="Yes",AT$3=Projects!$C$45+Projects!$D$45-1),Projects!$B$45*(Assumptions!$B$10+Assumptions!$B$11+Assumptions!$B$12)*0.05,0)</f>
        <v/>
      </c>
      <c r="AU54" s="399">
        <f>IF(AND(Projects!$G$45="Yes",AU$3&gt;=Projects!$C$45,AU$3&lt;Projects!$C$45+Projects!$D$45),Projects!$B$45*INDEX(Curves!$B$4:$AR$4,1,AU$3-Projects!$C$45+1),0)-IF(AND(Projects!$G$45="Yes",AU$3&gt;=Projects!$C$45,AU$3&lt;Projects!$C$45+Projects!$D$45),Projects!$B$45*(Assumptions!$B$10+Assumptions!$B$11+Assumptions!$B$12)/Projects!$D$45*0.95,0)-IF(AND(Projects!$G$45="Yes",AU$3=Projects!$C$45+Projects!$D$45-1),Projects!$B$45*(Assumptions!$B$10+Assumptions!$B$11+Assumptions!$B$12)*0.05,0)</f>
        <v/>
      </c>
      <c r="AV54" s="399">
        <f>IF(AND(Projects!$G$45="Yes",AV$3&gt;=Projects!$C$45,AV$3&lt;Projects!$C$45+Projects!$D$45),Projects!$B$45*INDEX(Curves!$B$4:$AR$4,1,AV$3-Projects!$C$45+1),0)-IF(AND(Projects!$G$45="Yes",AV$3&gt;=Projects!$C$45,AV$3&lt;Projects!$C$45+Projects!$D$45),Projects!$B$45*(Assumptions!$B$10+Assumptions!$B$11+Assumptions!$B$12)/Projects!$D$45*0.95,0)-IF(AND(Projects!$G$45="Yes",AV$3=Projects!$C$45+Projects!$D$45-1),Projects!$B$45*(Assumptions!$B$10+Assumptions!$B$11+Assumptions!$B$12)*0.05,0)</f>
        <v/>
      </c>
      <c r="AW54" s="399">
        <f>IF(AND(Projects!$G$45="Yes",AW$3&gt;=Projects!$C$45,AW$3&lt;Projects!$C$45+Projects!$D$45),Projects!$B$45*INDEX(Curves!$B$4:$AR$4,1,AW$3-Projects!$C$45+1),0)-IF(AND(Projects!$G$45="Yes",AW$3&gt;=Projects!$C$45,AW$3&lt;Projects!$C$45+Projects!$D$45),Projects!$B$45*(Assumptions!$B$10+Assumptions!$B$11+Assumptions!$B$12)/Projects!$D$45*0.95,0)-IF(AND(Projects!$G$45="Yes",AW$3=Projects!$C$45+Projects!$D$45-1),Projects!$B$45*(Assumptions!$B$10+Assumptions!$B$11+Assumptions!$B$12)*0.05,0)</f>
        <v/>
      </c>
      <c r="AX54" s="399">
        <f>IF(AND(Projects!$G$45="Yes",AX$3&gt;=Projects!$C$45,AX$3&lt;Projects!$C$45+Projects!$D$45),Projects!$B$45*INDEX(Curves!$B$4:$AR$4,1,AX$3-Projects!$C$45+1),0)-IF(AND(Projects!$G$45="Yes",AX$3&gt;=Projects!$C$45,AX$3&lt;Projects!$C$45+Projects!$D$45),Projects!$B$45*(Assumptions!$B$10+Assumptions!$B$11+Assumptions!$B$12)/Projects!$D$45*0.95,0)-IF(AND(Projects!$G$45="Yes",AX$3=Projects!$C$45+Projects!$D$45-1),Projects!$B$45*(Assumptions!$B$10+Assumptions!$B$11+Assumptions!$B$12)*0.05,0)</f>
        <v/>
      </c>
      <c r="AY54" s="399">
        <f>IF(AND(Projects!$G$45="Yes",AY$3&gt;=Projects!$C$45,AY$3&lt;Projects!$C$45+Projects!$D$45),Projects!$B$45*INDEX(Curves!$B$4:$AR$4,1,AY$3-Projects!$C$45+1),0)-IF(AND(Projects!$G$45="Yes",AY$3&gt;=Projects!$C$45,AY$3&lt;Projects!$C$45+Projects!$D$45),Projects!$B$45*(Assumptions!$B$10+Assumptions!$B$11+Assumptions!$B$12)/Projects!$D$45*0.95,0)-IF(AND(Projects!$G$45="Yes",AY$3=Projects!$C$45+Projects!$D$45-1),Projects!$B$45*(Assumptions!$B$10+Assumptions!$B$11+Assumptions!$B$12)*0.05,0)</f>
        <v/>
      </c>
      <c r="AZ54" s="399">
        <f>IF(AND(Projects!$G$45="Yes",AZ$3&gt;=Projects!$C$45,AZ$3&lt;Projects!$C$45+Projects!$D$45),Projects!$B$45*INDEX(Curves!$B$4:$AR$4,1,AZ$3-Projects!$C$45+1),0)-IF(AND(Projects!$G$45="Yes",AZ$3&gt;=Projects!$C$45,AZ$3&lt;Projects!$C$45+Projects!$D$45),Projects!$B$45*(Assumptions!$B$10+Assumptions!$B$11+Assumptions!$B$12)/Projects!$D$45*0.95,0)-IF(AND(Projects!$G$45="Yes",AZ$3=Projects!$C$45+Projects!$D$45-1),Projects!$B$45*(Assumptions!$B$10+Assumptions!$B$11+Assumptions!$B$12)*0.05,0)</f>
        <v/>
      </c>
      <c r="BA54" s="399">
        <f>IF(AND(Projects!$G$45="Yes",BA$3&gt;=Projects!$C$45,BA$3&lt;Projects!$C$45+Projects!$D$45),Projects!$B$45*INDEX(Curves!$B$4:$AR$4,1,BA$3-Projects!$C$45+1),0)-IF(AND(Projects!$G$45="Yes",BA$3&gt;=Projects!$C$45,BA$3&lt;Projects!$C$45+Projects!$D$45),Projects!$B$45*(Assumptions!$B$10+Assumptions!$B$11+Assumptions!$B$12)/Projects!$D$45*0.95,0)-IF(AND(Projects!$G$45="Yes",BA$3=Projects!$C$45+Projects!$D$45-1),Projects!$B$45*(Assumptions!$B$10+Assumptions!$B$11+Assumptions!$B$12)*0.05,0)</f>
        <v/>
      </c>
      <c r="BB54" s="399">
        <f>IF(AND(Projects!$G$45="Yes",BB$3&gt;=Projects!$C$45,BB$3&lt;Projects!$C$45+Projects!$D$45),Projects!$B$45*INDEX(Curves!$B$4:$AR$4,1,BB$3-Projects!$C$45+1),0)-IF(AND(Projects!$G$45="Yes",BB$3&gt;=Projects!$C$45,BB$3&lt;Projects!$C$45+Projects!$D$45),Projects!$B$45*(Assumptions!$B$10+Assumptions!$B$11+Assumptions!$B$12)/Projects!$D$45*0.95,0)-IF(AND(Projects!$G$45="Yes",BB$3=Projects!$C$45+Projects!$D$45-1),Projects!$B$45*(Assumptions!$B$10+Assumptions!$B$11+Assumptions!$B$12)*0.05,0)</f>
        <v/>
      </c>
      <c r="BC54" s="399">
        <f>IF(AND(Projects!$G$45="Yes",BC$3&gt;=Projects!$C$45,BC$3&lt;Projects!$C$45+Projects!$D$45),Projects!$B$45*INDEX(Curves!$B$4:$AR$4,1,BC$3-Projects!$C$45+1),0)-IF(AND(Projects!$G$45="Yes",BC$3&gt;=Projects!$C$45,BC$3&lt;Projects!$C$45+Projects!$D$45),Projects!$B$45*(Assumptions!$B$10+Assumptions!$B$11+Assumptions!$B$12)/Projects!$D$45*0.95,0)-IF(AND(Projects!$G$45="Yes",BC$3=Projects!$C$45+Projects!$D$45-1),Projects!$B$45*(Assumptions!$B$10+Assumptions!$B$11+Assumptions!$B$12)*0.05,0)</f>
        <v/>
      </c>
      <c r="BD54" s="399">
        <f>IF(AND(Projects!$G$45="Yes",BD$3&gt;=Projects!$C$45,BD$3&lt;Projects!$C$45+Projects!$D$45),Projects!$B$45*INDEX(Curves!$B$4:$AR$4,1,BD$3-Projects!$C$45+1),0)-IF(AND(Projects!$G$45="Yes",BD$3&gt;=Projects!$C$45,BD$3&lt;Projects!$C$45+Projects!$D$45),Projects!$B$45*(Assumptions!$B$10+Assumptions!$B$11+Assumptions!$B$12)/Projects!$D$45*0.95,0)-IF(AND(Projects!$G$45="Yes",BD$3=Projects!$C$45+Projects!$D$45-1),Projects!$B$45*(Assumptions!$B$10+Assumptions!$B$11+Assumptions!$B$12)*0.05,0)</f>
        <v/>
      </c>
      <c r="BE54" s="399">
        <f>IF(AND(Projects!$G$45="Yes",BE$3&gt;=Projects!$C$45,BE$3&lt;Projects!$C$45+Projects!$D$45),Projects!$B$45*INDEX(Curves!$B$4:$AR$4,1,BE$3-Projects!$C$45+1),0)-IF(AND(Projects!$G$45="Yes",BE$3&gt;=Projects!$C$45,BE$3&lt;Projects!$C$45+Projects!$D$45),Projects!$B$45*(Assumptions!$B$10+Assumptions!$B$11+Assumptions!$B$12)/Projects!$D$45*0.95,0)-IF(AND(Projects!$G$45="Yes",BE$3=Projects!$C$45+Projects!$D$45-1),Projects!$B$45*(Assumptions!$B$10+Assumptions!$B$11+Assumptions!$B$12)*0.05,0)</f>
        <v/>
      </c>
      <c r="BF54" s="399">
        <f>IF(AND(Projects!$G$45="Yes",BF$3&gt;=Projects!$C$45,BF$3&lt;Projects!$C$45+Projects!$D$45),Projects!$B$45*INDEX(Curves!$B$4:$AR$4,1,BF$3-Projects!$C$45+1),0)-IF(AND(Projects!$G$45="Yes",BF$3&gt;=Projects!$C$45,BF$3&lt;Projects!$C$45+Projects!$D$45),Projects!$B$45*(Assumptions!$B$10+Assumptions!$B$11+Assumptions!$B$12)/Projects!$D$45*0.95,0)-IF(AND(Projects!$G$45="Yes",BF$3=Projects!$C$45+Projects!$D$45-1),Projects!$B$45*(Assumptions!$B$10+Assumptions!$B$11+Assumptions!$B$12)*0.05,0)</f>
        <v/>
      </c>
      <c r="BG54" s="399">
        <f>IF(AND(Projects!$G$45="Yes",BG$3&gt;=Projects!$C$45,BG$3&lt;Projects!$C$45+Projects!$D$45),Projects!$B$45*INDEX(Curves!$B$4:$AR$4,1,BG$3-Projects!$C$45+1),0)-IF(AND(Projects!$G$45="Yes",BG$3&gt;=Projects!$C$45,BG$3&lt;Projects!$C$45+Projects!$D$45),Projects!$B$45*(Assumptions!$B$10+Assumptions!$B$11+Assumptions!$B$12)/Projects!$D$45*0.95,0)-IF(AND(Projects!$G$45="Yes",BG$3=Projects!$C$45+Projects!$D$45-1),Projects!$B$45*(Assumptions!$B$10+Assumptions!$B$11+Assumptions!$B$12)*0.05,0)</f>
        <v/>
      </c>
      <c r="BH54" s="399">
        <f>IF(AND(Projects!$G$45="Yes",BH$3&gt;=Projects!$C$45,BH$3&lt;Projects!$C$45+Projects!$D$45),Projects!$B$45*INDEX(Curves!$B$4:$AR$4,1,BH$3-Projects!$C$45+1),0)-IF(AND(Projects!$G$45="Yes",BH$3&gt;=Projects!$C$45,BH$3&lt;Projects!$C$45+Projects!$D$45),Projects!$B$45*(Assumptions!$B$10+Assumptions!$B$11+Assumptions!$B$12)/Projects!$D$45*0.95,0)-IF(AND(Projects!$G$45="Yes",BH$3=Projects!$C$45+Projects!$D$45-1),Projects!$B$45*(Assumptions!$B$10+Assumptions!$B$11+Assumptions!$B$12)*0.05,0)</f>
        <v/>
      </c>
      <c r="BI54" s="399">
        <f>IF(AND(Projects!$G$45="Yes",BI$3&gt;=Projects!$C$45,BI$3&lt;Projects!$C$45+Projects!$D$45),Projects!$B$45*INDEX(Curves!$B$4:$AR$4,1,BI$3-Projects!$C$45+1),0)-IF(AND(Projects!$G$45="Yes",BI$3&gt;=Projects!$C$45,BI$3&lt;Projects!$C$45+Projects!$D$45),Projects!$B$45*(Assumptions!$B$10+Assumptions!$B$11+Assumptions!$B$12)/Projects!$D$45*0.95,0)-IF(AND(Projects!$G$45="Yes",BI$3=Projects!$C$45+Projects!$D$45-1),Projects!$B$45*(Assumptions!$B$10+Assumptions!$B$11+Assumptions!$B$12)*0.05,0)</f>
        <v/>
      </c>
      <c r="BJ54" s="399">
        <f>IF(AND(Projects!$G$45="Yes",BJ$3&gt;=Projects!$C$45,BJ$3&lt;Projects!$C$45+Projects!$D$45),Projects!$B$45*INDEX(Curves!$B$4:$AR$4,1,BJ$3-Projects!$C$45+1),0)-IF(AND(Projects!$G$45="Yes",BJ$3&gt;=Projects!$C$45,BJ$3&lt;Projects!$C$45+Projects!$D$45),Projects!$B$45*(Assumptions!$B$10+Assumptions!$B$11+Assumptions!$B$12)/Projects!$D$45*0.95,0)-IF(AND(Projects!$G$45="Yes",BJ$3=Projects!$C$45+Projects!$D$45-1),Projects!$B$45*(Assumptions!$B$10+Assumptions!$B$11+Assumptions!$B$12)*0.05,0)</f>
        <v/>
      </c>
      <c r="BK54" s="399">
        <f>IF(AND(Projects!$G$45="Yes",BK$3&gt;=Projects!$C$45,BK$3&lt;Projects!$C$45+Projects!$D$45),Projects!$B$45*INDEX(Curves!$B$4:$AR$4,1,BK$3-Projects!$C$45+1),0)-IF(AND(Projects!$G$45="Yes",BK$3&gt;=Projects!$C$45,BK$3&lt;Projects!$C$45+Projects!$D$45),Projects!$B$45*(Assumptions!$B$10+Assumptions!$B$11+Assumptions!$B$12)/Projects!$D$45*0.95,0)-IF(AND(Projects!$G$45="Yes",BK$3=Projects!$C$45+Projects!$D$45-1),Projects!$B$45*(Assumptions!$B$10+Assumptions!$B$11+Assumptions!$B$12)*0.05,0)</f>
        <v/>
      </c>
      <c r="BL54" s="399">
        <f>IF(AND(Projects!$G$45="Yes",BL$3&gt;=Projects!$C$45,BL$3&lt;Projects!$C$45+Projects!$D$45),Projects!$B$45*INDEX(Curves!$B$4:$AR$4,1,BL$3-Projects!$C$45+1),0)-IF(AND(Projects!$G$45="Yes",BL$3&gt;=Projects!$C$45,BL$3&lt;Projects!$C$45+Projects!$D$45),Projects!$B$45*(Assumptions!$B$10+Assumptions!$B$11+Assumptions!$B$12)/Projects!$D$45*0.95,0)-IF(AND(Projects!$G$45="Yes",BL$3=Projects!$C$45+Projects!$D$45-1),Projects!$B$45*(Assumptions!$B$10+Assumptions!$B$11+Assumptions!$B$12)*0.05,0)</f>
        <v/>
      </c>
      <c r="BM54" s="399">
        <f>IF(AND(Projects!$G$45="Yes",BM$3&gt;=Projects!$C$45,BM$3&lt;Projects!$C$45+Projects!$D$45),Projects!$B$45*INDEX(Curves!$B$4:$AR$4,1,BM$3-Projects!$C$45+1),0)-IF(AND(Projects!$G$45="Yes",BM$3&gt;=Projects!$C$45,BM$3&lt;Projects!$C$45+Projects!$D$45),Projects!$B$45*(Assumptions!$B$10+Assumptions!$B$11+Assumptions!$B$12)/Projects!$D$45*0.95,0)-IF(AND(Projects!$G$45="Yes",BM$3=Projects!$C$45+Projects!$D$45-1),Projects!$B$45*(Assumptions!$B$10+Assumptions!$B$11+Assumptions!$B$12)*0.05,0)</f>
        <v/>
      </c>
      <c r="BN54" s="399">
        <f>IF(AND(Projects!$G$45="Yes",BN$3&gt;=Projects!$C$45,BN$3&lt;Projects!$C$45+Projects!$D$45),Projects!$B$45*INDEX(Curves!$B$4:$AR$4,1,BN$3-Projects!$C$45+1),0)-IF(AND(Projects!$G$45="Yes",BN$3&gt;=Projects!$C$45,BN$3&lt;Projects!$C$45+Projects!$D$45),Projects!$B$45*(Assumptions!$B$10+Assumptions!$B$11+Assumptions!$B$12)/Projects!$D$45*0.95,0)-IF(AND(Projects!$G$45="Yes",BN$3=Projects!$C$45+Projects!$D$45-1),Projects!$B$45*(Assumptions!$B$10+Assumptions!$B$11+Assumptions!$B$12)*0.05,0)</f>
        <v/>
      </c>
      <c r="BO54" s="399">
        <f>IF(AND(Projects!$G$45="Yes",BO$3&gt;=Projects!$C$45,BO$3&lt;Projects!$C$45+Projects!$D$45),Projects!$B$45*INDEX(Curves!$B$4:$AR$4,1,BO$3-Projects!$C$45+1),0)-IF(AND(Projects!$G$45="Yes",BO$3&gt;=Projects!$C$45,BO$3&lt;Projects!$C$45+Projects!$D$45),Projects!$B$45*(Assumptions!$B$10+Assumptions!$B$11+Assumptions!$B$12)/Projects!$D$45*0.95,0)-IF(AND(Projects!$G$45="Yes",BO$3=Projects!$C$45+Projects!$D$45-1),Projects!$B$45*(Assumptions!$B$10+Assumptions!$B$11+Assumptions!$B$12)*0.05,0)</f>
        <v/>
      </c>
      <c r="BP54" s="399">
        <f>IF(AND(Projects!$G$45="Yes",BP$3&gt;=Projects!$C$45,BP$3&lt;Projects!$C$45+Projects!$D$45),Projects!$B$45*INDEX(Curves!$B$4:$AR$4,1,BP$3-Projects!$C$45+1),0)-IF(AND(Projects!$G$45="Yes",BP$3&gt;=Projects!$C$45,BP$3&lt;Projects!$C$45+Projects!$D$45),Projects!$B$45*(Assumptions!$B$10+Assumptions!$B$11+Assumptions!$B$12)/Projects!$D$45*0.95,0)-IF(AND(Projects!$G$45="Yes",BP$3=Projects!$C$45+Projects!$D$45-1),Projects!$B$45*(Assumptions!$B$10+Assumptions!$B$11+Assumptions!$B$12)*0.05,0)</f>
        <v/>
      </c>
      <c r="BQ54" s="399">
        <f>IF(AND(Projects!$G$45="Yes",BQ$3&gt;=Projects!$C$45,BQ$3&lt;Projects!$C$45+Projects!$D$45),Projects!$B$45*INDEX(Curves!$B$4:$AR$4,1,BQ$3-Projects!$C$45+1),0)-IF(AND(Projects!$G$45="Yes",BQ$3&gt;=Projects!$C$45,BQ$3&lt;Projects!$C$45+Projects!$D$45),Projects!$B$45*(Assumptions!$B$10+Assumptions!$B$11+Assumptions!$B$12)/Projects!$D$45*0.95,0)-IF(AND(Projects!$G$45="Yes",BQ$3=Projects!$C$45+Projects!$D$45-1),Projects!$B$45*(Assumptions!$B$10+Assumptions!$B$11+Assumptions!$B$12)*0.05,0)</f>
        <v/>
      </c>
      <c r="BR54" s="399">
        <f>IF(AND(Projects!$G$45="Yes",BR$3&gt;=Projects!$C$45,BR$3&lt;Projects!$C$45+Projects!$D$45),Projects!$B$45*INDEX(Curves!$B$4:$AR$4,1,BR$3-Projects!$C$45+1),0)-IF(AND(Projects!$G$45="Yes",BR$3&gt;=Projects!$C$45,BR$3&lt;Projects!$C$45+Projects!$D$45),Projects!$B$45*(Assumptions!$B$10+Assumptions!$B$11+Assumptions!$B$12)/Projects!$D$45*0.95,0)-IF(AND(Projects!$G$45="Yes",BR$3=Projects!$C$45+Projects!$D$45-1),Projects!$B$45*(Assumptions!$B$10+Assumptions!$B$11+Assumptions!$B$12)*0.05,0)</f>
        <v/>
      </c>
      <c r="BS54" s="399">
        <f>IF(AND(Projects!$G$45="Yes",BS$3&gt;=Projects!$C$45,BS$3&lt;Projects!$C$45+Projects!$D$45),Projects!$B$45*INDEX(Curves!$B$4:$AR$4,1,BS$3-Projects!$C$45+1),0)-IF(AND(Projects!$G$45="Yes",BS$3&gt;=Projects!$C$45,BS$3&lt;Projects!$C$45+Projects!$D$45),Projects!$B$45*(Assumptions!$B$10+Assumptions!$B$11+Assumptions!$B$12)/Projects!$D$45*0.95,0)-IF(AND(Projects!$G$45="Yes",BS$3=Projects!$C$45+Projects!$D$45-1),Projects!$B$45*(Assumptions!$B$10+Assumptions!$B$11+Assumptions!$B$12)*0.05,0)</f>
        <v/>
      </c>
      <c r="BT54" s="399">
        <f>IF(AND(Projects!$G$45="Yes",BT$3&gt;=Projects!$C$45,BT$3&lt;Projects!$C$45+Projects!$D$45),Projects!$B$45*INDEX(Curves!$B$4:$AR$4,1,BT$3-Projects!$C$45+1),0)-IF(AND(Projects!$G$45="Yes",BT$3&gt;=Projects!$C$45,BT$3&lt;Projects!$C$45+Projects!$D$45),Projects!$B$45*(Assumptions!$B$10+Assumptions!$B$11+Assumptions!$B$12)/Projects!$D$45*0.95,0)-IF(AND(Projects!$G$45="Yes",BT$3=Projects!$C$45+Projects!$D$45-1),Projects!$B$45*(Assumptions!$B$10+Assumptions!$B$11+Assumptions!$B$12)*0.05,0)</f>
        <v/>
      </c>
      <c r="BU54" s="399">
        <f>IF(AND(Projects!$G$45="Yes",BU$3&gt;=Projects!$C$45,BU$3&lt;Projects!$C$45+Projects!$D$45),Projects!$B$45*INDEX(Curves!$B$4:$AR$4,1,BU$3-Projects!$C$45+1),0)-IF(AND(Projects!$G$45="Yes",BU$3&gt;=Projects!$C$45,BU$3&lt;Projects!$C$45+Projects!$D$45),Projects!$B$45*(Assumptions!$B$10+Assumptions!$B$11+Assumptions!$B$12)/Projects!$D$45*0.95,0)-IF(AND(Projects!$G$45="Yes",BU$3=Projects!$C$45+Projects!$D$45-1),Projects!$B$45*(Assumptions!$B$10+Assumptions!$B$11+Assumptions!$B$12)*0.05,0)</f>
        <v/>
      </c>
      <c r="BV54" s="399">
        <f>IF(AND(Projects!$G$45="Yes",BV$3&gt;=Projects!$C$45,BV$3&lt;Projects!$C$45+Projects!$D$45),Projects!$B$45*INDEX(Curves!$B$4:$AR$4,1,BV$3-Projects!$C$45+1),0)-IF(AND(Projects!$G$45="Yes",BV$3&gt;=Projects!$C$45,BV$3&lt;Projects!$C$45+Projects!$D$45),Projects!$B$45*(Assumptions!$B$10+Assumptions!$B$11+Assumptions!$B$12)/Projects!$D$45*0.95,0)-IF(AND(Projects!$G$45="Yes",BV$3=Projects!$C$45+Projects!$D$45-1),Projects!$B$45*(Assumptions!$B$10+Assumptions!$B$11+Assumptions!$B$12)*0.05,0)</f>
        <v/>
      </c>
      <c r="BW54" s="399">
        <f>IF(AND(Projects!$G$45="Yes",BW$3&gt;=Projects!$C$45,BW$3&lt;Projects!$C$45+Projects!$D$45),Projects!$B$45*INDEX(Curves!$B$4:$AR$4,1,BW$3-Projects!$C$45+1),0)-IF(AND(Projects!$G$45="Yes",BW$3&gt;=Projects!$C$45,BW$3&lt;Projects!$C$45+Projects!$D$45),Projects!$B$45*(Assumptions!$B$10+Assumptions!$B$11+Assumptions!$B$12)/Projects!$D$45*0.95,0)-IF(AND(Projects!$G$45="Yes",BW$3=Projects!$C$45+Projects!$D$45-1),Projects!$B$45*(Assumptions!$B$10+Assumptions!$B$11+Assumptions!$B$12)*0.05,0)</f>
        <v/>
      </c>
      <c r="BX54" s="399">
        <f>IF(AND(Projects!$G$45="Yes",BX$3&gt;=Projects!$C$45,BX$3&lt;Projects!$C$45+Projects!$D$45),Projects!$B$45*INDEX(Curves!$B$4:$AR$4,1,BX$3-Projects!$C$45+1),0)-IF(AND(Projects!$G$45="Yes",BX$3&gt;=Projects!$C$45,BX$3&lt;Projects!$C$45+Projects!$D$45),Projects!$B$45*(Assumptions!$B$10+Assumptions!$B$11+Assumptions!$B$12)/Projects!$D$45*0.95,0)-IF(AND(Projects!$G$45="Yes",BX$3=Projects!$C$45+Projects!$D$45-1),Projects!$B$45*(Assumptions!$B$10+Assumptions!$B$11+Assumptions!$B$12)*0.05,0)</f>
        <v/>
      </c>
      <c r="BY54" s="399">
        <f>IF(AND(Projects!$G$45="Yes",BY$3&gt;=Projects!$C$45,BY$3&lt;Projects!$C$45+Projects!$D$45),Projects!$B$45*INDEX(Curves!$B$4:$AR$4,1,BY$3-Projects!$C$45+1),0)-IF(AND(Projects!$G$45="Yes",BY$3&gt;=Projects!$C$45,BY$3&lt;Projects!$C$45+Projects!$D$45),Projects!$B$45*(Assumptions!$B$10+Assumptions!$B$11+Assumptions!$B$12)/Projects!$D$45*0.95,0)-IF(AND(Projects!$G$45="Yes",BY$3=Projects!$C$45+Projects!$D$45-1),Projects!$B$45*(Assumptions!$B$10+Assumptions!$B$11+Assumptions!$B$12)*0.05,0)</f>
        <v/>
      </c>
      <c r="BZ54" s="399">
        <f>IF(AND(Projects!$G$45="Yes",BZ$3&gt;=Projects!$C$45,BZ$3&lt;Projects!$C$45+Projects!$D$45),Projects!$B$45*INDEX(Curves!$B$4:$AR$4,1,BZ$3-Projects!$C$45+1),0)-IF(AND(Projects!$G$45="Yes",BZ$3&gt;=Projects!$C$45,BZ$3&lt;Projects!$C$45+Projects!$D$45),Projects!$B$45*(Assumptions!$B$10+Assumptions!$B$11+Assumptions!$B$12)/Projects!$D$45*0.95,0)-IF(AND(Projects!$G$45="Yes",BZ$3=Projects!$C$45+Projects!$D$45-1),Projects!$B$45*(Assumptions!$B$10+Assumptions!$B$11+Assumptions!$B$12)*0.05,0)</f>
        <v/>
      </c>
      <c r="CA54" s="399">
        <f>IF(AND(Projects!$G$45="Yes",CA$3&gt;=Projects!$C$45,CA$3&lt;Projects!$C$45+Projects!$D$45),Projects!$B$45*INDEX(Curves!$B$4:$AR$4,1,CA$3-Projects!$C$45+1),0)-IF(AND(Projects!$G$45="Yes",CA$3&gt;=Projects!$C$45,CA$3&lt;Projects!$C$45+Projects!$D$45),Projects!$B$45*(Assumptions!$B$10+Assumptions!$B$11+Assumptions!$B$12)/Projects!$D$45*0.95,0)-IF(AND(Projects!$G$45="Yes",CA$3=Projects!$C$45+Projects!$D$45-1),Projects!$B$45*(Assumptions!$B$10+Assumptions!$B$11+Assumptions!$B$12)*0.05,0)</f>
        <v/>
      </c>
      <c r="CB54" s="399">
        <f>IF(AND(Projects!$G$45="Yes",CB$3&gt;=Projects!$C$45,CB$3&lt;Projects!$C$45+Projects!$D$45),Projects!$B$45*INDEX(Curves!$B$4:$AR$4,1,CB$3-Projects!$C$45+1),0)-IF(AND(Projects!$G$45="Yes",CB$3&gt;=Projects!$C$45,CB$3&lt;Projects!$C$45+Projects!$D$45),Projects!$B$45*(Assumptions!$B$10+Assumptions!$B$11+Assumptions!$B$12)/Projects!$D$45*0.95,0)-IF(AND(Projects!$G$45="Yes",CB$3=Projects!$C$45+Projects!$D$45-1),Projects!$B$45*(Assumptions!$B$10+Assumptions!$B$11+Assumptions!$B$12)*0.05,0)</f>
        <v/>
      </c>
      <c r="CC54" s="399">
        <f>IF(AND(Projects!$G$45="Yes",CC$3&gt;=Projects!$C$45,CC$3&lt;Projects!$C$45+Projects!$D$45),Projects!$B$45*INDEX(Curves!$B$4:$AR$4,1,CC$3-Projects!$C$45+1),0)-IF(AND(Projects!$G$45="Yes",CC$3&gt;=Projects!$C$45,CC$3&lt;Projects!$C$45+Projects!$D$45),Projects!$B$45*(Assumptions!$B$10+Assumptions!$B$11+Assumptions!$B$12)/Projects!$D$45*0.95,0)-IF(AND(Projects!$G$45="Yes",CC$3=Projects!$C$45+Projects!$D$45-1),Projects!$B$45*(Assumptions!$B$10+Assumptions!$B$11+Assumptions!$B$12)*0.05,0)</f>
        <v/>
      </c>
      <c r="CD54" s="399">
        <f>IF(AND(Projects!$G$45="Yes",CD$3&gt;=Projects!$C$45,CD$3&lt;Projects!$C$45+Projects!$D$45),Projects!$B$45*INDEX(Curves!$B$4:$AR$4,1,CD$3-Projects!$C$45+1),0)-IF(AND(Projects!$G$45="Yes",CD$3&gt;=Projects!$C$45,CD$3&lt;Projects!$C$45+Projects!$D$45),Projects!$B$45*(Assumptions!$B$10+Assumptions!$B$11+Assumptions!$B$12)/Projects!$D$45*0.95,0)-IF(AND(Projects!$G$45="Yes",CD$3=Projects!$C$45+Projects!$D$45-1),Projects!$B$45*(Assumptions!$B$10+Assumptions!$B$11+Assumptions!$B$12)*0.05,0)</f>
        <v/>
      </c>
      <c r="CE54" s="399">
        <f>IF(AND(Projects!$G$45="Yes",CE$3&gt;=Projects!$C$45,CE$3&lt;Projects!$C$45+Projects!$D$45),Projects!$B$45*INDEX(Curves!$B$4:$AR$4,1,CE$3-Projects!$C$45+1),0)-IF(AND(Projects!$G$45="Yes",CE$3&gt;=Projects!$C$45,CE$3&lt;Projects!$C$45+Projects!$D$45),Projects!$B$45*(Assumptions!$B$10+Assumptions!$B$11+Assumptions!$B$12)/Projects!$D$45*0.95,0)-IF(AND(Projects!$G$45="Yes",CE$3=Projects!$C$45+Projects!$D$45-1),Projects!$B$45*(Assumptions!$B$10+Assumptions!$B$11+Assumptions!$B$12)*0.05,0)</f>
        <v/>
      </c>
      <c r="CF54" s="399">
        <f>IF(AND(Projects!$G$45="Yes",CF$3&gt;=Projects!$C$45,CF$3&lt;Projects!$C$45+Projects!$D$45),Projects!$B$45*INDEX(Curves!$B$4:$AR$4,1,CF$3-Projects!$C$45+1),0)-IF(AND(Projects!$G$45="Yes",CF$3&gt;=Projects!$C$45,CF$3&lt;Projects!$C$45+Projects!$D$45),Projects!$B$45*(Assumptions!$B$10+Assumptions!$B$11+Assumptions!$B$12)/Projects!$D$45*0.95,0)-IF(AND(Projects!$G$45="Yes",CF$3=Projects!$C$45+Projects!$D$45-1),Projects!$B$45*(Assumptions!$B$10+Assumptions!$B$11+Assumptions!$B$12)*0.05,0)</f>
        <v/>
      </c>
      <c r="CG54" s="399">
        <f>IF(AND(Projects!$G$45="Yes",CG$3&gt;=Projects!$C$45,CG$3&lt;Projects!$C$45+Projects!$D$45),Projects!$B$45*INDEX(Curves!$B$4:$AR$4,1,CG$3-Projects!$C$45+1),0)-IF(AND(Projects!$G$45="Yes",CG$3&gt;=Projects!$C$45,CG$3&lt;Projects!$C$45+Projects!$D$45),Projects!$B$45*(Assumptions!$B$10+Assumptions!$B$11+Assumptions!$B$12)/Projects!$D$45*0.95,0)-IF(AND(Projects!$G$45="Yes",CG$3=Projects!$C$45+Projects!$D$45-1),Projects!$B$45*(Assumptions!$B$10+Assumptions!$B$11+Assumptions!$B$12)*0.05,0)</f>
        <v/>
      </c>
      <c r="CH54" s="399">
        <f>IF(AND(Projects!$G$45="Yes",CH$3&gt;=Projects!$C$45,CH$3&lt;Projects!$C$45+Projects!$D$45),Projects!$B$45*INDEX(Curves!$B$4:$AR$4,1,CH$3-Projects!$C$45+1),0)-IF(AND(Projects!$G$45="Yes",CH$3&gt;=Projects!$C$45,CH$3&lt;Projects!$C$45+Projects!$D$45),Projects!$B$45*(Assumptions!$B$10+Assumptions!$B$11+Assumptions!$B$12)/Projects!$D$45*0.95,0)-IF(AND(Projects!$G$45="Yes",CH$3=Projects!$C$45+Projects!$D$45-1),Projects!$B$45*(Assumptions!$B$10+Assumptions!$B$11+Assumptions!$B$12)*0.05,0)</f>
        <v/>
      </c>
      <c r="CI54" s="399">
        <f>IF(AND(Projects!$G$45="Yes",CI$3&gt;=Projects!$C$45,CI$3&lt;Projects!$C$45+Projects!$D$45),Projects!$B$45*INDEX(Curves!$B$4:$AR$4,1,CI$3-Projects!$C$45+1),0)-IF(AND(Projects!$G$45="Yes",CI$3&gt;=Projects!$C$45,CI$3&lt;Projects!$C$45+Projects!$D$45),Projects!$B$45*(Assumptions!$B$10+Assumptions!$B$11+Assumptions!$B$12)/Projects!$D$45*0.95,0)-IF(AND(Projects!$G$45="Yes",CI$3=Projects!$C$45+Projects!$D$45-1),Projects!$B$45*(Assumptions!$B$10+Assumptions!$B$11+Assumptions!$B$12)*0.05,0)</f>
        <v/>
      </c>
      <c r="CJ54" s="399">
        <f>IF(AND(Projects!$G$45="Yes",CJ$3&gt;=Projects!$C$45,CJ$3&lt;Projects!$C$45+Projects!$D$45),Projects!$B$45*INDEX(Curves!$B$4:$AR$4,1,CJ$3-Projects!$C$45+1),0)-IF(AND(Projects!$G$45="Yes",CJ$3&gt;=Projects!$C$45,CJ$3&lt;Projects!$C$45+Projects!$D$45),Projects!$B$45*(Assumptions!$B$10+Assumptions!$B$11+Assumptions!$B$12)/Projects!$D$45*0.95,0)-IF(AND(Projects!$G$45="Yes",CJ$3=Projects!$C$45+Projects!$D$45-1),Projects!$B$45*(Assumptions!$B$10+Assumptions!$B$11+Assumptions!$B$12)*0.05,0)</f>
        <v/>
      </c>
      <c r="CK54" s="399">
        <f>IF(AND(Projects!$G$45="Yes",CK$3&gt;=Projects!$C$45,CK$3&lt;Projects!$C$45+Projects!$D$45),Projects!$B$45*INDEX(Curves!$B$4:$AR$4,1,CK$3-Projects!$C$45+1),0)-IF(AND(Projects!$G$45="Yes",CK$3&gt;=Projects!$C$45,CK$3&lt;Projects!$C$45+Projects!$D$45),Projects!$B$45*(Assumptions!$B$10+Assumptions!$B$11+Assumptions!$B$12)/Projects!$D$45*0.95,0)-IF(AND(Projects!$G$45="Yes",CK$3=Projects!$C$45+Projects!$D$45-1),Projects!$B$45*(Assumptions!$B$10+Assumptions!$B$11+Assumptions!$B$12)*0.05,0)</f>
        <v/>
      </c>
      <c r="CL54" s="399">
        <f>IF(AND(Projects!$G$45="Yes",CL$3&gt;=Projects!$C$45,CL$3&lt;Projects!$C$45+Projects!$D$45),Projects!$B$45*INDEX(Curves!$B$4:$AR$4,1,CL$3-Projects!$C$45+1),0)-IF(AND(Projects!$G$45="Yes",CL$3&gt;=Projects!$C$45,CL$3&lt;Projects!$C$45+Projects!$D$45),Projects!$B$45*(Assumptions!$B$10+Assumptions!$B$11+Assumptions!$B$12)/Projects!$D$45*0.95,0)-IF(AND(Projects!$G$45="Yes",CL$3=Projects!$C$45+Projects!$D$45-1),Projects!$B$45*(Assumptions!$B$10+Assumptions!$B$11+Assumptions!$B$12)*0.05,0)</f>
        <v/>
      </c>
      <c r="CM54" s="399">
        <f>IF(AND(Projects!$G$45="Yes",CM$3&gt;=Projects!$C$45,CM$3&lt;Projects!$C$45+Projects!$D$45),Projects!$B$45*INDEX(Curves!$B$4:$AR$4,1,CM$3-Projects!$C$45+1),0)-IF(AND(Projects!$G$45="Yes",CM$3&gt;=Projects!$C$45,CM$3&lt;Projects!$C$45+Projects!$D$45),Projects!$B$45*(Assumptions!$B$10+Assumptions!$B$11+Assumptions!$B$12)/Projects!$D$45*0.95,0)-IF(AND(Projects!$G$45="Yes",CM$3=Projects!$C$45+Projects!$D$45-1),Projects!$B$45*(Assumptions!$B$10+Assumptions!$B$11+Assumptions!$B$12)*0.05,0)</f>
        <v/>
      </c>
      <c r="CN54" s="399">
        <f>IF(AND(Projects!$G$45="Yes",CN$3&gt;=Projects!$C$45,CN$3&lt;Projects!$C$45+Projects!$D$45),Projects!$B$45*INDEX(Curves!$B$4:$AR$4,1,CN$3-Projects!$C$45+1),0)-IF(AND(Projects!$G$45="Yes",CN$3&gt;=Projects!$C$45,CN$3&lt;Projects!$C$45+Projects!$D$45),Projects!$B$45*(Assumptions!$B$10+Assumptions!$B$11+Assumptions!$B$12)/Projects!$D$45*0.95,0)-IF(AND(Projects!$G$45="Yes",CN$3=Projects!$C$45+Projects!$D$45-1),Projects!$B$45*(Assumptions!$B$10+Assumptions!$B$11+Assumptions!$B$12)*0.05,0)</f>
        <v/>
      </c>
      <c r="CO54" s="399">
        <f>IF(AND(Projects!$G$45="Yes",CO$3&gt;=Projects!$C$45,CO$3&lt;Projects!$C$45+Projects!$D$45),Projects!$B$45*INDEX(Curves!$B$4:$AR$4,1,CO$3-Projects!$C$45+1),0)-IF(AND(Projects!$G$45="Yes",CO$3&gt;=Projects!$C$45,CO$3&lt;Projects!$C$45+Projects!$D$45),Projects!$B$45*(Assumptions!$B$10+Assumptions!$B$11+Assumptions!$B$12)/Projects!$D$45*0.95,0)-IF(AND(Projects!$G$45="Yes",CO$3=Projects!$C$45+Projects!$D$45-1),Projects!$B$45*(Assumptions!$B$10+Assumptions!$B$11+Assumptions!$B$12)*0.05,0)</f>
        <v/>
      </c>
      <c r="CP54" s="399">
        <f>IF(AND(Projects!$G$45="Yes",CP$3&gt;=Projects!$C$45,CP$3&lt;Projects!$C$45+Projects!$D$45),Projects!$B$45*INDEX(Curves!$B$4:$AR$4,1,CP$3-Projects!$C$45+1),0)-IF(AND(Projects!$G$45="Yes",CP$3&gt;=Projects!$C$45,CP$3&lt;Projects!$C$45+Projects!$D$45),Projects!$B$45*(Assumptions!$B$10+Assumptions!$B$11+Assumptions!$B$12)/Projects!$D$45*0.95,0)-IF(AND(Projects!$G$45="Yes",CP$3=Projects!$C$45+Projects!$D$45-1),Projects!$B$45*(Assumptions!$B$10+Assumptions!$B$11+Assumptions!$B$12)*0.05,0)</f>
        <v/>
      </c>
      <c r="CQ54" s="399">
        <f>IF(AND(Projects!$G$45="Yes",CQ$3&gt;=Projects!$C$45,CQ$3&lt;Projects!$C$45+Projects!$D$45),Projects!$B$45*INDEX(Curves!$B$4:$AR$4,1,CQ$3-Projects!$C$45+1),0)-IF(AND(Projects!$G$45="Yes",CQ$3&gt;=Projects!$C$45,CQ$3&lt;Projects!$C$45+Projects!$D$45),Projects!$B$45*(Assumptions!$B$10+Assumptions!$B$11+Assumptions!$B$12)/Projects!$D$45*0.95,0)-IF(AND(Projects!$G$45="Yes",CQ$3=Projects!$C$45+Projects!$D$45-1),Projects!$B$45*(Assumptions!$B$10+Assumptions!$B$11+Assumptions!$B$12)*0.05,0)</f>
        <v/>
      </c>
      <c r="CR54" s="399">
        <f>IF(AND(Projects!$G$45="Yes",CR$3&gt;=Projects!$C$45,CR$3&lt;Projects!$C$45+Projects!$D$45),Projects!$B$45*INDEX(Curves!$B$4:$AR$4,1,CR$3-Projects!$C$45+1),0)-IF(AND(Projects!$G$45="Yes",CR$3&gt;=Projects!$C$45,CR$3&lt;Projects!$C$45+Projects!$D$45),Projects!$B$45*(Assumptions!$B$10+Assumptions!$B$11+Assumptions!$B$12)/Projects!$D$45*0.95,0)-IF(AND(Projects!$G$45="Yes",CR$3=Projects!$C$45+Projects!$D$45-1),Projects!$B$45*(Assumptions!$B$10+Assumptions!$B$11+Assumptions!$B$12)*0.05,0)</f>
        <v/>
      </c>
      <c r="CS54" s="399">
        <f>IF(AND(Projects!$G$45="Yes",CS$3&gt;=Projects!$C$45,CS$3&lt;Projects!$C$45+Projects!$D$45),Projects!$B$45*INDEX(Curves!$B$4:$AR$4,1,CS$3-Projects!$C$45+1),0)-IF(AND(Projects!$G$45="Yes",CS$3&gt;=Projects!$C$45,CS$3&lt;Projects!$C$45+Projects!$D$45),Projects!$B$45*(Assumptions!$B$10+Assumptions!$B$11+Assumptions!$B$12)/Projects!$D$45*0.95,0)-IF(AND(Projects!$G$45="Yes",CS$3=Projects!$C$45+Projects!$D$45-1),Projects!$B$45*(Assumptions!$B$10+Assumptions!$B$11+Assumptions!$B$12)*0.05,0)</f>
        <v/>
      </c>
      <c r="CT54" s="399">
        <f>IF(AND(Projects!$G$45="Yes",CT$3&gt;=Projects!$C$45,CT$3&lt;Projects!$C$45+Projects!$D$45),Projects!$B$45*INDEX(Curves!$B$4:$AR$4,1,CT$3-Projects!$C$45+1),0)-IF(AND(Projects!$G$45="Yes",CT$3&gt;=Projects!$C$45,CT$3&lt;Projects!$C$45+Projects!$D$45),Projects!$B$45*(Assumptions!$B$10+Assumptions!$B$11+Assumptions!$B$12)/Projects!$D$45*0.95,0)-IF(AND(Projects!$G$45="Yes",CT$3=Projects!$C$45+Projects!$D$45-1),Projects!$B$45*(Assumptions!$B$10+Assumptions!$B$11+Assumptions!$B$12)*0.05,0)</f>
        <v/>
      </c>
      <c r="CU54" s="399">
        <f>IF(AND(Projects!$G$45="Yes",CU$3&gt;=Projects!$C$45,CU$3&lt;Projects!$C$45+Projects!$D$45),Projects!$B$45*INDEX(Curves!$B$4:$AR$4,1,CU$3-Projects!$C$45+1),0)-IF(AND(Projects!$G$45="Yes",CU$3&gt;=Projects!$C$45,CU$3&lt;Projects!$C$45+Projects!$D$45),Projects!$B$45*(Assumptions!$B$10+Assumptions!$B$11+Assumptions!$B$12)/Projects!$D$45*0.95,0)-IF(AND(Projects!$G$45="Yes",CU$3=Projects!$C$45+Projects!$D$45-1),Projects!$B$45*(Assumptions!$B$10+Assumptions!$B$11+Assumptions!$B$12)*0.05,0)</f>
        <v/>
      </c>
      <c r="CV54" s="399">
        <f>IF(AND(Projects!$G$45="Yes",CV$3&gt;=Projects!$C$45,CV$3&lt;Projects!$C$45+Projects!$D$45),Projects!$B$45*INDEX(Curves!$B$4:$AR$4,1,CV$3-Projects!$C$45+1),0)-IF(AND(Projects!$G$45="Yes",CV$3&gt;=Projects!$C$45,CV$3&lt;Projects!$C$45+Projects!$D$45),Projects!$B$45*(Assumptions!$B$10+Assumptions!$B$11+Assumptions!$B$12)/Projects!$D$45*0.95,0)-IF(AND(Projects!$G$45="Yes",CV$3=Projects!$C$45+Projects!$D$45-1),Projects!$B$45*(Assumptions!$B$10+Assumptions!$B$11+Assumptions!$B$12)*0.05,0)</f>
        <v/>
      </c>
      <c r="CW54" s="399">
        <f>IF(AND(Projects!$G$45="Yes",CW$3&gt;=Projects!$C$45,CW$3&lt;Projects!$C$45+Projects!$D$45),Projects!$B$45*INDEX(Curves!$B$4:$AR$4,1,CW$3-Projects!$C$45+1),0)-IF(AND(Projects!$G$45="Yes",CW$3&gt;=Projects!$C$45,CW$3&lt;Projects!$C$45+Projects!$D$45),Projects!$B$45*(Assumptions!$B$10+Assumptions!$B$11+Assumptions!$B$12)/Projects!$D$45*0.95,0)-IF(AND(Projects!$G$45="Yes",CW$3=Projects!$C$45+Projects!$D$45-1),Projects!$B$45*(Assumptions!$B$10+Assumptions!$B$11+Assumptions!$B$12)*0.05,0)</f>
        <v/>
      </c>
      <c r="CX54" s="399">
        <f>IF(AND(Projects!$G$45="Yes",CX$3&gt;=Projects!$C$45,CX$3&lt;Projects!$C$45+Projects!$D$45),Projects!$B$45*INDEX(Curves!$B$4:$AR$4,1,CX$3-Projects!$C$45+1),0)-IF(AND(Projects!$G$45="Yes",CX$3&gt;=Projects!$C$45,CX$3&lt;Projects!$C$45+Projects!$D$45),Projects!$B$45*(Assumptions!$B$10+Assumptions!$B$11+Assumptions!$B$12)/Projects!$D$45*0.95,0)-IF(AND(Projects!$G$45="Yes",CX$3=Projects!$C$45+Projects!$D$45-1),Projects!$B$45*(Assumptions!$B$10+Assumptions!$B$11+Assumptions!$B$12)*0.05,0)</f>
        <v/>
      </c>
      <c r="CY54" s="399">
        <f>IF(AND(Projects!$G$45="Yes",CY$3&gt;=Projects!$C$45,CY$3&lt;Projects!$C$45+Projects!$D$45),Projects!$B$45*INDEX(Curves!$B$4:$AR$4,1,CY$3-Projects!$C$45+1),0)-IF(AND(Projects!$G$45="Yes",CY$3&gt;=Projects!$C$45,CY$3&lt;Projects!$C$45+Projects!$D$45),Projects!$B$45*(Assumptions!$B$10+Assumptions!$B$11+Assumptions!$B$12)/Projects!$D$45*0.95,0)-IF(AND(Projects!$G$45="Yes",CY$3=Projects!$C$45+Projects!$D$45-1),Projects!$B$45*(Assumptions!$B$10+Assumptions!$B$11+Assumptions!$B$12)*0.05,0)</f>
        <v/>
      </c>
      <c r="CZ54" s="399">
        <f>IF(AND(Projects!$G$45="Yes",CZ$3&gt;=Projects!$C$45,CZ$3&lt;Projects!$C$45+Projects!$D$45),Projects!$B$45*INDEX(Curves!$B$4:$AR$4,1,CZ$3-Projects!$C$45+1),0)-IF(AND(Projects!$G$45="Yes",CZ$3&gt;=Projects!$C$45,CZ$3&lt;Projects!$C$45+Projects!$D$45),Projects!$B$45*(Assumptions!$B$10+Assumptions!$B$11+Assumptions!$B$12)/Projects!$D$45*0.95,0)-IF(AND(Projects!$G$45="Yes",CZ$3=Projects!$C$45+Projects!$D$45-1),Projects!$B$45*(Assumptions!$B$10+Assumptions!$B$11+Assumptions!$B$12)*0.05,0)</f>
        <v/>
      </c>
      <c r="DA54" s="399">
        <f>IF(AND(Projects!$G$45="Yes",DA$3&gt;=Projects!$C$45,DA$3&lt;Projects!$C$45+Projects!$D$45),Projects!$B$45*INDEX(Curves!$B$4:$AR$4,1,DA$3-Projects!$C$45+1),0)-IF(AND(Projects!$G$45="Yes",DA$3&gt;=Projects!$C$45,DA$3&lt;Projects!$C$45+Projects!$D$45),Projects!$B$45*(Assumptions!$B$10+Assumptions!$B$11+Assumptions!$B$12)/Projects!$D$45*0.95,0)-IF(AND(Projects!$G$45="Yes",DA$3=Projects!$C$45+Projects!$D$45-1),Projects!$B$45*(Assumptions!$B$10+Assumptions!$B$11+Assumptions!$B$12)*0.05,0)</f>
        <v/>
      </c>
      <c r="DB54" s="399">
        <f>IF(AND(Projects!$G$45="Yes",DB$3&gt;=Projects!$C$45,DB$3&lt;Projects!$C$45+Projects!$D$45),Projects!$B$45*INDEX(Curves!$B$4:$AR$4,1,DB$3-Projects!$C$45+1),0)-IF(AND(Projects!$G$45="Yes",DB$3&gt;=Projects!$C$45,DB$3&lt;Projects!$C$45+Projects!$D$45),Projects!$B$45*(Assumptions!$B$10+Assumptions!$B$11+Assumptions!$B$12)/Projects!$D$45*0.95,0)-IF(AND(Projects!$G$45="Yes",DB$3=Projects!$C$45+Projects!$D$45-1),Projects!$B$45*(Assumptions!$B$10+Assumptions!$B$11+Assumptions!$B$12)*0.05,0)</f>
        <v/>
      </c>
      <c r="DC54" s="399">
        <f>IF(AND(Projects!$G$45="Yes",DC$3&gt;=Projects!$C$45,DC$3&lt;Projects!$C$45+Projects!$D$45),Projects!$B$45*INDEX(Curves!$B$4:$AR$4,1,DC$3-Projects!$C$45+1),0)-IF(AND(Projects!$G$45="Yes",DC$3&gt;=Projects!$C$45,DC$3&lt;Projects!$C$45+Projects!$D$45),Projects!$B$45*(Assumptions!$B$10+Assumptions!$B$11+Assumptions!$B$12)/Projects!$D$45*0.95,0)-IF(AND(Projects!$G$45="Yes",DC$3=Projects!$C$45+Projects!$D$45-1),Projects!$B$45*(Assumptions!$B$10+Assumptions!$B$11+Assumptions!$B$12)*0.05,0)</f>
        <v/>
      </c>
      <c r="DD54" s="399">
        <f>IF(AND(Projects!$G$45="Yes",DD$3&gt;=Projects!$C$45,DD$3&lt;Projects!$C$45+Projects!$D$45),Projects!$B$45*INDEX(Curves!$B$4:$AR$4,1,DD$3-Projects!$C$45+1),0)-IF(AND(Projects!$G$45="Yes",DD$3&gt;=Projects!$C$45,DD$3&lt;Projects!$C$45+Projects!$D$45),Projects!$B$45*(Assumptions!$B$10+Assumptions!$B$11+Assumptions!$B$12)/Projects!$D$45*0.95,0)-IF(AND(Projects!$G$45="Yes",DD$3=Projects!$C$45+Projects!$D$45-1),Projects!$B$45*(Assumptions!$B$10+Assumptions!$B$11+Assumptions!$B$12)*0.05,0)</f>
        <v/>
      </c>
      <c r="DE54" s="399">
        <f>IF(AND(Projects!$G$45="Yes",DE$3&gt;=Projects!$C$45,DE$3&lt;Projects!$C$45+Projects!$D$45),Projects!$B$45*INDEX(Curves!$B$4:$AR$4,1,DE$3-Projects!$C$45+1),0)-IF(AND(Projects!$G$45="Yes",DE$3&gt;=Projects!$C$45,DE$3&lt;Projects!$C$45+Projects!$D$45),Projects!$B$45*(Assumptions!$B$10+Assumptions!$B$11+Assumptions!$B$12)/Projects!$D$45*0.95,0)-IF(AND(Projects!$G$45="Yes",DE$3=Projects!$C$45+Projects!$D$45-1),Projects!$B$45*(Assumptions!$B$10+Assumptions!$B$11+Assumptions!$B$12)*0.05,0)</f>
        <v/>
      </c>
    </row>
    <row r="55" hidden="1" outlineLevel="1" ht="15" customFormat="1" customHeight="1" s="380">
      <c r="A55" s="407" t="inlineStr">
        <is>
          <t>BD-30</t>
        </is>
      </c>
      <c r="B55" s="399" t="n">
        <v>0</v>
      </c>
      <c r="C55" s="399" t="n">
        <v>0</v>
      </c>
      <c r="D55" s="399" t="n">
        <v>0</v>
      </c>
      <c r="E55" s="399" t="n">
        <v>0</v>
      </c>
      <c r="F55" s="399">
        <f>IF(AND(Projects!$G$46="Yes",F$3&gt;=Projects!$C$46,F$3&lt;Projects!$C$46+Projects!$D$46),Projects!$B$46*INDEX(Curves!$B$4:$AR$4,1,F$3-Projects!$C$46+1),0)-IF(AND(Projects!$G$46="Yes",F$3&gt;=Projects!$C$46,F$3&lt;Projects!$C$46+Projects!$D$46),Projects!$B$46*(Assumptions!$B$10+Assumptions!$B$11+Assumptions!$B$12)/Projects!$D$46*0.95,0)-IF(AND(Projects!$G$46="Yes",F$3=Projects!$C$46+Projects!$D$46-1),Projects!$B$46*(Assumptions!$B$10+Assumptions!$B$11+Assumptions!$B$12)*0.05,0)</f>
        <v/>
      </c>
      <c r="G55" s="399">
        <f>IF(AND(Projects!$G$46="Yes",G$3&gt;=Projects!$C$46,G$3&lt;Projects!$C$46+Projects!$D$46),Projects!$B$46*INDEX(Curves!$B$4:$AR$4,1,G$3-Projects!$C$46+1),0)-IF(AND(Projects!$G$46="Yes",G$3&gt;=Projects!$C$46,G$3&lt;Projects!$C$46+Projects!$D$46),Projects!$B$46*(Assumptions!$B$10+Assumptions!$B$11+Assumptions!$B$12)/Projects!$D$46*0.95,0)-IF(AND(Projects!$G$46="Yes",G$3=Projects!$C$46+Projects!$D$46-1),Projects!$B$46*(Assumptions!$B$10+Assumptions!$B$11+Assumptions!$B$12)*0.05,0)</f>
        <v/>
      </c>
      <c r="H55" s="399">
        <f>IF(AND(Projects!$G$46="Yes",H$3&gt;=Projects!$C$46,H$3&lt;Projects!$C$46+Projects!$D$46),Projects!$B$46*INDEX(Curves!$B$4:$AR$4,1,H$3-Projects!$C$46+1),0)-IF(AND(Projects!$G$46="Yes",H$3&gt;=Projects!$C$46,H$3&lt;Projects!$C$46+Projects!$D$46),Projects!$B$46*(Assumptions!$B$10+Assumptions!$B$11+Assumptions!$B$12)/Projects!$D$46*0.95,0)-IF(AND(Projects!$G$46="Yes",H$3=Projects!$C$46+Projects!$D$46-1),Projects!$B$46*(Assumptions!$B$10+Assumptions!$B$11+Assumptions!$B$12)*0.05,0)</f>
        <v/>
      </c>
      <c r="I55" s="399">
        <f>IF(AND(Projects!$G$46="Yes",I$3&gt;=Projects!$C$46,I$3&lt;Projects!$C$46+Projects!$D$46),Projects!$B$46*INDEX(Curves!$B$4:$AR$4,1,I$3-Projects!$C$46+1),0)-IF(AND(Projects!$G$46="Yes",I$3&gt;=Projects!$C$46,I$3&lt;Projects!$C$46+Projects!$D$46),Projects!$B$46*(Assumptions!$B$10+Assumptions!$B$11+Assumptions!$B$12)/Projects!$D$46*0.95,0)-IF(AND(Projects!$G$46="Yes",I$3=Projects!$C$46+Projects!$D$46-1),Projects!$B$46*(Assumptions!$B$10+Assumptions!$B$11+Assumptions!$B$12)*0.05,0)</f>
        <v/>
      </c>
      <c r="J55" s="399">
        <f>IF(AND(Projects!$G$46="Yes",J$3&gt;=Projects!$C$46,J$3&lt;Projects!$C$46+Projects!$D$46),Projects!$B$46*INDEX(Curves!$B$4:$AR$4,1,J$3-Projects!$C$46+1),0)-IF(AND(Projects!$G$46="Yes",J$3&gt;=Projects!$C$46,J$3&lt;Projects!$C$46+Projects!$D$46),Projects!$B$46*(Assumptions!$B$10+Assumptions!$B$11+Assumptions!$B$12)/Projects!$D$46*0.95,0)-IF(AND(Projects!$G$46="Yes",J$3=Projects!$C$46+Projects!$D$46-1),Projects!$B$46*(Assumptions!$B$10+Assumptions!$B$11+Assumptions!$B$12)*0.05,0)</f>
        <v/>
      </c>
      <c r="K55" s="399">
        <f>IF(AND(Projects!$G$46="Yes",K$3&gt;=Projects!$C$46,K$3&lt;Projects!$C$46+Projects!$D$46),Projects!$B$46*INDEX(Curves!$B$4:$AR$4,1,K$3-Projects!$C$46+1),0)-IF(AND(Projects!$G$46="Yes",K$3&gt;=Projects!$C$46,K$3&lt;Projects!$C$46+Projects!$D$46),Projects!$B$46*(Assumptions!$B$10+Assumptions!$B$11+Assumptions!$B$12)/Projects!$D$46*0.95,0)-IF(AND(Projects!$G$46="Yes",K$3=Projects!$C$46+Projects!$D$46-1),Projects!$B$46*(Assumptions!$B$10+Assumptions!$B$11+Assumptions!$B$12)*0.05,0)</f>
        <v/>
      </c>
      <c r="L55" s="399">
        <f>IF(AND(Projects!$G$46="Yes",L$3&gt;=Projects!$C$46,L$3&lt;Projects!$C$46+Projects!$D$46),Projects!$B$46*INDEX(Curves!$B$4:$AR$4,1,L$3-Projects!$C$46+1),0)-IF(AND(Projects!$G$46="Yes",L$3&gt;=Projects!$C$46,L$3&lt;Projects!$C$46+Projects!$D$46),Projects!$B$46*(Assumptions!$B$10+Assumptions!$B$11+Assumptions!$B$12)/Projects!$D$46*0.95,0)-IF(AND(Projects!$G$46="Yes",L$3=Projects!$C$46+Projects!$D$46-1),Projects!$B$46*(Assumptions!$B$10+Assumptions!$B$11+Assumptions!$B$12)*0.05,0)</f>
        <v/>
      </c>
      <c r="M55" s="399">
        <f>IF(AND(Projects!$G$46="Yes",M$3&gt;=Projects!$C$46,M$3&lt;Projects!$C$46+Projects!$D$46),Projects!$B$46*INDEX(Curves!$B$4:$AR$4,1,M$3-Projects!$C$46+1),0)-IF(AND(Projects!$G$46="Yes",M$3&gt;=Projects!$C$46,M$3&lt;Projects!$C$46+Projects!$D$46),Projects!$B$46*(Assumptions!$B$10+Assumptions!$B$11+Assumptions!$B$12)/Projects!$D$46*0.95,0)-IF(AND(Projects!$G$46="Yes",M$3=Projects!$C$46+Projects!$D$46-1),Projects!$B$46*(Assumptions!$B$10+Assumptions!$B$11+Assumptions!$B$12)*0.05,0)</f>
        <v/>
      </c>
      <c r="N55" s="399">
        <f>IF(AND(Projects!$G$46="Yes",N$3&gt;=Projects!$C$46,N$3&lt;Projects!$C$46+Projects!$D$46),Projects!$B$46*INDEX(Curves!$B$4:$AR$4,1,N$3-Projects!$C$46+1),0)-IF(AND(Projects!$G$46="Yes",N$3&gt;=Projects!$C$46,N$3&lt;Projects!$C$46+Projects!$D$46),Projects!$B$46*(Assumptions!$B$10+Assumptions!$B$11+Assumptions!$B$12)/Projects!$D$46*0.95,0)-IF(AND(Projects!$G$46="Yes",N$3=Projects!$C$46+Projects!$D$46-1),Projects!$B$46*(Assumptions!$B$10+Assumptions!$B$11+Assumptions!$B$12)*0.05,0)</f>
        <v/>
      </c>
      <c r="O55" s="399">
        <f>IF(AND(Projects!$G$46="Yes",O$3&gt;=Projects!$C$46,O$3&lt;Projects!$C$46+Projects!$D$46),Projects!$B$46*INDEX(Curves!$B$4:$AR$4,1,O$3-Projects!$C$46+1),0)-IF(AND(Projects!$G$46="Yes",O$3&gt;=Projects!$C$46,O$3&lt;Projects!$C$46+Projects!$D$46),Projects!$B$46*(Assumptions!$B$10+Assumptions!$B$11+Assumptions!$B$12)/Projects!$D$46*0.95,0)-IF(AND(Projects!$G$46="Yes",O$3=Projects!$C$46+Projects!$D$46-1),Projects!$B$46*(Assumptions!$B$10+Assumptions!$B$11+Assumptions!$B$12)*0.05,0)</f>
        <v/>
      </c>
      <c r="P55" s="399">
        <f>IF(AND(Projects!$G$46="Yes",P$3&gt;=Projects!$C$46,P$3&lt;Projects!$C$46+Projects!$D$46),Projects!$B$46*INDEX(Curves!$B$4:$AR$4,1,P$3-Projects!$C$46+1),0)-IF(AND(Projects!$G$46="Yes",P$3&gt;=Projects!$C$46,P$3&lt;Projects!$C$46+Projects!$D$46),Projects!$B$46*(Assumptions!$B$10+Assumptions!$B$11+Assumptions!$B$12)/Projects!$D$46*0.95,0)-IF(AND(Projects!$G$46="Yes",P$3=Projects!$C$46+Projects!$D$46-1),Projects!$B$46*(Assumptions!$B$10+Assumptions!$B$11+Assumptions!$B$12)*0.05,0)</f>
        <v/>
      </c>
      <c r="Q55" s="399">
        <f>IF(AND(Projects!$G$46="Yes",Q$3&gt;=Projects!$C$46,Q$3&lt;Projects!$C$46+Projects!$D$46),Projects!$B$46*INDEX(Curves!$B$4:$AR$4,1,Q$3-Projects!$C$46+1),0)-IF(AND(Projects!$G$46="Yes",Q$3&gt;=Projects!$C$46,Q$3&lt;Projects!$C$46+Projects!$D$46),Projects!$B$46*(Assumptions!$B$10+Assumptions!$B$11+Assumptions!$B$12)/Projects!$D$46*0.95,0)-IF(AND(Projects!$G$46="Yes",Q$3=Projects!$C$46+Projects!$D$46-1),Projects!$B$46*(Assumptions!$B$10+Assumptions!$B$11+Assumptions!$B$12)*0.05,0)</f>
        <v/>
      </c>
      <c r="R55" s="399">
        <f>IF(AND(Projects!$G$46="Yes",R$3&gt;=Projects!$C$46,R$3&lt;Projects!$C$46+Projects!$D$46),Projects!$B$46*INDEX(Curves!$B$4:$AR$4,1,R$3-Projects!$C$46+1),0)-IF(AND(Projects!$G$46="Yes",R$3&gt;=Projects!$C$46,R$3&lt;Projects!$C$46+Projects!$D$46),Projects!$B$46*(Assumptions!$B$10+Assumptions!$B$11+Assumptions!$B$12)/Projects!$D$46*0.95,0)-IF(AND(Projects!$G$46="Yes",R$3=Projects!$C$46+Projects!$D$46-1),Projects!$B$46*(Assumptions!$B$10+Assumptions!$B$11+Assumptions!$B$12)*0.05,0)</f>
        <v/>
      </c>
      <c r="S55" s="399">
        <f>IF(AND(Projects!$G$46="Yes",S$3&gt;=Projects!$C$46,S$3&lt;Projects!$C$46+Projects!$D$46),Projects!$B$46*INDEX(Curves!$B$4:$AR$4,1,S$3-Projects!$C$46+1),0)-IF(AND(Projects!$G$46="Yes",S$3&gt;=Projects!$C$46,S$3&lt;Projects!$C$46+Projects!$D$46),Projects!$B$46*(Assumptions!$B$10+Assumptions!$B$11+Assumptions!$B$12)/Projects!$D$46*0.95,0)-IF(AND(Projects!$G$46="Yes",S$3=Projects!$C$46+Projects!$D$46-1),Projects!$B$46*(Assumptions!$B$10+Assumptions!$B$11+Assumptions!$B$12)*0.05,0)</f>
        <v/>
      </c>
      <c r="T55" s="399">
        <f>IF(AND(Projects!$G$46="Yes",T$3&gt;=Projects!$C$46,T$3&lt;Projects!$C$46+Projects!$D$46),Projects!$B$46*INDEX(Curves!$B$4:$AR$4,1,T$3-Projects!$C$46+1),0)-IF(AND(Projects!$G$46="Yes",T$3&gt;=Projects!$C$46,T$3&lt;Projects!$C$46+Projects!$D$46),Projects!$B$46*(Assumptions!$B$10+Assumptions!$B$11+Assumptions!$B$12)/Projects!$D$46*0.95,0)-IF(AND(Projects!$G$46="Yes",T$3=Projects!$C$46+Projects!$D$46-1),Projects!$B$46*(Assumptions!$B$10+Assumptions!$B$11+Assumptions!$B$12)*0.05,0)</f>
        <v/>
      </c>
      <c r="U55" s="399">
        <f>IF(AND(Projects!$G$46="Yes",U$3&gt;=Projects!$C$46,U$3&lt;Projects!$C$46+Projects!$D$46),Projects!$B$46*INDEX(Curves!$B$4:$AR$4,1,U$3-Projects!$C$46+1),0)-IF(AND(Projects!$G$46="Yes",U$3&gt;=Projects!$C$46,U$3&lt;Projects!$C$46+Projects!$D$46),Projects!$B$46*(Assumptions!$B$10+Assumptions!$B$11+Assumptions!$B$12)/Projects!$D$46*0.95,0)-IF(AND(Projects!$G$46="Yes",U$3=Projects!$C$46+Projects!$D$46-1),Projects!$B$46*(Assumptions!$B$10+Assumptions!$B$11+Assumptions!$B$12)*0.05,0)</f>
        <v/>
      </c>
      <c r="V55" s="399">
        <f>IF(AND(Projects!$G$46="Yes",V$3&gt;=Projects!$C$46,V$3&lt;Projects!$C$46+Projects!$D$46),Projects!$B$46*INDEX(Curves!$B$4:$AR$4,1,V$3-Projects!$C$46+1),0)-IF(AND(Projects!$G$46="Yes",V$3&gt;=Projects!$C$46,V$3&lt;Projects!$C$46+Projects!$D$46),Projects!$B$46*(Assumptions!$B$10+Assumptions!$B$11+Assumptions!$B$12)/Projects!$D$46*0.95,0)-IF(AND(Projects!$G$46="Yes",V$3=Projects!$C$46+Projects!$D$46-1),Projects!$B$46*(Assumptions!$B$10+Assumptions!$B$11+Assumptions!$B$12)*0.05,0)</f>
        <v/>
      </c>
      <c r="W55" s="399">
        <f>IF(AND(Projects!$G$46="Yes",W$3&gt;=Projects!$C$46,W$3&lt;Projects!$C$46+Projects!$D$46),Projects!$B$46*INDEX(Curves!$B$4:$AR$4,1,W$3-Projects!$C$46+1),0)-IF(AND(Projects!$G$46="Yes",W$3&gt;=Projects!$C$46,W$3&lt;Projects!$C$46+Projects!$D$46),Projects!$B$46*(Assumptions!$B$10+Assumptions!$B$11+Assumptions!$B$12)/Projects!$D$46*0.95,0)-IF(AND(Projects!$G$46="Yes",W$3=Projects!$C$46+Projects!$D$46-1),Projects!$B$46*(Assumptions!$B$10+Assumptions!$B$11+Assumptions!$B$12)*0.05,0)</f>
        <v/>
      </c>
      <c r="X55" s="399">
        <f>IF(AND(Projects!$G$46="Yes",X$3&gt;=Projects!$C$46,X$3&lt;Projects!$C$46+Projects!$D$46),Projects!$B$46*INDEX(Curves!$B$4:$AR$4,1,X$3-Projects!$C$46+1),0)-IF(AND(Projects!$G$46="Yes",X$3&gt;=Projects!$C$46,X$3&lt;Projects!$C$46+Projects!$D$46),Projects!$B$46*(Assumptions!$B$10+Assumptions!$B$11+Assumptions!$B$12)/Projects!$D$46*0.95,0)-IF(AND(Projects!$G$46="Yes",X$3=Projects!$C$46+Projects!$D$46-1),Projects!$B$46*(Assumptions!$B$10+Assumptions!$B$11+Assumptions!$B$12)*0.05,0)</f>
        <v/>
      </c>
      <c r="Y55" s="399">
        <f>IF(AND(Projects!$G$46="Yes",Y$3&gt;=Projects!$C$46,Y$3&lt;Projects!$C$46+Projects!$D$46),Projects!$B$46*INDEX(Curves!$B$4:$AR$4,1,Y$3-Projects!$C$46+1),0)-IF(AND(Projects!$G$46="Yes",Y$3&gt;=Projects!$C$46,Y$3&lt;Projects!$C$46+Projects!$D$46),Projects!$B$46*(Assumptions!$B$10+Assumptions!$B$11+Assumptions!$B$12)/Projects!$D$46*0.95,0)-IF(AND(Projects!$G$46="Yes",Y$3=Projects!$C$46+Projects!$D$46-1),Projects!$B$46*(Assumptions!$B$10+Assumptions!$B$11+Assumptions!$B$12)*0.05,0)</f>
        <v/>
      </c>
      <c r="Z55" s="399">
        <f>IF(AND(Projects!$G$46="Yes",Z$3&gt;=Projects!$C$46,Z$3&lt;Projects!$C$46+Projects!$D$46),Projects!$B$46*INDEX(Curves!$B$4:$AR$4,1,Z$3-Projects!$C$46+1),0)-IF(AND(Projects!$G$46="Yes",Z$3&gt;=Projects!$C$46,Z$3&lt;Projects!$C$46+Projects!$D$46),Projects!$B$46*(Assumptions!$B$10+Assumptions!$B$11+Assumptions!$B$12)/Projects!$D$46*0.95,0)-IF(AND(Projects!$G$46="Yes",Z$3=Projects!$C$46+Projects!$D$46-1),Projects!$B$46*(Assumptions!$B$10+Assumptions!$B$11+Assumptions!$B$12)*0.05,0)</f>
        <v/>
      </c>
      <c r="AA55" s="399">
        <f>IF(AND(Projects!$G$46="Yes",AA$3&gt;=Projects!$C$46,AA$3&lt;Projects!$C$46+Projects!$D$46),Projects!$B$46*INDEX(Curves!$B$4:$AR$4,1,AA$3-Projects!$C$46+1),0)-IF(AND(Projects!$G$46="Yes",AA$3&gt;=Projects!$C$46,AA$3&lt;Projects!$C$46+Projects!$D$46),Projects!$B$46*(Assumptions!$B$10+Assumptions!$B$11+Assumptions!$B$12)/Projects!$D$46*0.95,0)-IF(AND(Projects!$G$46="Yes",AA$3=Projects!$C$46+Projects!$D$46-1),Projects!$B$46*(Assumptions!$B$10+Assumptions!$B$11+Assumptions!$B$12)*0.05,0)</f>
        <v/>
      </c>
      <c r="AB55" s="399">
        <f>IF(AND(Projects!$G$46="Yes",AB$3&gt;=Projects!$C$46,AB$3&lt;Projects!$C$46+Projects!$D$46),Projects!$B$46*INDEX(Curves!$B$4:$AR$4,1,AB$3-Projects!$C$46+1),0)-IF(AND(Projects!$G$46="Yes",AB$3&gt;=Projects!$C$46,AB$3&lt;Projects!$C$46+Projects!$D$46),Projects!$B$46*(Assumptions!$B$10+Assumptions!$B$11+Assumptions!$B$12)/Projects!$D$46*0.95,0)-IF(AND(Projects!$G$46="Yes",AB$3=Projects!$C$46+Projects!$D$46-1),Projects!$B$46*(Assumptions!$B$10+Assumptions!$B$11+Assumptions!$B$12)*0.05,0)</f>
        <v/>
      </c>
      <c r="AC55" s="399">
        <f>IF(AND(Projects!$G$46="Yes",AC$3&gt;=Projects!$C$46,AC$3&lt;Projects!$C$46+Projects!$D$46),Projects!$B$46*INDEX(Curves!$B$4:$AR$4,1,AC$3-Projects!$C$46+1),0)-IF(AND(Projects!$G$46="Yes",AC$3&gt;=Projects!$C$46,AC$3&lt;Projects!$C$46+Projects!$D$46),Projects!$B$46*(Assumptions!$B$10+Assumptions!$B$11+Assumptions!$B$12)/Projects!$D$46*0.95,0)-IF(AND(Projects!$G$46="Yes",AC$3=Projects!$C$46+Projects!$D$46-1),Projects!$B$46*(Assumptions!$B$10+Assumptions!$B$11+Assumptions!$B$12)*0.05,0)</f>
        <v/>
      </c>
      <c r="AD55" s="399">
        <f>IF(AND(Projects!$G$46="Yes",AD$3&gt;=Projects!$C$46,AD$3&lt;Projects!$C$46+Projects!$D$46),Projects!$B$46*INDEX(Curves!$B$4:$AR$4,1,AD$3-Projects!$C$46+1),0)-IF(AND(Projects!$G$46="Yes",AD$3&gt;=Projects!$C$46,AD$3&lt;Projects!$C$46+Projects!$D$46),Projects!$B$46*(Assumptions!$B$10+Assumptions!$B$11+Assumptions!$B$12)/Projects!$D$46*0.95,0)-IF(AND(Projects!$G$46="Yes",AD$3=Projects!$C$46+Projects!$D$46-1),Projects!$B$46*(Assumptions!$B$10+Assumptions!$B$11+Assumptions!$B$12)*0.05,0)</f>
        <v/>
      </c>
      <c r="AE55" s="399">
        <f>IF(AND(Projects!$G$46="Yes",AE$3&gt;=Projects!$C$46,AE$3&lt;Projects!$C$46+Projects!$D$46),Projects!$B$46*INDEX(Curves!$B$4:$AR$4,1,AE$3-Projects!$C$46+1),0)-IF(AND(Projects!$G$46="Yes",AE$3&gt;=Projects!$C$46,AE$3&lt;Projects!$C$46+Projects!$D$46),Projects!$B$46*(Assumptions!$B$10+Assumptions!$B$11+Assumptions!$B$12)/Projects!$D$46*0.95,0)-IF(AND(Projects!$G$46="Yes",AE$3=Projects!$C$46+Projects!$D$46-1),Projects!$B$46*(Assumptions!$B$10+Assumptions!$B$11+Assumptions!$B$12)*0.05,0)</f>
        <v/>
      </c>
      <c r="AF55" s="399">
        <f>IF(AND(Projects!$G$46="Yes",AF$3&gt;=Projects!$C$46,AF$3&lt;Projects!$C$46+Projects!$D$46),Projects!$B$46*INDEX(Curves!$B$4:$AR$4,1,AF$3-Projects!$C$46+1),0)-IF(AND(Projects!$G$46="Yes",AF$3&gt;=Projects!$C$46,AF$3&lt;Projects!$C$46+Projects!$D$46),Projects!$B$46*(Assumptions!$B$10+Assumptions!$B$11+Assumptions!$B$12)/Projects!$D$46*0.95,0)-IF(AND(Projects!$G$46="Yes",AF$3=Projects!$C$46+Projects!$D$46-1),Projects!$B$46*(Assumptions!$B$10+Assumptions!$B$11+Assumptions!$B$12)*0.05,0)</f>
        <v/>
      </c>
      <c r="AG55" s="399">
        <f>IF(AND(Projects!$G$46="Yes",AG$3&gt;=Projects!$C$46,AG$3&lt;Projects!$C$46+Projects!$D$46),Projects!$B$46*INDEX(Curves!$B$4:$AR$4,1,AG$3-Projects!$C$46+1),0)-IF(AND(Projects!$G$46="Yes",AG$3&gt;=Projects!$C$46,AG$3&lt;Projects!$C$46+Projects!$D$46),Projects!$B$46*(Assumptions!$B$10+Assumptions!$B$11+Assumptions!$B$12)/Projects!$D$46*0.95,0)-IF(AND(Projects!$G$46="Yes",AG$3=Projects!$C$46+Projects!$D$46-1),Projects!$B$46*(Assumptions!$B$10+Assumptions!$B$11+Assumptions!$B$12)*0.05,0)</f>
        <v/>
      </c>
      <c r="AH55" s="399">
        <f>IF(AND(Projects!$G$46="Yes",AH$3&gt;=Projects!$C$46,AH$3&lt;Projects!$C$46+Projects!$D$46),Projects!$B$46*INDEX(Curves!$B$4:$AR$4,1,AH$3-Projects!$C$46+1),0)-IF(AND(Projects!$G$46="Yes",AH$3&gt;=Projects!$C$46,AH$3&lt;Projects!$C$46+Projects!$D$46),Projects!$B$46*(Assumptions!$B$10+Assumptions!$B$11+Assumptions!$B$12)/Projects!$D$46*0.95,0)-IF(AND(Projects!$G$46="Yes",AH$3=Projects!$C$46+Projects!$D$46-1),Projects!$B$46*(Assumptions!$B$10+Assumptions!$B$11+Assumptions!$B$12)*0.05,0)</f>
        <v/>
      </c>
      <c r="AI55" s="399">
        <f>IF(AND(Projects!$G$46="Yes",AI$3&gt;=Projects!$C$46,AI$3&lt;Projects!$C$46+Projects!$D$46),Projects!$B$46*INDEX(Curves!$B$4:$AR$4,1,AI$3-Projects!$C$46+1),0)-IF(AND(Projects!$G$46="Yes",AI$3&gt;=Projects!$C$46,AI$3&lt;Projects!$C$46+Projects!$D$46),Projects!$B$46*(Assumptions!$B$10+Assumptions!$B$11+Assumptions!$B$12)/Projects!$D$46*0.95,0)-IF(AND(Projects!$G$46="Yes",AI$3=Projects!$C$46+Projects!$D$46-1),Projects!$B$46*(Assumptions!$B$10+Assumptions!$B$11+Assumptions!$B$12)*0.05,0)</f>
        <v/>
      </c>
      <c r="AJ55" s="399">
        <f>IF(AND(Projects!$G$46="Yes",AJ$3&gt;=Projects!$C$46,AJ$3&lt;Projects!$C$46+Projects!$D$46),Projects!$B$46*INDEX(Curves!$B$4:$AR$4,1,AJ$3-Projects!$C$46+1),0)-IF(AND(Projects!$G$46="Yes",AJ$3&gt;=Projects!$C$46,AJ$3&lt;Projects!$C$46+Projects!$D$46),Projects!$B$46*(Assumptions!$B$10+Assumptions!$B$11+Assumptions!$B$12)/Projects!$D$46*0.95,0)-IF(AND(Projects!$G$46="Yes",AJ$3=Projects!$C$46+Projects!$D$46-1),Projects!$B$46*(Assumptions!$B$10+Assumptions!$B$11+Assumptions!$B$12)*0.05,0)</f>
        <v/>
      </c>
      <c r="AK55" s="399">
        <f>IF(AND(Projects!$G$46="Yes",AK$3&gt;=Projects!$C$46,AK$3&lt;Projects!$C$46+Projects!$D$46),Projects!$B$46*INDEX(Curves!$B$4:$AR$4,1,AK$3-Projects!$C$46+1),0)-IF(AND(Projects!$G$46="Yes",AK$3&gt;=Projects!$C$46,AK$3&lt;Projects!$C$46+Projects!$D$46),Projects!$B$46*(Assumptions!$B$10+Assumptions!$B$11+Assumptions!$B$12)/Projects!$D$46*0.95,0)-IF(AND(Projects!$G$46="Yes",AK$3=Projects!$C$46+Projects!$D$46-1),Projects!$B$46*(Assumptions!$B$10+Assumptions!$B$11+Assumptions!$B$12)*0.05,0)</f>
        <v/>
      </c>
      <c r="AL55" s="399">
        <f>IF(AND(Projects!$G$46="Yes",AL$3&gt;=Projects!$C$46,AL$3&lt;Projects!$C$46+Projects!$D$46),Projects!$B$46*INDEX(Curves!$B$4:$AR$4,1,AL$3-Projects!$C$46+1),0)-IF(AND(Projects!$G$46="Yes",AL$3&gt;=Projects!$C$46,AL$3&lt;Projects!$C$46+Projects!$D$46),Projects!$B$46*(Assumptions!$B$10+Assumptions!$B$11+Assumptions!$B$12)/Projects!$D$46*0.95,0)-IF(AND(Projects!$G$46="Yes",AL$3=Projects!$C$46+Projects!$D$46-1),Projects!$B$46*(Assumptions!$B$10+Assumptions!$B$11+Assumptions!$B$12)*0.05,0)</f>
        <v/>
      </c>
      <c r="AM55" s="399">
        <f>IF(AND(Projects!$G$46="Yes",AM$3&gt;=Projects!$C$46,AM$3&lt;Projects!$C$46+Projects!$D$46),Projects!$B$46*INDEX(Curves!$B$4:$AR$4,1,AM$3-Projects!$C$46+1),0)-IF(AND(Projects!$G$46="Yes",AM$3&gt;=Projects!$C$46,AM$3&lt;Projects!$C$46+Projects!$D$46),Projects!$B$46*(Assumptions!$B$10+Assumptions!$B$11+Assumptions!$B$12)/Projects!$D$46*0.95,0)-IF(AND(Projects!$G$46="Yes",AM$3=Projects!$C$46+Projects!$D$46-1),Projects!$B$46*(Assumptions!$B$10+Assumptions!$B$11+Assumptions!$B$12)*0.05,0)</f>
        <v/>
      </c>
      <c r="AN55" s="399">
        <f>IF(AND(Projects!$G$46="Yes",AN$3&gt;=Projects!$C$46,AN$3&lt;Projects!$C$46+Projects!$D$46),Projects!$B$46*INDEX(Curves!$B$4:$AR$4,1,AN$3-Projects!$C$46+1),0)-IF(AND(Projects!$G$46="Yes",AN$3&gt;=Projects!$C$46,AN$3&lt;Projects!$C$46+Projects!$D$46),Projects!$B$46*(Assumptions!$B$10+Assumptions!$B$11+Assumptions!$B$12)/Projects!$D$46*0.95,0)-IF(AND(Projects!$G$46="Yes",AN$3=Projects!$C$46+Projects!$D$46-1),Projects!$B$46*(Assumptions!$B$10+Assumptions!$B$11+Assumptions!$B$12)*0.05,0)</f>
        <v/>
      </c>
      <c r="AO55" s="399">
        <f>IF(AND(Projects!$G$46="Yes",AO$3&gt;=Projects!$C$46,AO$3&lt;Projects!$C$46+Projects!$D$46),Projects!$B$46*INDEX(Curves!$B$4:$AR$4,1,AO$3-Projects!$C$46+1),0)-IF(AND(Projects!$G$46="Yes",AO$3&gt;=Projects!$C$46,AO$3&lt;Projects!$C$46+Projects!$D$46),Projects!$B$46*(Assumptions!$B$10+Assumptions!$B$11+Assumptions!$B$12)/Projects!$D$46*0.95,0)-IF(AND(Projects!$G$46="Yes",AO$3=Projects!$C$46+Projects!$D$46-1),Projects!$B$46*(Assumptions!$B$10+Assumptions!$B$11+Assumptions!$B$12)*0.05,0)</f>
        <v/>
      </c>
      <c r="AP55" s="399">
        <f>IF(AND(Projects!$G$46="Yes",AP$3&gt;=Projects!$C$46,AP$3&lt;Projects!$C$46+Projects!$D$46),Projects!$B$46*INDEX(Curves!$B$4:$AR$4,1,AP$3-Projects!$C$46+1),0)-IF(AND(Projects!$G$46="Yes",AP$3&gt;=Projects!$C$46,AP$3&lt;Projects!$C$46+Projects!$D$46),Projects!$B$46*(Assumptions!$B$10+Assumptions!$B$11+Assumptions!$B$12)/Projects!$D$46*0.95,0)-IF(AND(Projects!$G$46="Yes",AP$3=Projects!$C$46+Projects!$D$46-1),Projects!$B$46*(Assumptions!$B$10+Assumptions!$B$11+Assumptions!$B$12)*0.05,0)</f>
        <v/>
      </c>
      <c r="AQ55" s="399">
        <f>IF(AND(Projects!$G$46="Yes",AQ$3&gt;=Projects!$C$46,AQ$3&lt;Projects!$C$46+Projects!$D$46),Projects!$B$46*INDEX(Curves!$B$4:$AR$4,1,AQ$3-Projects!$C$46+1),0)-IF(AND(Projects!$G$46="Yes",AQ$3&gt;=Projects!$C$46,AQ$3&lt;Projects!$C$46+Projects!$D$46),Projects!$B$46*(Assumptions!$B$10+Assumptions!$B$11+Assumptions!$B$12)/Projects!$D$46*0.95,0)-IF(AND(Projects!$G$46="Yes",AQ$3=Projects!$C$46+Projects!$D$46-1),Projects!$B$46*(Assumptions!$B$10+Assumptions!$B$11+Assumptions!$B$12)*0.05,0)</f>
        <v/>
      </c>
      <c r="AR55" s="399">
        <f>IF(AND(Projects!$G$46="Yes",AR$3&gt;=Projects!$C$46,AR$3&lt;Projects!$C$46+Projects!$D$46),Projects!$B$46*INDEX(Curves!$B$4:$AR$4,1,AR$3-Projects!$C$46+1),0)-IF(AND(Projects!$G$46="Yes",AR$3&gt;=Projects!$C$46,AR$3&lt;Projects!$C$46+Projects!$D$46),Projects!$B$46*(Assumptions!$B$10+Assumptions!$B$11+Assumptions!$B$12)/Projects!$D$46*0.95,0)-IF(AND(Projects!$G$46="Yes",AR$3=Projects!$C$46+Projects!$D$46-1),Projects!$B$46*(Assumptions!$B$10+Assumptions!$B$11+Assumptions!$B$12)*0.05,0)</f>
        <v/>
      </c>
      <c r="AS55" s="399">
        <f>IF(AND(Projects!$G$46="Yes",AS$3&gt;=Projects!$C$46,AS$3&lt;Projects!$C$46+Projects!$D$46),Projects!$B$46*INDEX(Curves!$B$4:$AR$4,1,AS$3-Projects!$C$46+1),0)-IF(AND(Projects!$G$46="Yes",AS$3&gt;=Projects!$C$46,AS$3&lt;Projects!$C$46+Projects!$D$46),Projects!$B$46*(Assumptions!$B$10+Assumptions!$B$11+Assumptions!$B$12)/Projects!$D$46*0.95,0)-IF(AND(Projects!$G$46="Yes",AS$3=Projects!$C$46+Projects!$D$46-1),Projects!$B$46*(Assumptions!$B$10+Assumptions!$B$11+Assumptions!$B$12)*0.05,0)</f>
        <v/>
      </c>
      <c r="AT55" s="399">
        <f>IF(AND(Projects!$G$46="Yes",AT$3&gt;=Projects!$C$46,AT$3&lt;Projects!$C$46+Projects!$D$46),Projects!$B$46*INDEX(Curves!$B$4:$AR$4,1,AT$3-Projects!$C$46+1),0)-IF(AND(Projects!$G$46="Yes",AT$3&gt;=Projects!$C$46,AT$3&lt;Projects!$C$46+Projects!$D$46),Projects!$B$46*(Assumptions!$B$10+Assumptions!$B$11+Assumptions!$B$12)/Projects!$D$46*0.95,0)-IF(AND(Projects!$G$46="Yes",AT$3=Projects!$C$46+Projects!$D$46-1),Projects!$B$46*(Assumptions!$B$10+Assumptions!$B$11+Assumptions!$B$12)*0.05,0)</f>
        <v/>
      </c>
      <c r="AU55" s="399">
        <f>IF(AND(Projects!$G$46="Yes",AU$3&gt;=Projects!$C$46,AU$3&lt;Projects!$C$46+Projects!$D$46),Projects!$B$46*INDEX(Curves!$B$4:$AR$4,1,AU$3-Projects!$C$46+1),0)-IF(AND(Projects!$G$46="Yes",AU$3&gt;=Projects!$C$46,AU$3&lt;Projects!$C$46+Projects!$D$46),Projects!$B$46*(Assumptions!$B$10+Assumptions!$B$11+Assumptions!$B$12)/Projects!$D$46*0.95,0)-IF(AND(Projects!$G$46="Yes",AU$3=Projects!$C$46+Projects!$D$46-1),Projects!$B$46*(Assumptions!$B$10+Assumptions!$B$11+Assumptions!$B$12)*0.05,0)</f>
        <v/>
      </c>
      <c r="AV55" s="399">
        <f>IF(AND(Projects!$G$46="Yes",AV$3&gt;=Projects!$C$46,AV$3&lt;Projects!$C$46+Projects!$D$46),Projects!$B$46*INDEX(Curves!$B$4:$AR$4,1,AV$3-Projects!$C$46+1),0)-IF(AND(Projects!$G$46="Yes",AV$3&gt;=Projects!$C$46,AV$3&lt;Projects!$C$46+Projects!$D$46),Projects!$B$46*(Assumptions!$B$10+Assumptions!$B$11+Assumptions!$B$12)/Projects!$D$46*0.95,0)-IF(AND(Projects!$G$46="Yes",AV$3=Projects!$C$46+Projects!$D$46-1),Projects!$B$46*(Assumptions!$B$10+Assumptions!$B$11+Assumptions!$B$12)*0.05,0)</f>
        <v/>
      </c>
      <c r="AW55" s="399">
        <f>IF(AND(Projects!$G$46="Yes",AW$3&gt;=Projects!$C$46,AW$3&lt;Projects!$C$46+Projects!$D$46),Projects!$B$46*INDEX(Curves!$B$4:$AR$4,1,AW$3-Projects!$C$46+1),0)-IF(AND(Projects!$G$46="Yes",AW$3&gt;=Projects!$C$46,AW$3&lt;Projects!$C$46+Projects!$D$46),Projects!$B$46*(Assumptions!$B$10+Assumptions!$B$11+Assumptions!$B$12)/Projects!$D$46*0.95,0)-IF(AND(Projects!$G$46="Yes",AW$3=Projects!$C$46+Projects!$D$46-1),Projects!$B$46*(Assumptions!$B$10+Assumptions!$B$11+Assumptions!$B$12)*0.05,0)</f>
        <v/>
      </c>
      <c r="AX55" s="399">
        <f>IF(AND(Projects!$G$46="Yes",AX$3&gt;=Projects!$C$46,AX$3&lt;Projects!$C$46+Projects!$D$46),Projects!$B$46*INDEX(Curves!$B$4:$AR$4,1,AX$3-Projects!$C$46+1),0)-IF(AND(Projects!$G$46="Yes",AX$3&gt;=Projects!$C$46,AX$3&lt;Projects!$C$46+Projects!$D$46),Projects!$B$46*(Assumptions!$B$10+Assumptions!$B$11+Assumptions!$B$12)/Projects!$D$46*0.95,0)-IF(AND(Projects!$G$46="Yes",AX$3=Projects!$C$46+Projects!$D$46-1),Projects!$B$46*(Assumptions!$B$10+Assumptions!$B$11+Assumptions!$B$12)*0.05,0)</f>
        <v/>
      </c>
      <c r="AY55" s="399">
        <f>IF(AND(Projects!$G$46="Yes",AY$3&gt;=Projects!$C$46,AY$3&lt;Projects!$C$46+Projects!$D$46),Projects!$B$46*INDEX(Curves!$B$4:$AR$4,1,AY$3-Projects!$C$46+1),0)-IF(AND(Projects!$G$46="Yes",AY$3&gt;=Projects!$C$46,AY$3&lt;Projects!$C$46+Projects!$D$46),Projects!$B$46*(Assumptions!$B$10+Assumptions!$B$11+Assumptions!$B$12)/Projects!$D$46*0.95,0)-IF(AND(Projects!$G$46="Yes",AY$3=Projects!$C$46+Projects!$D$46-1),Projects!$B$46*(Assumptions!$B$10+Assumptions!$B$11+Assumptions!$B$12)*0.05,0)</f>
        <v/>
      </c>
      <c r="AZ55" s="399">
        <f>IF(AND(Projects!$G$46="Yes",AZ$3&gt;=Projects!$C$46,AZ$3&lt;Projects!$C$46+Projects!$D$46),Projects!$B$46*INDEX(Curves!$B$4:$AR$4,1,AZ$3-Projects!$C$46+1),0)-IF(AND(Projects!$G$46="Yes",AZ$3&gt;=Projects!$C$46,AZ$3&lt;Projects!$C$46+Projects!$D$46),Projects!$B$46*(Assumptions!$B$10+Assumptions!$B$11+Assumptions!$B$12)/Projects!$D$46*0.95,0)-IF(AND(Projects!$G$46="Yes",AZ$3=Projects!$C$46+Projects!$D$46-1),Projects!$B$46*(Assumptions!$B$10+Assumptions!$B$11+Assumptions!$B$12)*0.05,0)</f>
        <v/>
      </c>
      <c r="BA55" s="399">
        <f>IF(AND(Projects!$G$46="Yes",BA$3&gt;=Projects!$C$46,BA$3&lt;Projects!$C$46+Projects!$D$46),Projects!$B$46*INDEX(Curves!$B$4:$AR$4,1,BA$3-Projects!$C$46+1),0)-IF(AND(Projects!$G$46="Yes",BA$3&gt;=Projects!$C$46,BA$3&lt;Projects!$C$46+Projects!$D$46),Projects!$B$46*(Assumptions!$B$10+Assumptions!$B$11+Assumptions!$B$12)/Projects!$D$46*0.95,0)-IF(AND(Projects!$G$46="Yes",BA$3=Projects!$C$46+Projects!$D$46-1),Projects!$B$46*(Assumptions!$B$10+Assumptions!$B$11+Assumptions!$B$12)*0.05,0)</f>
        <v/>
      </c>
      <c r="BB55" s="399">
        <f>IF(AND(Projects!$G$46="Yes",BB$3&gt;=Projects!$C$46,BB$3&lt;Projects!$C$46+Projects!$D$46),Projects!$B$46*INDEX(Curves!$B$4:$AR$4,1,BB$3-Projects!$C$46+1),0)-IF(AND(Projects!$G$46="Yes",BB$3&gt;=Projects!$C$46,BB$3&lt;Projects!$C$46+Projects!$D$46),Projects!$B$46*(Assumptions!$B$10+Assumptions!$B$11+Assumptions!$B$12)/Projects!$D$46*0.95,0)-IF(AND(Projects!$G$46="Yes",BB$3=Projects!$C$46+Projects!$D$46-1),Projects!$B$46*(Assumptions!$B$10+Assumptions!$B$11+Assumptions!$B$12)*0.05,0)</f>
        <v/>
      </c>
      <c r="BC55" s="399">
        <f>IF(AND(Projects!$G$46="Yes",BC$3&gt;=Projects!$C$46,BC$3&lt;Projects!$C$46+Projects!$D$46),Projects!$B$46*INDEX(Curves!$B$4:$AR$4,1,BC$3-Projects!$C$46+1),0)-IF(AND(Projects!$G$46="Yes",BC$3&gt;=Projects!$C$46,BC$3&lt;Projects!$C$46+Projects!$D$46),Projects!$B$46*(Assumptions!$B$10+Assumptions!$B$11+Assumptions!$B$12)/Projects!$D$46*0.95,0)-IF(AND(Projects!$G$46="Yes",BC$3=Projects!$C$46+Projects!$D$46-1),Projects!$B$46*(Assumptions!$B$10+Assumptions!$B$11+Assumptions!$B$12)*0.05,0)</f>
        <v/>
      </c>
      <c r="BD55" s="399">
        <f>IF(AND(Projects!$G$46="Yes",BD$3&gt;=Projects!$C$46,BD$3&lt;Projects!$C$46+Projects!$D$46),Projects!$B$46*INDEX(Curves!$B$4:$AR$4,1,BD$3-Projects!$C$46+1),0)-IF(AND(Projects!$G$46="Yes",BD$3&gt;=Projects!$C$46,BD$3&lt;Projects!$C$46+Projects!$D$46),Projects!$B$46*(Assumptions!$B$10+Assumptions!$B$11+Assumptions!$B$12)/Projects!$D$46*0.95,0)-IF(AND(Projects!$G$46="Yes",BD$3=Projects!$C$46+Projects!$D$46-1),Projects!$B$46*(Assumptions!$B$10+Assumptions!$B$11+Assumptions!$B$12)*0.05,0)</f>
        <v/>
      </c>
      <c r="BE55" s="399">
        <f>IF(AND(Projects!$G$46="Yes",BE$3&gt;=Projects!$C$46,BE$3&lt;Projects!$C$46+Projects!$D$46),Projects!$B$46*INDEX(Curves!$B$4:$AR$4,1,BE$3-Projects!$C$46+1),0)-IF(AND(Projects!$G$46="Yes",BE$3&gt;=Projects!$C$46,BE$3&lt;Projects!$C$46+Projects!$D$46),Projects!$B$46*(Assumptions!$B$10+Assumptions!$B$11+Assumptions!$B$12)/Projects!$D$46*0.95,0)-IF(AND(Projects!$G$46="Yes",BE$3=Projects!$C$46+Projects!$D$46-1),Projects!$B$46*(Assumptions!$B$10+Assumptions!$B$11+Assumptions!$B$12)*0.05,0)</f>
        <v/>
      </c>
      <c r="BF55" s="399">
        <f>IF(AND(Projects!$G$46="Yes",BF$3&gt;=Projects!$C$46,BF$3&lt;Projects!$C$46+Projects!$D$46),Projects!$B$46*INDEX(Curves!$B$4:$AR$4,1,BF$3-Projects!$C$46+1),0)-IF(AND(Projects!$G$46="Yes",BF$3&gt;=Projects!$C$46,BF$3&lt;Projects!$C$46+Projects!$D$46),Projects!$B$46*(Assumptions!$B$10+Assumptions!$B$11+Assumptions!$B$12)/Projects!$D$46*0.95,0)-IF(AND(Projects!$G$46="Yes",BF$3=Projects!$C$46+Projects!$D$46-1),Projects!$B$46*(Assumptions!$B$10+Assumptions!$B$11+Assumptions!$B$12)*0.05,0)</f>
        <v/>
      </c>
      <c r="BG55" s="399">
        <f>IF(AND(Projects!$G$46="Yes",BG$3&gt;=Projects!$C$46,BG$3&lt;Projects!$C$46+Projects!$D$46),Projects!$B$46*INDEX(Curves!$B$4:$AR$4,1,BG$3-Projects!$C$46+1),0)-IF(AND(Projects!$G$46="Yes",BG$3&gt;=Projects!$C$46,BG$3&lt;Projects!$C$46+Projects!$D$46),Projects!$B$46*(Assumptions!$B$10+Assumptions!$B$11+Assumptions!$B$12)/Projects!$D$46*0.95,0)-IF(AND(Projects!$G$46="Yes",BG$3=Projects!$C$46+Projects!$D$46-1),Projects!$B$46*(Assumptions!$B$10+Assumptions!$B$11+Assumptions!$B$12)*0.05,0)</f>
        <v/>
      </c>
      <c r="BH55" s="399">
        <f>IF(AND(Projects!$G$46="Yes",BH$3&gt;=Projects!$C$46,BH$3&lt;Projects!$C$46+Projects!$D$46),Projects!$B$46*INDEX(Curves!$B$4:$AR$4,1,BH$3-Projects!$C$46+1),0)-IF(AND(Projects!$G$46="Yes",BH$3&gt;=Projects!$C$46,BH$3&lt;Projects!$C$46+Projects!$D$46),Projects!$B$46*(Assumptions!$B$10+Assumptions!$B$11+Assumptions!$B$12)/Projects!$D$46*0.95,0)-IF(AND(Projects!$G$46="Yes",BH$3=Projects!$C$46+Projects!$D$46-1),Projects!$B$46*(Assumptions!$B$10+Assumptions!$B$11+Assumptions!$B$12)*0.05,0)</f>
        <v/>
      </c>
      <c r="BI55" s="399">
        <f>IF(AND(Projects!$G$46="Yes",BI$3&gt;=Projects!$C$46,BI$3&lt;Projects!$C$46+Projects!$D$46),Projects!$B$46*INDEX(Curves!$B$4:$AR$4,1,BI$3-Projects!$C$46+1),0)-IF(AND(Projects!$G$46="Yes",BI$3&gt;=Projects!$C$46,BI$3&lt;Projects!$C$46+Projects!$D$46),Projects!$B$46*(Assumptions!$B$10+Assumptions!$B$11+Assumptions!$B$12)/Projects!$D$46*0.95,0)-IF(AND(Projects!$G$46="Yes",BI$3=Projects!$C$46+Projects!$D$46-1),Projects!$B$46*(Assumptions!$B$10+Assumptions!$B$11+Assumptions!$B$12)*0.05,0)</f>
        <v/>
      </c>
      <c r="BJ55" s="399">
        <f>IF(AND(Projects!$G$46="Yes",BJ$3&gt;=Projects!$C$46,BJ$3&lt;Projects!$C$46+Projects!$D$46),Projects!$B$46*INDEX(Curves!$B$4:$AR$4,1,BJ$3-Projects!$C$46+1),0)-IF(AND(Projects!$G$46="Yes",BJ$3&gt;=Projects!$C$46,BJ$3&lt;Projects!$C$46+Projects!$D$46),Projects!$B$46*(Assumptions!$B$10+Assumptions!$B$11+Assumptions!$B$12)/Projects!$D$46*0.95,0)-IF(AND(Projects!$G$46="Yes",BJ$3=Projects!$C$46+Projects!$D$46-1),Projects!$B$46*(Assumptions!$B$10+Assumptions!$B$11+Assumptions!$B$12)*0.05,0)</f>
        <v/>
      </c>
      <c r="BK55" s="399">
        <f>IF(AND(Projects!$G$46="Yes",BK$3&gt;=Projects!$C$46,BK$3&lt;Projects!$C$46+Projects!$D$46),Projects!$B$46*INDEX(Curves!$B$4:$AR$4,1,BK$3-Projects!$C$46+1),0)-IF(AND(Projects!$G$46="Yes",BK$3&gt;=Projects!$C$46,BK$3&lt;Projects!$C$46+Projects!$D$46),Projects!$B$46*(Assumptions!$B$10+Assumptions!$B$11+Assumptions!$B$12)/Projects!$D$46*0.95,0)-IF(AND(Projects!$G$46="Yes",BK$3=Projects!$C$46+Projects!$D$46-1),Projects!$B$46*(Assumptions!$B$10+Assumptions!$B$11+Assumptions!$B$12)*0.05,0)</f>
        <v/>
      </c>
      <c r="BL55" s="399">
        <f>IF(AND(Projects!$G$46="Yes",BL$3&gt;=Projects!$C$46,BL$3&lt;Projects!$C$46+Projects!$D$46),Projects!$B$46*INDEX(Curves!$B$4:$AR$4,1,BL$3-Projects!$C$46+1),0)-IF(AND(Projects!$G$46="Yes",BL$3&gt;=Projects!$C$46,BL$3&lt;Projects!$C$46+Projects!$D$46),Projects!$B$46*(Assumptions!$B$10+Assumptions!$B$11+Assumptions!$B$12)/Projects!$D$46*0.95,0)-IF(AND(Projects!$G$46="Yes",BL$3=Projects!$C$46+Projects!$D$46-1),Projects!$B$46*(Assumptions!$B$10+Assumptions!$B$11+Assumptions!$B$12)*0.05,0)</f>
        <v/>
      </c>
      <c r="BM55" s="399">
        <f>IF(AND(Projects!$G$46="Yes",BM$3&gt;=Projects!$C$46,BM$3&lt;Projects!$C$46+Projects!$D$46),Projects!$B$46*INDEX(Curves!$B$4:$AR$4,1,BM$3-Projects!$C$46+1),0)-IF(AND(Projects!$G$46="Yes",BM$3&gt;=Projects!$C$46,BM$3&lt;Projects!$C$46+Projects!$D$46),Projects!$B$46*(Assumptions!$B$10+Assumptions!$B$11+Assumptions!$B$12)/Projects!$D$46*0.95,0)-IF(AND(Projects!$G$46="Yes",BM$3=Projects!$C$46+Projects!$D$46-1),Projects!$B$46*(Assumptions!$B$10+Assumptions!$B$11+Assumptions!$B$12)*0.05,0)</f>
        <v/>
      </c>
      <c r="BN55" s="399">
        <f>IF(AND(Projects!$G$46="Yes",BN$3&gt;=Projects!$C$46,BN$3&lt;Projects!$C$46+Projects!$D$46),Projects!$B$46*INDEX(Curves!$B$4:$AR$4,1,BN$3-Projects!$C$46+1),0)-IF(AND(Projects!$G$46="Yes",BN$3&gt;=Projects!$C$46,BN$3&lt;Projects!$C$46+Projects!$D$46),Projects!$B$46*(Assumptions!$B$10+Assumptions!$B$11+Assumptions!$B$12)/Projects!$D$46*0.95,0)-IF(AND(Projects!$G$46="Yes",BN$3=Projects!$C$46+Projects!$D$46-1),Projects!$B$46*(Assumptions!$B$10+Assumptions!$B$11+Assumptions!$B$12)*0.05,0)</f>
        <v/>
      </c>
      <c r="BO55" s="399">
        <f>IF(AND(Projects!$G$46="Yes",BO$3&gt;=Projects!$C$46,BO$3&lt;Projects!$C$46+Projects!$D$46),Projects!$B$46*INDEX(Curves!$B$4:$AR$4,1,BO$3-Projects!$C$46+1),0)-IF(AND(Projects!$G$46="Yes",BO$3&gt;=Projects!$C$46,BO$3&lt;Projects!$C$46+Projects!$D$46),Projects!$B$46*(Assumptions!$B$10+Assumptions!$B$11+Assumptions!$B$12)/Projects!$D$46*0.95,0)-IF(AND(Projects!$G$46="Yes",BO$3=Projects!$C$46+Projects!$D$46-1),Projects!$B$46*(Assumptions!$B$10+Assumptions!$B$11+Assumptions!$B$12)*0.05,0)</f>
        <v/>
      </c>
      <c r="BP55" s="399">
        <f>IF(AND(Projects!$G$46="Yes",BP$3&gt;=Projects!$C$46,BP$3&lt;Projects!$C$46+Projects!$D$46),Projects!$B$46*INDEX(Curves!$B$4:$AR$4,1,BP$3-Projects!$C$46+1),0)-IF(AND(Projects!$G$46="Yes",BP$3&gt;=Projects!$C$46,BP$3&lt;Projects!$C$46+Projects!$D$46),Projects!$B$46*(Assumptions!$B$10+Assumptions!$B$11+Assumptions!$B$12)/Projects!$D$46*0.95,0)-IF(AND(Projects!$G$46="Yes",BP$3=Projects!$C$46+Projects!$D$46-1),Projects!$B$46*(Assumptions!$B$10+Assumptions!$B$11+Assumptions!$B$12)*0.05,0)</f>
        <v/>
      </c>
      <c r="BQ55" s="399">
        <f>IF(AND(Projects!$G$46="Yes",BQ$3&gt;=Projects!$C$46,BQ$3&lt;Projects!$C$46+Projects!$D$46),Projects!$B$46*INDEX(Curves!$B$4:$AR$4,1,BQ$3-Projects!$C$46+1),0)-IF(AND(Projects!$G$46="Yes",BQ$3&gt;=Projects!$C$46,BQ$3&lt;Projects!$C$46+Projects!$D$46),Projects!$B$46*(Assumptions!$B$10+Assumptions!$B$11+Assumptions!$B$12)/Projects!$D$46*0.95,0)-IF(AND(Projects!$G$46="Yes",BQ$3=Projects!$C$46+Projects!$D$46-1),Projects!$B$46*(Assumptions!$B$10+Assumptions!$B$11+Assumptions!$B$12)*0.05,0)</f>
        <v/>
      </c>
      <c r="BR55" s="399">
        <f>IF(AND(Projects!$G$46="Yes",BR$3&gt;=Projects!$C$46,BR$3&lt;Projects!$C$46+Projects!$D$46),Projects!$B$46*INDEX(Curves!$B$4:$AR$4,1,BR$3-Projects!$C$46+1),0)-IF(AND(Projects!$G$46="Yes",BR$3&gt;=Projects!$C$46,BR$3&lt;Projects!$C$46+Projects!$D$46),Projects!$B$46*(Assumptions!$B$10+Assumptions!$B$11+Assumptions!$B$12)/Projects!$D$46*0.95,0)-IF(AND(Projects!$G$46="Yes",BR$3=Projects!$C$46+Projects!$D$46-1),Projects!$B$46*(Assumptions!$B$10+Assumptions!$B$11+Assumptions!$B$12)*0.05,0)</f>
        <v/>
      </c>
      <c r="BS55" s="399">
        <f>IF(AND(Projects!$G$46="Yes",BS$3&gt;=Projects!$C$46,BS$3&lt;Projects!$C$46+Projects!$D$46),Projects!$B$46*INDEX(Curves!$B$4:$AR$4,1,BS$3-Projects!$C$46+1),0)-IF(AND(Projects!$G$46="Yes",BS$3&gt;=Projects!$C$46,BS$3&lt;Projects!$C$46+Projects!$D$46),Projects!$B$46*(Assumptions!$B$10+Assumptions!$B$11+Assumptions!$B$12)/Projects!$D$46*0.95,0)-IF(AND(Projects!$G$46="Yes",BS$3=Projects!$C$46+Projects!$D$46-1),Projects!$B$46*(Assumptions!$B$10+Assumptions!$B$11+Assumptions!$B$12)*0.05,0)</f>
        <v/>
      </c>
      <c r="BT55" s="399">
        <f>IF(AND(Projects!$G$46="Yes",BT$3&gt;=Projects!$C$46,BT$3&lt;Projects!$C$46+Projects!$D$46),Projects!$B$46*INDEX(Curves!$B$4:$AR$4,1,BT$3-Projects!$C$46+1),0)-IF(AND(Projects!$G$46="Yes",BT$3&gt;=Projects!$C$46,BT$3&lt;Projects!$C$46+Projects!$D$46),Projects!$B$46*(Assumptions!$B$10+Assumptions!$B$11+Assumptions!$B$12)/Projects!$D$46*0.95,0)-IF(AND(Projects!$G$46="Yes",BT$3=Projects!$C$46+Projects!$D$46-1),Projects!$B$46*(Assumptions!$B$10+Assumptions!$B$11+Assumptions!$B$12)*0.05,0)</f>
        <v/>
      </c>
      <c r="BU55" s="399">
        <f>IF(AND(Projects!$G$46="Yes",BU$3&gt;=Projects!$C$46,BU$3&lt;Projects!$C$46+Projects!$D$46),Projects!$B$46*INDEX(Curves!$B$4:$AR$4,1,BU$3-Projects!$C$46+1),0)-IF(AND(Projects!$G$46="Yes",BU$3&gt;=Projects!$C$46,BU$3&lt;Projects!$C$46+Projects!$D$46),Projects!$B$46*(Assumptions!$B$10+Assumptions!$B$11+Assumptions!$B$12)/Projects!$D$46*0.95,0)-IF(AND(Projects!$G$46="Yes",BU$3=Projects!$C$46+Projects!$D$46-1),Projects!$B$46*(Assumptions!$B$10+Assumptions!$B$11+Assumptions!$B$12)*0.05,0)</f>
        <v/>
      </c>
      <c r="BV55" s="399">
        <f>IF(AND(Projects!$G$46="Yes",BV$3&gt;=Projects!$C$46,BV$3&lt;Projects!$C$46+Projects!$D$46),Projects!$B$46*INDEX(Curves!$B$4:$AR$4,1,BV$3-Projects!$C$46+1),0)-IF(AND(Projects!$G$46="Yes",BV$3&gt;=Projects!$C$46,BV$3&lt;Projects!$C$46+Projects!$D$46),Projects!$B$46*(Assumptions!$B$10+Assumptions!$B$11+Assumptions!$B$12)/Projects!$D$46*0.95,0)-IF(AND(Projects!$G$46="Yes",BV$3=Projects!$C$46+Projects!$D$46-1),Projects!$B$46*(Assumptions!$B$10+Assumptions!$B$11+Assumptions!$B$12)*0.05,0)</f>
        <v/>
      </c>
      <c r="BW55" s="399">
        <f>IF(AND(Projects!$G$46="Yes",BW$3&gt;=Projects!$C$46,BW$3&lt;Projects!$C$46+Projects!$D$46),Projects!$B$46*INDEX(Curves!$B$4:$AR$4,1,BW$3-Projects!$C$46+1),0)-IF(AND(Projects!$G$46="Yes",BW$3&gt;=Projects!$C$46,BW$3&lt;Projects!$C$46+Projects!$D$46),Projects!$B$46*(Assumptions!$B$10+Assumptions!$B$11+Assumptions!$B$12)/Projects!$D$46*0.95,0)-IF(AND(Projects!$G$46="Yes",BW$3=Projects!$C$46+Projects!$D$46-1),Projects!$B$46*(Assumptions!$B$10+Assumptions!$B$11+Assumptions!$B$12)*0.05,0)</f>
        <v/>
      </c>
      <c r="BX55" s="399">
        <f>IF(AND(Projects!$G$46="Yes",BX$3&gt;=Projects!$C$46,BX$3&lt;Projects!$C$46+Projects!$D$46),Projects!$B$46*INDEX(Curves!$B$4:$AR$4,1,BX$3-Projects!$C$46+1),0)-IF(AND(Projects!$G$46="Yes",BX$3&gt;=Projects!$C$46,BX$3&lt;Projects!$C$46+Projects!$D$46),Projects!$B$46*(Assumptions!$B$10+Assumptions!$B$11+Assumptions!$B$12)/Projects!$D$46*0.95,0)-IF(AND(Projects!$G$46="Yes",BX$3=Projects!$C$46+Projects!$D$46-1),Projects!$B$46*(Assumptions!$B$10+Assumptions!$B$11+Assumptions!$B$12)*0.05,0)</f>
        <v/>
      </c>
      <c r="BY55" s="399">
        <f>IF(AND(Projects!$G$46="Yes",BY$3&gt;=Projects!$C$46,BY$3&lt;Projects!$C$46+Projects!$D$46),Projects!$B$46*INDEX(Curves!$B$4:$AR$4,1,BY$3-Projects!$C$46+1),0)-IF(AND(Projects!$G$46="Yes",BY$3&gt;=Projects!$C$46,BY$3&lt;Projects!$C$46+Projects!$D$46),Projects!$B$46*(Assumptions!$B$10+Assumptions!$B$11+Assumptions!$B$12)/Projects!$D$46*0.95,0)-IF(AND(Projects!$G$46="Yes",BY$3=Projects!$C$46+Projects!$D$46-1),Projects!$B$46*(Assumptions!$B$10+Assumptions!$B$11+Assumptions!$B$12)*0.05,0)</f>
        <v/>
      </c>
      <c r="BZ55" s="399">
        <f>IF(AND(Projects!$G$46="Yes",BZ$3&gt;=Projects!$C$46,BZ$3&lt;Projects!$C$46+Projects!$D$46),Projects!$B$46*INDEX(Curves!$B$4:$AR$4,1,BZ$3-Projects!$C$46+1),0)-IF(AND(Projects!$G$46="Yes",BZ$3&gt;=Projects!$C$46,BZ$3&lt;Projects!$C$46+Projects!$D$46),Projects!$B$46*(Assumptions!$B$10+Assumptions!$B$11+Assumptions!$B$12)/Projects!$D$46*0.95,0)-IF(AND(Projects!$G$46="Yes",BZ$3=Projects!$C$46+Projects!$D$46-1),Projects!$B$46*(Assumptions!$B$10+Assumptions!$B$11+Assumptions!$B$12)*0.05,0)</f>
        <v/>
      </c>
      <c r="CA55" s="399">
        <f>IF(AND(Projects!$G$46="Yes",CA$3&gt;=Projects!$C$46,CA$3&lt;Projects!$C$46+Projects!$D$46),Projects!$B$46*INDEX(Curves!$B$4:$AR$4,1,CA$3-Projects!$C$46+1),0)-IF(AND(Projects!$G$46="Yes",CA$3&gt;=Projects!$C$46,CA$3&lt;Projects!$C$46+Projects!$D$46),Projects!$B$46*(Assumptions!$B$10+Assumptions!$B$11+Assumptions!$B$12)/Projects!$D$46*0.95,0)-IF(AND(Projects!$G$46="Yes",CA$3=Projects!$C$46+Projects!$D$46-1),Projects!$B$46*(Assumptions!$B$10+Assumptions!$B$11+Assumptions!$B$12)*0.05,0)</f>
        <v/>
      </c>
      <c r="CB55" s="399">
        <f>IF(AND(Projects!$G$46="Yes",CB$3&gt;=Projects!$C$46,CB$3&lt;Projects!$C$46+Projects!$D$46),Projects!$B$46*INDEX(Curves!$B$4:$AR$4,1,CB$3-Projects!$C$46+1),0)-IF(AND(Projects!$G$46="Yes",CB$3&gt;=Projects!$C$46,CB$3&lt;Projects!$C$46+Projects!$D$46),Projects!$B$46*(Assumptions!$B$10+Assumptions!$B$11+Assumptions!$B$12)/Projects!$D$46*0.95,0)-IF(AND(Projects!$G$46="Yes",CB$3=Projects!$C$46+Projects!$D$46-1),Projects!$B$46*(Assumptions!$B$10+Assumptions!$B$11+Assumptions!$B$12)*0.05,0)</f>
        <v/>
      </c>
      <c r="CC55" s="399">
        <f>IF(AND(Projects!$G$46="Yes",CC$3&gt;=Projects!$C$46,CC$3&lt;Projects!$C$46+Projects!$D$46),Projects!$B$46*INDEX(Curves!$B$4:$AR$4,1,CC$3-Projects!$C$46+1),0)-IF(AND(Projects!$G$46="Yes",CC$3&gt;=Projects!$C$46,CC$3&lt;Projects!$C$46+Projects!$D$46),Projects!$B$46*(Assumptions!$B$10+Assumptions!$B$11+Assumptions!$B$12)/Projects!$D$46*0.95,0)-IF(AND(Projects!$G$46="Yes",CC$3=Projects!$C$46+Projects!$D$46-1),Projects!$B$46*(Assumptions!$B$10+Assumptions!$B$11+Assumptions!$B$12)*0.05,0)</f>
        <v/>
      </c>
      <c r="CD55" s="399">
        <f>IF(AND(Projects!$G$46="Yes",CD$3&gt;=Projects!$C$46,CD$3&lt;Projects!$C$46+Projects!$D$46),Projects!$B$46*INDEX(Curves!$B$4:$AR$4,1,CD$3-Projects!$C$46+1),0)-IF(AND(Projects!$G$46="Yes",CD$3&gt;=Projects!$C$46,CD$3&lt;Projects!$C$46+Projects!$D$46),Projects!$B$46*(Assumptions!$B$10+Assumptions!$B$11+Assumptions!$B$12)/Projects!$D$46*0.95,0)-IF(AND(Projects!$G$46="Yes",CD$3=Projects!$C$46+Projects!$D$46-1),Projects!$B$46*(Assumptions!$B$10+Assumptions!$B$11+Assumptions!$B$12)*0.05,0)</f>
        <v/>
      </c>
      <c r="CE55" s="399">
        <f>IF(AND(Projects!$G$46="Yes",CE$3&gt;=Projects!$C$46,CE$3&lt;Projects!$C$46+Projects!$D$46),Projects!$B$46*INDEX(Curves!$B$4:$AR$4,1,CE$3-Projects!$C$46+1),0)-IF(AND(Projects!$G$46="Yes",CE$3&gt;=Projects!$C$46,CE$3&lt;Projects!$C$46+Projects!$D$46),Projects!$B$46*(Assumptions!$B$10+Assumptions!$B$11+Assumptions!$B$12)/Projects!$D$46*0.95,0)-IF(AND(Projects!$G$46="Yes",CE$3=Projects!$C$46+Projects!$D$46-1),Projects!$B$46*(Assumptions!$B$10+Assumptions!$B$11+Assumptions!$B$12)*0.05,0)</f>
        <v/>
      </c>
      <c r="CF55" s="399">
        <f>IF(AND(Projects!$G$46="Yes",CF$3&gt;=Projects!$C$46,CF$3&lt;Projects!$C$46+Projects!$D$46),Projects!$B$46*INDEX(Curves!$B$4:$AR$4,1,CF$3-Projects!$C$46+1),0)-IF(AND(Projects!$G$46="Yes",CF$3&gt;=Projects!$C$46,CF$3&lt;Projects!$C$46+Projects!$D$46),Projects!$B$46*(Assumptions!$B$10+Assumptions!$B$11+Assumptions!$B$12)/Projects!$D$46*0.95,0)-IF(AND(Projects!$G$46="Yes",CF$3=Projects!$C$46+Projects!$D$46-1),Projects!$B$46*(Assumptions!$B$10+Assumptions!$B$11+Assumptions!$B$12)*0.05,0)</f>
        <v/>
      </c>
      <c r="CG55" s="399">
        <f>IF(AND(Projects!$G$46="Yes",CG$3&gt;=Projects!$C$46,CG$3&lt;Projects!$C$46+Projects!$D$46),Projects!$B$46*INDEX(Curves!$B$4:$AR$4,1,CG$3-Projects!$C$46+1),0)-IF(AND(Projects!$G$46="Yes",CG$3&gt;=Projects!$C$46,CG$3&lt;Projects!$C$46+Projects!$D$46),Projects!$B$46*(Assumptions!$B$10+Assumptions!$B$11+Assumptions!$B$12)/Projects!$D$46*0.95,0)-IF(AND(Projects!$G$46="Yes",CG$3=Projects!$C$46+Projects!$D$46-1),Projects!$B$46*(Assumptions!$B$10+Assumptions!$B$11+Assumptions!$B$12)*0.05,0)</f>
        <v/>
      </c>
      <c r="CH55" s="399">
        <f>IF(AND(Projects!$G$46="Yes",CH$3&gt;=Projects!$C$46,CH$3&lt;Projects!$C$46+Projects!$D$46),Projects!$B$46*INDEX(Curves!$B$4:$AR$4,1,CH$3-Projects!$C$46+1),0)-IF(AND(Projects!$G$46="Yes",CH$3&gt;=Projects!$C$46,CH$3&lt;Projects!$C$46+Projects!$D$46),Projects!$B$46*(Assumptions!$B$10+Assumptions!$B$11+Assumptions!$B$12)/Projects!$D$46*0.95,0)-IF(AND(Projects!$G$46="Yes",CH$3=Projects!$C$46+Projects!$D$46-1),Projects!$B$46*(Assumptions!$B$10+Assumptions!$B$11+Assumptions!$B$12)*0.05,0)</f>
        <v/>
      </c>
      <c r="CI55" s="399">
        <f>IF(AND(Projects!$G$46="Yes",CI$3&gt;=Projects!$C$46,CI$3&lt;Projects!$C$46+Projects!$D$46),Projects!$B$46*INDEX(Curves!$B$4:$AR$4,1,CI$3-Projects!$C$46+1),0)-IF(AND(Projects!$G$46="Yes",CI$3&gt;=Projects!$C$46,CI$3&lt;Projects!$C$46+Projects!$D$46),Projects!$B$46*(Assumptions!$B$10+Assumptions!$B$11+Assumptions!$B$12)/Projects!$D$46*0.95,0)-IF(AND(Projects!$G$46="Yes",CI$3=Projects!$C$46+Projects!$D$46-1),Projects!$B$46*(Assumptions!$B$10+Assumptions!$B$11+Assumptions!$B$12)*0.05,0)</f>
        <v/>
      </c>
      <c r="CJ55" s="399">
        <f>IF(AND(Projects!$G$46="Yes",CJ$3&gt;=Projects!$C$46,CJ$3&lt;Projects!$C$46+Projects!$D$46),Projects!$B$46*INDEX(Curves!$B$4:$AR$4,1,CJ$3-Projects!$C$46+1),0)-IF(AND(Projects!$G$46="Yes",CJ$3&gt;=Projects!$C$46,CJ$3&lt;Projects!$C$46+Projects!$D$46),Projects!$B$46*(Assumptions!$B$10+Assumptions!$B$11+Assumptions!$B$12)/Projects!$D$46*0.95,0)-IF(AND(Projects!$G$46="Yes",CJ$3=Projects!$C$46+Projects!$D$46-1),Projects!$B$46*(Assumptions!$B$10+Assumptions!$B$11+Assumptions!$B$12)*0.05,0)</f>
        <v/>
      </c>
      <c r="CK55" s="399">
        <f>IF(AND(Projects!$G$46="Yes",CK$3&gt;=Projects!$C$46,CK$3&lt;Projects!$C$46+Projects!$D$46),Projects!$B$46*INDEX(Curves!$B$4:$AR$4,1,CK$3-Projects!$C$46+1),0)-IF(AND(Projects!$G$46="Yes",CK$3&gt;=Projects!$C$46,CK$3&lt;Projects!$C$46+Projects!$D$46),Projects!$B$46*(Assumptions!$B$10+Assumptions!$B$11+Assumptions!$B$12)/Projects!$D$46*0.95,0)-IF(AND(Projects!$G$46="Yes",CK$3=Projects!$C$46+Projects!$D$46-1),Projects!$B$46*(Assumptions!$B$10+Assumptions!$B$11+Assumptions!$B$12)*0.05,0)</f>
        <v/>
      </c>
      <c r="CL55" s="399">
        <f>IF(AND(Projects!$G$46="Yes",CL$3&gt;=Projects!$C$46,CL$3&lt;Projects!$C$46+Projects!$D$46),Projects!$B$46*INDEX(Curves!$B$4:$AR$4,1,CL$3-Projects!$C$46+1),0)-IF(AND(Projects!$G$46="Yes",CL$3&gt;=Projects!$C$46,CL$3&lt;Projects!$C$46+Projects!$D$46),Projects!$B$46*(Assumptions!$B$10+Assumptions!$B$11+Assumptions!$B$12)/Projects!$D$46*0.95,0)-IF(AND(Projects!$G$46="Yes",CL$3=Projects!$C$46+Projects!$D$46-1),Projects!$B$46*(Assumptions!$B$10+Assumptions!$B$11+Assumptions!$B$12)*0.05,0)</f>
        <v/>
      </c>
      <c r="CM55" s="399">
        <f>IF(AND(Projects!$G$46="Yes",CM$3&gt;=Projects!$C$46,CM$3&lt;Projects!$C$46+Projects!$D$46),Projects!$B$46*INDEX(Curves!$B$4:$AR$4,1,CM$3-Projects!$C$46+1),0)-IF(AND(Projects!$G$46="Yes",CM$3&gt;=Projects!$C$46,CM$3&lt;Projects!$C$46+Projects!$D$46),Projects!$B$46*(Assumptions!$B$10+Assumptions!$B$11+Assumptions!$B$12)/Projects!$D$46*0.95,0)-IF(AND(Projects!$G$46="Yes",CM$3=Projects!$C$46+Projects!$D$46-1),Projects!$B$46*(Assumptions!$B$10+Assumptions!$B$11+Assumptions!$B$12)*0.05,0)</f>
        <v/>
      </c>
      <c r="CN55" s="399">
        <f>IF(AND(Projects!$G$46="Yes",CN$3&gt;=Projects!$C$46,CN$3&lt;Projects!$C$46+Projects!$D$46),Projects!$B$46*INDEX(Curves!$B$4:$AR$4,1,CN$3-Projects!$C$46+1),0)-IF(AND(Projects!$G$46="Yes",CN$3&gt;=Projects!$C$46,CN$3&lt;Projects!$C$46+Projects!$D$46),Projects!$B$46*(Assumptions!$B$10+Assumptions!$B$11+Assumptions!$B$12)/Projects!$D$46*0.95,0)-IF(AND(Projects!$G$46="Yes",CN$3=Projects!$C$46+Projects!$D$46-1),Projects!$B$46*(Assumptions!$B$10+Assumptions!$B$11+Assumptions!$B$12)*0.05,0)</f>
        <v/>
      </c>
      <c r="CO55" s="399">
        <f>IF(AND(Projects!$G$46="Yes",CO$3&gt;=Projects!$C$46,CO$3&lt;Projects!$C$46+Projects!$D$46),Projects!$B$46*INDEX(Curves!$B$4:$AR$4,1,CO$3-Projects!$C$46+1),0)-IF(AND(Projects!$G$46="Yes",CO$3&gt;=Projects!$C$46,CO$3&lt;Projects!$C$46+Projects!$D$46),Projects!$B$46*(Assumptions!$B$10+Assumptions!$B$11+Assumptions!$B$12)/Projects!$D$46*0.95,0)-IF(AND(Projects!$G$46="Yes",CO$3=Projects!$C$46+Projects!$D$46-1),Projects!$B$46*(Assumptions!$B$10+Assumptions!$B$11+Assumptions!$B$12)*0.05,0)</f>
        <v/>
      </c>
      <c r="CP55" s="399">
        <f>IF(AND(Projects!$G$46="Yes",CP$3&gt;=Projects!$C$46,CP$3&lt;Projects!$C$46+Projects!$D$46),Projects!$B$46*INDEX(Curves!$B$4:$AR$4,1,CP$3-Projects!$C$46+1),0)-IF(AND(Projects!$G$46="Yes",CP$3&gt;=Projects!$C$46,CP$3&lt;Projects!$C$46+Projects!$D$46),Projects!$B$46*(Assumptions!$B$10+Assumptions!$B$11+Assumptions!$B$12)/Projects!$D$46*0.95,0)-IF(AND(Projects!$G$46="Yes",CP$3=Projects!$C$46+Projects!$D$46-1),Projects!$B$46*(Assumptions!$B$10+Assumptions!$B$11+Assumptions!$B$12)*0.05,0)</f>
        <v/>
      </c>
      <c r="CQ55" s="399">
        <f>IF(AND(Projects!$G$46="Yes",CQ$3&gt;=Projects!$C$46,CQ$3&lt;Projects!$C$46+Projects!$D$46),Projects!$B$46*INDEX(Curves!$B$4:$AR$4,1,CQ$3-Projects!$C$46+1),0)-IF(AND(Projects!$G$46="Yes",CQ$3&gt;=Projects!$C$46,CQ$3&lt;Projects!$C$46+Projects!$D$46),Projects!$B$46*(Assumptions!$B$10+Assumptions!$B$11+Assumptions!$B$12)/Projects!$D$46*0.95,0)-IF(AND(Projects!$G$46="Yes",CQ$3=Projects!$C$46+Projects!$D$46-1),Projects!$B$46*(Assumptions!$B$10+Assumptions!$B$11+Assumptions!$B$12)*0.05,0)</f>
        <v/>
      </c>
      <c r="CR55" s="399">
        <f>IF(AND(Projects!$G$46="Yes",CR$3&gt;=Projects!$C$46,CR$3&lt;Projects!$C$46+Projects!$D$46),Projects!$B$46*INDEX(Curves!$B$4:$AR$4,1,CR$3-Projects!$C$46+1),0)-IF(AND(Projects!$G$46="Yes",CR$3&gt;=Projects!$C$46,CR$3&lt;Projects!$C$46+Projects!$D$46),Projects!$B$46*(Assumptions!$B$10+Assumptions!$B$11+Assumptions!$B$12)/Projects!$D$46*0.95,0)-IF(AND(Projects!$G$46="Yes",CR$3=Projects!$C$46+Projects!$D$46-1),Projects!$B$46*(Assumptions!$B$10+Assumptions!$B$11+Assumptions!$B$12)*0.05,0)</f>
        <v/>
      </c>
      <c r="CS55" s="399">
        <f>IF(AND(Projects!$G$46="Yes",CS$3&gt;=Projects!$C$46,CS$3&lt;Projects!$C$46+Projects!$D$46),Projects!$B$46*INDEX(Curves!$B$4:$AR$4,1,CS$3-Projects!$C$46+1),0)-IF(AND(Projects!$G$46="Yes",CS$3&gt;=Projects!$C$46,CS$3&lt;Projects!$C$46+Projects!$D$46),Projects!$B$46*(Assumptions!$B$10+Assumptions!$B$11+Assumptions!$B$12)/Projects!$D$46*0.95,0)-IF(AND(Projects!$G$46="Yes",CS$3=Projects!$C$46+Projects!$D$46-1),Projects!$B$46*(Assumptions!$B$10+Assumptions!$B$11+Assumptions!$B$12)*0.05,0)</f>
        <v/>
      </c>
      <c r="CT55" s="399">
        <f>IF(AND(Projects!$G$46="Yes",CT$3&gt;=Projects!$C$46,CT$3&lt;Projects!$C$46+Projects!$D$46),Projects!$B$46*INDEX(Curves!$B$4:$AR$4,1,CT$3-Projects!$C$46+1),0)-IF(AND(Projects!$G$46="Yes",CT$3&gt;=Projects!$C$46,CT$3&lt;Projects!$C$46+Projects!$D$46),Projects!$B$46*(Assumptions!$B$10+Assumptions!$B$11+Assumptions!$B$12)/Projects!$D$46*0.95,0)-IF(AND(Projects!$G$46="Yes",CT$3=Projects!$C$46+Projects!$D$46-1),Projects!$B$46*(Assumptions!$B$10+Assumptions!$B$11+Assumptions!$B$12)*0.05,0)</f>
        <v/>
      </c>
      <c r="CU55" s="399">
        <f>IF(AND(Projects!$G$46="Yes",CU$3&gt;=Projects!$C$46,CU$3&lt;Projects!$C$46+Projects!$D$46),Projects!$B$46*INDEX(Curves!$B$4:$AR$4,1,CU$3-Projects!$C$46+1),0)-IF(AND(Projects!$G$46="Yes",CU$3&gt;=Projects!$C$46,CU$3&lt;Projects!$C$46+Projects!$D$46),Projects!$B$46*(Assumptions!$B$10+Assumptions!$B$11+Assumptions!$B$12)/Projects!$D$46*0.95,0)-IF(AND(Projects!$G$46="Yes",CU$3=Projects!$C$46+Projects!$D$46-1),Projects!$B$46*(Assumptions!$B$10+Assumptions!$B$11+Assumptions!$B$12)*0.05,0)</f>
        <v/>
      </c>
      <c r="CV55" s="399">
        <f>IF(AND(Projects!$G$46="Yes",CV$3&gt;=Projects!$C$46,CV$3&lt;Projects!$C$46+Projects!$D$46),Projects!$B$46*INDEX(Curves!$B$4:$AR$4,1,CV$3-Projects!$C$46+1),0)-IF(AND(Projects!$G$46="Yes",CV$3&gt;=Projects!$C$46,CV$3&lt;Projects!$C$46+Projects!$D$46),Projects!$B$46*(Assumptions!$B$10+Assumptions!$B$11+Assumptions!$B$12)/Projects!$D$46*0.95,0)-IF(AND(Projects!$G$46="Yes",CV$3=Projects!$C$46+Projects!$D$46-1),Projects!$B$46*(Assumptions!$B$10+Assumptions!$B$11+Assumptions!$B$12)*0.05,0)</f>
        <v/>
      </c>
      <c r="CW55" s="399">
        <f>IF(AND(Projects!$G$46="Yes",CW$3&gt;=Projects!$C$46,CW$3&lt;Projects!$C$46+Projects!$D$46),Projects!$B$46*INDEX(Curves!$B$4:$AR$4,1,CW$3-Projects!$C$46+1),0)-IF(AND(Projects!$G$46="Yes",CW$3&gt;=Projects!$C$46,CW$3&lt;Projects!$C$46+Projects!$D$46),Projects!$B$46*(Assumptions!$B$10+Assumptions!$B$11+Assumptions!$B$12)/Projects!$D$46*0.95,0)-IF(AND(Projects!$G$46="Yes",CW$3=Projects!$C$46+Projects!$D$46-1),Projects!$B$46*(Assumptions!$B$10+Assumptions!$B$11+Assumptions!$B$12)*0.05,0)</f>
        <v/>
      </c>
      <c r="CX55" s="399">
        <f>IF(AND(Projects!$G$46="Yes",CX$3&gt;=Projects!$C$46,CX$3&lt;Projects!$C$46+Projects!$D$46),Projects!$B$46*INDEX(Curves!$B$4:$AR$4,1,CX$3-Projects!$C$46+1),0)-IF(AND(Projects!$G$46="Yes",CX$3&gt;=Projects!$C$46,CX$3&lt;Projects!$C$46+Projects!$D$46),Projects!$B$46*(Assumptions!$B$10+Assumptions!$B$11+Assumptions!$B$12)/Projects!$D$46*0.95,0)-IF(AND(Projects!$G$46="Yes",CX$3=Projects!$C$46+Projects!$D$46-1),Projects!$B$46*(Assumptions!$B$10+Assumptions!$B$11+Assumptions!$B$12)*0.05,0)</f>
        <v/>
      </c>
      <c r="CY55" s="399">
        <f>IF(AND(Projects!$G$46="Yes",CY$3&gt;=Projects!$C$46,CY$3&lt;Projects!$C$46+Projects!$D$46),Projects!$B$46*INDEX(Curves!$B$4:$AR$4,1,CY$3-Projects!$C$46+1),0)-IF(AND(Projects!$G$46="Yes",CY$3&gt;=Projects!$C$46,CY$3&lt;Projects!$C$46+Projects!$D$46),Projects!$B$46*(Assumptions!$B$10+Assumptions!$B$11+Assumptions!$B$12)/Projects!$D$46*0.95,0)-IF(AND(Projects!$G$46="Yes",CY$3=Projects!$C$46+Projects!$D$46-1),Projects!$B$46*(Assumptions!$B$10+Assumptions!$B$11+Assumptions!$B$12)*0.05,0)</f>
        <v/>
      </c>
      <c r="CZ55" s="399">
        <f>IF(AND(Projects!$G$46="Yes",CZ$3&gt;=Projects!$C$46,CZ$3&lt;Projects!$C$46+Projects!$D$46),Projects!$B$46*INDEX(Curves!$B$4:$AR$4,1,CZ$3-Projects!$C$46+1),0)-IF(AND(Projects!$G$46="Yes",CZ$3&gt;=Projects!$C$46,CZ$3&lt;Projects!$C$46+Projects!$D$46),Projects!$B$46*(Assumptions!$B$10+Assumptions!$B$11+Assumptions!$B$12)/Projects!$D$46*0.95,0)-IF(AND(Projects!$G$46="Yes",CZ$3=Projects!$C$46+Projects!$D$46-1),Projects!$B$46*(Assumptions!$B$10+Assumptions!$B$11+Assumptions!$B$12)*0.05,0)</f>
        <v/>
      </c>
      <c r="DA55" s="399">
        <f>IF(AND(Projects!$G$46="Yes",DA$3&gt;=Projects!$C$46,DA$3&lt;Projects!$C$46+Projects!$D$46),Projects!$B$46*INDEX(Curves!$B$4:$AR$4,1,DA$3-Projects!$C$46+1),0)-IF(AND(Projects!$G$46="Yes",DA$3&gt;=Projects!$C$46,DA$3&lt;Projects!$C$46+Projects!$D$46),Projects!$B$46*(Assumptions!$B$10+Assumptions!$B$11+Assumptions!$B$12)/Projects!$D$46*0.95,0)-IF(AND(Projects!$G$46="Yes",DA$3=Projects!$C$46+Projects!$D$46-1),Projects!$B$46*(Assumptions!$B$10+Assumptions!$B$11+Assumptions!$B$12)*0.05,0)</f>
        <v/>
      </c>
      <c r="DB55" s="399">
        <f>IF(AND(Projects!$G$46="Yes",DB$3&gt;=Projects!$C$46,DB$3&lt;Projects!$C$46+Projects!$D$46),Projects!$B$46*INDEX(Curves!$B$4:$AR$4,1,DB$3-Projects!$C$46+1),0)-IF(AND(Projects!$G$46="Yes",DB$3&gt;=Projects!$C$46,DB$3&lt;Projects!$C$46+Projects!$D$46),Projects!$B$46*(Assumptions!$B$10+Assumptions!$B$11+Assumptions!$B$12)/Projects!$D$46*0.95,0)-IF(AND(Projects!$G$46="Yes",DB$3=Projects!$C$46+Projects!$D$46-1),Projects!$B$46*(Assumptions!$B$10+Assumptions!$B$11+Assumptions!$B$12)*0.05,0)</f>
        <v/>
      </c>
      <c r="DC55" s="399">
        <f>IF(AND(Projects!$G$46="Yes",DC$3&gt;=Projects!$C$46,DC$3&lt;Projects!$C$46+Projects!$D$46),Projects!$B$46*INDEX(Curves!$B$4:$AR$4,1,DC$3-Projects!$C$46+1),0)-IF(AND(Projects!$G$46="Yes",DC$3&gt;=Projects!$C$46,DC$3&lt;Projects!$C$46+Projects!$D$46),Projects!$B$46*(Assumptions!$B$10+Assumptions!$B$11+Assumptions!$B$12)/Projects!$D$46*0.95,0)-IF(AND(Projects!$G$46="Yes",DC$3=Projects!$C$46+Projects!$D$46-1),Projects!$B$46*(Assumptions!$B$10+Assumptions!$B$11+Assumptions!$B$12)*0.05,0)</f>
        <v/>
      </c>
      <c r="DD55" s="399">
        <f>IF(AND(Projects!$G$46="Yes",DD$3&gt;=Projects!$C$46,DD$3&lt;Projects!$C$46+Projects!$D$46),Projects!$B$46*INDEX(Curves!$B$4:$AR$4,1,DD$3-Projects!$C$46+1),0)-IF(AND(Projects!$G$46="Yes",DD$3&gt;=Projects!$C$46,DD$3&lt;Projects!$C$46+Projects!$D$46),Projects!$B$46*(Assumptions!$B$10+Assumptions!$B$11+Assumptions!$B$12)/Projects!$D$46*0.95,0)-IF(AND(Projects!$G$46="Yes",DD$3=Projects!$C$46+Projects!$D$46-1),Projects!$B$46*(Assumptions!$B$10+Assumptions!$B$11+Assumptions!$B$12)*0.05,0)</f>
        <v/>
      </c>
      <c r="DE55" s="399">
        <f>IF(AND(Projects!$G$46="Yes",DE$3&gt;=Projects!$C$46,DE$3&lt;Projects!$C$46+Projects!$D$46),Projects!$B$46*INDEX(Curves!$B$4:$AR$4,1,DE$3-Projects!$C$46+1),0)-IF(AND(Projects!$G$46="Yes",DE$3&gt;=Projects!$C$46,DE$3&lt;Projects!$C$46+Projects!$D$46),Projects!$B$46*(Assumptions!$B$10+Assumptions!$B$11+Assumptions!$B$12)/Projects!$D$46*0.95,0)-IF(AND(Projects!$G$46="Yes",DE$3=Projects!$C$46+Projects!$D$46-1),Projects!$B$46*(Assumptions!$B$10+Assumptions!$B$11+Assumptions!$B$12)*0.05,0)</f>
        <v/>
      </c>
    </row>
    <row r="56" hidden="1" outlineLevel="1" ht="15" customFormat="1" customHeight="1" s="380">
      <c r="A56" s="407" t="inlineStr">
        <is>
          <t>Other (non-project)</t>
        </is>
      </c>
      <c r="B56" s="399" t="n">
        <v>0</v>
      </c>
      <c r="C56" s="399" t="n">
        <v>0</v>
      </c>
      <c r="D56" s="399" t="n">
        <v>0</v>
      </c>
      <c r="E56" s="399" t="n">
        <v>0</v>
      </c>
      <c r="F56" s="399" t="n">
        <v>0</v>
      </c>
      <c r="G56" s="399" t="n">
        <v>0</v>
      </c>
      <c r="H56" s="399" t="n">
        <v>0</v>
      </c>
      <c r="I56" s="399" t="n">
        <v>0</v>
      </c>
      <c r="J56" s="399" t="n">
        <v>0</v>
      </c>
      <c r="K56" s="399" t="n">
        <v>0</v>
      </c>
      <c r="L56" s="399" t="n">
        <v>0</v>
      </c>
      <c r="M56" s="399" t="n">
        <v>0</v>
      </c>
      <c r="N56" s="399" t="n">
        <v>0</v>
      </c>
      <c r="O56" s="399" t="n">
        <v>0</v>
      </c>
      <c r="P56" s="399" t="n">
        <v>0</v>
      </c>
      <c r="Q56" s="399" t="n">
        <v>0</v>
      </c>
      <c r="R56" s="399" t="n">
        <v>0</v>
      </c>
      <c r="S56" s="399" t="n">
        <v>0</v>
      </c>
      <c r="T56" s="399" t="n">
        <v>0</v>
      </c>
      <c r="U56" s="399" t="n">
        <v>0</v>
      </c>
      <c r="V56" s="399" t="n">
        <v>0</v>
      </c>
      <c r="W56" s="399" t="n">
        <v>0</v>
      </c>
      <c r="X56" s="399" t="n">
        <v>0</v>
      </c>
      <c r="Y56" s="399" t="n">
        <v>0</v>
      </c>
      <c r="Z56" s="399" t="n">
        <v>0</v>
      </c>
      <c r="AA56" s="399" t="n">
        <v>0</v>
      </c>
      <c r="AB56" s="399" t="n">
        <v>0</v>
      </c>
      <c r="AC56" s="399" t="n">
        <v>0</v>
      </c>
      <c r="AD56" s="399" t="n">
        <v>0</v>
      </c>
      <c r="AE56" s="399" t="n">
        <v>0</v>
      </c>
      <c r="AF56" s="399" t="n">
        <v>0</v>
      </c>
      <c r="AG56" s="399" t="n">
        <v>0</v>
      </c>
      <c r="AH56" s="399" t="n">
        <v>0</v>
      </c>
      <c r="AI56" s="399" t="n">
        <v>0</v>
      </c>
      <c r="AJ56" s="399" t="n">
        <v>0</v>
      </c>
      <c r="AK56" s="399" t="n">
        <v>0</v>
      </c>
      <c r="AL56" s="399" t="n">
        <v>0</v>
      </c>
      <c r="AM56" s="399" t="n">
        <v>0</v>
      </c>
      <c r="AN56" s="399" t="n">
        <v>0</v>
      </c>
      <c r="AO56" s="399" t="n">
        <v>0</v>
      </c>
      <c r="AP56" s="399" t="n">
        <v>0</v>
      </c>
      <c r="AQ56" s="399" t="n">
        <v>0</v>
      </c>
      <c r="AR56" s="399" t="n">
        <v>0</v>
      </c>
      <c r="AS56" s="399" t="n">
        <v>0</v>
      </c>
      <c r="AT56" s="399" t="n">
        <v>0</v>
      </c>
      <c r="AU56" s="399" t="n">
        <v>0</v>
      </c>
      <c r="AV56" s="399" t="n">
        <v>0</v>
      </c>
      <c r="AW56" s="399" t="n">
        <v>0</v>
      </c>
      <c r="AX56" s="399" t="n">
        <v>0</v>
      </c>
      <c r="AY56" s="399" t="n">
        <v>0</v>
      </c>
      <c r="AZ56" s="399" t="n">
        <v>0</v>
      </c>
      <c r="BA56" s="399" t="n">
        <v>0</v>
      </c>
      <c r="BB56" s="399" t="n">
        <v>0</v>
      </c>
      <c r="BC56" s="399" t="n">
        <v>0</v>
      </c>
      <c r="BD56" s="399" t="n">
        <v>0</v>
      </c>
      <c r="BE56" s="399" t="n">
        <v>0</v>
      </c>
      <c r="BF56" s="399" t="n">
        <v>0</v>
      </c>
      <c r="BG56" s="399" t="n">
        <v>0</v>
      </c>
      <c r="BH56" s="399" t="n">
        <v>0</v>
      </c>
      <c r="BI56" s="399" t="n">
        <v>0</v>
      </c>
      <c r="BJ56" s="399" t="n">
        <v>0</v>
      </c>
      <c r="BK56" s="399" t="n">
        <v>0</v>
      </c>
      <c r="BL56" s="399" t="n">
        <v>0</v>
      </c>
      <c r="BM56" s="399" t="n">
        <v>0</v>
      </c>
      <c r="BN56" s="399" t="n">
        <v>0</v>
      </c>
      <c r="BO56" s="399" t="n">
        <v>0</v>
      </c>
      <c r="BP56" s="399" t="n">
        <v>0</v>
      </c>
      <c r="BQ56" s="399" t="n">
        <v>0</v>
      </c>
      <c r="BR56" s="399" t="n">
        <v>0</v>
      </c>
      <c r="BS56" s="399" t="n">
        <v>0</v>
      </c>
      <c r="BT56" s="399" t="n">
        <v>0</v>
      </c>
      <c r="BU56" s="399" t="n">
        <v>0</v>
      </c>
      <c r="BV56" s="399" t="n">
        <v>0</v>
      </c>
      <c r="BW56" s="399" t="n">
        <v>0</v>
      </c>
      <c r="BX56" s="399" t="n">
        <v>0</v>
      </c>
      <c r="BY56" s="399" t="n">
        <v>0</v>
      </c>
      <c r="BZ56" s="399" t="n">
        <v>0</v>
      </c>
      <c r="CA56" s="399" t="n">
        <v>0</v>
      </c>
      <c r="CB56" s="399" t="n">
        <v>0</v>
      </c>
      <c r="CC56" s="399" t="n">
        <v>0</v>
      </c>
      <c r="CD56" s="399" t="n">
        <v>0</v>
      </c>
      <c r="CE56" s="399" t="n">
        <v>0</v>
      </c>
      <c r="CF56" s="399" t="n">
        <v>0</v>
      </c>
      <c r="CG56" s="399" t="n">
        <v>0</v>
      </c>
      <c r="CH56" s="399" t="n">
        <v>0</v>
      </c>
      <c r="CI56" s="399" t="n">
        <v>0</v>
      </c>
      <c r="CJ56" s="399" t="n">
        <v>0</v>
      </c>
      <c r="CK56" s="399" t="n">
        <v>0</v>
      </c>
      <c r="CL56" s="399" t="n">
        <v>0</v>
      </c>
      <c r="CM56" s="399" t="n">
        <v>0</v>
      </c>
      <c r="CN56" s="399" t="n">
        <v>0</v>
      </c>
      <c r="CO56" s="399" t="n">
        <v>0</v>
      </c>
      <c r="CP56" s="399" t="n">
        <v>0</v>
      </c>
      <c r="CQ56" s="399" t="n">
        <v>0</v>
      </c>
      <c r="CR56" s="399" t="n">
        <v>0</v>
      </c>
      <c r="CS56" s="399" t="n">
        <v>0</v>
      </c>
      <c r="CT56" s="399" t="n">
        <v>0</v>
      </c>
      <c r="CU56" s="399" t="n">
        <v>0</v>
      </c>
      <c r="CV56" s="399" t="n">
        <v>0</v>
      </c>
      <c r="CW56" s="399" t="n">
        <v>0</v>
      </c>
      <c r="CX56" s="399" t="n">
        <v>0</v>
      </c>
      <c r="CY56" s="399" t="n">
        <v>0</v>
      </c>
      <c r="CZ56" s="399" t="n">
        <v>0</v>
      </c>
      <c r="DA56" s="399" t="n">
        <v>0</v>
      </c>
      <c r="DB56" s="399" t="n">
        <v>0</v>
      </c>
      <c r="DC56" s="399" t="n">
        <v>0</v>
      </c>
      <c r="DD56" s="399" t="n">
        <v>0</v>
      </c>
      <c r="DE56" s="399" t="n">
        <v>0</v>
      </c>
    </row>
    <row r="57" collapsed="1" ht="15" customFormat="1" customHeight="1" s="380">
      <c r="A57" s="408" t="inlineStr">
        <is>
          <t>Total Trades and Site Cost Billing</t>
        </is>
      </c>
      <c r="B57" s="409">
        <f>SUM(B13:B56)</f>
        <v/>
      </c>
      <c r="C57" s="409">
        <f>SUM(C13:C56)</f>
        <v/>
      </c>
      <c r="D57" s="409">
        <f>SUM(D13:D56)</f>
        <v/>
      </c>
      <c r="E57" s="409">
        <f>SUM(E13:E56)</f>
        <v/>
      </c>
      <c r="F57" s="409">
        <f>SUM(F13:F56)</f>
        <v/>
      </c>
      <c r="G57" s="409">
        <f>SUM(G13:G56)</f>
        <v/>
      </c>
      <c r="H57" s="409">
        <f>SUM(H13:H56)</f>
        <v/>
      </c>
      <c r="I57" s="409">
        <f>SUM(I13:I56)</f>
        <v/>
      </c>
      <c r="J57" s="409">
        <f>SUM(J13:J56)</f>
        <v/>
      </c>
      <c r="K57" s="409">
        <f>SUM(K13:K56)</f>
        <v/>
      </c>
      <c r="L57" s="409">
        <f>SUM(L13:L56)</f>
        <v/>
      </c>
      <c r="M57" s="409">
        <f>SUM(M13:M56)</f>
        <v/>
      </c>
      <c r="N57" s="409">
        <f>SUM(N13:N56)</f>
        <v/>
      </c>
      <c r="O57" s="409">
        <f>SUM(O13:O56)</f>
        <v/>
      </c>
      <c r="P57" s="409">
        <f>SUM(P13:P56)</f>
        <v/>
      </c>
      <c r="Q57" s="409">
        <f>SUM(Q13:Q56)</f>
        <v/>
      </c>
      <c r="R57" s="409">
        <f>SUM(R13:R56)</f>
        <v/>
      </c>
      <c r="S57" s="409">
        <f>SUM(S13:S56)</f>
        <v/>
      </c>
      <c r="T57" s="409">
        <f>SUM(T13:T56)</f>
        <v/>
      </c>
      <c r="U57" s="409">
        <f>SUM(U13:U56)</f>
        <v/>
      </c>
      <c r="V57" s="409">
        <f>SUM(V13:V56)</f>
        <v/>
      </c>
      <c r="W57" s="409">
        <f>SUM(W13:W56)</f>
        <v/>
      </c>
      <c r="X57" s="409">
        <f>SUM(X13:X56)</f>
        <v/>
      </c>
      <c r="Y57" s="409">
        <f>SUM(Y13:Y56)</f>
        <v/>
      </c>
      <c r="Z57" s="409">
        <f>SUM(Z13:Z56)</f>
        <v/>
      </c>
      <c r="AA57" s="409">
        <f>SUM(AA13:AA56)</f>
        <v/>
      </c>
      <c r="AB57" s="409">
        <f>SUM(AB13:AB56)</f>
        <v/>
      </c>
      <c r="AC57" s="409">
        <f>SUM(AC13:AC56)</f>
        <v/>
      </c>
      <c r="AD57" s="409">
        <f>SUM(AD13:AD56)</f>
        <v/>
      </c>
      <c r="AE57" s="409">
        <f>SUM(AE13:AE56)</f>
        <v/>
      </c>
      <c r="AF57" s="409">
        <f>SUM(AF13:AF56)</f>
        <v/>
      </c>
      <c r="AG57" s="409">
        <f>SUM(AG13:AG56)</f>
        <v/>
      </c>
      <c r="AH57" s="409">
        <f>SUM(AH13:AH56)</f>
        <v/>
      </c>
      <c r="AI57" s="409">
        <f>SUM(AI13:AI56)</f>
        <v/>
      </c>
      <c r="AJ57" s="409">
        <f>SUM(AJ13:AJ56)</f>
        <v/>
      </c>
      <c r="AK57" s="409">
        <f>SUM(AK13:AK56)</f>
        <v/>
      </c>
      <c r="AL57" s="409">
        <f>SUM(AL13:AL56)</f>
        <v/>
      </c>
      <c r="AM57" s="409">
        <f>SUM(AM13:AM56)</f>
        <v/>
      </c>
      <c r="AN57" s="409">
        <f>SUM(AN13:AN56)</f>
        <v/>
      </c>
      <c r="AO57" s="409">
        <f>SUM(AO13:AO56)</f>
        <v/>
      </c>
      <c r="AP57" s="409">
        <f>SUM(AP13:AP56)</f>
        <v/>
      </c>
      <c r="AQ57" s="409">
        <f>SUM(AQ13:AQ56)</f>
        <v/>
      </c>
      <c r="AR57" s="409">
        <f>SUM(AR13:AR56)</f>
        <v/>
      </c>
      <c r="AS57" s="409">
        <f>SUM(AS13:AS56)</f>
        <v/>
      </c>
      <c r="AT57" s="409">
        <f>SUM(AT13:AT56)</f>
        <v/>
      </c>
      <c r="AU57" s="409">
        <f>SUM(AU13:AU56)</f>
        <v/>
      </c>
      <c r="AV57" s="409">
        <f>SUM(AV13:AV56)</f>
        <v/>
      </c>
      <c r="AW57" s="409">
        <f>SUM(AW13:AW56)</f>
        <v/>
      </c>
      <c r="AX57" s="409">
        <f>SUM(AX13:AX56)</f>
        <v/>
      </c>
      <c r="AY57" s="409">
        <f>SUM(AY13:AY56)</f>
        <v/>
      </c>
      <c r="AZ57" s="409">
        <f>SUM(AZ13:AZ56)</f>
        <v/>
      </c>
      <c r="BA57" s="409">
        <f>SUM(BA13:BA56)</f>
        <v/>
      </c>
      <c r="BB57" s="409">
        <f>SUM(BB13:BB56)</f>
        <v/>
      </c>
      <c r="BC57" s="409">
        <f>SUM(BC13:BC56)</f>
        <v/>
      </c>
      <c r="BD57" s="409">
        <f>SUM(BD13:BD56)</f>
        <v/>
      </c>
      <c r="BE57" s="409">
        <f>SUM(BE13:BE56)</f>
        <v/>
      </c>
      <c r="BF57" s="409">
        <f>SUM(BF13:BF56)</f>
        <v/>
      </c>
      <c r="BG57" s="409">
        <f>SUM(BG13:BG56)</f>
        <v/>
      </c>
      <c r="BH57" s="409">
        <f>SUM(BH13:BH56)</f>
        <v/>
      </c>
      <c r="BI57" s="409">
        <f>SUM(BI13:BI56)</f>
        <v/>
      </c>
      <c r="BJ57" s="409">
        <f>SUM(BJ13:BJ56)</f>
        <v/>
      </c>
      <c r="BK57" s="409">
        <f>SUM(BK13:BK56)</f>
        <v/>
      </c>
      <c r="BL57" s="409">
        <f>SUM(BL13:BL56)</f>
        <v/>
      </c>
      <c r="BM57" s="409">
        <f>SUM(BM13:BM56)</f>
        <v/>
      </c>
      <c r="BN57" s="409">
        <f>SUM(BN13:BN56)</f>
        <v/>
      </c>
      <c r="BO57" s="409">
        <f>SUM(BO13:BO56)</f>
        <v/>
      </c>
      <c r="BP57" s="409">
        <f>SUM(BP13:BP56)</f>
        <v/>
      </c>
      <c r="BQ57" s="409">
        <f>SUM(BQ13:BQ56)</f>
        <v/>
      </c>
      <c r="BR57" s="409">
        <f>SUM(BR13:BR56)</f>
        <v/>
      </c>
      <c r="BS57" s="409">
        <f>SUM(BS13:BS56)</f>
        <v/>
      </c>
      <c r="BT57" s="409">
        <f>SUM(BT13:BT56)</f>
        <v/>
      </c>
      <c r="BU57" s="409">
        <f>SUM(BU13:BU56)</f>
        <v/>
      </c>
      <c r="BV57" s="409">
        <f>SUM(BV13:BV56)</f>
        <v/>
      </c>
      <c r="BW57" s="409">
        <f>SUM(BW13:BW56)</f>
        <v/>
      </c>
      <c r="BX57" s="409">
        <f>SUM(BX13:BX56)</f>
        <v/>
      </c>
      <c r="BY57" s="409">
        <f>SUM(BY13:BY56)</f>
        <v/>
      </c>
      <c r="BZ57" s="409">
        <f>SUM(BZ13:BZ56)</f>
        <v/>
      </c>
      <c r="CA57" s="409">
        <f>SUM(CA13:CA56)</f>
        <v/>
      </c>
      <c r="CB57" s="409">
        <f>SUM(CB13:CB56)</f>
        <v/>
      </c>
      <c r="CC57" s="409">
        <f>SUM(CC13:CC56)</f>
        <v/>
      </c>
      <c r="CD57" s="409">
        <f>SUM(CD13:CD56)</f>
        <v/>
      </c>
      <c r="CE57" s="409">
        <f>SUM(CE13:CE56)</f>
        <v/>
      </c>
      <c r="CF57" s="409">
        <f>SUM(CF13:CF56)</f>
        <v/>
      </c>
      <c r="CG57" s="409">
        <f>SUM(CG13:CG56)</f>
        <v/>
      </c>
      <c r="CH57" s="409">
        <f>SUM(CH13:CH56)</f>
        <v/>
      </c>
      <c r="CI57" s="409">
        <f>SUM(CI13:CI56)</f>
        <v/>
      </c>
      <c r="CJ57" s="409">
        <f>SUM(CJ13:CJ56)</f>
        <v/>
      </c>
      <c r="CK57" s="409">
        <f>SUM(CK13:CK56)</f>
        <v/>
      </c>
      <c r="CL57" s="409">
        <f>SUM(CL13:CL56)</f>
        <v/>
      </c>
      <c r="CM57" s="409">
        <f>SUM(CM13:CM56)</f>
        <v/>
      </c>
      <c r="CN57" s="409">
        <f>SUM(CN13:CN56)</f>
        <v/>
      </c>
      <c r="CO57" s="409">
        <f>SUM(CO13:CO56)</f>
        <v/>
      </c>
      <c r="CP57" s="409">
        <f>SUM(CP13:CP56)</f>
        <v/>
      </c>
      <c r="CQ57" s="409">
        <f>SUM(CQ13:CQ56)</f>
        <v/>
      </c>
      <c r="CR57" s="409">
        <f>SUM(CR13:CR56)</f>
        <v/>
      </c>
      <c r="CS57" s="409">
        <f>SUM(CS13:CS56)</f>
        <v/>
      </c>
      <c r="CT57" s="409">
        <f>SUM(CT13:CT56)</f>
        <v/>
      </c>
      <c r="CU57" s="409">
        <f>SUM(CU13:CU56)</f>
        <v/>
      </c>
      <c r="CV57" s="409">
        <f>SUM(CV13:CV56)</f>
        <v/>
      </c>
      <c r="CW57" s="409">
        <f>SUM(CW13:CW56)</f>
        <v/>
      </c>
      <c r="CX57" s="409">
        <f>SUM(CX13:CX56)</f>
        <v/>
      </c>
      <c r="CY57" s="409">
        <f>SUM(CY13:CY56)</f>
        <v/>
      </c>
      <c r="CZ57" s="409">
        <f>SUM(CZ13:CZ56)</f>
        <v/>
      </c>
      <c r="DA57" s="409">
        <f>SUM(DA13:DA56)</f>
        <v/>
      </c>
      <c r="DB57" s="409">
        <f>SUM(DB13:DB56)</f>
        <v/>
      </c>
      <c r="DC57" s="409">
        <f>SUM(DC13:DC56)</f>
        <v/>
      </c>
      <c r="DD57" s="409">
        <f>SUM(DD13:DD56)</f>
        <v/>
      </c>
      <c r="DE57" s="409">
        <f>SUM(DE13:DE56)</f>
        <v/>
      </c>
    </row>
    <row r="58" ht="15" customFormat="1" customHeight="1" s="380">
      <c r="A58" s="408" t="inlineStr">
        <is>
          <t>Total Revenues</t>
        </is>
      </c>
      <c r="B58" s="409">
        <f>B10+B11+B57</f>
        <v/>
      </c>
      <c r="C58" s="409">
        <f>C10+C11+C57</f>
        <v/>
      </c>
      <c r="D58" s="409">
        <f>D10+D11+D57</f>
        <v/>
      </c>
      <c r="E58" s="409">
        <f>E10+E11+E57</f>
        <v/>
      </c>
      <c r="F58" s="409">
        <f>F10+F11+F57</f>
        <v/>
      </c>
      <c r="G58" s="409">
        <f>G10+G11+G57</f>
        <v/>
      </c>
      <c r="H58" s="409">
        <f>H10+H11+H57</f>
        <v/>
      </c>
      <c r="I58" s="409">
        <f>I10+I11+I57</f>
        <v/>
      </c>
      <c r="J58" s="409">
        <f>J10+J11+J57</f>
        <v/>
      </c>
      <c r="K58" s="409">
        <f>K10+K11+K57</f>
        <v/>
      </c>
      <c r="L58" s="409">
        <f>L10+L11+L57</f>
        <v/>
      </c>
      <c r="M58" s="409">
        <f>M10+M11+M57</f>
        <v/>
      </c>
      <c r="N58" s="409">
        <f>N10+N11+N57</f>
        <v/>
      </c>
      <c r="O58" s="409">
        <f>O10+O11+O57</f>
        <v/>
      </c>
      <c r="P58" s="409">
        <f>P10+P11+P57</f>
        <v/>
      </c>
      <c r="Q58" s="409">
        <f>Q10+Q11+Q57</f>
        <v/>
      </c>
      <c r="R58" s="409">
        <f>R10+R11+R57</f>
        <v/>
      </c>
      <c r="S58" s="409">
        <f>S10+S11+S57</f>
        <v/>
      </c>
      <c r="T58" s="409">
        <f>T10+T11+T57</f>
        <v/>
      </c>
      <c r="U58" s="409">
        <f>U10+U11+U57</f>
        <v/>
      </c>
      <c r="V58" s="409">
        <f>V10+V11+V57</f>
        <v/>
      </c>
      <c r="W58" s="409">
        <f>W10+W11+W57</f>
        <v/>
      </c>
      <c r="X58" s="409">
        <f>X10+X11+X57</f>
        <v/>
      </c>
      <c r="Y58" s="409">
        <f>Y10+Y11+Y57</f>
        <v/>
      </c>
      <c r="Z58" s="409">
        <f>Z10+Z11+Z57</f>
        <v/>
      </c>
      <c r="AA58" s="409">
        <f>AA10+AA11+AA57</f>
        <v/>
      </c>
      <c r="AB58" s="409">
        <f>AB10+AB11+AB57</f>
        <v/>
      </c>
      <c r="AC58" s="409">
        <f>AC10+AC11+AC57</f>
        <v/>
      </c>
      <c r="AD58" s="409">
        <f>AD10+AD11+AD57</f>
        <v/>
      </c>
      <c r="AE58" s="409">
        <f>AE10+AE11+AE57</f>
        <v/>
      </c>
      <c r="AF58" s="409">
        <f>AF10+AF11+AF57</f>
        <v/>
      </c>
      <c r="AG58" s="409">
        <f>AG10+AG11+AG57</f>
        <v/>
      </c>
      <c r="AH58" s="409">
        <f>AH10+AH11+AH57</f>
        <v/>
      </c>
      <c r="AI58" s="409">
        <f>AI10+AI11+AI57</f>
        <v/>
      </c>
      <c r="AJ58" s="409">
        <f>AJ10+AJ11+AJ57</f>
        <v/>
      </c>
      <c r="AK58" s="409">
        <f>AK10+AK11+AK57</f>
        <v/>
      </c>
      <c r="AL58" s="409">
        <f>AL10+AL11+AL57</f>
        <v/>
      </c>
      <c r="AM58" s="409">
        <f>AM10+AM11+AM57</f>
        <v/>
      </c>
      <c r="AN58" s="409">
        <f>AN10+AN11+AN57</f>
        <v/>
      </c>
      <c r="AO58" s="409">
        <f>AO10+AO11+AO57</f>
        <v/>
      </c>
      <c r="AP58" s="409">
        <f>AP10+AP11+AP57</f>
        <v/>
      </c>
      <c r="AQ58" s="409">
        <f>AQ10+AQ11+AQ57</f>
        <v/>
      </c>
      <c r="AR58" s="409">
        <f>AR10+AR11+AR57</f>
        <v/>
      </c>
      <c r="AS58" s="409">
        <f>AS10+AS11+AS57</f>
        <v/>
      </c>
      <c r="AT58" s="409">
        <f>AT10+AT11+AT57</f>
        <v/>
      </c>
      <c r="AU58" s="409">
        <f>AU10+AU11+AU57</f>
        <v/>
      </c>
      <c r="AV58" s="409">
        <f>AV10+AV11+AV57</f>
        <v/>
      </c>
      <c r="AW58" s="409">
        <f>AW10+AW11+AW57</f>
        <v/>
      </c>
      <c r="AX58" s="409">
        <f>AX10+AX11+AX57</f>
        <v/>
      </c>
      <c r="AY58" s="409">
        <f>AY10+AY11+AY57</f>
        <v/>
      </c>
      <c r="AZ58" s="409">
        <f>AZ10+AZ11+AZ57</f>
        <v/>
      </c>
      <c r="BA58" s="409">
        <f>BA10+BA11+BA57</f>
        <v/>
      </c>
      <c r="BB58" s="409">
        <f>BB10+BB11+BB57</f>
        <v/>
      </c>
      <c r="BC58" s="409">
        <f>BC10+BC11+BC57</f>
        <v/>
      </c>
      <c r="BD58" s="409">
        <f>BD10+BD11+BD57</f>
        <v/>
      </c>
      <c r="BE58" s="409">
        <f>BE10+BE11+BE57</f>
        <v/>
      </c>
      <c r="BF58" s="409">
        <f>BF10+BF11+BF57</f>
        <v/>
      </c>
      <c r="BG58" s="409">
        <f>BG10+BG11+BG57</f>
        <v/>
      </c>
      <c r="BH58" s="409">
        <f>BH10+BH11+BH57</f>
        <v/>
      </c>
      <c r="BI58" s="409">
        <f>BI10+BI11+BI57</f>
        <v/>
      </c>
      <c r="BJ58" s="409">
        <f>BJ10+BJ11+BJ57</f>
        <v/>
      </c>
      <c r="BK58" s="409">
        <f>BK10+BK11+BK57</f>
        <v/>
      </c>
      <c r="BL58" s="409">
        <f>BL10+BL11+BL57</f>
        <v/>
      </c>
      <c r="BM58" s="409">
        <f>BM10+BM11+BM57</f>
        <v/>
      </c>
      <c r="BN58" s="409">
        <f>BN10+BN11+BN57</f>
        <v/>
      </c>
      <c r="BO58" s="409">
        <f>BO10+BO11+BO57</f>
        <v/>
      </c>
      <c r="BP58" s="409">
        <f>BP10+BP11+BP57</f>
        <v/>
      </c>
      <c r="BQ58" s="409">
        <f>BQ10+BQ11+BQ57</f>
        <v/>
      </c>
      <c r="BR58" s="409">
        <f>BR10+BR11+BR57</f>
        <v/>
      </c>
      <c r="BS58" s="409">
        <f>BS10+BS11+BS57</f>
        <v/>
      </c>
      <c r="BT58" s="409">
        <f>BT10+BT11+BT57</f>
        <v/>
      </c>
      <c r="BU58" s="409">
        <f>BU10+BU11+BU57</f>
        <v/>
      </c>
      <c r="BV58" s="409">
        <f>BV10+BV11+BV57</f>
        <v/>
      </c>
      <c r="BW58" s="409">
        <f>BW10+BW11+BW57</f>
        <v/>
      </c>
      <c r="BX58" s="409">
        <f>BX10+BX11+BX57</f>
        <v/>
      </c>
      <c r="BY58" s="409">
        <f>BY10+BY11+BY57</f>
        <v/>
      </c>
      <c r="BZ58" s="409">
        <f>BZ10+BZ11+BZ57</f>
        <v/>
      </c>
      <c r="CA58" s="409">
        <f>CA10+CA11+CA57</f>
        <v/>
      </c>
      <c r="CB58" s="409">
        <f>CB10+CB11+CB57</f>
        <v/>
      </c>
      <c r="CC58" s="409">
        <f>CC10+CC11+CC57</f>
        <v/>
      </c>
      <c r="CD58" s="409">
        <f>CD10+CD11+CD57</f>
        <v/>
      </c>
      <c r="CE58" s="409">
        <f>CE10+CE11+CE57</f>
        <v/>
      </c>
      <c r="CF58" s="409">
        <f>CF10+CF11+CF57</f>
        <v/>
      </c>
      <c r="CG58" s="409">
        <f>CG10+CG11+CG57</f>
        <v/>
      </c>
      <c r="CH58" s="409">
        <f>CH10+CH11+CH57</f>
        <v/>
      </c>
      <c r="CI58" s="409">
        <f>CI10+CI11+CI57</f>
        <v/>
      </c>
      <c r="CJ58" s="409">
        <f>CJ10+CJ11+CJ57</f>
        <v/>
      </c>
      <c r="CK58" s="409">
        <f>CK10+CK11+CK57</f>
        <v/>
      </c>
      <c r="CL58" s="409">
        <f>CL10+CL11+CL57</f>
        <v/>
      </c>
      <c r="CM58" s="409">
        <f>CM10+CM11+CM57</f>
        <v/>
      </c>
      <c r="CN58" s="409">
        <f>CN10+CN11+CN57</f>
        <v/>
      </c>
      <c r="CO58" s="409">
        <f>CO10+CO11+CO57</f>
        <v/>
      </c>
      <c r="CP58" s="409">
        <f>CP10+CP11+CP57</f>
        <v/>
      </c>
      <c r="CQ58" s="409">
        <f>CQ10+CQ11+CQ57</f>
        <v/>
      </c>
      <c r="CR58" s="409">
        <f>CR10+CR11+CR57</f>
        <v/>
      </c>
      <c r="CS58" s="409">
        <f>CS10+CS11+CS57</f>
        <v/>
      </c>
      <c r="CT58" s="409">
        <f>CT10+CT11+CT57</f>
        <v/>
      </c>
      <c r="CU58" s="409">
        <f>CU10+CU11+CU57</f>
        <v/>
      </c>
      <c r="CV58" s="409">
        <f>CV10+CV11+CV57</f>
        <v/>
      </c>
      <c r="CW58" s="409">
        <f>CW10+CW11+CW57</f>
        <v/>
      </c>
      <c r="CX58" s="409">
        <f>CX10+CX11+CX57</f>
        <v/>
      </c>
      <c r="CY58" s="409">
        <f>CY10+CY11+CY57</f>
        <v/>
      </c>
      <c r="CZ58" s="409">
        <f>CZ10+CZ11+CZ57</f>
        <v/>
      </c>
      <c r="DA58" s="409">
        <f>DA10+DA11+DA57</f>
        <v/>
      </c>
      <c r="DB58" s="409">
        <f>DB10+DB11+DB57</f>
        <v/>
      </c>
      <c r="DC58" s="409">
        <f>DC10+DC11+DC57</f>
        <v/>
      </c>
      <c r="DD58" s="409">
        <f>DD10+DD11+DD57</f>
        <v/>
      </c>
      <c r="DE58" s="409">
        <f>DE10+DE11+DE57</f>
        <v/>
      </c>
    </row>
    <row r="59" ht="15" customFormat="1" customHeight="1" s="380">
      <c r="A59" s="406" t="inlineStr">
        <is>
          <t>COGS - Trade and Site Costs</t>
        </is>
      </c>
      <c r="B59" s="399" t="n"/>
      <c r="C59" s="399" t="n"/>
      <c r="D59" s="399" t="n"/>
      <c r="E59" s="399" t="n"/>
      <c r="F59" s="399" t="n"/>
      <c r="G59" s="399" t="n"/>
      <c r="H59" s="399" t="n"/>
      <c r="I59" s="399" t="n"/>
      <c r="J59" s="399" t="n"/>
      <c r="K59" s="399" t="n"/>
      <c r="L59" s="399" t="n"/>
      <c r="M59" s="399" t="n"/>
      <c r="N59" s="399" t="n"/>
      <c r="O59" s="399" t="n"/>
      <c r="P59" s="399" t="n"/>
      <c r="Q59" s="399" t="n"/>
      <c r="R59" s="399" t="n"/>
      <c r="S59" s="399" t="n"/>
      <c r="T59" s="399" t="n"/>
      <c r="U59" s="399" t="n"/>
      <c r="V59" s="399" t="n"/>
      <c r="W59" s="399" t="n"/>
      <c r="X59" s="399" t="n"/>
      <c r="Y59" s="399" t="n"/>
      <c r="Z59" s="399" t="n"/>
      <c r="AA59" s="399" t="n"/>
      <c r="AB59" s="399" t="n"/>
      <c r="AC59" s="399" t="n"/>
      <c r="AD59" s="399" t="n"/>
      <c r="AE59" s="399" t="n"/>
      <c r="AF59" s="399" t="n"/>
      <c r="AG59" s="399" t="n"/>
      <c r="AH59" s="399" t="n"/>
      <c r="AI59" s="399" t="n"/>
      <c r="AJ59" s="399" t="n"/>
      <c r="AK59" s="399" t="n"/>
      <c r="AL59" s="399" t="n"/>
      <c r="AM59" s="399" t="n"/>
      <c r="AN59" s="399" t="n"/>
      <c r="AO59" s="399" t="n"/>
      <c r="AP59" s="399" t="n"/>
      <c r="AQ59" s="399" t="n"/>
      <c r="AR59" s="399" t="n"/>
      <c r="AS59" s="399" t="n"/>
      <c r="AT59" s="399" t="n"/>
      <c r="AU59" s="399" t="n"/>
      <c r="AV59" s="399" t="n"/>
      <c r="AW59" s="399" t="n"/>
      <c r="AX59" s="399" t="n"/>
      <c r="AY59" s="399" t="n"/>
      <c r="AZ59" s="399" t="n"/>
      <c r="BA59" s="399" t="n"/>
      <c r="BB59" s="399" t="n"/>
      <c r="BC59" s="399" t="n"/>
      <c r="BD59" s="399" t="n"/>
      <c r="BE59" s="399" t="n"/>
      <c r="BF59" s="399" t="n"/>
      <c r="BG59" s="399" t="n"/>
      <c r="BH59" s="399" t="n"/>
      <c r="BI59" s="399" t="n"/>
      <c r="BJ59" s="399" t="n"/>
      <c r="BK59" s="399" t="n"/>
      <c r="BL59" s="399" t="n"/>
      <c r="BM59" s="399" t="n"/>
      <c r="BN59" s="399" t="n"/>
      <c r="BO59" s="399" t="n"/>
      <c r="BP59" s="399" t="n"/>
      <c r="BQ59" s="399" t="n"/>
      <c r="BR59" s="399" t="n"/>
      <c r="BS59" s="399" t="n"/>
      <c r="BT59" s="399" t="n"/>
      <c r="BU59" s="399" t="n"/>
      <c r="BV59" s="399" t="n"/>
      <c r="BW59" s="399" t="n"/>
      <c r="BX59" s="399" t="n"/>
      <c r="BY59" s="399" t="n"/>
      <c r="BZ59" s="399" t="n"/>
      <c r="CA59" s="399" t="n"/>
      <c r="CB59" s="399" t="n"/>
      <c r="CC59" s="399" t="n"/>
      <c r="CD59" s="399" t="n"/>
      <c r="CE59" s="399" t="n"/>
      <c r="CF59" s="399" t="n"/>
      <c r="CG59" s="399" t="n"/>
      <c r="CH59" s="399" t="n"/>
      <c r="CI59" s="399" t="n"/>
      <c r="CJ59" s="399" t="n"/>
      <c r="CK59" s="399" t="n"/>
      <c r="CL59" s="399" t="n"/>
      <c r="CM59" s="399" t="n"/>
      <c r="CN59" s="399" t="n"/>
      <c r="CO59" s="399" t="n"/>
      <c r="CP59" s="399" t="n"/>
      <c r="CQ59" s="399" t="n"/>
      <c r="CR59" s="399" t="n"/>
      <c r="CS59" s="399" t="n"/>
      <c r="CT59" s="399" t="n"/>
      <c r="CU59" s="399" t="n"/>
      <c r="CV59" s="399" t="n"/>
      <c r="CW59" s="399" t="n"/>
      <c r="CX59" s="399" t="n"/>
      <c r="CY59" s="399" t="n"/>
      <c r="CZ59" s="399" t="n"/>
      <c r="DA59" s="399" t="n"/>
      <c r="DB59" s="399" t="n"/>
      <c r="DC59" s="399" t="n"/>
      <c r="DD59" s="399" t="n"/>
      <c r="DE59" s="399" t="n"/>
    </row>
    <row r="60" hidden="1" outlineLevel="1" ht="15" customFormat="1" customHeight="1" s="380">
      <c r="A60" s="407" t="inlineStr">
        <is>
          <t>Crenshaw</t>
        </is>
      </c>
      <c r="B60" s="399" t="n">
        <v>-392121.92</v>
      </c>
      <c r="C60" s="399" t="n">
        <v>-637382.47</v>
      </c>
      <c r="D60" s="399" t="n">
        <v>-648049.66</v>
      </c>
      <c r="E60" s="399" t="n">
        <v>-703827.85</v>
      </c>
      <c r="F60" s="399" t="n">
        <v>-721750.22</v>
      </c>
      <c r="G60" s="399" t="n">
        <v>-887674.09</v>
      </c>
      <c r="H60" s="399" t="n">
        <v>-1071089</v>
      </c>
      <c r="I60" s="399">
        <f>-4180193.67*Curves!F$6/SUM(Curves!$E$6:$I$6)</f>
        <v/>
      </c>
      <c r="J60" s="399">
        <f>-4180193.67*Curves!G$6/SUM(Curves!$E$6:$I$6)</f>
        <v/>
      </c>
      <c r="K60" s="399">
        <f>-4180193.67*Curves!H$6/SUM(Curves!$E$6:$I$6)</f>
        <v/>
      </c>
      <c r="L60" s="399">
        <f>-4180193.67*Curves!I$6/SUM(Curves!$E$6:$I$6)</f>
        <v/>
      </c>
      <c r="M60" s="399">
        <f>-M13</f>
        <v/>
      </c>
      <c r="N60" s="399">
        <f>-N13</f>
        <v/>
      </c>
      <c r="O60" s="399">
        <f>-O13</f>
        <v/>
      </c>
      <c r="P60" s="399">
        <f>-P13</f>
        <v/>
      </c>
      <c r="Q60" s="399">
        <f>-Q13</f>
        <v/>
      </c>
      <c r="R60" s="399">
        <f>-R13</f>
        <v/>
      </c>
      <c r="S60" s="399">
        <f>-S13</f>
        <v/>
      </c>
      <c r="T60" s="399">
        <f>-T13</f>
        <v/>
      </c>
      <c r="U60" s="399">
        <f>-U13</f>
        <v/>
      </c>
      <c r="V60" s="399">
        <f>-V13</f>
        <v/>
      </c>
      <c r="W60" s="399">
        <f>-W13</f>
        <v/>
      </c>
      <c r="X60" s="399">
        <f>-X13</f>
        <v/>
      </c>
      <c r="Y60" s="399">
        <f>-Y13</f>
        <v/>
      </c>
      <c r="Z60" s="399">
        <f>-Z13</f>
        <v/>
      </c>
      <c r="AA60" s="399">
        <f>-AA13</f>
        <v/>
      </c>
      <c r="AB60" s="399">
        <f>-AB13</f>
        <v/>
      </c>
      <c r="AC60" s="399">
        <f>-AC13</f>
        <v/>
      </c>
      <c r="AD60" s="399">
        <f>-AD13</f>
        <v/>
      </c>
      <c r="AE60" s="399">
        <f>-AE13</f>
        <v/>
      </c>
      <c r="AF60" s="399">
        <f>-AF13</f>
        <v/>
      </c>
      <c r="AG60" s="399">
        <f>-AG13</f>
        <v/>
      </c>
      <c r="AH60" s="399">
        <f>-AH13</f>
        <v/>
      </c>
      <c r="AI60" s="399">
        <f>-AI13</f>
        <v/>
      </c>
      <c r="AJ60" s="399">
        <f>-AJ13</f>
        <v/>
      </c>
      <c r="AK60" s="399">
        <f>-AK13</f>
        <v/>
      </c>
      <c r="AL60" s="399">
        <f>-AL13</f>
        <v/>
      </c>
      <c r="AM60" s="399">
        <f>-AM13</f>
        <v/>
      </c>
      <c r="AN60" s="399">
        <f>-AN13</f>
        <v/>
      </c>
      <c r="AO60" s="399">
        <f>-AO13</f>
        <v/>
      </c>
      <c r="AP60" s="399">
        <f>-AP13</f>
        <v/>
      </c>
      <c r="AQ60" s="399">
        <f>-AQ13</f>
        <v/>
      </c>
      <c r="AR60" s="399">
        <f>-AR13</f>
        <v/>
      </c>
      <c r="AS60" s="399">
        <f>-AS13</f>
        <v/>
      </c>
      <c r="AT60" s="399">
        <f>-AT13</f>
        <v/>
      </c>
      <c r="AU60" s="399">
        <f>-AU13</f>
        <v/>
      </c>
      <c r="AV60" s="399">
        <f>-AV13</f>
        <v/>
      </c>
      <c r="AW60" s="399">
        <f>-AW13</f>
        <v/>
      </c>
      <c r="AX60" s="399">
        <f>-AX13</f>
        <v/>
      </c>
      <c r="AY60" s="399">
        <f>-AY13</f>
        <v/>
      </c>
      <c r="AZ60" s="399">
        <f>-AZ13</f>
        <v/>
      </c>
      <c r="BA60" s="399">
        <f>-BA13</f>
        <v/>
      </c>
      <c r="BB60" s="399">
        <f>-BB13</f>
        <v/>
      </c>
      <c r="BC60" s="399">
        <f>-BC13</f>
        <v/>
      </c>
      <c r="BD60" s="399">
        <f>-BD13</f>
        <v/>
      </c>
      <c r="BE60" s="399">
        <f>-BE13</f>
        <v/>
      </c>
      <c r="BF60" s="399">
        <f>-BF13</f>
        <v/>
      </c>
      <c r="BG60" s="399">
        <f>-BG13</f>
        <v/>
      </c>
      <c r="BH60" s="399">
        <f>-BH13</f>
        <v/>
      </c>
      <c r="BI60" s="399">
        <f>-BI13</f>
        <v/>
      </c>
      <c r="BJ60" s="399">
        <f>-BJ13</f>
        <v/>
      </c>
      <c r="BK60" s="399">
        <f>-BK13</f>
        <v/>
      </c>
      <c r="BL60" s="399">
        <f>-BL13</f>
        <v/>
      </c>
      <c r="BM60" s="399">
        <f>-BM13</f>
        <v/>
      </c>
      <c r="BN60" s="399">
        <f>-BN13</f>
        <v/>
      </c>
      <c r="BO60" s="399">
        <f>-BO13</f>
        <v/>
      </c>
      <c r="BP60" s="399">
        <f>-BP13</f>
        <v/>
      </c>
      <c r="BQ60" s="399">
        <f>-BQ13</f>
        <v/>
      </c>
      <c r="BR60" s="399">
        <f>-BR13</f>
        <v/>
      </c>
      <c r="BS60" s="399">
        <f>-BS13</f>
        <v/>
      </c>
      <c r="BT60" s="399">
        <f>-BT13</f>
        <v/>
      </c>
      <c r="BU60" s="399">
        <f>-BU13</f>
        <v/>
      </c>
      <c r="BV60" s="399">
        <f>-BV13</f>
        <v/>
      </c>
      <c r="BW60" s="399">
        <f>-BW13</f>
        <v/>
      </c>
      <c r="BX60" s="399">
        <f>-BX13</f>
        <v/>
      </c>
      <c r="BY60" s="399">
        <f>-BY13</f>
        <v/>
      </c>
      <c r="BZ60" s="399">
        <f>-BZ13</f>
        <v/>
      </c>
      <c r="CA60" s="399">
        <f>-CA13</f>
        <v/>
      </c>
      <c r="CB60" s="399">
        <f>-CB13</f>
        <v/>
      </c>
      <c r="CC60" s="399">
        <f>-CC13</f>
        <v/>
      </c>
      <c r="CD60" s="399">
        <f>-CD13</f>
        <v/>
      </c>
      <c r="CE60" s="399">
        <f>-CE13</f>
        <v/>
      </c>
      <c r="CF60" s="399">
        <f>-CF13</f>
        <v/>
      </c>
      <c r="CG60" s="399">
        <f>-CG13</f>
        <v/>
      </c>
      <c r="CH60" s="399">
        <f>-CH13</f>
        <v/>
      </c>
      <c r="CI60" s="399">
        <f>-CI13</f>
        <v/>
      </c>
      <c r="CJ60" s="399">
        <f>-CJ13</f>
        <v/>
      </c>
      <c r="CK60" s="399">
        <f>-CK13</f>
        <v/>
      </c>
      <c r="CL60" s="399">
        <f>-CL13</f>
        <v/>
      </c>
      <c r="CM60" s="399">
        <f>-CM13</f>
        <v/>
      </c>
      <c r="CN60" s="399">
        <f>-CN13</f>
        <v/>
      </c>
      <c r="CO60" s="399">
        <f>-CO13</f>
        <v/>
      </c>
      <c r="CP60" s="399">
        <f>-CP13</f>
        <v/>
      </c>
      <c r="CQ60" s="399">
        <f>-CQ13</f>
        <v/>
      </c>
      <c r="CR60" s="399">
        <f>-CR13</f>
        <v/>
      </c>
      <c r="CS60" s="399">
        <f>-CS13</f>
        <v/>
      </c>
      <c r="CT60" s="399">
        <f>-CT13</f>
        <v/>
      </c>
      <c r="CU60" s="399">
        <f>-CU13</f>
        <v/>
      </c>
      <c r="CV60" s="399">
        <f>-CV13</f>
        <v/>
      </c>
      <c r="CW60" s="399">
        <f>-CW13</f>
        <v/>
      </c>
      <c r="CX60" s="399">
        <f>-CX13</f>
        <v/>
      </c>
      <c r="CY60" s="399">
        <f>-CY13</f>
        <v/>
      </c>
      <c r="CZ60" s="399">
        <f>-CZ13</f>
        <v/>
      </c>
      <c r="DA60" s="399">
        <f>-DA13</f>
        <v/>
      </c>
      <c r="DB60" s="399">
        <f>-DB13</f>
        <v/>
      </c>
      <c r="DC60" s="399">
        <f>-DC13</f>
        <v/>
      </c>
      <c r="DD60" s="399">
        <f>-DD13</f>
        <v/>
      </c>
      <c r="DE60" s="399">
        <f>-DE13</f>
        <v/>
      </c>
    </row>
    <row r="61" hidden="1" outlineLevel="1" ht="15" customFormat="1" customHeight="1" s="380">
      <c r="A61" s="407" t="inlineStr">
        <is>
          <t>Ramsgate</t>
        </is>
      </c>
      <c r="B61" s="399" t="n">
        <v>-595869.4</v>
      </c>
      <c r="C61" s="399" t="n">
        <v>-1621243.4</v>
      </c>
      <c r="D61" s="399" t="n">
        <v>-632087.3</v>
      </c>
      <c r="E61" s="399" t="n">
        <v>-1167810.54</v>
      </c>
      <c r="F61" s="399" t="n">
        <v>-1117245.99</v>
      </c>
      <c r="G61" s="399" t="n">
        <v>-1865720.31</v>
      </c>
      <c r="H61" s="399" t="n">
        <v>-1954473</v>
      </c>
      <c r="I61" s="399" t="n">
        <v>-1312002.42</v>
      </c>
      <c r="J61" s="399" t="n">
        <v>-1102256.07</v>
      </c>
      <c r="K61" s="399" t="n">
        <v>-898872.99</v>
      </c>
      <c r="L61" s="399" t="n">
        <v>-835432.15</v>
      </c>
      <c r="M61" s="399" t="n">
        <v>-857062.77</v>
      </c>
      <c r="N61" s="399" t="n">
        <v>-1066670.73</v>
      </c>
      <c r="O61" s="399" t="n">
        <v>-840881.51</v>
      </c>
      <c r="P61" s="399" t="n">
        <v>-1127710.87</v>
      </c>
      <c r="Q61" s="399" t="n">
        <v>-899066.21</v>
      </c>
      <c r="R61" s="399" t="n">
        <v>-684120.16</v>
      </c>
      <c r="S61" s="399" t="n">
        <v>-622681.27</v>
      </c>
      <c r="T61" s="399" t="n">
        <v>-841415.12</v>
      </c>
      <c r="U61" s="399" t="n">
        <v>-850101.75</v>
      </c>
      <c r="V61" s="399" t="n">
        <v>-275300.65</v>
      </c>
      <c r="W61" s="399" t="n">
        <v>0</v>
      </c>
      <c r="X61" s="399" t="n">
        <v>0</v>
      </c>
      <c r="Y61" s="399" t="n">
        <v>0</v>
      </c>
      <c r="Z61" s="399" t="n">
        <v>0</v>
      </c>
      <c r="AA61" s="399" t="n">
        <v>0</v>
      </c>
      <c r="AB61" s="399" t="n">
        <v>0</v>
      </c>
      <c r="AC61" s="399" t="n">
        <v>0</v>
      </c>
      <c r="AD61" s="399" t="n">
        <v>0</v>
      </c>
      <c r="AE61" s="399" t="n">
        <v>0</v>
      </c>
      <c r="AF61" s="399" t="n">
        <v>0</v>
      </c>
      <c r="AG61" s="399" t="n">
        <v>0</v>
      </c>
      <c r="AH61" s="399" t="n">
        <v>0</v>
      </c>
      <c r="AI61" s="399" t="n">
        <v>0</v>
      </c>
      <c r="AJ61" s="399" t="n">
        <v>0</v>
      </c>
      <c r="AK61" s="399" t="n">
        <v>0</v>
      </c>
      <c r="AL61" s="399" t="n">
        <v>0</v>
      </c>
      <c r="AM61" s="399" t="n">
        <v>0</v>
      </c>
      <c r="AN61" s="399" t="n">
        <v>0</v>
      </c>
      <c r="AO61" s="399" t="n">
        <v>0</v>
      </c>
      <c r="AP61" s="399" t="n">
        <v>0</v>
      </c>
      <c r="AQ61" s="399" t="n">
        <v>0</v>
      </c>
      <c r="AR61" s="399" t="n">
        <v>0</v>
      </c>
      <c r="AS61" s="399" t="n">
        <v>0</v>
      </c>
      <c r="AT61" s="399" t="n">
        <v>0</v>
      </c>
      <c r="AU61" s="399" t="n">
        <v>0</v>
      </c>
      <c r="AV61" s="399" t="n">
        <v>0</v>
      </c>
      <c r="AW61" s="399" t="n">
        <v>0</v>
      </c>
      <c r="AX61" s="399" t="n">
        <v>0</v>
      </c>
      <c r="AY61" s="399" t="n">
        <v>0</v>
      </c>
      <c r="AZ61" s="399" t="n">
        <v>0</v>
      </c>
      <c r="BA61" s="399" t="n">
        <v>0</v>
      </c>
      <c r="BB61" s="399" t="n">
        <v>0</v>
      </c>
      <c r="BC61" s="399" t="n">
        <v>0</v>
      </c>
      <c r="BD61" s="399" t="n">
        <v>0</v>
      </c>
      <c r="BE61" s="399" t="n">
        <v>0</v>
      </c>
      <c r="BF61" s="399" t="n">
        <v>0</v>
      </c>
      <c r="BG61" s="399" t="n">
        <v>0</v>
      </c>
      <c r="BH61" s="399" t="n">
        <v>0</v>
      </c>
      <c r="BI61" s="399" t="n">
        <v>0</v>
      </c>
      <c r="BJ61" s="399" t="n">
        <v>0</v>
      </c>
      <c r="BK61" s="399" t="n">
        <v>0</v>
      </c>
      <c r="BL61" s="399" t="n">
        <v>0</v>
      </c>
      <c r="BM61" s="399" t="n">
        <v>0</v>
      </c>
      <c r="BN61" s="399" t="n">
        <v>0</v>
      </c>
      <c r="BO61" s="399" t="n">
        <v>0</v>
      </c>
      <c r="BP61" s="399" t="n">
        <v>0</v>
      </c>
      <c r="BQ61" s="399" t="n">
        <v>0</v>
      </c>
      <c r="BR61" s="399" t="n">
        <v>0</v>
      </c>
      <c r="BS61" s="399" t="n">
        <v>0</v>
      </c>
      <c r="BT61" s="399" t="n">
        <v>0</v>
      </c>
      <c r="BU61" s="399" t="n">
        <v>0</v>
      </c>
      <c r="BV61" s="399" t="n">
        <v>0</v>
      </c>
      <c r="BW61" s="399" t="n">
        <v>0</v>
      </c>
      <c r="BX61" s="399" t="n">
        <v>0</v>
      </c>
      <c r="BY61" s="399" t="n">
        <v>0</v>
      </c>
      <c r="BZ61" s="399" t="n">
        <v>0</v>
      </c>
      <c r="CA61" s="399" t="n">
        <v>0</v>
      </c>
      <c r="CB61" s="399" t="n">
        <v>0</v>
      </c>
      <c r="CC61" s="399" t="n">
        <v>0</v>
      </c>
      <c r="CD61" s="399" t="n">
        <v>0</v>
      </c>
      <c r="CE61" s="399" t="n">
        <v>0</v>
      </c>
      <c r="CF61" s="399" t="n">
        <v>0</v>
      </c>
      <c r="CG61" s="399" t="n">
        <v>0</v>
      </c>
      <c r="CH61" s="399" t="n">
        <v>0</v>
      </c>
      <c r="CI61" s="399" t="n">
        <v>0</v>
      </c>
      <c r="CJ61" s="399" t="n">
        <v>0</v>
      </c>
      <c r="CK61" s="399" t="n">
        <v>0</v>
      </c>
      <c r="CL61" s="399" t="n">
        <v>0</v>
      </c>
      <c r="CM61" s="399" t="n">
        <v>0</v>
      </c>
      <c r="CN61" s="399" t="n">
        <v>0</v>
      </c>
      <c r="CO61" s="399" t="n">
        <v>0</v>
      </c>
      <c r="CP61" s="399" t="n">
        <v>0</v>
      </c>
      <c r="CQ61" s="399" t="n">
        <v>0</v>
      </c>
      <c r="CR61" s="399" t="n">
        <v>0</v>
      </c>
      <c r="CS61" s="399" t="n">
        <v>0</v>
      </c>
      <c r="CT61" s="399" t="n">
        <v>0</v>
      </c>
      <c r="CU61" s="399" t="n">
        <v>0</v>
      </c>
      <c r="CV61" s="399" t="n">
        <v>0</v>
      </c>
      <c r="CW61" s="399" t="n">
        <v>0</v>
      </c>
      <c r="CX61" s="399" t="n">
        <v>0</v>
      </c>
      <c r="CY61" s="399" t="n">
        <v>0</v>
      </c>
      <c r="CZ61" s="399" t="n">
        <v>0</v>
      </c>
      <c r="DA61" s="399" t="n">
        <v>0</v>
      </c>
      <c r="DB61" s="399" t="n">
        <v>0</v>
      </c>
      <c r="DC61" s="399" t="n">
        <v>0</v>
      </c>
      <c r="DD61" s="399" t="n">
        <v>0</v>
      </c>
      <c r="DE61" s="399" t="n">
        <v>0</v>
      </c>
    </row>
    <row r="62" hidden="1" outlineLevel="1" ht="15" customFormat="1" customHeight="1" s="380">
      <c r="A62" s="407" t="inlineStr">
        <is>
          <t>Califa</t>
        </is>
      </c>
      <c r="B62" s="399" t="n">
        <v>-145589.08</v>
      </c>
      <c r="C62" s="399" t="n">
        <v>-548956.42</v>
      </c>
      <c r="D62" s="399" t="n">
        <v>-286493.58</v>
      </c>
      <c r="E62" s="399" t="n">
        <v>-571051.7</v>
      </c>
      <c r="F62" s="399" t="n">
        <v>-1099379.66</v>
      </c>
      <c r="G62" s="399" t="n">
        <v>-1322858.63</v>
      </c>
      <c r="H62" s="399" t="n">
        <v>-593261</v>
      </c>
      <c r="I62" s="399" t="n">
        <v>-559414.4</v>
      </c>
      <c r="J62" s="399" t="n">
        <v>-582688.6899999999</v>
      </c>
      <c r="K62" s="399" t="n">
        <v>-536170.97</v>
      </c>
      <c r="L62" s="399" t="n">
        <v>-611869.9300000001</v>
      </c>
      <c r="M62" s="399" t="n">
        <v>-750438.98</v>
      </c>
      <c r="N62" s="399" t="n">
        <v>-680375.29</v>
      </c>
      <c r="O62" s="399" t="n">
        <v>-611450.91</v>
      </c>
      <c r="P62" s="399" t="n">
        <v>-696726.3</v>
      </c>
      <c r="Q62" s="399" t="n">
        <v>-715728.35</v>
      </c>
      <c r="R62" s="399" t="n">
        <v>-576870.58</v>
      </c>
      <c r="S62" s="399" t="n">
        <v>-356282.42</v>
      </c>
      <c r="T62" s="399" t="n">
        <v>-168048.13</v>
      </c>
      <c r="U62" s="399" t="n">
        <v>-123576.83</v>
      </c>
      <c r="V62" s="399" t="n">
        <v>0</v>
      </c>
      <c r="W62" s="399" t="n">
        <v>0</v>
      </c>
      <c r="X62" s="399" t="n">
        <v>0</v>
      </c>
      <c r="Y62" s="399" t="n">
        <v>0</v>
      </c>
      <c r="Z62" s="399" t="n">
        <v>0</v>
      </c>
      <c r="AA62" s="399" t="n">
        <v>0</v>
      </c>
      <c r="AB62" s="399" t="n">
        <v>0</v>
      </c>
      <c r="AC62" s="399" t="n">
        <v>0</v>
      </c>
      <c r="AD62" s="399" t="n">
        <v>0</v>
      </c>
      <c r="AE62" s="399" t="n">
        <v>0</v>
      </c>
      <c r="AF62" s="399" t="n">
        <v>0</v>
      </c>
      <c r="AG62" s="399" t="n">
        <v>0</v>
      </c>
      <c r="AH62" s="399" t="n">
        <v>0</v>
      </c>
      <c r="AI62" s="399" t="n">
        <v>0</v>
      </c>
      <c r="AJ62" s="399" t="n">
        <v>0</v>
      </c>
      <c r="AK62" s="399" t="n">
        <v>0</v>
      </c>
      <c r="AL62" s="399" t="n">
        <v>0</v>
      </c>
      <c r="AM62" s="399" t="n">
        <v>0</v>
      </c>
      <c r="AN62" s="399" t="n">
        <v>0</v>
      </c>
      <c r="AO62" s="399" t="n">
        <v>0</v>
      </c>
      <c r="AP62" s="399" t="n">
        <v>0</v>
      </c>
      <c r="AQ62" s="399" t="n">
        <v>0</v>
      </c>
      <c r="AR62" s="399" t="n">
        <v>0</v>
      </c>
      <c r="AS62" s="399" t="n">
        <v>0</v>
      </c>
      <c r="AT62" s="399" t="n">
        <v>0</v>
      </c>
      <c r="AU62" s="399" t="n">
        <v>0</v>
      </c>
      <c r="AV62" s="399" t="n">
        <v>0</v>
      </c>
      <c r="AW62" s="399" t="n">
        <v>0</v>
      </c>
      <c r="AX62" s="399" t="n">
        <v>0</v>
      </c>
      <c r="AY62" s="399" t="n">
        <v>0</v>
      </c>
      <c r="AZ62" s="399" t="n">
        <v>0</v>
      </c>
      <c r="BA62" s="399" t="n">
        <v>0</v>
      </c>
      <c r="BB62" s="399" t="n">
        <v>0</v>
      </c>
      <c r="BC62" s="399" t="n">
        <v>0</v>
      </c>
      <c r="BD62" s="399" t="n">
        <v>0</v>
      </c>
      <c r="BE62" s="399" t="n">
        <v>0</v>
      </c>
      <c r="BF62" s="399" t="n">
        <v>0</v>
      </c>
      <c r="BG62" s="399" t="n">
        <v>0</v>
      </c>
      <c r="BH62" s="399" t="n">
        <v>0</v>
      </c>
      <c r="BI62" s="399" t="n">
        <v>0</v>
      </c>
      <c r="BJ62" s="399" t="n">
        <v>0</v>
      </c>
      <c r="BK62" s="399" t="n">
        <v>0</v>
      </c>
      <c r="BL62" s="399" t="n">
        <v>0</v>
      </c>
      <c r="BM62" s="399" t="n">
        <v>0</v>
      </c>
      <c r="BN62" s="399" t="n">
        <v>0</v>
      </c>
      <c r="BO62" s="399" t="n">
        <v>0</v>
      </c>
      <c r="BP62" s="399" t="n">
        <v>0</v>
      </c>
      <c r="BQ62" s="399" t="n">
        <v>0</v>
      </c>
      <c r="BR62" s="399" t="n">
        <v>0</v>
      </c>
      <c r="BS62" s="399" t="n">
        <v>0</v>
      </c>
      <c r="BT62" s="399" t="n">
        <v>0</v>
      </c>
      <c r="BU62" s="399" t="n">
        <v>0</v>
      </c>
      <c r="BV62" s="399" t="n">
        <v>0</v>
      </c>
      <c r="BW62" s="399" t="n">
        <v>0</v>
      </c>
      <c r="BX62" s="399" t="n">
        <v>0</v>
      </c>
      <c r="BY62" s="399" t="n">
        <v>0</v>
      </c>
      <c r="BZ62" s="399" t="n">
        <v>0</v>
      </c>
      <c r="CA62" s="399" t="n">
        <v>0</v>
      </c>
      <c r="CB62" s="399" t="n">
        <v>0</v>
      </c>
      <c r="CC62" s="399" t="n">
        <v>0</v>
      </c>
      <c r="CD62" s="399" t="n">
        <v>0</v>
      </c>
      <c r="CE62" s="399" t="n">
        <v>0</v>
      </c>
      <c r="CF62" s="399" t="n">
        <v>0</v>
      </c>
      <c r="CG62" s="399" t="n">
        <v>0</v>
      </c>
      <c r="CH62" s="399" t="n">
        <v>0</v>
      </c>
      <c r="CI62" s="399" t="n">
        <v>0</v>
      </c>
      <c r="CJ62" s="399" t="n">
        <v>0</v>
      </c>
      <c r="CK62" s="399" t="n">
        <v>0</v>
      </c>
      <c r="CL62" s="399" t="n">
        <v>0</v>
      </c>
      <c r="CM62" s="399" t="n">
        <v>0</v>
      </c>
      <c r="CN62" s="399" t="n">
        <v>0</v>
      </c>
      <c r="CO62" s="399" t="n">
        <v>0</v>
      </c>
      <c r="CP62" s="399" t="n">
        <v>0</v>
      </c>
      <c r="CQ62" s="399" t="n">
        <v>0</v>
      </c>
      <c r="CR62" s="399" t="n">
        <v>0</v>
      </c>
      <c r="CS62" s="399" t="n">
        <v>0</v>
      </c>
      <c r="CT62" s="399" t="n">
        <v>0</v>
      </c>
      <c r="CU62" s="399" t="n">
        <v>0</v>
      </c>
      <c r="CV62" s="399" t="n">
        <v>0</v>
      </c>
      <c r="CW62" s="399" t="n">
        <v>0</v>
      </c>
      <c r="CX62" s="399" t="n">
        <v>0</v>
      </c>
      <c r="CY62" s="399" t="n">
        <v>0</v>
      </c>
      <c r="CZ62" s="399" t="n">
        <v>0</v>
      </c>
      <c r="DA62" s="399" t="n">
        <v>0</v>
      </c>
      <c r="DB62" s="399" t="n">
        <v>0</v>
      </c>
      <c r="DC62" s="399" t="n">
        <v>0</v>
      </c>
      <c r="DD62" s="399" t="n">
        <v>0</v>
      </c>
      <c r="DE62" s="399" t="n">
        <v>0</v>
      </c>
    </row>
    <row r="63" hidden="1" outlineLevel="1" ht="15" customFormat="1" customHeight="1" s="380">
      <c r="A63" s="407" t="inlineStr">
        <is>
          <t>Whipple</t>
        </is>
      </c>
      <c r="B63" s="399" t="n">
        <v>-97487.03</v>
      </c>
      <c r="C63" s="399" t="n">
        <v>-107086.64</v>
      </c>
      <c r="D63" s="399" t="n">
        <v>-228526.73</v>
      </c>
      <c r="E63" s="399" t="n">
        <v>-578098.3199999999</v>
      </c>
      <c r="F63" s="399" t="n">
        <v>-786162.51</v>
      </c>
      <c r="G63" s="399" t="n">
        <v>-1199341.45</v>
      </c>
      <c r="H63" s="399" t="n">
        <v>-1171798</v>
      </c>
      <c r="I63" s="399" t="n">
        <v>-434328.32</v>
      </c>
      <c r="J63" s="399" t="n">
        <v>-721548.58</v>
      </c>
      <c r="K63" s="399" t="n">
        <v>-825542.52</v>
      </c>
      <c r="L63" s="399" t="n">
        <v>-633490.51</v>
      </c>
      <c r="M63" s="399" t="n">
        <v>-715834.34</v>
      </c>
      <c r="N63" s="399" t="n">
        <v>-638902.78</v>
      </c>
      <c r="O63" s="399" t="n">
        <v>-609070.51</v>
      </c>
      <c r="P63" s="399" t="n">
        <v>-550131.88</v>
      </c>
      <c r="Q63" s="399" t="n">
        <v>-434388.25</v>
      </c>
      <c r="R63" s="399" t="n">
        <v>-385862.25</v>
      </c>
      <c r="S63" s="399" t="n">
        <v>-834956.42</v>
      </c>
      <c r="T63" s="399" t="n">
        <v>-1044595.7</v>
      </c>
      <c r="U63" s="399" t="n">
        <v>-698877.24</v>
      </c>
      <c r="V63" s="399" t="n">
        <v>-432918.86</v>
      </c>
      <c r="W63" s="399" t="n">
        <v>-152852.61</v>
      </c>
      <c r="X63" s="399" t="n">
        <v>0</v>
      </c>
      <c r="Y63" s="399" t="n">
        <v>0</v>
      </c>
      <c r="Z63" s="399" t="n">
        <v>0</v>
      </c>
      <c r="AA63" s="399" t="n">
        <v>0</v>
      </c>
      <c r="AB63" s="399" t="n">
        <v>0</v>
      </c>
      <c r="AC63" s="399" t="n">
        <v>0</v>
      </c>
      <c r="AD63" s="399" t="n">
        <v>0</v>
      </c>
      <c r="AE63" s="399" t="n">
        <v>0</v>
      </c>
      <c r="AF63" s="399" t="n">
        <v>0</v>
      </c>
      <c r="AG63" s="399" t="n">
        <v>0</v>
      </c>
      <c r="AH63" s="399" t="n">
        <v>0</v>
      </c>
      <c r="AI63" s="399" t="n">
        <v>0</v>
      </c>
      <c r="AJ63" s="399" t="n">
        <v>0</v>
      </c>
      <c r="AK63" s="399" t="n">
        <v>0</v>
      </c>
      <c r="AL63" s="399" t="n">
        <v>0</v>
      </c>
      <c r="AM63" s="399" t="n">
        <v>0</v>
      </c>
      <c r="AN63" s="399" t="n">
        <v>0</v>
      </c>
      <c r="AO63" s="399" t="n">
        <v>0</v>
      </c>
      <c r="AP63" s="399" t="n">
        <v>0</v>
      </c>
      <c r="AQ63" s="399" t="n">
        <v>0</v>
      </c>
      <c r="AR63" s="399" t="n">
        <v>0</v>
      </c>
      <c r="AS63" s="399" t="n">
        <v>0</v>
      </c>
      <c r="AT63" s="399" t="n">
        <v>0</v>
      </c>
      <c r="AU63" s="399" t="n">
        <v>0</v>
      </c>
      <c r="AV63" s="399" t="n">
        <v>0</v>
      </c>
      <c r="AW63" s="399" t="n">
        <v>0</v>
      </c>
      <c r="AX63" s="399" t="n">
        <v>0</v>
      </c>
      <c r="AY63" s="399" t="n">
        <v>0</v>
      </c>
      <c r="AZ63" s="399" t="n">
        <v>0</v>
      </c>
      <c r="BA63" s="399" t="n">
        <v>0</v>
      </c>
      <c r="BB63" s="399" t="n">
        <v>0</v>
      </c>
      <c r="BC63" s="399" t="n">
        <v>0</v>
      </c>
      <c r="BD63" s="399" t="n">
        <v>0</v>
      </c>
      <c r="BE63" s="399" t="n">
        <v>0</v>
      </c>
      <c r="BF63" s="399" t="n">
        <v>0</v>
      </c>
      <c r="BG63" s="399" t="n">
        <v>0</v>
      </c>
      <c r="BH63" s="399" t="n">
        <v>0</v>
      </c>
      <c r="BI63" s="399" t="n">
        <v>0</v>
      </c>
      <c r="BJ63" s="399" t="n">
        <v>0</v>
      </c>
      <c r="BK63" s="399" t="n">
        <v>0</v>
      </c>
      <c r="BL63" s="399" t="n">
        <v>0</v>
      </c>
      <c r="BM63" s="399" t="n">
        <v>0</v>
      </c>
      <c r="BN63" s="399" t="n">
        <v>0</v>
      </c>
      <c r="BO63" s="399" t="n">
        <v>0</v>
      </c>
      <c r="BP63" s="399" t="n">
        <v>0</v>
      </c>
      <c r="BQ63" s="399" t="n">
        <v>0</v>
      </c>
      <c r="BR63" s="399" t="n">
        <v>0</v>
      </c>
      <c r="BS63" s="399" t="n">
        <v>0</v>
      </c>
      <c r="BT63" s="399" t="n">
        <v>0</v>
      </c>
      <c r="BU63" s="399" t="n">
        <v>0</v>
      </c>
      <c r="BV63" s="399" t="n">
        <v>0</v>
      </c>
      <c r="BW63" s="399" t="n">
        <v>0</v>
      </c>
      <c r="BX63" s="399" t="n">
        <v>0</v>
      </c>
      <c r="BY63" s="399" t="n">
        <v>0</v>
      </c>
      <c r="BZ63" s="399" t="n">
        <v>0</v>
      </c>
      <c r="CA63" s="399" t="n">
        <v>0</v>
      </c>
      <c r="CB63" s="399" t="n">
        <v>0</v>
      </c>
      <c r="CC63" s="399" t="n">
        <v>0</v>
      </c>
      <c r="CD63" s="399" t="n">
        <v>0</v>
      </c>
      <c r="CE63" s="399" t="n">
        <v>0</v>
      </c>
      <c r="CF63" s="399" t="n">
        <v>0</v>
      </c>
      <c r="CG63" s="399" t="n">
        <v>0</v>
      </c>
      <c r="CH63" s="399" t="n">
        <v>0</v>
      </c>
      <c r="CI63" s="399" t="n">
        <v>0</v>
      </c>
      <c r="CJ63" s="399" t="n">
        <v>0</v>
      </c>
      <c r="CK63" s="399" t="n">
        <v>0</v>
      </c>
      <c r="CL63" s="399" t="n">
        <v>0</v>
      </c>
      <c r="CM63" s="399" t="n">
        <v>0</v>
      </c>
      <c r="CN63" s="399" t="n">
        <v>0</v>
      </c>
      <c r="CO63" s="399" t="n">
        <v>0</v>
      </c>
      <c r="CP63" s="399" t="n">
        <v>0</v>
      </c>
      <c r="CQ63" s="399" t="n">
        <v>0</v>
      </c>
      <c r="CR63" s="399" t="n">
        <v>0</v>
      </c>
      <c r="CS63" s="399" t="n">
        <v>0</v>
      </c>
      <c r="CT63" s="399" t="n">
        <v>0</v>
      </c>
      <c r="CU63" s="399" t="n">
        <v>0</v>
      </c>
      <c r="CV63" s="399" t="n">
        <v>0</v>
      </c>
      <c r="CW63" s="399" t="n">
        <v>0</v>
      </c>
      <c r="CX63" s="399" t="n">
        <v>0</v>
      </c>
      <c r="CY63" s="399" t="n">
        <v>0</v>
      </c>
      <c r="CZ63" s="399" t="n">
        <v>0</v>
      </c>
      <c r="DA63" s="399" t="n">
        <v>0</v>
      </c>
      <c r="DB63" s="399" t="n">
        <v>0</v>
      </c>
      <c r="DC63" s="399" t="n">
        <v>0</v>
      </c>
      <c r="DD63" s="399" t="n">
        <v>0</v>
      </c>
      <c r="DE63" s="399" t="n">
        <v>0</v>
      </c>
    </row>
    <row r="64" hidden="1" outlineLevel="1" ht="15" customFormat="1" customHeight="1" s="380">
      <c r="A64" s="407" t="inlineStr">
        <is>
          <t>Nelrose</t>
        </is>
      </c>
      <c r="B64" s="399" t="n">
        <v>0</v>
      </c>
      <c r="C64" s="399" t="n">
        <v>-158853.43</v>
      </c>
      <c r="D64" s="399" t="n">
        <v>-282874.37</v>
      </c>
      <c r="E64" s="399" t="n">
        <v>-223950.71</v>
      </c>
      <c r="F64" s="399" t="n">
        <v>-217736.55</v>
      </c>
      <c r="G64" s="399" t="n">
        <v>-325023.37</v>
      </c>
      <c r="H64" s="399" t="n">
        <v>-246996</v>
      </c>
      <c r="I64" s="399" t="n">
        <v>-212355.58</v>
      </c>
      <c r="J64" s="399" t="n">
        <v>-292519.05</v>
      </c>
      <c r="K64" s="399" t="n">
        <v>-450328.06</v>
      </c>
      <c r="L64" s="399" t="n">
        <v>-246565.55</v>
      </c>
      <c r="M64" s="399" t="n">
        <v>-208840.6</v>
      </c>
      <c r="N64" s="399" t="n">
        <v>-279911.11</v>
      </c>
      <c r="O64" s="399" t="n">
        <v>-246649.63</v>
      </c>
      <c r="P64" s="399" t="n">
        <v>-95976.7</v>
      </c>
      <c r="Q64" s="399" t="n">
        <v>-110015.5</v>
      </c>
      <c r="R64" s="399" t="n">
        <v>-53831.42</v>
      </c>
      <c r="S64" s="399" t="n">
        <v>-15804.6</v>
      </c>
      <c r="T64" s="399" t="n">
        <v>0</v>
      </c>
      <c r="U64" s="399" t="n">
        <v>0</v>
      </c>
      <c r="V64" s="399" t="n">
        <v>0</v>
      </c>
      <c r="W64" s="399" t="n">
        <v>0</v>
      </c>
      <c r="X64" s="399" t="n">
        <v>0</v>
      </c>
      <c r="Y64" s="399" t="n">
        <v>0</v>
      </c>
      <c r="Z64" s="399" t="n">
        <v>0</v>
      </c>
      <c r="AA64" s="399" t="n">
        <v>0</v>
      </c>
      <c r="AB64" s="399" t="n">
        <v>0</v>
      </c>
      <c r="AC64" s="399" t="n">
        <v>0</v>
      </c>
      <c r="AD64" s="399" t="n">
        <v>0</v>
      </c>
      <c r="AE64" s="399" t="n">
        <v>0</v>
      </c>
      <c r="AF64" s="399" t="n">
        <v>0</v>
      </c>
      <c r="AG64" s="399" t="n">
        <v>0</v>
      </c>
      <c r="AH64" s="399" t="n">
        <v>0</v>
      </c>
      <c r="AI64" s="399" t="n">
        <v>0</v>
      </c>
      <c r="AJ64" s="399" t="n">
        <v>0</v>
      </c>
      <c r="AK64" s="399" t="n">
        <v>0</v>
      </c>
      <c r="AL64" s="399" t="n">
        <v>0</v>
      </c>
      <c r="AM64" s="399" t="n">
        <v>0</v>
      </c>
      <c r="AN64" s="399" t="n">
        <v>0</v>
      </c>
      <c r="AO64" s="399" t="n">
        <v>0</v>
      </c>
      <c r="AP64" s="399" t="n">
        <v>0</v>
      </c>
      <c r="AQ64" s="399" t="n">
        <v>0</v>
      </c>
      <c r="AR64" s="399" t="n">
        <v>0</v>
      </c>
      <c r="AS64" s="399" t="n">
        <v>0</v>
      </c>
      <c r="AT64" s="399" t="n">
        <v>0</v>
      </c>
      <c r="AU64" s="399" t="n">
        <v>0</v>
      </c>
      <c r="AV64" s="399" t="n">
        <v>0</v>
      </c>
      <c r="AW64" s="399" t="n">
        <v>0</v>
      </c>
      <c r="AX64" s="399" t="n">
        <v>0</v>
      </c>
      <c r="AY64" s="399" t="n">
        <v>0</v>
      </c>
      <c r="AZ64" s="399" t="n">
        <v>0</v>
      </c>
      <c r="BA64" s="399" t="n">
        <v>0</v>
      </c>
      <c r="BB64" s="399" t="n">
        <v>0</v>
      </c>
      <c r="BC64" s="399" t="n">
        <v>0</v>
      </c>
      <c r="BD64" s="399" t="n">
        <v>0</v>
      </c>
      <c r="BE64" s="399" t="n">
        <v>0</v>
      </c>
      <c r="BF64" s="399" t="n">
        <v>0</v>
      </c>
      <c r="BG64" s="399" t="n">
        <v>0</v>
      </c>
      <c r="BH64" s="399" t="n">
        <v>0</v>
      </c>
      <c r="BI64" s="399" t="n">
        <v>0</v>
      </c>
      <c r="BJ64" s="399" t="n">
        <v>0</v>
      </c>
      <c r="BK64" s="399" t="n">
        <v>0</v>
      </c>
      <c r="BL64" s="399" t="n">
        <v>0</v>
      </c>
      <c r="BM64" s="399" t="n">
        <v>0</v>
      </c>
      <c r="BN64" s="399" t="n">
        <v>0</v>
      </c>
      <c r="BO64" s="399" t="n">
        <v>0</v>
      </c>
      <c r="BP64" s="399" t="n">
        <v>0</v>
      </c>
      <c r="BQ64" s="399" t="n">
        <v>0</v>
      </c>
      <c r="BR64" s="399" t="n">
        <v>0</v>
      </c>
      <c r="BS64" s="399" t="n">
        <v>0</v>
      </c>
      <c r="BT64" s="399" t="n">
        <v>0</v>
      </c>
      <c r="BU64" s="399" t="n">
        <v>0</v>
      </c>
      <c r="BV64" s="399" t="n">
        <v>0</v>
      </c>
      <c r="BW64" s="399" t="n">
        <v>0</v>
      </c>
      <c r="BX64" s="399" t="n">
        <v>0</v>
      </c>
      <c r="BY64" s="399" t="n">
        <v>0</v>
      </c>
      <c r="BZ64" s="399" t="n">
        <v>0</v>
      </c>
      <c r="CA64" s="399" t="n">
        <v>0</v>
      </c>
      <c r="CB64" s="399" t="n">
        <v>0</v>
      </c>
      <c r="CC64" s="399" t="n">
        <v>0</v>
      </c>
      <c r="CD64" s="399" t="n">
        <v>0</v>
      </c>
      <c r="CE64" s="399" t="n">
        <v>0</v>
      </c>
      <c r="CF64" s="399" t="n">
        <v>0</v>
      </c>
      <c r="CG64" s="399" t="n">
        <v>0</v>
      </c>
      <c r="CH64" s="399" t="n">
        <v>0</v>
      </c>
      <c r="CI64" s="399" t="n">
        <v>0</v>
      </c>
      <c r="CJ64" s="399" t="n">
        <v>0</v>
      </c>
      <c r="CK64" s="399" t="n">
        <v>0</v>
      </c>
      <c r="CL64" s="399" t="n">
        <v>0</v>
      </c>
      <c r="CM64" s="399" t="n">
        <v>0</v>
      </c>
      <c r="CN64" s="399" t="n">
        <v>0</v>
      </c>
      <c r="CO64" s="399" t="n">
        <v>0</v>
      </c>
      <c r="CP64" s="399" t="n">
        <v>0</v>
      </c>
      <c r="CQ64" s="399" t="n">
        <v>0</v>
      </c>
      <c r="CR64" s="399" t="n">
        <v>0</v>
      </c>
      <c r="CS64" s="399" t="n">
        <v>0</v>
      </c>
      <c r="CT64" s="399" t="n">
        <v>0</v>
      </c>
      <c r="CU64" s="399" t="n">
        <v>0</v>
      </c>
      <c r="CV64" s="399" t="n">
        <v>0</v>
      </c>
      <c r="CW64" s="399" t="n">
        <v>0</v>
      </c>
      <c r="CX64" s="399" t="n">
        <v>0</v>
      </c>
      <c r="CY64" s="399" t="n">
        <v>0</v>
      </c>
      <c r="CZ64" s="399" t="n">
        <v>0</v>
      </c>
      <c r="DA64" s="399" t="n">
        <v>0</v>
      </c>
      <c r="DB64" s="399" t="n">
        <v>0</v>
      </c>
      <c r="DC64" s="399" t="n">
        <v>0</v>
      </c>
      <c r="DD64" s="399" t="n">
        <v>0</v>
      </c>
      <c r="DE64" s="399" t="n">
        <v>0</v>
      </c>
    </row>
    <row r="65" hidden="1" outlineLevel="1" ht="15" customFormat="1" customHeight="1" s="380">
      <c r="A65" s="407" t="inlineStr">
        <is>
          <t>Francis</t>
        </is>
      </c>
      <c r="B65" s="399" t="n">
        <v>-2000</v>
      </c>
      <c r="C65" s="399" t="n">
        <v>0</v>
      </c>
      <c r="D65" s="399" t="n">
        <v>0</v>
      </c>
      <c r="E65" s="399" t="n">
        <v>0</v>
      </c>
      <c r="F65" s="399" t="n">
        <v>-8000</v>
      </c>
      <c r="G65" s="399" t="n">
        <v>-5130</v>
      </c>
      <c r="H65" s="399" t="n">
        <v>-7159</v>
      </c>
      <c r="I65" s="399" t="n">
        <v>-309349.13</v>
      </c>
      <c r="J65" s="399" t="n">
        <v>-734627.75</v>
      </c>
      <c r="K65" s="399" t="n">
        <v>-1031862.26</v>
      </c>
      <c r="L65" s="399" t="n">
        <v>-670762.14</v>
      </c>
      <c r="M65" s="399" t="n">
        <v>-502701.41</v>
      </c>
      <c r="N65" s="399" t="n">
        <v>-640423.23</v>
      </c>
      <c r="O65" s="399" t="n">
        <v>-518087.99</v>
      </c>
      <c r="P65" s="399" t="n">
        <v>-625083.61</v>
      </c>
      <c r="Q65" s="399" t="n">
        <v>-527941.35</v>
      </c>
      <c r="R65" s="399" t="n">
        <v>-648842.42</v>
      </c>
      <c r="S65" s="399" t="n">
        <v>-609836.71</v>
      </c>
      <c r="T65" s="399" t="n">
        <v>-1093856.58</v>
      </c>
      <c r="U65" s="399" t="n">
        <v>-699027.38</v>
      </c>
      <c r="V65" s="399" t="n">
        <v>-2084550.48</v>
      </c>
      <c r="W65" s="399" t="n">
        <v>-1316830.2</v>
      </c>
      <c r="X65" s="399" t="n">
        <v>-2704840.19</v>
      </c>
      <c r="Y65" s="399" t="n">
        <v>-1557426.69</v>
      </c>
      <c r="Z65" s="399" t="n">
        <v>-2453634.53</v>
      </c>
      <c r="AA65" s="399" t="n">
        <v>-2048866.16</v>
      </c>
      <c r="AB65" s="399" t="n">
        <v>-1396684.5</v>
      </c>
      <c r="AC65" s="399" t="n">
        <v>-883896.92</v>
      </c>
      <c r="AD65" s="399" t="n">
        <v>-1046686.92</v>
      </c>
      <c r="AE65" s="399" t="n">
        <v>-982365.21</v>
      </c>
      <c r="AF65" s="399" t="n">
        <v>-1214791.02</v>
      </c>
      <c r="AG65" s="399" t="n">
        <v>-2109626.22</v>
      </c>
      <c r="AH65" s="399" t="n">
        <v>-1957875.93</v>
      </c>
      <c r="AI65" s="399" t="n">
        <v>-1914132.66</v>
      </c>
      <c r="AJ65" s="399" t="n">
        <v>-1044319.92</v>
      </c>
      <c r="AK65" s="399" t="n">
        <v>-866931.3</v>
      </c>
      <c r="AL65" s="399" t="n">
        <v>-968436.51</v>
      </c>
      <c r="AM65" s="399" t="n">
        <v>-1052717.22</v>
      </c>
      <c r="AN65" s="399" t="n">
        <v>-283224.47</v>
      </c>
      <c r="AO65" s="399" t="n">
        <v>0</v>
      </c>
      <c r="AP65" s="399" t="n">
        <v>0</v>
      </c>
      <c r="AQ65" s="399" t="n">
        <v>0</v>
      </c>
      <c r="AR65" s="399" t="n">
        <v>0</v>
      </c>
      <c r="AS65" s="399" t="n">
        <v>0</v>
      </c>
      <c r="AT65" s="399" t="n">
        <v>0</v>
      </c>
      <c r="AU65" s="399" t="n">
        <v>0</v>
      </c>
      <c r="AV65" s="399" t="n">
        <v>0</v>
      </c>
      <c r="AW65" s="399" t="n">
        <v>0</v>
      </c>
      <c r="AX65" s="399" t="n">
        <v>0</v>
      </c>
      <c r="AY65" s="399" t="n">
        <v>0</v>
      </c>
      <c r="AZ65" s="399" t="n">
        <v>0</v>
      </c>
      <c r="BA65" s="399" t="n">
        <v>0</v>
      </c>
      <c r="BB65" s="399" t="n">
        <v>0</v>
      </c>
      <c r="BC65" s="399" t="n">
        <v>0</v>
      </c>
      <c r="BD65" s="399" t="n">
        <v>0</v>
      </c>
      <c r="BE65" s="399" t="n">
        <v>0</v>
      </c>
      <c r="BF65" s="399" t="n">
        <v>0</v>
      </c>
      <c r="BG65" s="399" t="n">
        <v>0</v>
      </c>
      <c r="BH65" s="399" t="n">
        <v>0</v>
      </c>
      <c r="BI65" s="399" t="n">
        <v>0</v>
      </c>
      <c r="BJ65" s="399" t="n">
        <v>0</v>
      </c>
      <c r="BK65" s="399" t="n">
        <v>0</v>
      </c>
      <c r="BL65" s="399" t="n">
        <v>0</v>
      </c>
      <c r="BM65" s="399" t="n">
        <v>0</v>
      </c>
      <c r="BN65" s="399" t="n">
        <v>0</v>
      </c>
      <c r="BO65" s="399" t="n">
        <v>0</v>
      </c>
      <c r="BP65" s="399" t="n">
        <v>0</v>
      </c>
      <c r="BQ65" s="399" t="n">
        <v>0</v>
      </c>
      <c r="BR65" s="399" t="n">
        <v>0</v>
      </c>
      <c r="BS65" s="399" t="n">
        <v>0</v>
      </c>
      <c r="BT65" s="399" t="n">
        <v>0</v>
      </c>
      <c r="BU65" s="399" t="n">
        <v>0</v>
      </c>
      <c r="BV65" s="399" t="n">
        <v>0</v>
      </c>
      <c r="BW65" s="399" t="n">
        <v>0</v>
      </c>
      <c r="BX65" s="399" t="n">
        <v>0</v>
      </c>
      <c r="BY65" s="399" t="n">
        <v>0</v>
      </c>
      <c r="BZ65" s="399" t="n">
        <v>0</v>
      </c>
      <c r="CA65" s="399" t="n">
        <v>0</v>
      </c>
      <c r="CB65" s="399" t="n">
        <v>0</v>
      </c>
      <c r="CC65" s="399" t="n">
        <v>0</v>
      </c>
      <c r="CD65" s="399" t="n">
        <v>0</v>
      </c>
      <c r="CE65" s="399" t="n">
        <v>0</v>
      </c>
      <c r="CF65" s="399" t="n">
        <v>0</v>
      </c>
      <c r="CG65" s="399" t="n">
        <v>0</v>
      </c>
      <c r="CH65" s="399" t="n">
        <v>0</v>
      </c>
      <c r="CI65" s="399" t="n">
        <v>0</v>
      </c>
      <c r="CJ65" s="399" t="n">
        <v>0</v>
      </c>
      <c r="CK65" s="399" t="n">
        <v>0</v>
      </c>
      <c r="CL65" s="399" t="n">
        <v>0</v>
      </c>
      <c r="CM65" s="399" t="n">
        <v>0</v>
      </c>
      <c r="CN65" s="399" t="n">
        <v>0</v>
      </c>
      <c r="CO65" s="399" t="n">
        <v>0</v>
      </c>
      <c r="CP65" s="399" t="n">
        <v>0</v>
      </c>
      <c r="CQ65" s="399" t="n">
        <v>0</v>
      </c>
      <c r="CR65" s="399" t="n">
        <v>0</v>
      </c>
      <c r="CS65" s="399" t="n">
        <v>0</v>
      </c>
      <c r="CT65" s="399" t="n">
        <v>0</v>
      </c>
      <c r="CU65" s="399" t="n">
        <v>0</v>
      </c>
      <c r="CV65" s="399" t="n">
        <v>0</v>
      </c>
      <c r="CW65" s="399" t="n">
        <v>0</v>
      </c>
      <c r="CX65" s="399" t="n">
        <v>0</v>
      </c>
      <c r="CY65" s="399" t="n">
        <v>0</v>
      </c>
      <c r="CZ65" s="399" t="n">
        <v>0</v>
      </c>
      <c r="DA65" s="399" t="n">
        <v>0</v>
      </c>
      <c r="DB65" s="399" t="n">
        <v>0</v>
      </c>
      <c r="DC65" s="399" t="n">
        <v>0</v>
      </c>
      <c r="DD65" s="399" t="n">
        <v>0</v>
      </c>
      <c r="DE65" s="399" t="n">
        <v>0</v>
      </c>
    </row>
    <row r="66" hidden="1" outlineLevel="1" ht="15" customFormat="1" customHeight="1" s="380">
      <c r="A66" s="407" t="inlineStr">
        <is>
          <t>Lexington</t>
        </is>
      </c>
      <c r="B66" s="399" t="n">
        <v>0</v>
      </c>
      <c r="C66" s="399" t="n">
        <v>0</v>
      </c>
      <c r="D66" s="399" t="n">
        <v>0</v>
      </c>
      <c r="E66" s="399" t="n">
        <v>0</v>
      </c>
      <c r="F66" s="399">
        <f>-F19</f>
        <v/>
      </c>
      <c r="G66" s="399">
        <f>-G19</f>
        <v/>
      </c>
      <c r="H66" s="399">
        <f>-H19</f>
        <v/>
      </c>
      <c r="I66" s="399">
        <f>-I19</f>
        <v/>
      </c>
      <c r="J66" s="399">
        <f>-J19</f>
        <v/>
      </c>
      <c r="K66" s="399">
        <f>-K19</f>
        <v/>
      </c>
      <c r="L66" s="399">
        <f>-L19</f>
        <v/>
      </c>
      <c r="M66" s="399">
        <f>-M19</f>
        <v/>
      </c>
      <c r="N66" s="399">
        <f>-N19</f>
        <v/>
      </c>
      <c r="O66" s="399">
        <f>-O19</f>
        <v/>
      </c>
      <c r="P66" s="399">
        <f>-P19</f>
        <v/>
      </c>
      <c r="Q66" s="399">
        <f>-Q19</f>
        <v/>
      </c>
      <c r="R66" s="399">
        <f>-R19</f>
        <v/>
      </c>
      <c r="S66" s="399">
        <f>-S19</f>
        <v/>
      </c>
      <c r="T66" s="399">
        <f>-T19</f>
        <v/>
      </c>
      <c r="U66" s="399">
        <f>-U19</f>
        <v/>
      </c>
      <c r="V66" s="399">
        <f>-V19</f>
        <v/>
      </c>
      <c r="W66" s="399">
        <f>-W19</f>
        <v/>
      </c>
      <c r="X66" s="399">
        <f>-X19</f>
        <v/>
      </c>
      <c r="Y66" s="399">
        <f>-Y19</f>
        <v/>
      </c>
      <c r="Z66" s="399">
        <f>-Z19</f>
        <v/>
      </c>
      <c r="AA66" s="399">
        <f>-AA19</f>
        <v/>
      </c>
      <c r="AB66" s="399">
        <f>-AB19</f>
        <v/>
      </c>
      <c r="AC66" s="399">
        <f>-AC19</f>
        <v/>
      </c>
      <c r="AD66" s="399">
        <f>-AD19</f>
        <v/>
      </c>
      <c r="AE66" s="399">
        <f>-AE19</f>
        <v/>
      </c>
      <c r="AF66" s="399">
        <f>-AF19</f>
        <v/>
      </c>
      <c r="AG66" s="399">
        <f>-AG19</f>
        <v/>
      </c>
      <c r="AH66" s="399">
        <f>-AH19</f>
        <v/>
      </c>
      <c r="AI66" s="399">
        <f>-AI19</f>
        <v/>
      </c>
      <c r="AJ66" s="399">
        <f>-AJ19</f>
        <v/>
      </c>
      <c r="AK66" s="399">
        <f>-AK19</f>
        <v/>
      </c>
      <c r="AL66" s="399">
        <f>-AL19</f>
        <v/>
      </c>
      <c r="AM66" s="399">
        <f>-AM19</f>
        <v/>
      </c>
      <c r="AN66" s="399">
        <f>-AN19</f>
        <v/>
      </c>
      <c r="AO66" s="399">
        <f>-AO19</f>
        <v/>
      </c>
      <c r="AP66" s="399">
        <f>-AP19</f>
        <v/>
      </c>
      <c r="AQ66" s="399">
        <f>-AQ19</f>
        <v/>
      </c>
      <c r="AR66" s="399">
        <f>-AR19</f>
        <v/>
      </c>
      <c r="AS66" s="399">
        <f>-AS19</f>
        <v/>
      </c>
      <c r="AT66" s="399">
        <f>-AT19</f>
        <v/>
      </c>
      <c r="AU66" s="399">
        <f>-AU19</f>
        <v/>
      </c>
      <c r="AV66" s="399">
        <f>-AV19</f>
        <v/>
      </c>
      <c r="AW66" s="399">
        <f>-AW19</f>
        <v/>
      </c>
      <c r="AX66" s="399">
        <f>-AX19</f>
        <v/>
      </c>
      <c r="AY66" s="399">
        <f>-AY19</f>
        <v/>
      </c>
      <c r="AZ66" s="399">
        <f>-AZ19</f>
        <v/>
      </c>
      <c r="BA66" s="399">
        <f>-BA19</f>
        <v/>
      </c>
      <c r="BB66" s="399">
        <f>-BB19</f>
        <v/>
      </c>
      <c r="BC66" s="399">
        <f>-BC19</f>
        <v/>
      </c>
      <c r="BD66" s="399">
        <f>-BD19</f>
        <v/>
      </c>
      <c r="BE66" s="399">
        <f>-BE19</f>
        <v/>
      </c>
      <c r="BF66" s="399">
        <f>-BF19</f>
        <v/>
      </c>
      <c r="BG66" s="399">
        <f>-BG19</f>
        <v/>
      </c>
      <c r="BH66" s="399">
        <f>-BH19</f>
        <v/>
      </c>
      <c r="BI66" s="399">
        <f>-BI19</f>
        <v/>
      </c>
      <c r="BJ66" s="399">
        <f>-BJ19</f>
        <v/>
      </c>
      <c r="BK66" s="399">
        <f>-BK19</f>
        <v/>
      </c>
      <c r="BL66" s="399">
        <f>-BL19</f>
        <v/>
      </c>
      <c r="BM66" s="399">
        <f>-BM19</f>
        <v/>
      </c>
      <c r="BN66" s="399">
        <f>-BN19</f>
        <v/>
      </c>
      <c r="BO66" s="399">
        <f>-BO19</f>
        <v/>
      </c>
      <c r="BP66" s="399">
        <f>-BP19</f>
        <v/>
      </c>
      <c r="BQ66" s="399">
        <f>-BQ19</f>
        <v/>
      </c>
      <c r="BR66" s="399">
        <f>-BR19</f>
        <v/>
      </c>
      <c r="BS66" s="399">
        <f>-BS19</f>
        <v/>
      </c>
      <c r="BT66" s="399">
        <f>-BT19</f>
        <v/>
      </c>
      <c r="BU66" s="399">
        <f>-BU19</f>
        <v/>
      </c>
      <c r="BV66" s="399">
        <f>-BV19</f>
        <v/>
      </c>
      <c r="BW66" s="399">
        <f>-BW19</f>
        <v/>
      </c>
      <c r="BX66" s="399">
        <f>-BX19</f>
        <v/>
      </c>
      <c r="BY66" s="399">
        <f>-BY19</f>
        <v/>
      </c>
      <c r="BZ66" s="399">
        <f>-BZ19</f>
        <v/>
      </c>
      <c r="CA66" s="399">
        <f>-CA19</f>
        <v/>
      </c>
      <c r="CB66" s="399">
        <f>-CB19</f>
        <v/>
      </c>
      <c r="CC66" s="399">
        <f>-CC19</f>
        <v/>
      </c>
      <c r="CD66" s="399">
        <f>-CD19</f>
        <v/>
      </c>
      <c r="CE66" s="399">
        <f>-CE19</f>
        <v/>
      </c>
      <c r="CF66" s="399">
        <f>-CF19</f>
        <v/>
      </c>
      <c r="CG66" s="399">
        <f>-CG19</f>
        <v/>
      </c>
      <c r="CH66" s="399">
        <f>-CH19</f>
        <v/>
      </c>
      <c r="CI66" s="399">
        <f>-CI19</f>
        <v/>
      </c>
      <c r="CJ66" s="399">
        <f>-CJ19</f>
        <v/>
      </c>
      <c r="CK66" s="399">
        <f>-CK19</f>
        <v/>
      </c>
      <c r="CL66" s="399">
        <f>-CL19</f>
        <v/>
      </c>
      <c r="CM66" s="399">
        <f>-CM19</f>
        <v/>
      </c>
      <c r="CN66" s="399">
        <f>-CN19</f>
        <v/>
      </c>
      <c r="CO66" s="399">
        <f>-CO19</f>
        <v/>
      </c>
      <c r="CP66" s="399">
        <f>-CP19</f>
        <v/>
      </c>
      <c r="CQ66" s="399">
        <f>-CQ19</f>
        <v/>
      </c>
      <c r="CR66" s="399">
        <f>-CR19</f>
        <v/>
      </c>
      <c r="CS66" s="399">
        <f>-CS19</f>
        <v/>
      </c>
      <c r="CT66" s="399">
        <f>-CT19</f>
        <v/>
      </c>
      <c r="CU66" s="399">
        <f>-CU19</f>
        <v/>
      </c>
      <c r="CV66" s="399">
        <f>-CV19</f>
        <v/>
      </c>
      <c r="CW66" s="399">
        <f>-CW19</f>
        <v/>
      </c>
      <c r="CX66" s="399">
        <f>-CX19</f>
        <v/>
      </c>
      <c r="CY66" s="399">
        <f>-CY19</f>
        <v/>
      </c>
      <c r="CZ66" s="399">
        <f>-CZ19</f>
        <v/>
      </c>
      <c r="DA66" s="399">
        <f>-DA19</f>
        <v/>
      </c>
      <c r="DB66" s="399">
        <f>-DB19</f>
        <v/>
      </c>
      <c r="DC66" s="399">
        <f>-DC19</f>
        <v/>
      </c>
      <c r="DD66" s="399">
        <f>-DD19</f>
        <v/>
      </c>
      <c r="DE66" s="399">
        <f>-DE19</f>
        <v/>
      </c>
    </row>
    <row r="67" hidden="1" outlineLevel="1" ht="15" customFormat="1" customHeight="1" s="380">
      <c r="A67" s="407" t="inlineStr">
        <is>
          <t>Denny</t>
        </is>
      </c>
      <c r="B67" s="399" t="n">
        <v>0</v>
      </c>
      <c r="C67" s="399" t="n">
        <v>0</v>
      </c>
      <c r="D67" s="399" t="n">
        <v>0</v>
      </c>
      <c r="E67" s="399" t="n">
        <v>0</v>
      </c>
      <c r="F67" s="399">
        <f>-F20</f>
        <v/>
      </c>
      <c r="G67" s="399">
        <f>-G20</f>
        <v/>
      </c>
      <c r="H67" s="399">
        <f>-H20</f>
        <v/>
      </c>
      <c r="I67" s="399">
        <f>-I20</f>
        <v/>
      </c>
      <c r="J67" s="399">
        <f>-J20</f>
        <v/>
      </c>
      <c r="K67" s="399">
        <f>-K20</f>
        <v/>
      </c>
      <c r="L67" s="399">
        <f>-L20</f>
        <v/>
      </c>
      <c r="M67" s="399">
        <f>-M20</f>
        <v/>
      </c>
      <c r="N67" s="399">
        <f>-N20</f>
        <v/>
      </c>
      <c r="O67" s="399">
        <f>-O20</f>
        <v/>
      </c>
      <c r="P67" s="399">
        <f>-P20</f>
        <v/>
      </c>
      <c r="Q67" s="399">
        <f>-Q20</f>
        <v/>
      </c>
      <c r="R67" s="399">
        <f>-R20</f>
        <v/>
      </c>
      <c r="S67" s="399">
        <f>-S20</f>
        <v/>
      </c>
      <c r="T67" s="399">
        <f>-T20</f>
        <v/>
      </c>
      <c r="U67" s="399">
        <f>-U20</f>
        <v/>
      </c>
      <c r="V67" s="399">
        <f>-V20</f>
        <v/>
      </c>
      <c r="W67" s="399">
        <f>-W20</f>
        <v/>
      </c>
      <c r="X67" s="399">
        <f>-X20</f>
        <v/>
      </c>
      <c r="Y67" s="399">
        <f>-Y20</f>
        <v/>
      </c>
      <c r="Z67" s="399">
        <f>-Z20</f>
        <v/>
      </c>
      <c r="AA67" s="399">
        <f>-AA20</f>
        <v/>
      </c>
      <c r="AB67" s="399">
        <f>-AB20</f>
        <v/>
      </c>
      <c r="AC67" s="399">
        <f>-AC20</f>
        <v/>
      </c>
      <c r="AD67" s="399">
        <f>-AD20</f>
        <v/>
      </c>
      <c r="AE67" s="399">
        <f>-AE20</f>
        <v/>
      </c>
      <c r="AF67" s="399">
        <f>-AF20</f>
        <v/>
      </c>
      <c r="AG67" s="399">
        <f>-AG20</f>
        <v/>
      </c>
      <c r="AH67" s="399">
        <f>-AH20</f>
        <v/>
      </c>
      <c r="AI67" s="399">
        <f>-AI20</f>
        <v/>
      </c>
      <c r="AJ67" s="399">
        <f>-AJ20</f>
        <v/>
      </c>
      <c r="AK67" s="399">
        <f>-AK20</f>
        <v/>
      </c>
      <c r="AL67" s="399">
        <f>-AL20</f>
        <v/>
      </c>
      <c r="AM67" s="399">
        <f>-AM20</f>
        <v/>
      </c>
      <c r="AN67" s="399">
        <f>-AN20</f>
        <v/>
      </c>
      <c r="AO67" s="399">
        <f>-AO20</f>
        <v/>
      </c>
      <c r="AP67" s="399">
        <f>-AP20</f>
        <v/>
      </c>
      <c r="AQ67" s="399">
        <f>-AQ20</f>
        <v/>
      </c>
      <c r="AR67" s="399">
        <f>-AR20</f>
        <v/>
      </c>
      <c r="AS67" s="399">
        <f>-AS20</f>
        <v/>
      </c>
      <c r="AT67" s="399">
        <f>-AT20</f>
        <v/>
      </c>
      <c r="AU67" s="399">
        <f>-AU20</f>
        <v/>
      </c>
      <c r="AV67" s="399">
        <f>-AV20</f>
        <v/>
      </c>
      <c r="AW67" s="399">
        <f>-AW20</f>
        <v/>
      </c>
      <c r="AX67" s="399">
        <f>-AX20</f>
        <v/>
      </c>
      <c r="AY67" s="399">
        <f>-AY20</f>
        <v/>
      </c>
      <c r="AZ67" s="399">
        <f>-AZ20</f>
        <v/>
      </c>
      <c r="BA67" s="399">
        <f>-BA20</f>
        <v/>
      </c>
      <c r="BB67" s="399">
        <f>-BB20</f>
        <v/>
      </c>
      <c r="BC67" s="399">
        <f>-BC20</f>
        <v/>
      </c>
      <c r="BD67" s="399">
        <f>-BD20</f>
        <v/>
      </c>
      <c r="BE67" s="399">
        <f>-BE20</f>
        <v/>
      </c>
      <c r="BF67" s="399">
        <f>-BF20</f>
        <v/>
      </c>
      <c r="BG67" s="399">
        <f>-BG20</f>
        <v/>
      </c>
      <c r="BH67" s="399">
        <f>-BH20</f>
        <v/>
      </c>
      <c r="BI67" s="399">
        <f>-BI20</f>
        <v/>
      </c>
      <c r="BJ67" s="399">
        <f>-BJ20</f>
        <v/>
      </c>
      <c r="BK67" s="399">
        <f>-BK20</f>
        <v/>
      </c>
      <c r="BL67" s="399">
        <f>-BL20</f>
        <v/>
      </c>
      <c r="BM67" s="399">
        <f>-BM20</f>
        <v/>
      </c>
      <c r="BN67" s="399">
        <f>-BN20</f>
        <v/>
      </c>
      <c r="BO67" s="399">
        <f>-BO20</f>
        <v/>
      </c>
      <c r="BP67" s="399">
        <f>-BP20</f>
        <v/>
      </c>
      <c r="BQ67" s="399">
        <f>-BQ20</f>
        <v/>
      </c>
      <c r="BR67" s="399">
        <f>-BR20</f>
        <v/>
      </c>
      <c r="BS67" s="399">
        <f>-BS20</f>
        <v/>
      </c>
      <c r="BT67" s="399">
        <f>-BT20</f>
        <v/>
      </c>
      <c r="BU67" s="399">
        <f>-BU20</f>
        <v/>
      </c>
      <c r="BV67" s="399">
        <f>-BV20</f>
        <v/>
      </c>
      <c r="BW67" s="399">
        <f>-BW20</f>
        <v/>
      </c>
      <c r="BX67" s="399">
        <f>-BX20</f>
        <v/>
      </c>
      <c r="BY67" s="399">
        <f>-BY20</f>
        <v/>
      </c>
      <c r="BZ67" s="399">
        <f>-BZ20</f>
        <v/>
      </c>
      <c r="CA67" s="399">
        <f>-CA20</f>
        <v/>
      </c>
      <c r="CB67" s="399">
        <f>-CB20</f>
        <v/>
      </c>
      <c r="CC67" s="399">
        <f>-CC20</f>
        <v/>
      </c>
      <c r="CD67" s="399">
        <f>-CD20</f>
        <v/>
      </c>
      <c r="CE67" s="399">
        <f>-CE20</f>
        <v/>
      </c>
      <c r="CF67" s="399">
        <f>-CF20</f>
        <v/>
      </c>
      <c r="CG67" s="399">
        <f>-CG20</f>
        <v/>
      </c>
      <c r="CH67" s="399">
        <f>-CH20</f>
        <v/>
      </c>
      <c r="CI67" s="399">
        <f>-CI20</f>
        <v/>
      </c>
      <c r="CJ67" s="399">
        <f>-CJ20</f>
        <v/>
      </c>
      <c r="CK67" s="399">
        <f>-CK20</f>
        <v/>
      </c>
      <c r="CL67" s="399">
        <f>-CL20</f>
        <v/>
      </c>
      <c r="CM67" s="399">
        <f>-CM20</f>
        <v/>
      </c>
      <c r="CN67" s="399">
        <f>-CN20</f>
        <v/>
      </c>
      <c r="CO67" s="399">
        <f>-CO20</f>
        <v/>
      </c>
      <c r="CP67" s="399">
        <f>-CP20</f>
        <v/>
      </c>
      <c r="CQ67" s="399">
        <f>-CQ20</f>
        <v/>
      </c>
      <c r="CR67" s="399">
        <f>-CR20</f>
        <v/>
      </c>
      <c r="CS67" s="399">
        <f>-CS20</f>
        <v/>
      </c>
      <c r="CT67" s="399">
        <f>-CT20</f>
        <v/>
      </c>
      <c r="CU67" s="399">
        <f>-CU20</f>
        <v/>
      </c>
      <c r="CV67" s="399">
        <f>-CV20</f>
        <v/>
      </c>
      <c r="CW67" s="399">
        <f>-CW20</f>
        <v/>
      </c>
      <c r="CX67" s="399">
        <f>-CX20</f>
        <v/>
      </c>
      <c r="CY67" s="399">
        <f>-CY20</f>
        <v/>
      </c>
      <c r="CZ67" s="399">
        <f>-CZ20</f>
        <v/>
      </c>
      <c r="DA67" s="399">
        <f>-DA20</f>
        <v/>
      </c>
      <c r="DB67" s="399">
        <f>-DB20</f>
        <v/>
      </c>
      <c r="DC67" s="399">
        <f>-DC20</f>
        <v/>
      </c>
      <c r="DD67" s="399">
        <f>-DD20</f>
        <v/>
      </c>
      <c r="DE67" s="399">
        <f>-DE20</f>
        <v/>
      </c>
    </row>
    <row r="68" hidden="1" outlineLevel="1" ht="15" customFormat="1" customHeight="1" s="380">
      <c r="A68" s="407" t="inlineStr">
        <is>
          <t>Acama</t>
        </is>
      </c>
      <c r="B68" s="399" t="n">
        <v>0</v>
      </c>
      <c r="C68" s="399" t="n">
        <v>0</v>
      </c>
      <c r="D68" s="399" t="n">
        <v>0</v>
      </c>
      <c r="E68" s="399" t="n">
        <v>0</v>
      </c>
      <c r="F68" s="399" t="n">
        <v>-50</v>
      </c>
      <c r="G68" s="399" t="n">
        <v>-5164</v>
      </c>
      <c r="H68" s="399" t="n">
        <v>5164</v>
      </c>
      <c r="I68" s="399">
        <f>-I21</f>
        <v/>
      </c>
      <c r="J68" s="399">
        <f>-J21</f>
        <v/>
      </c>
      <c r="K68" s="399">
        <f>-K21</f>
        <v/>
      </c>
      <c r="L68" s="399">
        <f>-L21</f>
        <v/>
      </c>
      <c r="M68" s="399">
        <f>-M21</f>
        <v/>
      </c>
      <c r="N68" s="399">
        <f>-N21</f>
        <v/>
      </c>
      <c r="O68" s="399">
        <f>-O21</f>
        <v/>
      </c>
      <c r="P68" s="399">
        <f>-P21</f>
        <v/>
      </c>
      <c r="Q68" s="399">
        <f>-Q21</f>
        <v/>
      </c>
      <c r="R68" s="399">
        <f>-R21</f>
        <v/>
      </c>
      <c r="S68" s="399">
        <f>-S21</f>
        <v/>
      </c>
      <c r="T68" s="399">
        <f>-T21</f>
        <v/>
      </c>
      <c r="U68" s="399">
        <f>-U21</f>
        <v/>
      </c>
      <c r="V68" s="399">
        <f>-V21</f>
        <v/>
      </c>
      <c r="W68" s="399">
        <f>-W21</f>
        <v/>
      </c>
      <c r="X68" s="399">
        <f>-X21</f>
        <v/>
      </c>
      <c r="Y68" s="399">
        <f>-Y21</f>
        <v/>
      </c>
      <c r="Z68" s="399">
        <f>-Z21</f>
        <v/>
      </c>
      <c r="AA68" s="399">
        <f>-AA21</f>
        <v/>
      </c>
      <c r="AB68" s="399">
        <f>-AB21</f>
        <v/>
      </c>
      <c r="AC68" s="399">
        <f>-AC21</f>
        <v/>
      </c>
      <c r="AD68" s="399">
        <f>-AD21</f>
        <v/>
      </c>
      <c r="AE68" s="399">
        <f>-AE21</f>
        <v/>
      </c>
      <c r="AF68" s="399">
        <f>-AF21</f>
        <v/>
      </c>
      <c r="AG68" s="399">
        <f>-AG21</f>
        <v/>
      </c>
      <c r="AH68" s="399">
        <f>-AH21</f>
        <v/>
      </c>
      <c r="AI68" s="399">
        <f>-AI21</f>
        <v/>
      </c>
      <c r="AJ68" s="399">
        <f>-AJ21</f>
        <v/>
      </c>
      <c r="AK68" s="399">
        <f>-AK21</f>
        <v/>
      </c>
      <c r="AL68" s="399">
        <f>-AL21</f>
        <v/>
      </c>
      <c r="AM68" s="399">
        <f>-AM21</f>
        <v/>
      </c>
      <c r="AN68" s="399">
        <f>-AN21</f>
        <v/>
      </c>
      <c r="AO68" s="399">
        <f>-AO21</f>
        <v/>
      </c>
      <c r="AP68" s="399">
        <f>-AP21</f>
        <v/>
      </c>
      <c r="AQ68" s="399">
        <f>-AQ21</f>
        <v/>
      </c>
      <c r="AR68" s="399">
        <f>-AR21</f>
        <v/>
      </c>
      <c r="AS68" s="399">
        <f>-AS21</f>
        <v/>
      </c>
      <c r="AT68" s="399">
        <f>-AT21</f>
        <v/>
      </c>
      <c r="AU68" s="399">
        <f>-AU21</f>
        <v/>
      </c>
      <c r="AV68" s="399">
        <f>-AV21</f>
        <v/>
      </c>
      <c r="AW68" s="399">
        <f>-AW21</f>
        <v/>
      </c>
      <c r="AX68" s="399">
        <f>-AX21</f>
        <v/>
      </c>
      <c r="AY68" s="399">
        <f>-AY21</f>
        <v/>
      </c>
      <c r="AZ68" s="399">
        <f>-AZ21</f>
        <v/>
      </c>
      <c r="BA68" s="399">
        <f>-BA21</f>
        <v/>
      </c>
      <c r="BB68" s="399">
        <f>-BB21</f>
        <v/>
      </c>
      <c r="BC68" s="399">
        <f>-BC21</f>
        <v/>
      </c>
      <c r="BD68" s="399">
        <f>-BD21</f>
        <v/>
      </c>
      <c r="BE68" s="399">
        <f>-BE21</f>
        <v/>
      </c>
      <c r="BF68" s="399">
        <f>-BF21</f>
        <v/>
      </c>
      <c r="BG68" s="399">
        <f>-BG21</f>
        <v/>
      </c>
      <c r="BH68" s="399">
        <f>-BH21</f>
        <v/>
      </c>
      <c r="BI68" s="399">
        <f>-BI21</f>
        <v/>
      </c>
      <c r="BJ68" s="399">
        <f>-BJ21</f>
        <v/>
      </c>
      <c r="BK68" s="399">
        <f>-BK21</f>
        <v/>
      </c>
      <c r="BL68" s="399">
        <f>-BL21</f>
        <v/>
      </c>
      <c r="BM68" s="399">
        <f>-BM21</f>
        <v/>
      </c>
      <c r="BN68" s="399">
        <f>-BN21</f>
        <v/>
      </c>
      <c r="BO68" s="399">
        <f>-BO21</f>
        <v/>
      </c>
      <c r="BP68" s="399">
        <f>-BP21</f>
        <v/>
      </c>
      <c r="BQ68" s="399">
        <f>-BQ21</f>
        <v/>
      </c>
      <c r="BR68" s="399">
        <f>-BR21</f>
        <v/>
      </c>
      <c r="BS68" s="399">
        <f>-BS21</f>
        <v/>
      </c>
      <c r="BT68" s="399">
        <f>-BT21</f>
        <v/>
      </c>
      <c r="BU68" s="399">
        <f>-BU21</f>
        <v/>
      </c>
      <c r="BV68" s="399">
        <f>-BV21</f>
        <v/>
      </c>
      <c r="BW68" s="399">
        <f>-BW21</f>
        <v/>
      </c>
      <c r="BX68" s="399">
        <f>-BX21</f>
        <v/>
      </c>
      <c r="BY68" s="399">
        <f>-BY21</f>
        <v/>
      </c>
      <c r="BZ68" s="399">
        <f>-BZ21</f>
        <v/>
      </c>
      <c r="CA68" s="399">
        <f>-CA21</f>
        <v/>
      </c>
      <c r="CB68" s="399">
        <f>-CB21</f>
        <v/>
      </c>
      <c r="CC68" s="399">
        <f>-CC21</f>
        <v/>
      </c>
      <c r="CD68" s="399">
        <f>-CD21</f>
        <v/>
      </c>
      <c r="CE68" s="399">
        <f>-CE21</f>
        <v/>
      </c>
      <c r="CF68" s="399">
        <f>-CF21</f>
        <v/>
      </c>
      <c r="CG68" s="399">
        <f>-CG21</f>
        <v/>
      </c>
      <c r="CH68" s="399">
        <f>-CH21</f>
        <v/>
      </c>
      <c r="CI68" s="399">
        <f>-CI21</f>
        <v/>
      </c>
      <c r="CJ68" s="399">
        <f>-CJ21</f>
        <v/>
      </c>
      <c r="CK68" s="399">
        <f>-CK21</f>
        <v/>
      </c>
      <c r="CL68" s="399">
        <f>-CL21</f>
        <v/>
      </c>
      <c r="CM68" s="399">
        <f>-CM21</f>
        <v/>
      </c>
      <c r="CN68" s="399">
        <f>-CN21</f>
        <v/>
      </c>
      <c r="CO68" s="399">
        <f>-CO21</f>
        <v/>
      </c>
      <c r="CP68" s="399">
        <f>-CP21</f>
        <v/>
      </c>
      <c r="CQ68" s="399">
        <f>-CQ21</f>
        <v/>
      </c>
      <c r="CR68" s="399">
        <f>-CR21</f>
        <v/>
      </c>
      <c r="CS68" s="399">
        <f>-CS21</f>
        <v/>
      </c>
      <c r="CT68" s="399">
        <f>-CT21</f>
        <v/>
      </c>
      <c r="CU68" s="399">
        <f>-CU21</f>
        <v/>
      </c>
      <c r="CV68" s="399">
        <f>-CV21</f>
        <v/>
      </c>
      <c r="CW68" s="399">
        <f>-CW21</f>
        <v/>
      </c>
      <c r="CX68" s="399">
        <f>-CX21</f>
        <v/>
      </c>
      <c r="CY68" s="399">
        <f>-CY21</f>
        <v/>
      </c>
      <c r="CZ68" s="399">
        <f>-CZ21</f>
        <v/>
      </c>
      <c r="DA68" s="399">
        <f>-DA21</f>
        <v/>
      </c>
      <c r="DB68" s="399">
        <f>-DB21</f>
        <v/>
      </c>
      <c r="DC68" s="399">
        <f>-DC21</f>
        <v/>
      </c>
      <c r="DD68" s="399">
        <f>-DD21</f>
        <v/>
      </c>
      <c r="DE68" s="399">
        <f>-DE21</f>
        <v/>
      </c>
    </row>
    <row r="69" hidden="1" outlineLevel="1" ht="15" customFormat="1" customHeight="1" s="380">
      <c r="A69" s="407" t="inlineStr">
        <is>
          <t>Klump</t>
        </is>
      </c>
      <c r="B69" s="399" t="n">
        <v>0</v>
      </c>
      <c r="C69" s="399" t="n">
        <v>0</v>
      </c>
      <c r="D69" s="399" t="n">
        <v>0</v>
      </c>
      <c r="E69" s="399" t="n">
        <v>0</v>
      </c>
      <c r="F69" s="399">
        <f>-F22</f>
        <v/>
      </c>
      <c r="G69" s="399">
        <f>-G22</f>
        <v/>
      </c>
      <c r="H69" s="399">
        <f>-H22</f>
        <v/>
      </c>
      <c r="I69" s="399">
        <f>-I22</f>
        <v/>
      </c>
      <c r="J69" s="399">
        <f>-J22</f>
        <v/>
      </c>
      <c r="K69" s="399">
        <f>-K22</f>
        <v/>
      </c>
      <c r="L69" s="399">
        <f>-L22</f>
        <v/>
      </c>
      <c r="M69" s="399">
        <f>-M22</f>
        <v/>
      </c>
      <c r="N69" s="399">
        <f>-N22</f>
        <v/>
      </c>
      <c r="O69" s="399">
        <f>-O22</f>
        <v/>
      </c>
      <c r="P69" s="399">
        <f>-P22</f>
        <v/>
      </c>
      <c r="Q69" s="399">
        <f>-Q22</f>
        <v/>
      </c>
      <c r="R69" s="399">
        <f>-R22</f>
        <v/>
      </c>
      <c r="S69" s="399">
        <f>-S22</f>
        <v/>
      </c>
      <c r="T69" s="399">
        <f>-T22</f>
        <v/>
      </c>
      <c r="U69" s="399">
        <f>-U22</f>
        <v/>
      </c>
      <c r="V69" s="399">
        <f>-V22</f>
        <v/>
      </c>
      <c r="W69" s="399">
        <f>-W22</f>
        <v/>
      </c>
      <c r="X69" s="399">
        <f>-X22</f>
        <v/>
      </c>
      <c r="Y69" s="399">
        <f>-Y22</f>
        <v/>
      </c>
      <c r="Z69" s="399">
        <f>-Z22</f>
        <v/>
      </c>
      <c r="AA69" s="399">
        <f>-AA22</f>
        <v/>
      </c>
      <c r="AB69" s="399">
        <f>-AB22</f>
        <v/>
      </c>
      <c r="AC69" s="399">
        <f>-AC22</f>
        <v/>
      </c>
      <c r="AD69" s="399">
        <f>-AD22</f>
        <v/>
      </c>
      <c r="AE69" s="399">
        <f>-AE22</f>
        <v/>
      </c>
      <c r="AF69" s="399">
        <f>-AF22</f>
        <v/>
      </c>
      <c r="AG69" s="399">
        <f>-AG22</f>
        <v/>
      </c>
      <c r="AH69" s="399">
        <f>-AH22</f>
        <v/>
      </c>
      <c r="AI69" s="399">
        <f>-AI22</f>
        <v/>
      </c>
      <c r="AJ69" s="399">
        <f>-AJ22</f>
        <v/>
      </c>
      <c r="AK69" s="399">
        <f>-AK22</f>
        <v/>
      </c>
      <c r="AL69" s="399">
        <f>-AL22</f>
        <v/>
      </c>
      <c r="AM69" s="399">
        <f>-AM22</f>
        <v/>
      </c>
      <c r="AN69" s="399">
        <f>-AN22</f>
        <v/>
      </c>
      <c r="AO69" s="399">
        <f>-AO22</f>
        <v/>
      </c>
      <c r="AP69" s="399">
        <f>-AP22</f>
        <v/>
      </c>
      <c r="AQ69" s="399">
        <f>-AQ22</f>
        <v/>
      </c>
      <c r="AR69" s="399">
        <f>-AR22</f>
        <v/>
      </c>
      <c r="AS69" s="399">
        <f>-AS22</f>
        <v/>
      </c>
      <c r="AT69" s="399">
        <f>-AT22</f>
        <v/>
      </c>
      <c r="AU69" s="399">
        <f>-AU22</f>
        <v/>
      </c>
      <c r="AV69" s="399">
        <f>-AV22</f>
        <v/>
      </c>
      <c r="AW69" s="399">
        <f>-AW22</f>
        <v/>
      </c>
      <c r="AX69" s="399">
        <f>-AX22</f>
        <v/>
      </c>
      <c r="AY69" s="399">
        <f>-AY22</f>
        <v/>
      </c>
      <c r="AZ69" s="399">
        <f>-AZ22</f>
        <v/>
      </c>
      <c r="BA69" s="399">
        <f>-BA22</f>
        <v/>
      </c>
      <c r="BB69" s="399">
        <f>-BB22</f>
        <v/>
      </c>
      <c r="BC69" s="399">
        <f>-BC22</f>
        <v/>
      </c>
      <c r="BD69" s="399">
        <f>-BD22</f>
        <v/>
      </c>
      <c r="BE69" s="399">
        <f>-BE22</f>
        <v/>
      </c>
      <c r="BF69" s="399">
        <f>-BF22</f>
        <v/>
      </c>
      <c r="BG69" s="399">
        <f>-BG22</f>
        <v/>
      </c>
      <c r="BH69" s="399">
        <f>-BH22</f>
        <v/>
      </c>
      <c r="BI69" s="399">
        <f>-BI22</f>
        <v/>
      </c>
      <c r="BJ69" s="399">
        <f>-BJ22</f>
        <v/>
      </c>
      <c r="BK69" s="399">
        <f>-BK22</f>
        <v/>
      </c>
      <c r="BL69" s="399">
        <f>-BL22</f>
        <v/>
      </c>
      <c r="BM69" s="399">
        <f>-BM22</f>
        <v/>
      </c>
      <c r="BN69" s="399">
        <f>-BN22</f>
        <v/>
      </c>
      <c r="BO69" s="399">
        <f>-BO22</f>
        <v/>
      </c>
      <c r="BP69" s="399">
        <f>-BP22</f>
        <v/>
      </c>
      <c r="BQ69" s="399">
        <f>-BQ22</f>
        <v/>
      </c>
      <c r="BR69" s="399">
        <f>-BR22</f>
        <v/>
      </c>
      <c r="BS69" s="399">
        <f>-BS22</f>
        <v/>
      </c>
      <c r="BT69" s="399">
        <f>-BT22</f>
        <v/>
      </c>
      <c r="BU69" s="399">
        <f>-BU22</f>
        <v/>
      </c>
      <c r="BV69" s="399">
        <f>-BV22</f>
        <v/>
      </c>
      <c r="BW69" s="399">
        <f>-BW22</f>
        <v/>
      </c>
      <c r="BX69" s="399">
        <f>-BX22</f>
        <v/>
      </c>
      <c r="BY69" s="399">
        <f>-BY22</f>
        <v/>
      </c>
      <c r="BZ69" s="399">
        <f>-BZ22</f>
        <v/>
      </c>
      <c r="CA69" s="399">
        <f>-CA22</f>
        <v/>
      </c>
      <c r="CB69" s="399">
        <f>-CB22</f>
        <v/>
      </c>
      <c r="CC69" s="399">
        <f>-CC22</f>
        <v/>
      </c>
      <c r="CD69" s="399">
        <f>-CD22</f>
        <v/>
      </c>
      <c r="CE69" s="399">
        <f>-CE22</f>
        <v/>
      </c>
      <c r="CF69" s="399">
        <f>-CF22</f>
        <v/>
      </c>
      <c r="CG69" s="399">
        <f>-CG22</f>
        <v/>
      </c>
      <c r="CH69" s="399">
        <f>-CH22</f>
        <v/>
      </c>
      <c r="CI69" s="399">
        <f>-CI22</f>
        <v/>
      </c>
      <c r="CJ69" s="399">
        <f>-CJ22</f>
        <v/>
      </c>
      <c r="CK69" s="399">
        <f>-CK22</f>
        <v/>
      </c>
      <c r="CL69" s="399">
        <f>-CL22</f>
        <v/>
      </c>
      <c r="CM69" s="399">
        <f>-CM22</f>
        <v/>
      </c>
      <c r="CN69" s="399">
        <f>-CN22</f>
        <v/>
      </c>
      <c r="CO69" s="399">
        <f>-CO22</f>
        <v/>
      </c>
      <c r="CP69" s="399">
        <f>-CP22</f>
        <v/>
      </c>
      <c r="CQ69" s="399">
        <f>-CQ22</f>
        <v/>
      </c>
      <c r="CR69" s="399">
        <f>-CR22</f>
        <v/>
      </c>
      <c r="CS69" s="399">
        <f>-CS22</f>
        <v/>
      </c>
      <c r="CT69" s="399">
        <f>-CT22</f>
        <v/>
      </c>
      <c r="CU69" s="399">
        <f>-CU22</f>
        <v/>
      </c>
      <c r="CV69" s="399">
        <f>-CV22</f>
        <v/>
      </c>
      <c r="CW69" s="399">
        <f>-CW22</f>
        <v/>
      </c>
      <c r="CX69" s="399">
        <f>-CX22</f>
        <v/>
      </c>
      <c r="CY69" s="399">
        <f>-CY22</f>
        <v/>
      </c>
      <c r="CZ69" s="399">
        <f>-CZ22</f>
        <v/>
      </c>
      <c r="DA69" s="399">
        <f>-DA22</f>
        <v/>
      </c>
      <c r="DB69" s="399">
        <f>-DB22</f>
        <v/>
      </c>
      <c r="DC69" s="399">
        <f>-DC22</f>
        <v/>
      </c>
      <c r="DD69" s="399">
        <f>-DD22</f>
        <v/>
      </c>
      <c r="DE69" s="399">
        <f>-DE22</f>
        <v/>
      </c>
    </row>
    <row r="70" hidden="1" outlineLevel="1" ht="15" customFormat="1" customHeight="1" s="380">
      <c r="A70" s="407" t="inlineStr">
        <is>
          <t>Scott</t>
        </is>
      </c>
      <c r="B70" s="399" t="n">
        <v>0</v>
      </c>
      <c r="C70" s="399" t="n">
        <v>0</v>
      </c>
      <c r="D70" s="399" t="n">
        <v>0</v>
      </c>
      <c r="E70" s="399" t="n">
        <v>0</v>
      </c>
      <c r="F70" s="399">
        <f>-F23</f>
        <v/>
      </c>
      <c r="G70" s="399">
        <f>-G23</f>
        <v/>
      </c>
      <c r="H70" s="399">
        <f>-H23</f>
        <v/>
      </c>
      <c r="I70" s="399">
        <f>-I23</f>
        <v/>
      </c>
      <c r="J70" s="399">
        <f>-J23</f>
        <v/>
      </c>
      <c r="K70" s="399">
        <f>-K23</f>
        <v/>
      </c>
      <c r="L70" s="399">
        <f>-L23</f>
        <v/>
      </c>
      <c r="M70" s="399">
        <f>-M23</f>
        <v/>
      </c>
      <c r="N70" s="399">
        <f>-N23</f>
        <v/>
      </c>
      <c r="O70" s="399">
        <f>-O23</f>
        <v/>
      </c>
      <c r="P70" s="399">
        <f>-P23</f>
        <v/>
      </c>
      <c r="Q70" s="399">
        <f>-Q23</f>
        <v/>
      </c>
      <c r="R70" s="399">
        <f>-R23</f>
        <v/>
      </c>
      <c r="S70" s="399">
        <f>-S23</f>
        <v/>
      </c>
      <c r="T70" s="399">
        <f>-T23</f>
        <v/>
      </c>
      <c r="U70" s="399">
        <f>-U23</f>
        <v/>
      </c>
      <c r="V70" s="399">
        <f>-V23</f>
        <v/>
      </c>
      <c r="W70" s="399">
        <f>-W23</f>
        <v/>
      </c>
      <c r="X70" s="399">
        <f>-X23</f>
        <v/>
      </c>
      <c r="Y70" s="399">
        <f>-Y23</f>
        <v/>
      </c>
      <c r="Z70" s="399">
        <f>-Z23</f>
        <v/>
      </c>
      <c r="AA70" s="399">
        <f>-AA23</f>
        <v/>
      </c>
      <c r="AB70" s="399">
        <f>-AB23</f>
        <v/>
      </c>
      <c r="AC70" s="399">
        <f>-AC23</f>
        <v/>
      </c>
      <c r="AD70" s="399">
        <f>-AD23</f>
        <v/>
      </c>
      <c r="AE70" s="399">
        <f>-AE23</f>
        <v/>
      </c>
      <c r="AF70" s="399">
        <f>-AF23</f>
        <v/>
      </c>
      <c r="AG70" s="399">
        <f>-AG23</f>
        <v/>
      </c>
      <c r="AH70" s="399">
        <f>-AH23</f>
        <v/>
      </c>
      <c r="AI70" s="399">
        <f>-AI23</f>
        <v/>
      </c>
      <c r="AJ70" s="399">
        <f>-AJ23</f>
        <v/>
      </c>
      <c r="AK70" s="399">
        <f>-AK23</f>
        <v/>
      </c>
      <c r="AL70" s="399">
        <f>-AL23</f>
        <v/>
      </c>
      <c r="AM70" s="399">
        <f>-AM23</f>
        <v/>
      </c>
      <c r="AN70" s="399">
        <f>-AN23</f>
        <v/>
      </c>
      <c r="AO70" s="399">
        <f>-AO23</f>
        <v/>
      </c>
      <c r="AP70" s="399">
        <f>-AP23</f>
        <v/>
      </c>
      <c r="AQ70" s="399">
        <f>-AQ23</f>
        <v/>
      </c>
      <c r="AR70" s="399">
        <f>-AR23</f>
        <v/>
      </c>
      <c r="AS70" s="399">
        <f>-AS23</f>
        <v/>
      </c>
      <c r="AT70" s="399">
        <f>-AT23</f>
        <v/>
      </c>
      <c r="AU70" s="399">
        <f>-AU23</f>
        <v/>
      </c>
      <c r="AV70" s="399">
        <f>-AV23</f>
        <v/>
      </c>
      <c r="AW70" s="399">
        <f>-AW23</f>
        <v/>
      </c>
      <c r="AX70" s="399">
        <f>-AX23</f>
        <v/>
      </c>
      <c r="AY70" s="399">
        <f>-AY23</f>
        <v/>
      </c>
      <c r="AZ70" s="399">
        <f>-AZ23</f>
        <v/>
      </c>
      <c r="BA70" s="399">
        <f>-BA23</f>
        <v/>
      </c>
      <c r="BB70" s="399">
        <f>-BB23</f>
        <v/>
      </c>
      <c r="BC70" s="399">
        <f>-BC23</f>
        <v/>
      </c>
      <c r="BD70" s="399">
        <f>-BD23</f>
        <v/>
      </c>
      <c r="BE70" s="399">
        <f>-BE23</f>
        <v/>
      </c>
      <c r="BF70" s="399">
        <f>-BF23</f>
        <v/>
      </c>
      <c r="BG70" s="399">
        <f>-BG23</f>
        <v/>
      </c>
      <c r="BH70" s="399">
        <f>-BH23</f>
        <v/>
      </c>
      <c r="BI70" s="399">
        <f>-BI23</f>
        <v/>
      </c>
      <c r="BJ70" s="399">
        <f>-BJ23</f>
        <v/>
      </c>
      <c r="BK70" s="399">
        <f>-BK23</f>
        <v/>
      </c>
      <c r="BL70" s="399">
        <f>-BL23</f>
        <v/>
      </c>
      <c r="BM70" s="399">
        <f>-BM23</f>
        <v/>
      </c>
      <c r="BN70" s="399">
        <f>-BN23</f>
        <v/>
      </c>
      <c r="BO70" s="399">
        <f>-BO23</f>
        <v/>
      </c>
      <c r="BP70" s="399">
        <f>-BP23</f>
        <v/>
      </c>
      <c r="BQ70" s="399">
        <f>-BQ23</f>
        <v/>
      </c>
      <c r="BR70" s="399">
        <f>-BR23</f>
        <v/>
      </c>
      <c r="BS70" s="399">
        <f>-BS23</f>
        <v/>
      </c>
      <c r="BT70" s="399">
        <f>-BT23</f>
        <v/>
      </c>
      <c r="BU70" s="399">
        <f>-BU23</f>
        <v/>
      </c>
      <c r="BV70" s="399">
        <f>-BV23</f>
        <v/>
      </c>
      <c r="BW70" s="399">
        <f>-BW23</f>
        <v/>
      </c>
      <c r="BX70" s="399">
        <f>-BX23</f>
        <v/>
      </c>
      <c r="BY70" s="399">
        <f>-BY23</f>
        <v/>
      </c>
      <c r="BZ70" s="399">
        <f>-BZ23</f>
        <v/>
      </c>
      <c r="CA70" s="399">
        <f>-CA23</f>
        <v/>
      </c>
      <c r="CB70" s="399">
        <f>-CB23</f>
        <v/>
      </c>
      <c r="CC70" s="399">
        <f>-CC23</f>
        <v/>
      </c>
      <c r="CD70" s="399">
        <f>-CD23</f>
        <v/>
      </c>
      <c r="CE70" s="399">
        <f>-CE23</f>
        <v/>
      </c>
      <c r="CF70" s="399">
        <f>-CF23</f>
        <v/>
      </c>
      <c r="CG70" s="399">
        <f>-CG23</f>
        <v/>
      </c>
      <c r="CH70" s="399">
        <f>-CH23</f>
        <v/>
      </c>
      <c r="CI70" s="399">
        <f>-CI23</f>
        <v/>
      </c>
      <c r="CJ70" s="399">
        <f>-CJ23</f>
        <v/>
      </c>
      <c r="CK70" s="399">
        <f>-CK23</f>
        <v/>
      </c>
      <c r="CL70" s="399">
        <f>-CL23</f>
        <v/>
      </c>
      <c r="CM70" s="399">
        <f>-CM23</f>
        <v/>
      </c>
      <c r="CN70" s="399">
        <f>-CN23</f>
        <v/>
      </c>
      <c r="CO70" s="399">
        <f>-CO23</f>
        <v/>
      </c>
      <c r="CP70" s="399">
        <f>-CP23</f>
        <v/>
      </c>
      <c r="CQ70" s="399">
        <f>-CQ23</f>
        <v/>
      </c>
      <c r="CR70" s="399">
        <f>-CR23</f>
        <v/>
      </c>
      <c r="CS70" s="399">
        <f>-CS23</f>
        <v/>
      </c>
      <c r="CT70" s="399">
        <f>-CT23</f>
        <v/>
      </c>
      <c r="CU70" s="399">
        <f>-CU23</f>
        <v/>
      </c>
      <c r="CV70" s="399">
        <f>-CV23</f>
        <v/>
      </c>
      <c r="CW70" s="399">
        <f>-CW23</f>
        <v/>
      </c>
      <c r="CX70" s="399">
        <f>-CX23</f>
        <v/>
      </c>
      <c r="CY70" s="399">
        <f>-CY23</f>
        <v/>
      </c>
      <c r="CZ70" s="399">
        <f>-CZ23</f>
        <v/>
      </c>
      <c r="DA70" s="399">
        <f>-DA23</f>
        <v/>
      </c>
      <c r="DB70" s="399">
        <f>-DB23</f>
        <v/>
      </c>
      <c r="DC70" s="399">
        <f>-DC23</f>
        <v/>
      </c>
      <c r="DD70" s="399">
        <f>-DD23</f>
        <v/>
      </c>
      <c r="DE70" s="399">
        <f>-DE23</f>
        <v/>
      </c>
    </row>
    <row r="71" hidden="1" outlineLevel="1" ht="15" customFormat="1" customHeight="1" s="380">
      <c r="A71" s="407" t="inlineStr">
        <is>
          <t>Reseda</t>
        </is>
      </c>
      <c r="B71" s="399" t="n">
        <v>0</v>
      </c>
      <c r="C71" s="399" t="n">
        <v>0</v>
      </c>
      <c r="D71" s="399" t="n">
        <v>0</v>
      </c>
      <c r="E71" s="399" t="n">
        <v>0</v>
      </c>
      <c r="F71" s="399">
        <f>-F24</f>
        <v/>
      </c>
      <c r="G71" s="399">
        <f>-G24</f>
        <v/>
      </c>
      <c r="H71" s="399">
        <f>-H24</f>
        <v/>
      </c>
      <c r="I71" s="399">
        <f>-I24</f>
        <v/>
      </c>
      <c r="J71" s="399">
        <f>-J24</f>
        <v/>
      </c>
      <c r="K71" s="399">
        <f>-K24</f>
        <v/>
      </c>
      <c r="L71" s="399">
        <f>-L24</f>
        <v/>
      </c>
      <c r="M71" s="399">
        <f>-M24</f>
        <v/>
      </c>
      <c r="N71" s="399">
        <f>-N24</f>
        <v/>
      </c>
      <c r="O71" s="399">
        <f>-O24</f>
        <v/>
      </c>
      <c r="P71" s="399">
        <f>-P24</f>
        <v/>
      </c>
      <c r="Q71" s="399">
        <f>-Q24</f>
        <v/>
      </c>
      <c r="R71" s="399">
        <f>-R24</f>
        <v/>
      </c>
      <c r="S71" s="399">
        <f>-S24</f>
        <v/>
      </c>
      <c r="T71" s="399">
        <f>-T24</f>
        <v/>
      </c>
      <c r="U71" s="399">
        <f>-U24</f>
        <v/>
      </c>
      <c r="V71" s="399">
        <f>-V24</f>
        <v/>
      </c>
      <c r="W71" s="399">
        <f>-W24</f>
        <v/>
      </c>
      <c r="X71" s="399">
        <f>-X24</f>
        <v/>
      </c>
      <c r="Y71" s="399">
        <f>-Y24</f>
        <v/>
      </c>
      <c r="Z71" s="399">
        <f>-Z24</f>
        <v/>
      </c>
      <c r="AA71" s="399">
        <f>-AA24</f>
        <v/>
      </c>
      <c r="AB71" s="399">
        <f>-AB24</f>
        <v/>
      </c>
      <c r="AC71" s="399">
        <f>-AC24</f>
        <v/>
      </c>
      <c r="AD71" s="399">
        <f>-AD24</f>
        <v/>
      </c>
      <c r="AE71" s="399">
        <f>-AE24</f>
        <v/>
      </c>
      <c r="AF71" s="399">
        <f>-AF24</f>
        <v/>
      </c>
      <c r="AG71" s="399">
        <f>-AG24</f>
        <v/>
      </c>
      <c r="AH71" s="399">
        <f>-AH24</f>
        <v/>
      </c>
      <c r="AI71" s="399">
        <f>-AI24</f>
        <v/>
      </c>
      <c r="AJ71" s="399">
        <f>-AJ24</f>
        <v/>
      </c>
      <c r="AK71" s="399">
        <f>-AK24</f>
        <v/>
      </c>
      <c r="AL71" s="399">
        <f>-AL24</f>
        <v/>
      </c>
      <c r="AM71" s="399">
        <f>-AM24</f>
        <v/>
      </c>
      <c r="AN71" s="399">
        <f>-AN24</f>
        <v/>
      </c>
      <c r="AO71" s="399">
        <f>-AO24</f>
        <v/>
      </c>
      <c r="AP71" s="399">
        <f>-AP24</f>
        <v/>
      </c>
      <c r="AQ71" s="399">
        <f>-AQ24</f>
        <v/>
      </c>
      <c r="AR71" s="399">
        <f>-AR24</f>
        <v/>
      </c>
      <c r="AS71" s="399">
        <f>-AS24</f>
        <v/>
      </c>
      <c r="AT71" s="399">
        <f>-AT24</f>
        <v/>
      </c>
      <c r="AU71" s="399">
        <f>-AU24</f>
        <v/>
      </c>
      <c r="AV71" s="399">
        <f>-AV24</f>
        <v/>
      </c>
      <c r="AW71" s="399">
        <f>-AW24</f>
        <v/>
      </c>
      <c r="AX71" s="399">
        <f>-AX24</f>
        <v/>
      </c>
      <c r="AY71" s="399">
        <f>-AY24</f>
        <v/>
      </c>
      <c r="AZ71" s="399">
        <f>-AZ24</f>
        <v/>
      </c>
      <c r="BA71" s="399">
        <f>-BA24</f>
        <v/>
      </c>
      <c r="BB71" s="399">
        <f>-BB24</f>
        <v/>
      </c>
      <c r="BC71" s="399">
        <f>-BC24</f>
        <v/>
      </c>
      <c r="BD71" s="399">
        <f>-BD24</f>
        <v/>
      </c>
      <c r="BE71" s="399">
        <f>-BE24</f>
        <v/>
      </c>
      <c r="BF71" s="399">
        <f>-BF24</f>
        <v/>
      </c>
      <c r="BG71" s="399">
        <f>-BG24</f>
        <v/>
      </c>
      <c r="BH71" s="399">
        <f>-BH24</f>
        <v/>
      </c>
      <c r="BI71" s="399">
        <f>-BI24</f>
        <v/>
      </c>
      <c r="BJ71" s="399">
        <f>-BJ24</f>
        <v/>
      </c>
      <c r="BK71" s="399">
        <f>-BK24</f>
        <v/>
      </c>
      <c r="BL71" s="399">
        <f>-BL24</f>
        <v/>
      </c>
      <c r="BM71" s="399">
        <f>-BM24</f>
        <v/>
      </c>
      <c r="BN71" s="399">
        <f>-BN24</f>
        <v/>
      </c>
      <c r="BO71" s="399">
        <f>-BO24</f>
        <v/>
      </c>
      <c r="BP71" s="399">
        <f>-BP24</f>
        <v/>
      </c>
      <c r="BQ71" s="399">
        <f>-BQ24</f>
        <v/>
      </c>
      <c r="BR71" s="399">
        <f>-BR24</f>
        <v/>
      </c>
      <c r="BS71" s="399">
        <f>-BS24</f>
        <v/>
      </c>
      <c r="BT71" s="399">
        <f>-BT24</f>
        <v/>
      </c>
      <c r="BU71" s="399">
        <f>-BU24</f>
        <v/>
      </c>
      <c r="BV71" s="399">
        <f>-BV24</f>
        <v/>
      </c>
      <c r="BW71" s="399">
        <f>-BW24</f>
        <v/>
      </c>
      <c r="BX71" s="399">
        <f>-BX24</f>
        <v/>
      </c>
      <c r="BY71" s="399">
        <f>-BY24</f>
        <v/>
      </c>
      <c r="BZ71" s="399">
        <f>-BZ24</f>
        <v/>
      </c>
      <c r="CA71" s="399">
        <f>-CA24</f>
        <v/>
      </c>
      <c r="CB71" s="399">
        <f>-CB24</f>
        <v/>
      </c>
      <c r="CC71" s="399">
        <f>-CC24</f>
        <v/>
      </c>
      <c r="CD71" s="399">
        <f>-CD24</f>
        <v/>
      </c>
      <c r="CE71" s="399">
        <f>-CE24</f>
        <v/>
      </c>
      <c r="CF71" s="399">
        <f>-CF24</f>
        <v/>
      </c>
      <c r="CG71" s="399">
        <f>-CG24</f>
        <v/>
      </c>
      <c r="CH71" s="399">
        <f>-CH24</f>
        <v/>
      </c>
      <c r="CI71" s="399">
        <f>-CI24</f>
        <v/>
      </c>
      <c r="CJ71" s="399">
        <f>-CJ24</f>
        <v/>
      </c>
      <c r="CK71" s="399">
        <f>-CK24</f>
        <v/>
      </c>
      <c r="CL71" s="399">
        <f>-CL24</f>
        <v/>
      </c>
      <c r="CM71" s="399">
        <f>-CM24</f>
        <v/>
      </c>
      <c r="CN71" s="399">
        <f>-CN24</f>
        <v/>
      </c>
      <c r="CO71" s="399">
        <f>-CO24</f>
        <v/>
      </c>
      <c r="CP71" s="399">
        <f>-CP24</f>
        <v/>
      </c>
      <c r="CQ71" s="399">
        <f>-CQ24</f>
        <v/>
      </c>
      <c r="CR71" s="399">
        <f>-CR24</f>
        <v/>
      </c>
      <c r="CS71" s="399">
        <f>-CS24</f>
        <v/>
      </c>
      <c r="CT71" s="399">
        <f>-CT24</f>
        <v/>
      </c>
      <c r="CU71" s="399">
        <f>-CU24</f>
        <v/>
      </c>
      <c r="CV71" s="399">
        <f>-CV24</f>
        <v/>
      </c>
      <c r="CW71" s="399">
        <f>-CW24</f>
        <v/>
      </c>
      <c r="CX71" s="399">
        <f>-CX24</f>
        <v/>
      </c>
      <c r="CY71" s="399">
        <f>-CY24</f>
        <v/>
      </c>
      <c r="CZ71" s="399">
        <f>-CZ24</f>
        <v/>
      </c>
      <c r="DA71" s="399">
        <f>-DA24</f>
        <v/>
      </c>
      <c r="DB71" s="399">
        <f>-DB24</f>
        <v/>
      </c>
      <c r="DC71" s="399">
        <f>-DC24</f>
        <v/>
      </c>
      <c r="DD71" s="399">
        <f>-DD24</f>
        <v/>
      </c>
      <c r="DE71" s="399">
        <f>-DE24</f>
        <v/>
      </c>
    </row>
    <row r="72" hidden="1" outlineLevel="1" ht="15" customFormat="1" customHeight="1" s="380">
      <c r="A72" s="407" t="inlineStr">
        <is>
          <t>3rd St</t>
        </is>
      </c>
      <c r="B72" s="399" t="n">
        <v>0</v>
      </c>
      <c r="C72" s="399" t="n">
        <v>0</v>
      </c>
      <c r="D72" s="399" t="n">
        <v>0</v>
      </c>
      <c r="E72" s="399" t="n">
        <v>0</v>
      </c>
      <c r="F72" s="399">
        <f>-F25</f>
        <v/>
      </c>
      <c r="G72" s="399">
        <f>-G25</f>
        <v/>
      </c>
      <c r="H72" s="399">
        <f>-H25</f>
        <v/>
      </c>
      <c r="I72" s="399">
        <f>-I25</f>
        <v/>
      </c>
      <c r="J72" s="399">
        <f>-J25</f>
        <v/>
      </c>
      <c r="K72" s="399">
        <f>-K25</f>
        <v/>
      </c>
      <c r="L72" s="399">
        <f>-L25</f>
        <v/>
      </c>
      <c r="M72" s="399">
        <f>-M25</f>
        <v/>
      </c>
      <c r="N72" s="399">
        <f>-N25</f>
        <v/>
      </c>
      <c r="O72" s="399">
        <f>-O25</f>
        <v/>
      </c>
      <c r="P72" s="399">
        <f>-P25</f>
        <v/>
      </c>
      <c r="Q72" s="399">
        <f>-Q25</f>
        <v/>
      </c>
      <c r="R72" s="399">
        <f>-R25</f>
        <v/>
      </c>
      <c r="S72" s="399">
        <f>-S25</f>
        <v/>
      </c>
      <c r="T72" s="399">
        <f>-T25</f>
        <v/>
      </c>
      <c r="U72" s="399">
        <f>-U25</f>
        <v/>
      </c>
      <c r="V72" s="399">
        <f>-V25</f>
        <v/>
      </c>
      <c r="W72" s="399">
        <f>-W25</f>
        <v/>
      </c>
      <c r="X72" s="399">
        <f>-X25</f>
        <v/>
      </c>
      <c r="Y72" s="399">
        <f>-Y25</f>
        <v/>
      </c>
      <c r="Z72" s="399">
        <f>-Z25</f>
        <v/>
      </c>
      <c r="AA72" s="399">
        <f>-AA25</f>
        <v/>
      </c>
      <c r="AB72" s="399">
        <f>-AB25</f>
        <v/>
      </c>
      <c r="AC72" s="399">
        <f>-AC25</f>
        <v/>
      </c>
      <c r="AD72" s="399">
        <f>-AD25</f>
        <v/>
      </c>
      <c r="AE72" s="399">
        <f>-AE25</f>
        <v/>
      </c>
      <c r="AF72" s="399">
        <f>-AF25</f>
        <v/>
      </c>
      <c r="AG72" s="399">
        <f>-AG25</f>
        <v/>
      </c>
      <c r="AH72" s="399">
        <f>-AH25</f>
        <v/>
      </c>
      <c r="AI72" s="399">
        <f>-AI25</f>
        <v/>
      </c>
      <c r="AJ72" s="399">
        <f>-AJ25</f>
        <v/>
      </c>
      <c r="AK72" s="399">
        <f>-AK25</f>
        <v/>
      </c>
      <c r="AL72" s="399">
        <f>-AL25</f>
        <v/>
      </c>
      <c r="AM72" s="399">
        <f>-AM25</f>
        <v/>
      </c>
      <c r="AN72" s="399">
        <f>-AN25</f>
        <v/>
      </c>
      <c r="AO72" s="399">
        <f>-AO25</f>
        <v/>
      </c>
      <c r="AP72" s="399">
        <f>-AP25</f>
        <v/>
      </c>
      <c r="AQ72" s="399">
        <f>-AQ25</f>
        <v/>
      </c>
      <c r="AR72" s="399">
        <f>-AR25</f>
        <v/>
      </c>
      <c r="AS72" s="399">
        <f>-AS25</f>
        <v/>
      </c>
      <c r="AT72" s="399">
        <f>-AT25</f>
        <v/>
      </c>
      <c r="AU72" s="399">
        <f>-AU25</f>
        <v/>
      </c>
      <c r="AV72" s="399">
        <f>-AV25</f>
        <v/>
      </c>
      <c r="AW72" s="399">
        <f>-AW25</f>
        <v/>
      </c>
      <c r="AX72" s="399">
        <f>-AX25</f>
        <v/>
      </c>
      <c r="AY72" s="399">
        <f>-AY25</f>
        <v/>
      </c>
      <c r="AZ72" s="399">
        <f>-AZ25</f>
        <v/>
      </c>
      <c r="BA72" s="399">
        <f>-BA25</f>
        <v/>
      </c>
      <c r="BB72" s="399">
        <f>-BB25</f>
        <v/>
      </c>
      <c r="BC72" s="399">
        <f>-BC25</f>
        <v/>
      </c>
      <c r="BD72" s="399">
        <f>-BD25</f>
        <v/>
      </c>
      <c r="BE72" s="399">
        <f>-BE25</f>
        <v/>
      </c>
      <c r="BF72" s="399">
        <f>-BF25</f>
        <v/>
      </c>
      <c r="BG72" s="399">
        <f>-BG25</f>
        <v/>
      </c>
      <c r="BH72" s="399">
        <f>-BH25</f>
        <v/>
      </c>
      <c r="BI72" s="399">
        <f>-BI25</f>
        <v/>
      </c>
      <c r="BJ72" s="399">
        <f>-BJ25</f>
        <v/>
      </c>
      <c r="BK72" s="399">
        <f>-BK25</f>
        <v/>
      </c>
      <c r="BL72" s="399">
        <f>-BL25</f>
        <v/>
      </c>
      <c r="BM72" s="399">
        <f>-BM25</f>
        <v/>
      </c>
      <c r="BN72" s="399">
        <f>-BN25</f>
        <v/>
      </c>
      <c r="BO72" s="399">
        <f>-BO25</f>
        <v/>
      </c>
      <c r="BP72" s="399">
        <f>-BP25</f>
        <v/>
      </c>
      <c r="BQ72" s="399">
        <f>-BQ25</f>
        <v/>
      </c>
      <c r="BR72" s="399">
        <f>-BR25</f>
        <v/>
      </c>
      <c r="BS72" s="399">
        <f>-BS25</f>
        <v/>
      </c>
      <c r="BT72" s="399">
        <f>-BT25</f>
        <v/>
      </c>
      <c r="BU72" s="399">
        <f>-BU25</f>
        <v/>
      </c>
      <c r="BV72" s="399">
        <f>-BV25</f>
        <v/>
      </c>
      <c r="BW72" s="399">
        <f>-BW25</f>
        <v/>
      </c>
      <c r="BX72" s="399">
        <f>-BX25</f>
        <v/>
      </c>
      <c r="BY72" s="399">
        <f>-BY25</f>
        <v/>
      </c>
      <c r="BZ72" s="399">
        <f>-BZ25</f>
        <v/>
      </c>
      <c r="CA72" s="399">
        <f>-CA25</f>
        <v/>
      </c>
      <c r="CB72" s="399">
        <f>-CB25</f>
        <v/>
      </c>
      <c r="CC72" s="399">
        <f>-CC25</f>
        <v/>
      </c>
      <c r="CD72" s="399">
        <f>-CD25</f>
        <v/>
      </c>
      <c r="CE72" s="399">
        <f>-CE25</f>
        <v/>
      </c>
      <c r="CF72" s="399">
        <f>-CF25</f>
        <v/>
      </c>
      <c r="CG72" s="399">
        <f>-CG25</f>
        <v/>
      </c>
      <c r="CH72" s="399">
        <f>-CH25</f>
        <v/>
      </c>
      <c r="CI72" s="399">
        <f>-CI25</f>
        <v/>
      </c>
      <c r="CJ72" s="399">
        <f>-CJ25</f>
        <v/>
      </c>
      <c r="CK72" s="399">
        <f>-CK25</f>
        <v/>
      </c>
      <c r="CL72" s="399">
        <f>-CL25</f>
        <v/>
      </c>
      <c r="CM72" s="399">
        <f>-CM25</f>
        <v/>
      </c>
      <c r="CN72" s="399">
        <f>-CN25</f>
        <v/>
      </c>
      <c r="CO72" s="399">
        <f>-CO25</f>
        <v/>
      </c>
      <c r="CP72" s="399">
        <f>-CP25</f>
        <v/>
      </c>
      <c r="CQ72" s="399">
        <f>-CQ25</f>
        <v/>
      </c>
      <c r="CR72" s="399">
        <f>-CR25</f>
        <v/>
      </c>
      <c r="CS72" s="399">
        <f>-CS25</f>
        <v/>
      </c>
      <c r="CT72" s="399">
        <f>-CT25</f>
        <v/>
      </c>
      <c r="CU72" s="399">
        <f>-CU25</f>
        <v/>
      </c>
      <c r="CV72" s="399">
        <f>-CV25</f>
        <v/>
      </c>
      <c r="CW72" s="399">
        <f>-CW25</f>
        <v/>
      </c>
      <c r="CX72" s="399">
        <f>-CX25</f>
        <v/>
      </c>
      <c r="CY72" s="399">
        <f>-CY25</f>
        <v/>
      </c>
      <c r="CZ72" s="399">
        <f>-CZ25</f>
        <v/>
      </c>
      <c r="DA72" s="399">
        <f>-DA25</f>
        <v/>
      </c>
      <c r="DB72" s="399">
        <f>-DB25</f>
        <v/>
      </c>
      <c r="DC72" s="399">
        <f>-DC25</f>
        <v/>
      </c>
      <c r="DD72" s="399">
        <f>-DD25</f>
        <v/>
      </c>
      <c r="DE72" s="399">
        <f>-DE25</f>
        <v/>
      </c>
    </row>
    <row r="73" hidden="1" outlineLevel="1" ht="15" customFormat="1" customHeight="1" s="380">
      <c r="A73" s="407" t="inlineStr">
        <is>
          <t>Dickens</t>
        </is>
      </c>
      <c r="B73" s="399" t="n">
        <v>0</v>
      </c>
      <c r="C73" s="399" t="n">
        <v>0</v>
      </c>
      <c r="D73" s="399" t="n">
        <v>0</v>
      </c>
      <c r="E73" s="399" t="n">
        <v>0</v>
      </c>
      <c r="F73" s="399">
        <f>-F26</f>
        <v/>
      </c>
      <c r="G73" s="399">
        <f>-G26</f>
        <v/>
      </c>
      <c r="H73" s="399">
        <f>-H26</f>
        <v/>
      </c>
      <c r="I73" s="399">
        <f>-I26</f>
        <v/>
      </c>
      <c r="J73" s="399">
        <f>-J26</f>
        <v/>
      </c>
      <c r="K73" s="399">
        <f>-K26</f>
        <v/>
      </c>
      <c r="L73" s="399">
        <f>-L26</f>
        <v/>
      </c>
      <c r="M73" s="399">
        <f>-M26</f>
        <v/>
      </c>
      <c r="N73" s="399">
        <f>-N26</f>
        <v/>
      </c>
      <c r="O73" s="399">
        <f>-O26</f>
        <v/>
      </c>
      <c r="P73" s="399">
        <f>-P26</f>
        <v/>
      </c>
      <c r="Q73" s="399">
        <f>-Q26</f>
        <v/>
      </c>
      <c r="R73" s="399">
        <f>-R26</f>
        <v/>
      </c>
      <c r="S73" s="399">
        <f>-S26</f>
        <v/>
      </c>
      <c r="T73" s="399">
        <f>-T26</f>
        <v/>
      </c>
      <c r="U73" s="399">
        <f>-U26</f>
        <v/>
      </c>
      <c r="V73" s="399">
        <f>-V26</f>
        <v/>
      </c>
      <c r="W73" s="399">
        <f>-W26</f>
        <v/>
      </c>
      <c r="X73" s="399">
        <f>-X26</f>
        <v/>
      </c>
      <c r="Y73" s="399">
        <f>-Y26</f>
        <v/>
      </c>
      <c r="Z73" s="399">
        <f>-Z26</f>
        <v/>
      </c>
      <c r="AA73" s="399">
        <f>-AA26</f>
        <v/>
      </c>
      <c r="AB73" s="399">
        <f>-AB26</f>
        <v/>
      </c>
      <c r="AC73" s="399">
        <f>-AC26</f>
        <v/>
      </c>
      <c r="AD73" s="399">
        <f>-AD26</f>
        <v/>
      </c>
      <c r="AE73" s="399">
        <f>-AE26</f>
        <v/>
      </c>
      <c r="AF73" s="399">
        <f>-AF26</f>
        <v/>
      </c>
      <c r="AG73" s="399">
        <f>-AG26</f>
        <v/>
      </c>
      <c r="AH73" s="399">
        <f>-AH26</f>
        <v/>
      </c>
      <c r="AI73" s="399">
        <f>-AI26</f>
        <v/>
      </c>
      <c r="AJ73" s="399">
        <f>-AJ26</f>
        <v/>
      </c>
      <c r="AK73" s="399">
        <f>-AK26</f>
        <v/>
      </c>
      <c r="AL73" s="399">
        <f>-AL26</f>
        <v/>
      </c>
      <c r="AM73" s="399">
        <f>-AM26</f>
        <v/>
      </c>
      <c r="AN73" s="399">
        <f>-AN26</f>
        <v/>
      </c>
      <c r="AO73" s="399">
        <f>-AO26</f>
        <v/>
      </c>
      <c r="AP73" s="399">
        <f>-AP26</f>
        <v/>
      </c>
      <c r="AQ73" s="399">
        <f>-AQ26</f>
        <v/>
      </c>
      <c r="AR73" s="399">
        <f>-AR26</f>
        <v/>
      </c>
      <c r="AS73" s="399">
        <f>-AS26</f>
        <v/>
      </c>
      <c r="AT73" s="399">
        <f>-AT26</f>
        <v/>
      </c>
      <c r="AU73" s="399">
        <f>-AU26</f>
        <v/>
      </c>
      <c r="AV73" s="399">
        <f>-AV26</f>
        <v/>
      </c>
      <c r="AW73" s="399">
        <f>-AW26</f>
        <v/>
      </c>
      <c r="AX73" s="399">
        <f>-AX26</f>
        <v/>
      </c>
      <c r="AY73" s="399">
        <f>-AY26</f>
        <v/>
      </c>
      <c r="AZ73" s="399">
        <f>-AZ26</f>
        <v/>
      </c>
      <c r="BA73" s="399">
        <f>-BA26</f>
        <v/>
      </c>
      <c r="BB73" s="399">
        <f>-BB26</f>
        <v/>
      </c>
      <c r="BC73" s="399">
        <f>-BC26</f>
        <v/>
      </c>
      <c r="BD73" s="399">
        <f>-BD26</f>
        <v/>
      </c>
      <c r="BE73" s="399">
        <f>-BE26</f>
        <v/>
      </c>
      <c r="BF73" s="399">
        <f>-BF26</f>
        <v/>
      </c>
      <c r="BG73" s="399">
        <f>-BG26</f>
        <v/>
      </c>
      <c r="BH73" s="399">
        <f>-BH26</f>
        <v/>
      </c>
      <c r="BI73" s="399">
        <f>-BI26</f>
        <v/>
      </c>
      <c r="BJ73" s="399">
        <f>-BJ26</f>
        <v/>
      </c>
      <c r="BK73" s="399">
        <f>-BK26</f>
        <v/>
      </c>
      <c r="BL73" s="399">
        <f>-BL26</f>
        <v/>
      </c>
      <c r="BM73" s="399">
        <f>-BM26</f>
        <v/>
      </c>
      <c r="BN73" s="399">
        <f>-BN26</f>
        <v/>
      </c>
      <c r="BO73" s="399">
        <f>-BO26</f>
        <v/>
      </c>
      <c r="BP73" s="399">
        <f>-BP26</f>
        <v/>
      </c>
      <c r="BQ73" s="399">
        <f>-BQ26</f>
        <v/>
      </c>
      <c r="BR73" s="399">
        <f>-BR26</f>
        <v/>
      </c>
      <c r="BS73" s="399">
        <f>-BS26</f>
        <v/>
      </c>
      <c r="BT73" s="399">
        <f>-BT26</f>
        <v/>
      </c>
      <c r="BU73" s="399">
        <f>-BU26</f>
        <v/>
      </c>
      <c r="BV73" s="399">
        <f>-BV26</f>
        <v/>
      </c>
      <c r="BW73" s="399">
        <f>-BW26</f>
        <v/>
      </c>
      <c r="BX73" s="399">
        <f>-BX26</f>
        <v/>
      </c>
      <c r="BY73" s="399">
        <f>-BY26</f>
        <v/>
      </c>
      <c r="BZ73" s="399">
        <f>-BZ26</f>
        <v/>
      </c>
      <c r="CA73" s="399">
        <f>-CA26</f>
        <v/>
      </c>
      <c r="CB73" s="399">
        <f>-CB26</f>
        <v/>
      </c>
      <c r="CC73" s="399">
        <f>-CC26</f>
        <v/>
      </c>
      <c r="CD73" s="399">
        <f>-CD26</f>
        <v/>
      </c>
      <c r="CE73" s="399">
        <f>-CE26</f>
        <v/>
      </c>
      <c r="CF73" s="399">
        <f>-CF26</f>
        <v/>
      </c>
      <c r="CG73" s="399">
        <f>-CG26</f>
        <v/>
      </c>
      <c r="CH73" s="399">
        <f>-CH26</f>
        <v/>
      </c>
      <c r="CI73" s="399">
        <f>-CI26</f>
        <v/>
      </c>
      <c r="CJ73" s="399">
        <f>-CJ26</f>
        <v/>
      </c>
      <c r="CK73" s="399">
        <f>-CK26</f>
        <v/>
      </c>
      <c r="CL73" s="399">
        <f>-CL26</f>
        <v/>
      </c>
      <c r="CM73" s="399">
        <f>-CM26</f>
        <v/>
      </c>
      <c r="CN73" s="399">
        <f>-CN26</f>
        <v/>
      </c>
      <c r="CO73" s="399">
        <f>-CO26</f>
        <v/>
      </c>
      <c r="CP73" s="399">
        <f>-CP26</f>
        <v/>
      </c>
      <c r="CQ73" s="399">
        <f>-CQ26</f>
        <v/>
      </c>
      <c r="CR73" s="399">
        <f>-CR26</f>
        <v/>
      </c>
      <c r="CS73" s="399">
        <f>-CS26</f>
        <v/>
      </c>
      <c r="CT73" s="399">
        <f>-CT26</f>
        <v/>
      </c>
      <c r="CU73" s="399">
        <f>-CU26</f>
        <v/>
      </c>
      <c r="CV73" s="399">
        <f>-CV26</f>
        <v/>
      </c>
      <c r="CW73" s="399">
        <f>-CW26</f>
        <v/>
      </c>
      <c r="CX73" s="399">
        <f>-CX26</f>
        <v/>
      </c>
      <c r="CY73" s="399">
        <f>-CY26</f>
        <v/>
      </c>
      <c r="CZ73" s="399">
        <f>-CZ26</f>
        <v/>
      </c>
      <c r="DA73" s="399">
        <f>-DA26</f>
        <v/>
      </c>
      <c r="DB73" s="399">
        <f>-DB26</f>
        <v/>
      </c>
      <c r="DC73" s="399">
        <f>-DC26</f>
        <v/>
      </c>
      <c r="DD73" s="399">
        <f>-DD26</f>
        <v/>
      </c>
      <c r="DE73" s="399">
        <f>-DE26</f>
        <v/>
      </c>
    </row>
    <row r="74" hidden="1" outlineLevel="1" ht="15" customFormat="1" customHeight="1" s="380">
      <c r="A74" s="407" t="inlineStr">
        <is>
          <t>Riverton</t>
        </is>
      </c>
      <c r="B74" s="399" t="n">
        <v>0</v>
      </c>
      <c r="C74" s="399" t="n">
        <v>0</v>
      </c>
      <c r="D74" s="399" t="n">
        <v>0</v>
      </c>
      <c r="E74" s="399" t="n">
        <v>0</v>
      </c>
      <c r="F74" s="399">
        <f>-F27</f>
        <v/>
      </c>
      <c r="G74" s="399">
        <f>-G27</f>
        <v/>
      </c>
      <c r="H74" s="399" t="n">
        <v>-219283</v>
      </c>
      <c r="I74" s="399">
        <f>-I27</f>
        <v/>
      </c>
      <c r="J74" s="399">
        <f>-J27</f>
        <v/>
      </c>
      <c r="K74" s="399">
        <f>-K27</f>
        <v/>
      </c>
      <c r="L74" s="399">
        <f>-L27</f>
        <v/>
      </c>
      <c r="M74" s="399">
        <f>-M27</f>
        <v/>
      </c>
      <c r="N74" s="399">
        <f>-N27</f>
        <v/>
      </c>
      <c r="O74" s="399">
        <f>-O27</f>
        <v/>
      </c>
      <c r="P74" s="399">
        <f>-P27</f>
        <v/>
      </c>
      <c r="Q74" s="399">
        <f>-Q27</f>
        <v/>
      </c>
      <c r="R74" s="399">
        <f>-R27</f>
        <v/>
      </c>
      <c r="S74" s="399">
        <f>-S27</f>
        <v/>
      </c>
      <c r="T74" s="399">
        <f>-T27</f>
        <v/>
      </c>
      <c r="U74" s="399">
        <f>-U27</f>
        <v/>
      </c>
      <c r="V74" s="399">
        <f>-V27</f>
        <v/>
      </c>
      <c r="W74" s="399">
        <f>-W27</f>
        <v/>
      </c>
      <c r="X74" s="399">
        <f>-X27</f>
        <v/>
      </c>
      <c r="Y74" s="399">
        <f>-Y27</f>
        <v/>
      </c>
      <c r="Z74" s="399">
        <f>-Z27</f>
        <v/>
      </c>
      <c r="AA74" s="399">
        <f>-AA27</f>
        <v/>
      </c>
      <c r="AB74" s="399">
        <f>-AB27</f>
        <v/>
      </c>
      <c r="AC74" s="399">
        <f>-AC27</f>
        <v/>
      </c>
      <c r="AD74" s="399">
        <f>-AD27</f>
        <v/>
      </c>
      <c r="AE74" s="399">
        <f>-AE27</f>
        <v/>
      </c>
      <c r="AF74" s="399">
        <f>-AF27</f>
        <v/>
      </c>
      <c r="AG74" s="399">
        <f>-AG27</f>
        <v/>
      </c>
      <c r="AH74" s="399">
        <f>-AH27</f>
        <v/>
      </c>
      <c r="AI74" s="399">
        <f>-AI27</f>
        <v/>
      </c>
      <c r="AJ74" s="399">
        <f>-AJ27</f>
        <v/>
      </c>
      <c r="AK74" s="399">
        <f>-AK27</f>
        <v/>
      </c>
      <c r="AL74" s="399">
        <f>-AL27</f>
        <v/>
      </c>
      <c r="AM74" s="399">
        <f>-AM27</f>
        <v/>
      </c>
      <c r="AN74" s="399">
        <f>-AN27</f>
        <v/>
      </c>
      <c r="AO74" s="399">
        <f>-AO27</f>
        <v/>
      </c>
      <c r="AP74" s="399">
        <f>-AP27</f>
        <v/>
      </c>
      <c r="AQ74" s="399">
        <f>-AQ27</f>
        <v/>
      </c>
      <c r="AR74" s="399">
        <f>-AR27</f>
        <v/>
      </c>
      <c r="AS74" s="399">
        <f>-AS27</f>
        <v/>
      </c>
      <c r="AT74" s="399">
        <f>-AT27</f>
        <v/>
      </c>
      <c r="AU74" s="399">
        <f>-AU27</f>
        <v/>
      </c>
      <c r="AV74" s="399">
        <f>-AV27</f>
        <v/>
      </c>
      <c r="AW74" s="399">
        <f>-AW27</f>
        <v/>
      </c>
      <c r="AX74" s="399">
        <f>-AX27</f>
        <v/>
      </c>
      <c r="AY74" s="399">
        <f>-AY27</f>
        <v/>
      </c>
      <c r="AZ74" s="399">
        <f>-AZ27</f>
        <v/>
      </c>
      <c r="BA74" s="399">
        <f>-BA27</f>
        <v/>
      </c>
      <c r="BB74" s="399">
        <f>-BB27</f>
        <v/>
      </c>
      <c r="BC74" s="399">
        <f>-BC27</f>
        <v/>
      </c>
      <c r="BD74" s="399">
        <f>-BD27</f>
        <v/>
      </c>
      <c r="BE74" s="399">
        <f>-BE27</f>
        <v/>
      </c>
      <c r="BF74" s="399">
        <f>-BF27</f>
        <v/>
      </c>
      <c r="BG74" s="399">
        <f>-BG27</f>
        <v/>
      </c>
      <c r="BH74" s="399">
        <f>-BH27</f>
        <v/>
      </c>
      <c r="BI74" s="399">
        <f>-BI27</f>
        <v/>
      </c>
      <c r="BJ74" s="399">
        <f>-BJ27</f>
        <v/>
      </c>
      <c r="BK74" s="399">
        <f>-BK27</f>
        <v/>
      </c>
      <c r="BL74" s="399">
        <f>-BL27</f>
        <v/>
      </c>
      <c r="BM74" s="399">
        <f>-BM27</f>
        <v/>
      </c>
      <c r="BN74" s="399">
        <f>-BN27</f>
        <v/>
      </c>
      <c r="BO74" s="399">
        <f>-BO27</f>
        <v/>
      </c>
      <c r="BP74" s="399">
        <f>-BP27</f>
        <v/>
      </c>
      <c r="BQ74" s="399">
        <f>-BQ27</f>
        <v/>
      </c>
      <c r="BR74" s="399">
        <f>-BR27</f>
        <v/>
      </c>
      <c r="BS74" s="399">
        <f>-BS27</f>
        <v/>
      </c>
      <c r="BT74" s="399">
        <f>-BT27</f>
        <v/>
      </c>
      <c r="BU74" s="399">
        <f>-BU27</f>
        <v/>
      </c>
      <c r="BV74" s="399">
        <f>-BV27</f>
        <v/>
      </c>
      <c r="BW74" s="399">
        <f>-BW27</f>
        <v/>
      </c>
      <c r="BX74" s="399">
        <f>-BX27</f>
        <v/>
      </c>
      <c r="BY74" s="399">
        <f>-BY27</f>
        <v/>
      </c>
      <c r="BZ74" s="399">
        <f>-BZ27</f>
        <v/>
      </c>
      <c r="CA74" s="399">
        <f>-CA27</f>
        <v/>
      </c>
      <c r="CB74" s="399">
        <f>-CB27</f>
        <v/>
      </c>
      <c r="CC74" s="399">
        <f>-CC27</f>
        <v/>
      </c>
      <c r="CD74" s="399">
        <f>-CD27</f>
        <v/>
      </c>
      <c r="CE74" s="399">
        <f>-CE27</f>
        <v/>
      </c>
      <c r="CF74" s="399">
        <f>-CF27</f>
        <v/>
      </c>
      <c r="CG74" s="399">
        <f>-CG27</f>
        <v/>
      </c>
      <c r="CH74" s="399">
        <f>-CH27</f>
        <v/>
      </c>
      <c r="CI74" s="399">
        <f>-CI27</f>
        <v/>
      </c>
      <c r="CJ74" s="399">
        <f>-CJ27</f>
        <v/>
      </c>
      <c r="CK74" s="399">
        <f>-CK27</f>
        <v/>
      </c>
      <c r="CL74" s="399">
        <f>-CL27</f>
        <v/>
      </c>
      <c r="CM74" s="399">
        <f>-CM27</f>
        <v/>
      </c>
      <c r="CN74" s="399">
        <f>-CN27</f>
        <v/>
      </c>
      <c r="CO74" s="399">
        <f>-CO27</f>
        <v/>
      </c>
      <c r="CP74" s="399">
        <f>-CP27</f>
        <v/>
      </c>
      <c r="CQ74" s="399">
        <f>-CQ27</f>
        <v/>
      </c>
      <c r="CR74" s="399">
        <f>-CR27</f>
        <v/>
      </c>
      <c r="CS74" s="399">
        <f>-CS27</f>
        <v/>
      </c>
      <c r="CT74" s="399">
        <f>-CT27</f>
        <v/>
      </c>
      <c r="CU74" s="399">
        <f>-CU27</f>
        <v/>
      </c>
      <c r="CV74" s="399">
        <f>-CV27</f>
        <v/>
      </c>
      <c r="CW74" s="399">
        <f>-CW27</f>
        <v/>
      </c>
      <c r="CX74" s="399">
        <f>-CX27</f>
        <v/>
      </c>
      <c r="CY74" s="399">
        <f>-CY27</f>
        <v/>
      </c>
      <c r="CZ74" s="399">
        <f>-CZ27</f>
        <v/>
      </c>
      <c r="DA74" s="399">
        <f>-DA27</f>
        <v/>
      </c>
      <c r="DB74" s="399">
        <f>-DB27</f>
        <v/>
      </c>
      <c r="DC74" s="399">
        <f>-DC27</f>
        <v/>
      </c>
      <c r="DD74" s="399">
        <f>-DD27</f>
        <v/>
      </c>
      <c r="DE74" s="399">
        <f>-DE27</f>
        <v/>
      </c>
    </row>
    <row r="75" hidden="1" outlineLevel="1" ht="15" customFormat="1" customHeight="1" s="380">
      <c r="A75" s="407" t="inlineStr">
        <is>
          <t>Moorpark</t>
        </is>
      </c>
      <c r="B75" s="399" t="n">
        <v>0</v>
      </c>
      <c r="C75" s="399" t="n">
        <v>0</v>
      </c>
      <c r="D75" s="399" t="n">
        <v>0</v>
      </c>
      <c r="E75" s="399" t="n">
        <v>0</v>
      </c>
      <c r="F75" s="399">
        <f>-F28</f>
        <v/>
      </c>
      <c r="G75" s="399">
        <f>-G28</f>
        <v/>
      </c>
      <c r="H75" s="399">
        <f>-H28</f>
        <v/>
      </c>
      <c r="I75" s="399">
        <f>-I28</f>
        <v/>
      </c>
      <c r="J75" s="399">
        <f>-J28</f>
        <v/>
      </c>
      <c r="K75" s="399">
        <f>-K28</f>
        <v/>
      </c>
      <c r="L75" s="399">
        <f>-L28</f>
        <v/>
      </c>
      <c r="M75" s="399">
        <f>-M28</f>
        <v/>
      </c>
      <c r="N75" s="399">
        <f>-N28</f>
        <v/>
      </c>
      <c r="O75" s="399">
        <f>-O28</f>
        <v/>
      </c>
      <c r="P75" s="399">
        <f>-P28</f>
        <v/>
      </c>
      <c r="Q75" s="399">
        <f>-Q28</f>
        <v/>
      </c>
      <c r="R75" s="399">
        <f>-R28</f>
        <v/>
      </c>
      <c r="S75" s="399">
        <f>-S28</f>
        <v/>
      </c>
      <c r="T75" s="399">
        <f>-T28</f>
        <v/>
      </c>
      <c r="U75" s="399">
        <f>-U28</f>
        <v/>
      </c>
      <c r="V75" s="399">
        <f>-V28</f>
        <v/>
      </c>
      <c r="W75" s="399">
        <f>-W28</f>
        <v/>
      </c>
      <c r="X75" s="399">
        <f>-X28</f>
        <v/>
      </c>
      <c r="Y75" s="399">
        <f>-Y28</f>
        <v/>
      </c>
      <c r="Z75" s="399">
        <f>-Z28</f>
        <v/>
      </c>
      <c r="AA75" s="399">
        <f>-AA28</f>
        <v/>
      </c>
      <c r="AB75" s="399">
        <f>-AB28</f>
        <v/>
      </c>
      <c r="AC75" s="399">
        <f>-AC28</f>
        <v/>
      </c>
      <c r="AD75" s="399">
        <f>-AD28</f>
        <v/>
      </c>
      <c r="AE75" s="399">
        <f>-AE28</f>
        <v/>
      </c>
      <c r="AF75" s="399">
        <f>-AF28</f>
        <v/>
      </c>
      <c r="AG75" s="399">
        <f>-AG28</f>
        <v/>
      </c>
      <c r="AH75" s="399">
        <f>-AH28</f>
        <v/>
      </c>
      <c r="AI75" s="399">
        <f>-AI28</f>
        <v/>
      </c>
      <c r="AJ75" s="399">
        <f>-AJ28</f>
        <v/>
      </c>
      <c r="AK75" s="399">
        <f>-AK28</f>
        <v/>
      </c>
      <c r="AL75" s="399">
        <f>-AL28</f>
        <v/>
      </c>
      <c r="AM75" s="399">
        <f>-AM28</f>
        <v/>
      </c>
      <c r="AN75" s="399">
        <f>-AN28</f>
        <v/>
      </c>
      <c r="AO75" s="399">
        <f>-AO28</f>
        <v/>
      </c>
      <c r="AP75" s="399">
        <f>-AP28</f>
        <v/>
      </c>
      <c r="AQ75" s="399">
        <f>-AQ28</f>
        <v/>
      </c>
      <c r="AR75" s="399">
        <f>-AR28</f>
        <v/>
      </c>
      <c r="AS75" s="399">
        <f>-AS28</f>
        <v/>
      </c>
      <c r="AT75" s="399">
        <f>-AT28</f>
        <v/>
      </c>
      <c r="AU75" s="399">
        <f>-AU28</f>
        <v/>
      </c>
      <c r="AV75" s="399">
        <f>-AV28</f>
        <v/>
      </c>
      <c r="AW75" s="399">
        <f>-AW28</f>
        <v/>
      </c>
      <c r="AX75" s="399">
        <f>-AX28</f>
        <v/>
      </c>
      <c r="AY75" s="399">
        <f>-AY28</f>
        <v/>
      </c>
      <c r="AZ75" s="399">
        <f>-AZ28</f>
        <v/>
      </c>
      <c r="BA75" s="399">
        <f>-BA28</f>
        <v/>
      </c>
      <c r="BB75" s="399">
        <f>-BB28</f>
        <v/>
      </c>
      <c r="BC75" s="399">
        <f>-BC28</f>
        <v/>
      </c>
      <c r="BD75" s="399">
        <f>-BD28</f>
        <v/>
      </c>
      <c r="BE75" s="399">
        <f>-BE28</f>
        <v/>
      </c>
      <c r="BF75" s="399">
        <f>-BF28</f>
        <v/>
      </c>
      <c r="BG75" s="399">
        <f>-BG28</f>
        <v/>
      </c>
      <c r="BH75" s="399">
        <f>-BH28</f>
        <v/>
      </c>
      <c r="BI75" s="399">
        <f>-BI28</f>
        <v/>
      </c>
      <c r="BJ75" s="399">
        <f>-BJ28</f>
        <v/>
      </c>
      <c r="BK75" s="399">
        <f>-BK28</f>
        <v/>
      </c>
      <c r="BL75" s="399">
        <f>-BL28</f>
        <v/>
      </c>
      <c r="BM75" s="399">
        <f>-BM28</f>
        <v/>
      </c>
      <c r="BN75" s="399">
        <f>-BN28</f>
        <v/>
      </c>
      <c r="BO75" s="399">
        <f>-BO28</f>
        <v/>
      </c>
      <c r="BP75" s="399">
        <f>-BP28</f>
        <v/>
      </c>
      <c r="BQ75" s="399">
        <f>-BQ28</f>
        <v/>
      </c>
      <c r="BR75" s="399">
        <f>-BR28</f>
        <v/>
      </c>
      <c r="BS75" s="399">
        <f>-BS28</f>
        <v/>
      </c>
      <c r="BT75" s="399">
        <f>-BT28</f>
        <v/>
      </c>
      <c r="BU75" s="399">
        <f>-BU28</f>
        <v/>
      </c>
      <c r="BV75" s="399">
        <f>-BV28</f>
        <v/>
      </c>
      <c r="BW75" s="399">
        <f>-BW28</f>
        <v/>
      </c>
      <c r="BX75" s="399">
        <f>-BX28</f>
        <v/>
      </c>
      <c r="BY75" s="399">
        <f>-BY28</f>
        <v/>
      </c>
      <c r="BZ75" s="399">
        <f>-BZ28</f>
        <v/>
      </c>
      <c r="CA75" s="399">
        <f>-CA28</f>
        <v/>
      </c>
      <c r="CB75" s="399">
        <f>-CB28</f>
        <v/>
      </c>
      <c r="CC75" s="399">
        <f>-CC28</f>
        <v/>
      </c>
      <c r="CD75" s="399">
        <f>-CD28</f>
        <v/>
      </c>
      <c r="CE75" s="399">
        <f>-CE28</f>
        <v/>
      </c>
      <c r="CF75" s="399">
        <f>-CF28</f>
        <v/>
      </c>
      <c r="CG75" s="399">
        <f>-CG28</f>
        <v/>
      </c>
      <c r="CH75" s="399">
        <f>-CH28</f>
        <v/>
      </c>
      <c r="CI75" s="399">
        <f>-CI28</f>
        <v/>
      </c>
      <c r="CJ75" s="399">
        <f>-CJ28</f>
        <v/>
      </c>
      <c r="CK75" s="399">
        <f>-CK28</f>
        <v/>
      </c>
      <c r="CL75" s="399">
        <f>-CL28</f>
        <v/>
      </c>
      <c r="CM75" s="399">
        <f>-CM28</f>
        <v/>
      </c>
      <c r="CN75" s="399">
        <f>-CN28</f>
        <v/>
      </c>
      <c r="CO75" s="399">
        <f>-CO28</f>
        <v/>
      </c>
      <c r="CP75" s="399">
        <f>-CP28</f>
        <v/>
      </c>
      <c r="CQ75" s="399">
        <f>-CQ28</f>
        <v/>
      </c>
      <c r="CR75" s="399">
        <f>-CR28</f>
        <v/>
      </c>
      <c r="CS75" s="399">
        <f>-CS28</f>
        <v/>
      </c>
      <c r="CT75" s="399">
        <f>-CT28</f>
        <v/>
      </c>
      <c r="CU75" s="399">
        <f>-CU28</f>
        <v/>
      </c>
      <c r="CV75" s="399">
        <f>-CV28</f>
        <v/>
      </c>
      <c r="CW75" s="399">
        <f>-CW28</f>
        <v/>
      </c>
      <c r="CX75" s="399">
        <f>-CX28</f>
        <v/>
      </c>
      <c r="CY75" s="399">
        <f>-CY28</f>
        <v/>
      </c>
      <c r="CZ75" s="399">
        <f>-CZ28</f>
        <v/>
      </c>
      <c r="DA75" s="399">
        <f>-DA28</f>
        <v/>
      </c>
      <c r="DB75" s="399">
        <f>-DB28</f>
        <v/>
      </c>
      <c r="DC75" s="399">
        <f>-DC28</f>
        <v/>
      </c>
      <c r="DD75" s="399">
        <f>-DD28</f>
        <v/>
      </c>
      <c r="DE75" s="399">
        <f>-DE28</f>
        <v/>
      </c>
    </row>
    <row r="76" hidden="1" outlineLevel="1" ht="15" customFormat="1" customHeight="1" s="380">
      <c r="A76" s="407" t="inlineStr">
        <is>
          <t>Beverly (BD-04)</t>
        </is>
      </c>
      <c r="B76" s="399" t="n">
        <v>0</v>
      </c>
      <c r="C76" s="399" t="n">
        <v>0</v>
      </c>
      <c r="D76" s="399" t="n">
        <v>0</v>
      </c>
      <c r="E76" s="399" t="n">
        <v>0</v>
      </c>
      <c r="F76" s="399">
        <f>-F29</f>
        <v/>
      </c>
      <c r="G76" s="399">
        <f>-G29</f>
        <v/>
      </c>
      <c r="H76" s="399">
        <f>-H29</f>
        <v/>
      </c>
      <c r="I76" s="399">
        <f>-I29</f>
        <v/>
      </c>
      <c r="J76" s="399">
        <f>-J29</f>
        <v/>
      </c>
      <c r="K76" s="399">
        <f>-K29</f>
        <v/>
      </c>
      <c r="L76" s="399">
        <f>-L29</f>
        <v/>
      </c>
      <c r="M76" s="399">
        <f>-M29</f>
        <v/>
      </c>
      <c r="N76" s="399">
        <f>-N29</f>
        <v/>
      </c>
      <c r="O76" s="399">
        <f>-O29</f>
        <v/>
      </c>
      <c r="P76" s="399">
        <f>-P29</f>
        <v/>
      </c>
      <c r="Q76" s="399">
        <f>-Q29</f>
        <v/>
      </c>
      <c r="R76" s="399">
        <f>-R29</f>
        <v/>
      </c>
      <c r="S76" s="399">
        <f>-S29</f>
        <v/>
      </c>
      <c r="T76" s="399">
        <f>-T29</f>
        <v/>
      </c>
      <c r="U76" s="399">
        <f>-U29</f>
        <v/>
      </c>
      <c r="V76" s="399">
        <f>-V29</f>
        <v/>
      </c>
      <c r="W76" s="399">
        <f>-W29</f>
        <v/>
      </c>
      <c r="X76" s="399">
        <f>-X29</f>
        <v/>
      </c>
      <c r="Y76" s="399">
        <f>-Y29</f>
        <v/>
      </c>
      <c r="Z76" s="399">
        <f>-Z29</f>
        <v/>
      </c>
      <c r="AA76" s="399">
        <f>-AA29</f>
        <v/>
      </c>
      <c r="AB76" s="399">
        <f>-AB29</f>
        <v/>
      </c>
      <c r="AC76" s="399">
        <f>-AC29</f>
        <v/>
      </c>
      <c r="AD76" s="399">
        <f>-AD29</f>
        <v/>
      </c>
      <c r="AE76" s="399">
        <f>-AE29</f>
        <v/>
      </c>
      <c r="AF76" s="399">
        <f>-AF29</f>
        <v/>
      </c>
      <c r="AG76" s="399">
        <f>-AG29</f>
        <v/>
      </c>
      <c r="AH76" s="399">
        <f>-AH29</f>
        <v/>
      </c>
      <c r="AI76" s="399">
        <f>-AI29</f>
        <v/>
      </c>
      <c r="AJ76" s="399">
        <f>-AJ29</f>
        <v/>
      </c>
      <c r="AK76" s="399">
        <f>-AK29</f>
        <v/>
      </c>
      <c r="AL76" s="399">
        <f>-AL29</f>
        <v/>
      </c>
      <c r="AM76" s="399">
        <f>-AM29</f>
        <v/>
      </c>
      <c r="AN76" s="399">
        <f>-AN29</f>
        <v/>
      </c>
      <c r="AO76" s="399">
        <f>-AO29</f>
        <v/>
      </c>
      <c r="AP76" s="399">
        <f>-AP29</f>
        <v/>
      </c>
      <c r="AQ76" s="399">
        <f>-AQ29</f>
        <v/>
      </c>
      <c r="AR76" s="399">
        <f>-AR29</f>
        <v/>
      </c>
      <c r="AS76" s="399">
        <f>-AS29</f>
        <v/>
      </c>
      <c r="AT76" s="399">
        <f>-AT29</f>
        <v/>
      </c>
      <c r="AU76" s="399">
        <f>-AU29</f>
        <v/>
      </c>
      <c r="AV76" s="399">
        <f>-AV29</f>
        <v/>
      </c>
      <c r="AW76" s="399">
        <f>-AW29</f>
        <v/>
      </c>
      <c r="AX76" s="399">
        <f>-AX29</f>
        <v/>
      </c>
      <c r="AY76" s="399">
        <f>-AY29</f>
        <v/>
      </c>
      <c r="AZ76" s="399">
        <f>-AZ29</f>
        <v/>
      </c>
      <c r="BA76" s="399">
        <f>-BA29</f>
        <v/>
      </c>
      <c r="BB76" s="399">
        <f>-BB29</f>
        <v/>
      </c>
      <c r="BC76" s="399">
        <f>-BC29</f>
        <v/>
      </c>
      <c r="BD76" s="399">
        <f>-BD29</f>
        <v/>
      </c>
      <c r="BE76" s="399">
        <f>-BE29</f>
        <v/>
      </c>
      <c r="BF76" s="399">
        <f>-BF29</f>
        <v/>
      </c>
      <c r="BG76" s="399">
        <f>-BG29</f>
        <v/>
      </c>
      <c r="BH76" s="399">
        <f>-BH29</f>
        <v/>
      </c>
      <c r="BI76" s="399">
        <f>-BI29</f>
        <v/>
      </c>
      <c r="BJ76" s="399">
        <f>-BJ29</f>
        <v/>
      </c>
      <c r="BK76" s="399">
        <f>-BK29</f>
        <v/>
      </c>
      <c r="BL76" s="399">
        <f>-BL29</f>
        <v/>
      </c>
      <c r="BM76" s="399">
        <f>-BM29</f>
        <v/>
      </c>
      <c r="BN76" s="399">
        <f>-BN29</f>
        <v/>
      </c>
      <c r="BO76" s="399">
        <f>-BO29</f>
        <v/>
      </c>
      <c r="BP76" s="399">
        <f>-BP29</f>
        <v/>
      </c>
      <c r="BQ76" s="399">
        <f>-BQ29</f>
        <v/>
      </c>
      <c r="BR76" s="399">
        <f>-BR29</f>
        <v/>
      </c>
      <c r="BS76" s="399">
        <f>-BS29</f>
        <v/>
      </c>
      <c r="BT76" s="399">
        <f>-BT29</f>
        <v/>
      </c>
      <c r="BU76" s="399">
        <f>-BU29</f>
        <v/>
      </c>
      <c r="BV76" s="399">
        <f>-BV29</f>
        <v/>
      </c>
      <c r="BW76" s="399">
        <f>-BW29</f>
        <v/>
      </c>
      <c r="BX76" s="399">
        <f>-BX29</f>
        <v/>
      </c>
      <c r="BY76" s="399">
        <f>-BY29</f>
        <v/>
      </c>
      <c r="BZ76" s="399">
        <f>-BZ29</f>
        <v/>
      </c>
      <c r="CA76" s="399">
        <f>-CA29</f>
        <v/>
      </c>
      <c r="CB76" s="399">
        <f>-CB29</f>
        <v/>
      </c>
      <c r="CC76" s="399">
        <f>-CC29</f>
        <v/>
      </c>
      <c r="CD76" s="399">
        <f>-CD29</f>
        <v/>
      </c>
      <c r="CE76" s="399">
        <f>-CE29</f>
        <v/>
      </c>
      <c r="CF76" s="399">
        <f>-CF29</f>
        <v/>
      </c>
      <c r="CG76" s="399">
        <f>-CG29</f>
        <v/>
      </c>
      <c r="CH76" s="399">
        <f>-CH29</f>
        <v/>
      </c>
      <c r="CI76" s="399">
        <f>-CI29</f>
        <v/>
      </c>
      <c r="CJ76" s="399">
        <f>-CJ29</f>
        <v/>
      </c>
      <c r="CK76" s="399">
        <f>-CK29</f>
        <v/>
      </c>
      <c r="CL76" s="399">
        <f>-CL29</f>
        <v/>
      </c>
      <c r="CM76" s="399">
        <f>-CM29</f>
        <v/>
      </c>
      <c r="CN76" s="399">
        <f>-CN29</f>
        <v/>
      </c>
      <c r="CO76" s="399">
        <f>-CO29</f>
        <v/>
      </c>
      <c r="CP76" s="399">
        <f>-CP29</f>
        <v/>
      </c>
      <c r="CQ76" s="399">
        <f>-CQ29</f>
        <v/>
      </c>
      <c r="CR76" s="399">
        <f>-CR29</f>
        <v/>
      </c>
      <c r="CS76" s="399">
        <f>-CS29</f>
        <v/>
      </c>
      <c r="CT76" s="399">
        <f>-CT29</f>
        <v/>
      </c>
      <c r="CU76" s="399">
        <f>-CU29</f>
        <v/>
      </c>
      <c r="CV76" s="399">
        <f>-CV29</f>
        <v/>
      </c>
      <c r="CW76" s="399">
        <f>-CW29</f>
        <v/>
      </c>
      <c r="CX76" s="399">
        <f>-CX29</f>
        <v/>
      </c>
      <c r="CY76" s="399">
        <f>-CY29</f>
        <v/>
      </c>
      <c r="CZ76" s="399">
        <f>-CZ29</f>
        <v/>
      </c>
      <c r="DA76" s="399">
        <f>-DA29</f>
        <v/>
      </c>
      <c r="DB76" s="399">
        <f>-DB29</f>
        <v/>
      </c>
      <c r="DC76" s="399">
        <f>-DC29</f>
        <v/>
      </c>
      <c r="DD76" s="399">
        <f>-DD29</f>
        <v/>
      </c>
      <c r="DE76" s="399">
        <f>-DE29</f>
        <v/>
      </c>
    </row>
    <row r="77" hidden="1" outlineLevel="1" ht="15" customFormat="1" customHeight="1" s="380">
      <c r="A77" s="407" t="inlineStr">
        <is>
          <t>Troost</t>
        </is>
      </c>
      <c r="B77" s="399" t="n">
        <v>0</v>
      </c>
      <c r="C77" s="399" t="n">
        <v>0</v>
      </c>
      <c r="D77" s="399" t="n">
        <v>0</v>
      </c>
      <c r="E77" s="399" t="n">
        <v>0</v>
      </c>
      <c r="F77" s="399">
        <f>-F30</f>
        <v/>
      </c>
      <c r="G77" s="399">
        <f>-G30</f>
        <v/>
      </c>
      <c r="H77" s="399">
        <f>-H30</f>
        <v/>
      </c>
      <c r="I77" s="399">
        <f>-I30</f>
        <v/>
      </c>
      <c r="J77" s="399">
        <f>-J30</f>
        <v/>
      </c>
      <c r="K77" s="399">
        <f>-K30</f>
        <v/>
      </c>
      <c r="L77" s="399">
        <f>-L30</f>
        <v/>
      </c>
      <c r="M77" s="399">
        <f>-M30</f>
        <v/>
      </c>
      <c r="N77" s="399">
        <f>-N30</f>
        <v/>
      </c>
      <c r="O77" s="399">
        <f>-O30</f>
        <v/>
      </c>
      <c r="P77" s="399">
        <f>-P30</f>
        <v/>
      </c>
      <c r="Q77" s="399">
        <f>-Q30</f>
        <v/>
      </c>
      <c r="R77" s="399">
        <f>-R30</f>
        <v/>
      </c>
      <c r="S77" s="399">
        <f>-S30</f>
        <v/>
      </c>
      <c r="T77" s="399">
        <f>-T30</f>
        <v/>
      </c>
      <c r="U77" s="399">
        <f>-U30</f>
        <v/>
      </c>
      <c r="V77" s="399">
        <f>-V30</f>
        <v/>
      </c>
      <c r="W77" s="399">
        <f>-W30</f>
        <v/>
      </c>
      <c r="X77" s="399">
        <f>-X30</f>
        <v/>
      </c>
      <c r="Y77" s="399">
        <f>-Y30</f>
        <v/>
      </c>
      <c r="Z77" s="399">
        <f>-Z30</f>
        <v/>
      </c>
      <c r="AA77" s="399">
        <f>-AA30</f>
        <v/>
      </c>
      <c r="AB77" s="399">
        <f>-AB30</f>
        <v/>
      </c>
      <c r="AC77" s="399">
        <f>-AC30</f>
        <v/>
      </c>
      <c r="AD77" s="399">
        <f>-AD30</f>
        <v/>
      </c>
      <c r="AE77" s="399">
        <f>-AE30</f>
        <v/>
      </c>
      <c r="AF77" s="399">
        <f>-AF30</f>
        <v/>
      </c>
      <c r="AG77" s="399">
        <f>-AG30</f>
        <v/>
      </c>
      <c r="AH77" s="399">
        <f>-AH30</f>
        <v/>
      </c>
      <c r="AI77" s="399">
        <f>-AI30</f>
        <v/>
      </c>
      <c r="AJ77" s="399">
        <f>-AJ30</f>
        <v/>
      </c>
      <c r="AK77" s="399">
        <f>-AK30</f>
        <v/>
      </c>
      <c r="AL77" s="399">
        <f>-AL30</f>
        <v/>
      </c>
      <c r="AM77" s="399">
        <f>-AM30</f>
        <v/>
      </c>
      <c r="AN77" s="399">
        <f>-AN30</f>
        <v/>
      </c>
      <c r="AO77" s="399">
        <f>-AO30</f>
        <v/>
      </c>
      <c r="AP77" s="399">
        <f>-AP30</f>
        <v/>
      </c>
      <c r="AQ77" s="399">
        <f>-AQ30</f>
        <v/>
      </c>
      <c r="AR77" s="399">
        <f>-AR30</f>
        <v/>
      </c>
      <c r="AS77" s="399">
        <f>-AS30</f>
        <v/>
      </c>
      <c r="AT77" s="399">
        <f>-AT30</f>
        <v/>
      </c>
      <c r="AU77" s="399">
        <f>-AU30</f>
        <v/>
      </c>
      <c r="AV77" s="399">
        <f>-AV30</f>
        <v/>
      </c>
      <c r="AW77" s="399">
        <f>-AW30</f>
        <v/>
      </c>
      <c r="AX77" s="399">
        <f>-AX30</f>
        <v/>
      </c>
      <c r="AY77" s="399">
        <f>-AY30</f>
        <v/>
      </c>
      <c r="AZ77" s="399">
        <f>-AZ30</f>
        <v/>
      </c>
      <c r="BA77" s="399">
        <f>-BA30</f>
        <v/>
      </c>
      <c r="BB77" s="399">
        <f>-BB30</f>
        <v/>
      </c>
      <c r="BC77" s="399">
        <f>-BC30</f>
        <v/>
      </c>
      <c r="BD77" s="399">
        <f>-BD30</f>
        <v/>
      </c>
      <c r="BE77" s="399">
        <f>-BE30</f>
        <v/>
      </c>
      <c r="BF77" s="399">
        <f>-BF30</f>
        <v/>
      </c>
      <c r="BG77" s="399">
        <f>-BG30</f>
        <v/>
      </c>
      <c r="BH77" s="399">
        <f>-BH30</f>
        <v/>
      </c>
      <c r="BI77" s="399">
        <f>-BI30</f>
        <v/>
      </c>
      <c r="BJ77" s="399">
        <f>-BJ30</f>
        <v/>
      </c>
      <c r="BK77" s="399">
        <f>-BK30</f>
        <v/>
      </c>
      <c r="BL77" s="399">
        <f>-BL30</f>
        <v/>
      </c>
      <c r="BM77" s="399">
        <f>-BM30</f>
        <v/>
      </c>
      <c r="BN77" s="399">
        <f>-BN30</f>
        <v/>
      </c>
      <c r="BO77" s="399">
        <f>-BO30</f>
        <v/>
      </c>
      <c r="BP77" s="399">
        <f>-BP30</f>
        <v/>
      </c>
      <c r="BQ77" s="399">
        <f>-BQ30</f>
        <v/>
      </c>
      <c r="BR77" s="399">
        <f>-BR30</f>
        <v/>
      </c>
      <c r="BS77" s="399">
        <f>-BS30</f>
        <v/>
      </c>
      <c r="BT77" s="399">
        <f>-BT30</f>
        <v/>
      </c>
      <c r="BU77" s="399">
        <f>-BU30</f>
        <v/>
      </c>
      <c r="BV77" s="399">
        <f>-BV30</f>
        <v/>
      </c>
      <c r="BW77" s="399">
        <f>-BW30</f>
        <v/>
      </c>
      <c r="BX77" s="399">
        <f>-BX30</f>
        <v/>
      </c>
      <c r="BY77" s="399">
        <f>-BY30</f>
        <v/>
      </c>
      <c r="BZ77" s="399">
        <f>-BZ30</f>
        <v/>
      </c>
      <c r="CA77" s="399">
        <f>-CA30</f>
        <v/>
      </c>
      <c r="CB77" s="399">
        <f>-CB30</f>
        <v/>
      </c>
      <c r="CC77" s="399">
        <f>-CC30</f>
        <v/>
      </c>
      <c r="CD77" s="399">
        <f>-CD30</f>
        <v/>
      </c>
      <c r="CE77" s="399">
        <f>-CE30</f>
        <v/>
      </c>
      <c r="CF77" s="399">
        <f>-CF30</f>
        <v/>
      </c>
      <c r="CG77" s="399">
        <f>-CG30</f>
        <v/>
      </c>
      <c r="CH77" s="399">
        <f>-CH30</f>
        <v/>
      </c>
      <c r="CI77" s="399">
        <f>-CI30</f>
        <v/>
      </c>
      <c r="CJ77" s="399">
        <f>-CJ30</f>
        <v/>
      </c>
      <c r="CK77" s="399">
        <f>-CK30</f>
        <v/>
      </c>
      <c r="CL77" s="399">
        <f>-CL30</f>
        <v/>
      </c>
      <c r="CM77" s="399">
        <f>-CM30</f>
        <v/>
      </c>
      <c r="CN77" s="399">
        <f>-CN30</f>
        <v/>
      </c>
      <c r="CO77" s="399">
        <f>-CO30</f>
        <v/>
      </c>
      <c r="CP77" s="399">
        <f>-CP30</f>
        <v/>
      </c>
      <c r="CQ77" s="399">
        <f>-CQ30</f>
        <v/>
      </c>
      <c r="CR77" s="399">
        <f>-CR30</f>
        <v/>
      </c>
      <c r="CS77" s="399">
        <f>-CS30</f>
        <v/>
      </c>
      <c r="CT77" s="399">
        <f>-CT30</f>
        <v/>
      </c>
      <c r="CU77" s="399">
        <f>-CU30</f>
        <v/>
      </c>
      <c r="CV77" s="399">
        <f>-CV30</f>
        <v/>
      </c>
      <c r="CW77" s="399">
        <f>-CW30</f>
        <v/>
      </c>
      <c r="CX77" s="399">
        <f>-CX30</f>
        <v/>
      </c>
      <c r="CY77" s="399">
        <f>-CY30</f>
        <v/>
      </c>
      <c r="CZ77" s="399">
        <f>-CZ30</f>
        <v/>
      </c>
      <c r="DA77" s="399">
        <f>-DA30</f>
        <v/>
      </c>
      <c r="DB77" s="399">
        <f>-DB30</f>
        <v/>
      </c>
      <c r="DC77" s="399">
        <f>-DC30</f>
        <v/>
      </c>
      <c r="DD77" s="399">
        <f>-DD30</f>
        <v/>
      </c>
      <c r="DE77" s="399">
        <f>-DE30</f>
        <v/>
      </c>
    </row>
    <row r="78" hidden="1" outlineLevel="1" ht="15" customFormat="1" customHeight="1" s="380">
      <c r="A78" s="407" t="inlineStr">
        <is>
          <t>BD-06</t>
        </is>
      </c>
      <c r="B78" s="399" t="n">
        <v>0</v>
      </c>
      <c r="C78" s="399" t="n">
        <v>0</v>
      </c>
      <c r="D78" s="399" t="n">
        <v>0</v>
      </c>
      <c r="E78" s="399" t="n">
        <v>0</v>
      </c>
      <c r="F78" s="399">
        <f>-F31</f>
        <v/>
      </c>
      <c r="G78" s="399">
        <f>-G31</f>
        <v/>
      </c>
      <c r="H78" s="399">
        <f>-H31</f>
        <v/>
      </c>
      <c r="I78" s="399">
        <f>-I31</f>
        <v/>
      </c>
      <c r="J78" s="399">
        <f>-J31</f>
        <v/>
      </c>
      <c r="K78" s="399">
        <f>-K31</f>
        <v/>
      </c>
      <c r="L78" s="399">
        <f>-L31</f>
        <v/>
      </c>
      <c r="M78" s="399">
        <f>-M31</f>
        <v/>
      </c>
      <c r="N78" s="399">
        <f>-N31</f>
        <v/>
      </c>
      <c r="O78" s="399">
        <f>-O31</f>
        <v/>
      </c>
      <c r="P78" s="399">
        <f>-P31</f>
        <v/>
      </c>
      <c r="Q78" s="399">
        <f>-Q31</f>
        <v/>
      </c>
      <c r="R78" s="399">
        <f>-R31</f>
        <v/>
      </c>
      <c r="S78" s="399">
        <f>-S31</f>
        <v/>
      </c>
      <c r="T78" s="399">
        <f>-T31</f>
        <v/>
      </c>
      <c r="U78" s="399">
        <f>-U31</f>
        <v/>
      </c>
      <c r="V78" s="399">
        <f>-V31</f>
        <v/>
      </c>
      <c r="W78" s="399">
        <f>-W31</f>
        <v/>
      </c>
      <c r="X78" s="399">
        <f>-X31</f>
        <v/>
      </c>
      <c r="Y78" s="399">
        <f>-Y31</f>
        <v/>
      </c>
      <c r="Z78" s="399">
        <f>-Z31</f>
        <v/>
      </c>
      <c r="AA78" s="399">
        <f>-AA31</f>
        <v/>
      </c>
      <c r="AB78" s="399">
        <f>-AB31</f>
        <v/>
      </c>
      <c r="AC78" s="399">
        <f>-AC31</f>
        <v/>
      </c>
      <c r="AD78" s="399">
        <f>-AD31</f>
        <v/>
      </c>
      <c r="AE78" s="399">
        <f>-AE31</f>
        <v/>
      </c>
      <c r="AF78" s="399">
        <f>-AF31</f>
        <v/>
      </c>
      <c r="AG78" s="399">
        <f>-AG31</f>
        <v/>
      </c>
      <c r="AH78" s="399">
        <f>-AH31</f>
        <v/>
      </c>
      <c r="AI78" s="399">
        <f>-AI31</f>
        <v/>
      </c>
      <c r="AJ78" s="399">
        <f>-AJ31</f>
        <v/>
      </c>
      <c r="AK78" s="399">
        <f>-AK31</f>
        <v/>
      </c>
      <c r="AL78" s="399">
        <f>-AL31</f>
        <v/>
      </c>
      <c r="AM78" s="399">
        <f>-AM31</f>
        <v/>
      </c>
      <c r="AN78" s="399">
        <f>-AN31</f>
        <v/>
      </c>
      <c r="AO78" s="399">
        <f>-AO31</f>
        <v/>
      </c>
      <c r="AP78" s="399">
        <f>-AP31</f>
        <v/>
      </c>
      <c r="AQ78" s="399">
        <f>-AQ31</f>
        <v/>
      </c>
      <c r="AR78" s="399">
        <f>-AR31</f>
        <v/>
      </c>
      <c r="AS78" s="399">
        <f>-AS31</f>
        <v/>
      </c>
      <c r="AT78" s="399">
        <f>-AT31</f>
        <v/>
      </c>
      <c r="AU78" s="399">
        <f>-AU31</f>
        <v/>
      </c>
      <c r="AV78" s="399">
        <f>-AV31</f>
        <v/>
      </c>
      <c r="AW78" s="399">
        <f>-AW31</f>
        <v/>
      </c>
      <c r="AX78" s="399">
        <f>-AX31</f>
        <v/>
      </c>
      <c r="AY78" s="399">
        <f>-AY31</f>
        <v/>
      </c>
      <c r="AZ78" s="399">
        <f>-AZ31</f>
        <v/>
      </c>
      <c r="BA78" s="399">
        <f>-BA31</f>
        <v/>
      </c>
      <c r="BB78" s="399">
        <f>-BB31</f>
        <v/>
      </c>
      <c r="BC78" s="399">
        <f>-BC31</f>
        <v/>
      </c>
      <c r="BD78" s="399">
        <f>-BD31</f>
        <v/>
      </c>
      <c r="BE78" s="399">
        <f>-BE31</f>
        <v/>
      </c>
      <c r="BF78" s="399">
        <f>-BF31</f>
        <v/>
      </c>
      <c r="BG78" s="399">
        <f>-BG31</f>
        <v/>
      </c>
      <c r="BH78" s="399">
        <f>-BH31</f>
        <v/>
      </c>
      <c r="BI78" s="399">
        <f>-BI31</f>
        <v/>
      </c>
      <c r="BJ78" s="399">
        <f>-BJ31</f>
        <v/>
      </c>
      <c r="BK78" s="399">
        <f>-BK31</f>
        <v/>
      </c>
      <c r="BL78" s="399">
        <f>-BL31</f>
        <v/>
      </c>
      <c r="BM78" s="399">
        <f>-BM31</f>
        <v/>
      </c>
      <c r="BN78" s="399">
        <f>-BN31</f>
        <v/>
      </c>
      <c r="BO78" s="399">
        <f>-BO31</f>
        <v/>
      </c>
      <c r="BP78" s="399">
        <f>-BP31</f>
        <v/>
      </c>
      <c r="BQ78" s="399">
        <f>-BQ31</f>
        <v/>
      </c>
      <c r="BR78" s="399">
        <f>-BR31</f>
        <v/>
      </c>
      <c r="BS78" s="399">
        <f>-BS31</f>
        <v/>
      </c>
      <c r="BT78" s="399">
        <f>-BT31</f>
        <v/>
      </c>
      <c r="BU78" s="399">
        <f>-BU31</f>
        <v/>
      </c>
      <c r="BV78" s="399">
        <f>-BV31</f>
        <v/>
      </c>
      <c r="BW78" s="399">
        <f>-BW31</f>
        <v/>
      </c>
      <c r="BX78" s="399">
        <f>-BX31</f>
        <v/>
      </c>
      <c r="BY78" s="399">
        <f>-BY31</f>
        <v/>
      </c>
      <c r="BZ78" s="399">
        <f>-BZ31</f>
        <v/>
      </c>
      <c r="CA78" s="399">
        <f>-CA31</f>
        <v/>
      </c>
      <c r="CB78" s="399">
        <f>-CB31</f>
        <v/>
      </c>
      <c r="CC78" s="399">
        <f>-CC31</f>
        <v/>
      </c>
      <c r="CD78" s="399">
        <f>-CD31</f>
        <v/>
      </c>
      <c r="CE78" s="399">
        <f>-CE31</f>
        <v/>
      </c>
      <c r="CF78" s="399">
        <f>-CF31</f>
        <v/>
      </c>
      <c r="CG78" s="399">
        <f>-CG31</f>
        <v/>
      </c>
      <c r="CH78" s="399">
        <f>-CH31</f>
        <v/>
      </c>
      <c r="CI78" s="399">
        <f>-CI31</f>
        <v/>
      </c>
      <c r="CJ78" s="399">
        <f>-CJ31</f>
        <v/>
      </c>
      <c r="CK78" s="399">
        <f>-CK31</f>
        <v/>
      </c>
      <c r="CL78" s="399">
        <f>-CL31</f>
        <v/>
      </c>
      <c r="CM78" s="399">
        <f>-CM31</f>
        <v/>
      </c>
      <c r="CN78" s="399">
        <f>-CN31</f>
        <v/>
      </c>
      <c r="CO78" s="399">
        <f>-CO31</f>
        <v/>
      </c>
      <c r="CP78" s="399">
        <f>-CP31</f>
        <v/>
      </c>
      <c r="CQ78" s="399">
        <f>-CQ31</f>
        <v/>
      </c>
      <c r="CR78" s="399">
        <f>-CR31</f>
        <v/>
      </c>
      <c r="CS78" s="399">
        <f>-CS31</f>
        <v/>
      </c>
      <c r="CT78" s="399">
        <f>-CT31</f>
        <v/>
      </c>
      <c r="CU78" s="399">
        <f>-CU31</f>
        <v/>
      </c>
      <c r="CV78" s="399">
        <f>-CV31</f>
        <v/>
      </c>
      <c r="CW78" s="399">
        <f>-CW31</f>
        <v/>
      </c>
      <c r="CX78" s="399">
        <f>-CX31</f>
        <v/>
      </c>
      <c r="CY78" s="399">
        <f>-CY31</f>
        <v/>
      </c>
      <c r="CZ78" s="399">
        <f>-CZ31</f>
        <v/>
      </c>
      <c r="DA78" s="399">
        <f>-DA31</f>
        <v/>
      </c>
      <c r="DB78" s="399">
        <f>-DB31</f>
        <v/>
      </c>
      <c r="DC78" s="399">
        <f>-DC31</f>
        <v/>
      </c>
      <c r="DD78" s="399">
        <f>-DD31</f>
        <v/>
      </c>
      <c r="DE78" s="399">
        <f>-DE31</f>
        <v/>
      </c>
    </row>
    <row r="79" hidden="1" outlineLevel="1" ht="15" customFormat="1" customHeight="1" s="380">
      <c r="A79" s="407" t="inlineStr">
        <is>
          <t>BD-07</t>
        </is>
      </c>
      <c r="B79" s="399" t="n">
        <v>0</v>
      </c>
      <c r="C79" s="399" t="n">
        <v>0</v>
      </c>
      <c r="D79" s="399" t="n">
        <v>0</v>
      </c>
      <c r="E79" s="399" t="n">
        <v>0</v>
      </c>
      <c r="F79" s="399">
        <f>-F32</f>
        <v/>
      </c>
      <c r="G79" s="399">
        <f>-G32</f>
        <v/>
      </c>
      <c r="H79" s="399">
        <f>-H32</f>
        <v/>
      </c>
      <c r="I79" s="399">
        <f>-I32</f>
        <v/>
      </c>
      <c r="J79" s="399">
        <f>-J32</f>
        <v/>
      </c>
      <c r="K79" s="399">
        <f>-K32</f>
        <v/>
      </c>
      <c r="L79" s="399">
        <f>-L32</f>
        <v/>
      </c>
      <c r="M79" s="399">
        <f>-M32</f>
        <v/>
      </c>
      <c r="N79" s="399">
        <f>-N32</f>
        <v/>
      </c>
      <c r="O79" s="399">
        <f>-O32</f>
        <v/>
      </c>
      <c r="P79" s="399">
        <f>-P32</f>
        <v/>
      </c>
      <c r="Q79" s="399">
        <f>-Q32</f>
        <v/>
      </c>
      <c r="R79" s="399">
        <f>-R32</f>
        <v/>
      </c>
      <c r="S79" s="399">
        <f>-S32</f>
        <v/>
      </c>
      <c r="T79" s="399">
        <f>-T32</f>
        <v/>
      </c>
      <c r="U79" s="399">
        <f>-U32</f>
        <v/>
      </c>
      <c r="V79" s="399">
        <f>-V32</f>
        <v/>
      </c>
      <c r="W79" s="399">
        <f>-W32</f>
        <v/>
      </c>
      <c r="X79" s="399">
        <f>-X32</f>
        <v/>
      </c>
      <c r="Y79" s="399">
        <f>-Y32</f>
        <v/>
      </c>
      <c r="Z79" s="399">
        <f>-Z32</f>
        <v/>
      </c>
      <c r="AA79" s="399">
        <f>-AA32</f>
        <v/>
      </c>
      <c r="AB79" s="399">
        <f>-AB32</f>
        <v/>
      </c>
      <c r="AC79" s="399">
        <f>-AC32</f>
        <v/>
      </c>
      <c r="AD79" s="399">
        <f>-AD32</f>
        <v/>
      </c>
      <c r="AE79" s="399">
        <f>-AE32</f>
        <v/>
      </c>
      <c r="AF79" s="399">
        <f>-AF32</f>
        <v/>
      </c>
      <c r="AG79" s="399">
        <f>-AG32</f>
        <v/>
      </c>
      <c r="AH79" s="399">
        <f>-AH32</f>
        <v/>
      </c>
      <c r="AI79" s="399">
        <f>-AI32</f>
        <v/>
      </c>
      <c r="AJ79" s="399">
        <f>-AJ32</f>
        <v/>
      </c>
      <c r="AK79" s="399">
        <f>-AK32</f>
        <v/>
      </c>
      <c r="AL79" s="399">
        <f>-AL32</f>
        <v/>
      </c>
      <c r="AM79" s="399">
        <f>-AM32</f>
        <v/>
      </c>
      <c r="AN79" s="399">
        <f>-AN32</f>
        <v/>
      </c>
      <c r="AO79" s="399">
        <f>-AO32</f>
        <v/>
      </c>
      <c r="AP79" s="399">
        <f>-AP32</f>
        <v/>
      </c>
      <c r="AQ79" s="399">
        <f>-AQ32</f>
        <v/>
      </c>
      <c r="AR79" s="399">
        <f>-AR32</f>
        <v/>
      </c>
      <c r="AS79" s="399">
        <f>-AS32</f>
        <v/>
      </c>
      <c r="AT79" s="399">
        <f>-AT32</f>
        <v/>
      </c>
      <c r="AU79" s="399">
        <f>-AU32</f>
        <v/>
      </c>
      <c r="AV79" s="399">
        <f>-AV32</f>
        <v/>
      </c>
      <c r="AW79" s="399">
        <f>-AW32</f>
        <v/>
      </c>
      <c r="AX79" s="399">
        <f>-AX32</f>
        <v/>
      </c>
      <c r="AY79" s="399">
        <f>-AY32</f>
        <v/>
      </c>
      <c r="AZ79" s="399">
        <f>-AZ32</f>
        <v/>
      </c>
      <c r="BA79" s="399">
        <f>-BA32</f>
        <v/>
      </c>
      <c r="BB79" s="399">
        <f>-BB32</f>
        <v/>
      </c>
      <c r="BC79" s="399">
        <f>-BC32</f>
        <v/>
      </c>
      <c r="BD79" s="399">
        <f>-BD32</f>
        <v/>
      </c>
      <c r="BE79" s="399">
        <f>-BE32</f>
        <v/>
      </c>
      <c r="BF79" s="399">
        <f>-BF32</f>
        <v/>
      </c>
      <c r="BG79" s="399">
        <f>-BG32</f>
        <v/>
      </c>
      <c r="BH79" s="399">
        <f>-BH32</f>
        <v/>
      </c>
      <c r="BI79" s="399">
        <f>-BI32</f>
        <v/>
      </c>
      <c r="BJ79" s="399">
        <f>-BJ32</f>
        <v/>
      </c>
      <c r="BK79" s="399">
        <f>-BK32</f>
        <v/>
      </c>
      <c r="BL79" s="399">
        <f>-BL32</f>
        <v/>
      </c>
      <c r="BM79" s="399">
        <f>-BM32</f>
        <v/>
      </c>
      <c r="BN79" s="399">
        <f>-BN32</f>
        <v/>
      </c>
      <c r="BO79" s="399">
        <f>-BO32</f>
        <v/>
      </c>
      <c r="BP79" s="399">
        <f>-BP32</f>
        <v/>
      </c>
      <c r="BQ79" s="399">
        <f>-BQ32</f>
        <v/>
      </c>
      <c r="BR79" s="399">
        <f>-BR32</f>
        <v/>
      </c>
      <c r="BS79" s="399">
        <f>-BS32</f>
        <v/>
      </c>
      <c r="BT79" s="399">
        <f>-BT32</f>
        <v/>
      </c>
      <c r="BU79" s="399">
        <f>-BU32</f>
        <v/>
      </c>
      <c r="BV79" s="399">
        <f>-BV32</f>
        <v/>
      </c>
      <c r="BW79" s="399">
        <f>-BW32</f>
        <v/>
      </c>
      <c r="BX79" s="399">
        <f>-BX32</f>
        <v/>
      </c>
      <c r="BY79" s="399">
        <f>-BY32</f>
        <v/>
      </c>
      <c r="BZ79" s="399">
        <f>-BZ32</f>
        <v/>
      </c>
      <c r="CA79" s="399">
        <f>-CA32</f>
        <v/>
      </c>
      <c r="CB79" s="399">
        <f>-CB32</f>
        <v/>
      </c>
      <c r="CC79" s="399">
        <f>-CC32</f>
        <v/>
      </c>
      <c r="CD79" s="399">
        <f>-CD32</f>
        <v/>
      </c>
      <c r="CE79" s="399">
        <f>-CE32</f>
        <v/>
      </c>
      <c r="CF79" s="399">
        <f>-CF32</f>
        <v/>
      </c>
      <c r="CG79" s="399">
        <f>-CG32</f>
        <v/>
      </c>
      <c r="CH79" s="399">
        <f>-CH32</f>
        <v/>
      </c>
      <c r="CI79" s="399">
        <f>-CI32</f>
        <v/>
      </c>
      <c r="CJ79" s="399">
        <f>-CJ32</f>
        <v/>
      </c>
      <c r="CK79" s="399">
        <f>-CK32</f>
        <v/>
      </c>
      <c r="CL79" s="399">
        <f>-CL32</f>
        <v/>
      </c>
      <c r="CM79" s="399">
        <f>-CM32</f>
        <v/>
      </c>
      <c r="CN79" s="399">
        <f>-CN32</f>
        <v/>
      </c>
      <c r="CO79" s="399">
        <f>-CO32</f>
        <v/>
      </c>
      <c r="CP79" s="399">
        <f>-CP32</f>
        <v/>
      </c>
      <c r="CQ79" s="399">
        <f>-CQ32</f>
        <v/>
      </c>
      <c r="CR79" s="399">
        <f>-CR32</f>
        <v/>
      </c>
      <c r="CS79" s="399">
        <f>-CS32</f>
        <v/>
      </c>
      <c r="CT79" s="399">
        <f>-CT32</f>
        <v/>
      </c>
      <c r="CU79" s="399">
        <f>-CU32</f>
        <v/>
      </c>
      <c r="CV79" s="399">
        <f>-CV32</f>
        <v/>
      </c>
      <c r="CW79" s="399">
        <f>-CW32</f>
        <v/>
      </c>
      <c r="CX79" s="399">
        <f>-CX32</f>
        <v/>
      </c>
      <c r="CY79" s="399">
        <f>-CY32</f>
        <v/>
      </c>
      <c r="CZ79" s="399">
        <f>-CZ32</f>
        <v/>
      </c>
      <c r="DA79" s="399">
        <f>-DA32</f>
        <v/>
      </c>
      <c r="DB79" s="399">
        <f>-DB32</f>
        <v/>
      </c>
      <c r="DC79" s="399">
        <f>-DC32</f>
        <v/>
      </c>
      <c r="DD79" s="399">
        <f>-DD32</f>
        <v/>
      </c>
      <c r="DE79" s="399">
        <f>-DE32</f>
        <v/>
      </c>
    </row>
    <row r="80" hidden="1" outlineLevel="1" ht="15" customFormat="1" customHeight="1" s="380">
      <c r="A80" s="407" t="inlineStr">
        <is>
          <t>BD-08</t>
        </is>
      </c>
      <c r="B80" s="399" t="n">
        <v>0</v>
      </c>
      <c r="C80" s="399" t="n">
        <v>0</v>
      </c>
      <c r="D80" s="399" t="n">
        <v>0</v>
      </c>
      <c r="E80" s="399" t="n">
        <v>0</v>
      </c>
      <c r="F80" s="399">
        <f>-F33</f>
        <v/>
      </c>
      <c r="G80" s="399">
        <f>-G33</f>
        <v/>
      </c>
      <c r="H80" s="399">
        <f>-H33</f>
        <v/>
      </c>
      <c r="I80" s="399">
        <f>-I33</f>
        <v/>
      </c>
      <c r="J80" s="399">
        <f>-J33</f>
        <v/>
      </c>
      <c r="K80" s="399">
        <f>-K33</f>
        <v/>
      </c>
      <c r="L80" s="399">
        <f>-L33</f>
        <v/>
      </c>
      <c r="M80" s="399">
        <f>-M33</f>
        <v/>
      </c>
      <c r="N80" s="399">
        <f>-N33</f>
        <v/>
      </c>
      <c r="O80" s="399">
        <f>-O33</f>
        <v/>
      </c>
      <c r="P80" s="399">
        <f>-P33</f>
        <v/>
      </c>
      <c r="Q80" s="399">
        <f>-Q33</f>
        <v/>
      </c>
      <c r="R80" s="399">
        <f>-R33</f>
        <v/>
      </c>
      <c r="S80" s="399">
        <f>-S33</f>
        <v/>
      </c>
      <c r="T80" s="399">
        <f>-T33</f>
        <v/>
      </c>
      <c r="U80" s="399">
        <f>-U33</f>
        <v/>
      </c>
      <c r="V80" s="399">
        <f>-V33</f>
        <v/>
      </c>
      <c r="W80" s="399">
        <f>-W33</f>
        <v/>
      </c>
      <c r="X80" s="399">
        <f>-X33</f>
        <v/>
      </c>
      <c r="Y80" s="399">
        <f>-Y33</f>
        <v/>
      </c>
      <c r="Z80" s="399">
        <f>-Z33</f>
        <v/>
      </c>
      <c r="AA80" s="399">
        <f>-AA33</f>
        <v/>
      </c>
      <c r="AB80" s="399">
        <f>-AB33</f>
        <v/>
      </c>
      <c r="AC80" s="399">
        <f>-AC33</f>
        <v/>
      </c>
      <c r="AD80" s="399">
        <f>-AD33</f>
        <v/>
      </c>
      <c r="AE80" s="399">
        <f>-AE33</f>
        <v/>
      </c>
      <c r="AF80" s="399">
        <f>-AF33</f>
        <v/>
      </c>
      <c r="AG80" s="399">
        <f>-AG33</f>
        <v/>
      </c>
      <c r="AH80" s="399">
        <f>-AH33</f>
        <v/>
      </c>
      <c r="AI80" s="399">
        <f>-AI33</f>
        <v/>
      </c>
      <c r="AJ80" s="399">
        <f>-AJ33</f>
        <v/>
      </c>
      <c r="AK80" s="399">
        <f>-AK33</f>
        <v/>
      </c>
      <c r="AL80" s="399">
        <f>-AL33</f>
        <v/>
      </c>
      <c r="AM80" s="399">
        <f>-AM33</f>
        <v/>
      </c>
      <c r="AN80" s="399">
        <f>-AN33</f>
        <v/>
      </c>
      <c r="AO80" s="399">
        <f>-AO33</f>
        <v/>
      </c>
      <c r="AP80" s="399">
        <f>-AP33</f>
        <v/>
      </c>
      <c r="AQ80" s="399">
        <f>-AQ33</f>
        <v/>
      </c>
      <c r="AR80" s="399">
        <f>-AR33</f>
        <v/>
      </c>
      <c r="AS80" s="399">
        <f>-AS33</f>
        <v/>
      </c>
      <c r="AT80" s="399">
        <f>-AT33</f>
        <v/>
      </c>
      <c r="AU80" s="399">
        <f>-AU33</f>
        <v/>
      </c>
      <c r="AV80" s="399">
        <f>-AV33</f>
        <v/>
      </c>
      <c r="AW80" s="399">
        <f>-AW33</f>
        <v/>
      </c>
      <c r="AX80" s="399">
        <f>-AX33</f>
        <v/>
      </c>
      <c r="AY80" s="399">
        <f>-AY33</f>
        <v/>
      </c>
      <c r="AZ80" s="399">
        <f>-AZ33</f>
        <v/>
      </c>
      <c r="BA80" s="399">
        <f>-BA33</f>
        <v/>
      </c>
      <c r="BB80" s="399">
        <f>-BB33</f>
        <v/>
      </c>
      <c r="BC80" s="399">
        <f>-BC33</f>
        <v/>
      </c>
      <c r="BD80" s="399">
        <f>-BD33</f>
        <v/>
      </c>
      <c r="BE80" s="399">
        <f>-BE33</f>
        <v/>
      </c>
      <c r="BF80" s="399">
        <f>-BF33</f>
        <v/>
      </c>
      <c r="BG80" s="399">
        <f>-BG33</f>
        <v/>
      </c>
      <c r="BH80" s="399">
        <f>-BH33</f>
        <v/>
      </c>
      <c r="BI80" s="399">
        <f>-BI33</f>
        <v/>
      </c>
      <c r="BJ80" s="399">
        <f>-BJ33</f>
        <v/>
      </c>
      <c r="BK80" s="399">
        <f>-BK33</f>
        <v/>
      </c>
      <c r="BL80" s="399">
        <f>-BL33</f>
        <v/>
      </c>
      <c r="BM80" s="399">
        <f>-BM33</f>
        <v/>
      </c>
      <c r="BN80" s="399">
        <f>-BN33</f>
        <v/>
      </c>
      <c r="BO80" s="399">
        <f>-BO33</f>
        <v/>
      </c>
      <c r="BP80" s="399">
        <f>-BP33</f>
        <v/>
      </c>
      <c r="BQ80" s="399">
        <f>-BQ33</f>
        <v/>
      </c>
      <c r="BR80" s="399">
        <f>-BR33</f>
        <v/>
      </c>
      <c r="BS80" s="399">
        <f>-BS33</f>
        <v/>
      </c>
      <c r="BT80" s="399">
        <f>-BT33</f>
        <v/>
      </c>
      <c r="BU80" s="399">
        <f>-BU33</f>
        <v/>
      </c>
      <c r="BV80" s="399">
        <f>-BV33</f>
        <v/>
      </c>
      <c r="BW80" s="399">
        <f>-BW33</f>
        <v/>
      </c>
      <c r="BX80" s="399">
        <f>-BX33</f>
        <v/>
      </c>
      <c r="BY80" s="399">
        <f>-BY33</f>
        <v/>
      </c>
      <c r="BZ80" s="399">
        <f>-BZ33</f>
        <v/>
      </c>
      <c r="CA80" s="399">
        <f>-CA33</f>
        <v/>
      </c>
      <c r="CB80" s="399">
        <f>-CB33</f>
        <v/>
      </c>
      <c r="CC80" s="399">
        <f>-CC33</f>
        <v/>
      </c>
      <c r="CD80" s="399">
        <f>-CD33</f>
        <v/>
      </c>
      <c r="CE80" s="399">
        <f>-CE33</f>
        <v/>
      </c>
      <c r="CF80" s="399">
        <f>-CF33</f>
        <v/>
      </c>
      <c r="CG80" s="399">
        <f>-CG33</f>
        <v/>
      </c>
      <c r="CH80" s="399">
        <f>-CH33</f>
        <v/>
      </c>
      <c r="CI80" s="399">
        <f>-CI33</f>
        <v/>
      </c>
      <c r="CJ80" s="399">
        <f>-CJ33</f>
        <v/>
      </c>
      <c r="CK80" s="399">
        <f>-CK33</f>
        <v/>
      </c>
      <c r="CL80" s="399">
        <f>-CL33</f>
        <v/>
      </c>
      <c r="CM80" s="399">
        <f>-CM33</f>
        <v/>
      </c>
      <c r="CN80" s="399">
        <f>-CN33</f>
        <v/>
      </c>
      <c r="CO80" s="399">
        <f>-CO33</f>
        <v/>
      </c>
      <c r="CP80" s="399">
        <f>-CP33</f>
        <v/>
      </c>
      <c r="CQ80" s="399">
        <f>-CQ33</f>
        <v/>
      </c>
      <c r="CR80" s="399">
        <f>-CR33</f>
        <v/>
      </c>
      <c r="CS80" s="399">
        <f>-CS33</f>
        <v/>
      </c>
      <c r="CT80" s="399">
        <f>-CT33</f>
        <v/>
      </c>
      <c r="CU80" s="399">
        <f>-CU33</f>
        <v/>
      </c>
      <c r="CV80" s="399">
        <f>-CV33</f>
        <v/>
      </c>
      <c r="CW80" s="399">
        <f>-CW33</f>
        <v/>
      </c>
      <c r="CX80" s="399">
        <f>-CX33</f>
        <v/>
      </c>
      <c r="CY80" s="399">
        <f>-CY33</f>
        <v/>
      </c>
      <c r="CZ80" s="399">
        <f>-CZ33</f>
        <v/>
      </c>
      <c r="DA80" s="399">
        <f>-DA33</f>
        <v/>
      </c>
      <c r="DB80" s="399">
        <f>-DB33</f>
        <v/>
      </c>
      <c r="DC80" s="399">
        <f>-DC33</f>
        <v/>
      </c>
      <c r="DD80" s="399">
        <f>-DD33</f>
        <v/>
      </c>
      <c r="DE80" s="399">
        <f>-DE33</f>
        <v/>
      </c>
    </row>
    <row r="81" hidden="1" outlineLevel="1" ht="15" customFormat="1" customHeight="1" s="380">
      <c r="A81" s="407" t="inlineStr">
        <is>
          <t>BD-09</t>
        </is>
      </c>
      <c r="B81" s="399" t="n">
        <v>0</v>
      </c>
      <c r="C81" s="399" t="n">
        <v>0</v>
      </c>
      <c r="D81" s="399" t="n">
        <v>0</v>
      </c>
      <c r="E81" s="399" t="n">
        <v>0</v>
      </c>
      <c r="F81" s="399">
        <f>-F34</f>
        <v/>
      </c>
      <c r="G81" s="399">
        <f>-G34</f>
        <v/>
      </c>
      <c r="H81" s="399">
        <f>-H34</f>
        <v/>
      </c>
      <c r="I81" s="399">
        <f>-I34</f>
        <v/>
      </c>
      <c r="J81" s="399">
        <f>-J34</f>
        <v/>
      </c>
      <c r="K81" s="399">
        <f>-K34</f>
        <v/>
      </c>
      <c r="L81" s="399">
        <f>-L34</f>
        <v/>
      </c>
      <c r="M81" s="399">
        <f>-M34</f>
        <v/>
      </c>
      <c r="N81" s="399">
        <f>-N34</f>
        <v/>
      </c>
      <c r="O81" s="399">
        <f>-O34</f>
        <v/>
      </c>
      <c r="P81" s="399">
        <f>-P34</f>
        <v/>
      </c>
      <c r="Q81" s="399">
        <f>-Q34</f>
        <v/>
      </c>
      <c r="R81" s="399">
        <f>-R34</f>
        <v/>
      </c>
      <c r="S81" s="399">
        <f>-S34</f>
        <v/>
      </c>
      <c r="T81" s="399">
        <f>-T34</f>
        <v/>
      </c>
      <c r="U81" s="399">
        <f>-U34</f>
        <v/>
      </c>
      <c r="V81" s="399">
        <f>-V34</f>
        <v/>
      </c>
      <c r="W81" s="399">
        <f>-W34</f>
        <v/>
      </c>
      <c r="X81" s="399">
        <f>-X34</f>
        <v/>
      </c>
      <c r="Y81" s="399">
        <f>-Y34</f>
        <v/>
      </c>
      <c r="Z81" s="399">
        <f>-Z34</f>
        <v/>
      </c>
      <c r="AA81" s="399">
        <f>-AA34</f>
        <v/>
      </c>
      <c r="AB81" s="399">
        <f>-AB34</f>
        <v/>
      </c>
      <c r="AC81" s="399">
        <f>-AC34</f>
        <v/>
      </c>
      <c r="AD81" s="399">
        <f>-AD34</f>
        <v/>
      </c>
      <c r="AE81" s="399">
        <f>-AE34</f>
        <v/>
      </c>
      <c r="AF81" s="399">
        <f>-AF34</f>
        <v/>
      </c>
      <c r="AG81" s="399">
        <f>-AG34</f>
        <v/>
      </c>
      <c r="AH81" s="399">
        <f>-AH34</f>
        <v/>
      </c>
      <c r="AI81" s="399">
        <f>-AI34</f>
        <v/>
      </c>
      <c r="AJ81" s="399">
        <f>-AJ34</f>
        <v/>
      </c>
      <c r="AK81" s="399">
        <f>-AK34</f>
        <v/>
      </c>
      <c r="AL81" s="399">
        <f>-AL34</f>
        <v/>
      </c>
      <c r="AM81" s="399">
        <f>-AM34</f>
        <v/>
      </c>
      <c r="AN81" s="399">
        <f>-AN34</f>
        <v/>
      </c>
      <c r="AO81" s="399">
        <f>-AO34</f>
        <v/>
      </c>
      <c r="AP81" s="399">
        <f>-AP34</f>
        <v/>
      </c>
      <c r="AQ81" s="399">
        <f>-AQ34</f>
        <v/>
      </c>
      <c r="AR81" s="399">
        <f>-AR34</f>
        <v/>
      </c>
      <c r="AS81" s="399">
        <f>-AS34</f>
        <v/>
      </c>
      <c r="AT81" s="399">
        <f>-AT34</f>
        <v/>
      </c>
      <c r="AU81" s="399">
        <f>-AU34</f>
        <v/>
      </c>
      <c r="AV81" s="399">
        <f>-AV34</f>
        <v/>
      </c>
      <c r="AW81" s="399">
        <f>-AW34</f>
        <v/>
      </c>
      <c r="AX81" s="399">
        <f>-AX34</f>
        <v/>
      </c>
      <c r="AY81" s="399">
        <f>-AY34</f>
        <v/>
      </c>
      <c r="AZ81" s="399">
        <f>-AZ34</f>
        <v/>
      </c>
      <c r="BA81" s="399">
        <f>-BA34</f>
        <v/>
      </c>
      <c r="BB81" s="399">
        <f>-BB34</f>
        <v/>
      </c>
      <c r="BC81" s="399">
        <f>-BC34</f>
        <v/>
      </c>
      <c r="BD81" s="399">
        <f>-BD34</f>
        <v/>
      </c>
      <c r="BE81" s="399">
        <f>-BE34</f>
        <v/>
      </c>
      <c r="BF81" s="399">
        <f>-BF34</f>
        <v/>
      </c>
      <c r="BG81" s="399">
        <f>-BG34</f>
        <v/>
      </c>
      <c r="BH81" s="399">
        <f>-BH34</f>
        <v/>
      </c>
      <c r="BI81" s="399">
        <f>-BI34</f>
        <v/>
      </c>
      <c r="BJ81" s="399">
        <f>-BJ34</f>
        <v/>
      </c>
      <c r="BK81" s="399">
        <f>-BK34</f>
        <v/>
      </c>
      <c r="BL81" s="399">
        <f>-BL34</f>
        <v/>
      </c>
      <c r="BM81" s="399">
        <f>-BM34</f>
        <v/>
      </c>
      <c r="BN81" s="399">
        <f>-BN34</f>
        <v/>
      </c>
      <c r="BO81" s="399">
        <f>-BO34</f>
        <v/>
      </c>
      <c r="BP81" s="399">
        <f>-BP34</f>
        <v/>
      </c>
      <c r="BQ81" s="399">
        <f>-BQ34</f>
        <v/>
      </c>
      <c r="BR81" s="399">
        <f>-BR34</f>
        <v/>
      </c>
      <c r="BS81" s="399">
        <f>-BS34</f>
        <v/>
      </c>
      <c r="BT81" s="399">
        <f>-BT34</f>
        <v/>
      </c>
      <c r="BU81" s="399">
        <f>-BU34</f>
        <v/>
      </c>
      <c r="BV81" s="399">
        <f>-BV34</f>
        <v/>
      </c>
      <c r="BW81" s="399">
        <f>-BW34</f>
        <v/>
      </c>
      <c r="BX81" s="399">
        <f>-BX34</f>
        <v/>
      </c>
      <c r="BY81" s="399">
        <f>-BY34</f>
        <v/>
      </c>
      <c r="BZ81" s="399">
        <f>-BZ34</f>
        <v/>
      </c>
      <c r="CA81" s="399">
        <f>-CA34</f>
        <v/>
      </c>
      <c r="CB81" s="399">
        <f>-CB34</f>
        <v/>
      </c>
      <c r="CC81" s="399">
        <f>-CC34</f>
        <v/>
      </c>
      <c r="CD81" s="399">
        <f>-CD34</f>
        <v/>
      </c>
      <c r="CE81" s="399">
        <f>-CE34</f>
        <v/>
      </c>
      <c r="CF81" s="399">
        <f>-CF34</f>
        <v/>
      </c>
      <c r="CG81" s="399">
        <f>-CG34</f>
        <v/>
      </c>
      <c r="CH81" s="399">
        <f>-CH34</f>
        <v/>
      </c>
      <c r="CI81" s="399">
        <f>-CI34</f>
        <v/>
      </c>
      <c r="CJ81" s="399">
        <f>-CJ34</f>
        <v/>
      </c>
      <c r="CK81" s="399">
        <f>-CK34</f>
        <v/>
      </c>
      <c r="CL81" s="399">
        <f>-CL34</f>
        <v/>
      </c>
      <c r="CM81" s="399">
        <f>-CM34</f>
        <v/>
      </c>
      <c r="CN81" s="399">
        <f>-CN34</f>
        <v/>
      </c>
      <c r="CO81" s="399">
        <f>-CO34</f>
        <v/>
      </c>
      <c r="CP81" s="399">
        <f>-CP34</f>
        <v/>
      </c>
      <c r="CQ81" s="399">
        <f>-CQ34</f>
        <v/>
      </c>
      <c r="CR81" s="399">
        <f>-CR34</f>
        <v/>
      </c>
      <c r="CS81" s="399">
        <f>-CS34</f>
        <v/>
      </c>
      <c r="CT81" s="399">
        <f>-CT34</f>
        <v/>
      </c>
      <c r="CU81" s="399">
        <f>-CU34</f>
        <v/>
      </c>
      <c r="CV81" s="399">
        <f>-CV34</f>
        <v/>
      </c>
      <c r="CW81" s="399">
        <f>-CW34</f>
        <v/>
      </c>
      <c r="CX81" s="399">
        <f>-CX34</f>
        <v/>
      </c>
      <c r="CY81" s="399">
        <f>-CY34</f>
        <v/>
      </c>
      <c r="CZ81" s="399">
        <f>-CZ34</f>
        <v/>
      </c>
      <c r="DA81" s="399">
        <f>-DA34</f>
        <v/>
      </c>
      <c r="DB81" s="399">
        <f>-DB34</f>
        <v/>
      </c>
      <c r="DC81" s="399">
        <f>-DC34</f>
        <v/>
      </c>
      <c r="DD81" s="399">
        <f>-DD34</f>
        <v/>
      </c>
      <c r="DE81" s="399">
        <f>-DE34</f>
        <v/>
      </c>
    </row>
    <row r="82" hidden="1" outlineLevel="1" ht="15" customFormat="1" customHeight="1" s="380">
      <c r="A82" s="407" t="inlineStr">
        <is>
          <t>BD-10</t>
        </is>
      </c>
      <c r="B82" s="399" t="n">
        <v>0</v>
      </c>
      <c r="C82" s="399" t="n">
        <v>0</v>
      </c>
      <c r="D82" s="399" t="n">
        <v>0</v>
      </c>
      <c r="E82" s="399" t="n">
        <v>0</v>
      </c>
      <c r="F82" s="399">
        <f>-F35</f>
        <v/>
      </c>
      <c r="G82" s="399">
        <f>-G35</f>
        <v/>
      </c>
      <c r="H82" s="399">
        <f>-H35</f>
        <v/>
      </c>
      <c r="I82" s="399">
        <f>-I35</f>
        <v/>
      </c>
      <c r="J82" s="399">
        <f>-J35</f>
        <v/>
      </c>
      <c r="K82" s="399">
        <f>-K35</f>
        <v/>
      </c>
      <c r="L82" s="399">
        <f>-L35</f>
        <v/>
      </c>
      <c r="M82" s="399">
        <f>-M35</f>
        <v/>
      </c>
      <c r="N82" s="399">
        <f>-N35</f>
        <v/>
      </c>
      <c r="O82" s="399">
        <f>-O35</f>
        <v/>
      </c>
      <c r="P82" s="399">
        <f>-P35</f>
        <v/>
      </c>
      <c r="Q82" s="399">
        <f>-Q35</f>
        <v/>
      </c>
      <c r="R82" s="399">
        <f>-R35</f>
        <v/>
      </c>
      <c r="S82" s="399">
        <f>-S35</f>
        <v/>
      </c>
      <c r="T82" s="399">
        <f>-T35</f>
        <v/>
      </c>
      <c r="U82" s="399">
        <f>-U35</f>
        <v/>
      </c>
      <c r="V82" s="399">
        <f>-V35</f>
        <v/>
      </c>
      <c r="W82" s="399">
        <f>-W35</f>
        <v/>
      </c>
      <c r="X82" s="399">
        <f>-X35</f>
        <v/>
      </c>
      <c r="Y82" s="399">
        <f>-Y35</f>
        <v/>
      </c>
      <c r="Z82" s="399">
        <f>-Z35</f>
        <v/>
      </c>
      <c r="AA82" s="399">
        <f>-AA35</f>
        <v/>
      </c>
      <c r="AB82" s="399">
        <f>-AB35</f>
        <v/>
      </c>
      <c r="AC82" s="399">
        <f>-AC35</f>
        <v/>
      </c>
      <c r="AD82" s="399">
        <f>-AD35</f>
        <v/>
      </c>
      <c r="AE82" s="399">
        <f>-AE35</f>
        <v/>
      </c>
      <c r="AF82" s="399">
        <f>-AF35</f>
        <v/>
      </c>
      <c r="AG82" s="399">
        <f>-AG35</f>
        <v/>
      </c>
      <c r="AH82" s="399">
        <f>-AH35</f>
        <v/>
      </c>
      <c r="AI82" s="399">
        <f>-AI35</f>
        <v/>
      </c>
      <c r="AJ82" s="399">
        <f>-AJ35</f>
        <v/>
      </c>
      <c r="AK82" s="399">
        <f>-AK35</f>
        <v/>
      </c>
      <c r="AL82" s="399">
        <f>-AL35</f>
        <v/>
      </c>
      <c r="AM82" s="399">
        <f>-AM35</f>
        <v/>
      </c>
      <c r="AN82" s="399">
        <f>-AN35</f>
        <v/>
      </c>
      <c r="AO82" s="399">
        <f>-AO35</f>
        <v/>
      </c>
      <c r="AP82" s="399">
        <f>-AP35</f>
        <v/>
      </c>
      <c r="AQ82" s="399">
        <f>-AQ35</f>
        <v/>
      </c>
      <c r="AR82" s="399">
        <f>-AR35</f>
        <v/>
      </c>
      <c r="AS82" s="399">
        <f>-AS35</f>
        <v/>
      </c>
      <c r="AT82" s="399">
        <f>-AT35</f>
        <v/>
      </c>
      <c r="AU82" s="399">
        <f>-AU35</f>
        <v/>
      </c>
      <c r="AV82" s="399">
        <f>-AV35</f>
        <v/>
      </c>
      <c r="AW82" s="399">
        <f>-AW35</f>
        <v/>
      </c>
      <c r="AX82" s="399">
        <f>-AX35</f>
        <v/>
      </c>
      <c r="AY82" s="399">
        <f>-AY35</f>
        <v/>
      </c>
      <c r="AZ82" s="399">
        <f>-AZ35</f>
        <v/>
      </c>
      <c r="BA82" s="399">
        <f>-BA35</f>
        <v/>
      </c>
      <c r="BB82" s="399">
        <f>-BB35</f>
        <v/>
      </c>
      <c r="BC82" s="399">
        <f>-BC35</f>
        <v/>
      </c>
      <c r="BD82" s="399">
        <f>-BD35</f>
        <v/>
      </c>
      <c r="BE82" s="399">
        <f>-BE35</f>
        <v/>
      </c>
      <c r="BF82" s="399">
        <f>-BF35</f>
        <v/>
      </c>
      <c r="BG82" s="399">
        <f>-BG35</f>
        <v/>
      </c>
      <c r="BH82" s="399">
        <f>-BH35</f>
        <v/>
      </c>
      <c r="BI82" s="399">
        <f>-BI35</f>
        <v/>
      </c>
      <c r="BJ82" s="399">
        <f>-BJ35</f>
        <v/>
      </c>
      <c r="BK82" s="399">
        <f>-BK35</f>
        <v/>
      </c>
      <c r="BL82" s="399">
        <f>-BL35</f>
        <v/>
      </c>
      <c r="BM82" s="399">
        <f>-BM35</f>
        <v/>
      </c>
      <c r="BN82" s="399">
        <f>-BN35</f>
        <v/>
      </c>
      <c r="BO82" s="399">
        <f>-BO35</f>
        <v/>
      </c>
      <c r="BP82" s="399">
        <f>-BP35</f>
        <v/>
      </c>
      <c r="BQ82" s="399">
        <f>-BQ35</f>
        <v/>
      </c>
      <c r="BR82" s="399">
        <f>-BR35</f>
        <v/>
      </c>
      <c r="BS82" s="399">
        <f>-BS35</f>
        <v/>
      </c>
      <c r="BT82" s="399">
        <f>-BT35</f>
        <v/>
      </c>
      <c r="BU82" s="399">
        <f>-BU35</f>
        <v/>
      </c>
      <c r="BV82" s="399">
        <f>-BV35</f>
        <v/>
      </c>
      <c r="BW82" s="399">
        <f>-BW35</f>
        <v/>
      </c>
      <c r="BX82" s="399">
        <f>-BX35</f>
        <v/>
      </c>
      <c r="BY82" s="399">
        <f>-BY35</f>
        <v/>
      </c>
      <c r="BZ82" s="399">
        <f>-BZ35</f>
        <v/>
      </c>
      <c r="CA82" s="399">
        <f>-CA35</f>
        <v/>
      </c>
      <c r="CB82" s="399">
        <f>-CB35</f>
        <v/>
      </c>
      <c r="CC82" s="399">
        <f>-CC35</f>
        <v/>
      </c>
      <c r="CD82" s="399">
        <f>-CD35</f>
        <v/>
      </c>
      <c r="CE82" s="399">
        <f>-CE35</f>
        <v/>
      </c>
      <c r="CF82" s="399">
        <f>-CF35</f>
        <v/>
      </c>
      <c r="CG82" s="399">
        <f>-CG35</f>
        <v/>
      </c>
      <c r="CH82" s="399">
        <f>-CH35</f>
        <v/>
      </c>
      <c r="CI82" s="399">
        <f>-CI35</f>
        <v/>
      </c>
      <c r="CJ82" s="399">
        <f>-CJ35</f>
        <v/>
      </c>
      <c r="CK82" s="399">
        <f>-CK35</f>
        <v/>
      </c>
      <c r="CL82" s="399">
        <f>-CL35</f>
        <v/>
      </c>
      <c r="CM82" s="399">
        <f>-CM35</f>
        <v/>
      </c>
      <c r="CN82" s="399">
        <f>-CN35</f>
        <v/>
      </c>
      <c r="CO82" s="399">
        <f>-CO35</f>
        <v/>
      </c>
      <c r="CP82" s="399">
        <f>-CP35</f>
        <v/>
      </c>
      <c r="CQ82" s="399">
        <f>-CQ35</f>
        <v/>
      </c>
      <c r="CR82" s="399">
        <f>-CR35</f>
        <v/>
      </c>
      <c r="CS82" s="399">
        <f>-CS35</f>
        <v/>
      </c>
      <c r="CT82" s="399">
        <f>-CT35</f>
        <v/>
      </c>
      <c r="CU82" s="399">
        <f>-CU35</f>
        <v/>
      </c>
      <c r="CV82" s="399">
        <f>-CV35</f>
        <v/>
      </c>
      <c r="CW82" s="399">
        <f>-CW35</f>
        <v/>
      </c>
      <c r="CX82" s="399">
        <f>-CX35</f>
        <v/>
      </c>
      <c r="CY82" s="399">
        <f>-CY35</f>
        <v/>
      </c>
      <c r="CZ82" s="399">
        <f>-CZ35</f>
        <v/>
      </c>
      <c r="DA82" s="399">
        <f>-DA35</f>
        <v/>
      </c>
      <c r="DB82" s="399">
        <f>-DB35</f>
        <v/>
      </c>
      <c r="DC82" s="399">
        <f>-DC35</f>
        <v/>
      </c>
      <c r="DD82" s="399">
        <f>-DD35</f>
        <v/>
      </c>
      <c r="DE82" s="399">
        <f>-DE35</f>
        <v/>
      </c>
    </row>
    <row r="83" hidden="1" outlineLevel="1" ht="15" customFormat="1" customHeight="1" s="380">
      <c r="A83" s="407" t="inlineStr">
        <is>
          <t>BD-11</t>
        </is>
      </c>
      <c r="B83" s="399" t="n">
        <v>0</v>
      </c>
      <c r="C83" s="399" t="n">
        <v>0</v>
      </c>
      <c r="D83" s="399" t="n">
        <v>0</v>
      </c>
      <c r="E83" s="399" t="n">
        <v>0</v>
      </c>
      <c r="F83" s="399">
        <f>-F36</f>
        <v/>
      </c>
      <c r="G83" s="399">
        <f>-G36</f>
        <v/>
      </c>
      <c r="H83" s="399">
        <f>-H36</f>
        <v/>
      </c>
      <c r="I83" s="399">
        <f>-I36</f>
        <v/>
      </c>
      <c r="J83" s="399">
        <f>-J36</f>
        <v/>
      </c>
      <c r="K83" s="399">
        <f>-K36</f>
        <v/>
      </c>
      <c r="L83" s="399">
        <f>-L36</f>
        <v/>
      </c>
      <c r="M83" s="399">
        <f>-M36</f>
        <v/>
      </c>
      <c r="N83" s="399">
        <f>-N36</f>
        <v/>
      </c>
      <c r="O83" s="399">
        <f>-O36</f>
        <v/>
      </c>
      <c r="P83" s="399">
        <f>-P36</f>
        <v/>
      </c>
      <c r="Q83" s="399">
        <f>-Q36</f>
        <v/>
      </c>
      <c r="R83" s="399">
        <f>-R36</f>
        <v/>
      </c>
      <c r="S83" s="399">
        <f>-S36</f>
        <v/>
      </c>
      <c r="T83" s="399">
        <f>-T36</f>
        <v/>
      </c>
      <c r="U83" s="399">
        <f>-U36</f>
        <v/>
      </c>
      <c r="V83" s="399">
        <f>-V36</f>
        <v/>
      </c>
      <c r="W83" s="399">
        <f>-W36</f>
        <v/>
      </c>
      <c r="X83" s="399">
        <f>-X36</f>
        <v/>
      </c>
      <c r="Y83" s="399">
        <f>-Y36</f>
        <v/>
      </c>
      <c r="Z83" s="399">
        <f>-Z36</f>
        <v/>
      </c>
      <c r="AA83" s="399">
        <f>-AA36</f>
        <v/>
      </c>
      <c r="AB83" s="399">
        <f>-AB36</f>
        <v/>
      </c>
      <c r="AC83" s="399">
        <f>-AC36</f>
        <v/>
      </c>
      <c r="AD83" s="399">
        <f>-AD36</f>
        <v/>
      </c>
      <c r="AE83" s="399">
        <f>-AE36</f>
        <v/>
      </c>
      <c r="AF83" s="399">
        <f>-AF36</f>
        <v/>
      </c>
      <c r="AG83" s="399">
        <f>-AG36</f>
        <v/>
      </c>
      <c r="AH83" s="399">
        <f>-AH36</f>
        <v/>
      </c>
      <c r="AI83" s="399">
        <f>-AI36</f>
        <v/>
      </c>
      <c r="AJ83" s="399">
        <f>-AJ36</f>
        <v/>
      </c>
      <c r="AK83" s="399">
        <f>-AK36</f>
        <v/>
      </c>
      <c r="AL83" s="399">
        <f>-AL36</f>
        <v/>
      </c>
      <c r="AM83" s="399">
        <f>-AM36</f>
        <v/>
      </c>
      <c r="AN83" s="399">
        <f>-AN36</f>
        <v/>
      </c>
      <c r="AO83" s="399">
        <f>-AO36</f>
        <v/>
      </c>
      <c r="AP83" s="399">
        <f>-AP36</f>
        <v/>
      </c>
      <c r="AQ83" s="399">
        <f>-AQ36</f>
        <v/>
      </c>
      <c r="AR83" s="399">
        <f>-AR36</f>
        <v/>
      </c>
      <c r="AS83" s="399">
        <f>-AS36</f>
        <v/>
      </c>
      <c r="AT83" s="399">
        <f>-AT36</f>
        <v/>
      </c>
      <c r="AU83" s="399">
        <f>-AU36</f>
        <v/>
      </c>
      <c r="AV83" s="399">
        <f>-AV36</f>
        <v/>
      </c>
      <c r="AW83" s="399">
        <f>-AW36</f>
        <v/>
      </c>
      <c r="AX83" s="399">
        <f>-AX36</f>
        <v/>
      </c>
      <c r="AY83" s="399">
        <f>-AY36</f>
        <v/>
      </c>
      <c r="AZ83" s="399">
        <f>-AZ36</f>
        <v/>
      </c>
      <c r="BA83" s="399">
        <f>-BA36</f>
        <v/>
      </c>
      <c r="BB83" s="399">
        <f>-BB36</f>
        <v/>
      </c>
      <c r="BC83" s="399">
        <f>-BC36</f>
        <v/>
      </c>
      <c r="BD83" s="399">
        <f>-BD36</f>
        <v/>
      </c>
      <c r="BE83" s="399">
        <f>-BE36</f>
        <v/>
      </c>
      <c r="BF83" s="399">
        <f>-BF36</f>
        <v/>
      </c>
      <c r="BG83" s="399">
        <f>-BG36</f>
        <v/>
      </c>
      <c r="BH83" s="399">
        <f>-BH36</f>
        <v/>
      </c>
      <c r="BI83" s="399">
        <f>-BI36</f>
        <v/>
      </c>
      <c r="BJ83" s="399">
        <f>-BJ36</f>
        <v/>
      </c>
      <c r="BK83" s="399">
        <f>-BK36</f>
        <v/>
      </c>
      <c r="BL83" s="399">
        <f>-BL36</f>
        <v/>
      </c>
      <c r="BM83" s="399">
        <f>-BM36</f>
        <v/>
      </c>
      <c r="BN83" s="399">
        <f>-BN36</f>
        <v/>
      </c>
      <c r="BO83" s="399">
        <f>-BO36</f>
        <v/>
      </c>
      <c r="BP83" s="399">
        <f>-BP36</f>
        <v/>
      </c>
      <c r="BQ83" s="399">
        <f>-BQ36</f>
        <v/>
      </c>
      <c r="BR83" s="399">
        <f>-BR36</f>
        <v/>
      </c>
      <c r="BS83" s="399">
        <f>-BS36</f>
        <v/>
      </c>
      <c r="BT83" s="399">
        <f>-BT36</f>
        <v/>
      </c>
      <c r="BU83" s="399">
        <f>-BU36</f>
        <v/>
      </c>
      <c r="BV83" s="399">
        <f>-BV36</f>
        <v/>
      </c>
      <c r="BW83" s="399">
        <f>-BW36</f>
        <v/>
      </c>
      <c r="BX83" s="399">
        <f>-BX36</f>
        <v/>
      </c>
      <c r="BY83" s="399">
        <f>-BY36</f>
        <v/>
      </c>
      <c r="BZ83" s="399">
        <f>-BZ36</f>
        <v/>
      </c>
      <c r="CA83" s="399">
        <f>-CA36</f>
        <v/>
      </c>
      <c r="CB83" s="399">
        <f>-CB36</f>
        <v/>
      </c>
      <c r="CC83" s="399">
        <f>-CC36</f>
        <v/>
      </c>
      <c r="CD83" s="399">
        <f>-CD36</f>
        <v/>
      </c>
      <c r="CE83" s="399">
        <f>-CE36</f>
        <v/>
      </c>
      <c r="CF83" s="399">
        <f>-CF36</f>
        <v/>
      </c>
      <c r="CG83" s="399">
        <f>-CG36</f>
        <v/>
      </c>
      <c r="CH83" s="399">
        <f>-CH36</f>
        <v/>
      </c>
      <c r="CI83" s="399">
        <f>-CI36</f>
        <v/>
      </c>
      <c r="CJ83" s="399">
        <f>-CJ36</f>
        <v/>
      </c>
      <c r="CK83" s="399">
        <f>-CK36</f>
        <v/>
      </c>
      <c r="CL83" s="399">
        <f>-CL36</f>
        <v/>
      </c>
      <c r="CM83" s="399">
        <f>-CM36</f>
        <v/>
      </c>
      <c r="CN83" s="399">
        <f>-CN36</f>
        <v/>
      </c>
      <c r="CO83" s="399">
        <f>-CO36</f>
        <v/>
      </c>
      <c r="CP83" s="399">
        <f>-CP36</f>
        <v/>
      </c>
      <c r="CQ83" s="399">
        <f>-CQ36</f>
        <v/>
      </c>
      <c r="CR83" s="399">
        <f>-CR36</f>
        <v/>
      </c>
      <c r="CS83" s="399">
        <f>-CS36</f>
        <v/>
      </c>
      <c r="CT83" s="399">
        <f>-CT36</f>
        <v/>
      </c>
      <c r="CU83" s="399">
        <f>-CU36</f>
        <v/>
      </c>
      <c r="CV83" s="399">
        <f>-CV36</f>
        <v/>
      </c>
      <c r="CW83" s="399">
        <f>-CW36</f>
        <v/>
      </c>
      <c r="CX83" s="399">
        <f>-CX36</f>
        <v/>
      </c>
      <c r="CY83" s="399">
        <f>-CY36</f>
        <v/>
      </c>
      <c r="CZ83" s="399">
        <f>-CZ36</f>
        <v/>
      </c>
      <c r="DA83" s="399">
        <f>-DA36</f>
        <v/>
      </c>
      <c r="DB83" s="399">
        <f>-DB36</f>
        <v/>
      </c>
      <c r="DC83" s="399">
        <f>-DC36</f>
        <v/>
      </c>
      <c r="DD83" s="399">
        <f>-DD36</f>
        <v/>
      </c>
      <c r="DE83" s="399">
        <f>-DE36</f>
        <v/>
      </c>
    </row>
    <row r="84" hidden="1" outlineLevel="1" ht="15" customFormat="1" customHeight="1" s="380">
      <c r="A84" s="407" t="inlineStr">
        <is>
          <t>BD-12</t>
        </is>
      </c>
      <c r="B84" s="399" t="n">
        <v>0</v>
      </c>
      <c r="C84" s="399" t="n">
        <v>0</v>
      </c>
      <c r="D84" s="399" t="n">
        <v>0</v>
      </c>
      <c r="E84" s="399" t="n">
        <v>0</v>
      </c>
      <c r="F84" s="399">
        <f>-F37</f>
        <v/>
      </c>
      <c r="G84" s="399">
        <f>-G37</f>
        <v/>
      </c>
      <c r="H84" s="399">
        <f>-H37</f>
        <v/>
      </c>
      <c r="I84" s="399">
        <f>-I37</f>
        <v/>
      </c>
      <c r="J84" s="399">
        <f>-J37</f>
        <v/>
      </c>
      <c r="K84" s="399">
        <f>-K37</f>
        <v/>
      </c>
      <c r="L84" s="399">
        <f>-L37</f>
        <v/>
      </c>
      <c r="M84" s="399">
        <f>-M37</f>
        <v/>
      </c>
      <c r="N84" s="399">
        <f>-N37</f>
        <v/>
      </c>
      <c r="O84" s="399">
        <f>-O37</f>
        <v/>
      </c>
      <c r="P84" s="399">
        <f>-P37</f>
        <v/>
      </c>
      <c r="Q84" s="399">
        <f>-Q37</f>
        <v/>
      </c>
      <c r="R84" s="399">
        <f>-R37</f>
        <v/>
      </c>
      <c r="S84" s="399">
        <f>-S37</f>
        <v/>
      </c>
      <c r="T84" s="399">
        <f>-T37</f>
        <v/>
      </c>
      <c r="U84" s="399">
        <f>-U37</f>
        <v/>
      </c>
      <c r="V84" s="399">
        <f>-V37</f>
        <v/>
      </c>
      <c r="W84" s="399">
        <f>-W37</f>
        <v/>
      </c>
      <c r="X84" s="399">
        <f>-X37</f>
        <v/>
      </c>
      <c r="Y84" s="399">
        <f>-Y37</f>
        <v/>
      </c>
      <c r="Z84" s="399">
        <f>-Z37</f>
        <v/>
      </c>
      <c r="AA84" s="399">
        <f>-AA37</f>
        <v/>
      </c>
      <c r="AB84" s="399">
        <f>-AB37</f>
        <v/>
      </c>
      <c r="AC84" s="399">
        <f>-AC37</f>
        <v/>
      </c>
      <c r="AD84" s="399">
        <f>-AD37</f>
        <v/>
      </c>
      <c r="AE84" s="399">
        <f>-AE37</f>
        <v/>
      </c>
      <c r="AF84" s="399">
        <f>-AF37</f>
        <v/>
      </c>
      <c r="AG84" s="399">
        <f>-AG37</f>
        <v/>
      </c>
      <c r="AH84" s="399">
        <f>-AH37</f>
        <v/>
      </c>
      <c r="AI84" s="399">
        <f>-AI37</f>
        <v/>
      </c>
      <c r="AJ84" s="399">
        <f>-AJ37</f>
        <v/>
      </c>
      <c r="AK84" s="399">
        <f>-AK37</f>
        <v/>
      </c>
      <c r="AL84" s="399">
        <f>-AL37</f>
        <v/>
      </c>
      <c r="AM84" s="399">
        <f>-AM37</f>
        <v/>
      </c>
      <c r="AN84" s="399">
        <f>-AN37</f>
        <v/>
      </c>
      <c r="AO84" s="399">
        <f>-AO37</f>
        <v/>
      </c>
      <c r="AP84" s="399">
        <f>-AP37</f>
        <v/>
      </c>
      <c r="AQ84" s="399">
        <f>-AQ37</f>
        <v/>
      </c>
      <c r="AR84" s="399">
        <f>-AR37</f>
        <v/>
      </c>
      <c r="AS84" s="399">
        <f>-AS37</f>
        <v/>
      </c>
      <c r="AT84" s="399">
        <f>-AT37</f>
        <v/>
      </c>
      <c r="AU84" s="399">
        <f>-AU37</f>
        <v/>
      </c>
      <c r="AV84" s="399">
        <f>-AV37</f>
        <v/>
      </c>
      <c r="AW84" s="399">
        <f>-AW37</f>
        <v/>
      </c>
      <c r="AX84" s="399">
        <f>-AX37</f>
        <v/>
      </c>
      <c r="AY84" s="399">
        <f>-AY37</f>
        <v/>
      </c>
      <c r="AZ84" s="399">
        <f>-AZ37</f>
        <v/>
      </c>
      <c r="BA84" s="399">
        <f>-BA37</f>
        <v/>
      </c>
      <c r="BB84" s="399">
        <f>-BB37</f>
        <v/>
      </c>
      <c r="BC84" s="399">
        <f>-BC37</f>
        <v/>
      </c>
      <c r="BD84" s="399">
        <f>-BD37</f>
        <v/>
      </c>
      <c r="BE84" s="399">
        <f>-BE37</f>
        <v/>
      </c>
      <c r="BF84" s="399">
        <f>-BF37</f>
        <v/>
      </c>
      <c r="BG84" s="399">
        <f>-BG37</f>
        <v/>
      </c>
      <c r="BH84" s="399">
        <f>-BH37</f>
        <v/>
      </c>
      <c r="BI84" s="399">
        <f>-BI37</f>
        <v/>
      </c>
      <c r="BJ84" s="399">
        <f>-BJ37</f>
        <v/>
      </c>
      <c r="BK84" s="399">
        <f>-BK37</f>
        <v/>
      </c>
      <c r="BL84" s="399">
        <f>-BL37</f>
        <v/>
      </c>
      <c r="BM84" s="399">
        <f>-BM37</f>
        <v/>
      </c>
      <c r="BN84" s="399">
        <f>-BN37</f>
        <v/>
      </c>
      <c r="BO84" s="399">
        <f>-BO37</f>
        <v/>
      </c>
      <c r="BP84" s="399">
        <f>-BP37</f>
        <v/>
      </c>
      <c r="BQ84" s="399">
        <f>-BQ37</f>
        <v/>
      </c>
      <c r="BR84" s="399">
        <f>-BR37</f>
        <v/>
      </c>
      <c r="BS84" s="399">
        <f>-BS37</f>
        <v/>
      </c>
      <c r="BT84" s="399">
        <f>-BT37</f>
        <v/>
      </c>
      <c r="BU84" s="399">
        <f>-BU37</f>
        <v/>
      </c>
      <c r="BV84" s="399">
        <f>-BV37</f>
        <v/>
      </c>
      <c r="BW84" s="399">
        <f>-BW37</f>
        <v/>
      </c>
      <c r="BX84" s="399">
        <f>-BX37</f>
        <v/>
      </c>
      <c r="BY84" s="399">
        <f>-BY37</f>
        <v/>
      </c>
      <c r="BZ84" s="399">
        <f>-BZ37</f>
        <v/>
      </c>
      <c r="CA84" s="399">
        <f>-CA37</f>
        <v/>
      </c>
      <c r="CB84" s="399">
        <f>-CB37</f>
        <v/>
      </c>
      <c r="CC84" s="399">
        <f>-CC37</f>
        <v/>
      </c>
      <c r="CD84" s="399">
        <f>-CD37</f>
        <v/>
      </c>
      <c r="CE84" s="399">
        <f>-CE37</f>
        <v/>
      </c>
      <c r="CF84" s="399">
        <f>-CF37</f>
        <v/>
      </c>
      <c r="CG84" s="399">
        <f>-CG37</f>
        <v/>
      </c>
      <c r="CH84" s="399">
        <f>-CH37</f>
        <v/>
      </c>
      <c r="CI84" s="399">
        <f>-CI37</f>
        <v/>
      </c>
      <c r="CJ84" s="399">
        <f>-CJ37</f>
        <v/>
      </c>
      <c r="CK84" s="399">
        <f>-CK37</f>
        <v/>
      </c>
      <c r="CL84" s="399">
        <f>-CL37</f>
        <v/>
      </c>
      <c r="CM84" s="399">
        <f>-CM37</f>
        <v/>
      </c>
      <c r="CN84" s="399">
        <f>-CN37</f>
        <v/>
      </c>
      <c r="CO84" s="399">
        <f>-CO37</f>
        <v/>
      </c>
      <c r="CP84" s="399">
        <f>-CP37</f>
        <v/>
      </c>
      <c r="CQ84" s="399">
        <f>-CQ37</f>
        <v/>
      </c>
      <c r="CR84" s="399">
        <f>-CR37</f>
        <v/>
      </c>
      <c r="CS84" s="399">
        <f>-CS37</f>
        <v/>
      </c>
      <c r="CT84" s="399">
        <f>-CT37</f>
        <v/>
      </c>
      <c r="CU84" s="399">
        <f>-CU37</f>
        <v/>
      </c>
      <c r="CV84" s="399">
        <f>-CV37</f>
        <v/>
      </c>
      <c r="CW84" s="399">
        <f>-CW37</f>
        <v/>
      </c>
      <c r="CX84" s="399">
        <f>-CX37</f>
        <v/>
      </c>
      <c r="CY84" s="399">
        <f>-CY37</f>
        <v/>
      </c>
      <c r="CZ84" s="399">
        <f>-CZ37</f>
        <v/>
      </c>
      <c r="DA84" s="399">
        <f>-DA37</f>
        <v/>
      </c>
      <c r="DB84" s="399">
        <f>-DB37</f>
        <v/>
      </c>
      <c r="DC84" s="399">
        <f>-DC37</f>
        <v/>
      </c>
      <c r="DD84" s="399">
        <f>-DD37</f>
        <v/>
      </c>
      <c r="DE84" s="399">
        <f>-DE37</f>
        <v/>
      </c>
    </row>
    <row r="85" hidden="1" outlineLevel="1" ht="15" customFormat="1" customHeight="1" s="380">
      <c r="A85" s="407" t="inlineStr">
        <is>
          <t>BD-13</t>
        </is>
      </c>
      <c r="B85" s="399" t="n">
        <v>0</v>
      </c>
      <c r="C85" s="399" t="n">
        <v>0</v>
      </c>
      <c r="D85" s="399" t="n">
        <v>0</v>
      </c>
      <c r="E85" s="399" t="n">
        <v>0</v>
      </c>
      <c r="F85" s="399">
        <f>-F38</f>
        <v/>
      </c>
      <c r="G85" s="399">
        <f>-G38</f>
        <v/>
      </c>
      <c r="H85" s="399">
        <f>-H38</f>
        <v/>
      </c>
      <c r="I85" s="399">
        <f>-I38</f>
        <v/>
      </c>
      <c r="J85" s="399">
        <f>-J38</f>
        <v/>
      </c>
      <c r="K85" s="399">
        <f>-K38</f>
        <v/>
      </c>
      <c r="L85" s="399">
        <f>-L38</f>
        <v/>
      </c>
      <c r="M85" s="399">
        <f>-M38</f>
        <v/>
      </c>
      <c r="N85" s="399">
        <f>-N38</f>
        <v/>
      </c>
      <c r="O85" s="399">
        <f>-O38</f>
        <v/>
      </c>
      <c r="P85" s="399">
        <f>-P38</f>
        <v/>
      </c>
      <c r="Q85" s="399">
        <f>-Q38</f>
        <v/>
      </c>
      <c r="R85" s="399">
        <f>-R38</f>
        <v/>
      </c>
      <c r="S85" s="399">
        <f>-S38</f>
        <v/>
      </c>
      <c r="T85" s="399">
        <f>-T38</f>
        <v/>
      </c>
      <c r="U85" s="399">
        <f>-U38</f>
        <v/>
      </c>
      <c r="V85" s="399">
        <f>-V38</f>
        <v/>
      </c>
      <c r="W85" s="399">
        <f>-W38</f>
        <v/>
      </c>
      <c r="X85" s="399">
        <f>-X38</f>
        <v/>
      </c>
      <c r="Y85" s="399">
        <f>-Y38</f>
        <v/>
      </c>
      <c r="Z85" s="399">
        <f>-Z38</f>
        <v/>
      </c>
      <c r="AA85" s="399">
        <f>-AA38</f>
        <v/>
      </c>
      <c r="AB85" s="399">
        <f>-AB38</f>
        <v/>
      </c>
      <c r="AC85" s="399">
        <f>-AC38</f>
        <v/>
      </c>
      <c r="AD85" s="399">
        <f>-AD38</f>
        <v/>
      </c>
      <c r="AE85" s="399">
        <f>-AE38</f>
        <v/>
      </c>
      <c r="AF85" s="399">
        <f>-AF38</f>
        <v/>
      </c>
      <c r="AG85" s="399">
        <f>-AG38</f>
        <v/>
      </c>
      <c r="AH85" s="399">
        <f>-AH38</f>
        <v/>
      </c>
      <c r="AI85" s="399">
        <f>-AI38</f>
        <v/>
      </c>
      <c r="AJ85" s="399">
        <f>-AJ38</f>
        <v/>
      </c>
      <c r="AK85" s="399">
        <f>-AK38</f>
        <v/>
      </c>
      <c r="AL85" s="399">
        <f>-AL38</f>
        <v/>
      </c>
      <c r="AM85" s="399">
        <f>-AM38</f>
        <v/>
      </c>
      <c r="AN85" s="399">
        <f>-AN38</f>
        <v/>
      </c>
      <c r="AO85" s="399">
        <f>-AO38</f>
        <v/>
      </c>
      <c r="AP85" s="399">
        <f>-AP38</f>
        <v/>
      </c>
      <c r="AQ85" s="399">
        <f>-AQ38</f>
        <v/>
      </c>
      <c r="AR85" s="399">
        <f>-AR38</f>
        <v/>
      </c>
      <c r="AS85" s="399">
        <f>-AS38</f>
        <v/>
      </c>
      <c r="AT85" s="399">
        <f>-AT38</f>
        <v/>
      </c>
      <c r="AU85" s="399">
        <f>-AU38</f>
        <v/>
      </c>
      <c r="AV85" s="399">
        <f>-AV38</f>
        <v/>
      </c>
      <c r="AW85" s="399">
        <f>-AW38</f>
        <v/>
      </c>
      <c r="AX85" s="399">
        <f>-AX38</f>
        <v/>
      </c>
      <c r="AY85" s="399">
        <f>-AY38</f>
        <v/>
      </c>
      <c r="AZ85" s="399">
        <f>-AZ38</f>
        <v/>
      </c>
      <c r="BA85" s="399">
        <f>-BA38</f>
        <v/>
      </c>
      <c r="BB85" s="399">
        <f>-BB38</f>
        <v/>
      </c>
      <c r="BC85" s="399">
        <f>-BC38</f>
        <v/>
      </c>
      <c r="BD85" s="399">
        <f>-BD38</f>
        <v/>
      </c>
      <c r="BE85" s="399">
        <f>-BE38</f>
        <v/>
      </c>
      <c r="BF85" s="399">
        <f>-BF38</f>
        <v/>
      </c>
      <c r="BG85" s="399">
        <f>-BG38</f>
        <v/>
      </c>
      <c r="BH85" s="399">
        <f>-BH38</f>
        <v/>
      </c>
      <c r="BI85" s="399">
        <f>-BI38</f>
        <v/>
      </c>
      <c r="BJ85" s="399">
        <f>-BJ38</f>
        <v/>
      </c>
      <c r="BK85" s="399">
        <f>-BK38</f>
        <v/>
      </c>
      <c r="BL85" s="399">
        <f>-BL38</f>
        <v/>
      </c>
      <c r="BM85" s="399">
        <f>-BM38</f>
        <v/>
      </c>
      <c r="BN85" s="399">
        <f>-BN38</f>
        <v/>
      </c>
      <c r="BO85" s="399">
        <f>-BO38</f>
        <v/>
      </c>
      <c r="BP85" s="399">
        <f>-BP38</f>
        <v/>
      </c>
      <c r="BQ85" s="399">
        <f>-BQ38</f>
        <v/>
      </c>
      <c r="BR85" s="399">
        <f>-BR38</f>
        <v/>
      </c>
      <c r="BS85" s="399">
        <f>-BS38</f>
        <v/>
      </c>
      <c r="BT85" s="399">
        <f>-BT38</f>
        <v/>
      </c>
      <c r="BU85" s="399">
        <f>-BU38</f>
        <v/>
      </c>
      <c r="BV85" s="399">
        <f>-BV38</f>
        <v/>
      </c>
      <c r="BW85" s="399">
        <f>-BW38</f>
        <v/>
      </c>
      <c r="BX85" s="399">
        <f>-BX38</f>
        <v/>
      </c>
      <c r="BY85" s="399">
        <f>-BY38</f>
        <v/>
      </c>
      <c r="BZ85" s="399">
        <f>-BZ38</f>
        <v/>
      </c>
      <c r="CA85" s="399">
        <f>-CA38</f>
        <v/>
      </c>
      <c r="CB85" s="399">
        <f>-CB38</f>
        <v/>
      </c>
      <c r="CC85" s="399">
        <f>-CC38</f>
        <v/>
      </c>
      <c r="CD85" s="399">
        <f>-CD38</f>
        <v/>
      </c>
      <c r="CE85" s="399">
        <f>-CE38</f>
        <v/>
      </c>
      <c r="CF85" s="399">
        <f>-CF38</f>
        <v/>
      </c>
      <c r="CG85" s="399">
        <f>-CG38</f>
        <v/>
      </c>
      <c r="CH85" s="399">
        <f>-CH38</f>
        <v/>
      </c>
      <c r="CI85" s="399">
        <f>-CI38</f>
        <v/>
      </c>
      <c r="CJ85" s="399">
        <f>-CJ38</f>
        <v/>
      </c>
      <c r="CK85" s="399">
        <f>-CK38</f>
        <v/>
      </c>
      <c r="CL85" s="399">
        <f>-CL38</f>
        <v/>
      </c>
      <c r="CM85" s="399">
        <f>-CM38</f>
        <v/>
      </c>
      <c r="CN85" s="399">
        <f>-CN38</f>
        <v/>
      </c>
      <c r="CO85" s="399">
        <f>-CO38</f>
        <v/>
      </c>
      <c r="CP85" s="399">
        <f>-CP38</f>
        <v/>
      </c>
      <c r="CQ85" s="399">
        <f>-CQ38</f>
        <v/>
      </c>
      <c r="CR85" s="399">
        <f>-CR38</f>
        <v/>
      </c>
      <c r="CS85" s="399">
        <f>-CS38</f>
        <v/>
      </c>
      <c r="CT85" s="399">
        <f>-CT38</f>
        <v/>
      </c>
      <c r="CU85" s="399">
        <f>-CU38</f>
        <v/>
      </c>
      <c r="CV85" s="399">
        <f>-CV38</f>
        <v/>
      </c>
      <c r="CW85" s="399">
        <f>-CW38</f>
        <v/>
      </c>
      <c r="CX85" s="399">
        <f>-CX38</f>
        <v/>
      </c>
      <c r="CY85" s="399">
        <f>-CY38</f>
        <v/>
      </c>
      <c r="CZ85" s="399">
        <f>-CZ38</f>
        <v/>
      </c>
      <c r="DA85" s="399">
        <f>-DA38</f>
        <v/>
      </c>
      <c r="DB85" s="399">
        <f>-DB38</f>
        <v/>
      </c>
      <c r="DC85" s="399">
        <f>-DC38</f>
        <v/>
      </c>
      <c r="DD85" s="399">
        <f>-DD38</f>
        <v/>
      </c>
      <c r="DE85" s="399">
        <f>-DE38</f>
        <v/>
      </c>
    </row>
    <row r="86" hidden="1" outlineLevel="1" ht="15" customFormat="1" customHeight="1" s="380">
      <c r="A86" s="407" t="inlineStr">
        <is>
          <t>BD-14</t>
        </is>
      </c>
      <c r="B86" s="399" t="n">
        <v>0</v>
      </c>
      <c r="C86" s="399" t="n">
        <v>0</v>
      </c>
      <c r="D86" s="399" t="n">
        <v>0</v>
      </c>
      <c r="E86" s="399" t="n">
        <v>0</v>
      </c>
      <c r="F86" s="399">
        <f>-F39</f>
        <v/>
      </c>
      <c r="G86" s="399">
        <f>-G39</f>
        <v/>
      </c>
      <c r="H86" s="399">
        <f>-H39</f>
        <v/>
      </c>
      <c r="I86" s="399">
        <f>-I39</f>
        <v/>
      </c>
      <c r="J86" s="399">
        <f>-J39</f>
        <v/>
      </c>
      <c r="K86" s="399">
        <f>-K39</f>
        <v/>
      </c>
      <c r="L86" s="399">
        <f>-L39</f>
        <v/>
      </c>
      <c r="M86" s="399">
        <f>-M39</f>
        <v/>
      </c>
      <c r="N86" s="399">
        <f>-N39</f>
        <v/>
      </c>
      <c r="O86" s="399">
        <f>-O39</f>
        <v/>
      </c>
      <c r="P86" s="399">
        <f>-P39</f>
        <v/>
      </c>
      <c r="Q86" s="399">
        <f>-Q39</f>
        <v/>
      </c>
      <c r="R86" s="399">
        <f>-R39</f>
        <v/>
      </c>
      <c r="S86" s="399">
        <f>-S39</f>
        <v/>
      </c>
      <c r="T86" s="399">
        <f>-T39</f>
        <v/>
      </c>
      <c r="U86" s="399">
        <f>-U39</f>
        <v/>
      </c>
      <c r="V86" s="399">
        <f>-V39</f>
        <v/>
      </c>
      <c r="W86" s="399">
        <f>-W39</f>
        <v/>
      </c>
      <c r="X86" s="399">
        <f>-X39</f>
        <v/>
      </c>
      <c r="Y86" s="399">
        <f>-Y39</f>
        <v/>
      </c>
      <c r="Z86" s="399">
        <f>-Z39</f>
        <v/>
      </c>
      <c r="AA86" s="399">
        <f>-AA39</f>
        <v/>
      </c>
      <c r="AB86" s="399">
        <f>-AB39</f>
        <v/>
      </c>
      <c r="AC86" s="399">
        <f>-AC39</f>
        <v/>
      </c>
      <c r="AD86" s="399">
        <f>-AD39</f>
        <v/>
      </c>
      <c r="AE86" s="399">
        <f>-AE39</f>
        <v/>
      </c>
      <c r="AF86" s="399">
        <f>-AF39</f>
        <v/>
      </c>
      <c r="AG86" s="399">
        <f>-AG39</f>
        <v/>
      </c>
      <c r="AH86" s="399">
        <f>-AH39</f>
        <v/>
      </c>
      <c r="AI86" s="399">
        <f>-AI39</f>
        <v/>
      </c>
      <c r="AJ86" s="399">
        <f>-AJ39</f>
        <v/>
      </c>
      <c r="AK86" s="399">
        <f>-AK39</f>
        <v/>
      </c>
      <c r="AL86" s="399">
        <f>-AL39</f>
        <v/>
      </c>
      <c r="AM86" s="399">
        <f>-AM39</f>
        <v/>
      </c>
      <c r="AN86" s="399">
        <f>-AN39</f>
        <v/>
      </c>
      <c r="AO86" s="399">
        <f>-AO39</f>
        <v/>
      </c>
      <c r="AP86" s="399">
        <f>-AP39</f>
        <v/>
      </c>
      <c r="AQ86" s="399">
        <f>-AQ39</f>
        <v/>
      </c>
      <c r="AR86" s="399">
        <f>-AR39</f>
        <v/>
      </c>
      <c r="AS86" s="399">
        <f>-AS39</f>
        <v/>
      </c>
      <c r="AT86" s="399">
        <f>-AT39</f>
        <v/>
      </c>
      <c r="AU86" s="399">
        <f>-AU39</f>
        <v/>
      </c>
      <c r="AV86" s="399">
        <f>-AV39</f>
        <v/>
      </c>
      <c r="AW86" s="399">
        <f>-AW39</f>
        <v/>
      </c>
      <c r="AX86" s="399">
        <f>-AX39</f>
        <v/>
      </c>
      <c r="AY86" s="399">
        <f>-AY39</f>
        <v/>
      </c>
      <c r="AZ86" s="399">
        <f>-AZ39</f>
        <v/>
      </c>
      <c r="BA86" s="399">
        <f>-BA39</f>
        <v/>
      </c>
      <c r="BB86" s="399">
        <f>-BB39</f>
        <v/>
      </c>
      <c r="BC86" s="399">
        <f>-BC39</f>
        <v/>
      </c>
      <c r="BD86" s="399">
        <f>-BD39</f>
        <v/>
      </c>
      <c r="BE86" s="399">
        <f>-BE39</f>
        <v/>
      </c>
      <c r="BF86" s="399">
        <f>-BF39</f>
        <v/>
      </c>
      <c r="BG86" s="399">
        <f>-BG39</f>
        <v/>
      </c>
      <c r="BH86" s="399">
        <f>-BH39</f>
        <v/>
      </c>
      <c r="BI86" s="399">
        <f>-BI39</f>
        <v/>
      </c>
      <c r="BJ86" s="399">
        <f>-BJ39</f>
        <v/>
      </c>
      <c r="BK86" s="399">
        <f>-BK39</f>
        <v/>
      </c>
      <c r="BL86" s="399">
        <f>-BL39</f>
        <v/>
      </c>
      <c r="BM86" s="399">
        <f>-BM39</f>
        <v/>
      </c>
      <c r="BN86" s="399">
        <f>-BN39</f>
        <v/>
      </c>
      <c r="BO86" s="399">
        <f>-BO39</f>
        <v/>
      </c>
      <c r="BP86" s="399">
        <f>-BP39</f>
        <v/>
      </c>
      <c r="BQ86" s="399">
        <f>-BQ39</f>
        <v/>
      </c>
      <c r="BR86" s="399">
        <f>-BR39</f>
        <v/>
      </c>
      <c r="BS86" s="399">
        <f>-BS39</f>
        <v/>
      </c>
      <c r="BT86" s="399">
        <f>-BT39</f>
        <v/>
      </c>
      <c r="BU86" s="399">
        <f>-BU39</f>
        <v/>
      </c>
      <c r="BV86" s="399">
        <f>-BV39</f>
        <v/>
      </c>
      <c r="BW86" s="399">
        <f>-BW39</f>
        <v/>
      </c>
      <c r="BX86" s="399">
        <f>-BX39</f>
        <v/>
      </c>
      <c r="BY86" s="399">
        <f>-BY39</f>
        <v/>
      </c>
      <c r="BZ86" s="399">
        <f>-BZ39</f>
        <v/>
      </c>
      <c r="CA86" s="399">
        <f>-CA39</f>
        <v/>
      </c>
      <c r="CB86" s="399">
        <f>-CB39</f>
        <v/>
      </c>
      <c r="CC86" s="399">
        <f>-CC39</f>
        <v/>
      </c>
      <c r="CD86" s="399">
        <f>-CD39</f>
        <v/>
      </c>
      <c r="CE86" s="399">
        <f>-CE39</f>
        <v/>
      </c>
      <c r="CF86" s="399">
        <f>-CF39</f>
        <v/>
      </c>
      <c r="CG86" s="399">
        <f>-CG39</f>
        <v/>
      </c>
      <c r="CH86" s="399">
        <f>-CH39</f>
        <v/>
      </c>
      <c r="CI86" s="399">
        <f>-CI39</f>
        <v/>
      </c>
      <c r="CJ86" s="399">
        <f>-CJ39</f>
        <v/>
      </c>
      <c r="CK86" s="399">
        <f>-CK39</f>
        <v/>
      </c>
      <c r="CL86" s="399">
        <f>-CL39</f>
        <v/>
      </c>
      <c r="CM86" s="399">
        <f>-CM39</f>
        <v/>
      </c>
      <c r="CN86" s="399">
        <f>-CN39</f>
        <v/>
      </c>
      <c r="CO86" s="399">
        <f>-CO39</f>
        <v/>
      </c>
      <c r="CP86" s="399">
        <f>-CP39</f>
        <v/>
      </c>
      <c r="CQ86" s="399">
        <f>-CQ39</f>
        <v/>
      </c>
      <c r="CR86" s="399">
        <f>-CR39</f>
        <v/>
      </c>
      <c r="CS86" s="399">
        <f>-CS39</f>
        <v/>
      </c>
      <c r="CT86" s="399">
        <f>-CT39</f>
        <v/>
      </c>
      <c r="CU86" s="399">
        <f>-CU39</f>
        <v/>
      </c>
      <c r="CV86" s="399">
        <f>-CV39</f>
        <v/>
      </c>
      <c r="CW86" s="399">
        <f>-CW39</f>
        <v/>
      </c>
      <c r="CX86" s="399">
        <f>-CX39</f>
        <v/>
      </c>
      <c r="CY86" s="399">
        <f>-CY39</f>
        <v/>
      </c>
      <c r="CZ86" s="399">
        <f>-CZ39</f>
        <v/>
      </c>
      <c r="DA86" s="399">
        <f>-DA39</f>
        <v/>
      </c>
      <c r="DB86" s="399">
        <f>-DB39</f>
        <v/>
      </c>
      <c r="DC86" s="399">
        <f>-DC39</f>
        <v/>
      </c>
      <c r="DD86" s="399">
        <f>-DD39</f>
        <v/>
      </c>
      <c r="DE86" s="399">
        <f>-DE39</f>
        <v/>
      </c>
    </row>
    <row r="87" hidden="1" outlineLevel="1" ht="15" customFormat="1" customHeight="1" s="380">
      <c r="A87" s="407" t="inlineStr">
        <is>
          <t>BD-15</t>
        </is>
      </c>
      <c r="B87" s="399" t="n">
        <v>0</v>
      </c>
      <c r="C87" s="399" t="n">
        <v>0</v>
      </c>
      <c r="D87" s="399" t="n">
        <v>0</v>
      </c>
      <c r="E87" s="399" t="n">
        <v>0</v>
      </c>
      <c r="F87" s="399">
        <f>-F40</f>
        <v/>
      </c>
      <c r="G87" s="399">
        <f>-G40</f>
        <v/>
      </c>
      <c r="H87" s="399">
        <f>-H40</f>
        <v/>
      </c>
      <c r="I87" s="399">
        <f>-I40</f>
        <v/>
      </c>
      <c r="J87" s="399">
        <f>-J40</f>
        <v/>
      </c>
      <c r="K87" s="399">
        <f>-K40</f>
        <v/>
      </c>
      <c r="L87" s="399">
        <f>-L40</f>
        <v/>
      </c>
      <c r="M87" s="399">
        <f>-M40</f>
        <v/>
      </c>
      <c r="N87" s="399">
        <f>-N40</f>
        <v/>
      </c>
      <c r="O87" s="399">
        <f>-O40</f>
        <v/>
      </c>
      <c r="P87" s="399">
        <f>-P40</f>
        <v/>
      </c>
      <c r="Q87" s="399">
        <f>-Q40</f>
        <v/>
      </c>
      <c r="R87" s="399">
        <f>-R40</f>
        <v/>
      </c>
      <c r="S87" s="399">
        <f>-S40</f>
        <v/>
      </c>
      <c r="T87" s="399">
        <f>-T40</f>
        <v/>
      </c>
      <c r="U87" s="399">
        <f>-U40</f>
        <v/>
      </c>
      <c r="V87" s="399">
        <f>-V40</f>
        <v/>
      </c>
      <c r="W87" s="399">
        <f>-W40</f>
        <v/>
      </c>
      <c r="X87" s="399">
        <f>-X40</f>
        <v/>
      </c>
      <c r="Y87" s="399">
        <f>-Y40</f>
        <v/>
      </c>
      <c r="Z87" s="399">
        <f>-Z40</f>
        <v/>
      </c>
      <c r="AA87" s="399">
        <f>-AA40</f>
        <v/>
      </c>
      <c r="AB87" s="399">
        <f>-AB40</f>
        <v/>
      </c>
      <c r="AC87" s="399">
        <f>-AC40</f>
        <v/>
      </c>
      <c r="AD87" s="399">
        <f>-AD40</f>
        <v/>
      </c>
      <c r="AE87" s="399">
        <f>-AE40</f>
        <v/>
      </c>
      <c r="AF87" s="399">
        <f>-AF40</f>
        <v/>
      </c>
      <c r="AG87" s="399">
        <f>-AG40</f>
        <v/>
      </c>
      <c r="AH87" s="399">
        <f>-AH40</f>
        <v/>
      </c>
      <c r="AI87" s="399">
        <f>-AI40</f>
        <v/>
      </c>
      <c r="AJ87" s="399">
        <f>-AJ40</f>
        <v/>
      </c>
      <c r="AK87" s="399">
        <f>-AK40</f>
        <v/>
      </c>
      <c r="AL87" s="399">
        <f>-AL40</f>
        <v/>
      </c>
      <c r="AM87" s="399">
        <f>-AM40</f>
        <v/>
      </c>
      <c r="AN87" s="399">
        <f>-AN40</f>
        <v/>
      </c>
      <c r="AO87" s="399">
        <f>-AO40</f>
        <v/>
      </c>
      <c r="AP87" s="399">
        <f>-AP40</f>
        <v/>
      </c>
      <c r="AQ87" s="399">
        <f>-AQ40</f>
        <v/>
      </c>
      <c r="AR87" s="399">
        <f>-AR40</f>
        <v/>
      </c>
      <c r="AS87" s="399">
        <f>-AS40</f>
        <v/>
      </c>
      <c r="AT87" s="399">
        <f>-AT40</f>
        <v/>
      </c>
      <c r="AU87" s="399">
        <f>-AU40</f>
        <v/>
      </c>
      <c r="AV87" s="399">
        <f>-AV40</f>
        <v/>
      </c>
      <c r="AW87" s="399">
        <f>-AW40</f>
        <v/>
      </c>
      <c r="AX87" s="399">
        <f>-AX40</f>
        <v/>
      </c>
      <c r="AY87" s="399">
        <f>-AY40</f>
        <v/>
      </c>
      <c r="AZ87" s="399">
        <f>-AZ40</f>
        <v/>
      </c>
      <c r="BA87" s="399">
        <f>-BA40</f>
        <v/>
      </c>
      <c r="BB87" s="399">
        <f>-BB40</f>
        <v/>
      </c>
      <c r="BC87" s="399">
        <f>-BC40</f>
        <v/>
      </c>
      <c r="BD87" s="399">
        <f>-BD40</f>
        <v/>
      </c>
      <c r="BE87" s="399">
        <f>-BE40</f>
        <v/>
      </c>
      <c r="BF87" s="399">
        <f>-BF40</f>
        <v/>
      </c>
      <c r="BG87" s="399">
        <f>-BG40</f>
        <v/>
      </c>
      <c r="BH87" s="399">
        <f>-BH40</f>
        <v/>
      </c>
      <c r="BI87" s="399">
        <f>-BI40</f>
        <v/>
      </c>
      <c r="BJ87" s="399">
        <f>-BJ40</f>
        <v/>
      </c>
      <c r="BK87" s="399">
        <f>-BK40</f>
        <v/>
      </c>
      <c r="BL87" s="399">
        <f>-BL40</f>
        <v/>
      </c>
      <c r="BM87" s="399">
        <f>-BM40</f>
        <v/>
      </c>
      <c r="BN87" s="399">
        <f>-BN40</f>
        <v/>
      </c>
      <c r="BO87" s="399">
        <f>-BO40</f>
        <v/>
      </c>
      <c r="BP87" s="399">
        <f>-BP40</f>
        <v/>
      </c>
      <c r="BQ87" s="399">
        <f>-BQ40</f>
        <v/>
      </c>
      <c r="BR87" s="399">
        <f>-BR40</f>
        <v/>
      </c>
      <c r="BS87" s="399">
        <f>-BS40</f>
        <v/>
      </c>
      <c r="BT87" s="399">
        <f>-BT40</f>
        <v/>
      </c>
      <c r="BU87" s="399">
        <f>-BU40</f>
        <v/>
      </c>
      <c r="BV87" s="399">
        <f>-BV40</f>
        <v/>
      </c>
      <c r="BW87" s="399">
        <f>-BW40</f>
        <v/>
      </c>
      <c r="BX87" s="399">
        <f>-BX40</f>
        <v/>
      </c>
      <c r="BY87" s="399">
        <f>-BY40</f>
        <v/>
      </c>
      <c r="BZ87" s="399">
        <f>-BZ40</f>
        <v/>
      </c>
      <c r="CA87" s="399">
        <f>-CA40</f>
        <v/>
      </c>
      <c r="CB87" s="399">
        <f>-CB40</f>
        <v/>
      </c>
      <c r="CC87" s="399">
        <f>-CC40</f>
        <v/>
      </c>
      <c r="CD87" s="399">
        <f>-CD40</f>
        <v/>
      </c>
      <c r="CE87" s="399">
        <f>-CE40</f>
        <v/>
      </c>
      <c r="CF87" s="399">
        <f>-CF40</f>
        <v/>
      </c>
      <c r="CG87" s="399">
        <f>-CG40</f>
        <v/>
      </c>
      <c r="CH87" s="399">
        <f>-CH40</f>
        <v/>
      </c>
      <c r="CI87" s="399">
        <f>-CI40</f>
        <v/>
      </c>
      <c r="CJ87" s="399">
        <f>-CJ40</f>
        <v/>
      </c>
      <c r="CK87" s="399">
        <f>-CK40</f>
        <v/>
      </c>
      <c r="CL87" s="399">
        <f>-CL40</f>
        <v/>
      </c>
      <c r="CM87" s="399">
        <f>-CM40</f>
        <v/>
      </c>
      <c r="CN87" s="399">
        <f>-CN40</f>
        <v/>
      </c>
      <c r="CO87" s="399">
        <f>-CO40</f>
        <v/>
      </c>
      <c r="CP87" s="399">
        <f>-CP40</f>
        <v/>
      </c>
      <c r="CQ87" s="399">
        <f>-CQ40</f>
        <v/>
      </c>
      <c r="CR87" s="399">
        <f>-CR40</f>
        <v/>
      </c>
      <c r="CS87" s="399">
        <f>-CS40</f>
        <v/>
      </c>
      <c r="CT87" s="399">
        <f>-CT40</f>
        <v/>
      </c>
      <c r="CU87" s="399">
        <f>-CU40</f>
        <v/>
      </c>
      <c r="CV87" s="399">
        <f>-CV40</f>
        <v/>
      </c>
      <c r="CW87" s="399">
        <f>-CW40</f>
        <v/>
      </c>
      <c r="CX87" s="399">
        <f>-CX40</f>
        <v/>
      </c>
      <c r="CY87" s="399">
        <f>-CY40</f>
        <v/>
      </c>
      <c r="CZ87" s="399">
        <f>-CZ40</f>
        <v/>
      </c>
      <c r="DA87" s="399">
        <f>-DA40</f>
        <v/>
      </c>
      <c r="DB87" s="399">
        <f>-DB40</f>
        <v/>
      </c>
      <c r="DC87" s="399">
        <f>-DC40</f>
        <v/>
      </c>
      <c r="DD87" s="399">
        <f>-DD40</f>
        <v/>
      </c>
      <c r="DE87" s="399">
        <f>-DE40</f>
        <v/>
      </c>
    </row>
    <row r="88" hidden="1" outlineLevel="1" ht="15" customFormat="1" customHeight="1" s="380">
      <c r="A88" s="407" t="inlineStr">
        <is>
          <t>BD-16</t>
        </is>
      </c>
      <c r="B88" s="399" t="n">
        <v>0</v>
      </c>
      <c r="C88" s="399" t="n">
        <v>0</v>
      </c>
      <c r="D88" s="399" t="n">
        <v>0</v>
      </c>
      <c r="E88" s="399" t="n">
        <v>0</v>
      </c>
      <c r="F88" s="399">
        <f>-F41</f>
        <v/>
      </c>
      <c r="G88" s="399">
        <f>-G41</f>
        <v/>
      </c>
      <c r="H88" s="399">
        <f>-H41</f>
        <v/>
      </c>
      <c r="I88" s="399">
        <f>-I41</f>
        <v/>
      </c>
      <c r="J88" s="399">
        <f>-J41</f>
        <v/>
      </c>
      <c r="K88" s="399">
        <f>-K41</f>
        <v/>
      </c>
      <c r="L88" s="399">
        <f>-L41</f>
        <v/>
      </c>
      <c r="M88" s="399">
        <f>-M41</f>
        <v/>
      </c>
      <c r="N88" s="399">
        <f>-N41</f>
        <v/>
      </c>
      <c r="O88" s="399">
        <f>-O41</f>
        <v/>
      </c>
      <c r="P88" s="399">
        <f>-P41</f>
        <v/>
      </c>
      <c r="Q88" s="399">
        <f>-Q41</f>
        <v/>
      </c>
      <c r="R88" s="399">
        <f>-R41</f>
        <v/>
      </c>
      <c r="S88" s="399">
        <f>-S41</f>
        <v/>
      </c>
      <c r="T88" s="399">
        <f>-T41</f>
        <v/>
      </c>
      <c r="U88" s="399">
        <f>-U41</f>
        <v/>
      </c>
      <c r="V88" s="399">
        <f>-V41</f>
        <v/>
      </c>
      <c r="W88" s="399">
        <f>-W41</f>
        <v/>
      </c>
      <c r="X88" s="399">
        <f>-X41</f>
        <v/>
      </c>
      <c r="Y88" s="399">
        <f>-Y41</f>
        <v/>
      </c>
      <c r="Z88" s="399">
        <f>-Z41</f>
        <v/>
      </c>
      <c r="AA88" s="399">
        <f>-AA41</f>
        <v/>
      </c>
      <c r="AB88" s="399">
        <f>-AB41</f>
        <v/>
      </c>
      <c r="AC88" s="399">
        <f>-AC41</f>
        <v/>
      </c>
      <c r="AD88" s="399">
        <f>-AD41</f>
        <v/>
      </c>
      <c r="AE88" s="399">
        <f>-AE41</f>
        <v/>
      </c>
      <c r="AF88" s="399">
        <f>-AF41</f>
        <v/>
      </c>
      <c r="AG88" s="399">
        <f>-AG41</f>
        <v/>
      </c>
      <c r="AH88" s="399">
        <f>-AH41</f>
        <v/>
      </c>
      <c r="AI88" s="399">
        <f>-AI41</f>
        <v/>
      </c>
      <c r="AJ88" s="399">
        <f>-AJ41</f>
        <v/>
      </c>
      <c r="AK88" s="399">
        <f>-AK41</f>
        <v/>
      </c>
      <c r="AL88" s="399">
        <f>-AL41</f>
        <v/>
      </c>
      <c r="AM88" s="399">
        <f>-AM41</f>
        <v/>
      </c>
      <c r="AN88" s="399">
        <f>-AN41</f>
        <v/>
      </c>
      <c r="AO88" s="399">
        <f>-AO41</f>
        <v/>
      </c>
      <c r="AP88" s="399">
        <f>-AP41</f>
        <v/>
      </c>
      <c r="AQ88" s="399">
        <f>-AQ41</f>
        <v/>
      </c>
      <c r="AR88" s="399">
        <f>-AR41</f>
        <v/>
      </c>
      <c r="AS88" s="399">
        <f>-AS41</f>
        <v/>
      </c>
      <c r="AT88" s="399">
        <f>-AT41</f>
        <v/>
      </c>
      <c r="AU88" s="399">
        <f>-AU41</f>
        <v/>
      </c>
      <c r="AV88" s="399">
        <f>-AV41</f>
        <v/>
      </c>
      <c r="AW88" s="399">
        <f>-AW41</f>
        <v/>
      </c>
      <c r="AX88" s="399">
        <f>-AX41</f>
        <v/>
      </c>
      <c r="AY88" s="399">
        <f>-AY41</f>
        <v/>
      </c>
      <c r="AZ88" s="399">
        <f>-AZ41</f>
        <v/>
      </c>
      <c r="BA88" s="399">
        <f>-BA41</f>
        <v/>
      </c>
      <c r="BB88" s="399">
        <f>-BB41</f>
        <v/>
      </c>
      <c r="BC88" s="399">
        <f>-BC41</f>
        <v/>
      </c>
      <c r="BD88" s="399">
        <f>-BD41</f>
        <v/>
      </c>
      <c r="BE88" s="399">
        <f>-BE41</f>
        <v/>
      </c>
      <c r="BF88" s="399">
        <f>-BF41</f>
        <v/>
      </c>
      <c r="BG88" s="399">
        <f>-BG41</f>
        <v/>
      </c>
      <c r="BH88" s="399">
        <f>-BH41</f>
        <v/>
      </c>
      <c r="BI88" s="399">
        <f>-BI41</f>
        <v/>
      </c>
      <c r="BJ88" s="399">
        <f>-BJ41</f>
        <v/>
      </c>
      <c r="BK88" s="399">
        <f>-BK41</f>
        <v/>
      </c>
      <c r="BL88" s="399">
        <f>-BL41</f>
        <v/>
      </c>
      <c r="BM88" s="399">
        <f>-BM41</f>
        <v/>
      </c>
      <c r="BN88" s="399">
        <f>-BN41</f>
        <v/>
      </c>
      <c r="BO88" s="399">
        <f>-BO41</f>
        <v/>
      </c>
      <c r="BP88" s="399">
        <f>-BP41</f>
        <v/>
      </c>
      <c r="BQ88" s="399">
        <f>-BQ41</f>
        <v/>
      </c>
      <c r="BR88" s="399">
        <f>-BR41</f>
        <v/>
      </c>
      <c r="BS88" s="399">
        <f>-BS41</f>
        <v/>
      </c>
      <c r="BT88" s="399">
        <f>-BT41</f>
        <v/>
      </c>
      <c r="BU88" s="399">
        <f>-BU41</f>
        <v/>
      </c>
      <c r="BV88" s="399">
        <f>-BV41</f>
        <v/>
      </c>
      <c r="BW88" s="399">
        <f>-BW41</f>
        <v/>
      </c>
      <c r="BX88" s="399">
        <f>-BX41</f>
        <v/>
      </c>
      <c r="BY88" s="399">
        <f>-BY41</f>
        <v/>
      </c>
      <c r="BZ88" s="399">
        <f>-BZ41</f>
        <v/>
      </c>
      <c r="CA88" s="399">
        <f>-CA41</f>
        <v/>
      </c>
      <c r="CB88" s="399">
        <f>-CB41</f>
        <v/>
      </c>
      <c r="CC88" s="399">
        <f>-CC41</f>
        <v/>
      </c>
      <c r="CD88" s="399">
        <f>-CD41</f>
        <v/>
      </c>
      <c r="CE88" s="399">
        <f>-CE41</f>
        <v/>
      </c>
      <c r="CF88" s="399">
        <f>-CF41</f>
        <v/>
      </c>
      <c r="CG88" s="399">
        <f>-CG41</f>
        <v/>
      </c>
      <c r="CH88" s="399">
        <f>-CH41</f>
        <v/>
      </c>
      <c r="CI88" s="399">
        <f>-CI41</f>
        <v/>
      </c>
      <c r="CJ88" s="399">
        <f>-CJ41</f>
        <v/>
      </c>
      <c r="CK88" s="399">
        <f>-CK41</f>
        <v/>
      </c>
      <c r="CL88" s="399">
        <f>-CL41</f>
        <v/>
      </c>
      <c r="CM88" s="399">
        <f>-CM41</f>
        <v/>
      </c>
      <c r="CN88" s="399">
        <f>-CN41</f>
        <v/>
      </c>
      <c r="CO88" s="399">
        <f>-CO41</f>
        <v/>
      </c>
      <c r="CP88" s="399">
        <f>-CP41</f>
        <v/>
      </c>
      <c r="CQ88" s="399">
        <f>-CQ41</f>
        <v/>
      </c>
      <c r="CR88" s="399">
        <f>-CR41</f>
        <v/>
      </c>
      <c r="CS88" s="399">
        <f>-CS41</f>
        <v/>
      </c>
      <c r="CT88" s="399">
        <f>-CT41</f>
        <v/>
      </c>
      <c r="CU88" s="399">
        <f>-CU41</f>
        <v/>
      </c>
      <c r="CV88" s="399">
        <f>-CV41</f>
        <v/>
      </c>
      <c r="CW88" s="399">
        <f>-CW41</f>
        <v/>
      </c>
      <c r="CX88" s="399">
        <f>-CX41</f>
        <v/>
      </c>
      <c r="CY88" s="399">
        <f>-CY41</f>
        <v/>
      </c>
      <c r="CZ88" s="399">
        <f>-CZ41</f>
        <v/>
      </c>
      <c r="DA88" s="399">
        <f>-DA41</f>
        <v/>
      </c>
      <c r="DB88" s="399">
        <f>-DB41</f>
        <v/>
      </c>
      <c r="DC88" s="399">
        <f>-DC41</f>
        <v/>
      </c>
      <c r="DD88" s="399">
        <f>-DD41</f>
        <v/>
      </c>
      <c r="DE88" s="399">
        <f>-DE41</f>
        <v/>
      </c>
    </row>
    <row r="89" hidden="1" outlineLevel="1" ht="15" customFormat="1" customHeight="1" s="380">
      <c r="A89" s="407" t="inlineStr">
        <is>
          <t>BD-17</t>
        </is>
      </c>
      <c r="B89" s="399" t="n">
        <v>0</v>
      </c>
      <c r="C89" s="399" t="n">
        <v>0</v>
      </c>
      <c r="D89" s="399" t="n">
        <v>0</v>
      </c>
      <c r="E89" s="399" t="n">
        <v>0</v>
      </c>
      <c r="F89" s="399">
        <f>-F42</f>
        <v/>
      </c>
      <c r="G89" s="399">
        <f>-G42</f>
        <v/>
      </c>
      <c r="H89" s="399">
        <f>-H42</f>
        <v/>
      </c>
      <c r="I89" s="399">
        <f>-I42</f>
        <v/>
      </c>
      <c r="J89" s="399">
        <f>-J42</f>
        <v/>
      </c>
      <c r="K89" s="399">
        <f>-K42</f>
        <v/>
      </c>
      <c r="L89" s="399">
        <f>-L42</f>
        <v/>
      </c>
      <c r="M89" s="399">
        <f>-M42</f>
        <v/>
      </c>
      <c r="N89" s="399">
        <f>-N42</f>
        <v/>
      </c>
      <c r="O89" s="399">
        <f>-O42</f>
        <v/>
      </c>
      <c r="P89" s="399">
        <f>-P42</f>
        <v/>
      </c>
      <c r="Q89" s="399">
        <f>-Q42</f>
        <v/>
      </c>
      <c r="R89" s="399">
        <f>-R42</f>
        <v/>
      </c>
      <c r="S89" s="399">
        <f>-S42</f>
        <v/>
      </c>
      <c r="T89" s="399">
        <f>-T42</f>
        <v/>
      </c>
      <c r="U89" s="399">
        <f>-U42</f>
        <v/>
      </c>
      <c r="V89" s="399">
        <f>-V42</f>
        <v/>
      </c>
      <c r="W89" s="399">
        <f>-W42</f>
        <v/>
      </c>
      <c r="X89" s="399">
        <f>-X42</f>
        <v/>
      </c>
      <c r="Y89" s="399">
        <f>-Y42</f>
        <v/>
      </c>
      <c r="Z89" s="399">
        <f>-Z42</f>
        <v/>
      </c>
      <c r="AA89" s="399">
        <f>-AA42</f>
        <v/>
      </c>
      <c r="AB89" s="399">
        <f>-AB42</f>
        <v/>
      </c>
      <c r="AC89" s="399">
        <f>-AC42</f>
        <v/>
      </c>
      <c r="AD89" s="399">
        <f>-AD42</f>
        <v/>
      </c>
      <c r="AE89" s="399">
        <f>-AE42</f>
        <v/>
      </c>
      <c r="AF89" s="399">
        <f>-AF42</f>
        <v/>
      </c>
      <c r="AG89" s="399">
        <f>-AG42</f>
        <v/>
      </c>
      <c r="AH89" s="399">
        <f>-AH42</f>
        <v/>
      </c>
      <c r="AI89" s="399">
        <f>-AI42</f>
        <v/>
      </c>
      <c r="AJ89" s="399">
        <f>-AJ42</f>
        <v/>
      </c>
      <c r="AK89" s="399">
        <f>-AK42</f>
        <v/>
      </c>
      <c r="AL89" s="399">
        <f>-AL42</f>
        <v/>
      </c>
      <c r="AM89" s="399">
        <f>-AM42</f>
        <v/>
      </c>
      <c r="AN89" s="399">
        <f>-AN42</f>
        <v/>
      </c>
      <c r="AO89" s="399">
        <f>-AO42</f>
        <v/>
      </c>
      <c r="AP89" s="399">
        <f>-AP42</f>
        <v/>
      </c>
      <c r="AQ89" s="399">
        <f>-AQ42</f>
        <v/>
      </c>
      <c r="AR89" s="399">
        <f>-AR42</f>
        <v/>
      </c>
      <c r="AS89" s="399">
        <f>-AS42</f>
        <v/>
      </c>
      <c r="AT89" s="399">
        <f>-AT42</f>
        <v/>
      </c>
      <c r="AU89" s="399">
        <f>-AU42</f>
        <v/>
      </c>
      <c r="AV89" s="399">
        <f>-AV42</f>
        <v/>
      </c>
      <c r="AW89" s="399">
        <f>-AW42</f>
        <v/>
      </c>
      <c r="AX89" s="399">
        <f>-AX42</f>
        <v/>
      </c>
      <c r="AY89" s="399">
        <f>-AY42</f>
        <v/>
      </c>
      <c r="AZ89" s="399">
        <f>-AZ42</f>
        <v/>
      </c>
      <c r="BA89" s="399">
        <f>-BA42</f>
        <v/>
      </c>
      <c r="BB89" s="399">
        <f>-BB42</f>
        <v/>
      </c>
      <c r="BC89" s="399">
        <f>-BC42</f>
        <v/>
      </c>
      <c r="BD89" s="399">
        <f>-BD42</f>
        <v/>
      </c>
      <c r="BE89" s="399">
        <f>-BE42</f>
        <v/>
      </c>
      <c r="BF89" s="399">
        <f>-BF42</f>
        <v/>
      </c>
      <c r="BG89" s="399">
        <f>-BG42</f>
        <v/>
      </c>
      <c r="BH89" s="399">
        <f>-BH42</f>
        <v/>
      </c>
      <c r="BI89" s="399">
        <f>-BI42</f>
        <v/>
      </c>
      <c r="BJ89" s="399">
        <f>-BJ42</f>
        <v/>
      </c>
      <c r="BK89" s="399">
        <f>-BK42</f>
        <v/>
      </c>
      <c r="BL89" s="399">
        <f>-BL42</f>
        <v/>
      </c>
      <c r="BM89" s="399">
        <f>-BM42</f>
        <v/>
      </c>
      <c r="BN89" s="399">
        <f>-BN42</f>
        <v/>
      </c>
      <c r="BO89" s="399">
        <f>-BO42</f>
        <v/>
      </c>
      <c r="BP89" s="399">
        <f>-BP42</f>
        <v/>
      </c>
      <c r="BQ89" s="399">
        <f>-BQ42</f>
        <v/>
      </c>
      <c r="BR89" s="399">
        <f>-BR42</f>
        <v/>
      </c>
      <c r="BS89" s="399">
        <f>-BS42</f>
        <v/>
      </c>
      <c r="BT89" s="399">
        <f>-BT42</f>
        <v/>
      </c>
      <c r="BU89" s="399">
        <f>-BU42</f>
        <v/>
      </c>
      <c r="BV89" s="399">
        <f>-BV42</f>
        <v/>
      </c>
      <c r="BW89" s="399">
        <f>-BW42</f>
        <v/>
      </c>
      <c r="BX89" s="399">
        <f>-BX42</f>
        <v/>
      </c>
      <c r="BY89" s="399">
        <f>-BY42</f>
        <v/>
      </c>
      <c r="BZ89" s="399">
        <f>-BZ42</f>
        <v/>
      </c>
      <c r="CA89" s="399">
        <f>-CA42</f>
        <v/>
      </c>
      <c r="CB89" s="399">
        <f>-CB42</f>
        <v/>
      </c>
      <c r="CC89" s="399">
        <f>-CC42</f>
        <v/>
      </c>
      <c r="CD89" s="399">
        <f>-CD42</f>
        <v/>
      </c>
      <c r="CE89" s="399">
        <f>-CE42</f>
        <v/>
      </c>
      <c r="CF89" s="399">
        <f>-CF42</f>
        <v/>
      </c>
      <c r="CG89" s="399">
        <f>-CG42</f>
        <v/>
      </c>
      <c r="CH89" s="399">
        <f>-CH42</f>
        <v/>
      </c>
      <c r="CI89" s="399">
        <f>-CI42</f>
        <v/>
      </c>
      <c r="CJ89" s="399">
        <f>-CJ42</f>
        <v/>
      </c>
      <c r="CK89" s="399">
        <f>-CK42</f>
        <v/>
      </c>
      <c r="CL89" s="399">
        <f>-CL42</f>
        <v/>
      </c>
      <c r="CM89" s="399">
        <f>-CM42</f>
        <v/>
      </c>
      <c r="CN89" s="399">
        <f>-CN42</f>
        <v/>
      </c>
      <c r="CO89" s="399">
        <f>-CO42</f>
        <v/>
      </c>
      <c r="CP89" s="399">
        <f>-CP42</f>
        <v/>
      </c>
      <c r="CQ89" s="399">
        <f>-CQ42</f>
        <v/>
      </c>
      <c r="CR89" s="399">
        <f>-CR42</f>
        <v/>
      </c>
      <c r="CS89" s="399">
        <f>-CS42</f>
        <v/>
      </c>
      <c r="CT89" s="399">
        <f>-CT42</f>
        <v/>
      </c>
      <c r="CU89" s="399">
        <f>-CU42</f>
        <v/>
      </c>
      <c r="CV89" s="399">
        <f>-CV42</f>
        <v/>
      </c>
      <c r="CW89" s="399">
        <f>-CW42</f>
        <v/>
      </c>
      <c r="CX89" s="399">
        <f>-CX42</f>
        <v/>
      </c>
      <c r="CY89" s="399">
        <f>-CY42</f>
        <v/>
      </c>
      <c r="CZ89" s="399">
        <f>-CZ42</f>
        <v/>
      </c>
      <c r="DA89" s="399">
        <f>-DA42</f>
        <v/>
      </c>
      <c r="DB89" s="399">
        <f>-DB42</f>
        <v/>
      </c>
      <c r="DC89" s="399">
        <f>-DC42</f>
        <v/>
      </c>
      <c r="DD89" s="399">
        <f>-DD42</f>
        <v/>
      </c>
      <c r="DE89" s="399">
        <f>-DE42</f>
        <v/>
      </c>
    </row>
    <row r="90" hidden="1" outlineLevel="1" ht="15" customFormat="1" customHeight="1" s="380">
      <c r="A90" s="407" t="inlineStr">
        <is>
          <t>BD-18</t>
        </is>
      </c>
      <c r="B90" s="399" t="n">
        <v>0</v>
      </c>
      <c r="C90" s="399" t="n">
        <v>0</v>
      </c>
      <c r="D90" s="399" t="n">
        <v>0</v>
      </c>
      <c r="E90" s="399" t="n">
        <v>0</v>
      </c>
      <c r="F90" s="399">
        <f>-F43</f>
        <v/>
      </c>
      <c r="G90" s="399">
        <f>-G43</f>
        <v/>
      </c>
      <c r="H90" s="399">
        <f>-H43</f>
        <v/>
      </c>
      <c r="I90" s="399">
        <f>-I43</f>
        <v/>
      </c>
      <c r="J90" s="399">
        <f>-J43</f>
        <v/>
      </c>
      <c r="K90" s="399">
        <f>-K43</f>
        <v/>
      </c>
      <c r="L90" s="399">
        <f>-L43</f>
        <v/>
      </c>
      <c r="M90" s="399">
        <f>-M43</f>
        <v/>
      </c>
      <c r="N90" s="399">
        <f>-N43</f>
        <v/>
      </c>
      <c r="O90" s="399">
        <f>-O43</f>
        <v/>
      </c>
      <c r="P90" s="399">
        <f>-P43</f>
        <v/>
      </c>
      <c r="Q90" s="399">
        <f>-Q43</f>
        <v/>
      </c>
      <c r="R90" s="399">
        <f>-R43</f>
        <v/>
      </c>
      <c r="S90" s="399">
        <f>-S43</f>
        <v/>
      </c>
      <c r="T90" s="399">
        <f>-T43</f>
        <v/>
      </c>
      <c r="U90" s="399">
        <f>-U43</f>
        <v/>
      </c>
      <c r="V90" s="399">
        <f>-V43</f>
        <v/>
      </c>
      <c r="W90" s="399">
        <f>-W43</f>
        <v/>
      </c>
      <c r="X90" s="399">
        <f>-X43</f>
        <v/>
      </c>
      <c r="Y90" s="399">
        <f>-Y43</f>
        <v/>
      </c>
      <c r="Z90" s="399">
        <f>-Z43</f>
        <v/>
      </c>
      <c r="AA90" s="399">
        <f>-AA43</f>
        <v/>
      </c>
      <c r="AB90" s="399">
        <f>-AB43</f>
        <v/>
      </c>
      <c r="AC90" s="399">
        <f>-AC43</f>
        <v/>
      </c>
      <c r="AD90" s="399">
        <f>-AD43</f>
        <v/>
      </c>
      <c r="AE90" s="399">
        <f>-AE43</f>
        <v/>
      </c>
      <c r="AF90" s="399">
        <f>-AF43</f>
        <v/>
      </c>
      <c r="AG90" s="399">
        <f>-AG43</f>
        <v/>
      </c>
      <c r="AH90" s="399">
        <f>-AH43</f>
        <v/>
      </c>
      <c r="AI90" s="399">
        <f>-AI43</f>
        <v/>
      </c>
      <c r="AJ90" s="399">
        <f>-AJ43</f>
        <v/>
      </c>
      <c r="AK90" s="399">
        <f>-AK43</f>
        <v/>
      </c>
      <c r="AL90" s="399">
        <f>-AL43</f>
        <v/>
      </c>
      <c r="AM90" s="399">
        <f>-AM43</f>
        <v/>
      </c>
      <c r="AN90" s="399">
        <f>-AN43</f>
        <v/>
      </c>
      <c r="AO90" s="399">
        <f>-AO43</f>
        <v/>
      </c>
      <c r="AP90" s="399">
        <f>-AP43</f>
        <v/>
      </c>
      <c r="AQ90" s="399">
        <f>-AQ43</f>
        <v/>
      </c>
      <c r="AR90" s="399">
        <f>-AR43</f>
        <v/>
      </c>
      <c r="AS90" s="399">
        <f>-AS43</f>
        <v/>
      </c>
      <c r="AT90" s="399">
        <f>-AT43</f>
        <v/>
      </c>
      <c r="AU90" s="399">
        <f>-AU43</f>
        <v/>
      </c>
      <c r="AV90" s="399">
        <f>-AV43</f>
        <v/>
      </c>
      <c r="AW90" s="399">
        <f>-AW43</f>
        <v/>
      </c>
      <c r="AX90" s="399">
        <f>-AX43</f>
        <v/>
      </c>
      <c r="AY90" s="399">
        <f>-AY43</f>
        <v/>
      </c>
      <c r="AZ90" s="399">
        <f>-AZ43</f>
        <v/>
      </c>
      <c r="BA90" s="399">
        <f>-BA43</f>
        <v/>
      </c>
      <c r="BB90" s="399">
        <f>-BB43</f>
        <v/>
      </c>
      <c r="BC90" s="399">
        <f>-BC43</f>
        <v/>
      </c>
      <c r="BD90" s="399">
        <f>-BD43</f>
        <v/>
      </c>
      <c r="BE90" s="399">
        <f>-BE43</f>
        <v/>
      </c>
      <c r="BF90" s="399">
        <f>-BF43</f>
        <v/>
      </c>
      <c r="BG90" s="399">
        <f>-BG43</f>
        <v/>
      </c>
      <c r="BH90" s="399">
        <f>-BH43</f>
        <v/>
      </c>
      <c r="BI90" s="399">
        <f>-BI43</f>
        <v/>
      </c>
      <c r="BJ90" s="399">
        <f>-BJ43</f>
        <v/>
      </c>
      <c r="BK90" s="399">
        <f>-BK43</f>
        <v/>
      </c>
      <c r="BL90" s="399">
        <f>-BL43</f>
        <v/>
      </c>
      <c r="BM90" s="399">
        <f>-BM43</f>
        <v/>
      </c>
      <c r="BN90" s="399">
        <f>-BN43</f>
        <v/>
      </c>
      <c r="BO90" s="399">
        <f>-BO43</f>
        <v/>
      </c>
      <c r="BP90" s="399">
        <f>-BP43</f>
        <v/>
      </c>
      <c r="BQ90" s="399">
        <f>-BQ43</f>
        <v/>
      </c>
      <c r="BR90" s="399">
        <f>-BR43</f>
        <v/>
      </c>
      <c r="BS90" s="399">
        <f>-BS43</f>
        <v/>
      </c>
      <c r="BT90" s="399">
        <f>-BT43</f>
        <v/>
      </c>
      <c r="BU90" s="399">
        <f>-BU43</f>
        <v/>
      </c>
      <c r="BV90" s="399">
        <f>-BV43</f>
        <v/>
      </c>
      <c r="BW90" s="399">
        <f>-BW43</f>
        <v/>
      </c>
      <c r="BX90" s="399">
        <f>-BX43</f>
        <v/>
      </c>
      <c r="BY90" s="399">
        <f>-BY43</f>
        <v/>
      </c>
      <c r="BZ90" s="399">
        <f>-BZ43</f>
        <v/>
      </c>
      <c r="CA90" s="399">
        <f>-CA43</f>
        <v/>
      </c>
      <c r="CB90" s="399">
        <f>-CB43</f>
        <v/>
      </c>
      <c r="CC90" s="399">
        <f>-CC43</f>
        <v/>
      </c>
      <c r="CD90" s="399">
        <f>-CD43</f>
        <v/>
      </c>
      <c r="CE90" s="399">
        <f>-CE43</f>
        <v/>
      </c>
      <c r="CF90" s="399">
        <f>-CF43</f>
        <v/>
      </c>
      <c r="CG90" s="399">
        <f>-CG43</f>
        <v/>
      </c>
      <c r="CH90" s="399">
        <f>-CH43</f>
        <v/>
      </c>
      <c r="CI90" s="399">
        <f>-CI43</f>
        <v/>
      </c>
      <c r="CJ90" s="399">
        <f>-CJ43</f>
        <v/>
      </c>
      <c r="CK90" s="399">
        <f>-CK43</f>
        <v/>
      </c>
      <c r="CL90" s="399">
        <f>-CL43</f>
        <v/>
      </c>
      <c r="CM90" s="399">
        <f>-CM43</f>
        <v/>
      </c>
      <c r="CN90" s="399">
        <f>-CN43</f>
        <v/>
      </c>
      <c r="CO90" s="399">
        <f>-CO43</f>
        <v/>
      </c>
      <c r="CP90" s="399">
        <f>-CP43</f>
        <v/>
      </c>
      <c r="CQ90" s="399">
        <f>-CQ43</f>
        <v/>
      </c>
      <c r="CR90" s="399">
        <f>-CR43</f>
        <v/>
      </c>
      <c r="CS90" s="399">
        <f>-CS43</f>
        <v/>
      </c>
      <c r="CT90" s="399">
        <f>-CT43</f>
        <v/>
      </c>
      <c r="CU90" s="399">
        <f>-CU43</f>
        <v/>
      </c>
      <c r="CV90" s="399">
        <f>-CV43</f>
        <v/>
      </c>
      <c r="CW90" s="399">
        <f>-CW43</f>
        <v/>
      </c>
      <c r="CX90" s="399">
        <f>-CX43</f>
        <v/>
      </c>
      <c r="CY90" s="399">
        <f>-CY43</f>
        <v/>
      </c>
      <c r="CZ90" s="399">
        <f>-CZ43</f>
        <v/>
      </c>
      <c r="DA90" s="399">
        <f>-DA43</f>
        <v/>
      </c>
      <c r="DB90" s="399">
        <f>-DB43</f>
        <v/>
      </c>
      <c r="DC90" s="399">
        <f>-DC43</f>
        <v/>
      </c>
      <c r="DD90" s="399">
        <f>-DD43</f>
        <v/>
      </c>
      <c r="DE90" s="399">
        <f>-DE43</f>
        <v/>
      </c>
    </row>
    <row r="91" hidden="1" outlineLevel="1" ht="15" customFormat="1" customHeight="1" s="380">
      <c r="A91" s="407" t="inlineStr">
        <is>
          <t>BD-19</t>
        </is>
      </c>
      <c r="B91" s="399" t="n">
        <v>0</v>
      </c>
      <c r="C91" s="399" t="n">
        <v>0</v>
      </c>
      <c r="D91" s="399" t="n">
        <v>0</v>
      </c>
      <c r="E91" s="399" t="n">
        <v>0</v>
      </c>
      <c r="F91" s="399">
        <f>-F44</f>
        <v/>
      </c>
      <c r="G91" s="399">
        <f>-G44</f>
        <v/>
      </c>
      <c r="H91" s="399">
        <f>-H44</f>
        <v/>
      </c>
      <c r="I91" s="399">
        <f>-I44</f>
        <v/>
      </c>
      <c r="J91" s="399">
        <f>-J44</f>
        <v/>
      </c>
      <c r="K91" s="399">
        <f>-K44</f>
        <v/>
      </c>
      <c r="L91" s="399">
        <f>-L44</f>
        <v/>
      </c>
      <c r="M91" s="399">
        <f>-M44</f>
        <v/>
      </c>
      <c r="N91" s="399">
        <f>-N44</f>
        <v/>
      </c>
      <c r="O91" s="399">
        <f>-O44</f>
        <v/>
      </c>
      <c r="P91" s="399">
        <f>-P44</f>
        <v/>
      </c>
      <c r="Q91" s="399">
        <f>-Q44</f>
        <v/>
      </c>
      <c r="R91" s="399">
        <f>-R44</f>
        <v/>
      </c>
      <c r="S91" s="399">
        <f>-S44</f>
        <v/>
      </c>
      <c r="T91" s="399">
        <f>-T44</f>
        <v/>
      </c>
      <c r="U91" s="399">
        <f>-U44</f>
        <v/>
      </c>
      <c r="V91" s="399">
        <f>-V44</f>
        <v/>
      </c>
      <c r="W91" s="399">
        <f>-W44</f>
        <v/>
      </c>
      <c r="X91" s="399">
        <f>-X44</f>
        <v/>
      </c>
      <c r="Y91" s="399">
        <f>-Y44</f>
        <v/>
      </c>
      <c r="Z91" s="399">
        <f>-Z44</f>
        <v/>
      </c>
      <c r="AA91" s="399">
        <f>-AA44</f>
        <v/>
      </c>
      <c r="AB91" s="399">
        <f>-AB44</f>
        <v/>
      </c>
      <c r="AC91" s="399">
        <f>-AC44</f>
        <v/>
      </c>
      <c r="AD91" s="399">
        <f>-AD44</f>
        <v/>
      </c>
      <c r="AE91" s="399">
        <f>-AE44</f>
        <v/>
      </c>
      <c r="AF91" s="399">
        <f>-AF44</f>
        <v/>
      </c>
      <c r="AG91" s="399">
        <f>-AG44</f>
        <v/>
      </c>
      <c r="AH91" s="399">
        <f>-AH44</f>
        <v/>
      </c>
      <c r="AI91" s="399">
        <f>-AI44</f>
        <v/>
      </c>
      <c r="AJ91" s="399">
        <f>-AJ44</f>
        <v/>
      </c>
      <c r="AK91" s="399">
        <f>-AK44</f>
        <v/>
      </c>
      <c r="AL91" s="399">
        <f>-AL44</f>
        <v/>
      </c>
      <c r="AM91" s="399">
        <f>-AM44</f>
        <v/>
      </c>
      <c r="AN91" s="399">
        <f>-AN44</f>
        <v/>
      </c>
      <c r="AO91" s="399">
        <f>-AO44</f>
        <v/>
      </c>
      <c r="AP91" s="399">
        <f>-AP44</f>
        <v/>
      </c>
      <c r="AQ91" s="399">
        <f>-AQ44</f>
        <v/>
      </c>
      <c r="AR91" s="399">
        <f>-AR44</f>
        <v/>
      </c>
      <c r="AS91" s="399">
        <f>-AS44</f>
        <v/>
      </c>
      <c r="AT91" s="399">
        <f>-AT44</f>
        <v/>
      </c>
      <c r="AU91" s="399">
        <f>-AU44</f>
        <v/>
      </c>
      <c r="AV91" s="399">
        <f>-AV44</f>
        <v/>
      </c>
      <c r="AW91" s="399">
        <f>-AW44</f>
        <v/>
      </c>
      <c r="AX91" s="399">
        <f>-AX44</f>
        <v/>
      </c>
      <c r="AY91" s="399">
        <f>-AY44</f>
        <v/>
      </c>
      <c r="AZ91" s="399">
        <f>-AZ44</f>
        <v/>
      </c>
      <c r="BA91" s="399">
        <f>-BA44</f>
        <v/>
      </c>
      <c r="BB91" s="399">
        <f>-BB44</f>
        <v/>
      </c>
      <c r="BC91" s="399">
        <f>-BC44</f>
        <v/>
      </c>
      <c r="BD91" s="399">
        <f>-BD44</f>
        <v/>
      </c>
      <c r="BE91" s="399">
        <f>-BE44</f>
        <v/>
      </c>
      <c r="BF91" s="399">
        <f>-BF44</f>
        <v/>
      </c>
      <c r="BG91" s="399">
        <f>-BG44</f>
        <v/>
      </c>
      <c r="BH91" s="399">
        <f>-BH44</f>
        <v/>
      </c>
      <c r="BI91" s="399">
        <f>-BI44</f>
        <v/>
      </c>
      <c r="BJ91" s="399">
        <f>-BJ44</f>
        <v/>
      </c>
      <c r="BK91" s="399">
        <f>-BK44</f>
        <v/>
      </c>
      <c r="BL91" s="399">
        <f>-BL44</f>
        <v/>
      </c>
      <c r="BM91" s="399">
        <f>-BM44</f>
        <v/>
      </c>
      <c r="BN91" s="399">
        <f>-BN44</f>
        <v/>
      </c>
      <c r="BO91" s="399">
        <f>-BO44</f>
        <v/>
      </c>
      <c r="BP91" s="399">
        <f>-BP44</f>
        <v/>
      </c>
      <c r="BQ91" s="399">
        <f>-BQ44</f>
        <v/>
      </c>
      <c r="BR91" s="399">
        <f>-BR44</f>
        <v/>
      </c>
      <c r="BS91" s="399">
        <f>-BS44</f>
        <v/>
      </c>
      <c r="BT91" s="399">
        <f>-BT44</f>
        <v/>
      </c>
      <c r="BU91" s="399">
        <f>-BU44</f>
        <v/>
      </c>
      <c r="BV91" s="399">
        <f>-BV44</f>
        <v/>
      </c>
      <c r="BW91" s="399">
        <f>-BW44</f>
        <v/>
      </c>
      <c r="BX91" s="399">
        <f>-BX44</f>
        <v/>
      </c>
      <c r="BY91" s="399">
        <f>-BY44</f>
        <v/>
      </c>
      <c r="BZ91" s="399">
        <f>-BZ44</f>
        <v/>
      </c>
      <c r="CA91" s="399">
        <f>-CA44</f>
        <v/>
      </c>
      <c r="CB91" s="399">
        <f>-CB44</f>
        <v/>
      </c>
      <c r="CC91" s="399">
        <f>-CC44</f>
        <v/>
      </c>
      <c r="CD91" s="399">
        <f>-CD44</f>
        <v/>
      </c>
      <c r="CE91" s="399">
        <f>-CE44</f>
        <v/>
      </c>
      <c r="CF91" s="399">
        <f>-CF44</f>
        <v/>
      </c>
      <c r="CG91" s="399">
        <f>-CG44</f>
        <v/>
      </c>
      <c r="CH91" s="399">
        <f>-CH44</f>
        <v/>
      </c>
      <c r="CI91" s="399">
        <f>-CI44</f>
        <v/>
      </c>
      <c r="CJ91" s="399">
        <f>-CJ44</f>
        <v/>
      </c>
      <c r="CK91" s="399">
        <f>-CK44</f>
        <v/>
      </c>
      <c r="CL91" s="399">
        <f>-CL44</f>
        <v/>
      </c>
      <c r="CM91" s="399">
        <f>-CM44</f>
        <v/>
      </c>
      <c r="CN91" s="399">
        <f>-CN44</f>
        <v/>
      </c>
      <c r="CO91" s="399">
        <f>-CO44</f>
        <v/>
      </c>
      <c r="CP91" s="399">
        <f>-CP44</f>
        <v/>
      </c>
      <c r="CQ91" s="399">
        <f>-CQ44</f>
        <v/>
      </c>
      <c r="CR91" s="399">
        <f>-CR44</f>
        <v/>
      </c>
      <c r="CS91" s="399">
        <f>-CS44</f>
        <v/>
      </c>
      <c r="CT91" s="399">
        <f>-CT44</f>
        <v/>
      </c>
      <c r="CU91" s="399">
        <f>-CU44</f>
        <v/>
      </c>
      <c r="CV91" s="399">
        <f>-CV44</f>
        <v/>
      </c>
      <c r="CW91" s="399">
        <f>-CW44</f>
        <v/>
      </c>
      <c r="CX91" s="399">
        <f>-CX44</f>
        <v/>
      </c>
      <c r="CY91" s="399">
        <f>-CY44</f>
        <v/>
      </c>
      <c r="CZ91" s="399">
        <f>-CZ44</f>
        <v/>
      </c>
      <c r="DA91" s="399">
        <f>-DA44</f>
        <v/>
      </c>
      <c r="DB91" s="399">
        <f>-DB44</f>
        <v/>
      </c>
      <c r="DC91" s="399">
        <f>-DC44</f>
        <v/>
      </c>
      <c r="DD91" s="399">
        <f>-DD44</f>
        <v/>
      </c>
      <c r="DE91" s="399">
        <f>-DE44</f>
        <v/>
      </c>
    </row>
    <row r="92" hidden="1" outlineLevel="1" ht="15" customFormat="1" customHeight="1" s="380">
      <c r="A92" s="407" t="inlineStr">
        <is>
          <t>BD-20</t>
        </is>
      </c>
      <c r="B92" s="399" t="n">
        <v>0</v>
      </c>
      <c r="C92" s="399" t="n">
        <v>0</v>
      </c>
      <c r="D92" s="399" t="n">
        <v>0</v>
      </c>
      <c r="E92" s="399" t="n">
        <v>0</v>
      </c>
      <c r="F92" s="399">
        <f>-F45</f>
        <v/>
      </c>
      <c r="G92" s="399">
        <f>-G45</f>
        <v/>
      </c>
      <c r="H92" s="399">
        <f>-H45</f>
        <v/>
      </c>
      <c r="I92" s="399">
        <f>-I45</f>
        <v/>
      </c>
      <c r="J92" s="399">
        <f>-J45</f>
        <v/>
      </c>
      <c r="K92" s="399">
        <f>-K45</f>
        <v/>
      </c>
      <c r="L92" s="399">
        <f>-L45</f>
        <v/>
      </c>
      <c r="M92" s="399">
        <f>-M45</f>
        <v/>
      </c>
      <c r="N92" s="399">
        <f>-N45</f>
        <v/>
      </c>
      <c r="O92" s="399">
        <f>-O45</f>
        <v/>
      </c>
      <c r="P92" s="399">
        <f>-P45</f>
        <v/>
      </c>
      <c r="Q92" s="399">
        <f>-Q45</f>
        <v/>
      </c>
      <c r="R92" s="399">
        <f>-R45</f>
        <v/>
      </c>
      <c r="S92" s="399">
        <f>-S45</f>
        <v/>
      </c>
      <c r="T92" s="399">
        <f>-T45</f>
        <v/>
      </c>
      <c r="U92" s="399">
        <f>-U45</f>
        <v/>
      </c>
      <c r="V92" s="399">
        <f>-V45</f>
        <v/>
      </c>
      <c r="W92" s="399">
        <f>-W45</f>
        <v/>
      </c>
      <c r="X92" s="399">
        <f>-X45</f>
        <v/>
      </c>
      <c r="Y92" s="399">
        <f>-Y45</f>
        <v/>
      </c>
      <c r="Z92" s="399">
        <f>-Z45</f>
        <v/>
      </c>
      <c r="AA92" s="399">
        <f>-AA45</f>
        <v/>
      </c>
      <c r="AB92" s="399">
        <f>-AB45</f>
        <v/>
      </c>
      <c r="AC92" s="399">
        <f>-AC45</f>
        <v/>
      </c>
      <c r="AD92" s="399">
        <f>-AD45</f>
        <v/>
      </c>
      <c r="AE92" s="399">
        <f>-AE45</f>
        <v/>
      </c>
      <c r="AF92" s="399">
        <f>-AF45</f>
        <v/>
      </c>
      <c r="AG92" s="399">
        <f>-AG45</f>
        <v/>
      </c>
      <c r="AH92" s="399">
        <f>-AH45</f>
        <v/>
      </c>
      <c r="AI92" s="399">
        <f>-AI45</f>
        <v/>
      </c>
      <c r="AJ92" s="399">
        <f>-AJ45</f>
        <v/>
      </c>
      <c r="AK92" s="399">
        <f>-AK45</f>
        <v/>
      </c>
      <c r="AL92" s="399">
        <f>-AL45</f>
        <v/>
      </c>
      <c r="AM92" s="399">
        <f>-AM45</f>
        <v/>
      </c>
      <c r="AN92" s="399">
        <f>-AN45</f>
        <v/>
      </c>
      <c r="AO92" s="399">
        <f>-AO45</f>
        <v/>
      </c>
      <c r="AP92" s="399">
        <f>-AP45</f>
        <v/>
      </c>
      <c r="AQ92" s="399">
        <f>-AQ45</f>
        <v/>
      </c>
      <c r="AR92" s="399">
        <f>-AR45</f>
        <v/>
      </c>
      <c r="AS92" s="399">
        <f>-AS45</f>
        <v/>
      </c>
      <c r="AT92" s="399">
        <f>-AT45</f>
        <v/>
      </c>
      <c r="AU92" s="399">
        <f>-AU45</f>
        <v/>
      </c>
      <c r="AV92" s="399">
        <f>-AV45</f>
        <v/>
      </c>
      <c r="AW92" s="399">
        <f>-AW45</f>
        <v/>
      </c>
      <c r="AX92" s="399">
        <f>-AX45</f>
        <v/>
      </c>
      <c r="AY92" s="399">
        <f>-AY45</f>
        <v/>
      </c>
      <c r="AZ92" s="399">
        <f>-AZ45</f>
        <v/>
      </c>
      <c r="BA92" s="399">
        <f>-BA45</f>
        <v/>
      </c>
      <c r="BB92" s="399">
        <f>-BB45</f>
        <v/>
      </c>
      <c r="BC92" s="399">
        <f>-BC45</f>
        <v/>
      </c>
      <c r="BD92" s="399">
        <f>-BD45</f>
        <v/>
      </c>
      <c r="BE92" s="399">
        <f>-BE45</f>
        <v/>
      </c>
      <c r="BF92" s="399">
        <f>-BF45</f>
        <v/>
      </c>
      <c r="BG92" s="399">
        <f>-BG45</f>
        <v/>
      </c>
      <c r="BH92" s="399">
        <f>-BH45</f>
        <v/>
      </c>
      <c r="BI92" s="399">
        <f>-BI45</f>
        <v/>
      </c>
      <c r="BJ92" s="399">
        <f>-BJ45</f>
        <v/>
      </c>
      <c r="BK92" s="399">
        <f>-BK45</f>
        <v/>
      </c>
      <c r="BL92" s="399">
        <f>-BL45</f>
        <v/>
      </c>
      <c r="BM92" s="399">
        <f>-BM45</f>
        <v/>
      </c>
      <c r="BN92" s="399">
        <f>-BN45</f>
        <v/>
      </c>
      <c r="BO92" s="399">
        <f>-BO45</f>
        <v/>
      </c>
      <c r="BP92" s="399">
        <f>-BP45</f>
        <v/>
      </c>
      <c r="BQ92" s="399">
        <f>-BQ45</f>
        <v/>
      </c>
      <c r="BR92" s="399">
        <f>-BR45</f>
        <v/>
      </c>
      <c r="BS92" s="399">
        <f>-BS45</f>
        <v/>
      </c>
      <c r="BT92" s="399">
        <f>-BT45</f>
        <v/>
      </c>
      <c r="BU92" s="399">
        <f>-BU45</f>
        <v/>
      </c>
      <c r="BV92" s="399">
        <f>-BV45</f>
        <v/>
      </c>
      <c r="BW92" s="399">
        <f>-BW45</f>
        <v/>
      </c>
      <c r="BX92" s="399">
        <f>-BX45</f>
        <v/>
      </c>
      <c r="BY92" s="399">
        <f>-BY45</f>
        <v/>
      </c>
      <c r="BZ92" s="399">
        <f>-BZ45</f>
        <v/>
      </c>
      <c r="CA92" s="399">
        <f>-CA45</f>
        <v/>
      </c>
      <c r="CB92" s="399">
        <f>-CB45</f>
        <v/>
      </c>
      <c r="CC92" s="399">
        <f>-CC45</f>
        <v/>
      </c>
      <c r="CD92" s="399">
        <f>-CD45</f>
        <v/>
      </c>
      <c r="CE92" s="399">
        <f>-CE45</f>
        <v/>
      </c>
      <c r="CF92" s="399">
        <f>-CF45</f>
        <v/>
      </c>
      <c r="CG92" s="399">
        <f>-CG45</f>
        <v/>
      </c>
      <c r="CH92" s="399">
        <f>-CH45</f>
        <v/>
      </c>
      <c r="CI92" s="399">
        <f>-CI45</f>
        <v/>
      </c>
      <c r="CJ92" s="399">
        <f>-CJ45</f>
        <v/>
      </c>
      <c r="CK92" s="399">
        <f>-CK45</f>
        <v/>
      </c>
      <c r="CL92" s="399">
        <f>-CL45</f>
        <v/>
      </c>
      <c r="CM92" s="399">
        <f>-CM45</f>
        <v/>
      </c>
      <c r="CN92" s="399">
        <f>-CN45</f>
        <v/>
      </c>
      <c r="CO92" s="399">
        <f>-CO45</f>
        <v/>
      </c>
      <c r="CP92" s="399">
        <f>-CP45</f>
        <v/>
      </c>
      <c r="CQ92" s="399">
        <f>-CQ45</f>
        <v/>
      </c>
      <c r="CR92" s="399">
        <f>-CR45</f>
        <v/>
      </c>
      <c r="CS92" s="399">
        <f>-CS45</f>
        <v/>
      </c>
      <c r="CT92" s="399">
        <f>-CT45</f>
        <v/>
      </c>
      <c r="CU92" s="399">
        <f>-CU45</f>
        <v/>
      </c>
      <c r="CV92" s="399">
        <f>-CV45</f>
        <v/>
      </c>
      <c r="CW92" s="399">
        <f>-CW45</f>
        <v/>
      </c>
      <c r="CX92" s="399">
        <f>-CX45</f>
        <v/>
      </c>
      <c r="CY92" s="399">
        <f>-CY45</f>
        <v/>
      </c>
      <c r="CZ92" s="399">
        <f>-CZ45</f>
        <v/>
      </c>
      <c r="DA92" s="399">
        <f>-DA45</f>
        <v/>
      </c>
      <c r="DB92" s="399">
        <f>-DB45</f>
        <v/>
      </c>
      <c r="DC92" s="399">
        <f>-DC45</f>
        <v/>
      </c>
      <c r="DD92" s="399">
        <f>-DD45</f>
        <v/>
      </c>
      <c r="DE92" s="399">
        <f>-DE45</f>
        <v/>
      </c>
    </row>
    <row r="93" hidden="1" outlineLevel="1" ht="15" customFormat="1" customHeight="1" s="380">
      <c r="A93" s="407" t="inlineStr">
        <is>
          <t>BD-21</t>
        </is>
      </c>
      <c r="B93" s="399" t="n">
        <v>0</v>
      </c>
      <c r="C93" s="399" t="n">
        <v>0</v>
      </c>
      <c r="D93" s="399" t="n">
        <v>0</v>
      </c>
      <c r="E93" s="399" t="n">
        <v>0</v>
      </c>
      <c r="F93" s="399">
        <f>-F46</f>
        <v/>
      </c>
      <c r="G93" s="399">
        <f>-G46</f>
        <v/>
      </c>
      <c r="H93" s="399">
        <f>-H46</f>
        <v/>
      </c>
      <c r="I93" s="399">
        <f>-I46</f>
        <v/>
      </c>
      <c r="J93" s="399">
        <f>-J46</f>
        <v/>
      </c>
      <c r="K93" s="399">
        <f>-K46</f>
        <v/>
      </c>
      <c r="L93" s="399">
        <f>-L46</f>
        <v/>
      </c>
      <c r="M93" s="399">
        <f>-M46</f>
        <v/>
      </c>
      <c r="N93" s="399">
        <f>-N46</f>
        <v/>
      </c>
      <c r="O93" s="399">
        <f>-O46</f>
        <v/>
      </c>
      <c r="P93" s="399">
        <f>-P46</f>
        <v/>
      </c>
      <c r="Q93" s="399">
        <f>-Q46</f>
        <v/>
      </c>
      <c r="R93" s="399">
        <f>-R46</f>
        <v/>
      </c>
      <c r="S93" s="399">
        <f>-S46</f>
        <v/>
      </c>
      <c r="T93" s="399">
        <f>-T46</f>
        <v/>
      </c>
      <c r="U93" s="399">
        <f>-U46</f>
        <v/>
      </c>
      <c r="V93" s="399">
        <f>-V46</f>
        <v/>
      </c>
      <c r="W93" s="399">
        <f>-W46</f>
        <v/>
      </c>
      <c r="X93" s="399">
        <f>-X46</f>
        <v/>
      </c>
      <c r="Y93" s="399">
        <f>-Y46</f>
        <v/>
      </c>
      <c r="Z93" s="399">
        <f>-Z46</f>
        <v/>
      </c>
      <c r="AA93" s="399">
        <f>-AA46</f>
        <v/>
      </c>
      <c r="AB93" s="399">
        <f>-AB46</f>
        <v/>
      </c>
      <c r="AC93" s="399">
        <f>-AC46</f>
        <v/>
      </c>
      <c r="AD93" s="399">
        <f>-AD46</f>
        <v/>
      </c>
      <c r="AE93" s="399">
        <f>-AE46</f>
        <v/>
      </c>
      <c r="AF93" s="399">
        <f>-AF46</f>
        <v/>
      </c>
      <c r="AG93" s="399">
        <f>-AG46</f>
        <v/>
      </c>
      <c r="AH93" s="399">
        <f>-AH46</f>
        <v/>
      </c>
      <c r="AI93" s="399">
        <f>-AI46</f>
        <v/>
      </c>
      <c r="AJ93" s="399">
        <f>-AJ46</f>
        <v/>
      </c>
      <c r="AK93" s="399">
        <f>-AK46</f>
        <v/>
      </c>
      <c r="AL93" s="399">
        <f>-AL46</f>
        <v/>
      </c>
      <c r="AM93" s="399">
        <f>-AM46</f>
        <v/>
      </c>
      <c r="AN93" s="399">
        <f>-AN46</f>
        <v/>
      </c>
      <c r="AO93" s="399">
        <f>-AO46</f>
        <v/>
      </c>
      <c r="AP93" s="399">
        <f>-AP46</f>
        <v/>
      </c>
      <c r="AQ93" s="399">
        <f>-AQ46</f>
        <v/>
      </c>
      <c r="AR93" s="399">
        <f>-AR46</f>
        <v/>
      </c>
      <c r="AS93" s="399">
        <f>-AS46</f>
        <v/>
      </c>
      <c r="AT93" s="399">
        <f>-AT46</f>
        <v/>
      </c>
      <c r="AU93" s="399">
        <f>-AU46</f>
        <v/>
      </c>
      <c r="AV93" s="399">
        <f>-AV46</f>
        <v/>
      </c>
      <c r="AW93" s="399">
        <f>-AW46</f>
        <v/>
      </c>
      <c r="AX93" s="399">
        <f>-AX46</f>
        <v/>
      </c>
      <c r="AY93" s="399">
        <f>-AY46</f>
        <v/>
      </c>
      <c r="AZ93" s="399">
        <f>-AZ46</f>
        <v/>
      </c>
      <c r="BA93" s="399">
        <f>-BA46</f>
        <v/>
      </c>
      <c r="BB93" s="399">
        <f>-BB46</f>
        <v/>
      </c>
      <c r="BC93" s="399">
        <f>-BC46</f>
        <v/>
      </c>
      <c r="BD93" s="399">
        <f>-BD46</f>
        <v/>
      </c>
      <c r="BE93" s="399">
        <f>-BE46</f>
        <v/>
      </c>
      <c r="BF93" s="399">
        <f>-BF46</f>
        <v/>
      </c>
      <c r="BG93" s="399">
        <f>-BG46</f>
        <v/>
      </c>
      <c r="BH93" s="399">
        <f>-BH46</f>
        <v/>
      </c>
      <c r="BI93" s="399">
        <f>-BI46</f>
        <v/>
      </c>
      <c r="BJ93" s="399">
        <f>-BJ46</f>
        <v/>
      </c>
      <c r="BK93" s="399">
        <f>-BK46</f>
        <v/>
      </c>
      <c r="BL93" s="399">
        <f>-BL46</f>
        <v/>
      </c>
      <c r="BM93" s="399">
        <f>-BM46</f>
        <v/>
      </c>
      <c r="BN93" s="399">
        <f>-BN46</f>
        <v/>
      </c>
      <c r="BO93" s="399">
        <f>-BO46</f>
        <v/>
      </c>
      <c r="BP93" s="399">
        <f>-BP46</f>
        <v/>
      </c>
      <c r="BQ93" s="399">
        <f>-BQ46</f>
        <v/>
      </c>
      <c r="BR93" s="399">
        <f>-BR46</f>
        <v/>
      </c>
      <c r="BS93" s="399">
        <f>-BS46</f>
        <v/>
      </c>
      <c r="BT93" s="399">
        <f>-BT46</f>
        <v/>
      </c>
      <c r="BU93" s="399">
        <f>-BU46</f>
        <v/>
      </c>
      <c r="BV93" s="399">
        <f>-BV46</f>
        <v/>
      </c>
      <c r="BW93" s="399">
        <f>-BW46</f>
        <v/>
      </c>
      <c r="BX93" s="399">
        <f>-BX46</f>
        <v/>
      </c>
      <c r="BY93" s="399">
        <f>-BY46</f>
        <v/>
      </c>
      <c r="BZ93" s="399">
        <f>-BZ46</f>
        <v/>
      </c>
      <c r="CA93" s="399">
        <f>-CA46</f>
        <v/>
      </c>
      <c r="CB93" s="399">
        <f>-CB46</f>
        <v/>
      </c>
      <c r="CC93" s="399">
        <f>-CC46</f>
        <v/>
      </c>
      <c r="CD93" s="399">
        <f>-CD46</f>
        <v/>
      </c>
      <c r="CE93" s="399">
        <f>-CE46</f>
        <v/>
      </c>
      <c r="CF93" s="399">
        <f>-CF46</f>
        <v/>
      </c>
      <c r="CG93" s="399">
        <f>-CG46</f>
        <v/>
      </c>
      <c r="CH93" s="399">
        <f>-CH46</f>
        <v/>
      </c>
      <c r="CI93" s="399">
        <f>-CI46</f>
        <v/>
      </c>
      <c r="CJ93" s="399">
        <f>-CJ46</f>
        <v/>
      </c>
      <c r="CK93" s="399">
        <f>-CK46</f>
        <v/>
      </c>
      <c r="CL93" s="399">
        <f>-CL46</f>
        <v/>
      </c>
      <c r="CM93" s="399">
        <f>-CM46</f>
        <v/>
      </c>
      <c r="CN93" s="399">
        <f>-CN46</f>
        <v/>
      </c>
      <c r="CO93" s="399">
        <f>-CO46</f>
        <v/>
      </c>
      <c r="CP93" s="399">
        <f>-CP46</f>
        <v/>
      </c>
      <c r="CQ93" s="399">
        <f>-CQ46</f>
        <v/>
      </c>
      <c r="CR93" s="399">
        <f>-CR46</f>
        <v/>
      </c>
      <c r="CS93" s="399">
        <f>-CS46</f>
        <v/>
      </c>
      <c r="CT93" s="399">
        <f>-CT46</f>
        <v/>
      </c>
      <c r="CU93" s="399">
        <f>-CU46</f>
        <v/>
      </c>
      <c r="CV93" s="399">
        <f>-CV46</f>
        <v/>
      </c>
      <c r="CW93" s="399">
        <f>-CW46</f>
        <v/>
      </c>
      <c r="CX93" s="399">
        <f>-CX46</f>
        <v/>
      </c>
      <c r="CY93" s="399">
        <f>-CY46</f>
        <v/>
      </c>
      <c r="CZ93" s="399">
        <f>-CZ46</f>
        <v/>
      </c>
      <c r="DA93" s="399">
        <f>-DA46</f>
        <v/>
      </c>
      <c r="DB93" s="399">
        <f>-DB46</f>
        <v/>
      </c>
      <c r="DC93" s="399">
        <f>-DC46</f>
        <v/>
      </c>
      <c r="DD93" s="399">
        <f>-DD46</f>
        <v/>
      </c>
      <c r="DE93" s="399">
        <f>-DE46</f>
        <v/>
      </c>
    </row>
    <row r="94" hidden="1" outlineLevel="1" ht="15" customFormat="1" customHeight="1" s="380">
      <c r="A94" s="407" t="inlineStr">
        <is>
          <t>BD-22</t>
        </is>
      </c>
      <c r="B94" s="399" t="n">
        <v>0</v>
      </c>
      <c r="C94" s="399" t="n">
        <v>0</v>
      </c>
      <c r="D94" s="399" t="n">
        <v>0</v>
      </c>
      <c r="E94" s="399" t="n">
        <v>0</v>
      </c>
      <c r="F94" s="399">
        <f>-F47</f>
        <v/>
      </c>
      <c r="G94" s="399">
        <f>-G47</f>
        <v/>
      </c>
      <c r="H94" s="399">
        <f>-H47</f>
        <v/>
      </c>
      <c r="I94" s="399">
        <f>-I47</f>
        <v/>
      </c>
      <c r="J94" s="399">
        <f>-J47</f>
        <v/>
      </c>
      <c r="K94" s="399">
        <f>-K47</f>
        <v/>
      </c>
      <c r="L94" s="399">
        <f>-L47</f>
        <v/>
      </c>
      <c r="M94" s="399">
        <f>-M47</f>
        <v/>
      </c>
      <c r="N94" s="399">
        <f>-N47</f>
        <v/>
      </c>
      <c r="O94" s="399">
        <f>-O47</f>
        <v/>
      </c>
      <c r="P94" s="399">
        <f>-P47</f>
        <v/>
      </c>
      <c r="Q94" s="399">
        <f>-Q47</f>
        <v/>
      </c>
      <c r="R94" s="399">
        <f>-R47</f>
        <v/>
      </c>
      <c r="S94" s="399">
        <f>-S47</f>
        <v/>
      </c>
      <c r="T94" s="399">
        <f>-T47</f>
        <v/>
      </c>
      <c r="U94" s="399">
        <f>-U47</f>
        <v/>
      </c>
      <c r="V94" s="399">
        <f>-V47</f>
        <v/>
      </c>
      <c r="W94" s="399">
        <f>-W47</f>
        <v/>
      </c>
      <c r="X94" s="399">
        <f>-X47</f>
        <v/>
      </c>
      <c r="Y94" s="399">
        <f>-Y47</f>
        <v/>
      </c>
      <c r="Z94" s="399">
        <f>-Z47</f>
        <v/>
      </c>
      <c r="AA94" s="399">
        <f>-AA47</f>
        <v/>
      </c>
      <c r="AB94" s="399">
        <f>-AB47</f>
        <v/>
      </c>
      <c r="AC94" s="399">
        <f>-AC47</f>
        <v/>
      </c>
      <c r="AD94" s="399">
        <f>-AD47</f>
        <v/>
      </c>
      <c r="AE94" s="399">
        <f>-AE47</f>
        <v/>
      </c>
      <c r="AF94" s="399">
        <f>-AF47</f>
        <v/>
      </c>
      <c r="AG94" s="399">
        <f>-AG47</f>
        <v/>
      </c>
      <c r="AH94" s="399">
        <f>-AH47</f>
        <v/>
      </c>
      <c r="AI94" s="399">
        <f>-AI47</f>
        <v/>
      </c>
      <c r="AJ94" s="399">
        <f>-AJ47</f>
        <v/>
      </c>
      <c r="AK94" s="399">
        <f>-AK47</f>
        <v/>
      </c>
      <c r="AL94" s="399">
        <f>-AL47</f>
        <v/>
      </c>
      <c r="AM94" s="399">
        <f>-AM47</f>
        <v/>
      </c>
      <c r="AN94" s="399">
        <f>-AN47</f>
        <v/>
      </c>
      <c r="AO94" s="399">
        <f>-AO47</f>
        <v/>
      </c>
      <c r="AP94" s="399">
        <f>-AP47</f>
        <v/>
      </c>
      <c r="AQ94" s="399">
        <f>-AQ47</f>
        <v/>
      </c>
      <c r="AR94" s="399">
        <f>-AR47</f>
        <v/>
      </c>
      <c r="AS94" s="399">
        <f>-AS47</f>
        <v/>
      </c>
      <c r="AT94" s="399">
        <f>-AT47</f>
        <v/>
      </c>
      <c r="AU94" s="399">
        <f>-AU47</f>
        <v/>
      </c>
      <c r="AV94" s="399">
        <f>-AV47</f>
        <v/>
      </c>
      <c r="AW94" s="399">
        <f>-AW47</f>
        <v/>
      </c>
      <c r="AX94" s="399">
        <f>-AX47</f>
        <v/>
      </c>
      <c r="AY94" s="399">
        <f>-AY47</f>
        <v/>
      </c>
      <c r="AZ94" s="399">
        <f>-AZ47</f>
        <v/>
      </c>
      <c r="BA94" s="399">
        <f>-BA47</f>
        <v/>
      </c>
      <c r="BB94" s="399">
        <f>-BB47</f>
        <v/>
      </c>
      <c r="BC94" s="399">
        <f>-BC47</f>
        <v/>
      </c>
      <c r="BD94" s="399">
        <f>-BD47</f>
        <v/>
      </c>
      <c r="BE94" s="399">
        <f>-BE47</f>
        <v/>
      </c>
      <c r="BF94" s="399">
        <f>-BF47</f>
        <v/>
      </c>
      <c r="BG94" s="399">
        <f>-BG47</f>
        <v/>
      </c>
      <c r="BH94" s="399">
        <f>-BH47</f>
        <v/>
      </c>
      <c r="BI94" s="399">
        <f>-BI47</f>
        <v/>
      </c>
      <c r="BJ94" s="399">
        <f>-BJ47</f>
        <v/>
      </c>
      <c r="BK94" s="399">
        <f>-BK47</f>
        <v/>
      </c>
      <c r="BL94" s="399">
        <f>-BL47</f>
        <v/>
      </c>
      <c r="BM94" s="399">
        <f>-BM47</f>
        <v/>
      </c>
      <c r="BN94" s="399">
        <f>-BN47</f>
        <v/>
      </c>
      <c r="BO94" s="399">
        <f>-BO47</f>
        <v/>
      </c>
      <c r="BP94" s="399">
        <f>-BP47</f>
        <v/>
      </c>
      <c r="BQ94" s="399">
        <f>-BQ47</f>
        <v/>
      </c>
      <c r="BR94" s="399">
        <f>-BR47</f>
        <v/>
      </c>
      <c r="BS94" s="399">
        <f>-BS47</f>
        <v/>
      </c>
      <c r="BT94" s="399">
        <f>-BT47</f>
        <v/>
      </c>
      <c r="BU94" s="399">
        <f>-BU47</f>
        <v/>
      </c>
      <c r="BV94" s="399">
        <f>-BV47</f>
        <v/>
      </c>
      <c r="BW94" s="399">
        <f>-BW47</f>
        <v/>
      </c>
      <c r="BX94" s="399">
        <f>-BX47</f>
        <v/>
      </c>
      <c r="BY94" s="399">
        <f>-BY47</f>
        <v/>
      </c>
      <c r="BZ94" s="399">
        <f>-BZ47</f>
        <v/>
      </c>
      <c r="CA94" s="399">
        <f>-CA47</f>
        <v/>
      </c>
      <c r="CB94" s="399">
        <f>-CB47</f>
        <v/>
      </c>
      <c r="CC94" s="399">
        <f>-CC47</f>
        <v/>
      </c>
      <c r="CD94" s="399">
        <f>-CD47</f>
        <v/>
      </c>
      <c r="CE94" s="399">
        <f>-CE47</f>
        <v/>
      </c>
      <c r="CF94" s="399">
        <f>-CF47</f>
        <v/>
      </c>
      <c r="CG94" s="399">
        <f>-CG47</f>
        <v/>
      </c>
      <c r="CH94" s="399">
        <f>-CH47</f>
        <v/>
      </c>
      <c r="CI94" s="399">
        <f>-CI47</f>
        <v/>
      </c>
      <c r="CJ94" s="399">
        <f>-CJ47</f>
        <v/>
      </c>
      <c r="CK94" s="399">
        <f>-CK47</f>
        <v/>
      </c>
      <c r="CL94" s="399">
        <f>-CL47</f>
        <v/>
      </c>
      <c r="CM94" s="399">
        <f>-CM47</f>
        <v/>
      </c>
      <c r="CN94" s="399">
        <f>-CN47</f>
        <v/>
      </c>
      <c r="CO94" s="399">
        <f>-CO47</f>
        <v/>
      </c>
      <c r="CP94" s="399">
        <f>-CP47</f>
        <v/>
      </c>
      <c r="CQ94" s="399">
        <f>-CQ47</f>
        <v/>
      </c>
      <c r="CR94" s="399">
        <f>-CR47</f>
        <v/>
      </c>
      <c r="CS94" s="399">
        <f>-CS47</f>
        <v/>
      </c>
      <c r="CT94" s="399">
        <f>-CT47</f>
        <v/>
      </c>
      <c r="CU94" s="399">
        <f>-CU47</f>
        <v/>
      </c>
      <c r="CV94" s="399">
        <f>-CV47</f>
        <v/>
      </c>
      <c r="CW94" s="399">
        <f>-CW47</f>
        <v/>
      </c>
      <c r="CX94" s="399">
        <f>-CX47</f>
        <v/>
      </c>
      <c r="CY94" s="399">
        <f>-CY47</f>
        <v/>
      </c>
      <c r="CZ94" s="399">
        <f>-CZ47</f>
        <v/>
      </c>
      <c r="DA94" s="399">
        <f>-DA47</f>
        <v/>
      </c>
      <c r="DB94" s="399">
        <f>-DB47</f>
        <v/>
      </c>
      <c r="DC94" s="399">
        <f>-DC47</f>
        <v/>
      </c>
      <c r="DD94" s="399">
        <f>-DD47</f>
        <v/>
      </c>
      <c r="DE94" s="399">
        <f>-DE47</f>
        <v/>
      </c>
    </row>
    <row r="95" hidden="1" outlineLevel="1" ht="15" customFormat="1" customHeight="1" s="380">
      <c r="A95" s="407" t="inlineStr">
        <is>
          <t>BD-23</t>
        </is>
      </c>
      <c r="B95" s="399" t="n">
        <v>0</v>
      </c>
      <c r="C95" s="399" t="n">
        <v>0</v>
      </c>
      <c r="D95" s="399" t="n">
        <v>0</v>
      </c>
      <c r="E95" s="399" t="n">
        <v>0</v>
      </c>
      <c r="F95" s="399">
        <f>-F48</f>
        <v/>
      </c>
      <c r="G95" s="399">
        <f>-G48</f>
        <v/>
      </c>
      <c r="H95" s="399">
        <f>-H48</f>
        <v/>
      </c>
      <c r="I95" s="399">
        <f>-I48</f>
        <v/>
      </c>
      <c r="J95" s="399">
        <f>-J48</f>
        <v/>
      </c>
      <c r="K95" s="399">
        <f>-K48</f>
        <v/>
      </c>
      <c r="L95" s="399">
        <f>-L48</f>
        <v/>
      </c>
      <c r="M95" s="399">
        <f>-M48</f>
        <v/>
      </c>
      <c r="N95" s="399">
        <f>-N48</f>
        <v/>
      </c>
      <c r="O95" s="399">
        <f>-O48</f>
        <v/>
      </c>
      <c r="P95" s="399">
        <f>-P48</f>
        <v/>
      </c>
      <c r="Q95" s="399">
        <f>-Q48</f>
        <v/>
      </c>
      <c r="R95" s="399">
        <f>-R48</f>
        <v/>
      </c>
      <c r="S95" s="399">
        <f>-S48</f>
        <v/>
      </c>
      <c r="T95" s="399">
        <f>-T48</f>
        <v/>
      </c>
      <c r="U95" s="399">
        <f>-U48</f>
        <v/>
      </c>
      <c r="V95" s="399">
        <f>-V48</f>
        <v/>
      </c>
      <c r="W95" s="399">
        <f>-W48</f>
        <v/>
      </c>
      <c r="X95" s="399">
        <f>-X48</f>
        <v/>
      </c>
      <c r="Y95" s="399">
        <f>-Y48</f>
        <v/>
      </c>
      <c r="Z95" s="399">
        <f>-Z48</f>
        <v/>
      </c>
      <c r="AA95" s="399">
        <f>-AA48</f>
        <v/>
      </c>
      <c r="AB95" s="399">
        <f>-AB48</f>
        <v/>
      </c>
      <c r="AC95" s="399">
        <f>-AC48</f>
        <v/>
      </c>
      <c r="AD95" s="399">
        <f>-AD48</f>
        <v/>
      </c>
      <c r="AE95" s="399">
        <f>-AE48</f>
        <v/>
      </c>
      <c r="AF95" s="399">
        <f>-AF48</f>
        <v/>
      </c>
      <c r="AG95" s="399">
        <f>-AG48</f>
        <v/>
      </c>
      <c r="AH95" s="399">
        <f>-AH48</f>
        <v/>
      </c>
      <c r="AI95" s="399">
        <f>-AI48</f>
        <v/>
      </c>
      <c r="AJ95" s="399">
        <f>-AJ48</f>
        <v/>
      </c>
      <c r="AK95" s="399">
        <f>-AK48</f>
        <v/>
      </c>
      <c r="AL95" s="399">
        <f>-AL48</f>
        <v/>
      </c>
      <c r="AM95" s="399">
        <f>-AM48</f>
        <v/>
      </c>
      <c r="AN95" s="399">
        <f>-AN48</f>
        <v/>
      </c>
      <c r="AO95" s="399">
        <f>-AO48</f>
        <v/>
      </c>
      <c r="AP95" s="399">
        <f>-AP48</f>
        <v/>
      </c>
      <c r="AQ95" s="399">
        <f>-AQ48</f>
        <v/>
      </c>
      <c r="AR95" s="399">
        <f>-AR48</f>
        <v/>
      </c>
      <c r="AS95" s="399">
        <f>-AS48</f>
        <v/>
      </c>
      <c r="AT95" s="399">
        <f>-AT48</f>
        <v/>
      </c>
      <c r="AU95" s="399">
        <f>-AU48</f>
        <v/>
      </c>
      <c r="AV95" s="399">
        <f>-AV48</f>
        <v/>
      </c>
      <c r="AW95" s="399">
        <f>-AW48</f>
        <v/>
      </c>
      <c r="AX95" s="399">
        <f>-AX48</f>
        <v/>
      </c>
      <c r="AY95" s="399">
        <f>-AY48</f>
        <v/>
      </c>
      <c r="AZ95" s="399">
        <f>-AZ48</f>
        <v/>
      </c>
      <c r="BA95" s="399">
        <f>-BA48</f>
        <v/>
      </c>
      <c r="BB95" s="399">
        <f>-BB48</f>
        <v/>
      </c>
      <c r="BC95" s="399">
        <f>-BC48</f>
        <v/>
      </c>
      <c r="BD95" s="399">
        <f>-BD48</f>
        <v/>
      </c>
      <c r="BE95" s="399">
        <f>-BE48</f>
        <v/>
      </c>
      <c r="BF95" s="399">
        <f>-BF48</f>
        <v/>
      </c>
      <c r="BG95" s="399">
        <f>-BG48</f>
        <v/>
      </c>
      <c r="BH95" s="399">
        <f>-BH48</f>
        <v/>
      </c>
      <c r="BI95" s="399">
        <f>-BI48</f>
        <v/>
      </c>
      <c r="BJ95" s="399">
        <f>-BJ48</f>
        <v/>
      </c>
      <c r="BK95" s="399">
        <f>-BK48</f>
        <v/>
      </c>
      <c r="BL95" s="399">
        <f>-BL48</f>
        <v/>
      </c>
      <c r="BM95" s="399">
        <f>-BM48</f>
        <v/>
      </c>
      <c r="BN95" s="399">
        <f>-BN48</f>
        <v/>
      </c>
      <c r="BO95" s="399">
        <f>-BO48</f>
        <v/>
      </c>
      <c r="BP95" s="399">
        <f>-BP48</f>
        <v/>
      </c>
      <c r="BQ95" s="399">
        <f>-BQ48</f>
        <v/>
      </c>
      <c r="BR95" s="399">
        <f>-BR48</f>
        <v/>
      </c>
      <c r="BS95" s="399">
        <f>-BS48</f>
        <v/>
      </c>
      <c r="BT95" s="399">
        <f>-BT48</f>
        <v/>
      </c>
      <c r="BU95" s="399">
        <f>-BU48</f>
        <v/>
      </c>
      <c r="BV95" s="399">
        <f>-BV48</f>
        <v/>
      </c>
      <c r="BW95" s="399">
        <f>-BW48</f>
        <v/>
      </c>
      <c r="BX95" s="399">
        <f>-BX48</f>
        <v/>
      </c>
      <c r="BY95" s="399">
        <f>-BY48</f>
        <v/>
      </c>
      <c r="BZ95" s="399">
        <f>-BZ48</f>
        <v/>
      </c>
      <c r="CA95" s="399">
        <f>-CA48</f>
        <v/>
      </c>
      <c r="CB95" s="399">
        <f>-CB48</f>
        <v/>
      </c>
      <c r="CC95" s="399">
        <f>-CC48</f>
        <v/>
      </c>
      <c r="CD95" s="399">
        <f>-CD48</f>
        <v/>
      </c>
      <c r="CE95" s="399">
        <f>-CE48</f>
        <v/>
      </c>
      <c r="CF95" s="399">
        <f>-CF48</f>
        <v/>
      </c>
      <c r="CG95" s="399">
        <f>-CG48</f>
        <v/>
      </c>
      <c r="CH95" s="399">
        <f>-CH48</f>
        <v/>
      </c>
      <c r="CI95" s="399">
        <f>-CI48</f>
        <v/>
      </c>
      <c r="CJ95" s="399">
        <f>-CJ48</f>
        <v/>
      </c>
      <c r="CK95" s="399">
        <f>-CK48</f>
        <v/>
      </c>
      <c r="CL95" s="399">
        <f>-CL48</f>
        <v/>
      </c>
      <c r="CM95" s="399">
        <f>-CM48</f>
        <v/>
      </c>
      <c r="CN95" s="399">
        <f>-CN48</f>
        <v/>
      </c>
      <c r="CO95" s="399">
        <f>-CO48</f>
        <v/>
      </c>
      <c r="CP95" s="399">
        <f>-CP48</f>
        <v/>
      </c>
      <c r="CQ95" s="399">
        <f>-CQ48</f>
        <v/>
      </c>
      <c r="CR95" s="399">
        <f>-CR48</f>
        <v/>
      </c>
      <c r="CS95" s="399">
        <f>-CS48</f>
        <v/>
      </c>
      <c r="CT95" s="399">
        <f>-CT48</f>
        <v/>
      </c>
      <c r="CU95" s="399">
        <f>-CU48</f>
        <v/>
      </c>
      <c r="CV95" s="399">
        <f>-CV48</f>
        <v/>
      </c>
      <c r="CW95" s="399">
        <f>-CW48</f>
        <v/>
      </c>
      <c r="CX95" s="399">
        <f>-CX48</f>
        <v/>
      </c>
      <c r="CY95" s="399">
        <f>-CY48</f>
        <v/>
      </c>
      <c r="CZ95" s="399">
        <f>-CZ48</f>
        <v/>
      </c>
      <c r="DA95" s="399">
        <f>-DA48</f>
        <v/>
      </c>
      <c r="DB95" s="399">
        <f>-DB48</f>
        <v/>
      </c>
      <c r="DC95" s="399">
        <f>-DC48</f>
        <v/>
      </c>
      <c r="DD95" s="399">
        <f>-DD48</f>
        <v/>
      </c>
      <c r="DE95" s="399">
        <f>-DE48</f>
        <v/>
      </c>
    </row>
    <row r="96" hidden="1" outlineLevel="1" ht="15" customFormat="1" customHeight="1" s="380">
      <c r="A96" s="407" t="inlineStr">
        <is>
          <t>BD-24</t>
        </is>
      </c>
      <c r="B96" s="399" t="n">
        <v>0</v>
      </c>
      <c r="C96" s="399" t="n">
        <v>0</v>
      </c>
      <c r="D96" s="399" t="n">
        <v>0</v>
      </c>
      <c r="E96" s="399" t="n">
        <v>0</v>
      </c>
      <c r="F96" s="399">
        <f>-F49</f>
        <v/>
      </c>
      <c r="G96" s="399">
        <f>-G49</f>
        <v/>
      </c>
      <c r="H96" s="399">
        <f>-H49</f>
        <v/>
      </c>
      <c r="I96" s="399">
        <f>-I49</f>
        <v/>
      </c>
      <c r="J96" s="399">
        <f>-J49</f>
        <v/>
      </c>
      <c r="K96" s="399">
        <f>-K49</f>
        <v/>
      </c>
      <c r="L96" s="399">
        <f>-L49</f>
        <v/>
      </c>
      <c r="M96" s="399">
        <f>-M49</f>
        <v/>
      </c>
      <c r="N96" s="399">
        <f>-N49</f>
        <v/>
      </c>
      <c r="O96" s="399">
        <f>-O49</f>
        <v/>
      </c>
      <c r="P96" s="399">
        <f>-P49</f>
        <v/>
      </c>
      <c r="Q96" s="399">
        <f>-Q49</f>
        <v/>
      </c>
      <c r="R96" s="399">
        <f>-R49</f>
        <v/>
      </c>
      <c r="S96" s="399">
        <f>-S49</f>
        <v/>
      </c>
      <c r="T96" s="399">
        <f>-T49</f>
        <v/>
      </c>
      <c r="U96" s="399">
        <f>-U49</f>
        <v/>
      </c>
      <c r="V96" s="399">
        <f>-V49</f>
        <v/>
      </c>
      <c r="W96" s="399">
        <f>-W49</f>
        <v/>
      </c>
      <c r="X96" s="399">
        <f>-X49</f>
        <v/>
      </c>
      <c r="Y96" s="399">
        <f>-Y49</f>
        <v/>
      </c>
      <c r="Z96" s="399">
        <f>-Z49</f>
        <v/>
      </c>
      <c r="AA96" s="399">
        <f>-AA49</f>
        <v/>
      </c>
      <c r="AB96" s="399">
        <f>-AB49</f>
        <v/>
      </c>
      <c r="AC96" s="399">
        <f>-AC49</f>
        <v/>
      </c>
      <c r="AD96" s="399">
        <f>-AD49</f>
        <v/>
      </c>
      <c r="AE96" s="399">
        <f>-AE49</f>
        <v/>
      </c>
      <c r="AF96" s="399">
        <f>-AF49</f>
        <v/>
      </c>
      <c r="AG96" s="399">
        <f>-AG49</f>
        <v/>
      </c>
      <c r="AH96" s="399">
        <f>-AH49</f>
        <v/>
      </c>
      <c r="AI96" s="399">
        <f>-AI49</f>
        <v/>
      </c>
      <c r="AJ96" s="399">
        <f>-AJ49</f>
        <v/>
      </c>
      <c r="AK96" s="399">
        <f>-AK49</f>
        <v/>
      </c>
      <c r="AL96" s="399">
        <f>-AL49</f>
        <v/>
      </c>
      <c r="AM96" s="399">
        <f>-AM49</f>
        <v/>
      </c>
      <c r="AN96" s="399">
        <f>-AN49</f>
        <v/>
      </c>
      <c r="AO96" s="399">
        <f>-AO49</f>
        <v/>
      </c>
      <c r="AP96" s="399">
        <f>-AP49</f>
        <v/>
      </c>
      <c r="AQ96" s="399">
        <f>-AQ49</f>
        <v/>
      </c>
      <c r="AR96" s="399">
        <f>-AR49</f>
        <v/>
      </c>
      <c r="AS96" s="399">
        <f>-AS49</f>
        <v/>
      </c>
      <c r="AT96" s="399">
        <f>-AT49</f>
        <v/>
      </c>
      <c r="AU96" s="399">
        <f>-AU49</f>
        <v/>
      </c>
      <c r="AV96" s="399">
        <f>-AV49</f>
        <v/>
      </c>
      <c r="AW96" s="399">
        <f>-AW49</f>
        <v/>
      </c>
      <c r="AX96" s="399">
        <f>-AX49</f>
        <v/>
      </c>
      <c r="AY96" s="399">
        <f>-AY49</f>
        <v/>
      </c>
      <c r="AZ96" s="399">
        <f>-AZ49</f>
        <v/>
      </c>
      <c r="BA96" s="399">
        <f>-BA49</f>
        <v/>
      </c>
      <c r="BB96" s="399">
        <f>-BB49</f>
        <v/>
      </c>
      <c r="BC96" s="399">
        <f>-BC49</f>
        <v/>
      </c>
      <c r="BD96" s="399">
        <f>-BD49</f>
        <v/>
      </c>
      <c r="BE96" s="399">
        <f>-BE49</f>
        <v/>
      </c>
      <c r="BF96" s="399">
        <f>-BF49</f>
        <v/>
      </c>
      <c r="BG96" s="399">
        <f>-BG49</f>
        <v/>
      </c>
      <c r="BH96" s="399">
        <f>-BH49</f>
        <v/>
      </c>
      <c r="BI96" s="399">
        <f>-BI49</f>
        <v/>
      </c>
      <c r="BJ96" s="399">
        <f>-BJ49</f>
        <v/>
      </c>
      <c r="BK96" s="399">
        <f>-BK49</f>
        <v/>
      </c>
      <c r="BL96" s="399">
        <f>-BL49</f>
        <v/>
      </c>
      <c r="BM96" s="399">
        <f>-BM49</f>
        <v/>
      </c>
      <c r="BN96" s="399">
        <f>-BN49</f>
        <v/>
      </c>
      <c r="BO96" s="399">
        <f>-BO49</f>
        <v/>
      </c>
      <c r="BP96" s="399">
        <f>-BP49</f>
        <v/>
      </c>
      <c r="BQ96" s="399">
        <f>-BQ49</f>
        <v/>
      </c>
      <c r="BR96" s="399">
        <f>-BR49</f>
        <v/>
      </c>
      <c r="BS96" s="399">
        <f>-BS49</f>
        <v/>
      </c>
      <c r="BT96" s="399">
        <f>-BT49</f>
        <v/>
      </c>
      <c r="BU96" s="399">
        <f>-BU49</f>
        <v/>
      </c>
      <c r="BV96" s="399">
        <f>-BV49</f>
        <v/>
      </c>
      <c r="BW96" s="399">
        <f>-BW49</f>
        <v/>
      </c>
      <c r="BX96" s="399">
        <f>-BX49</f>
        <v/>
      </c>
      <c r="BY96" s="399">
        <f>-BY49</f>
        <v/>
      </c>
      <c r="BZ96" s="399">
        <f>-BZ49</f>
        <v/>
      </c>
      <c r="CA96" s="399">
        <f>-CA49</f>
        <v/>
      </c>
      <c r="CB96" s="399">
        <f>-CB49</f>
        <v/>
      </c>
      <c r="CC96" s="399">
        <f>-CC49</f>
        <v/>
      </c>
      <c r="CD96" s="399">
        <f>-CD49</f>
        <v/>
      </c>
      <c r="CE96" s="399">
        <f>-CE49</f>
        <v/>
      </c>
      <c r="CF96" s="399">
        <f>-CF49</f>
        <v/>
      </c>
      <c r="CG96" s="399">
        <f>-CG49</f>
        <v/>
      </c>
      <c r="CH96" s="399">
        <f>-CH49</f>
        <v/>
      </c>
      <c r="CI96" s="399">
        <f>-CI49</f>
        <v/>
      </c>
      <c r="CJ96" s="399">
        <f>-CJ49</f>
        <v/>
      </c>
      <c r="CK96" s="399">
        <f>-CK49</f>
        <v/>
      </c>
      <c r="CL96" s="399">
        <f>-CL49</f>
        <v/>
      </c>
      <c r="CM96" s="399">
        <f>-CM49</f>
        <v/>
      </c>
      <c r="CN96" s="399">
        <f>-CN49</f>
        <v/>
      </c>
      <c r="CO96" s="399">
        <f>-CO49</f>
        <v/>
      </c>
      <c r="CP96" s="399">
        <f>-CP49</f>
        <v/>
      </c>
      <c r="CQ96" s="399">
        <f>-CQ49</f>
        <v/>
      </c>
      <c r="CR96" s="399">
        <f>-CR49</f>
        <v/>
      </c>
      <c r="CS96" s="399">
        <f>-CS49</f>
        <v/>
      </c>
      <c r="CT96" s="399">
        <f>-CT49</f>
        <v/>
      </c>
      <c r="CU96" s="399">
        <f>-CU49</f>
        <v/>
      </c>
      <c r="CV96" s="399">
        <f>-CV49</f>
        <v/>
      </c>
      <c r="CW96" s="399">
        <f>-CW49</f>
        <v/>
      </c>
      <c r="CX96" s="399">
        <f>-CX49</f>
        <v/>
      </c>
      <c r="CY96" s="399">
        <f>-CY49</f>
        <v/>
      </c>
      <c r="CZ96" s="399">
        <f>-CZ49</f>
        <v/>
      </c>
      <c r="DA96" s="399">
        <f>-DA49</f>
        <v/>
      </c>
      <c r="DB96" s="399">
        <f>-DB49</f>
        <v/>
      </c>
      <c r="DC96" s="399">
        <f>-DC49</f>
        <v/>
      </c>
      <c r="DD96" s="399">
        <f>-DD49</f>
        <v/>
      </c>
      <c r="DE96" s="399">
        <f>-DE49</f>
        <v/>
      </c>
    </row>
    <row r="97" hidden="1" outlineLevel="1" ht="15" customFormat="1" customHeight="1" s="380">
      <c r="A97" s="407" t="inlineStr">
        <is>
          <t>BD-25</t>
        </is>
      </c>
      <c r="B97" s="399" t="n">
        <v>0</v>
      </c>
      <c r="C97" s="399" t="n">
        <v>0</v>
      </c>
      <c r="D97" s="399" t="n">
        <v>0</v>
      </c>
      <c r="E97" s="399" t="n">
        <v>0</v>
      </c>
      <c r="F97" s="399">
        <f>-F50</f>
        <v/>
      </c>
      <c r="G97" s="399">
        <f>-G50</f>
        <v/>
      </c>
      <c r="H97" s="399">
        <f>-H50</f>
        <v/>
      </c>
      <c r="I97" s="399">
        <f>-I50</f>
        <v/>
      </c>
      <c r="J97" s="399">
        <f>-J50</f>
        <v/>
      </c>
      <c r="K97" s="399">
        <f>-K50</f>
        <v/>
      </c>
      <c r="L97" s="399">
        <f>-L50</f>
        <v/>
      </c>
      <c r="M97" s="399">
        <f>-M50</f>
        <v/>
      </c>
      <c r="N97" s="399">
        <f>-N50</f>
        <v/>
      </c>
      <c r="O97" s="399">
        <f>-O50</f>
        <v/>
      </c>
      <c r="P97" s="399">
        <f>-P50</f>
        <v/>
      </c>
      <c r="Q97" s="399">
        <f>-Q50</f>
        <v/>
      </c>
      <c r="R97" s="399">
        <f>-R50</f>
        <v/>
      </c>
      <c r="S97" s="399">
        <f>-S50</f>
        <v/>
      </c>
      <c r="T97" s="399">
        <f>-T50</f>
        <v/>
      </c>
      <c r="U97" s="399">
        <f>-U50</f>
        <v/>
      </c>
      <c r="V97" s="399">
        <f>-V50</f>
        <v/>
      </c>
      <c r="W97" s="399">
        <f>-W50</f>
        <v/>
      </c>
      <c r="X97" s="399">
        <f>-X50</f>
        <v/>
      </c>
      <c r="Y97" s="399">
        <f>-Y50</f>
        <v/>
      </c>
      <c r="Z97" s="399">
        <f>-Z50</f>
        <v/>
      </c>
      <c r="AA97" s="399">
        <f>-AA50</f>
        <v/>
      </c>
      <c r="AB97" s="399">
        <f>-AB50</f>
        <v/>
      </c>
      <c r="AC97" s="399">
        <f>-AC50</f>
        <v/>
      </c>
      <c r="AD97" s="399">
        <f>-AD50</f>
        <v/>
      </c>
      <c r="AE97" s="399">
        <f>-AE50</f>
        <v/>
      </c>
      <c r="AF97" s="399">
        <f>-AF50</f>
        <v/>
      </c>
      <c r="AG97" s="399">
        <f>-AG50</f>
        <v/>
      </c>
      <c r="AH97" s="399">
        <f>-AH50</f>
        <v/>
      </c>
      <c r="AI97" s="399">
        <f>-AI50</f>
        <v/>
      </c>
      <c r="AJ97" s="399">
        <f>-AJ50</f>
        <v/>
      </c>
      <c r="AK97" s="399">
        <f>-AK50</f>
        <v/>
      </c>
      <c r="AL97" s="399">
        <f>-AL50</f>
        <v/>
      </c>
      <c r="AM97" s="399">
        <f>-AM50</f>
        <v/>
      </c>
      <c r="AN97" s="399">
        <f>-AN50</f>
        <v/>
      </c>
      <c r="AO97" s="399">
        <f>-AO50</f>
        <v/>
      </c>
      <c r="AP97" s="399">
        <f>-AP50</f>
        <v/>
      </c>
      <c r="AQ97" s="399">
        <f>-AQ50</f>
        <v/>
      </c>
      <c r="AR97" s="399">
        <f>-AR50</f>
        <v/>
      </c>
      <c r="AS97" s="399">
        <f>-AS50</f>
        <v/>
      </c>
      <c r="AT97" s="399">
        <f>-AT50</f>
        <v/>
      </c>
      <c r="AU97" s="399">
        <f>-AU50</f>
        <v/>
      </c>
      <c r="AV97" s="399">
        <f>-AV50</f>
        <v/>
      </c>
      <c r="AW97" s="399">
        <f>-AW50</f>
        <v/>
      </c>
      <c r="AX97" s="399">
        <f>-AX50</f>
        <v/>
      </c>
      <c r="AY97" s="399">
        <f>-AY50</f>
        <v/>
      </c>
      <c r="AZ97" s="399">
        <f>-AZ50</f>
        <v/>
      </c>
      <c r="BA97" s="399">
        <f>-BA50</f>
        <v/>
      </c>
      <c r="BB97" s="399">
        <f>-BB50</f>
        <v/>
      </c>
      <c r="BC97" s="399">
        <f>-BC50</f>
        <v/>
      </c>
      <c r="BD97" s="399">
        <f>-BD50</f>
        <v/>
      </c>
      <c r="BE97" s="399">
        <f>-BE50</f>
        <v/>
      </c>
      <c r="BF97" s="399">
        <f>-BF50</f>
        <v/>
      </c>
      <c r="BG97" s="399">
        <f>-BG50</f>
        <v/>
      </c>
      <c r="BH97" s="399">
        <f>-BH50</f>
        <v/>
      </c>
      <c r="BI97" s="399">
        <f>-BI50</f>
        <v/>
      </c>
      <c r="BJ97" s="399">
        <f>-BJ50</f>
        <v/>
      </c>
      <c r="BK97" s="399">
        <f>-BK50</f>
        <v/>
      </c>
      <c r="BL97" s="399">
        <f>-BL50</f>
        <v/>
      </c>
      <c r="BM97" s="399">
        <f>-BM50</f>
        <v/>
      </c>
      <c r="BN97" s="399">
        <f>-BN50</f>
        <v/>
      </c>
      <c r="BO97" s="399">
        <f>-BO50</f>
        <v/>
      </c>
      <c r="BP97" s="399">
        <f>-BP50</f>
        <v/>
      </c>
      <c r="BQ97" s="399">
        <f>-BQ50</f>
        <v/>
      </c>
      <c r="BR97" s="399">
        <f>-BR50</f>
        <v/>
      </c>
      <c r="BS97" s="399">
        <f>-BS50</f>
        <v/>
      </c>
      <c r="BT97" s="399">
        <f>-BT50</f>
        <v/>
      </c>
      <c r="BU97" s="399">
        <f>-BU50</f>
        <v/>
      </c>
      <c r="BV97" s="399">
        <f>-BV50</f>
        <v/>
      </c>
      <c r="BW97" s="399">
        <f>-BW50</f>
        <v/>
      </c>
      <c r="BX97" s="399">
        <f>-BX50</f>
        <v/>
      </c>
      <c r="BY97" s="399">
        <f>-BY50</f>
        <v/>
      </c>
      <c r="BZ97" s="399">
        <f>-BZ50</f>
        <v/>
      </c>
      <c r="CA97" s="399">
        <f>-CA50</f>
        <v/>
      </c>
      <c r="CB97" s="399">
        <f>-CB50</f>
        <v/>
      </c>
      <c r="CC97" s="399">
        <f>-CC50</f>
        <v/>
      </c>
      <c r="CD97" s="399">
        <f>-CD50</f>
        <v/>
      </c>
      <c r="CE97" s="399">
        <f>-CE50</f>
        <v/>
      </c>
      <c r="CF97" s="399">
        <f>-CF50</f>
        <v/>
      </c>
      <c r="CG97" s="399">
        <f>-CG50</f>
        <v/>
      </c>
      <c r="CH97" s="399">
        <f>-CH50</f>
        <v/>
      </c>
      <c r="CI97" s="399">
        <f>-CI50</f>
        <v/>
      </c>
      <c r="CJ97" s="399">
        <f>-CJ50</f>
        <v/>
      </c>
      <c r="CK97" s="399">
        <f>-CK50</f>
        <v/>
      </c>
      <c r="CL97" s="399">
        <f>-CL50</f>
        <v/>
      </c>
      <c r="CM97" s="399">
        <f>-CM50</f>
        <v/>
      </c>
      <c r="CN97" s="399">
        <f>-CN50</f>
        <v/>
      </c>
      <c r="CO97" s="399">
        <f>-CO50</f>
        <v/>
      </c>
      <c r="CP97" s="399">
        <f>-CP50</f>
        <v/>
      </c>
      <c r="CQ97" s="399">
        <f>-CQ50</f>
        <v/>
      </c>
      <c r="CR97" s="399">
        <f>-CR50</f>
        <v/>
      </c>
      <c r="CS97" s="399">
        <f>-CS50</f>
        <v/>
      </c>
      <c r="CT97" s="399">
        <f>-CT50</f>
        <v/>
      </c>
      <c r="CU97" s="399">
        <f>-CU50</f>
        <v/>
      </c>
      <c r="CV97" s="399">
        <f>-CV50</f>
        <v/>
      </c>
      <c r="CW97" s="399">
        <f>-CW50</f>
        <v/>
      </c>
      <c r="CX97" s="399">
        <f>-CX50</f>
        <v/>
      </c>
      <c r="CY97" s="399">
        <f>-CY50</f>
        <v/>
      </c>
      <c r="CZ97" s="399">
        <f>-CZ50</f>
        <v/>
      </c>
      <c r="DA97" s="399">
        <f>-DA50</f>
        <v/>
      </c>
      <c r="DB97" s="399">
        <f>-DB50</f>
        <v/>
      </c>
      <c r="DC97" s="399">
        <f>-DC50</f>
        <v/>
      </c>
      <c r="DD97" s="399">
        <f>-DD50</f>
        <v/>
      </c>
      <c r="DE97" s="399">
        <f>-DE50</f>
        <v/>
      </c>
    </row>
    <row r="98" hidden="1" outlineLevel="1" ht="15" customFormat="1" customHeight="1" s="380">
      <c r="A98" s="407" t="inlineStr">
        <is>
          <t>BD-26</t>
        </is>
      </c>
      <c r="B98" s="399" t="n">
        <v>0</v>
      </c>
      <c r="C98" s="399" t="n">
        <v>0</v>
      </c>
      <c r="D98" s="399" t="n">
        <v>0</v>
      </c>
      <c r="E98" s="399" t="n">
        <v>0</v>
      </c>
      <c r="F98" s="399">
        <f>-F51</f>
        <v/>
      </c>
      <c r="G98" s="399">
        <f>-G51</f>
        <v/>
      </c>
      <c r="H98" s="399">
        <f>-H51</f>
        <v/>
      </c>
      <c r="I98" s="399">
        <f>-I51</f>
        <v/>
      </c>
      <c r="J98" s="399">
        <f>-J51</f>
        <v/>
      </c>
      <c r="K98" s="399">
        <f>-K51</f>
        <v/>
      </c>
      <c r="L98" s="399">
        <f>-L51</f>
        <v/>
      </c>
      <c r="M98" s="399">
        <f>-M51</f>
        <v/>
      </c>
      <c r="N98" s="399">
        <f>-N51</f>
        <v/>
      </c>
      <c r="O98" s="399">
        <f>-O51</f>
        <v/>
      </c>
      <c r="P98" s="399">
        <f>-P51</f>
        <v/>
      </c>
      <c r="Q98" s="399">
        <f>-Q51</f>
        <v/>
      </c>
      <c r="R98" s="399">
        <f>-R51</f>
        <v/>
      </c>
      <c r="S98" s="399">
        <f>-S51</f>
        <v/>
      </c>
      <c r="T98" s="399">
        <f>-T51</f>
        <v/>
      </c>
      <c r="U98" s="399">
        <f>-U51</f>
        <v/>
      </c>
      <c r="V98" s="399">
        <f>-V51</f>
        <v/>
      </c>
      <c r="W98" s="399">
        <f>-W51</f>
        <v/>
      </c>
      <c r="X98" s="399">
        <f>-X51</f>
        <v/>
      </c>
      <c r="Y98" s="399">
        <f>-Y51</f>
        <v/>
      </c>
      <c r="Z98" s="399">
        <f>-Z51</f>
        <v/>
      </c>
      <c r="AA98" s="399">
        <f>-AA51</f>
        <v/>
      </c>
      <c r="AB98" s="399">
        <f>-AB51</f>
        <v/>
      </c>
      <c r="AC98" s="399">
        <f>-AC51</f>
        <v/>
      </c>
      <c r="AD98" s="399">
        <f>-AD51</f>
        <v/>
      </c>
      <c r="AE98" s="399">
        <f>-AE51</f>
        <v/>
      </c>
      <c r="AF98" s="399">
        <f>-AF51</f>
        <v/>
      </c>
      <c r="AG98" s="399">
        <f>-AG51</f>
        <v/>
      </c>
      <c r="AH98" s="399">
        <f>-AH51</f>
        <v/>
      </c>
      <c r="AI98" s="399">
        <f>-AI51</f>
        <v/>
      </c>
      <c r="AJ98" s="399">
        <f>-AJ51</f>
        <v/>
      </c>
      <c r="AK98" s="399">
        <f>-AK51</f>
        <v/>
      </c>
      <c r="AL98" s="399">
        <f>-AL51</f>
        <v/>
      </c>
      <c r="AM98" s="399">
        <f>-AM51</f>
        <v/>
      </c>
      <c r="AN98" s="399">
        <f>-AN51</f>
        <v/>
      </c>
      <c r="AO98" s="399">
        <f>-AO51</f>
        <v/>
      </c>
      <c r="AP98" s="399">
        <f>-AP51</f>
        <v/>
      </c>
      <c r="AQ98" s="399">
        <f>-AQ51</f>
        <v/>
      </c>
      <c r="AR98" s="399">
        <f>-AR51</f>
        <v/>
      </c>
      <c r="AS98" s="399">
        <f>-AS51</f>
        <v/>
      </c>
      <c r="AT98" s="399">
        <f>-AT51</f>
        <v/>
      </c>
      <c r="AU98" s="399">
        <f>-AU51</f>
        <v/>
      </c>
      <c r="AV98" s="399">
        <f>-AV51</f>
        <v/>
      </c>
      <c r="AW98" s="399">
        <f>-AW51</f>
        <v/>
      </c>
      <c r="AX98" s="399">
        <f>-AX51</f>
        <v/>
      </c>
      <c r="AY98" s="399">
        <f>-AY51</f>
        <v/>
      </c>
      <c r="AZ98" s="399">
        <f>-AZ51</f>
        <v/>
      </c>
      <c r="BA98" s="399">
        <f>-BA51</f>
        <v/>
      </c>
      <c r="BB98" s="399">
        <f>-BB51</f>
        <v/>
      </c>
      <c r="BC98" s="399">
        <f>-BC51</f>
        <v/>
      </c>
      <c r="BD98" s="399">
        <f>-BD51</f>
        <v/>
      </c>
      <c r="BE98" s="399">
        <f>-BE51</f>
        <v/>
      </c>
      <c r="BF98" s="399">
        <f>-BF51</f>
        <v/>
      </c>
      <c r="BG98" s="399">
        <f>-BG51</f>
        <v/>
      </c>
      <c r="BH98" s="399">
        <f>-BH51</f>
        <v/>
      </c>
      <c r="BI98" s="399">
        <f>-BI51</f>
        <v/>
      </c>
      <c r="BJ98" s="399">
        <f>-BJ51</f>
        <v/>
      </c>
      <c r="BK98" s="399">
        <f>-BK51</f>
        <v/>
      </c>
      <c r="BL98" s="399">
        <f>-BL51</f>
        <v/>
      </c>
      <c r="BM98" s="399">
        <f>-BM51</f>
        <v/>
      </c>
      <c r="BN98" s="399">
        <f>-BN51</f>
        <v/>
      </c>
      <c r="BO98" s="399">
        <f>-BO51</f>
        <v/>
      </c>
      <c r="BP98" s="399">
        <f>-BP51</f>
        <v/>
      </c>
      <c r="BQ98" s="399">
        <f>-BQ51</f>
        <v/>
      </c>
      <c r="BR98" s="399">
        <f>-BR51</f>
        <v/>
      </c>
      <c r="BS98" s="399">
        <f>-BS51</f>
        <v/>
      </c>
      <c r="BT98" s="399">
        <f>-BT51</f>
        <v/>
      </c>
      <c r="BU98" s="399">
        <f>-BU51</f>
        <v/>
      </c>
      <c r="BV98" s="399">
        <f>-BV51</f>
        <v/>
      </c>
      <c r="BW98" s="399">
        <f>-BW51</f>
        <v/>
      </c>
      <c r="BX98" s="399">
        <f>-BX51</f>
        <v/>
      </c>
      <c r="BY98" s="399">
        <f>-BY51</f>
        <v/>
      </c>
      <c r="BZ98" s="399">
        <f>-BZ51</f>
        <v/>
      </c>
      <c r="CA98" s="399">
        <f>-CA51</f>
        <v/>
      </c>
      <c r="CB98" s="399">
        <f>-CB51</f>
        <v/>
      </c>
      <c r="CC98" s="399">
        <f>-CC51</f>
        <v/>
      </c>
      <c r="CD98" s="399">
        <f>-CD51</f>
        <v/>
      </c>
      <c r="CE98" s="399">
        <f>-CE51</f>
        <v/>
      </c>
      <c r="CF98" s="399">
        <f>-CF51</f>
        <v/>
      </c>
      <c r="CG98" s="399">
        <f>-CG51</f>
        <v/>
      </c>
      <c r="CH98" s="399">
        <f>-CH51</f>
        <v/>
      </c>
      <c r="CI98" s="399">
        <f>-CI51</f>
        <v/>
      </c>
      <c r="CJ98" s="399">
        <f>-CJ51</f>
        <v/>
      </c>
      <c r="CK98" s="399">
        <f>-CK51</f>
        <v/>
      </c>
      <c r="CL98" s="399">
        <f>-CL51</f>
        <v/>
      </c>
      <c r="CM98" s="399">
        <f>-CM51</f>
        <v/>
      </c>
      <c r="CN98" s="399">
        <f>-CN51</f>
        <v/>
      </c>
      <c r="CO98" s="399">
        <f>-CO51</f>
        <v/>
      </c>
      <c r="CP98" s="399">
        <f>-CP51</f>
        <v/>
      </c>
      <c r="CQ98" s="399">
        <f>-CQ51</f>
        <v/>
      </c>
      <c r="CR98" s="399">
        <f>-CR51</f>
        <v/>
      </c>
      <c r="CS98" s="399">
        <f>-CS51</f>
        <v/>
      </c>
      <c r="CT98" s="399">
        <f>-CT51</f>
        <v/>
      </c>
      <c r="CU98" s="399">
        <f>-CU51</f>
        <v/>
      </c>
      <c r="CV98" s="399">
        <f>-CV51</f>
        <v/>
      </c>
      <c r="CW98" s="399">
        <f>-CW51</f>
        <v/>
      </c>
      <c r="CX98" s="399">
        <f>-CX51</f>
        <v/>
      </c>
      <c r="CY98" s="399">
        <f>-CY51</f>
        <v/>
      </c>
      <c r="CZ98" s="399">
        <f>-CZ51</f>
        <v/>
      </c>
      <c r="DA98" s="399">
        <f>-DA51</f>
        <v/>
      </c>
      <c r="DB98" s="399">
        <f>-DB51</f>
        <v/>
      </c>
      <c r="DC98" s="399">
        <f>-DC51</f>
        <v/>
      </c>
      <c r="DD98" s="399">
        <f>-DD51</f>
        <v/>
      </c>
      <c r="DE98" s="399">
        <f>-DE51</f>
        <v/>
      </c>
    </row>
    <row r="99" hidden="1" outlineLevel="1" ht="15" customFormat="1" customHeight="1" s="380">
      <c r="A99" s="407" t="inlineStr">
        <is>
          <t>BD-27</t>
        </is>
      </c>
      <c r="B99" s="399" t="n">
        <v>0</v>
      </c>
      <c r="C99" s="399" t="n">
        <v>0</v>
      </c>
      <c r="D99" s="399" t="n">
        <v>0</v>
      </c>
      <c r="E99" s="399" t="n">
        <v>0</v>
      </c>
      <c r="F99" s="399">
        <f>-F52</f>
        <v/>
      </c>
      <c r="G99" s="399">
        <f>-G52</f>
        <v/>
      </c>
      <c r="H99" s="399">
        <f>-H52</f>
        <v/>
      </c>
      <c r="I99" s="399">
        <f>-I52</f>
        <v/>
      </c>
      <c r="J99" s="399">
        <f>-J52</f>
        <v/>
      </c>
      <c r="K99" s="399">
        <f>-K52</f>
        <v/>
      </c>
      <c r="L99" s="399">
        <f>-L52</f>
        <v/>
      </c>
      <c r="M99" s="399">
        <f>-M52</f>
        <v/>
      </c>
      <c r="N99" s="399">
        <f>-N52</f>
        <v/>
      </c>
      <c r="O99" s="399">
        <f>-O52</f>
        <v/>
      </c>
      <c r="P99" s="399">
        <f>-P52</f>
        <v/>
      </c>
      <c r="Q99" s="399">
        <f>-Q52</f>
        <v/>
      </c>
      <c r="R99" s="399">
        <f>-R52</f>
        <v/>
      </c>
      <c r="S99" s="399">
        <f>-S52</f>
        <v/>
      </c>
      <c r="T99" s="399">
        <f>-T52</f>
        <v/>
      </c>
      <c r="U99" s="399">
        <f>-U52</f>
        <v/>
      </c>
      <c r="V99" s="399">
        <f>-V52</f>
        <v/>
      </c>
      <c r="W99" s="399">
        <f>-W52</f>
        <v/>
      </c>
      <c r="X99" s="399">
        <f>-X52</f>
        <v/>
      </c>
      <c r="Y99" s="399">
        <f>-Y52</f>
        <v/>
      </c>
      <c r="Z99" s="399">
        <f>-Z52</f>
        <v/>
      </c>
      <c r="AA99" s="399">
        <f>-AA52</f>
        <v/>
      </c>
      <c r="AB99" s="399">
        <f>-AB52</f>
        <v/>
      </c>
      <c r="AC99" s="399">
        <f>-AC52</f>
        <v/>
      </c>
      <c r="AD99" s="399">
        <f>-AD52</f>
        <v/>
      </c>
      <c r="AE99" s="399">
        <f>-AE52</f>
        <v/>
      </c>
      <c r="AF99" s="399">
        <f>-AF52</f>
        <v/>
      </c>
      <c r="AG99" s="399">
        <f>-AG52</f>
        <v/>
      </c>
      <c r="AH99" s="399">
        <f>-AH52</f>
        <v/>
      </c>
      <c r="AI99" s="399">
        <f>-AI52</f>
        <v/>
      </c>
      <c r="AJ99" s="399">
        <f>-AJ52</f>
        <v/>
      </c>
      <c r="AK99" s="399">
        <f>-AK52</f>
        <v/>
      </c>
      <c r="AL99" s="399">
        <f>-AL52</f>
        <v/>
      </c>
      <c r="AM99" s="399">
        <f>-AM52</f>
        <v/>
      </c>
      <c r="AN99" s="399">
        <f>-AN52</f>
        <v/>
      </c>
      <c r="AO99" s="399">
        <f>-AO52</f>
        <v/>
      </c>
      <c r="AP99" s="399">
        <f>-AP52</f>
        <v/>
      </c>
      <c r="AQ99" s="399">
        <f>-AQ52</f>
        <v/>
      </c>
      <c r="AR99" s="399">
        <f>-AR52</f>
        <v/>
      </c>
      <c r="AS99" s="399">
        <f>-AS52</f>
        <v/>
      </c>
      <c r="AT99" s="399">
        <f>-AT52</f>
        <v/>
      </c>
      <c r="AU99" s="399">
        <f>-AU52</f>
        <v/>
      </c>
      <c r="AV99" s="399">
        <f>-AV52</f>
        <v/>
      </c>
      <c r="AW99" s="399">
        <f>-AW52</f>
        <v/>
      </c>
      <c r="AX99" s="399">
        <f>-AX52</f>
        <v/>
      </c>
      <c r="AY99" s="399">
        <f>-AY52</f>
        <v/>
      </c>
      <c r="AZ99" s="399">
        <f>-AZ52</f>
        <v/>
      </c>
      <c r="BA99" s="399">
        <f>-BA52</f>
        <v/>
      </c>
      <c r="BB99" s="399">
        <f>-BB52</f>
        <v/>
      </c>
      <c r="BC99" s="399">
        <f>-BC52</f>
        <v/>
      </c>
      <c r="BD99" s="399">
        <f>-BD52</f>
        <v/>
      </c>
      <c r="BE99" s="399">
        <f>-BE52</f>
        <v/>
      </c>
      <c r="BF99" s="399">
        <f>-BF52</f>
        <v/>
      </c>
      <c r="BG99" s="399">
        <f>-BG52</f>
        <v/>
      </c>
      <c r="BH99" s="399">
        <f>-BH52</f>
        <v/>
      </c>
      <c r="BI99" s="399">
        <f>-BI52</f>
        <v/>
      </c>
      <c r="BJ99" s="399">
        <f>-BJ52</f>
        <v/>
      </c>
      <c r="BK99" s="399">
        <f>-BK52</f>
        <v/>
      </c>
      <c r="BL99" s="399">
        <f>-BL52</f>
        <v/>
      </c>
      <c r="BM99" s="399">
        <f>-BM52</f>
        <v/>
      </c>
      <c r="BN99" s="399">
        <f>-BN52</f>
        <v/>
      </c>
      <c r="BO99" s="399">
        <f>-BO52</f>
        <v/>
      </c>
      <c r="BP99" s="399">
        <f>-BP52</f>
        <v/>
      </c>
      <c r="BQ99" s="399">
        <f>-BQ52</f>
        <v/>
      </c>
      <c r="BR99" s="399">
        <f>-BR52</f>
        <v/>
      </c>
      <c r="BS99" s="399">
        <f>-BS52</f>
        <v/>
      </c>
      <c r="BT99" s="399">
        <f>-BT52</f>
        <v/>
      </c>
      <c r="BU99" s="399">
        <f>-BU52</f>
        <v/>
      </c>
      <c r="BV99" s="399">
        <f>-BV52</f>
        <v/>
      </c>
      <c r="BW99" s="399">
        <f>-BW52</f>
        <v/>
      </c>
      <c r="BX99" s="399">
        <f>-BX52</f>
        <v/>
      </c>
      <c r="BY99" s="399">
        <f>-BY52</f>
        <v/>
      </c>
      <c r="BZ99" s="399">
        <f>-BZ52</f>
        <v/>
      </c>
      <c r="CA99" s="399">
        <f>-CA52</f>
        <v/>
      </c>
      <c r="CB99" s="399">
        <f>-CB52</f>
        <v/>
      </c>
      <c r="CC99" s="399">
        <f>-CC52</f>
        <v/>
      </c>
      <c r="CD99" s="399">
        <f>-CD52</f>
        <v/>
      </c>
      <c r="CE99" s="399">
        <f>-CE52</f>
        <v/>
      </c>
      <c r="CF99" s="399">
        <f>-CF52</f>
        <v/>
      </c>
      <c r="CG99" s="399">
        <f>-CG52</f>
        <v/>
      </c>
      <c r="CH99" s="399">
        <f>-CH52</f>
        <v/>
      </c>
      <c r="CI99" s="399">
        <f>-CI52</f>
        <v/>
      </c>
      <c r="CJ99" s="399">
        <f>-CJ52</f>
        <v/>
      </c>
      <c r="CK99" s="399">
        <f>-CK52</f>
        <v/>
      </c>
      <c r="CL99" s="399">
        <f>-CL52</f>
        <v/>
      </c>
      <c r="CM99" s="399">
        <f>-CM52</f>
        <v/>
      </c>
      <c r="CN99" s="399">
        <f>-CN52</f>
        <v/>
      </c>
      <c r="CO99" s="399">
        <f>-CO52</f>
        <v/>
      </c>
      <c r="CP99" s="399">
        <f>-CP52</f>
        <v/>
      </c>
      <c r="CQ99" s="399">
        <f>-CQ52</f>
        <v/>
      </c>
      <c r="CR99" s="399">
        <f>-CR52</f>
        <v/>
      </c>
      <c r="CS99" s="399">
        <f>-CS52</f>
        <v/>
      </c>
      <c r="CT99" s="399">
        <f>-CT52</f>
        <v/>
      </c>
      <c r="CU99" s="399">
        <f>-CU52</f>
        <v/>
      </c>
      <c r="CV99" s="399">
        <f>-CV52</f>
        <v/>
      </c>
      <c r="CW99" s="399">
        <f>-CW52</f>
        <v/>
      </c>
      <c r="CX99" s="399">
        <f>-CX52</f>
        <v/>
      </c>
      <c r="CY99" s="399">
        <f>-CY52</f>
        <v/>
      </c>
      <c r="CZ99" s="399">
        <f>-CZ52</f>
        <v/>
      </c>
      <c r="DA99" s="399">
        <f>-DA52</f>
        <v/>
      </c>
      <c r="DB99" s="399">
        <f>-DB52</f>
        <v/>
      </c>
      <c r="DC99" s="399">
        <f>-DC52</f>
        <v/>
      </c>
      <c r="DD99" s="399">
        <f>-DD52</f>
        <v/>
      </c>
      <c r="DE99" s="399">
        <f>-DE52</f>
        <v/>
      </c>
    </row>
    <row r="100" hidden="1" outlineLevel="1" ht="15" customFormat="1" customHeight="1" s="380">
      <c r="A100" s="407" t="inlineStr">
        <is>
          <t>BD-28</t>
        </is>
      </c>
      <c r="B100" s="399" t="n">
        <v>0</v>
      </c>
      <c r="C100" s="399" t="n">
        <v>0</v>
      </c>
      <c r="D100" s="399" t="n">
        <v>0</v>
      </c>
      <c r="E100" s="399" t="n">
        <v>0</v>
      </c>
      <c r="F100" s="399">
        <f>-F53</f>
        <v/>
      </c>
      <c r="G100" s="399">
        <f>-G53</f>
        <v/>
      </c>
      <c r="H100" s="399">
        <f>-H53</f>
        <v/>
      </c>
      <c r="I100" s="399">
        <f>-I53</f>
        <v/>
      </c>
      <c r="J100" s="399">
        <f>-J53</f>
        <v/>
      </c>
      <c r="K100" s="399">
        <f>-K53</f>
        <v/>
      </c>
      <c r="L100" s="399">
        <f>-L53</f>
        <v/>
      </c>
      <c r="M100" s="399">
        <f>-M53</f>
        <v/>
      </c>
      <c r="N100" s="399">
        <f>-N53</f>
        <v/>
      </c>
      <c r="O100" s="399">
        <f>-O53</f>
        <v/>
      </c>
      <c r="P100" s="399">
        <f>-P53</f>
        <v/>
      </c>
      <c r="Q100" s="399">
        <f>-Q53</f>
        <v/>
      </c>
      <c r="R100" s="399">
        <f>-R53</f>
        <v/>
      </c>
      <c r="S100" s="399">
        <f>-S53</f>
        <v/>
      </c>
      <c r="T100" s="399">
        <f>-T53</f>
        <v/>
      </c>
      <c r="U100" s="399">
        <f>-U53</f>
        <v/>
      </c>
      <c r="V100" s="399">
        <f>-V53</f>
        <v/>
      </c>
      <c r="W100" s="399">
        <f>-W53</f>
        <v/>
      </c>
      <c r="X100" s="399">
        <f>-X53</f>
        <v/>
      </c>
      <c r="Y100" s="399">
        <f>-Y53</f>
        <v/>
      </c>
      <c r="Z100" s="399">
        <f>-Z53</f>
        <v/>
      </c>
      <c r="AA100" s="399">
        <f>-AA53</f>
        <v/>
      </c>
      <c r="AB100" s="399">
        <f>-AB53</f>
        <v/>
      </c>
      <c r="AC100" s="399">
        <f>-AC53</f>
        <v/>
      </c>
      <c r="AD100" s="399">
        <f>-AD53</f>
        <v/>
      </c>
      <c r="AE100" s="399">
        <f>-AE53</f>
        <v/>
      </c>
      <c r="AF100" s="399">
        <f>-AF53</f>
        <v/>
      </c>
      <c r="AG100" s="399">
        <f>-AG53</f>
        <v/>
      </c>
      <c r="AH100" s="399">
        <f>-AH53</f>
        <v/>
      </c>
      <c r="AI100" s="399">
        <f>-AI53</f>
        <v/>
      </c>
      <c r="AJ100" s="399">
        <f>-AJ53</f>
        <v/>
      </c>
      <c r="AK100" s="399">
        <f>-AK53</f>
        <v/>
      </c>
      <c r="AL100" s="399">
        <f>-AL53</f>
        <v/>
      </c>
      <c r="AM100" s="399">
        <f>-AM53</f>
        <v/>
      </c>
      <c r="AN100" s="399">
        <f>-AN53</f>
        <v/>
      </c>
      <c r="AO100" s="399">
        <f>-AO53</f>
        <v/>
      </c>
      <c r="AP100" s="399">
        <f>-AP53</f>
        <v/>
      </c>
      <c r="AQ100" s="399">
        <f>-AQ53</f>
        <v/>
      </c>
      <c r="AR100" s="399">
        <f>-AR53</f>
        <v/>
      </c>
      <c r="AS100" s="399">
        <f>-AS53</f>
        <v/>
      </c>
      <c r="AT100" s="399">
        <f>-AT53</f>
        <v/>
      </c>
      <c r="AU100" s="399">
        <f>-AU53</f>
        <v/>
      </c>
      <c r="AV100" s="399">
        <f>-AV53</f>
        <v/>
      </c>
      <c r="AW100" s="399">
        <f>-AW53</f>
        <v/>
      </c>
      <c r="AX100" s="399">
        <f>-AX53</f>
        <v/>
      </c>
      <c r="AY100" s="399">
        <f>-AY53</f>
        <v/>
      </c>
      <c r="AZ100" s="399">
        <f>-AZ53</f>
        <v/>
      </c>
      <c r="BA100" s="399">
        <f>-BA53</f>
        <v/>
      </c>
      <c r="BB100" s="399">
        <f>-BB53</f>
        <v/>
      </c>
      <c r="BC100" s="399">
        <f>-BC53</f>
        <v/>
      </c>
      <c r="BD100" s="399">
        <f>-BD53</f>
        <v/>
      </c>
      <c r="BE100" s="399">
        <f>-BE53</f>
        <v/>
      </c>
      <c r="BF100" s="399">
        <f>-BF53</f>
        <v/>
      </c>
      <c r="BG100" s="399">
        <f>-BG53</f>
        <v/>
      </c>
      <c r="BH100" s="399">
        <f>-BH53</f>
        <v/>
      </c>
      <c r="BI100" s="399">
        <f>-BI53</f>
        <v/>
      </c>
      <c r="BJ100" s="399">
        <f>-BJ53</f>
        <v/>
      </c>
      <c r="BK100" s="399">
        <f>-BK53</f>
        <v/>
      </c>
      <c r="BL100" s="399">
        <f>-BL53</f>
        <v/>
      </c>
      <c r="BM100" s="399">
        <f>-BM53</f>
        <v/>
      </c>
      <c r="BN100" s="399">
        <f>-BN53</f>
        <v/>
      </c>
      <c r="BO100" s="399">
        <f>-BO53</f>
        <v/>
      </c>
      <c r="BP100" s="399">
        <f>-BP53</f>
        <v/>
      </c>
      <c r="BQ100" s="399">
        <f>-BQ53</f>
        <v/>
      </c>
      <c r="BR100" s="399">
        <f>-BR53</f>
        <v/>
      </c>
      <c r="BS100" s="399">
        <f>-BS53</f>
        <v/>
      </c>
      <c r="BT100" s="399">
        <f>-BT53</f>
        <v/>
      </c>
      <c r="BU100" s="399">
        <f>-BU53</f>
        <v/>
      </c>
      <c r="BV100" s="399">
        <f>-BV53</f>
        <v/>
      </c>
      <c r="BW100" s="399">
        <f>-BW53</f>
        <v/>
      </c>
      <c r="BX100" s="399">
        <f>-BX53</f>
        <v/>
      </c>
      <c r="BY100" s="399">
        <f>-BY53</f>
        <v/>
      </c>
      <c r="BZ100" s="399">
        <f>-BZ53</f>
        <v/>
      </c>
      <c r="CA100" s="399">
        <f>-CA53</f>
        <v/>
      </c>
      <c r="CB100" s="399">
        <f>-CB53</f>
        <v/>
      </c>
      <c r="CC100" s="399">
        <f>-CC53</f>
        <v/>
      </c>
      <c r="CD100" s="399">
        <f>-CD53</f>
        <v/>
      </c>
      <c r="CE100" s="399">
        <f>-CE53</f>
        <v/>
      </c>
      <c r="CF100" s="399">
        <f>-CF53</f>
        <v/>
      </c>
      <c r="CG100" s="399">
        <f>-CG53</f>
        <v/>
      </c>
      <c r="CH100" s="399">
        <f>-CH53</f>
        <v/>
      </c>
      <c r="CI100" s="399">
        <f>-CI53</f>
        <v/>
      </c>
      <c r="CJ100" s="399">
        <f>-CJ53</f>
        <v/>
      </c>
      <c r="CK100" s="399">
        <f>-CK53</f>
        <v/>
      </c>
      <c r="CL100" s="399">
        <f>-CL53</f>
        <v/>
      </c>
      <c r="CM100" s="399">
        <f>-CM53</f>
        <v/>
      </c>
      <c r="CN100" s="399">
        <f>-CN53</f>
        <v/>
      </c>
      <c r="CO100" s="399">
        <f>-CO53</f>
        <v/>
      </c>
      <c r="CP100" s="399">
        <f>-CP53</f>
        <v/>
      </c>
      <c r="CQ100" s="399">
        <f>-CQ53</f>
        <v/>
      </c>
      <c r="CR100" s="399">
        <f>-CR53</f>
        <v/>
      </c>
      <c r="CS100" s="399">
        <f>-CS53</f>
        <v/>
      </c>
      <c r="CT100" s="399">
        <f>-CT53</f>
        <v/>
      </c>
      <c r="CU100" s="399">
        <f>-CU53</f>
        <v/>
      </c>
      <c r="CV100" s="399">
        <f>-CV53</f>
        <v/>
      </c>
      <c r="CW100" s="399">
        <f>-CW53</f>
        <v/>
      </c>
      <c r="CX100" s="399">
        <f>-CX53</f>
        <v/>
      </c>
      <c r="CY100" s="399">
        <f>-CY53</f>
        <v/>
      </c>
      <c r="CZ100" s="399">
        <f>-CZ53</f>
        <v/>
      </c>
      <c r="DA100" s="399">
        <f>-DA53</f>
        <v/>
      </c>
      <c r="DB100" s="399">
        <f>-DB53</f>
        <v/>
      </c>
      <c r="DC100" s="399">
        <f>-DC53</f>
        <v/>
      </c>
      <c r="DD100" s="399">
        <f>-DD53</f>
        <v/>
      </c>
      <c r="DE100" s="399">
        <f>-DE53</f>
        <v/>
      </c>
    </row>
    <row r="101" hidden="1" outlineLevel="1" ht="15" customFormat="1" customHeight="1" s="380">
      <c r="A101" s="407" t="inlineStr">
        <is>
          <t>BD-29</t>
        </is>
      </c>
      <c r="B101" s="399" t="n">
        <v>0</v>
      </c>
      <c r="C101" s="399" t="n">
        <v>0</v>
      </c>
      <c r="D101" s="399" t="n">
        <v>0</v>
      </c>
      <c r="E101" s="399" t="n">
        <v>0</v>
      </c>
      <c r="F101" s="399">
        <f>-F54</f>
        <v/>
      </c>
      <c r="G101" s="399">
        <f>-G54</f>
        <v/>
      </c>
      <c r="H101" s="399">
        <f>-H54</f>
        <v/>
      </c>
      <c r="I101" s="399">
        <f>-I54</f>
        <v/>
      </c>
      <c r="J101" s="399">
        <f>-J54</f>
        <v/>
      </c>
      <c r="K101" s="399">
        <f>-K54</f>
        <v/>
      </c>
      <c r="L101" s="399">
        <f>-L54</f>
        <v/>
      </c>
      <c r="M101" s="399">
        <f>-M54</f>
        <v/>
      </c>
      <c r="N101" s="399">
        <f>-N54</f>
        <v/>
      </c>
      <c r="O101" s="399">
        <f>-O54</f>
        <v/>
      </c>
      <c r="P101" s="399">
        <f>-P54</f>
        <v/>
      </c>
      <c r="Q101" s="399">
        <f>-Q54</f>
        <v/>
      </c>
      <c r="R101" s="399">
        <f>-R54</f>
        <v/>
      </c>
      <c r="S101" s="399">
        <f>-S54</f>
        <v/>
      </c>
      <c r="T101" s="399">
        <f>-T54</f>
        <v/>
      </c>
      <c r="U101" s="399">
        <f>-U54</f>
        <v/>
      </c>
      <c r="V101" s="399">
        <f>-V54</f>
        <v/>
      </c>
      <c r="W101" s="399">
        <f>-W54</f>
        <v/>
      </c>
      <c r="X101" s="399">
        <f>-X54</f>
        <v/>
      </c>
      <c r="Y101" s="399">
        <f>-Y54</f>
        <v/>
      </c>
      <c r="Z101" s="399">
        <f>-Z54</f>
        <v/>
      </c>
      <c r="AA101" s="399">
        <f>-AA54</f>
        <v/>
      </c>
      <c r="AB101" s="399">
        <f>-AB54</f>
        <v/>
      </c>
      <c r="AC101" s="399">
        <f>-AC54</f>
        <v/>
      </c>
      <c r="AD101" s="399">
        <f>-AD54</f>
        <v/>
      </c>
      <c r="AE101" s="399">
        <f>-AE54</f>
        <v/>
      </c>
      <c r="AF101" s="399">
        <f>-AF54</f>
        <v/>
      </c>
      <c r="AG101" s="399">
        <f>-AG54</f>
        <v/>
      </c>
      <c r="AH101" s="399">
        <f>-AH54</f>
        <v/>
      </c>
      <c r="AI101" s="399">
        <f>-AI54</f>
        <v/>
      </c>
      <c r="AJ101" s="399">
        <f>-AJ54</f>
        <v/>
      </c>
      <c r="AK101" s="399">
        <f>-AK54</f>
        <v/>
      </c>
      <c r="AL101" s="399">
        <f>-AL54</f>
        <v/>
      </c>
      <c r="AM101" s="399">
        <f>-AM54</f>
        <v/>
      </c>
      <c r="AN101" s="399">
        <f>-AN54</f>
        <v/>
      </c>
      <c r="AO101" s="399">
        <f>-AO54</f>
        <v/>
      </c>
      <c r="AP101" s="399">
        <f>-AP54</f>
        <v/>
      </c>
      <c r="AQ101" s="399">
        <f>-AQ54</f>
        <v/>
      </c>
      <c r="AR101" s="399">
        <f>-AR54</f>
        <v/>
      </c>
      <c r="AS101" s="399">
        <f>-AS54</f>
        <v/>
      </c>
      <c r="AT101" s="399">
        <f>-AT54</f>
        <v/>
      </c>
      <c r="AU101" s="399">
        <f>-AU54</f>
        <v/>
      </c>
      <c r="AV101" s="399">
        <f>-AV54</f>
        <v/>
      </c>
      <c r="AW101" s="399">
        <f>-AW54</f>
        <v/>
      </c>
      <c r="AX101" s="399">
        <f>-AX54</f>
        <v/>
      </c>
      <c r="AY101" s="399">
        <f>-AY54</f>
        <v/>
      </c>
      <c r="AZ101" s="399">
        <f>-AZ54</f>
        <v/>
      </c>
      <c r="BA101" s="399">
        <f>-BA54</f>
        <v/>
      </c>
      <c r="BB101" s="399">
        <f>-BB54</f>
        <v/>
      </c>
      <c r="BC101" s="399">
        <f>-BC54</f>
        <v/>
      </c>
      <c r="BD101" s="399">
        <f>-BD54</f>
        <v/>
      </c>
      <c r="BE101" s="399">
        <f>-BE54</f>
        <v/>
      </c>
      <c r="BF101" s="399">
        <f>-BF54</f>
        <v/>
      </c>
      <c r="BG101" s="399">
        <f>-BG54</f>
        <v/>
      </c>
      <c r="BH101" s="399">
        <f>-BH54</f>
        <v/>
      </c>
      <c r="BI101" s="399">
        <f>-BI54</f>
        <v/>
      </c>
      <c r="BJ101" s="399">
        <f>-BJ54</f>
        <v/>
      </c>
      <c r="BK101" s="399">
        <f>-BK54</f>
        <v/>
      </c>
      <c r="BL101" s="399">
        <f>-BL54</f>
        <v/>
      </c>
      <c r="BM101" s="399">
        <f>-BM54</f>
        <v/>
      </c>
      <c r="BN101" s="399">
        <f>-BN54</f>
        <v/>
      </c>
      <c r="BO101" s="399">
        <f>-BO54</f>
        <v/>
      </c>
      <c r="BP101" s="399">
        <f>-BP54</f>
        <v/>
      </c>
      <c r="BQ101" s="399">
        <f>-BQ54</f>
        <v/>
      </c>
      <c r="BR101" s="399">
        <f>-BR54</f>
        <v/>
      </c>
      <c r="BS101" s="399">
        <f>-BS54</f>
        <v/>
      </c>
      <c r="BT101" s="399">
        <f>-BT54</f>
        <v/>
      </c>
      <c r="BU101" s="399">
        <f>-BU54</f>
        <v/>
      </c>
      <c r="BV101" s="399">
        <f>-BV54</f>
        <v/>
      </c>
      <c r="BW101" s="399">
        <f>-BW54</f>
        <v/>
      </c>
      <c r="BX101" s="399">
        <f>-BX54</f>
        <v/>
      </c>
      <c r="BY101" s="399">
        <f>-BY54</f>
        <v/>
      </c>
      <c r="BZ101" s="399">
        <f>-BZ54</f>
        <v/>
      </c>
      <c r="CA101" s="399">
        <f>-CA54</f>
        <v/>
      </c>
      <c r="CB101" s="399">
        <f>-CB54</f>
        <v/>
      </c>
      <c r="CC101" s="399">
        <f>-CC54</f>
        <v/>
      </c>
      <c r="CD101" s="399">
        <f>-CD54</f>
        <v/>
      </c>
      <c r="CE101" s="399">
        <f>-CE54</f>
        <v/>
      </c>
      <c r="CF101" s="399">
        <f>-CF54</f>
        <v/>
      </c>
      <c r="CG101" s="399">
        <f>-CG54</f>
        <v/>
      </c>
      <c r="CH101" s="399">
        <f>-CH54</f>
        <v/>
      </c>
      <c r="CI101" s="399">
        <f>-CI54</f>
        <v/>
      </c>
      <c r="CJ101" s="399">
        <f>-CJ54</f>
        <v/>
      </c>
      <c r="CK101" s="399">
        <f>-CK54</f>
        <v/>
      </c>
      <c r="CL101" s="399">
        <f>-CL54</f>
        <v/>
      </c>
      <c r="CM101" s="399">
        <f>-CM54</f>
        <v/>
      </c>
      <c r="CN101" s="399">
        <f>-CN54</f>
        <v/>
      </c>
      <c r="CO101" s="399">
        <f>-CO54</f>
        <v/>
      </c>
      <c r="CP101" s="399">
        <f>-CP54</f>
        <v/>
      </c>
      <c r="CQ101" s="399">
        <f>-CQ54</f>
        <v/>
      </c>
      <c r="CR101" s="399">
        <f>-CR54</f>
        <v/>
      </c>
      <c r="CS101" s="399">
        <f>-CS54</f>
        <v/>
      </c>
      <c r="CT101" s="399">
        <f>-CT54</f>
        <v/>
      </c>
      <c r="CU101" s="399">
        <f>-CU54</f>
        <v/>
      </c>
      <c r="CV101" s="399">
        <f>-CV54</f>
        <v/>
      </c>
      <c r="CW101" s="399">
        <f>-CW54</f>
        <v/>
      </c>
      <c r="CX101" s="399">
        <f>-CX54</f>
        <v/>
      </c>
      <c r="CY101" s="399">
        <f>-CY54</f>
        <v/>
      </c>
      <c r="CZ101" s="399">
        <f>-CZ54</f>
        <v/>
      </c>
      <c r="DA101" s="399">
        <f>-DA54</f>
        <v/>
      </c>
      <c r="DB101" s="399">
        <f>-DB54</f>
        <v/>
      </c>
      <c r="DC101" s="399">
        <f>-DC54</f>
        <v/>
      </c>
      <c r="DD101" s="399">
        <f>-DD54</f>
        <v/>
      </c>
      <c r="DE101" s="399">
        <f>-DE54</f>
        <v/>
      </c>
    </row>
    <row r="102" hidden="1" outlineLevel="1" ht="15" customFormat="1" customHeight="1" s="380">
      <c r="A102" s="407" t="inlineStr">
        <is>
          <t>BD-30</t>
        </is>
      </c>
      <c r="B102" s="399" t="n">
        <v>0</v>
      </c>
      <c r="C102" s="399" t="n">
        <v>0</v>
      </c>
      <c r="D102" s="399" t="n">
        <v>0</v>
      </c>
      <c r="E102" s="399" t="n">
        <v>0</v>
      </c>
      <c r="F102" s="399">
        <f>-F55</f>
        <v/>
      </c>
      <c r="G102" s="399">
        <f>-G55</f>
        <v/>
      </c>
      <c r="H102" s="399">
        <f>-H55</f>
        <v/>
      </c>
      <c r="I102" s="399">
        <f>-I55</f>
        <v/>
      </c>
      <c r="J102" s="399">
        <f>-J55</f>
        <v/>
      </c>
      <c r="K102" s="399">
        <f>-K55</f>
        <v/>
      </c>
      <c r="L102" s="399">
        <f>-L55</f>
        <v/>
      </c>
      <c r="M102" s="399">
        <f>-M55</f>
        <v/>
      </c>
      <c r="N102" s="399">
        <f>-N55</f>
        <v/>
      </c>
      <c r="O102" s="399">
        <f>-O55</f>
        <v/>
      </c>
      <c r="P102" s="399">
        <f>-P55</f>
        <v/>
      </c>
      <c r="Q102" s="399">
        <f>-Q55</f>
        <v/>
      </c>
      <c r="R102" s="399">
        <f>-R55</f>
        <v/>
      </c>
      <c r="S102" s="399">
        <f>-S55</f>
        <v/>
      </c>
      <c r="T102" s="399">
        <f>-T55</f>
        <v/>
      </c>
      <c r="U102" s="399">
        <f>-U55</f>
        <v/>
      </c>
      <c r="V102" s="399">
        <f>-V55</f>
        <v/>
      </c>
      <c r="W102" s="399">
        <f>-W55</f>
        <v/>
      </c>
      <c r="X102" s="399">
        <f>-X55</f>
        <v/>
      </c>
      <c r="Y102" s="399">
        <f>-Y55</f>
        <v/>
      </c>
      <c r="Z102" s="399">
        <f>-Z55</f>
        <v/>
      </c>
      <c r="AA102" s="399">
        <f>-AA55</f>
        <v/>
      </c>
      <c r="AB102" s="399">
        <f>-AB55</f>
        <v/>
      </c>
      <c r="AC102" s="399">
        <f>-AC55</f>
        <v/>
      </c>
      <c r="AD102" s="399">
        <f>-AD55</f>
        <v/>
      </c>
      <c r="AE102" s="399">
        <f>-AE55</f>
        <v/>
      </c>
      <c r="AF102" s="399">
        <f>-AF55</f>
        <v/>
      </c>
      <c r="AG102" s="399">
        <f>-AG55</f>
        <v/>
      </c>
      <c r="AH102" s="399">
        <f>-AH55</f>
        <v/>
      </c>
      <c r="AI102" s="399">
        <f>-AI55</f>
        <v/>
      </c>
      <c r="AJ102" s="399">
        <f>-AJ55</f>
        <v/>
      </c>
      <c r="AK102" s="399">
        <f>-AK55</f>
        <v/>
      </c>
      <c r="AL102" s="399">
        <f>-AL55</f>
        <v/>
      </c>
      <c r="AM102" s="399">
        <f>-AM55</f>
        <v/>
      </c>
      <c r="AN102" s="399">
        <f>-AN55</f>
        <v/>
      </c>
      <c r="AO102" s="399">
        <f>-AO55</f>
        <v/>
      </c>
      <c r="AP102" s="399">
        <f>-AP55</f>
        <v/>
      </c>
      <c r="AQ102" s="399">
        <f>-AQ55</f>
        <v/>
      </c>
      <c r="AR102" s="399">
        <f>-AR55</f>
        <v/>
      </c>
      <c r="AS102" s="399">
        <f>-AS55</f>
        <v/>
      </c>
      <c r="AT102" s="399">
        <f>-AT55</f>
        <v/>
      </c>
      <c r="AU102" s="399">
        <f>-AU55</f>
        <v/>
      </c>
      <c r="AV102" s="399">
        <f>-AV55</f>
        <v/>
      </c>
      <c r="AW102" s="399">
        <f>-AW55</f>
        <v/>
      </c>
      <c r="AX102" s="399">
        <f>-AX55</f>
        <v/>
      </c>
      <c r="AY102" s="399">
        <f>-AY55</f>
        <v/>
      </c>
      <c r="AZ102" s="399">
        <f>-AZ55</f>
        <v/>
      </c>
      <c r="BA102" s="399">
        <f>-BA55</f>
        <v/>
      </c>
      <c r="BB102" s="399">
        <f>-BB55</f>
        <v/>
      </c>
      <c r="BC102" s="399">
        <f>-BC55</f>
        <v/>
      </c>
      <c r="BD102" s="399">
        <f>-BD55</f>
        <v/>
      </c>
      <c r="BE102" s="399">
        <f>-BE55</f>
        <v/>
      </c>
      <c r="BF102" s="399">
        <f>-BF55</f>
        <v/>
      </c>
      <c r="BG102" s="399">
        <f>-BG55</f>
        <v/>
      </c>
      <c r="BH102" s="399">
        <f>-BH55</f>
        <v/>
      </c>
      <c r="BI102" s="399">
        <f>-BI55</f>
        <v/>
      </c>
      <c r="BJ102" s="399">
        <f>-BJ55</f>
        <v/>
      </c>
      <c r="BK102" s="399">
        <f>-BK55</f>
        <v/>
      </c>
      <c r="BL102" s="399">
        <f>-BL55</f>
        <v/>
      </c>
      <c r="BM102" s="399">
        <f>-BM55</f>
        <v/>
      </c>
      <c r="BN102" s="399">
        <f>-BN55</f>
        <v/>
      </c>
      <c r="BO102" s="399">
        <f>-BO55</f>
        <v/>
      </c>
      <c r="BP102" s="399">
        <f>-BP55</f>
        <v/>
      </c>
      <c r="BQ102" s="399">
        <f>-BQ55</f>
        <v/>
      </c>
      <c r="BR102" s="399">
        <f>-BR55</f>
        <v/>
      </c>
      <c r="BS102" s="399">
        <f>-BS55</f>
        <v/>
      </c>
      <c r="BT102" s="399">
        <f>-BT55</f>
        <v/>
      </c>
      <c r="BU102" s="399">
        <f>-BU55</f>
        <v/>
      </c>
      <c r="BV102" s="399">
        <f>-BV55</f>
        <v/>
      </c>
      <c r="BW102" s="399">
        <f>-BW55</f>
        <v/>
      </c>
      <c r="BX102" s="399">
        <f>-BX55</f>
        <v/>
      </c>
      <c r="BY102" s="399">
        <f>-BY55</f>
        <v/>
      </c>
      <c r="BZ102" s="399">
        <f>-BZ55</f>
        <v/>
      </c>
      <c r="CA102" s="399">
        <f>-CA55</f>
        <v/>
      </c>
      <c r="CB102" s="399">
        <f>-CB55</f>
        <v/>
      </c>
      <c r="CC102" s="399">
        <f>-CC55</f>
        <v/>
      </c>
      <c r="CD102" s="399">
        <f>-CD55</f>
        <v/>
      </c>
      <c r="CE102" s="399">
        <f>-CE55</f>
        <v/>
      </c>
      <c r="CF102" s="399">
        <f>-CF55</f>
        <v/>
      </c>
      <c r="CG102" s="399">
        <f>-CG55</f>
        <v/>
      </c>
      <c r="CH102" s="399">
        <f>-CH55</f>
        <v/>
      </c>
      <c r="CI102" s="399">
        <f>-CI55</f>
        <v/>
      </c>
      <c r="CJ102" s="399">
        <f>-CJ55</f>
        <v/>
      </c>
      <c r="CK102" s="399">
        <f>-CK55</f>
        <v/>
      </c>
      <c r="CL102" s="399">
        <f>-CL55</f>
        <v/>
      </c>
      <c r="CM102" s="399">
        <f>-CM55</f>
        <v/>
      </c>
      <c r="CN102" s="399">
        <f>-CN55</f>
        <v/>
      </c>
      <c r="CO102" s="399">
        <f>-CO55</f>
        <v/>
      </c>
      <c r="CP102" s="399">
        <f>-CP55</f>
        <v/>
      </c>
      <c r="CQ102" s="399">
        <f>-CQ55</f>
        <v/>
      </c>
      <c r="CR102" s="399">
        <f>-CR55</f>
        <v/>
      </c>
      <c r="CS102" s="399">
        <f>-CS55</f>
        <v/>
      </c>
      <c r="CT102" s="399">
        <f>-CT55</f>
        <v/>
      </c>
      <c r="CU102" s="399">
        <f>-CU55</f>
        <v/>
      </c>
      <c r="CV102" s="399">
        <f>-CV55</f>
        <v/>
      </c>
      <c r="CW102" s="399">
        <f>-CW55</f>
        <v/>
      </c>
      <c r="CX102" s="399">
        <f>-CX55</f>
        <v/>
      </c>
      <c r="CY102" s="399">
        <f>-CY55</f>
        <v/>
      </c>
      <c r="CZ102" s="399">
        <f>-CZ55</f>
        <v/>
      </c>
      <c r="DA102" s="399">
        <f>-DA55</f>
        <v/>
      </c>
      <c r="DB102" s="399">
        <f>-DB55</f>
        <v/>
      </c>
      <c r="DC102" s="399">
        <f>-DC55</f>
        <v/>
      </c>
      <c r="DD102" s="399">
        <f>-DD55</f>
        <v/>
      </c>
      <c r="DE102" s="399">
        <f>-DE55</f>
        <v/>
      </c>
    </row>
    <row r="103" hidden="1" outlineLevel="1" ht="15" customFormat="1" customHeight="1" s="380">
      <c r="A103" s="407" t="inlineStr">
        <is>
          <t>Other (non-project)</t>
        </is>
      </c>
      <c r="B103" s="399" t="n">
        <v>0</v>
      </c>
      <c r="C103" s="399" t="n">
        <v>0</v>
      </c>
      <c r="D103" s="399" t="n">
        <v>0</v>
      </c>
      <c r="E103" s="399" t="n">
        <v>-260.53</v>
      </c>
      <c r="F103" s="399" t="n">
        <v>-200</v>
      </c>
      <c r="G103" s="399" t="n">
        <v>0</v>
      </c>
      <c r="H103" s="399" t="n">
        <v>-51.14</v>
      </c>
      <c r="I103" s="399" t="n">
        <v>0</v>
      </c>
      <c r="J103" s="399" t="n">
        <v>0</v>
      </c>
      <c r="K103" s="399" t="n">
        <v>0</v>
      </c>
      <c r="L103" s="399" t="n">
        <v>0</v>
      </c>
      <c r="M103" s="399" t="n">
        <v>0</v>
      </c>
      <c r="N103" s="399" t="n">
        <v>0</v>
      </c>
      <c r="O103" s="399" t="n">
        <v>0</v>
      </c>
      <c r="P103" s="399" t="n">
        <v>0</v>
      </c>
      <c r="Q103" s="399" t="n">
        <v>0</v>
      </c>
      <c r="R103" s="399" t="n">
        <v>0</v>
      </c>
      <c r="S103" s="399" t="n">
        <v>0</v>
      </c>
      <c r="T103" s="399" t="n">
        <v>0</v>
      </c>
      <c r="U103" s="399" t="n">
        <v>0</v>
      </c>
      <c r="V103" s="399" t="n">
        <v>0</v>
      </c>
      <c r="W103" s="399" t="n">
        <v>0</v>
      </c>
      <c r="X103" s="399" t="n">
        <v>0</v>
      </c>
      <c r="Y103" s="399" t="n">
        <v>0</v>
      </c>
      <c r="Z103" s="399" t="n">
        <v>0</v>
      </c>
      <c r="AA103" s="399" t="n">
        <v>0</v>
      </c>
      <c r="AB103" s="399" t="n">
        <v>0</v>
      </c>
      <c r="AC103" s="399" t="n">
        <v>0</v>
      </c>
      <c r="AD103" s="399" t="n">
        <v>0</v>
      </c>
      <c r="AE103" s="399" t="n">
        <v>0</v>
      </c>
      <c r="AF103" s="399" t="n">
        <v>0</v>
      </c>
      <c r="AG103" s="399" t="n">
        <v>0</v>
      </c>
      <c r="AH103" s="399" t="n">
        <v>0</v>
      </c>
      <c r="AI103" s="399" t="n">
        <v>0</v>
      </c>
      <c r="AJ103" s="399" t="n">
        <v>0</v>
      </c>
      <c r="AK103" s="399" t="n">
        <v>0</v>
      </c>
      <c r="AL103" s="399" t="n">
        <v>0</v>
      </c>
      <c r="AM103" s="399" t="n">
        <v>0</v>
      </c>
      <c r="AN103" s="399" t="n">
        <v>0</v>
      </c>
      <c r="AO103" s="399" t="n">
        <v>0</v>
      </c>
      <c r="AP103" s="399" t="n">
        <v>0</v>
      </c>
      <c r="AQ103" s="399" t="n">
        <v>0</v>
      </c>
      <c r="AR103" s="399" t="n">
        <v>0</v>
      </c>
      <c r="AS103" s="399" t="n">
        <v>0</v>
      </c>
      <c r="AT103" s="399" t="n">
        <v>0</v>
      </c>
      <c r="AU103" s="399" t="n">
        <v>0</v>
      </c>
      <c r="AV103" s="399" t="n">
        <v>0</v>
      </c>
      <c r="AW103" s="399" t="n">
        <v>0</v>
      </c>
      <c r="AX103" s="399" t="n">
        <v>0</v>
      </c>
      <c r="AY103" s="399" t="n">
        <v>0</v>
      </c>
      <c r="AZ103" s="399" t="n">
        <v>0</v>
      </c>
      <c r="BA103" s="399" t="n">
        <v>0</v>
      </c>
      <c r="BB103" s="399" t="n">
        <v>0</v>
      </c>
      <c r="BC103" s="399" t="n">
        <v>0</v>
      </c>
      <c r="BD103" s="399" t="n">
        <v>0</v>
      </c>
      <c r="BE103" s="399" t="n">
        <v>0</v>
      </c>
      <c r="BF103" s="399" t="n">
        <v>0</v>
      </c>
      <c r="BG103" s="399" t="n">
        <v>0</v>
      </c>
      <c r="BH103" s="399" t="n">
        <v>0</v>
      </c>
      <c r="BI103" s="399" t="n">
        <v>0</v>
      </c>
      <c r="BJ103" s="399" t="n">
        <v>0</v>
      </c>
      <c r="BK103" s="399" t="n">
        <v>0</v>
      </c>
      <c r="BL103" s="399" t="n">
        <v>0</v>
      </c>
      <c r="BM103" s="399" t="n">
        <v>0</v>
      </c>
      <c r="BN103" s="399" t="n">
        <v>0</v>
      </c>
      <c r="BO103" s="399" t="n">
        <v>0</v>
      </c>
      <c r="BP103" s="399" t="n">
        <v>0</v>
      </c>
      <c r="BQ103" s="399" t="n">
        <v>0</v>
      </c>
      <c r="BR103" s="399" t="n">
        <v>0</v>
      </c>
      <c r="BS103" s="399" t="n">
        <v>0</v>
      </c>
      <c r="BT103" s="399" t="n">
        <v>0</v>
      </c>
      <c r="BU103" s="399" t="n">
        <v>0</v>
      </c>
      <c r="BV103" s="399" t="n">
        <v>0</v>
      </c>
      <c r="BW103" s="399" t="n">
        <v>0</v>
      </c>
      <c r="BX103" s="399" t="n">
        <v>0</v>
      </c>
      <c r="BY103" s="399" t="n">
        <v>0</v>
      </c>
      <c r="BZ103" s="399" t="n">
        <v>0</v>
      </c>
      <c r="CA103" s="399" t="n">
        <v>0</v>
      </c>
      <c r="CB103" s="399" t="n">
        <v>0</v>
      </c>
      <c r="CC103" s="399" t="n">
        <v>0</v>
      </c>
      <c r="CD103" s="399" t="n">
        <v>0</v>
      </c>
      <c r="CE103" s="399" t="n">
        <v>0</v>
      </c>
      <c r="CF103" s="399" t="n">
        <v>0</v>
      </c>
      <c r="CG103" s="399" t="n">
        <v>0</v>
      </c>
      <c r="CH103" s="399" t="n">
        <v>0</v>
      </c>
      <c r="CI103" s="399" t="n">
        <v>0</v>
      </c>
      <c r="CJ103" s="399" t="n">
        <v>0</v>
      </c>
      <c r="CK103" s="399" t="n">
        <v>0</v>
      </c>
      <c r="CL103" s="399" t="n">
        <v>0</v>
      </c>
      <c r="CM103" s="399" t="n">
        <v>0</v>
      </c>
      <c r="CN103" s="399" t="n">
        <v>0</v>
      </c>
      <c r="CO103" s="399" t="n">
        <v>0</v>
      </c>
      <c r="CP103" s="399" t="n">
        <v>0</v>
      </c>
      <c r="CQ103" s="399" t="n">
        <v>0</v>
      </c>
      <c r="CR103" s="399" t="n">
        <v>0</v>
      </c>
      <c r="CS103" s="399" t="n">
        <v>0</v>
      </c>
      <c r="CT103" s="399" t="n">
        <v>0</v>
      </c>
      <c r="CU103" s="399" t="n">
        <v>0</v>
      </c>
      <c r="CV103" s="399" t="n">
        <v>0</v>
      </c>
      <c r="CW103" s="399" t="n">
        <v>0</v>
      </c>
      <c r="CX103" s="399" t="n">
        <v>0</v>
      </c>
      <c r="CY103" s="399" t="n">
        <v>0</v>
      </c>
      <c r="CZ103" s="399" t="n">
        <v>0</v>
      </c>
      <c r="DA103" s="399" t="n">
        <v>0</v>
      </c>
      <c r="DB103" s="399" t="n">
        <v>0</v>
      </c>
      <c r="DC103" s="399" t="n">
        <v>0</v>
      </c>
      <c r="DD103" s="399" t="n">
        <v>0</v>
      </c>
      <c r="DE103" s="399" t="n">
        <v>0</v>
      </c>
    </row>
    <row r="104" collapsed="1" ht="15" customFormat="1" customHeight="1" s="380">
      <c r="A104" s="408" t="inlineStr">
        <is>
          <t>Total COGS - Trade and Site Costs</t>
        </is>
      </c>
      <c r="B104" s="409">
        <f>SUM(B60:B103)</f>
        <v/>
      </c>
      <c r="C104" s="409">
        <f>SUM(C60:C103)</f>
        <v/>
      </c>
      <c r="D104" s="409">
        <f>SUM(D60:D103)</f>
        <v/>
      </c>
      <c r="E104" s="409">
        <f>SUM(E60:E103)</f>
        <v/>
      </c>
      <c r="F104" s="409">
        <f>SUM(F60:F103)</f>
        <v/>
      </c>
      <c r="G104" s="409">
        <f>SUM(G60:G103)</f>
        <v/>
      </c>
      <c r="H104" s="409">
        <f>SUM(H60:H103)</f>
        <v/>
      </c>
      <c r="I104" s="409">
        <f>SUM(I60:I103)</f>
        <v/>
      </c>
      <c r="J104" s="409">
        <f>SUM(J60:J103)</f>
        <v/>
      </c>
      <c r="K104" s="409">
        <f>SUM(K60:K103)</f>
        <v/>
      </c>
      <c r="L104" s="409">
        <f>SUM(L60:L103)</f>
        <v/>
      </c>
      <c r="M104" s="409">
        <f>SUM(M60:M103)</f>
        <v/>
      </c>
      <c r="N104" s="409">
        <f>SUM(N60:N103)</f>
        <v/>
      </c>
      <c r="O104" s="409">
        <f>SUM(O60:O103)</f>
        <v/>
      </c>
      <c r="P104" s="409">
        <f>SUM(P60:P103)</f>
        <v/>
      </c>
      <c r="Q104" s="409">
        <f>SUM(Q60:Q103)</f>
        <v/>
      </c>
      <c r="R104" s="409">
        <f>SUM(R60:R103)</f>
        <v/>
      </c>
      <c r="S104" s="409">
        <f>SUM(S60:S103)</f>
        <v/>
      </c>
      <c r="T104" s="409">
        <f>SUM(T60:T103)</f>
        <v/>
      </c>
      <c r="U104" s="409">
        <f>SUM(U60:U103)</f>
        <v/>
      </c>
      <c r="V104" s="409">
        <f>SUM(V60:V103)</f>
        <v/>
      </c>
      <c r="W104" s="409">
        <f>SUM(W60:W103)</f>
        <v/>
      </c>
      <c r="X104" s="409">
        <f>SUM(X60:X103)</f>
        <v/>
      </c>
      <c r="Y104" s="409">
        <f>SUM(Y60:Y103)</f>
        <v/>
      </c>
      <c r="Z104" s="409">
        <f>SUM(Z60:Z103)</f>
        <v/>
      </c>
      <c r="AA104" s="409">
        <f>SUM(AA60:AA103)</f>
        <v/>
      </c>
      <c r="AB104" s="409">
        <f>SUM(AB60:AB103)</f>
        <v/>
      </c>
      <c r="AC104" s="409">
        <f>SUM(AC60:AC103)</f>
        <v/>
      </c>
      <c r="AD104" s="409">
        <f>SUM(AD60:AD103)</f>
        <v/>
      </c>
      <c r="AE104" s="409">
        <f>SUM(AE60:AE103)</f>
        <v/>
      </c>
      <c r="AF104" s="409">
        <f>SUM(AF60:AF103)</f>
        <v/>
      </c>
      <c r="AG104" s="409">
        <f>SUM(AG60:AG103)</f>
        <v/>
      </c>
      <c r="AH104" s="409">
        <f>SUM(AH60:AH103)</f>
        <v/>
      </c>
      <c r="AI104" s="409">
        <f>SUM(AI60:AI103)</f>
        <v/>
      </c>
      <c r="AJ104" s="409">
        <f>SUM(AJ60:AJ103)</f>
        <v/>
      </c>
      <c r="AK104" s="409">
        <f>SUM(AK60:AK103)</f>
        <v/>
      </c>
      <c r="AL104" s="409">
        <f>SUM(AL60:AL103)</f>
        <v/>
      </c>
      <c r="AM104" s="409">
        <f>SUM(AM60:AM103)</f>
        <v/>
      </c>
      <c r="AN104" s="409">
        <f>SUM(AN60:AN103)</f>
        <v/>
      </c>
      <c r="AO104" s="409">
        <f>SUM(AO60:AO103)</f>
        <v/>
      </c>
      <c r="AP104" s="409">
        <f>SUM(AP60:AP103)</f>
        <v/>
      </c>
      <c r="AQ104" s="409">
        <f>SUM(AQ60:AQ103)</f>
        <v/>
      </c>
      <c r="AR104" s="409">
        <f>SUM(AR60:AR103)</f>
        <v/>
      </c>
      <c r="AS104" s="409">
        <f>SUM(AS60:AS103)</f>
        <v/>
      </c>
      <c r="AT104" s="409">
        <f>SUM(AT60:AT103)</f>
        <v/>
      </c>
      <c r="AU104" s="409">
        <f>SUM(AU60:AU103)</f>
        <v/>
      </c>
      <c r="AV104" s="409">
        <f>SUM(AV60:AV103)</f>
        <v/>
      </c>
      <c r="AW104" s="409">
        <f>SUM(AW60:AW103)</f>
        <v/>
      </c>
      <c r="AX104" s="409">
        <f>SUM(AX60:AX103)</f>
        <v/>
      </c>
      <c r="AY104" s="409">
        <f>SUM(AY60:AY103)</f>
        <v/>
      </c>
      <c r="AZ104" s="409">
        <f>SUM(AZ60:AZ103)</f>
        <v/>
      </c>
      <c r="BA104" s="409">
        <f>SUM(BA60:BA103)</f>
        <v/>
      </c>
      <c r="BB104" s="409">
        <f>SUM(BB60:BB103)</f>
        <v/>
      </c>
      <c r="BC104" s="409">
        <f>SUM(BC60:BC103)</f>
        <v/>
      </c>
      <c r="BD104" s="409">
        <f>SUM(BD60:BD103)</f>
        <v/>
      </c>
      <c r="BE104" s="409">
        <f>SUM(BE60:BE103)</f>
        <v/>
      </c>
      <c r="BF104" s="409">
        <f>SUM(BF60:BF103)</f>
        <v/>
      </c>
      <c r="BG104" s="409">
        <f>SUM(BG60:BG103)</f>
        <v/>
      </c>
      <c r="BH104" s="409">
        <f>SUM(BH60:BH103)</f>
        <v/>
      </c>
      <c r="BI104" s="409">
        <f>SUM(BI60:BI103)</f>
        <v/>
      </c>
      <c r="BJ104" s="409">
        <f>SUM(BJ60:BJ103)</f>
        <v/>
      </c>
      <c r="BK104" s="409">
        <f>SUM(BK60:BK103)</f>
        <v/>
      </c>
      <c r="BL104" s="409">
        <f>SUM(BL60:BL103)</f>
        <v/>
      </c>
      <c r="BM104" s="409">
        <f>SUM(BM60:BM103)</f>
        <v/>
      </c>
      <c r="BN104" s="409">
        <f>SUM(BN60:BN103)</f>
        <v/>
      </c>
      <c r="BO104" s="409">
        <f>SUM(BO60:BO103)</f>
        <v/>
      </c>
      <c r="BP104" s="409">
        <f>SUM(BP60:BP103)</f>
        <v/>
      </c>
      <c r="BQ104" s="409">
        <f>SUM(BQ60:BQ103)</f>
        <v/>
      </c>
      <c r="BR104" s="409">
        <f>SUM(BR60:BR103)</f>
        <v/>
      </c>
      <c r="BS104" s="409">
        <f>SUM(BS60:BS103)</f>
        <v/>
      </c>
      <c r="BT104" s="409">
        <f>SUM(BT60:BT103)</f>
        <v/>
      </c>
      <c r="BU104" s="409">
        <f>SUM(BU60:BU103)</f>
        <v/>
      </c>
      <c r="BV104" s="409">
        <f>SUM(BV60:BV103)</f>
        <v/>
      </c>
      <c r="BW104" s="409">
        <f>SUM(BW60:BW103)</f>
        <v/>
      </c>
      <c r="BX104" s="409">
        <f>SUM(BX60:BX103)</f>
        <v/>
      </c>
      <c r="BY104" s="409">
        <f>SUM(BY60:BY103)</f>
        <v/>
      </c>
      <c r="BZ104" s="409">
        <f>SUM(BZ60:BZ103)</f>
        <v/>
      </c>
      <c r="CA104" s="409">
        <f>SUM(CA60:CA103)</f>
        <v/>
      </c>
      <c r="CB104" s="409">
        <f>SUM(CB60:CB103)</f>
        <v/>
      </c>
      <c r="CC104" s="409">
        <f>SUM(CC60:CC103)</f>
        <v/>
      </c>
      <c r="CD104" s="409">
        <f>SUM(CD60:CD103)</f>
        <v/>
      </c>
      <c r="CE104" s="409">
        <f>SUM(CE60:CE103)</f>
        <v/>
      </c>
      <c r="CF104" s="409">
        <f>SUM(CF60:CF103)</f>
        <v/>
      </c>
      <c r="CG104" s="409">
        <f>SUM(CG60:CG103)</f>
        <v/>
      </c>
      <c r="CH104" s="409">
        <f>SUM(CH60:CH103)</f>
        <v/>
      </c>
      <c r="CI104" s="409">
        <f>SUM(CI60:CI103)</f>
        <v/>
      </c>
      <c r="CJ104" s="409">
        <f>SUM(CJ60:CJ103)</f>
        <v/>
      </c>
      <c r="CK104" s="409">
        <f>SUM(CK60:CK103)</f>
        <v/>
      </c>
      <c r="CL104" s="409">
        <f>SUM(CL60:CL103)</f>
        <v/>
      </c>
      <c r="CM104" s="409">
        <f>SUM(CM60:CM103)</f>
        <v/>
      </c>
      <c r="CN104" s="409">
        <f>SUM(CN60:CN103)</f>
        <v/>
      </c>
      <c r="CO104" s="409">
        <f>SUM(CO60:CO103)</f>
        <v/>
      </c>
      <c r="CP104" s="409">
        <f>SUM(CP60:CP103)</f>
        <v/>
      </c>
      <c r="CQ104" s="409">
        <f>SUM(CQ60:CQ103)</f>
        <v/>
      </c>
      <c r="CR104" s="409">
        <f>SUM(CR60:CR103)</f>
        <v/>
      </c>
      <c r="CS104" s="409">
        <f>SUM(CS60:CS103)</f>
        <v/>
      </c>
      <c r="CT104" s="409">
        <f>SUM(CT60:CT103)</f>
        <v/>
      </c>
      <c r="CU104" s="409">
        <f>SUM(CU60:CU103)</f>
        <v/>
      </c>
      <c r="CV104" s="409">
        <f>SUM(CV60:CV103)</f>
        <v/>
      </c>
      <c r="CW104" s="409">
        <f>SUM(CW60:CW103)</f>
        <v/>
      </c>
      <c r="CX104" s="409">
        <f>SUM(CX60:CX103)</f>
        <v/>
      </c>
      <c r="CY104" s="409">
        <f>SUM(CY60:CY103)</f>
        <v/>
      </c>
      <c r="CZ104" s="409">
        <f>SUM(CZ60:CZ103)</f>
        <v/>
      </c>
      <c r="DA104" s="409">
        <f>SUM(DA60:DA103)</f>
        <v/>
      </c>
      <c r="DB104" s="409">
        <f>SUM(DB60:DB103)</f>
        <v/>
      </c>
      <c r="DC104" s="409">
        <f>SUM(DC60:DC103)</f>
        <v/>
      </c>
      <c r="DD104" s="409">
        <f>SUM(DD60:DD103)</f>
        <v/>
      </c>
      <c r="DE104" s="409">
        <f>SUM(DE60:DE103)</f>
        <v/>
      </c>
    </row>
    <row r="105" ht="15" customFormat="1" customHeight="1" s="380">
      <c r="A105" s="397" t="inlineStr">
        <is>
          <t>Bonding Revenue</t>
        </is>
      </c>
      <c r="B105" s="392">
        <f>IF(ISBLANK(Actuals!C15),0,Actuals!C15)</f>
        <v/>
      </c>
      <c r="C105" s="392">
        <f>IF(ISBLANK(Actuals!D15),0,Actuals!D15)</f>
        <v/>
      </c>
      <c r="D105" s="392">
        <f>IF(ISBLANK(Actuals!E15),0,Actuals!E15)</f>
        <v/>
      </c>
      <c r="E105" s="392">
        <f>IF(ISBLANK(Actuals!F15),IF(AND(Projects!$G$6="Yes",Projects!$F$6="Yes",1=Projects!$C$6),Projects!$B$6*Projects!$T$6,0)+IF(AND(Projects!$G$7="Yes",Projects!$F$7="Yes",1=Projects!$C$7),Projects!$B$7*Projects!$T$7,0)+IF(AND(Projects!$G$8="Yes",Projects!$F$8="Yes",1=Projects!$C$8),Projects!$B$8*Projects!$T$8,0)+IF(AND(Projects!$G$9="Yes",Projects!$F$9="Yes",1=Projects!$C$9),Projects!$B$9*Projects!$T$9,0)+IF(AND(Projects!$G$10="Yes",Projects!$F$10="Yes",1=Projects!$C$10),Projects!$B$10*Projects!$T$10,0)+IF(AND(Projects!$G$11="Yes",Projects!$F$11="Yes",1=Projects!$C$11),Projects!$B$11*Projects!$T$11,0)+IF(AND(Projects!$G$12="Yes",Projects!$F$12="Yes",1=Projects!$C$12),Projects!$B$12*Projects!$T$12,0)+IF(AND(Projects!$G$13="Yes",Projects!$F$13="Yes",1=Projects!$C$13),Projects!$B$13*Projects!$T$13,0)+IF(AND(Projects!$G$14="Yes",Projects!$F$14="Yes",1=Projects!$C$14),Projects!$B$14*Projects!$T$14,0)+IF(AND(Projects!$G$15="Yes",Projects!$F$15="Yes",1=Projects!$C$15),Projects!$B$15*Projects!$T$15,0)+IF(AND(Projects!$G$16="Yes",Projects!$F$16="Yes",1=Projects!$C$16),Projects!$B$16*Projects!$T$16,0)+SUMPRODUCT((Projects!$G$17:$G$46="Yes")*(Projects!$F$17:$F$46="Yes")*(1=Projects!$C$17:$C$46)*Projects!$B$17:$B$46*Projects!$T$17:$T$46),Actuals!F15)</f>
        <v/>
      </c>
      <c r="F105" s="392">
        <f>IF(ISBLANK(Actuals!G15),IF(AND(Projects!$G$6="Yes",Projects!$F$6="Yes",2=Projects!$C$6),Projects!$B$6*Projects!$T$6,0)+IF(AND(Projects!$G$7="Yes",Projects!$F$7="Yes",2=Projects!$C$7),Projects!$B$7*Projects!$T$7,0)+IF(AND(Projects!$G$8="Yes",Projects!$F$8="Yes",2=Projects!$C$8),Projects!$B$8*Projects!$T$8,0)+IF(AND(Projects!$G$9="Yes",Projects!$F$9="Yes",2=Projects!$C$9),Projects!$B$9*Projects!$T$9,0)+IF(AND(Projects!$G$10="Yes",Projects!$F$10="Yes",2=Projects!$C$10),Projects!$B$10*Projects!$T$10,0)+IF(AND(Projects!$G$11="Yes",Projects!$F$11="Yes",2=Projects!$C$11),Projects!$B$11*Projects!$T$11,0)+IF(AND(Projects!$G$12="Yes",Projects!$F$12="Yes",2=Projects!$C$12),Projects!$B$12*Projects!$T$12,0)+IF(AND(Projects!$G$13="Yes",Projects!$F$13="Yes",2=Projects!$C$13),Projects!$B$13*Projects!$T$13,0)+IF(AND(Projects!$G$14="Yes",Projects!$F$14="Yes",2=Projects!$C$14),Projects!$B$14*Projects!$T$14,0)+IF(AND(Projects!$G$15="Yes",Projects!$F$15="Yes",2=Projects!$C$15),Projects!$B$15*Projects!$T$15,0)+IF(AND(Projects!$G$16="Yes",Projects!$F$16="Yes",2=Projects!$C$16),Projects!$B$16*Projects!$T$16,0)+SUMPRODUCT((Projects!$G$17:$G$46="Yes")*(Projects!$F$17:$F$46="Yes")*(2=Projects!$C$17:$C$46)*Projects!$B$17:$B$46*Projects!$T$17:$T$46),Actuals!G15)</f>
        <v/>
      </c>
      <c r="G105" s="392">
        <f>IF(ISBLANK(Actuals!H15),IF(AND(Projects!$G$6="Yes",Projects!$F$6="Yes",3=Projects!$C$6),Projects!$B$6*Projects!$T$6,0)+IF(AND(Projects!$G$7="Yes",Projects!$F$7="Yes",3=Projects!$C$7),Projects!$B$7*Projects!$T$7,0)+IF(AND(Projects!$G$8="Yes",Projects!$F$8="Yes",3=Projects!$C$8),Projects!$B$8*Projects!$T$8,0)+IF(AND(Projects!$G$9="Yes",Projects!$F$9="Yes",3=Projects!$C$9),Projects!$B$9*Projects!$T$9,0)+IF(AND(Projects!$G$10="Yes",Projects!$F$10="Yes",3=Projects!$C$10),Projects!$B$10*Projects!$T$10,0)+IF(AND(Projects!$G$11="Yes",Projects!$F$11="Yes",3=Projects!$C$11),Projects!$B$11*Projects!$T$11,0)+IF(AND(Projects!$G$12="Yes",Projects!$F$12="Yes",3=Projects!$C$12),Projects!$B$12*Projects!$T$12,0)+IF(AND(Projects!$G$13="Yes",Projects!$F$13="Yes",3=Projects!$C$13),Projects!$B$13*Projects!$T$13,0)+IF(AND(Projects!$G$14="Yes",Projects!$F$14="Yes",3=Projects!$C$14),Projects!$B$14*Projects!$T$14,0)+IF(AND(Projects!$G$15="Yes",Projects!$F$15="Yes",3=Projects!$C$15),Projects!$B$15*Projects!$T$15,0)+IF(AND(Projects!$G$16="Yes",Projects!$F$16="Yes",3=Projects!$C$16),Projects!$B$16*Projects!$T$16,0)+SUMPRODUCT((Projects!$G$17:$G$46="Yes")*(Projects!$F$17:$F$46="Yes")*(3=Projects!$C$17:$C$46)*Projects!$B$17:$B$46*Projects!$T$17:$T$46),Actuals!H15)</f>
        <v/>
      </c>
      <c r="H105" s="392">
        <f>IF(ISBLANK(Actuals!I15),IF(AND(Projects!$G$6="Yes",Projects!$F$6="Yes",4=Projects!$C$6),Projects!$B$6*Projects!$T$6,0)+IF(AND(Projects!$G$7="Yes",Projects!$F$7="Yes",4=Projects!$C$7),Projects!$B$7*Projects!$T$7,0)+IF(AND(Projects!$G$8="Yes",Projects!$F$8="Yes",4=Projects!$C$8),Projects!$B$8*Projects!$T$8,0)+IF(AND(Projects!$G$9="Yes",Projects!$F$9="Yes",4=Projects!$C$9),Projects!$B$9*Projects!$T$9,0)+IF(AND(Projects!$G$10="Yes",Projects!$F$10="Yes",4=Projects!$C$10),Projects!$B$10*Projects!$T$10,0)+IF(AND(Projects!$G$11="Yes",Projects!$F$11="Yes",4=Projects!$C$11),Projects!$B$11*Projects!$T$11,0)+IF(AND(Projects!$G$12="Yes",Projects!$F$12="Yes",4=Projects!$C$12),Projects!$B$12*Projects!$T$12,0)+IF(AND(Projects!$G$13="Yes",Projects!$F$13="Yes",4=Projects!$C$13),Projects!$B$13*Projects!$T$13,0)+IF(AND(Projects!$G$14="Yes",Projects!$F$14="Yes",4=Projects!$C$14),Projects!$B$14*Projects!$T$14,0)+IF(AND(Projects!$G$15="Yes",Projects!$F$15="Yes",4=Projects!$C$15),Projects!$B$15*Projects!$T$15,0)+IF(AND(Projects!$G$16="Yes",Projects!$F$16="Yes",4=Projects!$C$16),Projects!$B$16*Projects!$T$16,0)+SUMPRODUCT((Projects!$G$17:$G$46="Yes")*(Projects!$F$17:$F$46="Yes")*(4=Projects!$C$17:$C$46)*Projects!$B$17:$B$46*Projects!$T$17:$T$46),Actuals!I15)</f>
        <v/>
      </c>
      <c r="I105" s="392">
        <f>IF(ISBLANK(Actuals!J15),IF(AND(Projects!$G$6="Yes",Projects!$F$6="Yes",5=Projects!$C$6),Projects!$B$6*Projects!$T$6,0)+IF(AND(Projects!$G$7="Yes",Projects!$F$7="Yes",5=Projects!$C$7),Projects!$B$7*Projects!$T$7,0)+IF(AND(Projects!$G$8="Yes",Projects!$F$8="Yes",5=Projects!$C$8),Projects!$B$8*Projects!$T$8,0)+IF(AND(Projects!$G$9="Yes",Projects!$F$9="Yes",5=Projects!$C$9),Projects!$B$9*Projects!$T$9,0)+IF(AND(Projects!$G$10="Yes",Projects!$F$10="Yes",5=Projects!$C$10),Projects!$B$10*Projects!$T$10,0)+IF(AND(Projects!$G$11="Yes",Projects!$F$11="Yes",5=Projects!$C$11),Projects!$B$11*Projects!$T$11,0)+IF(AND(Projects!$G$12="Yes",Projects!$F$12="Yes",5=Projects!$C$12),Projects!$B$12*Projects!$T$12,0)+IF(AND(Projects!$G$13="Yes",Projects!$F$13="Yes",5=Projects!$C$13),Projects!$B$13*Projects!$T$13,0)+IF(AND(Projects!$G$14="Yes",Projects!$F$14="Yes",5=Projects!$C$14),Projects!$B$14*Projects!$T$14,0)+IF(AND(Projects!$G$15="Yes",Projects!$F$15="Yes",5=Projects!$C$15),Projects!$B$15*Projects!$T$15,0)+IF(AND(Projects!$G$16="Yes",Projects!$F$16="Yes",5=Projects!$C$16),Projects!$B$16*Projects!$T$16,0)+SUMPRODUCT((Projects!$G$17:$G$46="Yes")*(Projects!$F$17:$F$46="Yes")*(5=Projects!$C$17:$C$46)*Projects!$B$17:$B$46*Projects!$T$17:$T$46),Actuals!J15)</f>
        <v/>
      </c>
      <c r="J105" s="392">
        <f>IF(ISBLANK(Actuals!K15),IF(AND(Projects!$G$6="Yes",Projects!$F$6="Yes",6=Projects!$C$6),Projects!$B$6*Projects!$T$6,0)+IF(AND(Projects!$G$7="Yes",Projects!$F$7="Yes",6=Projects!$C$7),Projects!$B$7*Projects!$T$7,0)+IF(AND(Projects!$G$8="Yes",Projects!$F$8="Yes",6=Projects!$C$8),Projects!$B$8*Projects!$T$8,0)+IF(AND(Projects!$G$9="Yes",Projects!$F$9="Yes",6=Projects!$C$9),Projects!$B$9*Projects!$T$9,0)+IF(AND(Projects!$G$10="Yes",Projects!$F$10="Yes",6=Projects!$C$10),Projects!$B$10*Projects!$T$10,0)+IF(AND(Projects!$G$11="Yes",Projects!$F$11="Yes",6=Projects!$C$11),Projects!$B$11*Projects!$T$11,0)+IF(AND(Projects!$G$12="Yes",Projects!$F$12="Yes",6=Projects!$C$12),Projects!$B$12*Projects!$T$12,0)+IF(AND(Projects!$G$13="Yes",Projects!$F$13="Yes",6=Projects!$C$13),Projects!$B$13*Projects!$T$13,0)+IF(AND(Projects!$G$14="Yes",Projects!$F$14="Yes",6=Projects!$C$14),Projects!$B$14*Projects!$T$14,0)+IF(AND(Projects!$G$15="Yes",Projects!$F$15="Yes",6=Projects!$C$15),Projects!$B$15*Projects!$T$15,0)+IF(AND(Projects!$G$16="Yes",Projects!$F$16="Yes",6=Projects!$C$16),Projects!$B$16*Projects!$T$16,0)+SUMPRODUCT((Projects!$G$17:$G$46="Yes")*(Projects!$F$17:$F$46="Yes")*(6=Projects!$C$17:$C$46)*Projects!$B$17:$B$46*Projects!$T$17:$T$46),Actuals!K15)</f>
        <v/>
      </c>
      <c r="K105" s="392">
        <f>IF(ISBLANK(Actuals!L15),IF(AND(Projects!$G$6="Yes",Projects!$F$6="Yes",7=Projects!$C$6),Projects!$B$6*Projects!$T$6,0)+IF(AND(Projects!$G$7="Yes",Projects!$F$7="Yes",7=Projects!$C$7),Projects!$B$7*Projects!$T$7,0)+IF(AND(Projects!$G$8="Yes",Projects!$F$8="Yes",7=Projects!$C$8),Projects!$B$8*Projects!$T$8,0)+IF(AND(Projects!$G$9="Yes",Projects!$F$9="Yes",7=Projects!$C$9),Projects!$B$9*Projects!$T$9,0)+IF(AND(Projects!$G$10="Yes",Projects!$F$10="Yes",7=Projects!$C$10),Projects!$B$10*Projects!$T$10,0)+IF(AND(Projects!$G$11="Yes",Projects!$F$11="Yes",7=Projects!$C$11),Projects!$B$11*Projects!$T$11,0)+IF(AND(Projects!$G$12="Yes",Projects!$F$12="Yes",7=Projects!$C$12),Projects!$B$12*Projects!$T$12,0)+IF(AND(Projects!$G$13="Yes",Projects!$F$13="Yes",7=Projects!$C$13),Projects!$B$13*Projects!$T$13,0)+IF(AND(Projects!$G$14="Yes",Projects!$F$14="Yes",7=Projects!$C$14),Projects!$B$14*Projects!$T$14,0)+IF(AND(Projects!$G$15="Yes",Projects!$F$15="Yes",7=Projects!$C$15),Projects!$B$15*Projects!$T$15,0)+IF(AND(Projects!$G$16="Yes",Projects!$F$16="Yes",7=Projects!$C$16),Projects!$B$16*Projects!$T$16,0)+SUMPRODUCT((Projects!$G$17:$G$46="Yes")*(Projects!$F$17:$F$46="Yes")*(7=Projects!$C$17:$C$46)*Projects!$B$17:$B$46*Projects!$T$17:$T$46),Actuals!L15)</f>
        <v/>
      </c>
      <c r="L105" s="392">
        <f>IF(ISBLANK(Actuals!M15),IF(AND(Projects!$G$6="Yes",Projects!$F$6="Yes",8=Projects!$C$6),Projects!$B$6*Projects!$T$6,0)+IF(AND(Projects!$G$7="Yes",Projects!$F$7="Yes",8=Projects!$C$7),Projects!$B$7*Projects!$T$7,0)+IF(AND(Projects!$G$8="Yes",Projects!$F$8="Yes",8=Projects!$C$8),Projects!$B$8*Projects!$T$8,0)+IF(AND(Projects!$G$9="Yes",Projects!$F$9="Yes",8=Projects!$C$9),Projects!$B$9*Projects!$T$9,0)+IF(AND(Projects!$G$10="Yes",Projects!$F$10="Yes",8=Projects!$C$10),Projects!$B$10*Projects!$T$10,0)+IF(AND(Projects!$G$11="Yes",Projects!$F$11="Yes",8=Projects!$C$11),Projects!$B$11*Projects!$T$11,0)+IF(AND(Projects!$G$12="Yes",Projects!$F$12="Yes",8=Projects!$C$12),Projects!$B$12*Projects!$T$12,0)+IF(AND(Projects!$G$13="Yes",Projects!$F$13="Yes",8=Projects!$C$13),Projects!$B$13*Projects!$T$13,0)+IF(AND(Projects!$G$14="Yes",Projects!$F$14="Yes",8=Projects!$C$14),Projects!$B$14*Projects!$T$14,0)+IF(AND(Projects!$G$15="Yes",Projects!$F$15="Yes",8=Projects!$C$15),Projects!$B$15*Projects!$T$15,0)+IF(AND(Projects!$G$16="Yes",Projects!$F$16="Yes",8=Projects!$C$16),Projects!$B$16*Projects!$T$16,0)+SUMPRODUCT((Projects!$G$17:$G$46="Yes")*(Projects!$F$17:$F$46="Yes")*(8=Projects!$C$17:$C$46)*Projects!$B$17:$B$46*Projects!$T$17:$T$46),Actuals!M15)</f>
        <v/>
      </c>
      <c r="M105" s="392">
        <f>IF(ISBLANK(Actuals!N15),IF(AND(Projects!$G$6="Yes",Projects!$F$6="Yes",9=Projects!$C$6),Projects!$B$6*Projects!$T$6,0)+IF(AND(Projects!$G$7="Yes",Projects!$F$7="Yes",9=Projects!$C$7),Projects!$B$7*Projects!$T$7,0)+IF(AND(Projects!$G$8="Yes",Projects!$F$8="Yes",9=Projects!$C$8),Projects!$B$8*Projects!$T$8,0)+IF(AND(Projects!$G$9="Yes",Projects!$F$9="Yes",9=Projects!$C$9),Projects!$B$9*Projects!$T$9,0)+IF(AND(Projects!$G$10="Yes",Projects!$F$10="Yes",9=Projects!$C$10),Projects!$B$10*Projects!$T$10,0)+IF(AND(Projects!$G$11="Yes",Projects!$F$11="Yes",9=Projects!$C$11),Projects!$B$11*Projects!$T$11,0)+IF(AND(Projects!$G$12="Yes",Projects!$F$12="Yes",9=Projects!$C$12),Projects!$B$12*Projects!$T$12,0)+IF(AND(Projects!$G$13="Yes",Projects!$F$13="Yes",9=Projects!$C$13),Projects!$B$13*Projects!$T$13,0)+IF(AND(Projects!$G$14="Yes",Projects!$F$14="Yes",9=Projects!$C$14),Projects!$B$14*Projects!$T$14,0)+IF(AND(Projects!$G$15="Yes",Projects!$F$15="Yes",9=Projects!$C$15),Projects!$B$15*Projects!$T$15,0)+IF(AND(Projects!$G$16="Yes",Projects!$F$16="Yes",9=Projects!$C$16),Projects!$B$16*Projects!$T$16,0)+SUMPRODUCT((Projects!$G$17:$G$46="Yes")*(Projects!$F$17:$F$46="Yes")*(9=Projects!$C$17:$C$46)*Projects!$B$17:$B$46*Projects!$T$17:$T$46),Actuals!N15)</f>
        <v/>
      </c>
      <c r="N105" s="392">
        <f>IF(ISBLANK(Actuals!O15),IF(AND(Projects!$G$6="Yes",Projects!$F$6="Yes",10=Projects!$C$6),Projects!$B$6*Projects!$T$6,0)+IF(AND(Projects!$G$7="Yes",Projects!$F$7="Yes",10=Projects!$C$7),Projects!$B$7*Projects!$T$7,0)+IF(AND(Projects!$G$8="Yes",Projects!$F$8="Yes",10=Projects!$C$8),Projects!$B$8*Projects!$T$8,0)+IF(AND(Projects!$G$9="Yes",Projects!$F$9="Yes",10=Projects!$C$9),Projects!$B$9*Projects!$T$9,0)+IF(AND(Projects!$G$10="Yes",Projects!$F$10="Yes",10=Projects!$C$10),Projects!$B$10*Projects!$T$10,0)+IF(AND(Projects!$G$11="Yes",Projects!$F$11="Yes",10=Projects!$C$11),Projects!$B$11*Projects!$T$11,0)+IF(AND(Projects!$G$12="Yes",Projects!$F$12="Yes",10=Projects!$C$12),Projects!$B$12*Projects!$T$12,0)+IF(AND(Projects!$G$13="Yes",Projects!$F$13="Yes",10=Projects!$C$13),Projects!$B$13*Projects!$T$13,0)+IF(AND(Projects!$G$14="Yes",Projects!$F$14="Yes",10=Projects!$C$14),Projects!$B$14*Projects!$T$14,0)+IF(AND(Projects!$G$15="Yes",Projects!$F$15="Yes",10=Projects!$C$15),Projects!$B$15*Projects!$T$15,0)+IF(AND(Projects!$G$16="Yes",Projects!$F$16="Yes",10=Projects!$C$16),Projects!$B$16*Projects!$T$16,0)+SUMPRODUCT((Projects!$G$17:$G$46="Yes")*(Projects!$F$17:$F$46="Yes")*(10=Projects!$C$17:$C$46)*Projects!$B$17:$B$46*Projects!$T$17:$T$46),Actuals!O15)</f>
        <v/>
      </c>
      <c r="O105" s="392">
        <f>IF(ISBLANK(Actuals!P15),IF(AND(Projects!$G$6="Yes",Projects!$F$6="Yes",11=Projects!$C$6),Projects!$B$6*Projects!$T$6,0)+IF(AND(Projects!$G$7="Yes",Projects!$F$7="Yes",11=Projects!$C$7),Projects!$B$7*Projects!$T$7,0)+IF(AND(Projects!$G$8="Yes",Projects!$F$8="Yes",11=Projects!$C$8),Projects!$B$8*Projects!$T$8,0)+IF(AND(Projects!$G$9="Yes",Projects!$F$9="Yes",11=Projects!$C$9),Projects!$B$9*Projects!$T$9,0)+IF(AND(Projects!$G$10="Yes",Projects!$F$10="Yes",11=Projects!$C$10),Projects!$B$10*Projects!$T$10,0)+IF(AND(Projects!$G$11="Yes",Projects!$F$11="Yes",11=Projects!$C$11),Projects!$B$11*Projects!$T$11,0)+IF(AND(Projects!$G$12="Yes",Projects!$F$12="Yes",11=Projects!$C$12),Projects!$B$12*Projects!$T$12,0)+IF(AND(Projects!$G$13="Yes",Projects!$F$13="Yes",11=Projects!$C$13),Projects!$B$13*Projects!$T$13,0)+IF(AND(Projects!$G$14="Yes",Projects!$F$14="Yes",11=Projects!$C$14),Projects!$B$14*Projects!$T$14,0)+IF(AND(Projects!$G$15="Yes",Projects!$F$15="Yes",11=Projects!$C$15),Projects!$B$15*Projects!$T$15,0)+IF(AND(Projects!$G$16="Yes",Projects!$F$16="Yes",11=Projects!$C$16),Projects!$B$16*Projects!$T$16,0)+SUMPRODUCT((Projects!$G$17:$G$46="Yes")*(Projects!$F$17:$F$46="Yes")*(11=Projects!$C$17:$C$46)*Projects!$B$17:$B$46*Projects!$T$17:$T$46),Actuals!P15)</f>
        <v/>
      </c>
      <c r="P105" s="392">
        <f>IF(ISBLANK(Actuals!Q15),IF(AND(Projects!$G$6="Yes",Projects!$F$6="Yes",12=Projects!$C$6),Projects!$B$6*Projects!$T$6,0)+IF(AND(Projects!$G$7="Yes",Projects!$F$7="Yes",12=Projects!$C$7),Projects!$B$7*Projects!$T$7,0)+IF(AND(Projects!$G$8="Yes",Projects!$F$8="Yes",12=Projects!$C$8),Projects!$B$8*Projects!$T$8,0)+IF(AND(Projects!$G$9="Yes",Projects!$F$9="Yes",12=Projects!$C$9),Projects!$B$9*Projects!$T$9,0)+IF(AND(Projects!$G$10="Yes",Projects!$F$10="Yes",12=Projects!$C$10),Projects!$B$10*Projects!$T$10,0)+IF(AND(Projects!$G$11="Yes",Projects!$F$11="Yes",12=Projects!$C$11),Projects!$B$11*Projects!$T$11,0)+IF(AND(Projects!$G$12="Yes",Projects!$F$12="Yes",12=Projects!$C$12),Projects!$B$12*Projects!$T$12,0)+IF(AND(Projects!$G$13="Yes",Projects!$F$13="Yes",12=Projects!$C$13),Projects!$B$13*Projects!$T$13,0)+IF(AND(Projects!$G$14="Yes",Projects!$F$14="Yes",12=Projects!$C$14),Projects!$B$14*Projects!$T$14,0)+IF(AND(Projects!$G$15="Yes",Projects!$F$15="Yes",12=Projects!$C$15),Projects!$B$15*Projects!$T$15,0)+IF(AND(Projects!$G$16="Yes",Projects!$F$16="Yes",12=Projects!$C$16),Projects!$B$16*Projects!$T$16,0)+SUMPRODUCT((Projects!$G$17:$G$46="Yes")*(Projects!$F$17:$F$46="Yes")*(12=Projects!$C$17:$C$46)*Projects!$B$17:$B$46*Projects!$T$17:$T$46),Actuals!Q15)</f>
        <v/>
      </c>
      <c r="Q105" s="392">
        <f>IF(ISBLANK(Actuals!R15),IF(AND(Projects!$G$6="Yes",Projects!$F$6="Yes",13=Projects!$C$6),Projects!$B$6*Projects!$T$6,0)+IF(AND(Projects!$G$7="Yes",Projects!$F$7="Yes",13=Projects!$C$7),Projects!$B$7*Projects!$T$7,0)+IF(AND(Projects!$G$8="Yes",Projects!$F$8="Yes",13=Projects!$C$8),Projects!$B$8*Projects!$T$8,0)+IF(AND(Projects!$G$9="Yes",Projects!$F$9="Yes",13=Projects!$C$9),Projects!$B$9*Projects!$T$9,0)+IF(AND(Projects!$G$10="Yes",Projects!$F$10="Yes",13=Projects!$C$10),Projects!$B$10*Projects!$T$10,0)+IF(AND(Projects!$G$11="Yes",Projects!$F$11="Yes",13=Projects!$C$11),Projects!$B$11*Projects!$T$11,0)+IF(AND(Projects!$G$12="Yes",Projects!$F$12="Yes",13=Projects!$C$12),Projects!$B$12*Projects!$T$12,0)+IF(AND(Projects!$G$13="Yes",Projects!$F$13="Yes",13=Projects!$C$13),Projects!$B$13*Projects!$T$13,0)+IF(AND(Projects!$G$14="Yes",Projects!$F$14="Yes",13=Projects!$C$14),Projects!$B$14*Projects!$T$14,0)+IF(AND(Projects!$G$15="Yes",Projects!$F$15="Yes",13=Projects!$C$15),Projects!$B$15*Projects!$T$15,0)+IF(AND(Projects!$G$16="Yes",Projects!$F$16="Yes",13=Projects!$C$16),Projects!$B$16*Projects!$T$16,0)+SUMPRODUCT((Projects!$G$17:$G$46="Yes")*(Projects!$F$17:$F$46="Yes")*(13=Projects!$C$17:$C$46)*Projects!$B$17:$B$46*Projects!$T$17:$T$46),Actuals!R15)</f>
        <v/>
      </c>
      <c r="R105" s="392">
        <f>IF(ISBLANK(Actuals!S15),IF(AND(Projects!$G$6="Yes",Projects!$F$6="Yes",14=Projects!$C$6),Projects!$B$6*Projects!$T$6,0)+IF(AND(Projects!$G$7="Yes",Projects!$F$7="Yes",14=Projects!$C$7),Projects!$B$7*Projects!$T$7,0)+IF(AND(Projects!$G$8="Yes",Projects!$F$8="Yes",14=Projects!$C$8),Projects!$B$8*Projects!$T$8,0)+IF(AND(Projects!$G$9="Yes",Projects!$F$9="Yes",14=Projects!$C$9),Projects!$B$9*Projects!$T$9,0)+IF(AND(Projects!$G$10="Yes",Projects!$F$10="Yes",14=Projects!$C$10),Projects!$B$10*Projects!$T$10,0)+IF(AND(Projects!$G$11="Yes",Projects!$F$11="Yes",14=Projects!$C$11),Projects!$B$11*Projects!$T$11,0)+IF(AND(Projects!$G$12="Yes",Projects!$F$12="Yes",14=Projects!$C$12),Projects!$B$12*Projects!$T$12,0)+IF(AND(Projects!$G$13="Yes",Projects!$F$13="Yes",14=Projects!$C$13),Projects!$B$13*Projects!$T$13,0)+IF(AND(Projects!$G$14="Yes",Projects!$F$14="Yes",14=Projects!$C$14),Projects!$B$14*Projects!$T$14,0)+IF(AND(Projects!$G$15="Yes",Projects!$F$15="Yes",14=Projects!$C$15),Projects!$B$15*Projects!$T$15,0)+IF(AND(Projects!$G$16="Yes",Projects!$F$16="Yes",14=Projects!$C$16),Projects!$B$16*Projects!$T$16,0)+SUMPRODUCT((Projects!$G$17:$G$46="Yes")*(Projects!$F$17:$F$46="Yes")*(14=Projects!$C$17:$C$46)*Projects!$B$17:$B$46*Projects!$T$17:$T$46),Actuals!S15)</f>
        <v/>
      </c>
      <c r="S105" s="392">
        <f>IF(ISBLANK(Actuals!T15),IF(AND(Projects!$G$6="Yes",Projects!$F$6="Yes",15=Projects!$C$6),Projects!$B$6*Projects!$T$6,0)+IF(AND(Projects!$G$7="Yes",Projects!$F$7="Yes",15=Projects!$C$7),Projects!$B$7*Projects!$T$7,0)+IF(AND(Projects!$G$8="Yes",Projects!$F$8="Yes",15=Projects!$C$8),Projects!$B$8*Projects!$T$8,0)+IF(AND(Projects!$G$9="Yes",Projects!$F$9="Yes",15=Projects!$C$9),Projects!$B$9*Projects!$T$9,0)+IF(AND(Projects!$G$10="Yes",Projects!$F$10="Yes",15=Projects!$C$10),Projects!$B$10*Projects!$T$10,0)+IF(AND(Projects!$G$11="Yes",Projects!$F$11="Yes",15=Projects!$C$11),Projects!$B$11*Projects!$T$11,0)+IF(AND(Projects!$G$12="Yes",Projects!$F$12="Yes",15=Projects!$C$12),Projects!$B$12*Projects!$T$12,0)+IF(AND(Projects!$G$13="Yes",Projects!$F$13="Yes",15=Projects!$C$13),Projects!$B$13*Projects!$T$13,0)+IF(AND(Projects!$G$14="Yes",Projects!$F$14="Yes",15=Projects!$C$14),Projects!$B$14*Projects!$T$14,0)+IF(AND(Projects!$G$15="Yes",Projects!$F$15="Yes",15=Projects!$C$15),Projects!$B$15*Projects!$T$15,0)+IF(AND(Projects!$G$16="Yes",Projects!$F$16="Yes",15=Projects!$C$16),Projects!$B$16*Projects!$T$16,0)+SUMPRODUCT((Projects!$G$17:$G$46="Yes")*(Projects!$F$17:$F$46="Yes")*(15=Projects!$C$17:$C$46)*Projects!$B$17:$B$46*Projects!$T$17:$T$46),Actuals!T15)</f>
        <v/>
      </c>
      <c r="T105" s="392">
        <f>IF(ISBLANK(Actuals!U15),IF(AND(Projects!$G$6="Yes",Projects!$F$6="Yes",16=Projects!$C$6),Projects!$B$6*Projects!$T$6,0)+IF(AND(Projects!$G$7="Yes",Projects!$F$7="Yes",16=Projects!$C$7),Projects!$B$7*Projects!$T$7,0)+IF(AND(Projects!$G$8="Yes",Projects!$F$8="Yes",16=Projects!$C$8),Projects!$B$8*Projects!$T$8,0)+IF(AND(Projects!$G$9="Yes",Projects!$F$9="Yes",16=Projects!$C$9),Projects!$B$9*Projects!$T$9,0)+IF(AND(Projects!$G$10="Yes",Projects!$F$10="Yes",16=Projects!$C$10),Projects!$B$10*Projects!$T$10,0)+IF(AND(Projects!$G$11="Yes",Projects!$F$11="Yes",16=Projects!$C$11),Projects!$B$11*Projects!$T$11,0)+IF(AND(Projects!$G$12="Yes",Projects!$F$12="Yes",16=Projects!$C$12),Projects!$B$12*Projects!$T$12,0)+IF(AND(Projects!$G$13="Yes",Projects!$F$13="Yes",16=Projects!$C$13),Projects!$B$13*Projects!$T$13,0)+IF(AND(Projects!$G$14="Yes",Projects!$F$14="Yes",16=Projects!$C$14),Projects!$B$14*Projects!$T$14,0)+IF(AND(Projects!$G$15="Yes",Projects!$F$15="Yes",16=Projects!$C$15),Projects!$B$15*Projects!$T$15,0)+IF(AND(Projects!$G$16="Yes",Projects!$F$16="Yes",16=Projects!$C$16),Projects!$B$16*Projects!$T$16,0)+SUMPRODUCT((Projects!$G$17:$G$46="Yes")*(Projects!$F$17:$F$46="Yes")*(16=Projects!$C$17:$C$46)*Projects!$B$17:$B$46*Projects!$T$17:$T$46),Actuals!U15)</f>
        <v/>
      </c>
      <c r="U105" s="392">
        <f>IF(ISBLANK(Actuals!V15),IF(AND(Projects!$G$6="Yes",Projects!$F$6="Yes",17=Projects!$C$6),Projects!$B$6*Projects!$T$6,0)+IF(AND(Projects!$G$7="Yes",Projects!$F$7="Yes",17=Projects!$C$7),Projects!$B$7*Projects!$T$7,0)+IF(AND(Projects!$G$8="Yes",Projects!$F$8="Yes",17=Projects!$C$8),Projects!$B$8*Projects!$T$8,0)+IF(AND(Projects!$G$9="Yes",Projects!$F$9="Yes",17=Projects!$C$9),Projects!$B$9*Projects!$T$9,0)+IF(AND(Projects!$G$10="Yes",Projects!$F$10="Yes",17=Projects!$C$10),Projects!$B$10*Projects!$T$10,0)+IF(AND(Projects!$G$11="Yes",Projects!$F$11="Yes",17=Projects!$C$11),Projects!$B$11*Projects!$T$11,0)+IF(AND(Projects!$G$12="Yes",Projects!$F$12="Yes",17=Projects!$C$12),Projects!$B$12*Projects!$T$12,0)+IF(AND(Projects!$G$13="Yes",Projects!$F$13="Yes",17=Projects!$C$13),Projects!$B$13*Projects!$T$13,0)+IF(AND(Projects!$G$14="Yes",Projects!$F$14="Yes",17=Projects!$C$14),Projects!$B$14*Projects!$T$14,0)+IF(AND(Projects!$G$15="Yes",Projects!$F$15="Yes",17=Projects!$C$15),Projects!$B$15*Projects!$T$15,0)+IF(AND(Projects!$G$16="Yes",Projects!$F$16="Yes",17=Projects!$C$16),Projects!$B$16*Projects!$T$16,0)+SUMPRODUCT((Projects!$G$17:$G$46="Yes")*(Projects!$F$17:$F$46="Yes")*(17=Projects!$C$17:$C$46)*Projects!$B$17:$B$46*Projects!$T$17:$T$46),Actuals!V15)</f>
        <v/>
      </c>
      <c r="V105" s="392">
        <f>IF(ISBLANK(Actuals!W15),IF(AND(Projects!$G$6="Yes",Projects!$F$6="Yes",18=Projects!$C$6),Projects!$B$6*Projects!$T$6,0)+IF(AND(Projects!$G$7="Yes",Projects!$F$7="Yes",18=Projects!$C$7),Projects!$B$7*Projects!$T$7,0)+IF(AND(Projects!$G$8="Yes",Projects!$F$8="Yes",18=Projects!$C$8),Projects!$B$8*Projects!$T$8,0)+IF(AND(Projects!$G$9="Yes",Projects!$F$9="Yes",18=Projects!$C$9),Projects!$B$9*Projects!$T$9,0)+IF(AND(Projects!$G$10="Yes",Projects!$F$10="Yes",18=Projects!$C$10),Projects!$B$10*Projects!$T$10,0)+IF(AND(Projects!$G$11="Yes",Projects!$F$11="Yes",18=Projects!$C$11),Projects!$B$11*Projects!$T$11,0)+IF(AND(Projects!$G$12="Yes",Projects!$F$12="Yes",18=Projects!$C$12),Projects!$B$12*Projects!$T$12,0)+IF(AND(Projects!$G$13="Yes",Projects!$F$13="Yes",18=Projects!$C$13),Projects!$B$13*Projects!$T$13,0)+IF(AND(Projects!$G$14="Yes",Projects!$F$14="Yes",18=Projects!$C$14),Projects!$B$14*Projects!$T$14,0)+IF(AND(Projects!$G$15="Yes",Projects!$F$15="Yes",18=Projects!$C$15),Projects!$B$15*Projects!$T$15,0)+IF(AND(Projects!$G$16="Yes",Projects!$F$16="Yes",18=Projects!$C$16),Projects!$B$16*Projects!$T$16,0)+SUMPRODUCT((Projects!$G$17:$G$46="Yes")*(Projects!$F$17:$F$46="Yes")*(18=Projects!$C$17:$C$46)*Projects!$B$17:$B$46*Projects!$T$17:$T$46),Actuals!W15)</f>
        <v/>
      </c>
      <c r="W105" s="392">
        <f>IF(ISBLANK(Actuals!X15),IF(AND(Projects!$G$6="Yes",Projects!$F$6="Yes",19=Projects!$C$6),Projects!$B$6*Projects!$T$6,0)+IF(AND(Projects!$G$7="Yes",Projects!$F$7="Yes",19=Projects!$C$7),Projects!$B$7*Projects!$T$7,0)+IF(AND(Projects!$G$8="Yes",Projects!$F$8="Yes",19=Projects!$C$8),Projects!$B$8*Projects!$T$8,0)+IF(AND(Projects!$G$9="Yes",Projects!$F$9="Yes",19=Projects!$C$9),Projects!$B$9*Projects!$T$9,0)+IF(AND(Projects!$G$10="Yes",Projects!$F$10="Yes",19=Projects!$C$10),Projects!$B$10*Projects!$T$10,0)+IF(AND(Projects!$G$11="Yes",Projects!$F$11="Yes",19=Projects!$C$11),Projects!$B$11*Projects!$T$11,0)+IF(AND(Projects!$G$12="Yes",Projects!$F$12="Yes",19=Projects!$C$12),Projects!$B$12*Projects!$T$12,0)+IF(AND(Projects!$G$13="Yes",Projects!$F$13="Yes",19=Projects!$C$13),Projects!$B$13*Projects!$T$13,0)+IF(AND(Projects!$G$14="Yes",Projects!$F$14="Yes",19=Projects!$C$14),Projects!$B$14*Projects!$T$14,0)+IF(AND(Projects!$G$15="Yes",Projects!$F$15="Yes",19=Projects!$C$15),Projects!$B$15*Projects!$T$15,0)+IF(AND(Projects!$G$16="Yes",Projects!$F$16="Yes",19=Projects!$C$16),Projects!$B$16*Projects!$T$16,0)+SUMPRODUCT((Projects!$G$17:$G$46="Yes")*(Projects!$F$17:$F$46="Yes")*(19=Projects!$C$17:$C$46)*Projects!$B$17:$B$46*Projects!$T$17:$T$46),Actuals!X15)</f>
        <v/>
      </c>
      <c r="X105" s="392">
        <f>IF(ISBLANK(Actuals!Y15),IF(AND(Projects!$G$6="Yes",Projects!$F$6="Yes",20=Projects!$C$6),Projects!$B$6*Projects!$T$6,0)+IF(AND(Projects!$G$7="Yes",Projects!$F$7="Yes",20=Projects!$C$7),Projects!$B$7*Projects!$T$7,0)+IF(AND(Projects!$G$8="Yes",Projects!$F$8="Yes",20=Projects!$C$8),Projects!$B$8*Projects!$T$8,0)+IF(AND(Projects!$G$9="Yes",Projects!$F$9="Yes",20=Projects!$C$9),Projects!$B$9*Projects!$T$9,0)+IF(AND(Projects!$G$10="Yes",Projects!$F$10="Yes",20=Projects!$C$10),Projects!$B$10*Projects!$T$10,0)+IF(AND(Projects!$G$11="Yes",Projects!$F$11="Yes",20=Projects!$C$11),Projects!$B$11*Projects!$T$11,0)+IF(AND(Projects!$G$12="Yes",Projects!$F$12="Yes",20=Projects!$C$12),Projects!$B$12*Projects!$T$12,0)+IF(AND(Projects!$G$13="Yes",Projects!$F$13="Yes",20=Projects!$C$13),Projects!$B$13*Projects!$T$13,0)+IF(AND(Projects!$G$14="Yes",Projects!$F$14="Yes",20=Projects!$C$14),Projects!$B$14*Projects!$T$14,0)+IF(AND(Projects!$G$15="Yes",Projects!$F$15="Yes",20=Projects!$C$15),Projects!$B$15*Projects!$T$15,0)+IF(AND(Projects!$G$16="Yes",Projects!$F$16="Yes",20=Projects!$C$16),Projects!$B$16*Projects!$T$16,0)+SUMPRODUCT((Projects!$G$17:$G$46="Yes")*(Projects!$F$17:$F$46="Yes")*(20=Projects!$C$17:$C$46)*Projects!$B$17:$B$46*Projects!$T$17:$T$46),Actuals!Y15)</f>
        <v/>
      </c>
      <c r="Y105" s="392">
        <f>IF(ISBLANK(Actuals!Z15),IF(AND(Projects!$G$6="Yes",Projects!$F$6="Yes",21=Projects!$C$6),Projects!$B$6*Projects!$T$6,0)+IF(AND(Projects!$G$7="Yes",Projects!$F$7="Yes",21=Projects!$C$7),Projects!$B$7*Projects!$T$7,0)+IF(AND(Projects!$G$8="Yes",Projects!$F$8="Yes",21=Projects!$C$8),Projects!$B$8*Projects!$T$8,0)+IF(AND(Projects!$G$9="Yes",Projects!$F$9="Yes",21=Projects!$C$9),Projects!$B$9*Projects!$T$9,0)+IF(AND(Projects!$G$10="Yes",Projects!$F$10="Yes",21=Projects!$C$10),Projects!$B$10*Projects!$T$10,0)+IF(AND(Projects!$G$11="Yes",Projects!$F$11="Yes",21=Projects!$C$11),Projects!$B$11*Projects!$T$11,0)+IF(AND(Projects!$G$12="Yes",Projects!$F$12="Yes",21=Projects!$C$12),Projects!$B$12*Projects!$T$12,0)+IF(AND(Projects!$G$13="Yes",Projects!$F$13="Yes",21=Projects!$C$13),Projects!$B$13*Projects!$T$13,0)+IF(AND(Projects!$G$14="Yes",Projects!$F$14="Yes",21=Projects!$C$14),Projects!$B$14*Projects!$T$14,0)+IF(AND(Projects!$G$15="Yes",Projects!$F$15="Yes",21=Projects!$C$15),Projects!$B$15*Projects!$T$15,0)+IF(AND(Projects!$G$16="Yes",Projects!$F$16="Yes",21=Projects!$C$16),Projects!$B$16*Projects!$T$16,0)+SUMPRODUCT((Projects!$G$17:$G$46="Yes")*(Projects!$F$17:$F$46="Yes")*(21=Projects!$C$17:$C$46)*Projects!$B$17:$B$46*Projects!$T$17:$T$46),Actuals!Z15)</f>
        <v/>
      </c>
      <c r="Z105" s="392">
        <f>IF(ISBLANK(Actuals!AA15),IF(AND(Projects!$G$6="Yes",Projects!$F$6="Yes",22=Projects!$C$6),Projects!$B$6*Projects!$T$6,0)+IF(AND(Projects!$G$7="Yes",Projects!$F$7="Yes",22=Projects!$C$7),Projects!$B$7*Projects!$T$7,0)+IF(AND(Projects!$G$8="Yes",Projects!$F$8="Yes",22=Projects!$C$8),Projects!$B$8*Projects!$T$8,0)+IF(AND(Projects!$G$9="Yes",Projects!$F$9="Yes",22=Projects!$C$9),Projects!$B$9*Projects!$T$9,0)+IF(AND(Projects!$G$10="Yes",Projects!$F$10="Yes",22=Projects!$C$10),Projects!$B$10*Projects!$T$10,0)+IF(AND(Projects!$G$11="Yes",Projects!$F$11="Yes",22=Projects!$C$11),Projects!$B$11*Projects!$T$11,0)+IF(AND(Projects!$G$12="Yes",Projects!$F$12="Yes",22=Projects!$C$12),Projects!$B$12*Projects!$T$12,0)+IF(AND(Projects!$G$13="Yes",Projects!$F$13="Yes",22=Projects!$C$13),Projects!$B$13*Projects!$T$13,0)+IF(AND(Projects!$G$14="Yes",Projects!$F$14="Yes",22=Projects!$C$14),Projects!$B$14*Projects!$T$14,0)+IF(AND(Projects!$G$15="Yes",Projects!$F$15="Yes",22=Projects!$C$15),Projects!$B$15*Projects!$T$15,0)+IF(AND(Projects!$G$16="Yes",Projects!$F$16="Yes",22=Projects!$C$16),Projects!$B$16*Projects!$T$16,0)+SUMPRODUCT((Projects!$G$17:$G$46="Yes")*(Projects!$F$17:$F$46="Yes")*(22=Projects!$C$17:$C$46)*Projects!$B$17:$B$46*Projects!$T$17:$T$46),Actuals!AA15)</f>
        <v/>
      </c>
      <c r="AA105" s="392">
        <f>IF(ISBLANK(Actuals!AB15),IF(AND(Projects!$G$6="Yes",Projects!$F$6="Yes",23=Projects!$C$6),Projects!$B$6*Projects!$T$6,0)+IF(AND(Projects!$G$7="Yes",Projects!$F$7="Yes",23=Projects!$C$7),Projects!$B$7*Projects!$T$7,0)+IF(AND(Projects!$G$8="Yes",Projects!$F$8="Yes",23=Projects!$C$8),Projects!$B$8*Projects!$T$8,0)+IF(AND(Projects!$G$9="Yes",Projects!$F$9="Yes",23=Projects!$C$9),Projects!$B$9*Projects!$T$9,0)+IF(AND(Projects!$G$10="Yes",Projects!$F$10="Yes",23=Projects!$C$10),Projects!$B$10*Projects!$T$10,0)+IF(AND(Projects!$G$11="Yes",Projects!$F$11="Yes",23=Projects!$C$11),Projects!$B$11*Projects!$T$11,0)+IF(AND(Projects!$G$12="Yes",Projects!$F$12="Yes",23=Projects!$C$12),Projects!$B$12*Projects!$T$12,0)+IF(AND(Projects!$G$13="Yes",Projects!$F$13="Yes",23=Projects!$C$13),Projects!$B$13*Projects!$T$13,0)+IF(AND(Projects!$G$14="Yes",Projects!$F$14="Yes",23=Projects!$C$14),Projects!$B$14*Projects!$T$14,0)+IF(AND(Projects!$G$15="Yes",Projects!$F$15="Yes",23=Projects!$C$15),Projects!$B$15*Projects!$T$15,0)+IF(AND(Projects!$G$16="Yes",Projects!$F$16="Yes",23=Projects!$C$16),Projects!$B$16*Projects!$T$16,0)+SUMPRODUCT((Projects!$G$17:$G$46="Yes")*(Projects!$F$17:$F$46="Yes")*(23=Projects!$C$17:$C$46)*Projects!$B$17:$B$46*Projects!$T$17:$T$46),Actuals!AB15)</f>
        <v/>
      </c>
      <c r="AB105" s="392">
        <f>IF(ISBLANK(Actuals!AC15),IF(AND(Projects!$G$6="Yes",Projects!$F$6="Yes",24=Projects!$C$6),Projects!$B$6*Projects!$T$6,0)+IF(AND(Projects!$G$7="Yes",Projects!$F$7="Yes",24=Projects!$C$7),Projects!$B$7*Projects!$T$7,0)+IF(AND(Projects!$G$8="Yes",Projects!$F$8="Yes",24=Projects!$C$8),Projects!$B$8*Projects!$T$8,0)+IF(AND(Projects!$G$9="Yes",Projects!$F$9="Yes",24=Projects!$C$9),Projects!$B$9*Projects!$T$9,0)+IF(AND(Projects!$G$10="Yes",Projects!$F$10="Yes",24=Projects!$C$10),Projects!$B$10*Projects!$T$10,0)+IF(AND(Projects!$G$11="Yes",Projects!$F$11="Yes",24=Projects!$C$11),Projects!$B$11*Projects!$T$11,0)+IF(AND(Projects!$G$12="Yes",Projects!$F$12="Yes",24=Projects!$C$12),Projects!$B$12*Projects!$T$12,0)+IF(AND(Projects!$G$13="Yes",Projects!$F$13="Yes",24=Projects!$C$13),Projects!$B$13*Projects!$T$13,0)+IF(AND(Projects!$G$14="Yes",Projects!$F$14="Yes",24=Projects!$C$14),Projects!$B$14*Projects!$T$14,0)+IF(AND(Projects!$G$15="Yes",Projects!$F$15="Yes",24=Projects!$C$15),Projects!$B$15*Projects!$T$15,0)+IF(AND(Projects!$G$16="Yes",Projects!$F$16="Yes",24=Projects!$C$16),Projects!$B$16*Projects!$T$16,0)+SUMPRODUCT((Projects!$G$17:$G$46="Yes")*(Projects!$F$17:$F$46="Yes")*(24=Projects!$C$17:$C$46)*Projects!$B$17:$B$46*Projects!$T$17:$T$46),Actuals!AC15)</f>
        <v/>
      </c>
      <c r="AC105" s="392">
        <f>IF(ISBLANK(Actuals!AD15),IF(AND(Projects!$G$6="Yes",Projects!$F$6="Yes",25=Projects!$C$6),Projects!$B$6*Projects!$T$6,0)+IF(AND(Projects!$G$7="Yes",Projects!$F$7="Yes",25=Projects!$C$7),Projects!$B$7*Projects!$T$7,0)+IF(AND(Projects!$G$8="Yes",Projects!$F$8="Yes",25=Projects!$C$8),Projects!$B$8*Projects!$T$8,0)+IF(AND(Projects!$G$9="Yes",Projects!$F$9="Yes",25=Projects!$C$9),Projects!$B$9*Projects!$T$9,0)+IF(AND(Projects!$G$10="Yes",Projects!$F$10="Yes",25=Projects!$C$10),Projects!$B$10*Projects!$T$10,0)+IF(AND(Projects!$G$11="Yes",Projects!$F$11="Yes",25=Projects!$C$11),Projects!$B$11*Projects!$T$11,0)+IF(AND(Projects!$G$12="Yes",Projects!$F$12="Yes",25=Projects!$C$12),Projects!$B$12*Projects!$T$12,0)+IF(AND(Projects!$G$13="Yes",Projects!$F$13="Yes",25=Projects!$C$13),Projects!$B$13*Projects!$T$13,0)+IF(AND(Projects!$G$14="Yes",Projects!$F$14="Yes",25=Projects!$C$14),Projects!$B$14*Projects!$T$14,0)+IF(AND(Projects!$G$15="Yes",Projects!$F$15="Yes",25=Projects!$C$15),Projects!$B$15*Projects!$T$15,0)+IF(AND(Projects!$G$16="Yes",Projects!$F$16="Yes",25=Projects!$C$16),Projects!$B$16*Projects!$T$16,0)+SUMPRODUCT((Projects!$G$17:$G$46="Yes")*(Projects!$F$17:$F$46="Yes")*(25=Projects!$C$17:$C$46)*Projects!$B$17:$B$46*Projects!$T$17:$T$46),Actuals!AD15)</f>
        <v/>
      </c>
      <c r="AD105" s="392">
        <f>IF(ISBLANK(Actuals!AE15),IF(AND(Projects!$G$6="Yes",Projects!$F$6="Yes",26=Projects!$C$6),Projects!$B$6*Projects!$T$6,0)+IF(AND(Projects!$G$7="Yes",Projects!$F$7="Yes",26=Projects!$C$7),Projects!$B$7*Projects!$T$7,0)+IF(AND(Projects!$G$8="Yes",Projects!$F$8="Yes",26=Projects!$C$8),Projects!$B$8*Projects!$T$8,0)+IF(AND(Projects!$G$9="Yes",Projects!$F$9="Yes",26=Projects!$C$9),Projects!$B$9*Projects!$T$9,0)+IF(AND(Projects!$G$10="Yes",Projects!$F$10="Yes",26=Projects!$C$10),Projects!$B$10*Projects!$T$10,0)+IF(AND(Projects!$G$11="Yes",Projects!$F$11="Yes",26=Projects!$C$11),Projects!$B$11*Projects!$T$11,0)+IF(AND(Projects!$G$12="Yes",Projects!$F$12="Yes",26=Projects!$C$12),Projects!$B$12*Projects!$T$12,0)+IF(AND(Projects!$G$13="Yes",Projects!$F$13="Yes",26=Projects!$C$13),Projects!$B$13*Projects!$T$13,0)+IF(AND(Projects!$G$14="Yes",Projects!$F$14="Yes",26=Projects!$C$14),Projects!$B$14*Projects!$T$14,0)+IF(AND(Projects!$G$15="Yes",Projects!$F$15="Yes",26=Projects!$C$15),Projects!$B$15*Projects!$T$15,0)+IF(AND(Projects!$G$16="Yes",Projects!$F$16="Yes",26=Projects!$C$16),Projects!$B$16*Projects!$T$16,0)+SUMPRODUCT((Projects!$G$17:$G$46="Yes")*(Projects!$F$17:$F$46="Yes")*(26=Projects!$C$17:$C$46)*Projects!$B$17:$B$46*Projects!$T$17:$T$46),Actuals!AE15)</f>
        <v/>
      </c>
      <c r="AE105" s="392">
        <f>IF(ISBLANK(Actuals!AF15),IF(AND(Projects!$G$6="Yes",Projects!$F$6="Yes",27=Projects!$C$6),Projects!$B$6*Projects!$T$6,0)+IF(AND(Projects!$G$7="Yes",Projects!$F$7="Yes",27=Projects!$C$7),Projects!$B$7*Projects!$T$7,0)+IF(AND(Projects!$G$8="Yes",Projects!$F$8="Yes",27=Projects!$C$8),Projects!$B$8*Projects!$T$8,0)+IF(AND(Projects!$G$9="Yes",Projects!$F$9="Yes",27=Projects!$C$9),Projects!$B$9*Projects!$T$9,0)+IF(AND(Projects!$G$10="Yes",Projects!$F$10="Yes",27=Projects!$C$10),Projects!$B$10*Projects!$T$10,0)+IF(AND(Projects!$G$11="Yes",Projects!$F$11="Yes",27=Projects!$C$11),Projects!$B$11*Projects!$T$11,0)+IF(AND(Projects!$G$12="Yes",Projects!$F$12="Yes",27=Projects!$C$12),Projects!$B$12*Projects!$T$12,0)+IF(AND(Projects!$G$13="Yes",Projects!$F$13="Yes",27=Projects!$C$13),Projects!$B$13*Projects!$T$13,0)+IF(AND(Projects!$G$14="Yes",Projects!$F$14="Yes",27=Projects!$C$14),Projects!$B$14*Projects!$T$14,0)+IF(AND(Projects!$G$15="Yes",Projects!$F$15="Yes",27=Projects!$C$15),Projects!$B$15*Projects!$T$15,0)+IF(AND(Projects!$G$16="Yes",Projects!$F$16="Yes",27=Projects!$C$16),Projects!$B$16*Projects!$T$16,0)+SUMPRODUCT((Projects!$G$17:$G$46="Yes")*(Projects!$F$17:$F$46="Yes")*(27=Projects!$C$17:$C$46)*Projects!$B$17:$B$46*Projects!$T$17:$T$46),Actuals!AF15)</f>
        <v/>
      </c>
      <c r="AF105" s="392">
        <f>IF(ISBLANK(Actuals!AG15),IF(AND(Projects!$G$6="Yes",Projects!$F$6="Yes",28=Projects!$C$6),Projects!$B$6*Projects!$T$6,0)+IF(AND(Projects!$G$7="Yes",Projects!$F$7="Yes",28=Projects!$C$7),Projects!$B$7*Projects!$T$7,0)+IF(AND(Projects!$G$8="Yes",Projects!$F$8="Yes",28=Projects!$C$8),Projects!$B$8*Projects!$T$8,0)+IF(AND(Projects!$G$9="Yes",Projects!$F$9="Yes",28=Projects!$C$9),Projects!$B$9*Projects!$T$9,0)+IF(AND(Projects!$G$10="Yes",Projects!$F$10="Yes",28=Projects!$C$10),Projects!$B$10*Projects!$T$10,0)+IF(AND(Projects!$G$11="Yes",Projects!$F$11="Yes",28=Projects!$C$11),Projects!$B$11*Projects!$T$11,0)+IF(AND(Projects!$G$12="Yes",Projects!$F$12="Yes",28=Projects!$C$12),Projects!$B$12*Projects!$T$12,0)+IF(AND(Projects!$G$13="Yes",Projects!$F$13="Yes",28=Projects!$C$13),Projects!$B$13*Projects!$T$13,0)+IF(AND(Projects!$G$14="Yes",Projects!$F$14="Yes",28=Projects!$C$14),Projects!$B$14*Projects!$T$14,0)+IF(AND(Projects!$G$15="Yes",Projects!$F$15="Yes",28=Projects!$C$15),Projects!$B$15*Projects!$T$15,0)+IF(AND(Projects!$G$16="Yes",Projects!$F$16="Yes",28=Projects!$C$16),Projects!$B$16*Projects!$T$16,0)+SUMPRODUCT((Projects!$G$17:$G$46="Yes")*(Projects!$F$17:$F$46="Yes")*(28=Projects!$C$17:$C$46)*Projects!$B$17:$B$46*Projects!$T$17:$T$46),Actuals!AG15)</f>
        <v/>
      </c>
      <c r="AG105" s="392">
        <f>IF(ISBLANK(Actuals!AH15),IF(AND(Projects!$G$6="Yes",Projects!$F$6="Yes",29=Projects!$C$6),Projects!$B$6*Projects!$T$6,0)+IF(AND(Projects!$G$7="Yes",Projects!$F$7="Yes",29=Projects!$C$7),Projects!$B$7*Projects!$T$7,0)+IF(AND(Projects!$G$8="Yes",Projects!$F$8="Yes",29=Projects!$C$8),Projects!$B$8*Projects!$T$8,0)+IF(AND(Projects!$G$9="Yes",Projects!$F$9="Yes",29=Projects!$C$9),Projects!$B$9*Projects!$T$9,0)+IF(AND(Projects!$G$10="Yes",Projects!$F$10="Yes",29=Projects!$C$10),Projects!$B$10*Projects!$T$10,0)+IF(AND(Projects!$G$11="Yes",Projects!$F$11="Yes",29=Projects!$C$11),Projects!$B$11*Projects!$T$11,0)+IF(AND(Projects!$G$12="Yes",Projects!$F$12="Yes",29=Projects!$C$12),Projects!$B$12*Projects!$T$12,0)+IF(AND(Projects!$G$13="Yes",Projects!$F$13="Yes",29=Projects!$C$13),Projects!$B$13*Projects!$T$13,0)+IF(AND(Projects!$G$14="Yes",Projects!$F$14="Yes",29=Projects!$C$14),Projects!$B$14*Projects!$T$14,0)+IF(AND(Projects!$G$15="Yes",Projects!$F$15="Yes",29=Projects!$C$15),Projects!$B$15*Projects!$T$15,0)+IF(AND(Projects!$G$16="Yes",Projects!$F$16="Yes",29=Projects!$C$16),Projects!$B$16*Projects!$T$16,0)+SUMPRODUCT((Projects!$G$17:$G$46="Yes")*(Projects!$F$17:$F$46="Yes")*(29=Projects!$C$17:$C$46)*Projects!$B$17:$B$46*Projects!$T$17:$T$46),Actuals!AH15)</f>
        <v/>
      </c>
      <c r="AH105" s="392">
        <f>IF(ISBLANK(Actuals!AI15),IF(AND(Projects!$G$6="Yes",Projects!$F$6="Yes",30=Projects!$C$6),Projects!$B$6*Projects!$T$6,0)+IF(AND(Projects!$G$7="Yes",Projects!$F$7="Yes",30=Projects!$C$7),Projects!$B$7*Projects!$T$7,0)+IF(AND(Projects!$G$8="Yes",Projects!$F$8="Yes",30=Projects!$C$8),Projects!$B$8*Projects!$T$8,0)+IF(AND(Projects!$G$9="Yes",Projects!$F$9="Yes",30=Projects!$C$9),Projects!$B$9*Projects!$T$9,0)+IF(AND(Projects!$G$10="Yes",Projects!$F$10="Yes",30=Projects!$C$10),Projects!$B$10*Projects!$T$10,0)+IF(AND(Projects!$G$11="Yes",Projects!$F$11="Yes",30=Projects!$C$11),Projects!$B$11*Projects!$T$11,0)+IF(AND(Projects!$G$12="Yes",Projects!$F$12="Yes",30=Projects!$C$12),Projects!$B$12*Projects!$T$12,0)+IF(AND(Projects!$G$13="Yes",Projects!$F$13="Yes",30=Projects!$C$13),Projects!$B$13*Projects!$T$13,0)+IF(AND(Projects!$G$14="Yes",Projects!$F$14="Yes",30=Projects!$C$14),Projects!$B$14*Projects!$T$14,0)+IF(AND(Projects!$G$15="Yes",Projects!$F$15="Yes",30=Projects!$C$15),Projects!$B$15*Projects!$T$15,0)+IF(AND(Projects!$G$16="Yes",Projects!$F$16="Yes",30=Projects!$C$16),Projects!$B$16*Projects!$T$16,0)+SUMPRODUCT((Projects!$G$17:$G$46="Yes")*(Projects!$F$17:$F$46="Yes")*(30=Projects!$C$17:$C$46)*Projects!$B$17:$B$46*Projects!$T$17:$T$46),Actuals!AI15)</f>
        <v/>
      </c>
      <c r="AI105" s="392">
        <f>IF(ISBLANK(Actuals!AJ15),IF(AND(Projects!$G$6="Yes",Projects!$F$6="Yes",31=Projects!$C$6),Projects!$B$6*Projects!$T$6,0)+IF(AND(Projects!$G$7="Yes",Projects!$F$7="Yes",31=Projects!$C$7),Projects!$B$7*Projects!$T$7,0)+IF(AND(Projects!$G$8="Yes",Projects!$F$8="Yes",31=Projects!$C$8),Projects!$B$8*Projects!$T$8,0)+IF(AND(Projects!$G$9="Yes",Projects!$F$9="Yes",31=Projects!$C$9),Projects!$B$9*Projects!$T$9,0)+IF(AND(Projects!$G$10="Yes",Projects!$F$10="Yes",31=Projects!$C$10),Projects!$B$10*Projects!$T$10,0)+IF(AND(Projects!$G$11="Yes",Projects!$F$11="Yes",31=Projects!$C$11),Projects!$B$11*Projects!$T$11,0)+IF(AND(Projects!$G$12="Yes",Projects!$F$12="Yes",31=Projects!$C$12),Projects!$B$12*Projects!$T$12,0)+IF(AND(Projects!$G$13="Yes",Projects!$F$13="Yes",31=Projects!$C$13),Projects!$B$13*Projects!$T$13,0)+IF(AND(Projects!$G$14="Yes",Projects!$F$14="Yes",31=Projects!$C$14),Projects!$B$14*Projects!$T$14,0)+IF(AND(Projects!$G$15="Yes",Projects!$F$15="Yes",31=Projects!$C$15),Projects!$B$15*Projects!$T$15,0)+IF(AND(Projects!$G$16="Yes",Projects!$F$16="Yes",31=Projects!$C$16),Projects!$B$16*Projects!$T$16,0)+SUMPRODUCT((Projects!$G$17:$G$46="Yes")*(Projects!$F$17:$F$46="Yes")*(31=Projects!$C$17:$C$46)*Projects!$B$17:$B$46*Projects!$T$17:$T$46),Actuals!AJ15)</f>
        <v/>
      </c>
      <c r="AJ105" s="392">
        <f>IF(ISBLANK(Actuals!AK15),IF(AND(Projects!$G$6="Yes",Projects!$F$6="Yes",32=Projects!$C$6),Projects!$B$6*Projects!$T$6,0)+IF(AND(Projects!$G$7="Yes",Projects!$F$7="Yes",32=Projects!$C$7),Projects!$B$7*Projects!$T$7,0)+IF(AND(Projects!$G$8="Yes",Projects!$F$8="Yes",32=Projects!$C$8),Projects!$B$8*Projects!$T$8,0)+IF(AND(Projects!$G$9="Yes",Projects!$F$9="Yes",32=Projects!$C$9),Projects!$B$9*Projects!$T$9,0)+IF(AND(Projects!$G$10="Yes",Projects!$F$10="Yes",32=Projects!$C$10),Projects!$B$10*Projects!$T$10,0)+IF(AND(Projects!$G$11="Yes",Projects!$F$11="Yes",32=Projects!$C$11),Projects!$B$11*Projects!$T$11,0)+IF(AND(Projects!$G$12="Yes",Projects!$F$12="Yes",32=Projects!$C$12),Projects!$B$12*Projects!$T$12,0)+IF(AND(Projects!$G$13="Yes",Projects!$F$13="Yes",32=Projects!$C$13),Projects!$B$13*Projects!$T$13,0)+IF(AND(Projects!$G$14="Yes",Projects!$F$14="Yes",32=Projects!$C$14),Projects!$B$14*Projects!$T$14,0)+IF(AND(Projects!$G$15="Yes",Projects!$F$15="Yes",32=Projects!$C$15),Projects!$B$15*Projects!$T$15,0)+IF(AND(Projects!$G$16="Yes",Projects!$F$16="Yes",32=Projects!$C$16),Projects!$B$16*Projects!$T$16,0)+SUMPRODUCT((Projects!$G$17:$G$46="Yes")*(Projects!$F$17:$F$46="Yes")*(32=Projects!$C$17:$C$46)*Projects!$B$17:$B$46*Projects!$T$17:$T$46),Actuals!AK15)</f>
        <v/>
      </c>
      <c r="AK105" s="392">
        <f>IF(ISBLANK(Actuals!AL15),IF(AND(Projects!$G$6="Yes",Projects!$F$6="Yes",33=Projects!$C$6),Projects!$B$6*Projects!$T$6,0)+IF(AND(Projects!$G$7="Yes",Projects!$F$7="Yes",33=Projects!$C$7),Projects!$B$7*Projects!$T$7,0)+IF(AND(Projects!$G$8="Yes",Projects!$F$8="Yes",33=Projects!$C$8),Projects!$B$8*Projects!$T$8,0)+IF(AND(Projects!$G$9="Yes",Projects!$F$9="Yes",33=Projects!$C$9),Projects!$B$9*Projects!$T$9,0)+IF(AND(Projects!$G$10="Yes",Projects!$F$10="Yes",33=Projects!$C$10),Projects!$B$10*Projects!$T$10,0)+IF(AND(Projects!$G$11="Yes",Projects!$F$11="Yes",33=Projects!$C$11),Projects!$B$11*Projects!$T$11,0)+IF(AND(Projects!$G$12="Yes",Projects!$F$12="Yes",33=Projects!$C$12),Projects!$B$12*Projects!$T$12,0)+IF(AND(Projects!$G$13="Yes",Projects!$F$13="Yes",33=Projects!$C$13),Projects!$B$13*Projects!$T$13,0)+IF(AND(Projects!$G$14="Yes",Projects!$F$14="Yes",33=Projects!$C$14),Projects!$B$14*Projects!$T$14,0)+IF(AND(Projects!$G$15="Yes",Projects!$F$15="Yes",33=Projects!$C$15),Projects!$B$15*Projects!$T$15,0)+IF(AND(Projects!$G$16="Yes",Projects!$F$16="Yes",33=Projects!$C$16),Projects!$B$16*Projects!$T$16,0)+SUMPRODUCT((Projects!$G$17:$G$46="Yes")*(Projects!$F$17:$F$46="Yes")*(33=Projects!$C$17:$C$46)*Projects!$B$17:$B$46*Projects!$T$17:$T$46),Actuals!AL15)</f>
        <v/>
      </c>
      <c r="AL105" s="392">
        <f>IF(ISBLANK(Actuals!AM15),IF(AND(Projects!$G$6="Yes",Projects!$F$6="Yes",34=Projects!$C$6),Projects!$B$6*Projects!$T$6,0)+IF(AND(Projects!$G$7="Yes",Projects!$F$7="Yes",34=Projects!$C$7),Projects!$B$7*Projects!$T$7,0)+IF(AND(Projects!$G$8="Yes",Projects!$F$8="Yes",34=Projects!$C$8),Projects!$B$8*Projects!$T$8,0)+IF(AND(Projects!$G$9="Yes",Projects!$F$9="Yes",34=Projects!$C$9),Projects!$B$9*Projects!$T$9,0)+IF(AND(Projects!$G$10="Yes",Projects!$F$10="Yes",34=Projects!$C$10),Projects!$B$10*Projects!$T$10,0)+IF(AND(Projects!$G$11="Yes",Projects!$F$11="Yes",34=Projects!$C$11),Projects!$B$11*Projects!$T$11,0)+IF(AND(Projects!$G$12="Yes",Projects!$F$12="Yes",34=Projects!$C$12),Projects!$B$12*Projects!$T$12,0)+IF(AND(Projects!$G$13="Yes",Projects!$F$13="Yes",34=Projects!$C$13),Projects!$B$13*Projects!$T$13,0)+IF(AND(Projects!$G$14="Yes",Projects!$F$14="Yes",34=Projects!$C$14),Projects!$B$14*Projects!$T$14,0)+IF(AND(Projects!$G$15="Yes",Projects!$F$15="Yes",34=Projects!$C$15),Projects!$B$15*Projects!$T$15,0)+IF(AND(Projects!$G$16="Yes",Projects!$F$16="Yes",34=Projects!$C$16),Projects!$B$16*Projects!$T$16,0)+SUMPRODUCT((Projects!$G$17:$G$46="Yes")*(Projects!$F$17:$F$46="Yes")*(34=Projects!$C$17:$C$46)*Projects!$B$17:$B$46*Projects!$T$17:$T$46),Actuals!AM15)</f>
        <v/>
      </c>
      <c r="AM105" s="392">
        <f>IF(ISBLANK(Actuals!AN15),IF(AND(Projects!$G$6="Yes",Projects!$F$6="Yes",35=Projects!$C$6),Projects!$B$6*Projects!$T$6,0)+IF(AND(Projects!$G$7="Yes",Projects!$F$7="Yes",35=Projects!$C$7),Projects!$B$7*Projects!$T$7,0)+IF(AND(Projects!$G$8="Yes",Projects!$F$8="Yes",35=Projects!$C$8),Projects!$B$8*Projects!$T$8,0)+IF(AND(Projects!$G$9="Yes",Projects!$F$9="Yes",35=Projects!$C$9),Projects!$B$9*Projects!$T$9,0)+IF(AND(Projects!$G$10="Yes",Projects!$F$10="Yes",35=Projects!$C$10),Projects!$B$10*Projects!$T$10,0)+IF(AND(Projects!$G$11="Yes",Projects!$F$11="Yes",35=Projects!$C$11),Projects!$B$11*Projects!$T$11,0)+IF(AND(Projects!$G$12="Yes",Projects!$F$12="Yes",35=Projects!$C$12),Projects!$B$12*Projects!$T$12,0)+IF(AND(Projects!$G$13="Yes",Projects!$F$13="Yes",35=Projects!$C$13),Projects!$B$13*Projects!$T$13,0)+IF(AND(Projects!$G$14="Yes",Projects!$F$14="Yes",35=Projects!$C$14),Projects!$B$14*Projects!$T$14,0)+IF(AND(Projects!$G$15="Yes",Projects!$F$15="Yes",35=Projects!$C$15),Projects!$B$15*Projects!$T$15,0)+IF(AND(Projects!$G$16="Yes",Projects!$F$16="Yes",35=Projects!$C$16),Projects!$B$16*Projects!$T$16,0)+SUMPRODUCT((Projects!$G$17:$G$46="Yes")*(Projects!$F$17:$F$46="Yes")*(35=Projects!$C$17:$C$46)*Projects!$B$17:$B$46*Projects!$T$17:$T$46),Actuals!AN15)</f>
        <v/>
      </c>
      <c r="AN105" s="392">
        <f>IF(ISBLANK(Actuals!AO15),IF(AND(Projects!$G$6="Yes",Projects!$F$6="Yes",36=Projects!$C$6),Projects!$B$6*Projects!$T$6,0)+IF(AND(Projects!$G$7="Yes",Projects!$F$7="Yes",36=Projects!$C$7),Projects!$B$7*Projects!$T$7,0)+IF(AND(Projects!$G$8="Yes",Projects!$F$8="Yes",36=Projects!$C$8),Projects!$B$8*Projects!$T$8,0)+IF(AND(Projects!$G$9="Yes",Projects!$F$9="Yes",36=Projects!$C$9),Projects!$B$9*Projects!$T$9,0)+IF(AND(Projects!$G$10="Yes",Projects!$F$10="Yes",36=Projects!$C$10),Projects!$B$10*Projects!$T$10,0)+IF(AND(Projects!$G$11="Yes",Projects!$F$11="Yes",36=Projects!$C$11),Projects!$B$11*Projects!$T$11,0)+IF(AND(Projects!$G$12="Yes",Projects!$F$12="Yes",36=Projects!$C$12),Projects!$B$12*Projects!$T$12,0)+IF(AND(Projects!$G$13="Yes",Projects!$F$13="Yes",36=Projects!$C$13),Projects!$B$13*Projects!$T$13,0)+IF(AND(Projects!$G$14="Yes",Projects!$F$14="Yes",36=Projects!$C$14),Projects!$B$14*Projects!$T$14,0)+IF(AND(Projects!$G$15="Yes",Projects!$F$15="Yes",36=Projects!$C$15),Projects!$B$15*Projects!$T$15,0)+IF(AND(Projects!$G$16="Yes",Projects!$F$16="Yes",36=Projects!$C$16),Projects!$B$16*Projects!$T$16,0)+SUMPRODUCT((Projects!$G$17:$G$46="Yes")*(Projects!$F$17:$F$46="Yes")*(36=Projects!$C$17:$C$46)*Projects!$B$17:$B$46*Projects!$T$17:$T$46),Actuals!AO15)</f>
        <v/>
      </c>
      <c r="AO105" s="392">
        <f>IF(ISBLANK(Actuals!AP15),IF(AND(Projects!$G$6="Yes",Projects!$F$6="Yes",37=Projects!$C$6),Projects!$B$6*Projects!$T$6,0)+IF(AND(Projects!$G$7="Yes",Projects!$F$7="Yes",37=Projects!$C$7),Projects!$B$7*Projects!$T$7,0)+IF(AND(Projects!$G$8="Yes",Projects!$F$8="Yes",37=Projects!$C$8),Projects!$B$8*Projects!$T$8,0)+IF(AND(Projects!$G$9="Yes",Projects!$F$9="Yes",37=Projects!$C$9),Projects!$B$9*Projects!$T$9,0)+IF(AND(Projects!$G$10="Yes",Projects!$F$10="Yes",37=Projects!$C$10),Projects!$B$10*Projects!$T$10,0)+IF(AND(Projects!$G$11="Yes",Projects!$F$11="Yes",37=Projects!$C$11),Projects!$B$11*Projects!$T$11,0)+IF(AND(Projects!$G$12="Yes",Projects!$F$12="Yes",37=Projects!$C$12),Projects!$B$12*Projects!$T$12,0)+IF(AND(Projects!$G$13="Yes",Projects!$F$13="Yes",37=Projects!$C$13),Projects!$B$13*Projects!$T$13,0)+IF(AND(Projects!$G$14="Yes",Projects!$F$14="Yes",37=Projects!$C$14),Projects!$B$14*Projects!$T$14,0)+IF(AND(Projects!$G$15="Yes",Projects!$F$15="Yes",37=Projects!$C$15),Projects!$B$15*Projects!$T$15,0)+IF(AND(Projects!$G$16="Yes",Projects!$F$16="Yes",37=Projects!$C$16),Projects!$B$16*Projects!$T$16,0)+SUMPRODUCT((Projects!$G$17:$G$46="Yes")*(Projects!$F$17:$F$46="Yes")*(37=Projects!$C$17:$C$46)*Projects!$B$17:$B$46*Projects!$T$17:$T$46),Actuals!AP15)</f>
        <v/>
      </c>
      <c r="AP105" s="392">
        <f>IF(ISBLANK(Actuals!AQ15),IF(AND(Projects!$G$6="Yes",Projects!$F$6="Yes",38=Projects!$C$6),Projects!$B$6*Projects!$T$6,0)+IF(AND(Projects!$G$7="Yes",Projects!$F$7="Yes",38=Projects!$C$7),Projects!$B$7*Projects!$T$7,0)+IF(AND(Projects!$G$8="Yes",Projects!$F$8="Yes",38=Projects!$C$8),Projects!$B$8*Projects!$T$8,0)+IF(AND(Projects!$G$9="Yes",Projects!$F$9="Yes",38=Projects!$C$9),Projects!$B$9*Projects!$T$9,0)+IF(AND(Projects!$G$10="Yes",Projects!$F$10="Yes",38=Projects!$C$10),Projects!$B$10*Projects!$T$10,0)+IF(AND(Projects!$G$11="Yes",Projects!$F$11="Yes",38=Projects!$C$11),Projects!$B$11*Projects!$T$11,0)+IF(AND(Projects!$G$12="Yes",Projects!$F$12="Yes",38=Projects!$C$12),Projects!$B$12*Projects!$T$12,0)+IF(AND(Projects!$G$13="Yes",Projects!$F$13="Yes",38=Projects!$C$13),Projects!$B$13*Projects!$T$13,0)+IF(AND(Projects!$G$14="Yes",Projects!$F$14="Yes",38=Projects!$C$14),Projects!$B$14*Projects!$T$14,0)+IF(AND(Projects!$G$15="Yes",Projects!$F$15="Yes",38=Projects!$C$15),Projects!$B$15*Projects!$T$15,0)+IF(AND(Projects!$G$16="Yes",Projects!$F$16="Yes",38=Projects!$C$16),Projects!$B$16*Projects!$T$16,0)+SUMPRODUCT((Projects!$G$17:$G$46="Yes")*(Projects!$F$17:$F$46="Yes")*(38=Projects!$C$17:$C$46)*Projects!$B$17:$B$46*Projects!$T$17:$T$46),Actuals!AQ15)</f>
        <v/>
      </c>
      <c r="AQ105" s="392">
        <f>IF(ISBLANK(Actuals!AR15),IF(AND(Projects!$G$6="Yes",Projects!$F$6="Yes",39=Projects!$C$6),Projects!$B$6*Projects!$T$6,0)+IF(AND(Projects!$G$7="Yes",Projects!$F$7="Yes",39=Projects!$C$7),Projects!$B$7*Projects!$T$7,0)+IF(AND(Projects!$G$8="Yes",Projects!$F$8="Yes",39=Projects!$C$8),Projects!$B$8*Projects!$T$8,0)+IF(AND(Projects!$G$9="Yes",Projects!$F$9="Yes",39=Projects!$C$9),Projects!$B$9*Projects!$T$9,0)+IF(AND(Projects!$G$10="Yes",Projects!$F$10="Yes",39=Projects!$C$10),Projects!$B$10*Projects!$T$10,0)+IF(AND(Projects!$G$11="Yes",Projects!$F$11="Yes",39=Projects!$C$11),Projects!$B$11*Projects!$T$11,0)+IF(AND(Projects!$G$12="Yes",Projects!$F$12="Yes",39=Projects!$C$12),Projects!$B$12*Projects!$T$12,0)+IF(AND(Projects!$G$13="Yes",Projects!$F$13="Yes",39=Projects!$C$13),Projects!$B$13*Projects!$T$13,0)+IF(AND(Projects!$G$14="Yes",Projects!$F$14="Yes",39=Projects!$C$14),Projects!$B$14*Projects!$T$14,0)+IF(AND(Projects!$G$15="Yes",Projects!$F$15="Yes",39=Projects!$C$15),Projects!$B$15*Projects!$T$15,0)+IF(AND(Projects!$G$16="Yes",Projects!$F$16="Yes",39=Projects!$C$16),Projects!$B$16*Projects!$T$16,0)+SUMPRODUCT((Projects!$G$17:$G$46="Yes")*(Projects!$F$17:$F$46="Yes")*(39=Projects!$C$17:$C$46)*Projects!$B$17:$B$46*Projects!$T$17:$T$46),Actuals!AR15)</f>
        <v/>
      </c>
      <c r="AR105" s="392">
        <f>IF(ISBLANK(Actuals!AS15),IF(AND(Projects!$G$6="Yes",Projects!$F$6="Yes",40=Projects!$C$6),Projects!$B$6*Projects!$T$6,0)+IF(AND(Projects!$G$7="Yes",Projects!$F$7="Yes",40=Projects!$C$7),Projects!$B$7*Projects!$T$7,0)+IF(AND(Projects!$G$8="Yes",Projects!$F$8="Yes",40=Projects!$C$8),Projects!$B$8*Projects!$T$8,0)+IF(AND(Projects!$G$9="Yes",Projects!$F$9="Yes",40=Projects!$C$9),Projects!$B$9*Projects!$T$9,0)+IF(AND(Projects!$G$10="Yes",Projects!$F$10="Yes",40=Projects!$C$10),Projects!$B$10*Projects!$T$10,0)+IF(AND(Projects!$G$11="Yes",Projects!$F$11="Yes",40=Projects!$C$11),Projects!$B$11*Projects!$T$11,0)+IF(AND(Projects!$G$12="Yes",Projects!$F$12="Yes",40=Projects!$C$12),Projects!$B$12*Projects!$T$12,0)+IF(AND(Projects!$G$13="Yes",Projects!$F$13="Yes",40=Projects!$C$13),Projects!$B$13*Projects!$T$13,0)+IF(AND(Projects!$G$14="Yes",Projects!$F$14="Yes",40=Projects!$C$14),Projects!$B$14*Projects!$T$14,0)+IF(AND(Projects!$G$15="Yes",Projects!$F$15="Yes",40=Projects!$C$15),Projects!$B$15*Projects!$T$15,0)+IF(AND(Projects!$G$16="Yes",Projects!$F$16="Yes",40=Projects!$C$16),Projects!$B$16*Projects!$T$16,0)+SUMPRODUCT((Projects!$G$17:$G$46="Yes")*(Projects!$F$17:$F$46="Yes")*(40=Projects!$C$17:$C$46)*Projects!$B$17:$B$46*Projects!$T$17:$T$46),Actuals!AS15)</f>
        <v/>
      </c>
      <c r="AS105" s="392">
        <f>IF(ISBLANK(Actuals!AT15),IF(AND(Projects!$G$6="Yes",Projects!$F$6="Yes",41=Projects!$C$6),Projects!$B$6*Projects!$T$6,0)+IF(AND(Projects!$G$7="Yes",Projects!$F$7="Yes",41=Projects!$C$7),Projects!$B$7*Projects!$T$7,0)+IF(AND(Projects!$G$8="Yes",Projects!$F$8="Yes",41=Projects!$C$8),Projects!$B$8*Projects!$T$8,0)+IF(AND(Projects!$G$9="Yes",Projects!$F$9="Yes",41=Projects!$C$9),Projects!$B$9*Projects!$T$9,0)+IF(AND(Projects!$G$10="Yes",Projects!$F$10="Yes",41=Projects!$C$10),Projects!$B$10*Projects!$T$10,0)+IF(AND(Projects!$G$11="Yes",Projects!$F$11="Yes",41=Projects!$C$11),Projects!$B$11*Projects!$T$11,0)+IF(AND(Projects!$G$12="Yes",Projects!$F$12="Yes",41=Projects!$C$12),Projects!$B$12*Projects!$T$12,0)+IF(AND(Projects!$G$13="Yes",Projects!$F$13="Yes",41=Projects!$C$13),Projects!$B$13*Projects!$T$13,0)+IF(AND(Projects!$G$14="Yes",Projects!$F$14="Yes",41=Projects!$C$14),Projects!$B$14*Projects!$T$14,0)+IF(AND(Projects!$G$15="Yes",Projects!$F$15="Yes",41=Projects!$C$15),Projects!$B$15*Projects!$T$15,0)+IF(AND(Projects!$G$16="Yes",Projects!$F$16="Yes",41=Projects!$C$16),Projects!$B$16*Projects!$T$16,0)+SUMPRODUCT((Projects!$G$17:$G$46="Yes")*(Projects!$F$17:$F$46="Yes")*(41=Projects!$C$17:$C$46)*Projects!$B$17:$B$46*Projects!$T$17:$T$46),Actuals!AT15)</f>
        <v/>
      </c>
      <c r="AT105" s="392">
        <f>IF(ISBLANK(Actuals!AU15),IF(AND(Projects!$G$6="Yes",Projects!$F$6="Yes",42=Projects!$C$6),Projects!$B$6*Projects!$T$6,0)+IF(AND(Projects!$G$7="Yes",Projects!$F$7="Yes",42=Projects!$C$7),Projects!$B$7*Projects!$T$7,0)+IF(AND(Projects!$G$8="Yes",Projects!$F$8="Yes",42=Projects!$C$8),Projects!$B$8*Projects!$T$8,0)+IF(AND(Projects!$G$9="Yes",Projects!$F$9="Yes",42=Projects!$C$9),Projects!$B$9*Projects!$T$9,0)+IF(AND(Projects!$G$10="Yes",Projects!$F$10="Yes",42=Projects!$C$10),Projects!$B$10*Projects!$T$10,0)+IF(AND(Projects!$G$11="Yes",Projects!$F$11="Yes",42=Projects!$C$11),Projects!$B$11*Projects!$T$11,0)+IF(AND(Projects!$G$12="Yes",Projects!$F$12="Yes",42=Projects!$C$12),Projects!$B$12*Projects!$T$12,0)+IF(AND(Projects!$G$13="Yes",Projects!$F$13="Yes",42=Projects!$C$13),Projects!$B$13*Projects!$T$13,0)+IF(AND(Projects!$G$14="Yes",Projects!$F$14="Yes",42=Projects!$C$14),Projects!$B$14*Projects!$T$14,0)+IF(AND(Projects!$G$15="Yes",Projects!$F$15="Yes",42=Projects!$C$15),Projects!$B$15*Projects!$T$15,0)+IF(AND(Projects!$G$16="Yes",Projects!$F$16="Yes",42=Projects!$C$16),Projects!$B$16*Projects!$T$16,0)+SUMPRODUCT((Projects!$G$17:$G$46="Yes")*(Projects!$F$17:$F$46="Yes")*(42=Projects!$C$17:$C$46)*Projects!$B$17:$B$46*Projects!$T$17:$T$46),Actuals!AU15)</f>
        <v/>
      </c>
      <c r="AU105" s="392">
        <f>IF(ISBLANK(Actuals!AV15),IF(AND(Projects!$G$6="Yes",Projects!$F$6="Yes",43=Projects!$C$6),Projects!$B$6*Projects!$T$6,0)+IF(AND(Projects!$G$7="Yes",Projects!$F$7="Yes",43=Projects!$C$7),Projects!$B$7*Projects!$T$7,0)+IF(AND(Projects!$G$8="Yes",Projects!$F$8="Yes",43=Projects!$C$8),Projects!$B$8*Projects!$T$8,0)+IF(AND(Projects!$G$9="Yes",Projects!$F$9="Yes",43=Projects!$C$9),Projects!$B$9*Projects!$T$9,0)+IF(AND(Projects!$G$10="Yes",Projects!$F$10="Yes",43=Projects!$C$10),Projects!$B$10*Projects!$T$10,0)+IF(AND(Projects!$G$11="Yes",Projects!$F$11="Yes",43=Projects!$C$11),Projects!$B$11*Projects!$T$11,0)+IF(AND(Projects!$G$12="Yes",Projects!$F$12="Yes",43=Projects!$C$12),Projects!$B$12*Projects!$T$12,0)+IF(AND(Projects!$G$13="Yes",Projects!$F$13="Yes",43=Projects!$C$13),Projects!$B$13*Projects!$T$13,0)+IF(AND(Projects!$G$14="Yes",Projects!$F$14="Yes",43=Projects!$C$14),Projects!$B$14*Projects!$T$14,0)+IF(AND(Projects!$G$15="Yes",Projects!$F$15="Yes",43=Projects!$C$15),Projects!$B$15*Projects!$T$15,0)+IF(AND(Projects!$G$16="Yes",Projects!$F$16="Yes",43=Projects!$C$16),Projects!$B$16*Projects!$T$16,0)+SUMPRODUCT((Projects!$G$17:$G$46="Yes")*(Projects!$F$17:$F$46="Yes")*(43=Projects!$C$17:$C$46)*Projects!$B$17:$B$46*Projects!$T$17:$T$46),Actuals!AV15)</f>
        <v/>
      </c>
      <c r="AV105" s="392">
        <f>IF(ISBLANK(Actuals!AW15),IF(AND(Projects!$G$6="Yes",Projects!$F$6="Yes",44=Projects!$C$6),Projects!$B$6*Projects!$T$6,0)+IF(AND(Projects!$G$7="Yes",Projects!$F$7="Yes",44=Projects!$C$7),Projects!$B$7*Projects!$T$7,0)+IF(AND(Projects!$G$8="Yes",Projects!$F$8="Yes",44=Projects!$C$8),Projects!$B$8*Projects!$T$8,0)+IF(AND(Projects!$G$9="Yes",Projects!$F$9="Yes",44=Projects!$C$9),Projects!$B$9*Projects!$T$9,0)+IF(AND(Projects!$G$10="Yes",Projects!$F$10="Yes",44=Projects!$C$10),Projects!$B$10*Projects!$T$10,0)+IF(AND(Projects!$G$11="Yes",Projects!$F$11="Yes",44=Projects!$C$11),Projects!$B$11*Projects!$T$11,0)+IF(AND(Projects!$G$12="Yes",Projects!$F$12="Yes",44=Projects!$C$12),Projects!$B$12*Projects!$T$12,0)+IF(AND(Projects!$G$13="Yes",Projects!$F$13="Yes",44=Projects!$C$13),Projects!$B$13*Projects!$T$13,0)+IF(AND(Projects!$G$14="Yes",Projects!$F$14="Yes",44=Projects!$C$14),Projects!$B$14*Projects!$T$14,0)+IF(AND(Projects!$G$15="Yes",Projects!$F$15="Yes",44=Projects!$C$15),Projects!$B$15*Projects!$T$15,0)+IF(AND(Projects!$G$16="Yes",Projects!$F$16="Yes",44=Projects!$C$16),Projects!$B$16*Projects!$T$16,0)+SUMPRODUCT((Projects!$G$17:$G$46="Yes")*(Projects!$F$17:$F$46="Yes")*(44=Projects!$C$17:$C$46)*Projects!$B$17:$B$46*Projects!$T$17:$T$46),Actuals!AW15)</f>
        <v/>
      </c>
      <c r="AW105" s="392">
        <f>IF(ISBLANK(Actuals!AX15),IF(AND(Projects!$G$6="Yes",Projects!$F$6="Yes",45=Projects!$C$6),Projects!$B$6*Projects!$T$6,0)+IF(AND(Projects!$G$7="Yes",Projects!$F$7="Yes",45=Projects!$C$7),Projects!$B$7*Projects!$T$7,0)+IF(AND(Projects!$G$8="Yes",Projects!$F$8="Yes",45=Projects!$C$8),Projects!$B$8*Projects!$T$8,0)+IF(AND(Projects!$G$9="Yes",Projects!$F$9="Yes",45=Projects!$C$9),Projects!$B$9*Projects!$T$9,0)+IF(AND(Projects!$G$10="Yes",Projects!$F$10="Yes",45=Projects!$C$10),Projects!$B$10*Projects!$T$10,0)+IF(AND(Projects!$G$11="Yes",Projects!$F$11="Yes",45=Projects!$C$11),Projects!$B$11*Projects!$T$11,0)+IF(AND(Projects!$G$12="Yes",Projects!$F$12="Yes",45=Projects!$C$12),Projects!$B$12*Projects!$T$12,0)+IF(AND(Projects!$G$13="Yes",Projects!$F$13="Yes",45=Projects!$C$13),Projects!$B$13*Projects!$T$13,0)+IF(AND(Projects!$G$14="Yes",Projects!$F$14="Yes",45=Projects!$C$14),Projects!$B$14*Projects!$T$14,0)+IF(AND(Projects!$G$15="Yes",Projects!$F$15="Yes",45=Projects!$C$15),Projects!$B$15*Projects!$T$15,0)+IF(AND(Projects!$G$16="Yes",Projects!$F$16="Yes",45=Projects!$C$16),Projects!$B$16*Projects!$T$16,0)+SUMPRODUCT((Projects!$G$17:$G$46="Yes")*(Projects!$F$17:$F$46="Yes")*(45=Projects!$C$17:$C$46)*Projects!$B$17:$B$46*Projects!$T$17:$T$46),Actuals!AX15)</f>
        <v/>
      </c>
      <c r="AX105" s="392">
        <f>IF(ISBLANK(Actuals!AY15),IF(AND(Projects!$G$6="Yes",Projects!$F$6="Yes",46=Projects!$C$6),Projects!$B$6*Projects!$T$6,0)+IF(AND(Projects!$G$7="Yes",Projects!$F$7="Yes",46=Projects!$C$7),Projects!$B$7*Projects!$T$7,0)+IF(AND(Projects!$G$8="Yes",Projects!$F$8="Yes",46=Projects!$C$8),Projects!$B$8*Projects!$T$8,0)+IF(AND(Projects!$G$9="Yes",Projects!$F$9="Yes",46=Projects!$C$9),Projects!$B$9*Projects!$T$9,0)+IF(AND(Projects!$G$10="Yes",Projects!$F$10="Yes",46=Projects!$C$10),Projects!$B$10*Projects!$T$10,0)+IF(AND(Projects!$G$11="Yes",Projects!$F$11="Yes",46=Projects!$C$11),Projects!$B$11*Projects!$T$11,0)+IF(AND(Projects!$G$12="Yes",Projects!$F$12="Yes",46=Projects!$C$12),Projects!$B$12*Projects!$T$12,0)+IF(AND(Projects!$G$13="Yes",Projects!$F$13="Yes",46=Projects!$C$13),Projects!$B$13*Projects!$T$13,0)+IF(AND(Projects!$G$14="Yes",Projects!$F$14="Yes",46=Projects!$C$14),Projects!$B$14*Projects!$T$14,0)+IF(AND(Projects!$G$15="Yes",Projects!$F$15="Yes",46=Projects!$C$15),Projects!$B$15*Projects!$T$15,0)+IF(AND(Projects!$G$16="Yes",Projects!$F$16="Yes",46=Projects!$C$16),Projects!$B$16*Projects!$T$16,0)+SUMPRODUCT((Projects!$G$17:$G$46="Yes")*(Projects!$F$17:$F$46="Yes")*(46=Projects!$C$17:$C$46)*Projects!$B$17:$B$46*Projects!$T$17:$T$46),Actuals!AY15)</f>
        <v/>
      </c>
      <c r="AY105" s="392">
        <f>IF(ISBLANK(Actuals!AZ15),IF(AND(Projects!$G$6="Yes",Projects!$F$6="Yes",47=Projects!$C$6),Projects!$B$6*Projects!$T$6,0)+IF(AND(Projects!$G$7="Yes",Projects!$F$7="Yes",47=Projects!$C$7),Projects!$B$7*Projects!$T$7,0)+IF(AND(Projects!$G$8="Yes",Projects!$F$8="Yes",47=Projects!$C$8),Projects!$B$8*Projects!$T$8,0)+IF(AND(Projects!$G$9="Yes",Projects!$F$9="Yes",47=Projects!$C$9),Projects!$B$9*Projects!$T$9,0)+IF(AND(Projects!$G$10="Yes",Projects!$F$10="Yes",47=Projects!$C$10),Projects!$B$10*Projects!$T$10,0)+IF(AND(Projects!$G$11="Yes",Projects!$F$11="Yes",47=Projects!$C$11),Projects!$B$11*Projects!$T$11,0)+IF(AND(Projects!$G$12="Yes",Projects!$F$12="Yes",47=Projects!$C$12),Projects!$B$12*Projects!$T$12,0)+IF(AND(Projects!$G$13="Yes",Projects!$F$13="Yes",47=Projects!$C$13),Projects!$B$13*Projects!$T$13,0)+IF(AND(Projects!$G$14="Yes",Projects!$F$14="Yes",47=Projects!$C$14),Projects!$B$14*Projects!$T$14,0)+IF(AND(Projects!$G$15="Yes",Projects!$F$15="Yes",47=Projects!$C$15),Projects!$B$15*Projects!$T$15,0)+IF(AND(Projects!$G$16="Yes",Projects!$F$16="Yes",47=Projects!$C$16),Projects!$B$16*Projects!$T$16,0)+SUMPRODUCT((Projects!$G$17:$G$46="Yes")*(Projects!$F$17:$F$46="Yes")*(47=Projects!$C$17:$C$46)*Projects!$B$17:$B$46*Projects!$T$17:$T$46),Actuals!AZ15)</f>
        <v/>
      </c>
      <c r="AZ105" s="392">
        <f>IF(ISBLANK(Actuals!BA15),IF(AND(Projects!$G$6="Yes",Projects!$F$6="Yes",48=Projects!$C$6),Projects!$B$6*Projects!$T$6,0)+IF(AND(Projects!$G$7="Yes",Projects!$F$7="Yes",48=Projects!$C$7),Projects!$B$7*Projects!$T$7,0)+IF(AND(Projects!$G$8="Yes",Projects!$F$8="Yes",48=Projects!$C$8),Projects!$B$8*Projects!$T$8,0)+IF(AND(Projects!$G$9="Yes",Projects!$F$9="Yes",48=Projects!$C$9),Projects!$B$9*Projects!$T$9,0)+IF(AND(Projects!$G$10="Yes",Projects!$F$10="Yes",48=Projects!$C$10),Projects!$B$10*Projects!$T$10,0)+IF(AND(Projects!$G$11="Yes",Projects!$F$11="Yes",48=Projects!$C$11),Projects!$B$11*Projects!$T$11,0)+IF(AND(Projects!$G$12="Yes",Projects!$F$12="Yes",48=Projects!$C$12),Projects!$B$12*Projects!$T$12,0)+IF(AND(Projects!$G$13="Yes",Projects!$F$13="Yes",48=Projects!$C$13),Projects!$B$13*Projects!$T$13,0)+IF(AND(Projects!$G$14="Yes",Projects!$F$14="Yes",48=Projects!$C$14),Projects!$B$14*Projects!$T$14,0)+IF(AND(Projects!$G$15="Yes",Projects!$F$15="Yes",48=Projects!$C$15),Projects!$B$15*Projects!$T$15,0)+IF(AND(Projects!$G$16="Yes",Projects!$F$16="Yes",48=Projects!$C$16),Projects!$B$16*Projects!$T$16,0)+SUMPRODUCT((Projects!$G$17:$G$46="Yes")*(Projects!$F$17:$F$46="Yes")*(48=Projects!$C$17:$C$46)*Projects!$B$17:$B$46*Projects!$T$17:$T$46),Actuals!BA15)</f>
        <v/>
      </c>
      <c r="BA105" s="392">
        <f>IF(ISBLANK(Actuals!BB15),IF(AND(Projects!$G$6="Yes",Projects!$F$6="Yes",49=Projects!$C$6),Projects!$B$6*Projects!$T$6,0)+IF(AND(Projects!$G$7="Yes",Projects!$F$7="Yes",49=Projects!$C$7),Projects!$B$7*Projects!$T$7,0)+IF(AND(Projects!$G$8="Yes",Projects!$F$8="Yes",49=Projects!$C$8),Projects!$B$8*Projects!$T$8,0)+IF(AND(Projects!$G$9="Yes",Projects!$F$9="Yes",49=Projects!$C$9),Projects!$B$9*Projects!$T$9,0)+IF(AND(Projects!$G$10="Yes",Projects!$F$10="Yes",49=Projects!$C$10),Projects!$B$10*Projects!$T$10,0)+IF(AND(Projects!$G$11="Yes",Projects!$F$11="Yes",49=Projects!$C$11),Projects!$B$11*Projects!$T$11,0)+IF(AND(Projects!$G$12="Yes",Projects!$F$12="Yes",49=Projects!$C$12),Projects!$B$12*Projects!$T$12,0)+IF(AND(Projects!$G$13="Yes",Projects!$F$13="Yes",49=Projects!$C$13),Projects!$B$13*Projects!$T$13,0)+IF(AND(Projects!$G$14="Yes",Projects!$F$14="Yes",49=Projects!$C$14),Projects!$B$14*Projects!$T$14,0)+IF(AND(Projects!$G$15="Yes",Projects!$F$15="Yes",49=Projects!$C$15),Projects!$B$15*Projects!$T$15,0)+IF(AND(Projects!$G$16="Yes",Projects!$F$16="Yes",49=Projects!$C$16),Projects!$B$16*Projects!$T$16,0)+SUMPRODUCT((Projects!$G$17:$G$46="Yes")*(Projects!$F$17:$F$46="Yes")*(49=Projects!$C$17:$C$46)*Projects!$B$17:$B$46*Projects!$T$17:$T$46),Actuals!BB15)</f>
        <v/>
      </c>
      <c r="BB105" s="392">
        <f>IF(ISBLANK(Actuals!BC15),IF(AND(Projects!$G$6="Yes",Projects!$F$6="Yes",50=Projects!$C$6),Projects!$B$6*Projects!$T$6,0)+IF(AND(Projects!$G$7="Yes",Projects!$F$7="Yes",50=Projects!$C$7),Projects!$B$7*Projects!$T$7,0)+IF(AND(Projects!$G$8="Yes",Projects!$F$8="Yes",50=Projects!$C$8),Projects!$B$8*Projects!$T$8,0)+IF(AND(Projects!$G$9="Yes",Projects!$F$9="Yes",50=Projects!$C$9),Projects!$B$9*Projects!$T$9,0)+IF(AND(Projects!$G$10="Yes",Projects!$F$10="Yes",50=Projects!$C$10),Projects!$B$10*Projects!$T$10,0)+IF(AND(Projects!$G$11="Yes",Projects!$F$11="Yes",50=Projects!$C$11),Projects!$B$11*Projects!$T$11,0)+IF(AND(Projects!$G$12="Yes",Projects!$F$12="Yes",50=Projects!$C$12),Projects!$B$12*Projects!$T$12,0)+IF(AND(Projects!$G$13="Yes",Projects!$F$13="Yes",50=Projects!$C$13),Projects!$B$13*Projects!$T$13,0)+IF(AND(Projects!$G$14="Yes",Projects!$F$14="Yes",50=Projects!$C$14),Projects!$B$14*Projects!$T$14,0)+IF(AND(Projects!$G$15="Yes",Projects!$F$15="Yes",50=Projects!$C$15),Projects!$B$15*Projects!$T$15,0)+IF(AND(Projects!$G$16="Yes",Projects!$F$16="Yes",50=Projects!$C$16),Projects!$B$16*Projects!$T$16,0)+SUMPRODUCT((Projects!$G$17:$G$46="Yes")*(Projects!$F$17:$F$46="Yes")*(50=Projects!$C$17:$C$46)*Projects!$B$17:$B$46*Projects!$T$17:$T$46),Actuals!BC15)</f>
        <v/>
      </c>
      <c r="BC105" s="392">
        <f>IF(ISBLANK(Actuals!BD15),IF(AND(Projects!$G$6="Yes",Projects!$F$6="Yes",51=Projects!$C$6),Projects!$B$6*Projects!$T$6,0)+IF(AND(Projects!$G$7="Yes",Projects!$F$7="Yes",51=Projects!$C$7),Projects!$B$7*Projects!$T$7,0)+IF(AND(Projects!$G$8="Yes",Projects!$F$8="Yes",51=Projects!$C$8),Projects!$B$8*Projects!$T$8,0)+IF(AND(Projects!$G$9="Yes",Projects!$F$9="Yes",51=Projects!$C$9),Projects!$B$9*Projects!$T$9,0)+IF(AND(Projects!$G$10="Yes",Projects!$F$10="Yes",51=Projects!$C$10),Projects!$B$10*Projects!$T$10,0)+IF(AND(Projects!$G$11="Yes",Projects!$F$11="Yes",51=Projects!$C$11),Projects!$B$11*Projects!$T$11,0)+IF(AND(Projects!$G$12="Yes",Projects!$F$12="Yes",51=Projects!$C$12),Projects!$B$12*Projects!$T$12,0)+IF(AND(Projects!$G$13="Yes",Projects!$F$13="Yes",51=Projects!$C$13),Projects!$B$13*Projects!$T$13,0)+IF(AND(Projects!$G$14="Yes",Projects!$F$14="Yes",51=Projects!$C$14),Projects!$B$14*Projects!$T$14,0)+IF(AND(Projects!$G$15="Yes",Projects!$F$15="Yes",51=Projects!$C$15),Projects!$B$15*Projects!$T$15,0)+IF(AND(Projects!$G$16="Yes",Projects!$F$16="Yes",51=Projects!$C$16),Projects!$B$16*Projects!$T$16,0)+SUMPRODUCT((Projects!$G$17:$G$46="Yes")*(Projects!$F$17:$F$46="Yes")*(51=Projects!$C$17:$C$46)*Projects!$B$17:$B$46*Projects!$T$17:$T$46),Actuals!BD15)</f>
        <v/>
      </c>
      <c r="BD105" s="392">
        <f>IF(ISBLANK(Actuals!BE15),IF(AND(Projects!$G$6="Yes",Projects!$F$6="Yes",52=Projects!$C$6),Projects!$B$6*Projects!$T$6,0)+IF(AND(Projects!$G$7="Yes",Projects!$F$7="Yes",52=Projects!$C$7),Projects!$B$7*Projects!$T$7,0)+IF(AND(Projects!$G$8="Yes",Projects!$F$8="Yes",52=Projects!$C$8),Projects!$B$8*Projects!$T$8,0)+IF(AND(Projects!$G$9="Yes",Projects!$F$9="Yes",52=Projects!$C$9),Projects!$B$9*Projects!$T$9,0)+IF(AND(Projects!$G$10="Yes",Projects!$F$10="Yes",52=Projects!$C$10),Projects!$B$10*Projects!$T$10,0)+IF(AND(Projects!$G$11="Yes",Projects!$F$11="Yes",52=Projects!$C$11),Projects!$B$11*Projects!$T$11,0)+IF(AND(Projects!$G$12="Yes",Projects!$F$12="Yes",52=Projects!$C$12),Projects!$B$12*Projects!$T$12,0)+IF(AND(Projects!$G$13="Yes",Projects!$F$13="Yes",52=Projects!$C$13),Projects!$B$13*Projects!$T$13,0)+IF(AND(Projects!$G$14="Yes",Projects!$F$14="Yes",52=Projects!$C$14),Projects!$B$14*Projects!$T$14,0)+IF(AND(Projects!$G$15="Yes",Projects!$F$15="Yes",52=Projects!$C$15),Projects!$B$15*Projects!$T$15,0)+IF(AND(Projects!$G$16="Yes",Projects!$F$16="Yes",52=Projects!$C$16),Projects!$B$16*Projects!$T$16,0)+SUMPRODUCT((Projects!$G$17:$G$46="Yes")*(Projects!$F$17:$F$46="Yes")*(52=Projects!$C$17:$C$46)*Projects!$B$17:$B$46*Projects!$T$17:$T$46),Actuals!BE15)</f>
        <v/>
      </c>
      <c r="BE105" s="392">
        <f>IF(ISBLANK(Actuals!BF15),IF(AND(Projects!$G$6="Yes",Projects!$F$6="Yes",53=Projects!$C$6),Projects!$B$6*Projects!$T$6,0)+IF(AND(Projects!$G$7="Yes",Projects!$F$7="Yes",53=Projects!$C$7),Projects!$B$7*Projects!$T$7,0)+IF(AND(Projects!$G$8="Yes",Projects!$F$8="Yes",53=Projects!$C$8),Projects!$B$8*Projects!$T$8,0)+IF(AND(Projects!$G$9="Yes",Projects!$F$9="Yes",53=Projects!$C$9),Projects!$B$9*Projects!$T$9,0)+IF(AND(Projects!$G$10="Yes",Projects!$F$10="Yes",53=Projects!$C$10),Projects!$B$10*Projects!$T$10,0)+IF(AND(Projects!$G$11="Yes",Projects!$F$11="Yes",53=Projects!$C$11),Projects!$B$11*Projects!$T$11,0)+IF(AND(Projects!$G$12="Yes",Projects!$F$12="Yes",53=Projects!$C$12),Projects!$B$12*Projects!$T$12,0)+IF(AND(Projects!$G$13="Yes",Projects!$F$13="Yes",53=Projects!$C$13),Projects!$B$13*Projects!$T$13,0)+IF(AND(Projects!$G$14="Yes",Projects!$F$14="Yes",53=Projects!$C$14),Projects!$B$14*Projects!$T$14,0)+IF(AND(Projects!$G$15="Yes",Projects!$F$15="Yes",53=Projects!$C$15),Projects!$B$15*Projects!$T$15,0)+IF(AND(Projects!$G$16="Yes",Projects!$F$16="Yes",53=Projects!$C$16),Projects!$B$16*Projects!$T$16,0)+SUMPRODUCT((Projects!$G$17:$G$46="Yes")*(Projects!$F$17:$F$46="Yes")*(53=Projects!$C$17:$C$46)*Projects!$B$17:$B$46*Projects!$T$17:$T$46),Actuals!BF15)</f>
        <v/>
      </c>
      <c r="BF105" s="392">
        <f>IF(ISBLANK(Actuals!BG15),IF(AND(Projects!$G$6="Yes",Projects!$F$6="Yes",54=Projects!$C$6),Projects!$B$6*Projects!$T$6,0)+IF(AND(Projects!$G$7="Yes",Projects!$F$7="Yes",54=Projects!$C$7),Projects!$B$7*Projects!$T$7,0)+IF(AND(Projects!$G$8="Yes",Projects!$F$8="Yes",54=Projects!$C$8),Projects!$B$8*Projects!$T$8,0)+IF(AND(Projects!$G$9="Yes",Projects!$F$9="Yes",54=Projects!$C$9),Projects!$B$9*Projects!$T$9,0)+IF(AND(Projects!$G$10="Yes",Projects!$F$10="Yes",54=Projects!$C$10),Projects!$B$10*Projects!$T$10,0)+IF(AND(Projects!$G$11="Yes",Projects!$F$11="Yes",54=Projects!$C$11),Projects!$B$11*Projects!$T$11,0)+IF(AND(Projects!$G$12="Yes",Projects!$F$12="Yes",54=Projects!$C$12),Projects!$B$12*Projects!$T$12,0)+IF(AND(Projects!$G$13="Yes",Projects!$F$13="Yes",54=Projects!$C$13),Projects!$B$13*Projects!$T$13,0)+IF(AND(Projects!$G$14="Yes",Projects!$F$14="Yes",54=Projects!$C$14),Projects!$B$14*Projects!$T$14,0)+IF(AND(Projects!$G$15="Yes",Projects!$F$15="Yes",54=Projects!$C$15),Projects!$B$15*Projects!$T$15,0)+IF(AND(Projects!$G$16="Yes",Projects!$F$16="Yes",54=Projects!$C$16),Projects!$B$16*Projects!$T$16,0)+SUMPRODUCT((Projects!$G$17:$G$46="Yes")*(Projects!$F$17:$F$46="Yes")*(54=Projects!$C$17:$C$46)*Projects!$B$17:$B$46*Projects!$T$17:$T$46),Actuals!BG15)</f>
        <v/>
      </c>
      <c r="BG105" s="392">
        <f>IF(ISBLANK(Actuals!BH15),IF(AND(Projects!$G$6="Yes",Projects!$F$6="Yes",55=Projects!$C$6),Projects!$B$6*Projects!$T$6,0)+IF(AND(Projects!$G$7="Yes",Projects!$F$7="Yes",55=Projects!$C$7),Projects!$B$7*Projects!$T$7,0)+IF(AND(Projects!$G$8="Yes",Projects!$F$8="Yes",55=Projects!$C$8),Projects!$B$8*Projects!$T$8,0)+IF(AND(Projects!$G$9="Yes",Projects!$F$9="Yes",55=Projects!$C$9),Projects!$B$9*Projects!$T$9,0)+IF(AND(Projects!$G$10="Yes",Projects!$F$10="Yes",55=Projects!$C$10),Projects!$B$10*Projects!$T$10,0)+IF(AND(Projects!$G$11="Yes",Projects!$F$11="Yes",55=Projects!$C$11),Projects!$B$11*Projects!$T$11,0)+IF(AND(Projects!$G$12="Yes",Projects!$F$12="Yes",55=Projects!$C$12),Projects!$B$12*Projects!$T$12,0)+IF(AND(Projects!$G$13="Yes",Projects!$F$13="Yes",55=Projects!$C$13),Projects!$B$13*Projects!$T$13,0)+IF(AND(Projects!$G$14="Yes",Projects!$F$14="Yes",55=Projects!$C$14),Projects!$B$14*Projects!$T$14,0)+IF(AND(Projects!$G$15="Yes",Projects!$F$15="Yes",55=Projects!$C$15),Projects!$B$15*Projects!$T$15,0)+IF(AND(Projects!$G$16="Yes",Projects!$F$16="Yes",55=Projects!$C$16),Projects!$B$16*Projects!$T$16,0)+SUMPRODUCT((Projects!$G$17:$G$46="Yes")*(Projects!$F$17:$F$46="Yes")*(55=Projects!$C$17:$C$46)*Projects!$B$17:$B$46*Projects!$T$17:$T$46),Actuals!BH15)</f>
        <v/>
      </c>
      <c r="BH105" s="392">
        <f>IF(ISBLANK(Actuals!BI15),IF(AND(Projects!$G$6="Yes",Projects!$F$6="Yes",56=Projects!$C$6),Projects!$B$6*Projects!$T$6,0)+IF(AND(Projects!$G$7="Yes",Projects!$F$7="Yes",56=Projects!$C$7),Projects!$B$7*Projects!$T$7,0)+IF(AND(Projects!$G$8="Yes",Projects!$F$8="Yes",56=Projects!$C$8),Projects!$B$8*Projects!$T$8,0)+IF(AND(Projects!$G$9="Yes",Projects!$F$9="Yes",56=Projects!$C$9),Projects!$B$9*Projects!$T$9,0)+IF(AND(Projects!$G$10="Yes",Projects!$F$10="Yes",56=Projects!$C$10),Projects!$B$10*Projects!$T$10,0)+IF(AND(Projects!$G$11="Yes",Projects!$F$11="Yes",56=Projects!$C$11),Projects!$B$11*Projects!$T$11,0)+IF(AND(Projects!$G$12="Yes",Projects!$F$12="Yes",56=Projects!$C$12),Projects!$B$12*Projects!$T$12,0)+IF(AND(Projects!$G$13="Yes",Projects!$F$13="Yes",56=Projects!$C$13),Projects!$B$13*Projects!$T$13,0)+IF(AND(Projects!$G$14="Yes",Projects!$F$14="Yes",56=Projects!$C$14),Projects!$B$14*Projects!$T$14,0)+IF(AND(Projects!$G$15="Yes",Projects!$F$15="Yes",56=Projects!$C$15),Projects!$B$15*Projects!$T$15,0)+IF(AND(Projects!$G$16="Yes",Projects!$F$16="Yes",56=Projects!$C$16),Projects!$B$16*Projects!$T$16,0)+SUMPRODUCT((Projects!$G$17:$G$46="Yes")*(Projects!$F$17:$F$46="Yes")*(56=Projects!$C$17:$C$46)*Projects!$B$17:$B$46*Projects!$T$17:$T$46),Actuals!BI15)</f>
        <v/>
      </c>
      <c r="BI105" s="392">
        <f>IF(ISBLANK(Actuals!BJ15),IF(AND(Projects!$G$6="Yes",Projects!$F$6="Yes",57=Projects!$C$6),Projects!$B$6*Projects!$T$6,0)+IF(AND(Projects!$G$7="Yes",Projects!$F$7="Yes",57=Projects!$C$7),Projects!$B$7*Projects!$T$7,0)+IF(AND(Projects!$G$8="Yes",Projects!$F$8="Yes",57=Projects!$C$8),Projects!$B$8*Projects!$T$8,0)+IF(AND(Projects!$G$9="Yes",Projects!$F$9="Yes",57=Projects!$C$9),Projects!$B$9*Projects!$T$9,0)+IF(AND(Projects!$G$10="Yes",Projects!$F$10="Yes",57=Projects!$C$10),Projects!$B$10*Projects!$T$10,0)+IF(AND(Projects!$G$11="Yes",Projects!$F$11="Yes",57=Projects!$C$11),Projects!$B$11*Projects!$T$11,0)+IF(AND(Projects!$G$12="Yes",Projects!$F$12="Yes",57=Projects!$C$12),Projects!$B$12*Projects!$T$12,0)+IF(AND(Projects!$G$13="Yes",Projects!$F$13="Yes",57=Projects!$C$13),Projects!$B$13*Projects!$T$13,0)+IF(AND(Projects!$G$14="Yes",Projects!$F$14="Yes",57=Projects!$C$14),Projects!$B$14*Projects!$T$14,0)+IF(AND(Projects!$G$15="Yes",Projects!$F$15="Yes",57=Projects!$C$15),Projects!$B$15*Projects!$T$15,0)+IF(AND(Projects!$G$16="Yes",Projects!$F$16="Yes",57=Projects!$C$16),Projects!$B$16*Projects!$T$16,0)+SUMPRODUCT((Projects!$G$17:$G$46="Yes")*(Projects!$F$17:$F$46="Yes")*(57=Projects!$C$17:$C$46)*Projects!$B$17:$B$46*Projects!$T$17:$T$46),Actuals!BJ15)</f>
        <v/>
      </c>
      <c r="BJ105" s="392">
        <f>IF(ISBLANK(Actuals!BK15),IF(AND(Projects!$G$6="Yes",Projects!$F$6="Yes",58=Projects!$C$6),Projects!$B$6*Projects!$T$6,0)+IF(AND(Projects!$G$7="Yes",Projects!$F$7="Yes",58=Projects!$C$7),Projects!$B$7*Projects!$T$7,0)+IF(AND(Projects!$G$8="Yes",Projects!$F$8="Yes",58=Projects!$C$8),Projects!$B$8*Projects!$T$8,0)+IF(AND(Projects!$G$9="Yes",Projects!$F$9="Yes",58=Projects!$C$9),Projects!$B$9*Projects!$T$9,0)+IF(AND(Projects!$G$10="Yes",Projects!$F$10="Yes",58=Projects!$C$10),Projects!$B$10*Projects!$T$10,0)+IF(AND(Projects!$G$11="Yes",Projects!$F$11="Yes",58=Projects!$C$11),Projects!$B$11*Projects!$T$11,0)+IF(AND(Projects!$G$12="Yes",Projects!$F$12="Yes",58=Projects!$C$12),Projects!$B$12*Projects!$T$12,0)+IF(AND(Projects!$G$13="Yes",Projects!$F$13="Yes",58=Projects!$C$13),Projects!$B$13*Projects!$T$13,0)+IF(AND(Projects!$G$14="Yes",Projects!$F$14="Yes",58=Projects!$C$14),Projects!$B$14*Projects!$T$14,0)+IF(AND(Projects!$G$15="Yes",Projects!$F$15="Yes",58=Projects!$C$15),Projects!$B$15*Projects!$T$15,0)+IF(AND(Projects!$G$16="Yes",Projects!$F$16="Yes",58=Projects!$C$16),Projects!$B$16*Projects!$T$16,0)+SUMPRODUCT((Projects!$G$17:$G$46="Yes")*(Projects!$F$17:$F$46="Yes")*(58=Projects!$C$17:$C$46)*Projects!$B$17:$B$46*Projects!$T$17:$T$46),Actuals!BK15)</f>
        <v/>
      </c>
      <c r="BK105" s="392">
        <f>IF(ISBLANK(Actuals!BL15),IF(AND(Projects!$G$6="Yes",Projects!$F$6="Yes",59=Projects!$C$6),Projects!$B$6*Projects!$T$6,0)+IF(AND(Projects!$G$7="Yes",Projects!$F$7="Yes",59=Projects!$C$7),Projects!$B$7*Projects!$T$7,0)+IF(AND(Projects!$G$8="Yes",Projects!$F$8="Yes",59=Projects!$C$8),Projects!$B$8*Projects!$T$8,0)+IF(AND(Projects!$G$9="Yes",Projects!$F$9="Yes",59=Projects!$C$9),Projects!$B$9*Projects!$T$9,0)+IF(AND(Projects!$G$10="Yes",Projects!$F$10="Yes",59=Projects!$C$10),Projects!$B$10*Projects!$T$10,0)+IF(AND(Projects!$G$11="Yes",Projects!$F$11="Yes",59=Projects!$C$11),Projects!$B$11*Projects!$T$11,0)+IF(AND(Projects!$G$12="Yes",Projects!$F$12="Yes",59=Projects!$C$12),Projects!$B$12*Projects!$T$12,0)+IF(AND(Projects!$G$13="Yes",Projects!$F$13="Yes",59=Projects!$C$13),Projects!$B$13*Projects!$T$13,0)+IF(AND(Projects!$G$14="Yes",Projects!$F$14="Yes",59=Projects!$C$14),Projects!$B$14*Projects!$T$14,0)+IF(AND(Projects!$G$15="Yes",Projects!$F$15="Yes",59=Projects!$C$15),Projects!$B$15*Projects!$T$15,0)+IF(AND(Projects!$G$16="Yes",Projects!$F$16="Yes",59=Projects!$C$16),Projects!$B$16*Projects!$T$16,0)+SUMPRODUCT((Projects!$G$17:$G$46="Yes")*(Projects!$F$17:$F$46="Yes")*(59=Projects!$C$17:$C$46)*Projects!$B$17:$B$46*Projects!$T$17:$T$46),Actuals!BL15)</f>
        <v/>
      </c>
      <c r="BL105" s="392">
        <f>IF(ISBLANK(Actuals!BM15),IF(AND(Projects!$G$6="Yes",Projects!$F$6="Yes",60=Projects!$C$6),Projects!$B$6*Projects!$T$6,0)+IF(AND(Projects!$G$7="Yes",Projects!$F$7="Yes",60=Projects!$C$7),Projects!$B$7*Projects!$T$7,0)+IF(AND(Projects!$G$8="Yes",Projects!$F$8="Yes",60=Projects!$C$8),Projects!$B$8*Projects!$T$8,0)+IF(AND(Projects!$G$9="Yes",Projects!$F$9="Yes",60=Projects!$C$9),Projects!$B$9*Projects!$T$9,0)+IF(AND(Projects!$G$10="Yes",Projects!$F$10="Yes",60=Projects!$C$10),Projects!$B$10*Projects!$T$10,0)+IF(AND(Projects!$G$11="Yes",Projects!$F$11="Yes",60=Projects!$C$11),Projects!$B$11*Projects!$T$11,0)+IF(AND(Projects!$G$12="Yes",Projects!$F$12="Yes",60=Projects!$C$12),Projects!$B$12*Projects!$T$12,0)+IF(AND(Projects!$G$13="Yes",Projects!$F$13="Yes",60=Projects!$C$13),Projects!$B$13*Projects!$T$13,0)+IF(AND(Projects!$G$14="Yes",Projects!$F$14="Yes",60=Projects!$C$14),Projects!$B$14*Projects!$T$14,0)+IF(AND(Projects!$G$15="Yes",Projects!$F$15="Yes",60=Projects!$C$15),Projects!$B$15*Projects!$T$15,0)+IF(AND(Projects!$G$16="Yes",Projects!$F$16="Yes",60=Projects!$C$16),Projects!$B$16*Projects!$T$16,0)+SUMPRODUCT((Projects!$G$17:$G$46="Yes")*(Projects!$F$17:$F$46="Yes")*(60=Projects!$C$17:$C$46)*Projects!$B$17:$B$46*Projects!$T$17:$T$46),Actuals!BM15)</f>
        <v/>
      </c>
      <c r="BM105" s="392">
        <f>IF(ISBLANK(Actuals!BN15),IF(AND(Projects!$G$6="Yes",Projects!$F$6="Yes",61=Projects!$C$6),Projects!$B$6*Projects!$T$6,0)+IF(AND(Projects!$G$7="Yes",Projects!$F$7="Yes",61=Projects!$C$7),Projects!$B$7*Projects!$T$7,0)+IF(AND(Projects!$G$8="Yes",Projects!$F$8="Yes",61=Projects!$C$8),Projects!$B$8*Projects!$T$8,0)+IF(AND(Projects!$G$9="Yes",Projects!$F$9="Yes",61=Projects!$C$9),Projects!$B$9*Projects!$T$9,0)+IF(AND(Projects!$G$10="Yes",Projects!$F$10="Yes",61=Projects!$C$10),Projects!$B$10*Projects!$T$10,0)+IF(AND(Projects!$G$11="Yes",Projects!$F$11="Yes",61=Projects!$C$11),Projects!$B$11*Projects!$T$11,0)+IF(AND(Projects!$G$12="Yes",Projects!$F$12="Yes",61=Projects!$C$12),Projects!$B$12*Projects!$T$12,0)+IF(AND(Projects!$G$13="Yes",Projects!$F$13="Yes",61=Projects!$C$13),Projects!$B$13*Projects!$T$13,0)+IF(AND(Projects!$G$14="Yes",Projects!$F$14="Yes",61=Projects!$C$14),Projects!$B$14*Projects!$T$14,0)+IF(AND(Projects!$G$15="Yes",Projects!$F$15="Yes",61=Projects!$C$15),Projects!$B$15*Projects!$T$15,0)+IF(AND(Projects!$G$16="Yes",Projects!$F$16="Yes",61=Projects!$C$16),Projects!$B$16*Projects!$T$16,0)+SUMPRODUCT((Projects!$G$17:$G$46="Yes")*(Projects!$F$17:$F$46="Yes")*(61=Projects!$C$17:$C$46)*Projects!$B$17:$B$46*Projects!$T$17:$T$46),Actuals!BN15)</f>
        <v/>
      </c>
      <c r="BN105" s="392">
        <f>IF(ISBLANK(Actuals!BO15),IF(AND(Projects!$G$6="Yes",Projects!$F$6="Yes",62=Projects!$C$6),Projects!$B$6*Projects!$T$6,0)+IF(AND(Projects!$G$7="Yes",Projects!$F$7="Yes",62=Projects!$C$7),Projects!$B$7*Projects!$T$7,0)+IF(AND(Projects!$G$8="Yes",Projects!$F$8="Yes",62=Projects!$C$8),Projects!$B$8*Projects!$T$8,0)+IF(AND(Projects!$G$9="Yes",Projects!$F$9="Yes",62=Projects!$C$9),Projects!$B$9*Projects!$T$9,0)+IF(AND(Projects!$G$10="Yes",Projects!$F$10="Yes",62=Projects!$C$10),Projects!$B$10*Projects!$T$10,0)+IF(AND(Projects!$G$11="Yes",Projects!$F$11="Yes",62=Projects!$C$11),Projects!$B$11*Projects!$T$11,0)+IF(AND(Projects!$G$12="Yes",Projects!$F$12="Yes",62=Projects!$C$12),Projects!$B$12*Projects!$T$12,0)+IF(AND(Projects!$G$13="Yes",Projects!$F$13="Yes",62=Projects!$C$13),Projects!$B$13*Projects!$T$13,0)+IF(AND(Projects!$G$14="Yes",Projects!$F$14="Yes",62=Projects!$C$14),Projects!$B$14*Projects!$T$14,0)+IF(AND(Projects!$G$15="Yes",Projects!$F$15="Yes",62=Projects!$C$15),Projects!$B$15*Projects!$T$15,0)+IF(AND(Projects!$G$16="Yes",Projects!$F$16="Yes",62=Projects!$C$16),Projects!$B$16*Projects!$T$16,0)+SUMPRODUCT((Projects!$G$17:$G$46="Yes")*(Projects!$F$17:$F$46="Yes")*(62=Projects!$C$17:$C$46)*Projects!$B$17:$B$46*Projects!$T$17:$T$46),Actuals!BO15)</f>
        <v/>
      </c>
      <c r="BO105" s="392">
        <f>IF(ISBLANK(Actuals!BP15),IF(AND(Projects!$G$6="Yes",Projects!$F$6="Yes",63=Projects!$C$6),Projects!$B$6*Projects!$T$6,0)+IF(AND(Projects!$G$7="Yes",Projects!$F$7="Yes",63=Projects!$C$7),Projects!$B$7*Projects!$T$7,0)+IF(AND(Projects!$G$8="Yes",Projects!$F$8="Yes",63=Projects!$C$8),Projects!$B$8*Projects!$T$8,0)+IF(AND(Projects!$G$9="Yes",Projects!$F$9="Yes",63=Projects!$C$9),Projects!$B$9*Projects!$T$9,0)+IF(AND(Projects!$G$10="Yes",Projects!$F$10="Yes",63=Projects!$C$10),Projects!$B$10*Projects!$T$10,0)+IF(AND(Projects!$G$11="Yes",Projects!$F$11="Yes",63=Projects!$C$11),Projects!$B$11*Projects!$T$11,0)+IF(AND(Projects!$G$12="Yes",Projects!$F$12="Yes",63=Projects!$C$12),Projects!$B$12*Projects!$T$12,0)+IF(AND(Projects!$G$13="Yes",Projects!$F$13="Yes",63=Projects!$C$13),Projects!$B$13*Projects!$T$13,0)+IF(AND(Projects!$G$14="Yes",Projects!$F$14="Yes",63=Projects!$C$14),Projects!$B$14*Projects!$T$14,0)+IF(AND(Projects!$G$15="Yes",Projects!$F$15="Yes",63=Projects!$C$15),Projects!$B$15*Projects!$T$15,0)+IF(AND(Projects!$G$16="Yes",Projects!$F$16="Yes",63=Projects!$C$16),Projects!$B$16*Projects!$T$16,0)+SUMPRODUCT((Projects!$G$17:$G$46="Yes")*(Projects!$F$17:$F$46="Yes")*(63=Projects!$C$17:$C$46)*Projects!$B$17:$B$46*Projects!$T$17:$T$46),Actuals!BP15)</f>
        <v/>
      </c>
      <c r="BP105" s="392">
        <f>IF(ISBLANK(Actuals!BQ15),IF(AND(Projects!$G$6="Yes",Projects!$F$6="Yes",64=Projects!$C$6),Projects!$B$6*Projects!$T$6,0)+IF(AND(Projects!$G$7="Yes",Projects!$F$7="Yes",64=Projects!$C$7),Projects!$B$7*Projects!$T$7,0)+IF(AND(Projects!$G$8="Yes",Projects!$F$8="Yes",64=Projects!$C$8),Projects!$B$8*Projects!$T$8,0)+IF(AND(Projects!$G$9="Yes",Projects!$F$9="Yes",64=Projects!$C$9),Projects!$B$9*Projects!$T$9,0)+IF(AND(Projects!$G$10="Yes",Projects!$F$10="Yes",64=Projects!$C$10),Projects!$B$10*Projects!$T$10,0)+IF(AND(Projects!$G$11="Yes",Projects!$F$11="Yes",64=Projects!$C$11),Projects!$B$11*Projects!$T$11,0)+IF(AND(Projects!$G$12="Yes",Projects!$F$12="Yes",64=Projects!$C$12),Projects!$B$12*Projects!$T$12,0)+IF(AND(Projects!$G$13="Yes",Projects!$F$13="Yes",64=Projects!$C$13),Projects!$B$13*Projects!$T$13,0)+IF(AND(Projects!$G$14="Yes",Projects!$F$14="Yes",64=Projects!$C$14),Projects!$B$14*Projects!$T$14,0)+IF(AND(Projects!$G$15="Yes",Projects!$F$15="Yes",64=Projects!$C$15),Projects!$B$15*Projects!$T$15,0)+IF(AND(Projects!$G$16="Yes",Projects!$F$16="Yes",64=Projects!$C$16),Projects!$B$16*Projects!$T$16,0)+SUMPRODUCT((Projects!$G$17:$G$46="Yes")*(Projects!$F$17:$F$46="Yes")*(64=Projects!$C$17:$C$46)*Projects!$B$17:$B$46*Projects!$T$17:$T$46),Actuals!BQ15)</f>
        <v/>
      </c>
      <c r="BQ105" s="392">
        <f>IF(ISBLANK(Actuals!BR15),IF(AND(Projects!$G$6="Yes",Projects!$F$6="Yes",65=Projects!$C$6),Projects!$B$6*Projects!$T$6,0)+IF(AND(Projects!$G$7="Yes",Projects!$F$7="Yes",65=Projects!$C$7),Projects!$B$7*Projects!$T$7,0)+IF(AND(Projects!$G$8="Yes",Projects!$F$8="Yes",65=Projects!$C$8),Projects!$B$8*Projects!$T$8,0)+IF(AND(Projects!$G$9="Yes",Projects!$F$9="Yes",65=Projects!$C$9),Projects!$B$9*Projects!$T$9,0)+IF(AND(Projects!$G$10="Yes",Projects!$F$10="Yes",65=Projects!$C$10),Projects!$B$10*Projects!$T$10,0)+IF(AND(Projects!$G$11="Yes",Projects!$F$11="Yes",65=Projects!$C$11),Projects!$B$11*Projects!$T$11,0)+IF(AND(Projects!$G$12="Yes",Projects!$F$12="Yes",65=Projects!$C$12),Projects!$B$12*Projects!$T$12,0)+IF(AND(Projects!$G$13="Yes",Projects!$F$13="Yes",65=Projects!$C$13),Projects!$B$13*Projects!$T$13,0)+IF(AND(Projects!$G$14="Yes",Projects!$F$14="Yes",65=Projects!$C$14),Projects!$B$14*Projects!$T$14,0)+IF(AND(Projects!$G$15="Yes",Projects!$F$15="Yes",65=Projects!$C$15),Projects!$B$15*Projects!$T$15,0)+IF(AND(Projects!$G$16="Yes",Projects!$F$16="Yes",65=Projects!$C$16),Projects!$B$16*Projects!$T$16,0)+SUMPRODUCT((Projects!$G$17:$G$46="Yes")*(Projects!$F$17:$F$46="Yes")*(65=Projects!$C$17:$C$46)*Projects!$B$17:$B$46*Projects!$T$17:$T$46),Actuals!BR15)</f>
        <v/>
      </c>
      <c r="BR105" s="392">
        <f>IF(ISBLANK(Actuals!BS15),IF(AND(Projects!$G$6="Yes",Projects!$F$6="Yes",66=Projects!$C$6),Projects!$B$6*Projects!$T$6,0)+IF(AND(Projects!$G$7="Yes",Projects!$F$7="Yes",66=Projects!$C$7),Projects!$B$7*Projects!$T$7,0)+IF(AND(Projects!$G$8="Yes",Projects!$F$8="Yes",66=Projects!$C$8),Projects!$B$8*Projects!$T$8,0)+IF(AND(Projects!$G$9="Yes",Projects!$F$9="Yes",66=Projects!$C$9),Projects!$B$9*Projects!$T$9,0)+IF(AND(Projects!$G$10="Yes",Projects!$F$10="Yes",66=Projects!$C$10),Projects!$B$10*Projects!$T$10,0)+IF(AND(Projects!$G$11="Yes",Projects!$F$11="Yes",66=Projects!$C$11),Projects!$B$11*Projects!$T$11,0)+IF(AND(Projects!$G$12="Yes",Projects!$F$12="Yes",66=Projects!$C$12),Projects!$B$12*Projects!$T$12,0)+IF(AND(Projects!$G$13="Yes",Projects!$F$13="Yes",66=Projects!$C$13),Projects!$B$13*Projects!$T$13,0)+IF(AND(Projects!$G$14="Yes",Projects!$F$14="Yes",66=Projects!$C$14),Projects!$B$14*Projects!$T$14,0)+IF(AND(Projects!$G$15="Yes",Projects!$F$15="Yes",66=Projects!$C$15),Projects!$B$15*Projects!$T$15,0)+IF(AND(Projects!$G$16="Yes",Projects!$F$16="Yes",66=Projects!$C$16),Projects!$B$16*Projects!$T$16,0)+SUMPRODUCT((Projects!$G$17:$G$46="Yes")*(Projects!$F$17:$F$46="Yes")*(66=Projects!$C$17:$C$46)*Projects!$B$17:$B$46*Projects!$T$17:$T$46),Actuals!BS15)</f>
        <v/>
      </c>
      <c r="BS105" s="392">
        <f>IF(ISBLANK(Actuals!BT15),IF(AND(Projects!$G$6="Yes",Projects!$F$6="Yes",67=Projects!$C$6),Projects!$B$6*Projects!$T$6,0)+IF(AND(Projects!$G$7="Yes",Projects!$F$7="Yes",67=Projects!$C$7),Projects!$B$7*Projects!$T$7,0)+IF(AND(Projects!$G$8="Yes",Projects!$F$8="Yes",67=Projects!$C$8),Projects!$B$8*Projects!$T$8,0)+IF(AND(Projects!$G$9="Yes",Projects!$F$9="Yes",67=Projects!$C$9),Projects!$B$9*Projects!$T$9,0)+IF(AND(Projects!$G$10="Yes",Projects!$F$10="Yes",67=Projects!$C$10),Projects!$B$10*Projects!$T$10,0)+IF(AND(Projects!$G$11="Yes",Projects!$F$11="Yes",67=Projects!$C$11),Projects!$B$11*Projects!$T$11,0)+IF(AND(Projects!$G$12="Yes",Projects!$F$12="Yes",67=Projects!$C$12),Projects!$B$12*Projects!$T$12,0)+IF(AND(Projects!$G$13="Yes",Projects!$F$13="Yes",67=Projects!$C$13),Projects!$B$13*Projects!$T$13,0)+IF(AND(Projects!$G$14="Yes",Projects!$F$14="Yes",67=Projects!$C$14),Projects!$B$14*Projects!$T$14,0)+IF(AND(Projects!$G$15="Yes",Projects!$F$15="Yes",67=Projects!$C$15),Projects!$B$15*Projects!$T$15,0)+IF(AND(Projects!$G$16="Yes",Projects!$F$16="Yes",67=Projects!$C$16),Projects!$B$16*Projects!$T$16,0)+SUMPRODUCT((Projects!$G$17:$G$46="Yes")*(Projects!$F$17:$F$46="Yes")*(67=Projects!$C$17:$C$46)*Projects!$B$17:$B$46*Projects!$T$17:$T$46),Actuals!BT15)</f>
        <v/>
      </c>
      <c r="BT105" s="392">
        <f>IF(ISBLANK(Actuals!BU15),IF(AND(Projects!$G$6="Yes",Projects!$F$6="Yes",68=Projects!$C$6),Projects!$B$6*Projects!$T$6,0)+IF(AND(Projects!$G$7="Yes",Projects!$F$7="Yes",68=Projects!$C$7),Projects!$B$7*Projects!$T$7,0)+IF(AND(Projects!$G$8="Yes",Projects!$F$8="Yes",68=Projects!$C$8),Projects!$B$8*Projects!$T$8,0)+IF(AND(Projects!$G$9="Yes",Projects!$F$9="Yes",68=Projects!$C$9),Projects!$B$9*Projects!$T$9,0)+IF(AND(Projects!$G$10="Yes",Projects!$F$10="Yes",68=Projects!$C$10),Projects!$B$10*Projects!$T$10,0)+IF(AND(Projects!$G$11="Yes",Projects!$F$11="Yes",68=Projects!$C$11),Projects!$B$11*Projects!$T$11,0)+IF(AND(Projects!$G$12="Yes",Projects!$F$12="Yes",68=Projects!$C$12),Projects!$B$12*Projects!$T$12,0)+IF(AND(Projects!$G$13="Yes",Projects!$F$13="Yes",68=Projects!$C$13),Projects!$B$13*Projects!$T$13,0)+IF(AND(Projects!$G$14="Yes",Projects!$F$14="Yes",68=Projects!$C$14),Projects!$B$14*Projects!$T$14,0)+IF(AND(Projects!$G$15="Yes",Projects!$F$15="Yes",68=Projects!$C$15),Projects!$B$15*Projects!$T$15,0)+IF(AND(Projects!$G$16="Yes",Projects!$F$16="Yes",68=Projects!$C$16),Projects!$B$16*Projects!$T$16,0)+SUMPRODUCT((Projects!$G$17:$G$46="Yes")*(Projects!$F$17:$F$46="Yes")*(68=Projects!$C$17:$C$46)*Projects!$B$17:$B$46*Projects!$T$17:$T$46),Actuals!BU15)</f>
        <v/>
      </c>
      <c r="BU105" s="392">
        <f>IF(ISBLANK(Actuals!BV15),IF(AND(Projects!$G$6="Yes",Projects!$F$6="Yes",69=Projects!$C$6),Projects!$B$6*Projects!$T$6,0)+IF(AND(Projects!$G$7="Yes",Projects!$F$7="Yes",69=Projects!$C$7),Projects!$B$7*Projects!$T$7,0)+IF(AND(Projects!$G$8="Yes",Projects!$F$8="Yes",69=Projects!$C$8),Projects!$B$8*Projects!$T$8,0)+IF(AND(Projects!$G$9="Yes",Projects!$F$9="Yes",69=Projects!$C$9),Projects!$B$9*Projects!$T$9,0)+IF(AND(Projects!$G$10="Yes",Projects!$F$10="Yes",69=Projects!$C$10),Projects!$B$10*Projects!$T$10,0)+IF(AND(Projects!$G$11="Yes",Projects!$F$11="Yes",69=Projects!$C$11),Projects!$B$11*Projects!$T$11,0)+IF(AND(Projects!$G$12="Yes",Projects!$F$12="Yes",69=Projects!$C$12),Projects!$B$12*Projects!$T$12,0)+IF(AND(Projects!$G$13="Yes",Projects!$F$13="Yes",69=Projects!$C$13),Projects!$B$13*Projects!$T$13,0)+IF(AND(Projects!$G$14="Yes",Projects!$F$14="Yes",69=Projects!$C$14),Projects!$B$14*Projects!$T$14,0)+IF(AND(Projects!$G$15="Yes",Projects!$F$15="Yes",69=Projects!$C$15),Projects!$B$15*Projects!$T$15,0)+IF(AND(Projects!$G$16="Yes",Projects!$F$16="Yes",69=Projects!$C$16),Projects!$B$16*Projects!$T$16,0)+SUMPRODUCT((Projects!$G$17:$G$46="Yes")*(Projects!$F$17:$F$46="Yes")*(69=Projects!$C$17:$C$46)*Projects!$B$17:$B$46*Projects!$T$17:$T$46),Actuals!BV15)</f>
        <v/>
      </c>
      <c r="BV105" s="392">
        <f>IF(ISBLANK(Actuals!BW15),IF(AND(Projects!$G$6="Yes",Projects!$F$6="Yes",70=Projects!$C$6),Projects!$B$6*Projects!$T$6,0)+IF(AND(Projects!$G$7="Yes",Projects!$F$7="Yes",70=Projects!$C$7),Projects!$B$7*Projects!$T$7,0)+IF(AND(Projects!$G$8="Yes",Projects!$F$8="Yes",70=Projects!$C$8),Projects!$B$8*Projects!$T$8,0)+IF(AND(Projects!$G$9="Yes",Projects!$F$9="Yes",70=Projects!$C$9),Projects!$B$9*Projects!$T$9,0)+IF(AND(Projects!$G$10="Yes",Projects!$F$10="Yes",70=Projects!$C$10),Projects!$B$10*Projects!$T$10,0)+IF(AND(Projects!$G$11="Yes",Projects!$F$11="Yes",70=Projects!$C$11),Projects!$B$11*Projects!$T$11,0)+IF(AND(Projects!$G$12="Yes",Projects!$F$12="Yes",70=Projects!$C$12),Projects!$B$12*Projects!$T$12,0)+IF(AND(Projects!$G$13="Yes",Projects!$F$13="Yes",70=Projects!$C$13),Projects!$B$13*Projects!$T$13,0)+IF(AND(Projects!$G$14="Yes",Projects!$F$14="Yes",70=Projects!$C$14),Projects!$B$14*Projects!$T$14,0)+IF(AND(Projects!$G$15="Yes",Projects!$F$15="Yes",70=Projects!$C$15),Projects!$B$15*Projects!$T$15,0)+IF(AND(Projects!$G$16="Yes",Projects!$F$16="Yes",70=Projects!$C$16),Projects!$B$16*Projects!$T$16,0)+SUMPRODUCT((Projects!$G$17:$G$46="Yes")*(Projects!$F$17:$F$46="Yes")*(70=Projects!$C$17:$C$46)*Projects!$B$17:$B$46*Projects!$T$17:$T$46),Actuals!BW15)</f>
        <v/>
      </c>
      <c r="BW105" s="392">
        <f>IF(ISBLANK(Actuals!BX15),IF(AND(Projects!$G$6="Yes",Projects!$F$6="Yes",71=Projects!$C$6),Projects!$B$6*Projects!$T$6,0)+IF(AND(Projects!$G$7="Yes",Projects!$F$7="Yes",71=Projects!$C$7),Projects!$B$7*Projects!$T$7,0)+IF(AND(Projects!$G$8="Yes",Projects!$F$8="Yes",71=Projects!$C$8),Projects!$B$8*Projects!$T$8,0)+IF(AND(Projects!$G$9="Yes",Projects!$F$9="Yes",71=Projects!$C$9),Projects!$B$9*Projects!$T$9,0)+IF(AND(Projects!$G$10="Yes",Projects!$F$10="Yes",71=Projects!$C$10),Projects!$B$10*Projects!$T$10,0)+IF(AND(Projects!$G$11="Yes",Projects!$F$11="Yes",71=Projects!$C$11),Projects!$B$11*Projects!$T$11,0)+IF(AND(Projects!$G$12="Yes",Projects!$F$12="Yes",71=Projects!$C$12),Projects!$B$12*Projects!$T$12,0)+IF(AND(Projects!$G$13="Yes",Projects!$F$13="Yes",71=Projects!$C$13),Projects!$B$13*Projects!$T$13,0)+IF(AND(Projects!$G$14="Yes",Projects!$F$14="Yes",71=Projects!$C$14),Projects!$B$14*Projects!$T$14,0)+IF(AND(Projects!$G$15="Yes",Projects!$F$15="Yes",71=Projects!$C$15),Projects!$B$15*Projects!$T$15,0)+IF(AND(Projects!$G$16="Yes",Projects!$F$16="Yes",71=Projects!$C$16),Projects!$B$16*Projects!$T$16,0)+SUMPRODUCT((Projects!$G$17:$G$46="Yes")*(Projects!$F$17:$F$46="Yes")*(71=Projects!$C$17:$C$46)*Projects!$B$17:$B$46*Projects!$T$17:$T$46),Actuals!BX15)</f>
        <v/>
      </c>
      <c r="BX105" s="392">
        <f>IF(ISBLANK(Actuals!BY15),IF(AND(Projects!$G$6="Yes",Projects!$F$6="Yes",72=Projects!$C$6),Projects!$B$6*Projects!$T$6,0)+IF(AND(Projects!$G$7="Yes",Projects!$F$7="Yes",72=Projects!$C$7),Projects!$B$7*Projects!$T$7,0)+IF(AND(Projects!$G$8="Yes",Projects!$F$8="Yes",72=Projects!$C$8),Projects!$B$8*Projects!$T$8,0)+IF(AND(Projects!$G$9="Yes",Projects!$F$9="Yes",72=Projects!$C$9),Projects!$B$9*Projects!$T$9,0)+IF(AND(Projects!$G$10="Yes",Projects!$F$10="Yes",72=Projects!$C$10),Projects!$B$10*Projects!$T$10,0)+IF(AND(Projects!$G$11="Yes",Projects!$F$11="Yes",72=Projects!$C$11),Projects!$B$11*Projects!$T$11,0)+IF(AND(Projects!$G$12="Yes",Projects!$F$12="Yes",72=Projects!$C$12),Projects!$B$12*Projects!$T$12,0)+IF(AND(Projects!$G$13="Yes",Projects!$F$13="Yes",72=Projects!$C$13),Projects!$B$13*Projects!$T$13,0)+IF(AND(Projects!$G$14="Yes",Projects!$F$14="Yes",72=Projects!$C$14),Projects!$B$14*Projects!$T$14,0)+IF(AND(Projects!$G$15="Yes",Projects!$F$15="Yes",72=Projects!$C$15),Projects!$B$15*Projects!$T$15,0)+IF(AND(Projects!$G$16="Yes",Projects!$F$16="Yes",72=Projects!$C$16),Projects!$B$16*Projects!$T$16,0)+SUMPRODUCT((Projects!$G$17:$G$46="Yes")*(Projects!$F$17:$F$46="Yes")*(72=Projects!$C$17:$C$46)*Projects!$B$17:$B$46*Projects!$T$17:$T$46),Actuals!BY15)</f>
        <v/>
      </c>
      <c r="BY105" s="392">
        <f>IF(ISBLANK(Actuals!BZ15),IF(AND(Projects!$G$6="Yes",Projects!$F$6="Yes",73=Projects!$C$6),Projects!$B$6*Projects!$T$6,0)+IF(AND(Projects!$G$7="Yes",Projects!$F$7="Yes",73=Projects!$C$7),Projects!$B$7*Projects!$T$7,0)+IF(AND(Projects!$G$8="Yes",Projects!$F$8="Yes",73=Projects!$C$8),Projects!$B$8*Projects!$T$8,0)+IF(AND(Projects!$G$9="Yes",Projects!$F$9="Yes",73=Projects!$C$9),Projects!$B$9*Projects!$T$9,0)+IF(AND(Projects!$G$10="Yes",Projects!$F$10="Yes",73=Projects!$C$10),Projects!$B$10*Projects!$T$10,0)+IF(AND(Projects!$G$11="Yes",Projects!$F$11="Yes",73=Projects!$C$11),Projects!$B$11*Projects!$T$11,0)+IF(AND(Projects!$G$12="Yes",Projects!$F$12="Yes",73=Projects!$C$12),Projects!$B$12*Projects!$T$12,0)+IF(AND(Projects!$G$13="Yes",Projects!$F$13="Yes",73=Projects!$C$13),Projects!$B$13*Projects!$T$13,0)+IF(AND(Projects!$G$14="Yes",Projects!$F$14="Yes",73=Projects!$C$14),Projects!$B$14*Projects!$T$14,0)+IF(AND(Projects!$G$15="Yes",Projects!$F$15="Yes",73=Projects!$C$15),Projects!$B$15*Projects!$T$15,0)+IF(AND(Projects!$G$16="Yes",Projects!$F$16="Yes",73=Projects!$C$16),Projects!$B$16*Projects!$T$16,0)+SUMPRODUCT((Projects!$G$17:$G$46="Yes")*(Projects!$F$17:$F$46="Yes")*(73=Projects!$C$17:$C$46)*Projects!$B$17:$B$46*Projects!$T$17:$T$46),Actuals!BZ15)</f>
        <v/>
      </c>
      <c r="BZ105" s="392">
        <f>IF(ISBLANK(Actuals!CA15),IF(AND(Projects!$G$6="Yes",Projects!$F$6="Yes",74=Projects!$C$6),Projects!$B$6*Projects!$T$6,0)+IF(AND(Projects!$G$7="Yes",Projects!$F$7="Yes",74=Projects!$C$7),Projects!$B$7*Projects!$T$7,0)+IF(AND(Projects!$G$8="Yes",Projects!$F$8="Yes",74=Projects!$C$8),Projects!$B$8*Projects!$T$8,0)+IF(AND(Projects!$G$9="Yes",Projects!$F$9="Yes",74=Projects!$C$9),Projects!$B$9*Projects!$T$9,0)+IF(AND(Projects!$G$10="Yes",Projects!$F$10="Yes",74=Projects!$C$10),Projects!$B$10*Projects!$T$10,0)+IF(AND(Projects!$G$11="Yes",Projects!$F$11="Yes",74=Projects!$C$11),Projects!$B$11*Projects!$T$11,0)+IF(AND(Projects!$G$12="Yes",Projects!$F$12="Yes",74=Projects!$C$12),Projects!$B$12*Projects!$T$12,0)+IF(AND(Projects!$G$13="Yes",Projects!$F$13="Yes",74=Projects!$C$13),Projects!$B$13*Projects!$T$13,0)+IF(AND(Projects!$G$14="Yes",Projects!$F$14="Yes",74=Projects!$C$14),Projects!$B$14*Projects!$T$14,0)+IF(AND(Projects!$G$15="Yes",Projects!$F$15="Yes",74=Projects!$C$15),Projects!$B$15*Projects!$T$15,0)+IF(AND(Projects!$G$16="Yes",Projects!$F$16="Yes",74=Projects!$C$16),Projects!$B$16*Projects!$T$16,0)+SUMPRODUCT((Projects!$G$17:$G$46="Yes")*(Projects!$F$17:$F$46="Yes")*(74=Projects!$C$17:$C$46)*Projects!$B$17:$B$46*Projects!$T$17:$T$46),Actuals!CA15)</f>
        <v/>
      </c>
      <c r="CA105" s="392">
        <f>IF(ISBLANK(Actuals!CB15),IF(AND(Projects!$G$6="Yes",Projects!$F$6="Yes",75=Projects!$C$6),Projects!$B$6*Projects!$T$6,0)+IF(AND(Projects!$G$7="Yes",Projects!$F$7="Yes",75=Projects!$C$7),Projects!$B$7*Projects!$T$7,0)+IF(AND(Projects!$G$8="Yes",Projects!$F$8="Yes",75=Projects!$C$8),Projects!$B$8*Projects!$T$8,0)+IF(AND(Projects!$G$9="Yes",Projects!$F$9="Yes",75=Projects!$C$9),Projects!$B$9*Projects!$T$9,0)+IF(AND(Projects!$G$10="Yes",Projects!$F$10="Yes",75=Projects!$C$10),Projects!$B$10*Projects!$T$10,0)+IF(AND(Projects!$G$11="Yes",Projects!$F$11="Yes",75=Projects!$C$11),Projects!$B$11*Projects!$T$11,0)+IF(AND(Projects!$G$12="Yes",Projects!$F$12="Yes",75=Projects!$C$12),Projects!$B$12*Projects!$T$12,0)+IF(AND(Projects!$G$13="Yes",Projects!$F$13="Yes",75=Projects!$C$13),Projects!$B$13*Projects!$T$13,0)+IF(AND(Projects!$G$14="Yes",Projects!$F$14="Yes",75=Projects!$C$14),Projects!$B$14*Projects!$T$14,0)+IF(AND(Projects!$G$15="Yes",Projects!$F$15="Yes",75=Projects!$C$15),Projects!$B$15*Projects!$T$15,0)+IF(AND(Projects!$G$16="Yes",Projects!$F$16="Yes",75=Projects!$C$16),Projects!$B$16*Projects!$T$16,0)+SUMPRODUCT((Projects!$G$17:$G$46="Yes")*(Projects!$F$17:$F$46="Yes")*(75=Projects!$C$17:$C$46)*Projects!$B$17:$B$46*Projects!$T$17:$T$46),Actuals!CB15)</f>
        <v/>
      </c>
      <c r="CB105" s="392">
        <f>IF(ISBLANK(Actuals!CC15),IF(AND(Projects!$G$6="Yes",Projects!$F$6="Yes",76=Projects!$C$6),Projects!$B$6*Projects!$T$6,0)+IF(AND(Projects!$G$7="Yes",Projects!$F$7="Yes",76=Projects!$C$7),Projects!$B$7*Projects!$T$7,0)+IF(AND(Projects!$G$8="Yes",Projects!$F$8="Yes",76=Projects!$C$8),Projects!$B$8*Projects!$T$8,0)+IF(AND(Projects!$G$9="Yes",Projects!$F$9="Yes",76=Projects!$C$9),Projects!$B$9*Projects!$T$9,0)+IF(AND(Projects!$G$10="Yes",Projects!$F$10="Yes",76=Projects!$C$10),Projects!$B$10*Projects!$T$10,0)+IF(AND(Projects!$G$11="Yes",Projects!$F$11="Yes",76=Projects!$C$11),Projects!$B$11*Projects!$T$11,0)+IF(AND(Projects!$G$12="Yes",Projects!$F$12="Yes",76=Projects!$C$12),Projects!$B$12*Projects!$T$12,0)+IF(AND(Projects!$G$13="Yes",Projects!$F$13="Yes",76=Projects!$C$13),Projects!$B$13*Projects!$T$13,0)+IF(AND(Projects!$G$14="Yes",Projects!$F$14="Yes",76=Projects!$C$14),Projects!$B$14*Projects!$T$14,0)+IF(AND(Projects!$G$15="Yes",Projects!$F$15="Yes",76=Projects!$C$15),Projects!$B$15*Projects!$T$15,0)+IF(AND(Projects!$G$16="Yes",Projects!$F$16="Yes",76=Projects!$C$16),Projects!$B$16*Projects!$T$16,0)+SUMPRODUCT((Projects!$G$17:$G$46="Yes")*(Projects!$F$17:$F$46="Yes")*(76=Projects!$C$17:$C$46)*Projects!$B$17:$B$46*Projects!$T$17:$T$46),Actuals!CC15)</f>
        <v/>
      </c>
      <c r="CC105" s="392">
        <f>IF(ISBLANK(Actuals!CD15),IF(AND(Projects!$G$6="Yes",Projects!$F$6="Yes",77=Projects!$C$6),Projects!$B$6*Projects!$T$6,0)+IF(AND(Projects!$G$7="Yes",Projects!$F$7="Yes",77=Projects!$C$7),Projects!$B$7*Projects!$T$7,0)+IF(AND(Projects!$G$8="Yes",Projects!$F$8="Yes",77=Projects!$C$8),Projects!$B$8*Projects!$T$8,0)+IF(AND(Projects!$G$9="Yes",Projects!$F$9="Yes",77=Projects!$C$9),Projects!$B$9*Projects!$T$9,0)+IF(AND(Projects!$G$10="Yes",Projects!$F$10="Yes",77=Projects!$C$10),Projects!$B$10*Projects!$T$10,0)+IF(AND(Projects!$G$11="Yes",Projects!$F$11="Yes",77=Projects!$C$11),Projects!$B$11*Projects!$T$11,0)+IF(AND(Projects!$G$12="Yes",Projects!$F$12="Yes",77=Projects!$C$12),Projects!$B$12*Projects!$T$12,0)+IF(AND(Projects!$G$13="Yes",Projects!$F$13="Yes",77=Projects!$C$13),Projects!$B$13*Projects!$T$13,0)+IF(AND(Projects!$G$14="Yes",Projects!$F$14="Yes",77=Projects!$C$14),Projects!$B$14*Projects!$T$14,0)+IF(AND(Projects!$G$15="Yes",Projects!$F$15="Yes",77=Projects!$C$15),Projects!$B$15*Projects!$T$15,0)+IF(AND(Projects!$G$16="Yes",Projects!$F$16="Yes",77=Projects!$C$16),Projects!$B$16*Projects!$T$16,0)+SUMPRODUCT((Projects!$G$17:$G$46="Yes")*(Projects!$F$17:$F$46="Yes")*(77=Projects!$C$17:$C$46)*Projects!$B$17:$B$46*Projects!$T$17:$T$46),Actuals!CD15)</f>
        <v/>
      </c>
      <c r="CD105" s="392">
        <f>IF(ISBLANK(Actuals!CE15),IF(AND(Projects!$G$6="Yes",Projects!$F$6="Yes",78=Projects!$C$6),Projects!$B$6*Projects!$T$6,0)+IF(AND(Projects!$G$7="Yes",Projects!$F$7="Yes",78=Projects!$C$7),Projects!$B$7*Projects!$T$7,0)+IF(AND(Projects!$G$8="Yes",Projects!$F$8="Yes",78=Projects!$C$8),Projects!$B$8*Projects!$T$8,0)+IF(AND(Projects!$G$9="Yes",Projects!$F$9="Yes",78=Projects!$C$9),Projects!$B$9*Projects!$T$9,0)+IF(AND(Projects!$G$10="Yes",Projects!$F$10="Yes",78=Projects!$C$10),Projects!$B$10*Projects!$T$10,0)+IF(AND(Projects!$G$11="Yes",Projects!$F$11="Yes",78=Projects!$C$11),Projects!$B$11*Projects!$T$11,0)+IF(AND(Projects!$G$12="Yes",Projects!$F$12="Yes",78=Projects!$C$12),Projects!$B$12*Projects!$T$12,0)+IF(AND(Projects!$G$13="Yes",Projects!$F$13="Yes",78=Projects!$C$13),Projects!$B$13*Projects!$T$13,0)+IF(AND(Projects!$G$14="Yes",Projects!$F$14="Yes",78=Projects!$C$14),Projects!$B$14*Projects!$T$14,0)+IF(AND(Projects!$G$15="Yes",Projects!$F$15="Yes",78=Projects!$C$15),Projects!$B$15*Projects!$T$15,0)+IF(AND(Projects!$G$16="Yes",Projects!$F$16="Yes",78=Projects!$C$16),Projects!$B$16*Projects!$T$16,0)+SUMPRODUCT((Projects!$G$17:$G$46="Yes")*(Projects!$F$17:$F$46="Yes")*(78=Projects!$C$17:$C$46)*Projects!$B$17:$B$46*Projects!$T$17:$T$46),Actuals!CE15)</f>
        <v/>
      </c>
      <c r="CE105" s="392">
        <f>IF(ISBLANK(Actuals!CF15),IF(AND(Projects!$G$6="Yes",Projects!$F$6="Yes",79=Projects!$C$6),Projects!$B$6*Projects!$T$6,0)+IF(AND(Projects!$G$7="Yes",Projects!$F$7="Yes",79=Projects!$C$7),Projects!$B$7*Projects!$T$7,0)+IF(AND(Projects!$G$8="Yes",Projects!$F$8="Yes",79=Projects!$C$8),Projects!$B$8*Projects!$T$8,0)+IF(AND(Projects!$G$9="Yes",Projects!$F$9="Yes",79=Projects!$C$9),Projects!$B$9*Projects!$T$9,0)+IF(AND(Projects!$G$10="Yes",Projects!$F$10="Yes",79=Projects!$C$10),Projects!$B$10*Projects!$T$10,0)+IF(AND(Projects!$G$11="Yes",Projects!$F$11="Yes",79=Projects!$C$11),Projects!$B$11*Projects!$T$11,0)+IF(AND(Projects!$G$12="Yes",Projects!$F$12="Yes",79=Projects!$C$12),Projects!$B$12*Projects!$T$12,0)+IF(AND(Projects!$G$13="Yes",Projects!$F$13="Yes",79=Projects!$C$13),Projects!$B$13*Projects!$T$13,0)+IF(AND(Projects!$G$14="Yes",Projects!$F$14="Yes",79=Projects!$C$14),Projects!$B$14*Projects!$T$14,0)+IF(AND(Projects!$G$15="Yes",Projects!$F$15="Yes",79=Projects!$C$15),Projects!$B$15*Projects!$T$15,0)+IF(AND(Projects!$G$16="Yes",Projects!$F$16="Yes",79=Projects!$C$16),Projects!$B$16*Projects!$T$16,0)+SUMPRODUCT((Projects!$G$17:$G$46="Yes")*(Projects!$F$17:$F$46="Yes")*(79=Projects!$C$17:$C$46)*Projects!$B$17:$B$46*Projects!$T$17:$T$46),Actuals!CF15)</f>
        <v/>
      </c>
      <c r="CF105" s="392">
        <f>IF(ISBLANK(Actuals!CG15),IF(AND(Projects!$G$6="Yes",Projects!$F$6="Yes",80=Projects!$C$6),Projects!$B$6*Projects!$T$6,0)+IF(AND(Projects!$G$7="Yes",Projects!$F$7="Yes",80=Projects!$C$7),Projects!$B$7*Projects!$T$7,0)+IF(AND(Projects!$G$8="Yes",Projects!$F$8="Yes",80=Projects!$C$8),Projects!$B$8*Projects!$T$8,0)+IF(AND(Projects!$G$9="Yes",Projects!$F$9="Yes",80=Projects!$C$9),Projects!$B$9*Projects!$T$9,0)+IF(AND(Projects!$G$10="Yes",Projects!$F$10="Yes",80=Projects!$C$10),Projects!$B$10*Projects!$T$10,0)+IF(AND(Projects!$G$11="Yes",Projects!$F$11="Yes",80=Projects!$C$11),Projects!$B$11*Projects!$T$11,0)+IF(AND(Projects!$G$12="Yes",Projects!$F$12="Yes",80=Projects!$C$12),Projects!$B$12*Projects!$T$12,0)+IF(AND(Projects!$G$13="Yes",Projects!$F$13="Yes",80=Projects!$C$13),Projects!$B$13*Projects!$T$13,0)+IF(AND(Projects!$G$14="Yes",Projects!$F$14="Yes",80=Projects!$C$14),Projects!$B$14*Projects!$T$14,0)+IF(AND(Projects!$G$15="Yes",Projects!$F$15="Yes",80=Projects!$C$15),Projects!$B$15*Projects!$T$15,0)+IF(AND(Projects!$G$16="Yes",Projects!$F$16="Yes",80=Projects!$C$16),Projects!$B$16*Projects!$T$16,0)+SUMPRODUCT((Projects!$G$17:$G$46="Yes")*(Projects!$F$17:$F$46="Yes")*(80=Projects!$C$17:$C$46)*Projects!$B$17:$B$46*Projects!$T$17:$T$46),Actuals!CG15)</f>
        <v/>
      </c>
      <c r="CG105" s="392">
        <f>IF(ISBLANK(Actuals!CH15),IF(AND(Projects!$G$6="Yes",Projects!$F$6="Yes",81=Projects!$C$6),Projects!$B$6*Projects!$T$6,0)+IF(AND(Projects!$G$7="Yes",Projects!$F$7="Yes",81=Projects!$C$7),Projects!$B$7*Projects!$T$7,0)+IF(AND(Projects!$G$8="Yes",Projects!$F$8="Yes",81=Projects!$C$8),Projects!$B$8*Projects!$T$8,0)+IF(AND(Projects!$G$9="Yes",Projects!$F$9="Yes",81=Projects!$C$9),Projects!$B$9*Projects!$T$9,0)+IF(AND(Projects!$G$10="Yes",Projects!$F$10="Yes",81=Projects!$C$10),Projects!$B$10*Projects!$T$10,0)+IF(AND(Projects!$G$11="Yes",Projects!$F$11="Yes",81=Projects!$C$11),Projects!$B$11*Projects!$T$11,0)+IF(AND(Projects!$G$12="Yes",Projects!$F$12="Yes",81=Projects!$C$12),Projects!$B$12*Projects!$T$12,0)+IF(AND(Projects!$G$13="Yes",Projects!$F$13="Yes",81=Projects!$C$13),Projects!$B$13*Projects!$T$13,0)+IF(AND(Projects!$G$14="Yes",Projects!$F$14="Yes",81=Projects!$C$14),Projects!$B$14*Projects!$T$14,0)+IF(AND(Projects!$G$15="Yes",Projects!$F$15="Yes",81=Projects!$C$15),Projects!$B$15*Projects!$T$15,0)+IF(AND(Projects!$G$16="Yes",Projects!$F$16="Yes",81=Projects!$C$16),Projects!$B$16*Projects!$T$16,0)+SUMPRODUCT((Projects!$G$17:$G$46="Yes")*(Projects!$F$17:$F$46="Yes")*(81=Projects!$C$17:$C$46)*Projects!$B$17:$B$46*Projects!$T$17:$T$46),Actuals!CH15)</f>
        <v/>
      </c>
      <c r="CH105" s="392">
        <f>IF(ISBLANK(Actuals!CI15),IF(AND(Projects!$G$6="Yes",Projects!$F$6="Yes",82=Projects!$C$6),Projects!$B$6*Projects!$T$6,0)+IF(AND(Projects!$G$7="Yes",Projects!$F$7="Yes",82=Projects!$C$7),Projects!$B$7*Projects!$T$7,0)+IF(AND(Projects!$G$8="Yes",Projects!$F$8="Yes",82=Projects!$C$8),Projects!$B$8*Projects!$T$8,0)+IF(AND(Projects!$G$9="Yes",Projects!$F$9="Yes",82=Projects!$C$9),Projects!$B$9*Projects!$T$9,0)+IF(AND(Projects!$G$10="Yes",Projects!$F$10="Yes",82=Projects!$C$10),Projects!$B$10*Projects!$T$10,0)+IF(AND(Projects!$G$11="Yes",Projects!$F$11="Yes",82=Projects!$C$11),Projects!$B$11*Projects!$T$11,0)+IF(AND(Projects!$G$12="Yes",Projects!$F$12="Yes",82=Projects!$C$12),Projects!$B$12*Projects!$T$12,0)+IF(AND(Projects!$G$13="Yes",Projects!$F$13="Yes",82=Projects!$C$13),Projects!$B$13*Projects!$T$13,0)+IF(AND(Projects!$G$14="Yes",Projects!$F$14="Yes",82=Projects!$C$14),Projects!$B$14*Projects!$T$14,0)+IF(AND(Projects!$G$15="Yes",Projects!$F$15="Yes",82=Projects!$C$15),Projects!$B$15*Projects!$T$15,0)+IF(AND(Projects!$G$16="Yes",Projects!$F$16="Yes",82=Projects!$C$16),Projects!$B$16*Projects!$T$16,0)+SUMPRODUCT((Projects!$G$17:$G$46="Yes")*(Projects!$F$17:$F$46="Yes")*(82=Projects!$C$17:$C$46)*Projects!$B$17:$B$46*Projects!$T$17:$T$46),Actuals!CI15)</f>
        <v/>
      </c>
      <c r="CI105" s="392">
        <f>IF(ISBLANK(Actuals!CJ15),IF(AND(Projects!$G$6="Yes",Projects!$F$6="Yes",83=Projects!$C$6),Projects!$B$6*Projects!$T$6,0)+IF(AND(Projects!$G$7="Yes",Projects!$F$7="Yes",83=Projects!$C$7),Projects!$B$7*Projects!$T$7,0)+IF(AND(Projects!$G$8="Yes",Projects!$F$8="Yes",83=Projects!$C$8),Projects!$B$8*Projects!$T$8,0)+IF(AND(Projects!$G$9="Yes",Projects!$F$9="Yes",83=Projects!$C$9),Projects!$B$9*Projects!$T$9,0)+IF(AND(Projects!$G$10="Yes",Projects!$F$10="Yes",83=Projects!$C$10),Projects!$B$10*Projects!$T$10,0)+IF(AND(Projects!$G$11="Yes",Projects!$F$11="Yes",83=Projects!$C$11),Projects!$B$11*Projects!$T$11,0)+IF(AND(Projects!$G$12="Yes",Projects!$F$12="Yes",83=Projects!$C$12),Projects!$B$12*Projects!$T$12,0)+IF(AND(Projects!$G$13="Yes",Projects!$F$13="Yes",83=Projects!$C$13),Projects!$B$13*Projects!$T$13,0)+IF(AND(Projects!$G$14="Yes",Projects!$F$14="Yes",83=Projects!$C$14),Projects!$B$14*Projects!$T$14,0)+IF(AND(Projects!$G$15="Yes",Projects!$F$15="Yes",83=Projects!$C$15),Projects!$B$15*Projects!$T$15,0)+IF(AND(Projects!$G$16="Yes",Projects!$F$16="Yes",83=Projects!$C$16),Projects!$B$16*Projects!$T$16,0)+SUMPRODUCT((Projects!$G$17:$G$46="Yes")*(Projects!$F$17:$F$46="Yes")*(83=Projects!$C$17:$C$46)*Projects!$B$17:$B$46*Projects!$T$17:$T$46),Actuals!CJ15)</f>
        <v/>
      </c>
      <c r="CJ105" s="392">
        <f>IF(ISBLANK(Actuals!CK15),IF(AND(Projects!$G$6="Yes",Projects!$F$6="Yes",84=Projects!$C$6),Projects!$B$6*Projects!$T$6,0)+IF(AND(Projects!$G$7="Yes",Projects!$F$7="Yes",84=Projects!$C$7),Projects!$B$7*Projects!$T$7,0)+IF(AND(Projects!$G$8="Yes",Projects!$F$8="Yes",84=Projects!$C$8),Projects!$B$8*Projects!$T$8,0)+IF(AND(Projects!$G$9="Yes",Projects!$F$9="Yes",84=Projects!$C$9),Projects!$B$9*Projects!$T$9,0)+IF(AND(Projects!$G$10="Yes",Projects!$F$10="Yes",84=Projects!$C$10),Projects!$B$10*Projects!$T$10,0)+IF(AND(Projects!$G$11="Yes",Projects!$F$11="Yes",84=Projects!$C$11),Projects!$B$11*Projects!$T$11,0)+IF(AND(Projects!$G$12="Yes",Projects!$F$12="Yes",84=Projects!$C$12),Projects!$B$12*Projects!$T$12,0)+IF(AND(Projects!$G$13="Yes",Projects!$F$13="Yes",84=Projects!$C$13),Projects!$B$13*Projects!$T$13,0)+IF(AND(Projects!$G$14="Yes",Projects!$F$14="Yes",84=Projects!$C$14),Projects!$B$14*Projects!$T$14,0)+IF(AND(Projects!$G$15="Yes",Projects!$F$15="Yes",84=Projects!$C$15),Projects!$B$15*Projects!$T$15,0)+IF(AND(Projects!$G$16="Yes",Projects!$F$16="Yes",84=Projects!$C$16),Projects!$B$16*Projects!$T$16,0)+SUMPRODUCT((Projects!$G$17:$G$46="Yes")*(Projects!$F$17:$F$46="Yes")*(84=Projects!$C$17:$C$46)*Projects!$B$17:$B$46*Projects!$T$17:$T$46),Actuals!CK15)</f>
        <v/>
      </c>
      <c r="CK105" s="392">
        <f>IF(ISBLANK(Actuals!CL15),IF(AND(Projects!$G$6="Yes",Projects!$F$6="Yes",85=Projects!$C$6),Projects!$B$6*Projects!$T$6,0)+IF(AND(Projects!$G$7="Yes",Projects!$F$7="Yes",85=Projects!$C$7),Projects!$B$7*Projects!$T$7,0)+IF(AND(Projects!$G$8="Yes",Projects!$F$8="Yes",85=Projects!$C$8),Projects!$B$8*Projects!$T$8,0)+IF(AND(Projects!$G$9="Yes",Projects!$F$9="Yes",85=Projects!$C$9),Projects!$B$9*Projects!$T$9,0)+IF(AND(Projects!$G$10="Yes",Projects!$F$10="Yes",85=Projects!$C$10),Projects!$B$10*Projects!$T$10,0)+IF(AND(Projects!$G$11="Yes",Projects!$F$11="Yes",85=Projects!$C$11),Projects!$B$11*Projects!$T$11,0)+IF(AND(Projects!$G$12="Yes",Projects!$F$12="Yes",85=Projects!$C$12),Projects!$B$12*Projects!$T$12,0)+IF(AND(Projects!$G$13="Yes",Projects!$F$13="Yes",85=Projects!$C$13),Projects!$B$13*Projects!$T$13,0)+IF(AND(Projects!$G$14="Yes",Projects!$F$14="Yes",85=Projects!$C$14),Projects!$B$14*Projects!$T$14,0)+IF(AND(Projects!$G$15="Yes",Projects!$F$15="Yes",85=Projects!$C$15),Projects!$B$15*Projects!$T$15,0)+IF(AND(Projects!$G$16="Yes",Projects!$F$16="Yes",85=Projects!$C$16),Projects!$B$16*Projects!$T$16,0)+SUMPRODUCT((Projects!$G$17:$G$46="Yes")*(Projects!$F$17:$F$46="Yes")*(85=Projects!$C$17:$C$46)*Projects!$B$17:$B$46*Projects!$T$17:$T$46),Actuals!CL15)</f>
        <v/>
      </c>
      <c r="CL105" s="392">
        <f>IF(ISBLANK(Actuals!CM15),IF(AND(Projects!$G$6="Yes",Projects!$F$6="Yes",86=Projects!$C$6),Projects!$B$6*Projects!$T$6,0)+IF(AND(Projects!$G$7="Yes",Projects!$F$7="Yes",86=Projects!$C$7),Projects!$B$7*Projects!$T$7,0)+IF(AND(Projects!$G$8="Yes",Projects!$F$8="Yes",86=Projects!$C$8),Projects!$B$8*Projects!$T$8,0)+IF(AND(Projects!$G$9="Yes",Projects!$F$9="Yes",86=Projects!$C$9),Projects!$B$9*Projects!$T$9,0)+IF(AND(Projects!$G$10="Yes",Projects!$F$10="Yes",86=Projects!$C$10),Projects!$B$10*Projects!$T$10,0)+IF(AND(Projects!$G$11="Yes",Projects!$F$11="Yes",86=Projects!$C$11),Projects!$B$11*Projects!$T$11,0)+IF(AND(Projects!$G$12="Yes",Projects!$F$12="Yes",86=Projects!$C$12),Projects!$B$12*Projects!$T$12,0)+IF(AND(Projects!$G$13="Yes",Projects!$F$13="Yes",86=Projects!$C$13),Projects!$B$13*Projects!$T$13,0)+IF(AND(Projects!$G$14="Yes",Projects!$F$14="Yes",86=Projects!$C$14),Projects!$B$14*Projects!$T$14,0)+IF(AND(Projects!$G$15="Yes",Projects!$F$15="Yes",86=Projects!$C$15),Projects!$B$15*Projects!$T$15,0)+IF(AND(Projects!$G$16="Yes",Projects!$F$16="Yes",86=Projects!$C$16),Projects!$B$16*Projects!$T$16,0)+SUMPRODUCT((Projects!$G$17:$G$46="Yes")*(Projects!$F$17:$F$46="Yes")*(86=Projects!$C$17:$C$46)*Projects!$B$17:$B$46*Projects!$T$17:$T$46),Actuals!CM15)</f>
        <v/>
      </c>
      <c r="CM105" s="392">
        <f>IF(ISBLANK(Actuals!CN15),IF(AND(Projects!$G$6="Yes",Projects!$F$6="Yes",87=Projects!$C$6),Projects!$B$6*Projects!$T$6,0)+IF(AND(Projects!$G$7="Yes",Projects!$F$7="Yes",87=Projects!$C$7),Projects!$B$7*Projects!$T$7,0)+IF(AND(Projects!$G$8="Yes",Projects!$F$8="Yes",87=Projects!$C$8),Projects!$B$8*Projects!$T$8,0)+IF(AND(Projects!$G$9="Yes",Projects!$F$9="Yes",87=Projects!$C$9),Projects!$B$9*Projects!$T$9,0)+IF(AND(Projects!$G$10="Yes",Projects!$F$10="Yes",87=Projects!$C$10),Projects!$B$10*Projects!$T$10,0)+IF(AND(Projects!$G$11="Yes",Projects!$F$11="Yes",87=Projects!$C$11),Projects!$B$11*Projects!$T$11,0)+IF(AND(Projects!$G$12="Yes",Projects!$F$12="Yes",87=Projects!$C$12),Projects!$B$12*Projects!$T$12,0)+IF(AND(Projects!$G$13="Yes",Projects!$F$13="Yes",87=Projects!$C$13),Projects!$B$13*Projects!$T$13,0)+IF(AND(Projects!$G$14="Yes",Projects!$F$14="Yes",87=Projects!$C$14),Projects!$B$14*Projects!$T$14,0)+IF(AND(Projects!$G$15="Yes",Projects!$F$15="Yes",87=Projects!$C$15),Projects!$B$15*Projects!$T$15,0)+IF(AND(Projects!$G$16="Yes",Projects!$F$16="Yes",87=Projects!$C$16),Projects!$B$16*Projects!$T$16,0)+SUMPRODUCT((Projects!$G$17:$G$46="Yes")*(Projects!$F$17:$F$46="Yes")*(87=Projects!$C$17:$C$46)*Projects!$B$17:$B$46*Projects!$T$17:$T$46),Actuals!CN15)</f>
        <v/>
      </c>
      <c r="CN105" s="392">
        <f>IF(ISBLANK(Actuals!CO15),IF(AND(Projects!$G$6="Yes",Projects!$F$6="Yes",88=Projects!$C$6),Projects!$B$6*Projects!$T$6,0)+IF(AND(Projects!$G$7="Yes",Projects!$F$7="Yes",88=Projects!$C$7),Projects!$B$7*Projects!$T$7,0)+IF(AND(Projects!$G$8="Yes",Projects!$F$8="Yes",88=Projects!$C$8),Projects!$B$8*Projects!$T$8,0)+IF(AND(Projects!$G$9="Yes",Projects!$F$9="Yes",88=Projects!$C$9),Projects!$B$9*Projects!$T$9,0)+IF(AND(Projects!$G$10="Yes",Projects!$F$10="Yes",88=Projects!$C$10),Projects!$B$10*Projects!$T$10,0)+IF(AND(Projects!$G$11="Yes",Projects!$F$11="Yes",88=Projects!$C$11),Projects!$B$11*Projects!$T$11,0)+IF(AND(Projects!$G$12="Yes",Projects!$F$12="Yes",88=Projects!$C$12),Projects!$B$12*Projects!$T$12,0)+IF(AND(Projects!$G$13="Yes",Projects!$F$13="Yes",88=Projects!$C$13),Projects!$B$13*Projects!$T$13,0)+IF(AND(Projects!$G$14="Yes",Projects!$F$14="Yes",88=Projects!$C$14),Projects!$B$14*Projects!$T$14,0)+IF(AND(Projects!$G$15="Yes",Projects!$F$15="Yes",88=Projects!$C$15),Projects!$B$15*Projects!$T$15,0)+IF(AND(Projects!$G$16="Yes",Projects!$F$16="Yes",88=Projects!$C$16),Projects!$B$16*Projects!$T$16,0)+SUMPRODUCT((Projects!$G$17:$G$46="Yes")*(Projects!$F$17:$F$46="Yes")*(88=Projects!$C$17:$C$46)*Projects!$B$17:$B$46*Projects!$T$17:$T$46),Actuals!CO15)</f>
        <v/>
      </c>
      <c r="CO105" s="392">
        <f>IF(ISBLANK(Actuals!CP15),IF(AND(Projects!$G$6="Yes",Projects!$F$6="Yes",89=Projects!$C$6),Projects!$B$6*Projects!$T$6,0)+IF(AND(Projects!$G$7="Yes",Projects!$F$7="Yes",89=Projects!$C$7),Projects!$B$7*Projects!$T$7,0)+IF(AND(Projects!$G$8="Yes",Projects!$F$8="Yes",89=Projects!$C$8),Projects!$B$8*Projects!$T$8,0)+IF(AND(Projects!$G$9="Yes",Projects!$F$9="Yes",89=Projects!$C$9),Projects!$B$9*Projects!$T$9,0)+IF(AND(Projects!$G$10="Yes",Projects!$F$10="Yes",89=Projects!$C$10),Projects!$B$10*Projects!$T$10,0)+IF(AND(Projects!$G$11="Yes",Projects!$F$11="Yes",89=Projects!$C$11),Projects!$B$11*Projects!$T$11,0)+IF(AND(Projects!$G$12="Yes",Projects!$F$12="Yes",89=Projects!$C$12),Projects!$B$12*Projects!$T$12,0)+IF(AND(Projects!$G$13="Yes",Projects!$F$13="Yes",89=Projects!$C$13),Projects!$B$13*Projects!$T$13,0)+IF(AND(Projects!$G$14="Yes",Projects!$F$14="Yes",89=Projects!$C$14),Projects!$B$14*Projects!$T$14,0)+IF(AND(Projects!$G$15="Yes",Projects!$F$15="Yes",89=Projects!$C$15),Projects!$B$15*Projects!$T$15,0)+IF(AND(Projects!$G$16="Yes",Projects!$F$16="Yes",89=Projects!$C$16),Projects!$B$16*Projects!$T$16,0)+SUMPRODUCT((Projects!$G$17:$G$46="Yes")*(Projects!$F$17:$F$46="Yes")*(89=Projects!$C$17:$C$46)*Projects!$B$17:$B$46*Projects!$T$17:$T$46),Actuals!CP15)</f>
        <v/>
      </c>
      <c r="CP105" s="392">
        <f>IF(ISBLANK(Actuals!CQ15),IF(AND(Projects!$G$6="Yes",Projects!$F$6="Yes",90=Projects!$C$6),Projects!$B$6*Projects!$T$6,0)+IF(AND(Projects!$G$7="Yes",Projects!$F$7="Yes",90=Projects!$C$7),Projects!$B$7*Projects!$T$7,0)+IF(AND(Projects!$G$8="Yes",Projects!$F$8="Yes",90=Projects!$C$8),Projects!$B$8*Projects!$T$8,0)+IF(AND(Projects!$G$9="Yes",Projects!$F$9="Yes",90=Projects!$C$9),Projects!$B$9*Projects!$T$9,0)+IF(AND(Projects!$G$10="Yes",Projects!$F$10="Yes",90=Projects!$C$10),Projects!$B$10*Projects!$T$10,0)+IF(AND(Projects!$G$11="Yes",Projects!$F$11="Yes",90=Projects!$C$11),Projects!$B$11*Projects!$T$11,0)+IF(AND(Projects!$G$12="Yes",Projects!$F$12="Yes",90=Projects!$C$12),Projects!$B$12*Projects!$T$12,0)+IF(AND(Projects!$G$13="Yes",Projects!$F$13="Yes",90=Projects!$C$13),Projects!$B$13*Projects!$T$13,0)+IF(AND(Projects!$G$14="Yes",Projects!$F$14="Yes",90=Projects!$C$14),Projects!$B$14*Projects!$T$14,0)+IF(AND(Projects!$G$15="Yes",Projects!$F$15="Yes",90=Projects!$C$15),Projects!$B$15*Projects!$T$15,0)+IF(AND(Projects!$G$16="Yes",Projects!$F$16="Yes",90=Projects!$C$16),Projects!$B$16*Projects!$T$16,0)+SUMPRODUCT((Projects!$G$17:$G$46="Yes")*(Projects!$F$17:$F$46="Yes")*(90=Projects!$C$17:$C$46)*Projects!$B$17:$B$46*Projects!$T$17:$T$46),Actuals!CQ15)</f>
        <v/>
      </c>
      <c r="CQ105" s="392">
        <f>IF(ISBLANK(Actuals!CR15),IF(AND(Projects!$G$6="Yes",Projects!$F$6="Yes",91=Projects!$C$6),Projects!$B$6*Projects!$T$6,0)+IF(AND(Projects!$G$7="Yes",Projects!$F$7="Yes",91=Projects!$C$7),Projects!$B$7*Projects!$T$7,0)+IF(AND(Projects!$G$8="Yes",Projects!$F$8="Yes",91=Projects!$C$8),Projects!$B$8*Projects!$T$8,0)+IF(AND(Projects!$G$9="Yes",Projects!$F$9="Yes",91=Projects!$C$9),Projects!$B$9*Projects!$T$9,0)+IF(AND(Projects!$G$10="Yes",Projects!$F$10="Yes",91=Projects!$C$10),Projects!$B$10*Projects!$T$10,0)+IF(AND(Projects!$G$11="Yes",Projects!$F$11="Yes",91=Projects!$C$11),Projects!$B$11*Projects!$T$11,0)+IF(AND(Projects!$G$12="Yes",Projects!$F$12="Yes",91=Projects!$C$12),Projects!$B$12*Projects!$T$12,0)+IF(AND(Projects!$G$13="Yes",Projects!$F$13="Yes",91=Projects!$C$13),Projects!$B$13*Projects!$T$13,0)+IF(AND(Projects!$G$14="Yes",Projects!$F$14="Yes",91=Projects!$C$14),Projects!$B$14*Projects!$T$14,0)+IF(AND(Projects!$G$15="Yes",Projects!$F$15="Yes",91=Projects!$C$15),Projects!$B$15*Projects!$T$15,0)+IF(AND(Projects!$G$16="Yes",Projects!$F$16="Yes",91=Projects!$C$16),Projects!$B$16*Projects!$T$16,0)+SUMPRODUCT((Projects!$G$17:$G$46="Yes")*(Projects!$F$17:$F$46="Yes")*(91=Projects!$C$17:$C$46)*Projects!$B$17:$B$46*Projects!$T$17:$T$46),Actuals!CR15)</f>
        <v/>
      </c>
      <c r="CR105" s="392">
        <f>IF(ISBLANK(Actuals!CS15),IF(AND(Projects!$G$6="Yes",Projects!$F$6="Yes",92=Projects!$C$6),Projects!$B$6*Projects!$T$6,0)+IF(AND(Projects!$G$7="Yes",Projects!$F$7="Yes",92=Projects!$C$7),Projects!$B$7*Projects!$T$7,0)+IF(AND(Projects!$G$8="Yes",Projects!$F$8="Yes",92=Projects!$C$8),Projects!$B$8*Projects!$T$8,0)+IF(AND(Projects!$G$9="Yes",Projects!$F$9="Yes",92=Projects!$C$9),Projects!$B$9*Projects!$T$9,0)+IF(AND(Projects!$G$10="Yes",Projects!$F$10="Yes",92=Projects!$C$10),Projects!$B$10*Projects!$T$10,0)+IF(AND(Projects!$G$11="Yes",Projects!$F$11="Yes",92=Projects!$C$11),Projects!$B$11*Projects!$T$11,0)+IF(AND(Projects!$G$12="Yes",Projects!$F$12="Yes",92=Projects!$C$12),Projects!$B$12*Projects!$T$12,0)+IF(AND(Projects!$G$13="Yes",Projects!$F$13="Yes",92=Projects!$C$13),Projects!$B$13*Projects!$T$13,0)+IF(AND(Projects!$G$14="Yes",Projects!$F$14="Yes",92=Projects!$C$14),Projects!$B$14*Projects!$T$14,0)+IF(AND(Projects!$G$15="Yes",Projects!$F$15="Yes",92=Projects!$C$15),Projects!$B$15*Projects!$T$15,0)+IF(AND(Projects!$G$16="Yes",Projects!$F$16="Yes",92=Projects!$C$16),Projects!$B$16*Projects!$T$16,0)+SUMPRODUCT((Projects!$G$17:$G$46="Yes")*(Projects!$F$17:$F$46="Yes")*(92=Projects!$C$17:$C$46)*Projects!$B$17:$B$46*Projects!$T$17:$T$46),Actuals!CS15)</f>
        <v/>
      </c>
      <c r="CS105" s="392">
        <f>IF(ISBLANK(Actuals!CT15),IF(AND(Projects!$G$6="Yes",Projects!$F$6="Yes",93=Projects!$C$6),Projects!$B$6*Projects!$T$6,0)+IF(AND(Projects!$G$7="Yes",Projects!$F$7="Yes",93=Projects!$C$7),Projects!$B$7*Projects!$T$7,0)+IF(AND(Projects!$G$8="Yes",Projects!$F$8="Yes",93=Projects!$C$8),Projects!$B$8*Projects!$T$8,0)+IF(AND(Projects!$G$9="Yes",Projects!$F$9="Yes",93=Projects!$C$9),Projects!$B$9*Projects!$T$9,0)+IF(AND(Projects!$G$10="Yes",Projects!$F$10="Yes",93=Projects!$C$10),Projects!$B$10*Projects!$T$10,0)+IF(AND(Projects!$G$11="Yes",Projects!$F$11="Yes",93=Projects!$C$11),Projects!$B$11*Projects!$T$11,0)+IF(AND(Projects!$G$12="Yes",Projects!$F$12="Yes",93=Projects!$C$12),Projects!$B$12*Projects!$T$12,0)+IF(AND(Projects!$G$13="Yes",Projects!$F$13="Yes",93=Projects!$C$13),Projects!$B$13*Projects!$T$13,0)+IF(AND(Projects!$G$14="Yes",Projects!$F$14="Yes",93=Projects!$C$14),Projects!$B$14*Projects!$T$14,0)+IF(AND(Projects!$G$15="Yes",Projects!$F$15="Yes",93=Projects!$C$15),Projects!$B$15*Projects!$T$15,0)+IF(AND(Projects!$G$16="Yes",Projects!$F$16="Yes",93=Projects!$C$16),Projects!$B$16*Projects!$T$16,0)+SUMPRODUCT((Projects!$G$17:$G$46="Yes")*(Projects!$F$17:$F$46="Yes")*(93=Projects!$C$17:$C$46)*Projects!$B$17:$B$46*Projects!$T$17:$T$46),Actuals!CT15)</f>
        <v/>
      </c>
      <c r="CT105" s="392">
        <f>IF(ISBLANK(Actuals!CU15),IF(AND(Projects!$G$6="Yes",Projects!$F$6="Yes",94=Projects!$C$6),Projects!$B$6*Projects!$T$6,0)+IF(AND(Projects!$G$7="Yes",Projects!$F$7="Yes",94=Projects!$C$7),Projects!$B$7*Projects!$T$7,0)+IF(AND(Projects!$G$8="Yes",Projects!$F$8="Yes",94=Projects!$C$8),Projects!$B$8*Projects!$T$8,0)+IF(AND(Projects!$G$9="Yes",Projects!$F$9="Yes",94=Projects!$C$9),Projects!$B$9*Projects!$T$9,0)+IF(AND(Projects!$G$10="Yes",Projects!$F$10="Yes",94=Projects!$C$10),Projects!$B$10*Projects!$T$10,0)+IF(AND(Projects!$G$11="Yes",Projects!$F$11="Yes",94=Projects!$C$11),Projects!$B$11*Projects!$T$11,0)+IF(AND(Projects!$G$12="Yes",Projects!$F$12="Yes",94=Projects!$C$12),Projects!$B$12*Projects!$T$12,0)+IF(AND(Projects!$G$13="Yes",Projects!$F$13="Yes",94=Projects!$C$13),Projects!$B$13*Projects!$T$13,0)+IF(AND(Projects!$G$14="Yes",Projects!$F$14="Yes",94=Projects!$C$14),Projects!$B$14*Projects!$T$14,0)+IF(AND(Projects!$G$15="Yes",Projects!$F$15="Yes",94=Projects!$C$15),Projects!$B$15*Projects!$T$15,0)+IF(AND(Projects!$G$16="Yes",Projects!$F$16="Yes",94=Projects!$C$16),Projects!$B$16*Projects!$T$16,0)+SUMPRODUCT((Projects!$G$17:$G$46="Yes")*(Projects!$F$17:$F$46="Yes")*(94=Projects!$C$17:$C$46)*Projects!$B$17:$B$46*Projects!$T$17:$T$46),Actuals!CU15)</f>
        <v/>
      </c>
      <c r="CU105" s="392">
        <f>IF(ISBLANK(Actuals!CV15),IF(AND(Projects!$G$6="Yes",Projects!$F$6="Yes",95=Projects!$C$6),Projects!$B$6*Projects!$T$6,0)+IF(AND(Projects!$G$7="Yes",Projects!$F$7="Yes",95=Projects!$C$7),Projects!$B$7*Projects!$T$7,0)+IF(AND(Projects!$G$8="Yes",Projects!$F$8="Yes",95=Projects!$C$8),Projects!$B$8*Projects!$T$8,0)+IF(AND(Projects!$G$9="Yes",Projects!$F$9="Yes",95=Projects!$C$9),Projects!$B$9*Projects!$T$9,0)+IF(AND(Projects!$G$10="Yes",Projects!$F$10="Yes",95=Projects!$C$10),Projects!$B$10*Projects!$T$10,0)+IF(AND(Projects!$G$11="Yes",Projects!$F$11="Yes",95=Projects!$C$11),Projects!$B$11*Projects!$T$11,0)+IF(AND(Projects!$G$12="Yes",Projects!$F$12="Yes",95=Projects!$C$12),Projects!$B$12*Projects!$T$12,0)+IF(AND(Projects!$G$13="Yes",Projects!$F$13="Yes",95=Projects!$C$13),Projects!$B$13*Projects!$T$13,0)+IF(AND(Projects!$G$14="Yes",Projects!$F$14="Yes",95=Projects!$C$14),Projects!$B$14*Projects!$T$14,0)+IF(AND(Projects!$G$15="Yes",Projects!$F$15="Yes",95=Projects!$C$15),Projects!$B$15*Projects!$T$15,0)+IF(AND(Projects!$G$16="Yes",Projects!$F$16="Yes",95=Projects!$C$16),Projects!$B$16*Projects!$T$16,0)+SUMPRODUCT((Projects!$G$17:$G$46="Yes")*(Projects!$F$17:$F$46="Yes")*(95=Projects!$C$17:$C$46)*Projects!$B$17:$B$46*Projects!$T$17:$T$46),Actuals!CV15)</f>
        <v/>
      </c>
      <c r="CV105" s="392">
        <f>IF(ISBLANK(Actuals!CW15),IF(AND(Projects!$G$6="Yes",Projects!$F$6="Yes",96=Projects!$C$6),Projects!$B$6*Projects!$T$6,0)+IF(AND(Projects!$G$7="Yes",Projects!$F$7="Yes",96=Projects!$C$7),Projects!$B$7*Projects!$T$7,0)+IF(AND(Projects!$G$8="Yes",Projects!$F$8="Yes",96=Projects!$C$8),Projects!$B$8*Projects!$T$8,0)+IF(AND(Projects!$G$9="Yes",Projects!$F$9="Yes",96=Projects!$C$9),Projects!$B$9*Projects!$T$9,0)+IF(AND(Projects!$G$10="Yes",Projects!$F$10="Yes",96=Projects!$C$10),Projects!$B$10*Projects!$T$10,0)+IF(AND(Projects!$G$11="Yes",Projects!$F$11="Yes",96=Projects!$C$11),Projects!$B$11*Projects!$T$11,0)+IF(AND(Projects!$G$12="Yes",Projects!$F$12="Yes",96=Projects!$C$12),Projects!$B$12*Projects!$T$12,0)+IF(AND(Projects!$G$13="Yes",Projects!$F$13="Yes",96=Projects!$C$13),Projects!$B$13*Projects!$T$13,0)+IF(AND(Projects!$G$14="Yes",Projects!$F$14="Yes",96=Projects!$C$14),Projects!$B$14*Projects!$T$14,0)+IF(AND(Projects!$G$15="Yes",Projects!$F$15="Yes",96=Projects!$C$15),Projects!$B$15*Projects!$T$15,0)+IF(AND(Projects!$G$16="Yes",Projects!$F$16="Yes",96=Projects!$C$16),Projects!$B$16*Projects!$T$16,0)+SUMPRODUCT((Projects!$G$17:$G$46="Yes")*(Projects!$F$17:$F$46="Yes")*(96=Projects!$C$17:$C$46)*Projects!$B$17:$B$46*Projects!$T$17:$T$46),Actuals!CW15)</f>
        <v/>
      </c>
      <c r="CW105" s="392">
        <f>IF(ISBLANK(Actuals!CX15),IF(AND(Projects!$G$6="Yes",Projects!$F$6="Yes",97=Projects!$C$6),Projects!$B$6*Projects!$T$6,0)+IF(AND(Projects!$G$7="Yes",Projects!$F$7="Yes",97=Projects!$C$7),Projects!$B$7*Projects!$T$7,0)+IF(AND(Projects!$G$8="Yes",Projects!$F$8="Yes",97=Projects!$C$8),Projects!$B$8*Projects!$T$8,0)+IF(AND(Projects!$G$9="Yes",Projects!$F$9="Yes",97=Projects!$C$9),Projects!$B$9*Projects!$T$9,0)+IF(AND(Projects!$G$10="Yes",Projects!$F$10="Yes",97=Projects!$C$10),Projects!$B$10*Projects!$T$10,0)+IF(AND(Projects!$G$11="Yes",Projects!$F$11="Yes",97=Projects!$C$11),Projects!$B$11*Projects!$T$11,0)+IF(AND(Projects!$G$12="Yes",Projects!$F$12="Yes",97=Projects!$C$12),Projects!$B$12*Projects!$T$12,0)+IF(AND(Projects!$G$13="Yes",Projects!$F$13="Yes",97=Projects!$C$13),Projects!$B$13*Projects!$T$13,0)+IF(AND(Projects!$G$14="Yes",Projects!$F$14="Yes",97=Projects!$C$14),Projects!$B$14*Projects!$T$14,0)+IF(AND(Projects!$G$15="Yes",Projects!$F$15="Yes",97=Projects!$C$15),Projects!$B$15*Projects!$T$15,0)+IF(AND(Projects!$G$16="Yes",Projects!$F$16="Yes",97=Projects!$C$16),Projects!$B$16*Projects!$T$16,0)+SUMPRODUCT((Projects!$G$17:$G$46="Yes")*(Projects!$F$17:$F$46="Yes")*(97=Projects!$C$17:$C$46)*Projects!$B$17:$B$46*Projects!$T$17:$T$46),Actuals!CX15)</f>
        <v/>
      </c>
      <c r="CX105" s="392">
        <f>IF(ISBLANK(Actuals!CY15),IF(AND(Projects!$G$6="Yes",Projects!$F$6="Yes",98=Projects!$C$6),Projects!$B$6*Projects!$T$6,0)+IF(AND(Projects!$G$7="Yes",Projects!$F$7="Yes",98=Projects!$C$7),Projects!$B$7*Projects!$T$7,0)+IF(AND(Projects!$G$8="Yes",Projects!$F$8="Yes",98=Projects!$C$8),Projects!$B$8*Projects!$T$8,0)+IF(AND(Projects!$G$9="Yes",Projects!$F$9="Yes",98=Projects!$C$9),Projects!$B$9*Projects!$T$9,0)+IF(AND(Projects!$G$10="Yes",Projects!$F$10="Yes",98=Projects!$C$10),Projects!$B$10*Projects!$T$10,0)+IF(AND(Projects!$G$11="Yes",Projects!$F$11="Yes",98=Projects!$C$11),Projects!$B$11*Projects!$T$11,0)+IF(AND(Projects!$G$12="Yes",Projects!$F$12="Yes",98=Projects!$C$12),Projects!$B$12*Projects!$T$12,0)+IF(AND(Projects!$G$13="Yes",Projects!$F$13="Yes",98=Projects!$C$13),Projects!$B$13*Projects!$T$13,0)+IF(AND(Projects!$G$14="Yes",Projects!$F$14="Yes",98=Projects!$C$14),Projects!$B$14*Projects!$T$14,0)+IF(AND(Projects!$G$15="Yes",Projects!$F$15="Yes",98=Projects!$C$15),Projects!$B$15*Projects!$T$15,0)+IF(AND(Projects!$G$16="Yes",Projects!$F$16="Yes",98=Projects!$C$16),Projects!$B$16*Projects!$T$16,0)+SUMPRODUCT((Projects!$G$17:$G$46="Yes")*(Projects!$F$17:$F$46="Yes")*(98=Projects!$C$17:$C$46)*Projects!$B$17:$B$46*Projects!$T$17:$T$46),Actuals!CY15)</f>
        <v/>
      </c>
      <c r="CY105" s="392">
        <f>IF(ISBLANK(Actuals!CZ15),IF(AND(Projects!$G$6="Yes",Projects!$F$6="Yes",99=Projects!$C$6),Projects!$B$6*Projects!$T$6,0)+IF(AND(Projects!$G$7="Yes",Projects!$F$7="Yes",99=Projects!$C$7),Projects!$B$7*Projects!$T$7,0)+IF(AND(Projects!$G$8="Yes",Projects!$F$8="Yes",99=Projects!$C$8),Projects!$B$8*Projects!$T$8,0)+IF(AND(Projects!$G$9="Yes",Projects!$F$9="Yes",99=Projects!$C$9),Projects!$B$9*Projects!$T$9,0)+IF(AND(Projects!$G$10="Yes",Projects!$F$10="Yes",99=Projects!$C$10),Projects!$B$10*Projects!$T$10,0)+IF(AND(Projects!$G$11="Yes",Projects!$F$11="Yes",99=Projects!$C$11),Projects!$B$11*Projects!$T$11,0)+IF(AND(Projects!$G$12="Yes",Projects!$F$12="Yes",99=Projects!$C$12),Projects!$B$12*Projects!$T$12,0)+IF(AND(Projects!$G$13="Yes",Projects!$F$13="Yes",99=Projects!$C$13),Projects!$B$13*Projects!$T$13,0)+IF(AND(Projects!$G$14="Yes",Projects!$F$14="Yes",99=Projects!$C$14),Projects!$B$14*Projects!$T$14,0)+IF(AND(Projects!$G$15="Yes",Projects!$F$15="Yes",99=Projects!$C$15),Projects!$B$15*Projects!$T$15,0)+IF(AND(Projects!$G$16="Yes",Projects!$F$16="Yes",99=Projects!$C$16),Projects!$B$16*Projects!$T$16,0)+SUMPRODUCT((Projects!$G$17:$G$46="Yes")*(Projects!$F$17:$F$46="Yes")*(99=Projects!$C$17:$C$46)*Projects!$B$17:$B$46*Projects!$T$17:$T$46),Actuals!CZ15)</f>
        <v/>
      </c>
      <c r="CZ105" s="392">
        <f>IF(ISBLANK(Actuals!DA15),IF(AND(Projects!$G$6="Yes",Projects!$F$6="Yes",100=Projects!$C$6),Projects!$B$6*Projects!$T$6,0)+IF(AND(Projects!$G$7="Yes",Projects!$F$7="Yes",100=Projects!$C$7),Projects!$B$7*Projects!$T$7,0)+IF(AND(Projects!$G$8="Yes",Projects!$F$8="Yes",100=Projects!$C$8),Projects!$B$8*Projects!$T$8,0)+IF(AND(Projects!$G$9="Yes",Projects!$F$9="Yes",100=Projects!$C$9),Projects!$B$9*Projects!$T$9,0)+IF(AND(Projects!$G$10="Yes",Projects!$F$10="Yes",100=Projects!$C$10),Projects!$B$10*Projects!$T$10,0)+IF(AND(Projects!$G$11="Yes",Projects!$F$11="Yes",100=Projects!$C$11),Projects!$B$11*Projects!$T$11,0)+IF(AND(Projects!$G$12="Yes",Projects!$F$12="Yes",100=Projects!$C$12),Projects!$B$12*Projects!$T$12,0)+IF(AND(Projects!$G$13="Yes",Projects!$F$13="Yes",100=Projects!$C$13),Projects!$B$13*Projects!$T$13,0)+IF(AND(Projects!$G$14="Yes",Projects!$F$14="Yes",100=Projects!$C$14),Projects!$B$14*Projects!$T$14,0)+IF(AND(Projects!$G$15="Yes",Projects!$F$15="Yes",100=Projects!$C$15),Projects!$B$15*Projects!$T$15,0)+IF(AND(Projects!$G$16="Yes",Projects!$F$16="Yes",100=Projects!$C$16),Projects!$B$16*Projects!$T$16,0)+SUMPRODUCT((Projects!$G$17:$G$46="Yes")*(Projects!$F$17:$F$46="Yes")*(100=Projects!$C$17:$C$46)*Projects!$B$17:$B$46*Projects!$T$17:$T$46),Actuals!DA15)</f>
        <v/>
      </c>
      <c r="DA105" s="392">
        <f>IF(ISBLANK(Actuals!DB15),IF(AND(Projects!$G$6="Yes",Projects!$F$6="Yes",101=Projects!$C$6),Projects!$B$6*Projects!$T$6,0)+IF(AND(Projects!$G$7="Yes",Projects!$F$7="Yes",101=Projects!$C$7),Projects!$B$7*Projects!$T$7,0)+IF(AND(Projects!$G$8="Yes",Projects!$F$8="Yes",101=Projects!$C$8),Projects!$B$8*Projects!$T$8,0)+IF(AND(Projects!$G$9="Yes",Projects!$F$9="Yes",101=Projects!$C$9),Projects!$B$9*Projects!$T$9,0)+IF(AND(Projects!$G$10="Yes",Projects!$F$10="Yes",101=Projects!$C$10),Projects!$B$10*Projects!$T$10,0)+IF(AND(Projects!$G$11="Yes",Projects!$F$11="Yes",101=Projects!$C$11),Projects!$B$11*Projects!$T$11,0)+IF(AND(Projects!$G$12="Yes",Projects!$F$12="Yes",101=Projects!$C$12),Projects!$B$12*Projects!$T$12,0)+IF(AND(Projects!$G$13="Yes",Projects!$F$13="Yes",101=Projects!$C$13),Projects!$B$13*Projects!$T$13,0)+IF(AND(Projects!$G$14="Yes",Projects!$F$14="Yes",101=Projects!$C$14),Projects!$B$14*Projects!$T$14,0)+IF(AND(Projects!$G$15="Yes",Projects!$F$15="Yes",101=Projects!$C$15),Projects!$B$15*Projects!$T$15,0)+IF(AND(Projects!$G$16="Yes",Projects!$F$16="Yes",101=Projects!$C$16),Projects!$B$16*Projects!$T$16,0)+SUMPRODUCT((Projects!$G$17:$G$46="Yes")*(Projects!$F$17:$F$46="Yes")*(101=Projects!$C$17:$C$46)*Projects!$B$17:$B$46*Projects!$T$17:$T$46),Actuals!DB15)</f>
        <v/>
      </c>
      <c r="DB105" s="392">
        <f>IF(ISBLANK(Actuals!DC15),IF(AND(Projects!$G$6="Yes",Projects!$F$6="Yes",102=Projects!$C$6),Projects!$B$6*Projects!$T$6,0)+IF(AND(Projects!$G$7="Yes",Projects!$F$7="Yes",102=Projects!$C$7),Projects!$B$7*Projects!$T$7,0)+IF(AND(Projects!$G$8="Yes",Projects!$F$8="Yes",102=Projects!$C$8),Projects!$B$8*Projects!$T$8,0)+IF(AND(Projects!$G$9="Yes",Projects!$F$9="Yes",102=Projects!$C$9),Projects!$B$9*Projects!$T$9,0)+IF(AND(Projects!$G$10="Yes",Projects!$F$10="Yes",102=Projects!$C$10),Projects!$B$10*Projects!$T$10,0)+IF(AND(Projects!$G$11="Yes",Projects!$F$11="Yes",102=Projects!$C$11),Projects!$B$11*Projects!$T$11,0)+IF(AND(Projects!$G$12="Yes",Projects!$F$12="Yes",102=Projects!$C$12),Projects!$B$12*Projects!$T$12,0)+IF(AND(Projects!$G$13="Yes",Projects!$F$13="Yes",102=Projects!$C$13),Projects!$B$13*Projects!$T$13,0)+IF(AND(Projects!$G$14="Yes",Projects!$F$14="Yes",102=Projects!$C$14),Projects!$B$14*Projects!$T$14,0)+IF(AND(Projects!$G$15="Yes",Projects!$F$15="Yes",102=Projects!$C$15),Projects!$B$15*Projects!$T$15,0)+IF(AND(Projects!$G$16="Yes",Projects!$F$16="Yes",102=Projects!$C$16),Projects!$B$16*Projects!$T$16,0)+SUMPRODUCT((Projects!$G$17:$G$46="Yes")*(Projects!$F$17:$F$46="Yes")*(102=Projects!$C$17:$C$46)*Projects!$B$17:$B$46*Projects!$T$17:$T$46),Actuals!DC15)</f>
        <v/>
      </c>
      <c r="DC105" s="392">
        <f>IF(ISBLANK(Actuals!DD15),IF(AND(Projects!$G$6="Yes",Projects!$F$6="Yes",103=Projects!$C$6),Projects!$B$6*Projects!$T$6,0)+IF(AND(Projects!$G$7="Yes",Projects!$F$7="Yes",103=Projects!$C$7),Projects!$B$7*Projects!$T$7,0)+IF(AND(Projects!$G$8="Yes",Projects!$F$8="Yes",103=Projects!$C$8),Projects!$B$8*Projects!$T$8,0)+IF(AND(Projects!$G$9="Yes",Projects!$F$9="Yes",103=Projects!$C$9),Projects!$B$9*Projects!$T$9,0)+IF(AND(Projects!$G$10="Yes",Projects!$F$10="Yes",103=Projects!$C$10),Projects!$B$10*Projects!$T$10,0)+IF(AND(Projects!$G$11="Yes",Projects!$F$11="Yes",103=Projects!$C$11),Projects!$B$11*Projects!$T$11,0)+IF(AND(Projects!$G$12="Yes",Projects!$F$12="Yes",103=Projects!$C$12),Projects!$B$12*Projects!$T$12,0)+IF(AND(Projects!$G$13="Yes",Projects!$F$13="Yes",103=Projects!$C$13),Projects!$B$13*Projects!$T$13,0)+IF(AND(Projects!$G$14="Yes",Projects!$F$14="Yes",103=Projects!$C$14),Projects!$B$14*Projects!$T$14,0)+IF(AND(Projects!$G$15="Yes",Projects!$F$15="Yes",103=Projects!$C$15),Projects!$B$15*Projects!$T$15,0)+IF(AND(Projects!$G$16="Yes",Projects!$F$16="Yes",103=Projects!$C$16),Projects!$B$16*Projects!$T$16,0)+SUMPRODUCT((Projects!$G$17:$G$46="Yes")*(Projects!$F$17:$F$46="Yes")*(103=Projects!$C$17:$C$46)*Projects!$B$17:$B$46*Projects!$T$17:$T$46),Actuals!DD15)</f>
        <v/>
      </c>
      <c r="DD105" s="392">
        <f>IF(ISBLANK(Actuals!DE15),IF(AND(Projects!$G$6="Yes",Projects!$F$6="Yes",104=Projects!$C$6),Projects!$B$6*Projects!$T$6,0)+IF(AND(Projects!$G$7="Yes",Projects!$F$7="Yes",104=Projects!$C$7),Projects!$B$7*Projects!$T$7,0)+IF(AND(Projects!$G$8="Yes",Projects!$F$8="Yes",104=Projects!$C$8),Projects!$B$8*Projects!$T$8,0)+IF(AND(Projects!$G$9="Yes",Projects!$F$9="Yes",104=Projects!$C$9),Projects!$B$9*Projects!$T$9,0)+IF(AND(Projects!$G$10="Yes",Projects!$F$10="Yes",104=Projects!$C$10),Projects!$B$10*Projects!$T$10,0)+IF(AND(Projects!$G$11="Yes",Projects!$F$11="Yes",104=Projects!$C$11),Projects!$B$11*Projects!$T$11,0)+IF(AND(Projects!$G$12="Yes",Projects!$F$12="Yes",104=Projects!$C$12),Projects!$B$12*Projects!$T$12,0)+IF(AND(Projects!$G$13="Yes",Projects!$F$13="Yes",104=Projects!$C$13),Projects!$B$13*Projects!$T$13,0)+IF(AND(Projects!$G$14="Yes",Projects!$F$14="Yes",104=Projects!$C$14),Projects!$B$14*Projects!$T$14,0)+IF(AND(Projects!$G$15="Yes",Projects!$F$15="Yes",104=Projects!$C$15),Projects!$B$15*Projects!$T$15,0)+IF(AND(Projects!$G$16="Yes",Projects!$F$16="Yes",104=Projects!$C$16),Projects!$B$16*Projects!$T$16,0)+SUMPRODUCT((Projects!$G$17:$G$46="Yes")*(Projects!$F$17:$F$46="Yes")*(104=Projects!$C$17:$C$46)*Projects!$B$17:$B$46*Projects!$T$17:$T$46),Actuals!DE15)</f>
        <v/>
      </c>
      <c r="DE105" s="392">
        <f>IF(ISBLANK(Actuals!DF15),IF(AND(Projects!$G$6="Yes",Projects!$F$6="Yes",105=Projects!$C$6),Projects!$B$6*Projects!$T$6,0)+IF(AND(Projects!$G$7="Yes",Projects!$F$7="Yes",105=Projects!$C$7),Projects!$B$7*Projects!$T$7,0)+IF(AND(Projects!$G$8="Yes",Projects!$F$8="Yes",105=Projects!$C$8),Projects!$B$8*Projects!$T$8,0)+IF(AND(Projects!$G$9="Yes",Projects!$F$9="Yes",105=Projects!$C$9),Projects!$B$9*Projects!$T$9,0)+IF(AND(Projects!$G$10="Yes",Projects!$F$10="Yes",105=Projects!$C$10),Projects!$B$10*Projects!$T$10,0)+IF(AND(Projects!$G$11="Yes",Projects!$F$11="Yes",105=Projects!$C$11),Projects!$B$11*Projects!$T$11,0)+IF(AND(Projects!$G$12="Yes",Projects!$F$12="Yes",105=Projects!$C$12),Projects!$B$12*Projects!$T$12,0)+IF(AND(Projects!$G$13="Yes",Projects!$F$13="Yes",105=Projects!$C$13),Projects!$B$13*Projects!$T$13,0)+IF(AND(Projects!$G$14="Yes",Projects!$F$14="Yes",105=Projects!$C$14),Projects!$B$14*Projects!$T$14,0)+IF(AND(Projects!$G$15="Yes",Projects!$F$15="Yes",105=Projects!$C$15),Projects!$B$15*Projects!$T$15,0)+IF(AND(Projects!$G$16="Yes",Projects!$F$16="Yes",105=Projects!$C$16),Projects!$B$16*Projects!$T$16,0)+SUMPRODUCT((Projects!$G$17:$G$46="Yes")*(Projects!$F$17:$F$46="Yes")*(105=Projects!$C$17:$C$46)*Projects!$B$17:$B$46*Projects!$T$17:$T$46),Actuals!DF15)</f>
        <v/>
      </c>
    </row>
    <row r="106" ht="15" customFormat="1" customHeight="1" s="380">
      <c r="A106" s="397" t="inlineStr">
        <is>
          <t>Bonding Costs</t>
        </is>
      </c>
      <c r="B106" s="392">
        <f>IF(ISBLANK(Actuals!C16),0,Actuals!C16)</f>
        <v/>
      </c>
      <c r="C106" s="392">
        <f>IF(ISBLANK(Actuals!D16),0,Actuals!D16)</f>
        <v/>
      </c>
      <c r="D106" s="392">
        <f>IF(ISBLANK(Actuals!E16),0,Actuals!E16)</f>
        <v/>
      </c>
      <c r="E106" s="392">
        <f>IF(ISBLANK(Actuals!F16),-(IF(AND(Projects!$G$6="Yes",Projects!$F$6="Yes",1=Projects!$C$6),Projects!$B$6*Projects!$I$6,0)+IF(AND(Projects!$G$7="Yes",Projects!$F$7="Yes",1=Projects!$C$7),Projects!$B$7*Projects!$I$7,0)+IF(AND(Projects!$G$8="Yes",Projects!$F$8="Yes",1=Projects!$C$8),Projects!$B$8*Projects!$I$8,0)+IF(AND(Projects!$G$9="Yes",Projects!$F$9="Yes",1=Projects!$C$9),Projects!$B$9*Projects!$I$9,0)+IF(AND(Projects!$G$10="Yes",Projects!$F$10="Yes",1=Projects!$C$10),Projects!$B$10*Projects!$I$10,0)+IF(AND(Projects!$G$11="Yes",Projects!$F$11="Yes",1=Projects!$C$11),Projects!$B$11*Projects!$I$11,0)+IF(AND(Projects!$G$12="Yes",Projects!$F$12="Yes",1=Projects!$C$12),Projects!$B$12*Projects!$I$12,0)+IF(AND(Projects!$G$13="Yes",Projects!$F$13="Yes",1=Projects!$C$13),Projects!$B$13*Projects!$I$13,0)+IF(AND(Projects!$G$14="Yes",Projects!$F$14="Yes",1=Projects!$C$14),Projects!$B$14*Projects!$I$14,0)+IF(AND(Projects!$G$15="Yes",Projects!$F$15="Yes",1=Projects!$C$15),Projects!$B$15*Projects!$I$15,0)+IF(AND(Projects!$G$16="Yes",Projects!$F$16="Yes",1=Projects!$C$16),Projects!$B$16*Projects!$I$16,0)+IF(AND(Projects!$G$7="Yes",1=Projects!$C$7),Assumptions!$D$18,0)+SUMPRODUCT((Projects!$G$17:$G$46="Yes")*(Projects!$F$17:$F$46="Yes")*(1=Projects!$C$17:$C$46)*Projects!$B$17:$B$46*Projects!$I$17:$I$46)),Actuals!F16)</f>
        <v/>
      </c>
      <c r="F106" s="392">
        <f>IF(ISBLANK(Actuals!G16),-(IF(AND(Projects!$G$6="Yes",Projects!$F$6="Yes",2=Projects!$C$6),Projects!$B$6*Projects!$I$6,0)+IF(AND(Projects!$G$7="Yes",Projects!$F$7="Yes",2=Projects!$C$7),Projects!$B$7*Projects!$I$7,0)+IF(AND(Projects!$G$8="Yes",Projects!$F$8="Yes",2=Projects!$C$8),Projects!$B$8*Projects!$I$8,0)+IF(AND(Projects!$G$9="Yes",Projects!$F$9="Yes",2=Projects!$C$9),Projects!$B$9*Projects!$I$9,0)+IF(AND(Projects!$G$10="Yes",Projects!$F$10="Yes",2=Projects!$C$10),Projects!$B$10*Projects!$I$10,0)+IF(AND(Projects!$G$11="Yes",Projects!$F$11="Yes",2=Projects!$C$11),Projects!$B$11*Projects!$I$11,0)+IF(AND(Projects!$G$12="Yes",Projects!$F$12="Yes",2=Projects!$C$12),Projects!$B$12*Projects!$I$12,0)+IF(AND(Projects!$G$13="Yes",Projects!$F$13="Yes",2=Projects!$C$13),Projects!$B$13*Projects!$I$13,0)+IF(AND(Projects!$G$14="Yes",Projects!$F$14="Yes",2=Projects!$C$14),Projects!$B$14*Projects!$I$14,0)+IF(AND(Projects!$G$15="Yes",Projects!$F$15="Yes",2=Projects!$C$15),Projects!$B$15*Projects!$I$15,0)+IF(AND(Projects!$G$16="Yes",Projects!$F$16="Yes",2=Projects!$C$16),Projects!$B$16*Projects!$I$16,0)+IF(AND(Projects!$G$7="Yes",2=Projects!$C$7),Assumptions!$D$18,0)+SUMPRODUCT((Projects!$G$17:$G$46="Yes")*(Projects!$F$17:$F$46="Yes")*(2=Projects!$C$17:$C$46)*Projects!$B$17:$B$46*Projects!$I$17:$I$46)),Actuals!G16)</f>
        <v/>
      </c>
      <c r="G106" s="392">
        <f>IF(ISBLANK(Actuals!H16),-(IF(AND(Projects!$G$6="Yes",Projects!$F$6="Yes",3=Projects!$C$6),Projects!$B$6*Projects!$I$6,0)+IF(AND(Projects!$G$7="Yes",Projects!$F$7="Yes",3=Projects!$C$7),Projects!$B$7*Projects!$I$7,0)+IF(AND(Projects!$G$8="Yes",Projects!$F$8="Yes",3=Projects!$C$8),Projects!$B$8*Projects!$I$8,0)+IF(AND(Projects!$G$9="Yes",Projects!$F$9="Yes",3=Projects!$C$9),Projects!$B$9*Projects!$I$9,0)+IF(AND(Projects!$G$10="Yes",Projects!$F$10="Yes",3=Projects!$C$10),Projects!$B$10*Projects!$I$10,0)+IF(AND(Projects!$G$11="Yes",Projects!$F$11="Yes",3=Projects!$C$11),Projects!$B$11*Projects!$I$11,0)+IF(AND(Projects!$G$12="Yes",Projects!$F$12="Yes",3=Projects!$C$12),Projects!$B$12*Projects!$I$12,0)+IF(AND(Projects!$G$13="Yes",Projects!$F$13="Yes",3=Projects!$C$13),Projects!$B$13*Projects!$I$13,0)+IF(AND(Projects!$G$14="Yes",Projects!$F$14="Yes",3=Projects!$C$14),Projects!$B$14*Projects!$I$14,0)+IF(AND(Projects!$G$15="Yes",Projects!$F$15="Yes",3=Projects!$C$15),Projects!$B$15*Projects!$I$15,0)+IF(AND(Projects!$G$16="Yes",Projects!$F$16="Yes",3=Projects!$C$16),Projects!$B$16*Projects!$I$16,0)+IF(AND(Projects!$G$7="Yes",3=Projects!$C$7),Assumptions!$D$18,0)+SUMPRODUCT((Projects!$G$17:$G$46="Yes")*(Projects!$F$17:$F$46="Yes")*(3=Projects!$C$17:$C$46)*Projects!$B$17:$B$46*Projects!$I$17:$I$46)),Actuals!H16)</f>
        <v/>
      </c>
      <c r="H106" s="392">
        <f>IF(ISBLANK(Actuals!I16),-(IF(AND(Projects!$G$6="Yes",Projects!$F$6="Yes",4=Projects!$C$6),Projects!$B$6*Projects!$I$6,0)+IF(AND(Projects!$G$7="Yes",Projects!$F$7="Yes",4=Projects!$C$7),Projects!$B$7*Projects!$I$7,0)+IF(AND(Projects!$G$8="Yes",Projects!$F$8="Yes",4=Projects!$C$8),Projects!$B$8*Projects!$I$8,0)+IF(AND(Projects!$G$9="Yes",Projects!$F$9="Yes",4=Projects!$C$9),Projects!$B$9*Projects!$I$9,0)+IF(AND(Projects!$G$10="Yes",Projects!$F$10="Yes",4=Projects!$C$10),Projects!$B$10*Projects!$I$10,0)+IF(AND(Projects!$G$11="Yes",Projects!$F$11="Yes",4=Projects!$C$11),Projects!$B$11*Projects!$I$11,0)+IF(AND(Projects!$G$12="Yes",Projects!$F$12="Yes",4=Projects!$C$12),Projects!$B$12*Projects!$I$12,0)+IF(AND(Projects!$G$13="Yes",Projects!$F$13="Yes",4=Projects!$C$13),Projects!$B$13*Projects!$I$13,0)+IF(AND(Projects!$G$14="Yes",Projects!$F$14="Yes",4=Projects!$C$14),Projects!$B$14*Projects!$I$14,0)+IF(AND(Projects!$G$15="Yes",Projects!$F$15="Yes",4=Projects!$C$15),Projects!$B$15*Projects!$I$15,0)+IF(AND(Projects!$G$16="Yes",Projects!$F$16="Yes",4=Projects!$C$16),Projects!$B$16*Projects!$I$16,0)+IF(AND(Projects!$G$7="Yes",4=Projects!$C$7),Assumptions!$D$18,0)+SUMPRODUCT((Projects!$G$17:$G$46="Yes")*(Projects!$F$17:$F$46="Yes")*(4=Projects!$C$17:$C$46)*Projects!$B$17:$B$46*Projects!$I$17:$I$46)),Actuals!I16)</f>
        <v/>
      </c>
      <c r="I106" s="392">
        <f>IF(ISBLANK(Actuals!J16),-(IF(AND(Projects!$G$6="Yes",Projects!$F$6="Yes",5=Projects!$C$6),Projects!$B$6*Projects!$I$6,0)+IF(AND(Projects!$G$7="Yes",Projects!$F$7="Yes",5=Projects!$C$7),Projects!$B$7*Projects!$I$7,0)+IF(AND(Projects!$G$8="Yes",Projects!$F$8="Yes",5=Projects!$C$8),Projects!$B$8*Projects!$I$8,0)+IF(AND(Projects!$G$9="Yes",Projects!$F$9="Yes",5=Projects!$C$9),Projects!$B$9*Projects!$I$9,0)+IF(AND(Projects!$G$10="Yes",Projects!$F$10="Yes",5=Projects!$C$10),Projects!$B$10*Projects!$I$10,0)+IF(AND(Projects!$G$11="Yes",Projects!$F$11="Yes",5=Projects!$C$11),Projects!$B$11*Projects!$I$11,0)+IF(AND(Projects!$G$12="Yes",Projects!$F$12="Yes",5=Projects!$C$12),Projects!$B$12*Projects!$I$12,0)+IF(AND(Projects!$G$13="Yes",Projects!$F$13="Yes",5=Projects!$C$13),Projects!$B$13*Projects!$I$13,0)+IF(AND(Projects!$G$14="Yes",Projects!$F$14="Yes",5=Projects!$C$14),Projects!$B$14*Projects!$I$14,0)+IF(AND(Projects!$G$15="Yes",Projects!$F$15="Yes",5=Projects!$C$15),Projects!$B$15*Projects!$I$15,0)+IF(AND(Projects!$G$16="Yes",Projects!$F$16="Yes",5=Projects!$C$16),Projects!$B$16*Projects!$I$16,0)+IF(AND(Projects!$G$7="Yes",5=Projects!$C$7),Assumptions!$D$18,0)+SUMPRODUCT((Projects!$G$17:$G$46="Yes")*(Projects!$F$17:$F$46="Yes")*(5=Projects!$C$17:$C$46)*Projects!$B$17:$B$46*Projects!$I$17:$I$46)),Actuals!J16)</f>
        <v/>
      </c>
      <c r="J106" s="392">
        <f>IF(ISBLANK(Actuals!K16),-(IF(AND(Projects!$G$6="Yes",Projects!$F$6="Yes",6=Projects!$C$6),Projects!$B$6*Projects!$I$6,0)+IF(AND(Projects!$G$7="Yes",Projects!$F$7="Yes",6=Projects!$C$7),Projects!$B$7*Projects!$I$7,0)+IF(AND(Projects!$G$8="Yes",Projects!$F$8="Yes",6=Projects!$C$8),Projects!$B$8*Projects!$I$8,0)+IF(AND(Projects!$G$9="Yes",Projects!$F$9="Yes",6=Projects!$C$9),Projects!$B$9*Projects!$I$9,0)+IF(AND(Projects!$G$10="Yes",Projects!$F$10="Yes",6=Projects!$C$10),Projects!$B$10*Projects!$I$10,0)+IF(AND(Projects!$G$11="Yes",Projects!$F$11="Yes",6=Projects!$C$11),Projects!$B$11*Projects!$I$11,0)+IF(AND(Projects!$G$12="Yes",Projects!$F$12="Yes",6=Projects!$C$12),Projects!$B$12*Projects!$I$12,0)+IF(AND(Projects!$G$13="Yes",Projects!$F$13="Yes",6=Projects!$C$13),Projects!$B$13*Projects!$I$13,0)+IF(AND(Projects!$G$14="Yes",Projects!$F$14="Yes",6=Projects!$C$14),Projects!$B$14*Projects!$I$14,0)+IF(AND(Projects!$G$15="Yes",Projects!$F$15="Yes",6=Projects!$C$15),Projects!$B$15*Projects!$I$15,0)+IF(AND(Projects!$G$16="Yes",Projects!$F$16="Yes",6=Projects!$C$16),Projects!$B$16*Projects!$I$16,0)+IF(AND(Projects!$G$7="Yes",6=Projects!$C$7),Assumptions!$D$18,0)+SUMPRODUCT((Projects!$G$17:$G$46="Yes")*(Projects!$F$17:$F$46="Yes")*(6=Projects!$C$17:$C$46)*Projects!$B$17:$B$46*Projects!$I$17:$I$46)),Actuals!K16)</f>
        <v/>
      </c>
      <c r="K106" s="392">
        <f>IF(ISBLANK(Actuals!L16),-(IF(AND(Projects!$G$6="Yes",Projects!$F$6="Yes",7=Projects!$C$6),Projects!$B$6*Projects!$I$6,0)+IF(AND(Projects!$G$7="Yes",Projects!$F$7="Yes",7=Projects!$C$7),Projects!$B$7*Projects!$I$7,0)+IF(AND(Projects!$G$8="Yes",Projects!$F$8="Yes",7=Projects!$C$8),Projects!$B$8*Projects!$I$8,0)+IF(AND(Projects!$G$9="Yes",Projects!$F$9="Yes",7=Projects!$C$9),Projects!$B$9*Projects!$I$9,0)+IF(AND(Projects!$G$10="Yes",Projects!$F$10="Yes",7=Projects!$C$10),Projects!$B$10*Projects!$I$10,0)+IF(AND(Projects!$G$11="Yes",Projects!$F$11="Yes",7=Projects!$C$11),Projects!$B$11*Projects!$I$11,0)+IF(AND(Projects!$G$12="Yes",Projects!$F$12="Yes",7=Projects!$C$12),Projects!$B$12*Projects!$I$12,0)+IF(AND(Projects!$G$13="Yes",Projects!$F$13="Yes",7=Projects!$C$13),Projects!$B$13*Projects!$I$13,0)+IF(AND(Projects!$G$14="Yes",Projects!$F$14="Yes",7=Projects!$C$14),Projects!$B$14*Projects!$I$14,0)+IF(AND(Projects!$G$15="Yes",Projects!$F$15="Yes",7=Projects!$C$15),Projects!$B$15*Projects!$I$15,0)+IF(AND(Projects!$G$16="Yes",Projects!$F$16="Yes",7=Projects!$C$16),Projects!$B$16*Projects!$I$16,0)+IF(AND(Projects!$G$7="Yes",7=Projects!$C$7),Assumptions!$D$18,0)+SUMPRODUCT((Projects!$G$17:$G$46="Yes")*(Projects!$F$17:$F$46="Yes")*(7=Projects!$C$17:$C$46)*Projects!$B$17:$B$46*Projects!$I$17:$I$46)),Actuals!L16)</f>
        <v/>
      </c>
      <c r="L106" s="392">
        <f>IF(ISBLANK(Actuals!M16),-(IF(AND(Projects!$G$6="Yes",Projects!$F$6="Yes",8=Projects!$C$6),Projects!$B$6*Projects!$I$6,0)+IF(AND(Projects!$G$7="Yes",Projects!$F$7="Yes",8=Projects!$C$7),Projects!$B$7*Projects!$I$7,0)+IF(AND(Projects!$G$8="Yes",Projects!$F$8="Yes",8=Projects!$C$8),Projects!$B$8*Projects!$I$8,0)+IF(AND(Projects!$G$9="Yes",Projects!$F$9="Yes",8=Projects!$C$9),Projects!$B$9*Projects!$I$9,0)+IF(AND(Projects!$G$10="Yes",Projects!$F$10="Yes",8=Projects!$C$10),Projects!$B$10*Projects!$I$10,0)+IF(AND(Projects!$G$11="Yes",Projects!$F$11="Yes",8=Projects!$C$11),Projects!$B$11*Projects!$I$11,0)+IF(AND(Projects!$G$12="Yes",Projects!$F$12="Yes",8=Projects!$C$12),Projects!$B$12*Projects!$I$12,0)+IF(AND(Projects!$G$13="Yes",Projects!$F$13="Yes",8=Projects!$C$13),Projects!$B$13*Projects!$I$13,0)+IF(AND(Projects!$G$14="Yes",Projects!$F$14="Yes",8=Projects!$C$14),Projects!$B$14*Projects!$I$14,0)+IF(AND(Projects!$G$15="Yes",Projects!$F$15="Yes",8=Projects!$C$15),Projects!$B$15*Projects!$I$15,0)+IF(AND(Projects!$G$16="Yes",Projects!$F$16="Yes",8=Projects!$C$16),Projects!$B$16*Projects!$I$16,0)+IF(AND(Projects!$G$7="Yes",8=Projects!$C$7),Assumptions!$D$18,0)+SUMPRODUCT((Projects!$G$17:$G$46="Yes")*(Projects!$F$17:$F$46="Yes")*(8=Projects!$C$17:$C$46)*Projects!$B$17:$B$46*Projects!$I$17:$I$46)),Actuals!M16)</f>
        <v/>
      </c>
      <c r="M106" s="392">
        <f>IF(ISBLANK(Actuals!N16),-(IF(AND(Projects!$G$6="Yes",Projects!$F$6="Yes",9=Projects!$C$6),Projects!$B$6*Projects!$I$6,0)+IF(AND(Projects!$G$7="Yes",Projects!$F$7="Yes",9=Projects!$C$7),Projects!$B$7*Projects!$I$7,0)+IF(AND(Projects!$G$8="Yes",Projects!$F$8="Yes",9=Projects!$C$8),Projects!$B$8*Projects!$I$8,0)+IF(AND(Projects!$G$9="Yes",Projects!$F$9="Yes",9=Projects!$C$9),Projects!$B$9*Projects!$I$9,0)+IF(AND(Projects!$G$10="Yes",Projects!$F$10="Yes",9=Projects!$C$10),Projects!$B$10*Projects!$I$10,0)+IF(AND(Projects!$G$11="Yes",Projects!$F$11="Yes",9=Projects!$C$11),Projects!$B$11*Projects!$I$11,0)+IF(AND(Projects!$G$12="Yes",Projects!$F$12="Yes",9=Projects!$C$12),Projects!$B$12*Projects!$I$12,0)+IF(AND(Projects!$G$13="Yes",Projects!$F$13="Yes",9=Projects!$C$13),Projects!$B$13*Projects!$I$13,0)+IF(AND(Projects!$G$14="Yes",Projects!$F$14="Yes",9=Projects!$C$14),Projects!$B$14*Projects!$I$14,0)+IF(AND(Projects!$G$15="Yes",Projects!$F$15="Yes",9=Projects!$C$15),Projects!$B$15*Projects!$I$15,0)+IF(AND(Projects!$G$16="Yes",Projects!$F$16="Yes",9=Projects!$C$16),Projects!$B$16*Projects!$I$16,0)+IF(AND(Projects!$G$7="Yes",9=Projects!$C$7),Assumptions!$D$18,0)+SUMPRODUCT((Projects!$G$17:$G$46="Yes")*(Projects!$F$17:$F$46="Yes")*(9=Projects!$C$17:$C$46)*Projects!$B$17:$B$46*Projects!$I$17:$I$46)),Actuals!N16)</f>
        <v/>
      </c>
      <c r="N106" s="392">
        <f>IF(ISBLANK(Actuals!O16),-(IF(AND(Projects!$G$6="Yes",Projects!$F$6="Yes",10=Projects!$C$6),Projects!$B$6*Projects!$I$6,0)+IF(AND(Projects!$G$7="Yes",Projects!$F$7="Yes",10=Projects!$C$7),Projects!$B$7*Projects!$I$7,0)+IF(AND(Projects!$G$8="Yes",Projects!$F$8="Yes",10=Projects!$C$8),Projects!$B$8*Projects!$I$8,0)+IF(AND(Projects!$G$9="Yes",Projects!$F$9="Yes",10=Projects!$C$9),Projects!$B$9*Projects!$I$9,0)+IF(AND(Projects!$G$10="Yes",Projects!$F$10="Yes",10=Projects!$C$10),Projects!$B$10*Projects!$I$10,0)+IF(AND(Projects!$G$11="Yes",Projects!$F$11="Yes",10=Projects!$C$11),Projects!$B$11*Projects!$I$11,0)+IF(AND(Projects!$G$12="Yes",Projects!$F$12="Yes",10=Projects!$C$12),Projects!$B$12*Projects!$I$12,0)+IF(AND(Projects!$G$13="Yes",Projects!$F$13="Yes",10=Projects!$C$13),Projects!$B$13*Projects!$I$13,0)+IF(AND(Projects!$G$14="Yes",Projects!$F$14="Yes",10=Projects!$C$14),Projects!$B$14*Projects!$I$14,0)+IF(AND(Projects!$G$15="Yes",Projects!$F$15="Yes",10=Projects!$C$15),Projects!$B$15*Projects!$I$15,0)+IF(AND(Projects!$G$16="Yes",Projects!$F$16="Yes",10=Projects!$C$16),Projects!$B$16*Projects!$I$16,0)+IF(AND(Projects!$G$7="Yes",10=Projects!$C$7),Assumptions!$D$18,0)+SUMPRODUCT((Projects!$G$17:$G$46="Yes")*(Projects!$F$17:$F$46="Yes")*(10=Projects!$C$17:$C$46)*Projects!$B$17:$B$46*Projects!$I$17:$I$46)),Actuals!O16)</f>
        <v/>
      </c>
      <c r="O106" s="392">
        <f>IF(ISBLANK(Actuals!P16),-(IF(AND(Projects!$G$6="Yes",Projects!$F$6="Yes",11=Projects!$C$6),Projects!$B$6*Projects!$I$6,0)+IF(AND(Projects!$G$7="Yes",Projects!$F$7="Yes",11=Projects!$C$7),Projects!$B$7*Projects!$I$7,0)+IF(AND(Projects!$G$8="Yes",Projects!$F$8="Yes",11=Projects!$C$8),Projects!$B$8*Projects!$I$8,0)+IF(AND(Projects!$G$9="Yes",Projects!$F$9="Yes",11=Projects!$C$9),Projects!$B$9*Projects!$I$9,0)+IF(AND(Projects!$G$10="Yes",Projects!$F$10="Yes",11=Projects!$C$10),Projects!$B$10*Projects!$I$10,0)+IF(AND(Projects!$G$11="Yes",Projects!$F$11="Yes",11=Projects!$C$11),Projects!$B$11*Projects!$I$11,0)+IF(AND(Projects!$G$12="Yes",Projects!$F$12="Yes",11=Projects!$C$12),Projects!$B$12*Projects!$I$12,0)+IF(AND(Projects!$G$13="Yes",Projects!$F$13="Yes",11=Projects!$C$13),Projects!$B$13*Projects!$I$13,0)+IF(AND(Projects!$G$14="Yes",Projects!$F$14="Yes",11=Projects!$C$14),Projects!$B$14*Projects!$I$14,0)+IF(AND(Projects!$G$15="Yes",Projects!$F$15="Yes",11=Projects!$C$15),Projects!$B$15*Projects!$I$15,0)+IF(AND(Projects!$G$16="Yes",Projects!$F$16="Yes",11=Projects!$C$16),Projects!$B$16*Projects!$I$16,0)+IF(AND(Projects!$G$7="Yes",11=Projects!$C$7),Assumptions!$D$18,0)+SUMPRODUCT((Projects!$G$17:$G$46="Yes")*(Projects!$F$17:$F$46="Yes")*(11=Projects!$C$17:$C$46)*Projects!$B$17:$B$46*Projects!$I$17:$I$46)),Actuals!P16)</f>
        <v/>
      </c>
      <c r="P106" s="392">
        <f>IF(ISBLANK(Actuals!Q16),-(IF(AND(Projects!$G$6="Yes",Projects!$F$6="Yes",12=Projects!$C$6),Projects!$B$6*Projects!$I$6,0)+IF(AND(Projects!$G$7="Yes",Projects!$F$7="Yes",12=Projects!$C$7),Projects!$B$7*Projects!$I$7,0)+IF(AND(Projects!$G$8="Yes",Projects!$F$8="Yes",12=Projects!$C$8),Projects!$B$8*Projects!$I$8,0)+IF(AND(Projects!$G$9="Yes",Projects!$F$9="Yes",12=Projects!$C$9),Projects!$B$9*Projects!$I$9,0)+IF(AND(Projects!$G$10="Yes",Projects!$F$10="Yes",12=Projects!$C$10),Projects!$B$10*Projects!$I$10,0)+IF(AND(Projects!$G$11="Yes",Projects!$F$11="Yes",12=Projects!$C$11),Projects!$B$11*Projects!$I$11,0)+IF(AND(Projects!$G$12="Yes",Projects!$F$12="Yes",12=Projects!$C$12),Projects!$B$12*Projects!$I$12,0)+IF(AND(Projects!$G$13="Yes",Projects!$F$13="Yes",12=Projects!$C$13),Projects!$B$13*Projects!$I$13,0)+IF(AND(Projects!$G$14="Yes",Projects!$F$14="Yes",12=Projects!$C$14),Projects!$B$14*Projects!$I$14,0)+IF(AND(Projects!$G$15="Yes",Projects!$F$15="Yes",12=Projects!$C$15),Projects!$B$15*Projects!$I$15,0)+IF(AND(Projects!$G$16="Yes",Projects!$F$16="Yes",12=Projects!$C$16),Projects!$B$16*Projects!$I$16,0)+IF(AND(Projects!$G$7="Yes",12=Projects!$C$7),Assumptions!$D$18,0)+SUMPRODUCT((Projects!$G$17:$G$46="Yes")*(Projects!$F$17:$F$46="Yes")*(12=Projects!$C$17:$C$46)*Projects!$B$17:$B$46*Projects!$I$17:$I$46)),Actuals!Q16)</f>
        <v/>
      </c>
      <c r="Q106" s="392">
        <f>IF(ISBLANK(Actuals!R16),-(IF(AND(Projects!$G$6="Yes",Projects!$F$6="Yes",13=Projects!$C$6),Projects!$B$6*Projects!$I$6,0)+IF(AND(Projects!$G$7="Yes",Projects!$F$7="Yes",13=Projects!$C$7),Projects!$B$7*Projects!$I$7,0)+IF(AND(Projects!$G$8="Yes",Projects!$F$8="Yes",13=Projects!$C$8),Projects!$B$8*Projects!$I$8,0)+IF(AND(Projects!$G$9="Yes",Projects!$F$9="Yes",13=Projects!$C$9),Projects!$B$9*Projects!$I$9,0)+IF(AND(Projects!$G$10="Yes",Projects!$F$10="Yes",13=Projects!$C$10),Projects!$B$10*Projects!$I$10,0)+IF(AND(Projects!$G$11="Yes",Projects!$F$11="Yes",13=Projects!$C$11),Projects!$B$11*Projects!$I$11,0)+IF(AND(Projects!$G$12="Yes",Projects!$F$12="Yes",13=Projects!$C$12),Projects!$B$12*Projects!$I$12,0)+IF(AND(Projects!$G$13="Yes",Projects!$F$13="Yes",13=Projects!$C$13),Projects!$B$13*Projects!$I$13,0)+IF(AND(Projects!$G$14="Yes",Projects!$F$14="Yes",13=Projects!$C$14),Projects!$B$14*Projects!$I$14,0)+IF(AND(Projects!$G$15="Yes",Projects!$F$15="Yes",13=Projects!$C$15),Projects!$B$15*Projects!$I$15,0)+IF(AND(Projects!$G$16="Yes",Projects!$F$16="Yes",13=Projects!$C$16),Projects!$B$16*Projects!$I$16,0)+IF(AND(Projects!$G$7="Yes",13=Projects!$C$7),Assumptions!$D$18,0)+SUMPRODUCT((Projects!$G$17:$G$46="Yes")*(Projects!$F$17:$F$46="Yes")*(13=Projects!$C$17:$C$46)*Projects!$B$17:$B$46*Projects!$I$17:$I$46)),Actuals!R16)</f>
        <v/>
      </c>
      <c r="R106" s="392">
        <f>IF(ISBLANK(Actuals!S16),-(IF(AND(Projects!$G$6="Yes",Projects!$F$6="Yes",14=Projects!$C$6),Projects!$B$6*Projects!$I$6,0)+IF(AND(Projects!$G$7="Yes",Projects!$F$7="Yes",14=Projects!$C$7),Projects!$B$7*Projects!$I$7,0)+IF(AND(Projects!$G$8="Yes",Projects!$F$8="Yes",14=Projects!$C$8),Projects!$B$8*Projects!$I$8,0)+IF(AND(Projects!$G$9="Yes",Projects!$F$9="Yes",14=Projects!$C$9),Projects!$B$9*Projects!$I$9,0)+IF(AND(Projects!$G$10="Yes",Projects!$F$10="Yes",14=Projects!$C$10),Projects!$B$10*Projects!$I$10,0)+IF(AND(Projects!$G$11="Yes",Projects!$F$11="Yes",14=Projects!$C$11),Projects!$B$11*Projects!$I$11,0)+IF(AND(Projects!$G$12="Yes",Projects!$F$12="Yes",14=Projects!$C$12),Projects!$B$12*Projects!$I$12,0)+IF(AND(Projects!$G$13="Yes",Projects!$F$13="Yes",14=Projects!$C$13),Projects!$B$13*Projects!$I$13,0)+IF(AND(Projects!$G$14="Yes",Projects!$F$14="Yes",14=Projects!$C$14),Projects!$B$14*Projects!$I$14,0)+IF(AND(Projects!$G$15="Yes",Projects!$F$15="Yes",14=Projects!$C$15),Projects!$B$15*Projects!$I$15,0)+IF(AND(Projects!$G$16="Yes",Projects!$F$16="Yes",14=Projects!$C$16),Projects!$B$16*Projects!$I$16,0)+IF(AND(Projects!$G$7="Yes",14=Projects!$C$7),Assumptions!$D$18,0)+SUMPRODUCT((Projects!$G$17:$G$46="Yes")*(Projects!$F$17:$F$46="Yes")*(14=Projects!$C$17:$C$46)*Projects!$B$17:$B$46*Projects!$I$17:$I$46)),Actuals!S16)</f>
        <v/>
      </c>
      <c r="S106" s="392">
        <f>IF(ISBLANK(Actuals!T16),-(IF(AND(Projects!$G$6="Yes",Projects!$F$6="Yes",15=Projects!$C$6),Projects!$B$6*Projects!$I$6,0)+IF(AND(Projects!$G$7="Yes",Projects!$F$7="Yes",15=Projects!$C$7),Projects!$B$7*Projects!$I$7,0)+IF(AND(Projects!$G$8="Yes",Projects!$F$8="Yes",15=Projects!$C$8),Projects!$B$8*Projects!$I$8,0)+IF(AND(Projects!$G$9="Yes",Projects!$F$9="Yes",15=Projects!$C$9),Projects!$B$9*Projects!$I$9,0)+IF(AND(Projects!$G$10="Yes",Projects!$F$10="Yes",15=Projects!$C$10),Projects!$B$10*Projects!$I$10,0)+IF(AND(Projects!$G$11="Yes",Projects!$F$11="Yes",15=Projects!$C$11),Projects!$B$11*Projects!$I$11,0)+IF(AND(Projects!$G$12="Yes",Projects!$F$12="Yes",15=Projects!$C$12),Projects!$B$12*Projects!$I$12,0)+IF(AND(Projects!$G$13="Yes",Projects!$F$13="Yes",15=Projects!$C$13),Projects!$B$13*Projects!$I$13,0)+IF(AND(Projects!$G$14="Yes",Projects!$F$14="Yes",15=Projects!$C$14),Projects!$B$14*Projects!$I$14,0)+IF(AND(Projects!$G$15="Yes",Projects!$F$15="Yes",15=Projects!$C$15),Projects!$B$15*Projects!$I$15,0)+IF(AND(Projects!$G$16="Yes",Projects!$F$16="Yes",15=Projects!$C$16),Projects!$B$16*Projects!$I$16,0)+IF(AND(Projects!$G$7="Yes",15=Projects!$C$7),Assumptions!$D$18,0)+SUMPRODUCT((Projects!$G$17:$G$46="Yes")*(Projects!$F$17:$F$46="Yes")*(15=Projects!$C$17:$C$46)*Projects!$B$17:$B$46*Projects!$I$17:$I$46)),Actuals!T16)</f>
        <v/>
      </c>
      <c r="T106" s="392">
        <f>IF(ISBLANK(Actuals!U16),-(IF(AND(Projects!$G$6="Yes",Projects!$F$6="Yes",16=Projects!$C$6),Projects!$B$6*Projects!$I$6,0)+IF(AND(Projects!$G$7="Yes",Projects!$F$7="Yes",16=Projects!$C$7),Projects!$B$7*Projects!$I$7,0)+IF(AND(Projects!$G$8="Yes",Projects!$F$8="Yes",16=Projects!$C$8),Projects!$B$8*Projects!$I$8,0)+IF(AND(Projects!$G$9="Yes",Projects!$F$9="Yes",16=Projects!$C$9),Projects!$B$9*Projects!$I$9,0)+IF(AND(Projects!$G$10="Yes",Projects!$F$10="Yes",16=Projects!$C$10),Projects!$B$10*Projects!$I$10,0)+IF(AND(Projects!$G$11="Yes",Projects!$F$11="Yes",16=Projects!$C$11),Projects!$B$11*Projects!$I$11,0)+IF(AND(Projects!$G$12="Yes",Projects!$F$12="Yes",16=Projects!$C$12),Projects!$B$12*Projects!$I$12,0)+IF(AND(Projects!$G$13="Yes",Projects!$F$13="Yes",16=Projects!$C$13),Projects!$B$13*Projects!$I$13,0)+IF(AND(Projects!$G$14="Yes",Projects!$F$14="Yes",16=Projects!$C$14),Projects!$B$14*Projects!$I$14,0)+IF(AND(Projects!$G$15="Yes",Projects!$F$15="Yes",16=Projects!$C$15),Projects!$B$15*Projects!$I$15,0)+IF(AND(Projects!$G$16="Yes",Projects!$F$16="Yes",16=Projects!$C$16),Projects!$B$16*Projects!$I$16,0)+IF(AND(Projects!$G$7="Yes",16=Projects!$C$7),Assumptions!$D$18,0)+SUMPRODUCT((Projects!$G$17:$G$46="Yes")*(Projects!$F$17:$F$46="Yes")*(16=Projects!$C$17:$C$46)*Projects!$B$17:$B$46*Projects!$I$17:$I$46)),Actuals!U16)</f>
        <v/>
      </c>
      <c r="U106" s="392">
        <f>IF(ISBLANK(Actuals!V16),-(IF(AND(Projects!$G$6="Yes",Projects!$F$6="Yes",17=Projects!$C$6),Projects!$B$6*Projects!$I$6,0)+IF(AND(Projects!$G$7="Yes",Projects!$F$7="Yes",17=Projects!$C$7),Projects!$B$7*Projects!$I$7,0)+IF(AND(Projects!$G$8="Yes",Projects!$F$8="Yes",17=Projects!$C$8),Projects!$B$8*Projects!$I$8,0)+IF(AND(Projects!$G$9="Yes",Projects!$F$9="Yes",17=Projects!$C$9),Projects!$B$9*Projects!$I$9,0)+IF(AND(Projects!$G$10="Yes",Projects!$F$10="Yes",17=Projects!$C$10),Projects!$B$10*Projects!$I$10,0)+IF(AND(Projects!$G$11="Yes",Projects!$F$11="Yes",17=Projects!$C$11),Projects!$B$11*Projects!$I$11,0)+IF(AND(Projects!$G$12="Yes",Projects!$F$12="Yes",17=Projects!$C$12),Projects!$B$12*Projects!$I$12,0)+IF(AND(Projects!$G$13="Yes",Projects!$F$13="Yes",17=Projects!$C$13),Projects!$B$13*Projects!$I$13,0)+IF(AND(Projects!$G$14="Yes",Projects!$F$14="Yes",17=Projects!$C$14),Projects!$B$14*Projects!$I$14,0)+IF(AND(Projects!$G$15="Yes",Projects!$F$15="Yes",17=Projects!$C$15),Projects!$B$15*Projects!$I$15,0)+IF(AND(Projects!$G$16="Yes",Projects!$F$16="Yes",17=Projects!$C$16),Projects!$B$16*Projects!$I$16,0)+IF(AND(Projects!$G$7="Yes",17=Projects!$C$7),Assumptions!$D$18,0)+SUMPRODUCT((Projects!$G$17:$G$46="Yes")*(Projects!$F$17:$F$46="Yes")*(17=Projects!$C$17:$C$46)*Projects!$B$17:$B$46*Projects!$I$17:$I$46)),Actuals!V16)</f>
        <v/>
      </c>
      <c r="V106" s="392">
        <f>IF(ISBLANK(Actuals!W16),-(IF(AND(Projects!$G$6="Yes",Projects!$F$6="Yes",18=Projects!$C$6),Projects!$B$6*Projects!$I$6,0)+IF(AND(Projects!$G$7="Yes",Projects!$F$7="Yes",18=Projects!$C$7),Projects!$B$7*Projects!$I$7,0)+IF(AND(Projects!$G$8="Yes",Projects!$F$8="Yes",18=Projects!$C$8),Projects!$B$8*Projects!$I$8,0)+IF(AND(Projects!$G$9="Yes",Projects!$F$9="Yes",18=Projects!$C$9),Projects!$B$9*Projects!$I$9,0)+IF(AND(Projects!$G$10="Yes",Projects!$F$10="Yes",18=Projects!$C$10),Projects!$B$10*Projects!$I$10,0)+IF(AND(Projects!$G$11="Yes",Projects!$F$11="Yes",18=Projects!$C$11),Projects!$B$11*Projects!$I$11,0)+IF(AND(Projects!$G$12="Yes",Projects!$F$12="Yes",18=Projects!$C$12),Projects!$B$12*Projects!$I$12,0)+IF(AND(Projects!$G$13="Yes",Projects!$F$13="Yes",18=Projects!$C$13),Projects!$B$13*Projects!$I$13,0)+IF(AND(Projects!$G$14="Yes",Projects!$F$14="Yes",18=Projects!$C$14),Projects!$B$14*Projects!$I$14,0)+IF(AND(Projects!$G$15="Yes",Projects!$F$15="Yes",18=Projects!$C$15),Projects!$B$15*Projects!$I$15,0)+IF(AND(Projects!$G$16="Yes",Projects!$F$16="Yes",18=Projects!$C$16),Projects!$B$16*Projects!$I$16,0)+IF(AND(Projects!$G$7="Yes",18=Projects!$C$7),Assumptions!$D$18,0)+SUMPRODUCT((Projects!$G$17:$G$46="Yes")*(Projects!$F$17:$F$46="Yes")*(18=Projects!$C$17:$C$46)*Projects!$B$17:$B$46*Projects!$I$17:$I$46)),Actuals!W16)</f>
        <v/>
      </c>
      <c r="W106" s="392">
        <f>IF(ISBLANK(Actuals!X16),-(IF(AND(Projects!$G$6="Yes",Projects!$F$6="Yes",19=Projects!$C$6),Projects!$B$6*Projects!$I$6,0)+IF(AND(Projects!$G$7="Yes",Projects!$F$7="Yes",19=Projects!$C$7),Projects!$B$7*Projects!$I$7,0)+IF(AND(Projects!$G$8="Yes",Projects!$F$8="Yes",19=Projects!$C$8),Projects!$B$8*Projects!$I$8,0)+IF(AND(Projects!$G$9="Yes",Projects!$F$9="Yes",19=Projects!$C$9),Projects!$B$9*Projects!$I$9,0)+IF(AND(Projects!$G$10="Yes",Projects!$F$10="Yes",19=Projects!$C$10),Projects!$B$10*Projects!$I$10,0)+IF(AND(Projects!$G$11="Yes",Projects!$F$11="Yes",19=Projects!$C$11),Projects!$B$11*Projects!$I$11,0)+IF(AND(Projects!$G$12="Yes",Projects!$F$12="Yes",19=Projects!$C$12),Projects!$B$12*Projects!$I$12,0)+IF(AND(Projects!$G$13="Yes",Projects!$F$13="Yes",19=Projects!$C$13),Projects!$B$13*Projects!$I$13,0)+IF(AND(Projects!$G$14="Yes",Projects!$F$14="Yes",19=Projects!$C$14),Projects!$B$14*Projects!$I$14,0)+IF(AND(Projects!$G$15="Yes",Projects!$F$15="Yes",19=Projects!$C$15),Projects!$B$15*Projects!$I$15,0)+IF(AND(Projects!$G$16="Yes",Projects!$F$16="Yes",19=Projects!$C$16),Projects!$B$16*Projects!$I$16,0)+IF(AND(Projects!$G$7="Yes",19=Projects!$C$7),Assumptions!$D$18,0)+SUMPRODUCT((Projects!$G$17:$G$46="Yes")*(Projects!$F$17:$F$46="Yes")*(19=Projects!$C$17:$C$46)*Projects!$B$17:$B$46*Projects!$I$17:$I$46)),Actuals!X16)</f>
        <v/>
      </c>
      <c r="X106" s="392">
        <f>IF(ISBLANK(Actuals!Y16),-(IF(AND(Projects!$G$6="Yes",Projects!$F$6="Yes",20=Projects!$C$6),Projects!$B$6*Projects!$I$6,0)+IF(AND(Projects!$G$7="Yes",Projects!$F$7="Yes",20=Projects!$C$7),Projects!$B$7*Projects!$I$7,0)+IF(AND(Projects!$G$8="Yes",Projects!$F$8="Yes",20=Projects!$C$8),Projects!$B$8*Projects!$I$8,0)+IF(AND(Projects!$G$9="Yes",Projects!$F$9="Yes",20=Projects!$C$9),Projects!$B$9*Projects!$I$9,0)+IF(AND(Projects!$G$10="Yes",Projects!$F$10="Yes",20=Projects!$C$10),Projects!$B$10*Projects!$I$10,0)+IF(AND(Projects!$G$11="Yes",Projects!$F$11="Yes",20=Projects!$C$11),Projects!$B$11*Projects!$I$11,0)+IF(AND(Projects!$G$12="Yes",Projects!$F$12="Yes",20=Projects!$C$12),Projects!$B$12*Projects!$I$12,0)+IF(AND(Projects!$G$13="Yes",Projects!$F$13="Yes",20=Projects!$C$13),Projects!$B$13*Projects!$I$13,0)+IF(AND(Projects!$G$14="Yes",Projects!$F$14="Yes",20=Projects!$C$14),Projects!$B$14*Projects!$I$14,0)+IF(AND(Projects!$G$15="Yes",Projects!$F$15="Yes",20=Projects!$C$15),Projects!$B$15*Projects!$I$15,0)+IF(AND(Projects!$G$16="Yes",Projects!$F$16="Yes",20=Projects!$C$16),Projects!$B$16*Projects!$I$16,0)+IF(AND(Projects!$G$7="Yes",20=Projects!$C$7),Assumptions!$D$18,0)+SUMPRODUCT((Projects!$G$17:$G$46="Yes")*(Projects!$F$17:$F$46="Yes")*(20=Projects!$C$17:$C$46)*Projects!$B$17:$B$46*Projects!$I$17:$I$46)),Actuals!Y16)</f>
        <v/>
      </c>
      <c r="Y106" s="392">
        <f>IF(ISBLANK(Actuals!Z16),-(IF(AND(Projects!$G$6="Yes",Projects!$F$6="Yes",21=Projects!$C$6),Projects!$B$6*Projects!$I$6,0)+IF(AND(Projects!$G$7="Yes",Projects!$F$7="Yes",21=Projects!$C$7),Projects!$B$7*Projects!$I$7,0)+IF(AND(Projects!$G$8="Yes",Projects!$F$8="Yes",21=Projects!$C$8),Projects!$B$8*Projects!$I$8,0)+IF(AND(Projects!$G$9="Yes",Projects!$F$9="Yes",21=Projects!$C$9),Projects!$B$9*Projects!$I$9,0)+IF(AND(Projects!$G$10="Yes",Projects!$F$10="Yes",21=Projects!$C$10),Projects!$B$10*Projects!$I$10,0)+IF(AND(Projects!$G$11="Yes",Projects!$F$11="Yes",21=Projects!$C$11),Projects!$B$11*Projects!$I$11,0)+IF(AND(Projects!$G$12="Yes",Projects!$F$12="Yes",21=Projects!$C$12),Projects!$B$12*Projects!$I$12,0)+IF(AND(Projects!$G$13="Yes",Projects!$F$13="Yes",21=Projects!$C$13),Projects!$B$13*Projects!$I$13,0)+IF(AND(Projects!$G$14="Yes",Projects!$F$14="Yes",21=Projects!$C$14),Projects!$B$14*Projects!$I$14,0)+IF(AND(Projects!$G$15="Yes",Projects!$F$15="Yes",21=Projects!$C$15),Projects!$B$15*Projects!$I$15,0)+IF(AND(Projects!$G$16="Yes",Projects!$F$16="Yes",21=Projects!$C$16),Projects!$B$16*Projects!$I$16,0)+IF(AND(Projects!$G$7="Yes",21=Projects!$C$7),Assumptions!$D$18,0)+SUMPRODUCT((Projects!$G$17:$G$46="Yes")*(Projects!$F$17:$F$46="Yes")*(21=Projects!$C$17:$C$46)*Projects!$B$17:$B$46*Projects!$I$17:$I$46)),Actuals!Z16)</f>
        <v/>
      </c>
      <c r="Z106" s="392">
        <f>IF(ISBLANK(Actuals!AA16),-(IF(AND(Projects!$G$6="Yes",Projects!$F$6="Yes",22=Projects!$C$6),Projects!$B$6*Projects!$I$6,0)+IF(AND(Projects!$G$7="Yes",Projects!$F$7="Yes",22=Projects!$C$7),Projects!$B$7*Projects!$I$7,0)+IF(AND(Projects!$G$8="Yes",Projects!$F$8="Yes",22=Projects!$C$8),Projects!$B$8*Projects!$I$8,0)+IF(AND(Projects!$G$9="Yes",Projects!$F$9="Yes",22=Projects!$C$9),Projects!$B$9*Projects!$I$9,0)+IF(AND(Projects!$G$10="Yes",Projects!$F$10="Yes",22=Projects!$C$10),Projects!$B$10*Projects!$I$10,0)+IF(AND(Projects!$G$11="Yes",Projects!$F$11="Yes",22=Projects!$C$11),Projects!$B$11*Projects!$I$11,0)+IF(AND(Projects!$G$12="Yes",Projects!$F$12="Yes",22=Projects!$C$12),Projects!$B$12*Projects!$I$12,0)+IF(AND(Projects!$G$13="Yes",Projects!$F$13="Yes",22=Projects!$C$13),Projects!$B$13*Projects!$I$13,0)+IF(AND(Projects!$G$14="Yes",Projects!$F$14="Yes",22=Projects!$C$14),Projects!$B$14*Projects!$I$14,0)+IF(AND(Projects!$G$15="Yes",Projects!$F$15="Yes",22=Projects!$C$15),Projects!$B$15*Projects!$I$15,0)+IF(AND(Projects!$G$16="Yes",Projects!$F$16="Yes",22=Projects!$C$16),Projects!$B$16*Projects!$I$16,0)+IF(AND(Projects!$G$7="Yes",22=Projects!$C$7),Assumptions!$D$18,0)+SUMPRODUCT((Projects!$G$17:$G$46="Yes")*(Projects!$F$17:$F$46="Yes")*(22=Projects!$C$17:$C$46)*Projects!$B$17:$B$46*Projects!$I$17:$I$46)),Actuals!AA16)</f>
        <v/>
      </c>
      <c r="AA106" s="392">
        <f>IF(ISBLANK(Actuals!AB16),-(IF(AND(Projects!$G$6="Yes",Projects!$F$6="Yes",23=Projects!$C$6),Projects!$B$6*Projects!$I$6,0)+IF(AND(Projects!$G$7="Yes",Projects!$F$7="Yes",23=Projects!$C$7),Projects!$B$7*Projects!$I$7,0)+IF(AND(Projects!$G$8="Yes",Projects!$F$8="Yes",23=Projects!$C$8),Projects!$B$8*Projects!$I$8,0)+IF(AND(Projects!$G$9="Yes",Projects!$F$9="Yes",23=Projects!$C$9),Projects!$B$9*Projects!$I$9,0)+IF(AND(Projects!$G$10="Yes",Projects!$F$10="Yes",23=Projects!$C$10),Projects!$B$10*Projects!$I$10,0)+IF(AND(Projects!$G$11="Yes",Projects!$F$11="Yes",23=Projects!$C$11),Projects!$B$11*Projects!$I$11,0)+IF(AND(Projects!$G$12="Yes",Projects!$F$12="Yes",23=Projects!$C$12),Projects!$B$12*Projects!$I$12,0)+IF(AND(Projects!$G$13="Yes",Projects!$F$13="Yes",23=Projects!$C$13),Projects!$B$13*Projects!$I$13,0)+IF(AND(Projects!$G$14="Yes",Projects!$F$14="Yes",23=Projects!$C$14),Projects!$B$14*Projects!$I$14,0)+IF(AND(Projects!$G$15="Yes",Projects!$F$15="Yes",23=Projects!$C$15),Projects!$B$15*Projects!$I$15,0)+IF(AND(Projects!$G$16="Yes",Projects!$F$16="Yes",23=Projects!$C$16),Projects!$B$16*Projects!$I$16,0)+IF(AND(Projects!$G$7="Yes",23=Projects!$C$7),Assumptions!$D$18,0)+SUMPRODUCT((Projects!$G$17:$G$46="Yes")*(Projects!$F$17:$F$46="Yes")*(23=Projects!$C$17:$C$46)*Projects!$B$17:$B$46*Projects!$I$17:$I$46)),Actuals!AB16)</f>
        <v/>
      </c>
      <c r="AB106" s="392">
        <f>IF(ISBLANK(Actuals!AC16),-(IF(AND(Projects!$G$6="Yes",Projects!$F$6="Yes",24=Projects!$C$6),Projects!$B$6*Projects!$I$6,0)+IF(AND(Projects!$G$7="Yes",Projects!$F$7="Yes",24=Projects!$C$7),Projects!$B$7*Projects!$I$7,0)+IF(AND(Projects!$G$8="Yes",Projects!$F$8="Yes",24=Projects!$C$8),Projects!$B$8*Projects!$I$8,0)+IF(AND(Projects!$G$9="Yes",Projects!$F$9="Yes",24=Projects!$C$9),Projects!$B$9*Projects!$I$9,0)+IF(AND(Projects!$G$10="Yes",Projects!$F$10="Yes",24=Projects!$C$10),Projects!$B$10*Projects!$I$10,0)+IF(AND(Projects!$G$11="Yes",Projects!$F$11="Yes",24=Projects!$C$11),Projects!$B$11*Projects!$I$11,0)+IF(AND(Projects!$G$12="Yes",Projects!$F$12="Yes",24=Projects!$C$12),Projects!$B$12*Projects!$I$12,0)+IF(AND(Projects!$G$13="Yes",Projects!$F$13="Yes",24=Projects!$C$13),Projects!$B$13*Projects!$I$13,0)+IF(AND(Projects!$G$14="Yes",Projects!$F$14="Yes",24=Projects!$C$14),Projects!$B$14*Projects!$I$14,0)+IF(AND(Projects!$G$15="Yes",Projects!$F$15="Yes",24=Projects!$C$15),Projects!$B$15*Projects!$I$15,0)+IF(AND(Projects!$G$16="Yes",Projects!$F$16="Yes",24=Projects!$C$16),Projects!$B$16*Projects!$I$16,0)+IF(AND(Projects!$G$7="Yes",24=Projects!$C$7),Assumptions!$D$18,0)+SUMPRODUCT((Projects!$G$17:$G$46="Yes")*(Projects!$F$17:$F$46="Yes")*(24=Projects!$C$17:$C$46)*Projects!$B$17:$B$46*Projects!$I$17:$I$46)),Actuals!AC16)</f>
        <v/>
      </c>
      <c r="AC106" s="392">
        <f>IF(ISBLANK(Actuals!AD16),-(IF(AND(Projects!$G$6="Yes",Projects!$F$6="Yes",25=Projects!$C$6),Projects!$B$6*Projects!$I$6,0)+IF(AND(Projects!$G$7="Yes",Projects!$F$7="Yes",25=Projects!$C$7),Projects!$B$7*Projects!$I$7,0)+IF(AND(Projects!$G$8="Yes",Projects!$F$8="Yes",25=Projects!$C$8),Projects!$B$8*Projects!$I$8,0)+IF(AND(Projects!$G$9="Yes",Projects!$F$9="Yes",25=Projects!$C$9),Projects!$B$9*Projects!$I$9,0)+IF(AND(Projects!$G$10="Yes",Projects!$F$10="Yes",25=Projects!$C$10),Projects!$B$10*Projects!$I$10,0)+IF(AND(Projects!$G$11="Yes",Projects!$F$11="Yes",25=Projects!$C$11),Projects!$B$11*Projects!$I$11,0)+IF(AND(Projects!$G$12="Yes",Projects!$F$12="Yes",25=Projects!$C$12),Projects!$B$12*Projects!$I$12,0)+IF(AND(Projects!$G$13="Yes",Projects!$F$13="Yes",25=Projects!$C$13),Projects!$B$13*Projects!$I$13,0)+IF(AND(Projects!$G$14="Yes",Projects!$F$14="Yes",25=Projects!$C$14),Projects!$B$14*Projects!$I$14,0)+IF(AND(Projects!$G$15="Yes",Projects!$F$15="Yes",25=Projects!$C$15),Projects!$B$15*Projects!$I$15,0)+IF(AND(Projects!$G$16="Yes",Projects!$F$16="Yes",25=Projects!$C$16),Projects!$B$16*Projects!$I$16,0)+IF(AND(Projects!$G$7="Yes",25=Projects!$C$7),Assumptions!$D$18,0)+SUMPRODUCT((Projects!$G$17:$G$46="Yes")*(Projects!$F$17:$F$46="Yes")*(25=Projects!$C$17:$C$46)*Projects!$B$17:$B$46*Projects!$I$17:$I$46)),Actuals!AD16)</f>
        <v/>
      </c>
      <c r="AD106" s="392">
        <f>IF(ISBLANK(Actuals!AE16),-(IF(AND(Projects!$G$6="Yes",Projects!$F$6="Yes",26=Projects!$C$6),Projects!$B$6*Projects!$I$6,0)+IF(AND(Projects!$G$7="Yes",Projects!$F$7="Yes",26=Projects!$C$7),Projects!$B$7*Projects!$I$7,0)+IF(AND(Projects!$G$8="Yes",Projects!$F$8="Yes",26=Projects!$C$8),Projects!$B$8*Projects!$I$8,0)+IF(AND(Projects!$G$9="Yes",Projects!$F$9="Yes",26=Projects!$C$9),Projects!$B$9*Projects!$I$9,0)+IF(AND(Projects!$G$10="Yes",Projects!$F$10="Yes",26=Projects!$C$10),Projects!$B$10*Projects!$I$10,0)+IF(AND(Projects!$G$11="Yes",Projects!$F$11="Yes",26=Projects!$C$11),Projects!$B$11*Projects!$I$11,0)+IF(AND(Projects!$G$12="Yes",Projects!$F$12="Yes",26=Projects!$C$12),Projects!$B$12*Projects!$I$12,0)+IF(AND(Projects!$G$13="Yes",Projects!$F$13="Yes",26=Projects!$C$13),Projects!$B$13*Projects!$I$13,0)+IF(AND(Projects!$G$14="Yes",Projects!$F$14="Yes",26=Projects!$C$14),Projects!$B$14*Projects!$I$14,0)+IF(AND(Projects!$G$15="Yes",Projects!$F$15="Yes",26=Projects!$C$15),Projects!$B$15*Projects!$I$15,0)+IF(AND(Projects!$G$16="Yes",Projects!$F$16="Yes",26=Projects!$C$16),Projects!$B$16*Projects!$I$16,0)+IF(AND(Projects!$G$7="Yes",26=Projects!$C$7),Assumptions!$D$18,0)+SUMPRODUCT((Projects!$G$17:$G$46="Yes")*(Projects!$F$17:$F$46="Yes")*(26=Projects!$C$17:$C$46)*Projects!$B$17:$B$46*Projects!$I$17:$I$46)),Actuals!AE16)</f>
        <v/>
      </c>
      <c r="AE106" s="392">
        <f>IF(ISBLANK(Actuals!AF16),-(IF(AND(Projects!$G$6="Yes",Projects!$F$6="Yes",27=Projects!$C$6),Projects!$B$6*Projects!$I$6,0)+IF(AND(Projects!$G$7="Yes",Projects!$F$7="Yes",27=Projects!$C$7),Projects!$B$7*Projects!$I$7,0)+IF(AND(Projects!$G$8="Yes",Projects!$F$8="Yes",27=Projects!$C$8),Projects!$B$8*Projects!$I$8,0)+IF(AND(Projects!$G$9="Yes",Projects!$F$9="Yes",27=Projects!$C$9),Projects!$B$9*Projects!$I$9,0)+IF(AND(Projects!$G$10="Yes",Projects!$F$10="Yes",27=Projects!$C$10),Projects!$B$10*Projects!$I$10,0)+IF(AND(Projects!$G$11="Yes",Projects!$F$11="Yes",27=Projects!$C$11),Projects!$B$11*Projects!$I$11,0)+IF(AND(Projects!$G$12="Yes",Projects!$F$12="Yes",27=Projects!$C$12),Projects!$B$12*Projects!$I$12,0)+IF(AND(Projects!$G$13="Yes",Projects!$F$13="Yes",27=Projects!$C$13),Projects!$B$13*Projects!$I$13,0)+IF(AND(Projects!$G$14="Yes",Projects!$F$14="Yes",27=Projects!$C$14),Projects!$B$14*Projects!$I$14,0)+IF(AND(Projects!$G$15="Yes",Projects!$F$15="Yes",27=Projects!$C$15),Projects!$B$15*Projects!$I$15,0)+IF(AND(Projects!$G$16="Yes",Projects!$F$16="Yes",27=Projects!$C$16),Projects!$B$16*Projects!$I$16,0)+IF(AND(Projects!$G$7="Yes",27=Projects!$C$7),Assumptions!$D$18,0)+SUMPRODUCT((Projects!$G$17:$G$46="Yes")*(Projects!$F$17:$F$46="Yes")*(27=Projects!$C$17:$C$46)*Projects!$B$17:$B$46*Projects!$I$17:$I$46)),Actuals!AF16)</f>
        <v/>
      </c>
      <c r="AF106" s="392">
        <f>IF(ISBLANK(Actuals!AG16),-(IF(AND(Projects!$G$6="Yes",Projects!$F$6="Yes",28=Projects!$C$6),Projects!$B$6*Projects!$I$6,0)+IF(AND(Projects!$G$7="Yes",Projects!$F$7="Yes",28=Projects!$C$7),Projects!$B$7*Projects!$I$7,0)+IF(AND(Projects!$G$8="Yes",Projects!$F$8="Yes",28=Projects!$C$8),Projects!$B$8*Projects!$I$8,0)+IF(AND(Projects!$G$9="Yes",Projects!$F$9="Yes",28=Projects!$C$9),Projects!$B$9*Projects!$I$9,0)+IF(AND(Projects!$G$10="Yes",Projects!$F$10="Yes",28=Projects!$C$10),Projects!$B$10*Projects!$I$10,0)+IF(AND(Projects!$G$11="Yes",Projects!$F$11="Yes",28=Projects!$C$11),Projects!$B$11*Projects!$I$11,0)+IF(AND(Projects!$G$12="Yes",Projects!$F$12="Yes",28=Projects!$C$12),Projects!$B$12*Projects!$I$12,0)+IF(AND(Projects!$G$13="Yes",Projects!$F$13="Yes",28=Projects!$C$13),Projects!$B$13*Projects!$I$13,0)+IF(AND(Projects!$G$14="Yes",Projects!$F$14="Yes",28=Projects!$C$14),Projects!$B$14*Projects!$I$14,0)+IF(AND(Projects!$G$15="Yes",Projects!$F$15="Yes",28=Projects!$C$15),Projects!$B$15*Projects!$I$15,0)+IF(AND(Projects!$G$16="Yes",Projects!$F$16="Yes",28=Projects!$C$16),Projects!$B$16*Projects!$I$16,0)+IF(AND(Projects!$G$7="Yes",28=Projects!$C$7),Assumptions!$D$18,0)+SUMPRODUCT((Projects!$G$17:$G$46="Yes")*(Projects!$F$17:$F$46="Yes")*(28=Projects!$C$17:$C$46)*Projects!$B$17:$B$46*Projects!$I$17:$I$46)),Actuals!AG16)</f>
        <v/>
      </c>
      <c r="AG106" s="392">
        <f>IF(ISBLANK(Actuals!AH16),-(IF(AND(Projects!$G$6="Yes",Projects!$F$6="Yes",29=Projects!$C$6),Projects!$B$6*Projects!$I$6,0)+IF(AND(Projects!$G$7="Yes",Projects!$F$7="Yes",29=Projects!$C$7),Projects!$B$7*Projects!$I$7,0)+IF(AND(Projects!$G$8="Yes",Projects!$F$8="Yes",29=Projects!$C$8),Projects!$B$8*Projects!$I$8,0)+IF(AND(Projects!$G$9="Yes",Projects!$F$9="Yes",29=Projects!$C$9),Projects!$B$9*Projects!$I$9,0)+IF(AND(Projects!$G$10="Yes",Projects!$F$10="Yes",29=Projects!$C$10),Projects!$B$10*Projects!$I$10,0)+IF(AND(Projects!$G$11="Yes",Projects!$F$11="Yes",29=Projects!$C$11),Projects!$B$11*Projects!$I$11,0)+IF(AND(Projects!$G$12="Yes",Projects!$F$12="Yes",29=Projects!$C$12),Projects!$B$12*Projects!$I$12,0)+IF(AND(Projects!$G$13="Yes",Projects!$F$13="Yes",29=Projects!$C$13),Projects!$B$13*Projects!$I$13,0)+IF(AND(Projects!$G$14="Yes",Projects!$F$14="Yes",29=Projects!$C$14),Projects!$B$14*Projects!$I$14,0)+IF(AND(Projects!$G$15="Yes",Projects!$F$15="Yes",29=Projects!$C$15),Projects!$B$15*Projects!$I$15,0)+IF(AND(Projects!$G$16="Yes",Projects!$F$16="Yes",29=Projects!$C$16),Projects!$B$16*Projects!$I$16,0)+IF(AND(Projects!$G$7="Yes",29=Projects!$C$7),Assumptions!$D$18,0)+SUMPRODUCT((Projects!$G$17:$G$46="Yes")*(Projects!$F$17:$F$46="Yes")*(29=Projects!$C$17:$C$46)*Projects!$B$17:$B$46*Projects!$I$17:$I$46)),Actuals!AH16)</f>
        <v/>
      </c>
      <c r="AH106" s="392">
        <f>IF(ISBLANK(Actuals!AI16),-(IF(AND(Projects!$G$6="Yes",Projects!$F$6="Yes",30=Projects!$C$6),Projects!$B$6*Projects!$I$6,0)+IF(AND(Projects!$G$7="Yes",Projects!$F$7="Yes",30=Projects!$C$7),Projects!$B$7*Projects!$I$7,0)+IF(AND(Projects!$G$8="Yes",Projects!$F$8="Yes",30=Projects!$C$8),Projects!$B$8*Projects!$I$8,0)+IF(AND(Projects!$G$9="Yes",Projects!$F$9="Yes",30=Projects!$C$9),Projects!$B$9*Projects!$I$9,0)+IF(AND(Projects!$G$10="Yes",Projects!$F$10="Yes",30=Projects!$C$10),Projects!$B$10*Projects!$I$10,0)+IF(AND(Projects!$G$11="Yes",Projects!$F$11="Yes",30=Projects!$C$11),Projects!$B$11*Projects!$I$11,0)+IF(AND(Projects!$G$12="Yes",Projects!$F$12="Yes",30=Projects!$C$12),Projects!$B$12*Projects!$I$12,0)+IF(AND(Projects!$G$13="Yes",Projects!$F$13="Yes",30=Projects!$C$13),Projects!$B$13*Projects!$I$13,0)+IF(AND(Projects!$G$14="Yes",Projects!$F$14="Yes",30=Projects!$C$14),Projects!$B$14*Projects!$I$14,0)+IF(AND(Projects!$G$15="Yes",Projects!$F$15="Yes",30=Projects!$C$15),Projects!$B$15*Projects!$I$15,0)+IF(AND(Projects!$G$16="Yes",Projects!$F$16="Yes",30=Projects!$C$16),Projects!$B$16*Projects!$I$16,0)+IF(AND(Projects!$G$7="Yes",30=Projects!$C$7),Assumptions!$D$18,0)+SUMPRODUCT((Projects!$G$17:$G$46="Yes")*(Projects!$F$17:$F$46="Yes")*(30=Projects!$C$17:$C$46)*Projects!$B$17:$B$46*Projects!$I$17:$I$46)),Actuals!AI16)</f>
        <v/>
      </c>
      <c r="AI106" s="392">
        <f>IF(ISBLANK(Actuals!AJ16),-(IF(AND(Projects!$G$6="Yes",Projects!$F$6="Yes",31=Projects!$C$6),Projects!$B$6*Projects!$I$6,0)+IF(AND(Projects!$G$7="Yes",Projects!$F$7="Yes",31=Projects!$C$7),Projects!$B$7*Projects!$I$7,0)+IF(AND(Projects!$G$8="Yes",Projects!$F$8="Yes",31=Projects!$C$8),Projects!$B$8*Projects!$I$8,0)+IF(AND(Projects!$G$9="Yes",Projects!$F$9="Yes",31=Projects!$C$9),Projects!$B$9*Projects!$I$9,0)+IF(AND(Projects!$G$10="Yes",Projects!$F$10="Yes",31=Projects!$C$10),Projects!$B$10*Projects!$I$10,0)+IF(AND(Projects!$G$11="Yes",Projects!$F$11="Yes",31=Projects!$C$11),Projects!$B$11*Projects!$I$11,0)+IF(AND(Projects!$G$12="Yes",Projects!$F$12="Yes",31=Projects!$C$12),Projects!$B$12*Projects!$I$12,0)+IF(AND(Projects!$G$13="Yes",Projects!$F$13="Yes",31=Projects!$C$13),Projects!$B$13*Projects!$I$13,0)+IF(AND(Projects!$G$14="Yes",Projects!$F$14="Yes",31=Projects!$C$14),Projects!$B$14*Projects!$I$14,0)+IF(AND(Projects!$G$15="Yes",Projects!$F$15="Yes",31=Projects!$C$15),Projects!$B$15*Projects!$I$15,0)+IF(AND(Projects!$G$16="Yes",Projects!$F$16="Yes",31=Projects!$C$16),Projects!$B$16*Projects!$I$16,0)+IF(AND(Projects!$G$7="Yes",31=Projects!$C$7),Assumptions!$D$18,0)+SUMPRODUCT((Projects!$G$17:$G$46="Yes")*(Projects!$F$17:$F$46="Yes")*(31=Projects!$C$17:$C$46)*Projects!$B$17:$B$46*Projects!$I$17:$I$46)),Actuals!AJ16)</f>
        <v/>
      </c>
      <c r="AJ106" s="392">
        <f>IF(ISBLANK(Actuals!AK16),-(IF(AND(Projects!$G$6="Yes",Projects!$F$6="Yes",32=Projects!$C$6),Projects!$B$6*Projects!$I$6,0)+IF(AND(Projects!$G$7="Yes",Projects!$F$7="Yes",32=Projects!$C$7),Projects!$B$7*Projects!$I$7,0)+IF(AND(Projects!$G$8="Yes",Projects!$F$8="Yes",32=Projects!$C$8),Projects!$B$8*Projects!$I$8,0)+IF(AND(Projects!$G$9="Yes",Projects!$F$9="Yes",32=Projects!$C$9),Projects!$B$9*Projects!$I$9,0)+IF(AND(Projects!$G$10="Yes",Projects!$F$10="Yes",32=Projects!$C$10),Projects!$B$10*Projects!$I$10,0)+IF(AND(Projects!$G$11="Yes",Projects!$F$11="Yes",32=Projects!$C$11),Projects!$B$11*Projects!$I$11,0)+IF(AND(Projects!$G$12="Yes",Projects!$F$12="Yes",32=Projects!$C$12),Projects!$B$12*Projects!$I$12,0)+IF(AND(Projects!$G$13="Yes",Projects!$F$13="Yes",32=Projects!$C$13),Projects!$B$13*Projects!$I$13,0)+IF(AND(Projects!$G$14="Yes",Projects!$F$14="Yes",32=Projects!$C$14),Projects!$B$14*Projects!$I$14,0)+IF(AND(Projects!$G$15="Yes",Projects!$F$15="Yes",32=Projects!$C$15),Projects!$B$15*Projects!$I$15,0)+IF(AND(Projects!$G$16="Yes",Projects!$F$16="Yes",32=Projects!$C$16),Projects!$B$16*Projects!$I$16,0)+IF(AND(Projects!$G$7="Yes",32=Projects!$C$7),Assumptions!$D$18,0)+SUMPRODUCT((Projects!$G$17:$G$46="Yes")*(Projects!$F$17:$F$46="Yes")*(32=Projects!$C$17:$C$46)*Projects!$B$17:$B$46*Projects!$I$17:$I$46)),Actuals!AK16)</f>
        <v/>
      </c>
      <c r="AK106" s="392">
        <f>IF(ISBLANK(Actuals!AL16),-(IF(AND(Projects!$G$6="Yes",Projects!$F$6="Yes",33=Projects!$C$6),Projects!$B$6*Projects!$I$6,0)+IF(AND(Projects!$G$7="Yes",Projects!$F$7="Yes",33=Projects!$C$7),Projects!$B$7*Projects!$I$7,0)+IF(AND(Projects!$G$8="Yes",Projects!$F$8="Yes",33=Projects!$C$8),Projects!$B$8*Projects!$I$8,0)+IF(AND(Projects!$G$9="Yes",Projects!$F$9="Yes",33=Projects!$C$9),Projects!$B$9*Projects!$I$9,0)+IF(AND(Projects!$G$10="Yes",Projects!$F$10="Yes",33=Projects!$C$10),Projects!$B$10*Projects!$I$10,0)+IF(AND(Projects!$G$11="Yes",Projects!$F$11="Yes",33=Projects!$C$11),Projects!$B$11*Projects!$I$11,0)+IF(AND(Projects!$G$12="Yes",Projects!$F$12="Yes",33=Projects!$C$12),Projects!$B$12*Projects!$I$12,0)+IF(AND(Projects!$G$13="Yes",Projects!$F$13="Yes",33=Projects!$C$13),Projects!$B$13*Projects!$I$13,0)+IF(AND(Projects!$G$14="Yes",Projects!$F$14="Yes",33=Projects!$C$14),Projects!$B$14*Projects!$I$14,0)+IF(AND(Projects!$G$15="Yes",Projects!$F$15="Yes",33=Projects!$C$15),Projects!$B$15*Projects!$I$15,0)+IF(AND(Projects!$G$16="Yes",Projects!$F$16="Yes",33=Projects!$C$16),Projects!$B$16*Projects!$I$16,0)+IF(AND(Projects!$G$7="Yes",33=Projects!$C$7),Assumptions!$D$18,0)+SUMPRODUCT((Projects!$G$17:$G$46="Yes")*(Projects!$F$17:$F$46="Yes")*(33=Projects!$C$17:$C$46)*Projects!$B$17:$B$46*Projects!$I$17:$I$46)),Actuals!AL16)</f>
        <v/>
      </c>
      <c r="AL106" s="392">
        <f>IF(ISBLANK(Actuals!AM16),-(IF(AND(Projects!$G$6="Yes",Projects!$F$6="Yes",34=Projects!$C$6),Projects!$B$6*Projects!$I$6,0)+IF(AND(Projects!$G$7="Yes",Projects!$F$7="Yes",34=Projects!$C$7),Projects!$B$7*Projects!$I$7,0)+IF(AND(Projects!$G$8="Yes",Projects!$F$8="Yes",34=Projects!$C$8),Projects!$B$8*Projects!$I$8,0)+IF(AND(Projects!$G$9="Yes",Projects!$F$9="Yes",34=Projects!$C$9),Projects!$B$9*Projects!$I$9,0)+IF(AND(Projects!$G$10="Yes",Projects!$F$10="Yes",34=Projects!$C$10),Projects!$B$10*Projects!$I$10,0)+IF(AND(Projects!$G$11="Yes",Projects!$F$11="Yes",34=Projects!$C$11),Projects!$B$11*Projects!$I$11,0)+IF(AND(Projects!$G$12="Yes",Projects!$F$12="Yes",34=Projects!$C$12),Projects!$B$12*Projects!$I$12,0)+IF(AND(Projects!$G$13="Yes",Projects!$F$13="Yes",34=Projects!$C$13),Projects!$B$13*Projects!$I$13,0)+IF(AND(Projects!$G$14="Yes",Projects!$F$14="Yes",34=Projects!$C$14),Projects!$B$14*Projects!$I$14,0)+IF(AND(Projects!$G$15="Yes",Projects!$F$15="Yes",34=Projects!$C$15),Projects!$B$15*Projects!$I$15,0)+IF(AND(Projects!$G$16="Yes",Projects!$F$16="Yes",34=Projects!$C$16),Projects!$B$16*Projects!$I$16,0)+IF(AND(Projects!$G$7="Yes",34=Projects!$C$7),Assumptions!$D$18,0)+SUMPRODUCT((Projects!$G$17:$G$46="Yes")*(Projects!$F$17:$F$46="Yes")*(34=Projects!$C$17:$C$46)*Projects!$B$17:$B$46*Projects!$I$17:$I$46)),Actuals!AM16)</f>
        <v/>
      </c>
      <c r="AM106" s="392">
        <f>IF(ISBLANK(Actuals!AN16),-(IF(AND(Projects!$G$6="Yes",Projects!$F$6="Yes",35=Projects!$C$6),Projects!$B$6*Projects!$I$6,0)+IF(AND(Projects!$G$7="Yes",Projects!$F$7="Yes",35=Projects!$C$7),Projects!$B$7*Projects!$I$7,0)+IF(AND(Projects!$G$8="Yes",Projects!$F$8="Yes",35=Projects!$C$8),Projects!$B$8*Projects!$I$8,0)+IF(AND(Projects!$G$9="Yes",Projects!$F$9="Yes",35=Projects!$C$9),Projects!$B$9*Projects!$I$9,0)+IF(AND(Projects!$G$10="Yes",Projects!$F$10="Yes",35=Projects!$C$10),Projects!$B$10*Projects!$I$10,0)+IF(AND(Projects!$G$11="Yes",Projects!$F$11="Yes",35=Projects!$C$11),Projects!$B$11*Projects!$I$11,0)+IF(AND(Projects!$G$12="Yes",Projects!$F$12="Yes",35=Projects!$C$12),Projects!$B$12*Projects!$I$12,0)+IF(AND(Projects!$G$13="Yes",Projects!$F$13="Yes",35=Projects!$C$13),Projects!$B$13*Projects!$I$13,0)+IF(AND(Projects!$G$14="Yes",Projects!$F$14="Yes",35=Projects!$C$14),Projects!$B$14*Projects!$I$14,0)+IF(AND(Projects!$G$15="Yes",Projects!$F$15="Yes",35=Projects!$C$15),Projects!$B$15*Projects!$I$15,0)+IF(AND(Projects!$G$16="Yes",Projects!$F$16="Yes",35=Projects!$C$16),Projects!$B$16*Projects!$I$16,0)+IF(AND(Projects!$G$7="Yes",35=Projects!$C$7),Assumptions!$D$18,0)+SUMPRODUCT((Projects!$G$17:$G$46="Yes")*(Projects!$F$17:$F$46="Yes")*(35=Projects!$C$17:$C$46)*Projects!$B$17:$B$46*Projects!$I$17:$I$46)),Actuals!AN16)</f>
        <v/>
      </c>
      <c r="AN106" s="392">
        <f>IF(ISBLANK(Actuals!AO16),-(IF(AND(Projects!$G$6="Yes",Projects!$F$6="Yes",36=Projects!$C$6),Projects!$B$6*Projects!$I$6,0)+IF(AND(Projects!$G$7="Yes",Projects!$F$7="Yes",36=Projects!$C$7),Projects!$B$7*Projects!$I$7,0)+IF(AND(Projects!$G$8="Yes",Projects!$F$8="Yes",36=Projects!$C$8),Projects!$B$8*Projects!$I$8,0)+IF(AND(Projects!$G$9="Yes",Projects!$F$9="Yes",36=Projects!$C$9),Projects!$B$9*Projects!$I$9,0)+IF(AND(Projects!$G$10="Yes",Projects!$F$10="Yes",36=Projects!$C$10),Projects!$B$10*Projects!$I$10,0)+IF(AND(Projects!$G$11="Yes",Projects!$F$11="Yes",36=Projects!$C$11),Projects!$B$11*Projects!$I$11,0)+IF(AND(Projects!$G$12="Yes",Projects!$F$12="Yes",36=Projects!$C$12),Projects!$B$12*Projects!$I$12,0)+IF(AND(Projects!$G$13="Yes",Projects!$F$13="Yes",36=Projects!$C$13),Projects!$B$13*Projects!$I$13,0)+IF(AND(Projects!$G$14="Yes",Projects!$F$14="Yes",36=Projects!$C$14),Projects!$B$14*Projects!$I$14,0)+IF(AND(Projects!$G$15="Yes",Projects!$F$15="Yes",36=Projects!$C$15),Projects!$B$15*Projects!$I$15,0)+IF(AND(Projects!$G$16="Yes",Projects!$F$16="Yes",36=Projects!$C$16),Projects!$B$16*Projects!$I$16,0)+IF(AND(Projects!$G$7="Yes",36=Projects!$C$7),Assumptions!$D$18,0)+SUMPRODUCT((Projects!$G$17:$G$46="Yes")*(Projects!$F$17:$F$46="Yes")*(36=Projects!$C$17:$C$46)*Projects!$B$17:$B$46*Projects!$I$17:$I$46)),Actuals!AO16)</f>
        <v/>
      </c>
      <c r="AO106" s="392">
        <f>IF(ISBLANK(Actuals!AP16),-(IF(AND(Projects!$G$6="Yes",Projects!$F$6="Yes",37=Projects!$C$6),Projects!$B$6*Projects!$I$6,0)+IF(AND(Projects!$G$7="Yes",Projects!$F$7="Yes",37=Projects!$C$7),Projects!$B$7*Projects!$I$7,0)+IF(AND(Projects!$G$8="Yes",Projects!$F$8="Yes",37=Projects!$C$8),Projects!$B$8*Projects!$I$8,0)+IF(AND(Projects!$G$9="Yes",Projects!$F$9="Yes",37=Projects!$C$9),Projects!$B$9*Projects!$I$9,0)+IF(AND(Projects!$G$10="Yes",Projects!$F$10="Yes",37=Projects!$C$10),Projects!$B$10*Projects!$I$10,0)+IF(AND(Projects!$G$11="Yes",Projects!$F$11="Yes",37=Projects!$C$11),Projects!$B$11*Projects!$I$11,0)+IF(AND(Projects!$G$12="Yes",Projects!$F$12="Yes",37=Projects!$C$12),Projects!$B$12*Projects!$I$12,0)+IF(AND(Projects!$G$13="Yes",Projects!$F$13="Yes",37=Projects!$C$13),Projects!$B$13*Projects!$I$13,0)+IF(AND(Projects!$G$14="Yes",Projects!$F$14="Yes",37=Projects!$C$14),Projects!$B$14*Projects!$I$14,0)+IF(AND(Projects!$G$15="Yes",Projects!$F$15="Yes",37=Projects!$C$15),Projects!$B$15*Projects!$I$15,0)+IF(AND(Projects!$G$16="Yes",Projects!$F$16="Yes",37=Projects!$C$16),Projects!$B$16*Projects!$I$16,0)+IF(AND(Projects!$G$7="Yes",37=Projects!$C$7),Assumptions!$D$18,0)+SUMPRODUCT((Projects!$G$17:$G$46="Yes")*(Projects!$F$17:$F$46="Yes")*(37=Projects!$C$17:$C$46)*Projects!$B$17:$B$46*Projects!$I$17:$I$46)),Actuals!AP16)</f>
        <v/>
      </c>
      <c r="AP106" s="392">
        <f>IF(ISBLANK(Actuals!AQ16),-(IF(AND(Projects!$G$6="Yes",Projects!$F$6="Yes",38=Projects!$C$6),Projects!$B$6*Projects!$I$6,0)+IF(AND(Projects!$G$7="Yes",Projects!$F$7="Yes",38=Projects!$C$7),Projects!$B$7*Projects!$I$7,0)+IF(AND(Projects!$G$8="Yes",Projects!$F$8="Yes",38=Projects!$C$8),Projects!$B$8*Projects!$I$8,0)+IF(AND(Projects!$G$9="Yes",Projects!$F$9="Yes",38=Projects!$C$9),Projects!$B$9*Projects!$I$9,0)+IF(AND(Projects!$G$10="Yes",Projects!$F$10="Yes",38=Projects!$C$10),Projects!$B$10*Projects!$I$10,0)+IF(AND(Projects!$G$11="Yes",Projects!$F$11="Yes",38=Projects!$C$11),Projects!$B$11*Projects!$I$11,0)+IF(AND(Projects!$G$12="Yes",Projects!$F$12="Yes",38=Projects!$C$12),Projects!$B$12*Projects!$I$12,0)+IF(AND(Projects!$G$13="Yes",Projects!$F$13="Yes",38=Projects!$C$13),Projects!$B$13*Projects!$I$13,0)+IF(AND(Projects!$G$14="Yes",Projects!$F$14="Yes",38=Projects!$C$14),Projects!$B$14*Projects!$I$14,0)+IF(AND(Projects!$G$15="Yes",Projects!$F$15="Yes",38=Projects!$C$15),Projects!$B$15*Projects!$I$15,0)+IF(AND(Projects!$G$16="Yes",Projects!$F$16="Yes",38=Projects!$C$16),Projects!$B$16*Projects!$I$16,0)+IF(AND(Projects!$G$7="Yes",38=Projects!$C$7),Assumptions!$D$18,0)+SUMPRODUCT((Projects!$G$17:$G$46="Yes")*(Projects!$F$17:$F$46="Yes")*(38=Projects!$C$17:$C$46)*Projects!$B$17:$B$46*Projects!$I$17:$I$46)),Actuals!AQ16)</f>
        <v/>
      </c>
      <c r="AQ106" s="392">
        <f>IF(ISBLANK(Actuals!AR16),-(IF(AND(Projects!$G$6="Yes",Projects!$F$6="Yes",39=Projects!$C$6),Projects!$B$6*Projects!$I$6,0)+IF(AND(Projects!$G$7="Yes",Projects!$F$7="Yes",39=Projects!$C$7),Projects!$B$7*Projects!$I$7,0)+IF(AND(Projects!$G$8="Yes",Projects!$F$8="Yes",39=Projects!$C$8),Projects!$B$8*Projects!$I$8,0)+IF(AND(Projects!$G$9="Yes",Projects!$F$9="Yes",39=Projects!$C$9),Projects!$B$9*Projects!$I$9,0)+IF(AND(Projects!$G$10="Yes",Projects!$F$10="Yes",39=Projects!$C$10),Projects!$B$10*Projects!$I$10,0)+IF(AND(Projects!$G$11="Yes",Projects!$F$11="Yes",39=Projects!$C$11),Projects!$B$11*Projects!$I$11,0)+IF(AND(Projects!$G$12="Yes",Projects!$F$12="Yes",39=Projects!$C$12),Projects!$B$12*Projects!$I$12,0)+IF(AND(Projects!$G$13="Yes",Projects!$F$13="Yes",39=Projects!$C$13),Projects!$B$13*Projects!$I$13,0)+IF(AND(Projects!$G$14="Yes",Projects!$F$14="Yes",39=Projects!$C$14),Projects!$B$14*Projects!$I$14,0)+IF(AND(Projects!$G$15="Yes",Projects!$F$15="Yes",39=Projects!$C$15),Projects!$B$15*Projects!$I$15,0)+IF(AND(Projects!$G$16="Yes",Projects!$F$16="Yes",39=Projects!$C$16),Projects!$B$16*Projects!$I$16,0)+IF(AND(Projects!$G$7="Yes",39=Projects!$C$7),Assumptions!$D$18,0)+SUMPRODUCT((Projects!$G$17:$G$46="Yes")*(Projects!$F$17:$F$46="Yes")*(39=Projects!$C$17:$C$46)*Projects!$B$17:$B$46*Projects!$I$17:$I$46)),Actuals!AR16)</f>
        <v/>
      </c>
      <c r="AR106" s="392">
        <f>IF(ISBLANK(Actuals!AS16),-(IF(AND(Projects!$G$6="Yes",Projects!$F$6="Yes",40=Projects!$C$6),Projects!$B$6*Projects!$I$6,0)+IF(AND(Projects!$G$7="Yes",Projects!$F$7="Yes",40=Projects!$C$7),Projects!$B$7*Projects!$I$7,0)+IF(AND(Projects!$G$8="Yes",Projects!$F$8="Yes",40=Projects!$C$8),Projects!$B$8*Projects!$I$8,0)+IF(AND(Projects!$G$9="Yes",Projects!$F$9="Yes",40=Projects!$C$9),Projects!$B$9*Projects!$I$9,0)+IF(AND(Projects!$G$10="Yes",Projects!$F$10="Yes",40=Projects!$C$10),Projects!$B$10*Projects!$I$10,0)+IF(AND(Projects!$G$11="Yes",Projects!$F$11="Yes",40=Projects!$C$11),Projects!$B$11*Projects!$I$11,0)+IF(AND(Projects!$G$12="Yes",Projects!$F$12="Yes",40=Projects!$C$12),Projects!$B$12*Projects!$I$12,0)+IF(AND(Projects!$G$13="Yes",Projects!$F$13="Yes",40=Projects!$C$13),Projects!$B$13*Projects!$I$13,0)+IF(AND(Projects!$G$14="Yes",Projects!$F$14="Yes",40=Projects!$C$14),Projects!$B$14*Projects!$I$14,0)+IF(AND(Projects!$G$15="Yes",Projects!$F$15="Yes",40=Projects!$C$15),Projects!$B$15*Projects!$I$15,0)+IF(AND(Projects!$G$16="Yes",Projects!$F$16="Yes",40=Projects!$C$16),Projects!$B$16*Projects!$I$16,0)+IF(AND(Projects!$G$7="Yes",40=Projects!$C$7),Assumptions!$D$18,0)+SUMPRODUCT((Projects!$G$17:$G$46="Yes")*(Projects!$F$17:$F$46="Yes")*(40=Projects!$C$17:$C$46)*Projects!$B$17:$B$46*Projects!$I$17:$I$46)),Actuals!AS16)</f>
        <v/>
      </c>
      <c r="AS106" s="392">
        <f>IF(ISBLANK(Actuals!AT16),-(IF(AND(Projects!$G$6="Yes",Projects!$F$6="Yes",41=Projects!$C$6),Projects!$B$6*Projects!$I$6,0)+IF(AND(Projects!$G$7="Yes",Projects!$F$7="Yes",41=Projects!$C$7),Projects!$B$7*Projects!$I$7,0)+IF(AND(Projects!$G$8="Yes",Projects!$F$8="Yes",41=Projects!$C$8),Projects!$B$8*Projects!$I$8,0)+IF(AND(Projects!$G$9="Yes",Projects!$F$9="Yes",41=Projects!$C$9),Projects!$B$9*Projects!$I$9,0)+IF(AND(Projects!$G$10="Yes",Projects!$F$10="Yes",41=Projects!$C$10),Projects!$B$10*Projects!$I$10,0)+IF(AND(Projects!$G$11="Yes",Projects!$F$11="Yes",41=Projects!$C$11),Projects!$B$11*Projects!$I$11,0)+IF(AND(Projects!$G$12="Yes",Projects!$F$12="Yes",41=Projects!$C$12),Projects!$B$12*Projects!$I$12,0)+IF(AND(Projects!$G$13="Yes",Projects!$F$13="Yes",41=Projects!$C$13),Projects!$B$13*Projects!$I$13,0)+IF(AND(Projects!$G$14="Yes",Projects!$F$14="Yes",41=Projects!$C$14),Projects!$B$14*Projects!$I$14,0)+IF(AND(Projects!$G$15="Yes",Projects!$F$15="Yes",41=Projects!$C$15),Projects!$B$15*Projects!$I$15,0)+IF(AND(Projects!$G$16="Yes",Projects!$F$16="Yes",41=Projects!$C$16),Projects!$B$16*Projects!$I$16,0)+IF(AND(Projects!$G$7="Yes",41=Projects!$C$7),Assumptions!$D$18,0)+SUMPRODUCT((Projects!$G$17:$G$46="Yes")*(Projects!$F$17:$F$46="Yes")*(41=Projects!$C$17:$C$46)*Projects!$B$17:$B$46*Projects!$I$17:$I$46)),Actuals!AT16)</f>
        <v/>
      </c>
      <c r="AT106" s="392">
        <f>IF(ISBLANK(Actuals!AU16),-(IF(AND(Projects!$G$6="Yes",Projects!$F$6="Yes",42=Projects!$C$6),Projects!$B$6*Projects!$I$6,0)+IF(AND(Projects!$G$7="Yes",Projects!$F$7="Yes",42=Projects!$C$7),Projects!$B$7*Projects!$I$7,0)+IF(AND(Projects!$G$8="Yes",Projects!$F$8="Yes",42=Projects!$C$8),Projects!$B$8*Projects!$I$8,0)+IF(AND(Projects!$G$9="Yes",Projects!$F$9="Yes",42=Projects!$C$9),Projects!$B$9*Projects!$I$9,0)+IF(AND(Projects!$G$10="Yes",Projects!$F$10="Yes",42=Projects!$C$10),Projects!$B$10*Projects!$I$10,0)+IF(AND(Projects!$G$11="Yes",Projects!$F$11="Yes",42=Projects!$C$11),Projects!$B$11*Projects!$I$11,0)+IF(AND(Projects!$G$12="Yes",Projects!$F$12="Yes",42=Projects!$C$12),Projects!$B$12*Projects!$I$12,0)+IF(AND(Projects!$G$13="Yes",Projects!$F$13="Yes",42=Projects!$C$13),Projects!$B$13*Projects!$I$13,0)+IF(AND(Projects!$G$14="Yes",Projects!$F$14="Yes",42=Projects!$C$14),Projects!$B$14*Projects!$I$14,0)+IF(AND(Projects!$G$15="Yes",Projects!$F$15="Yes",42=Projects!$C$15),Projects!$B$15*Projects!$I$15,0)+IF(AND(Projects!$G$16="Yes",Projects!$F$16="Yes",42=Projects!$C$16),Projects!$B$16*Projects!$I$16,0)+IF(AND(Projects!$G$7="Yes",42=Projects!$C$7),Assumptions!$D$18,0)+SUMPRODUCT((Projects!$G$17:$G$46="Yes")*(Projects!$F$17:$F$46="Yes")*(42=Projects!$C$17:$C$46)*Projects!$B$17:$B$46*Projects!$I$17:$I$46)),Actuals!AU16)</f>
        <v/>
      </c>
      <c r="AU106" s="392">
        <f>IF(ISBLANK(Actuals!AV16),-(IF(AND(Projects!$G$6="Yes",Projects!$F$6="Yes",43=Projects!$C$6),Projects!$B$6*Projects!$I$6,0)+IF(AND(Projects!$G$7="Yes",Projects!$F$7="Yes",43=Projects!$C$7),Projects!$B$7*Projects!$I$7,0)+IF(AND(Projects!$G$8="Yes",Projects!$F$8="Yes",43=Projects!$C$8),Projects!$B$8*Projects!$I$8,0)+IF(AND(Projects!$G$9="Yes",Projects!$F$9="Yes",43=Projects!$C$9),Projects!$B$9*Projects!$I$9,0)+IF(AND(Projects!$G$10="Yes",Projects!$F$10="Yes",43=Projects!$C$10),Projects!$B$10*Projects!$I$10,0)+IF(AND(Projects!$G$11="Yes",Projects!$F$11="Yes",43=Projects!$C$11),Projects!$B$11*Projects!$I$11,0)+IF(AND(Projects!$G$12="Yes",Projects!$F$12="Yes",43=Projects!$C$12),Projects!$B$12*Projects!$I$12,0)+IF(AND(Projects!$G$13="Yes",Projects!$F$13="Yes",43=Projects!$C$13),Projects!$B$13*Projects!$I$13,0)+IF(AND(Projects!$G$14="Yes",Projects!$F$14="Yes",43=Projects!$C$14),Projects!$B$14*Projects!$I$14,0)+IF(AND(Projects!$G$15="Yes",Projects!$F$15="Yes",43=Projects!$C$15),Projects!$B$15*Projects!$I$15,0)+IF(AND(Projects!$G$16="Yes",Projects!$F$16="Yes",43=Projects!$C$16),Projects!$B$16*Projects!$I$16,0)+IF(AND(Projects!$G$7="Yes",43=Projects!$C$7),Assumptions!$D$18,0)+SUMPRODUCT((Projects!$G$17:$G$46="Yes")*(Projects!$F$17:$F$46="Yes")*(43=Projects!$C$17:$C$46)*Projects!$B$17:$B$46*Projects!$I$17:$I$46)),Actuals!AV16)</f>
        <v/>
      </c>
      <c r="AV106" s="392">
        <f>IF(ISBLANK(Actuals!AW16),-(IF(AND(Projects!$G$6="Yes",Projects!$F$6="Yes",44=Projects!$C$6),Projects!$B$6*Projects!$I$6,0)+IF(AND(Projects!$G$7="Yes",Projects!$F$7="Yes",44=Projects!$C$7),Projects!$B$7*Projects!$I$7,0)+IF(AND(Projects!$G$8="Yes",Projects!$F$8="Yes",44=Projects!$C$8),Projects!$B$8*Projects!$I$8,0)+IF(AND(Projects!$G$9="Yes",Projects!$F$9="Yes",44=Projects!$C$9),Projects!$B$9*Projects!$I$9,0)+IF(AND(Projects!$G$10="Yes",Projects!$F$10="Yes",44=Projects!$C$10),Projects!$B$10*Projects!$I$10,0)+IF(AND(Projects!$G$11="Yes",Projects!$F$11="Yes",44=Projects!$C$11),Projects!$B$11*Projects!$I$11,0)+IF(AND(Projects!$G$12="Yes",Projects!$F$12="Yes",44=Projects!$C$12),Projects!$B$12*Projects!$I$12,0)+IF(AND(Projects!$G$13="Yes",Projects!$F$13="Yes",44=Projects!$C$13),Projects!$B$13*Projects!$I$13,0)+IF(AND(Projects!$G$14="Yes",Projects!$F$14="Yes",44=Projects!$C$14),Projects!$B$14*Projects!$I$14,0)+IF(AND(Projects!$G$15="Yes",Projects!$F$15="Yes",44=Projects!$C$15),Projects!$B$15*Projects!$I$15,0)+IF(AND(Projects!$G$16="Yes",Projects!$F$16="Yes",44=Projects!$C$16),Projects!$B$16*Projects!$I$16,0)+IF(AND(Projects!$G$7="Yes",44=Projects!$C$7),Assumptions!$D$18,0)+SUMPRODUCT((Projects!$G$17:$G$46="Yes")*(Projects!$F$17:$F$46="Yes")*(44=Projects!$C$17:$C$46)*Projects!$B$17:$B$46*Projects!$I$17:$I$46)),Actuals!AW16)</f>
        <v/>
      </c>
      <c r="AW106" s="392">
        <f>IF(ISBLANK(Actuals!AX16),-(IF(AND(Projects!$G$6="Yes",Projects!$F$6="Yes",45=Projects!$C$6),Projects!$B$6*Projects!$I$6,0)+IF(AND(Projects!$G$7="Yes",Projects!$F$7="Yes",45=Projects!$C$7),Projects!$B$7*Projects!$I$7,0)+IF(AND(Projects!$G$8="Yes",Projects!$F$8="Yes",45=Projects!$C$8),Projects!$B$8*Projects!$I$8,0)+IF(AND(Projects!$G$9="Yes",Projects!$F$9="Yes",45=Projects!$C$9),Projects!$B$9*Projects!$I$9,0)+IF(AND(Projects!$G$10="Yes",Projects!$F$10="Yes",45=Projects!$C$10),Projects!$B$10*Projects!$I$10,0)+IF(AND(Projects!$G$11="Yes",Projects!$F$11="Yes",45=Projects!$C$11),Projects!$B$11*Projects!$I$11,0)+IF(AND(Projects!$G$12="Yes",Projects!$F$12="Yes",45=Projects!$C$12),Projects!$B$12*Projects!$I$12,0)+IF(AND(Projects!$G$13="Yes",Projects!$F$13="Yes",45=Projects!$C$13),Projects!$B$13*Projects!$I$13,0)+IF(AND(Projects!$G$14="Yes",Projects!$F$14="Yes",45=Projects!$C$14),Projects!$B$14*Projects!$I$14,0)+IF(AND(Projects!$G$15="Yes",Projects!$F$15="Yes",45=Projects!$C$15),Projects!$B$15*Projects!$I$15,0)+IF(AND(Projects!$G$16="Yes",Projects!$F$16="Yes",45=Projects!$C$16),Projects!$B$16*Projects!$I$16,0)+IF(AND(Projects!$G$7="Yes",45=Projects!$C$7),Assumptions!$D$18,0)+SUMPRODUCT((Projects!$G$17:$G$46="Yes")*(Projects!$F$17:$F$46="Yes")*(45=Projects!$C$17:$C$46)*Projects!$B$17:$B$46*Projects!$I$17:$I$46)),Actuals!AX16)</f>
        <v/>
      </c>
      <c r="AX106" s="392">
        <f>IF(ISBLANK(Actuals!AY16),-(IF(AND(Projects!$G$6="Yes",Projects!$F$6="Yes",46=Projects!$C$6),Projects!$B$6*Projects!$I$6,0)+IF(AND(Projects!$G$7="Yes",Projects!$F$7="Yes",46=Projects!$C$7),Projects!$B$7*Projects!$I$7,0)+IF(AND(Projects!$G$8="Yes",Projects!$F$8="Yes",46=Projects!$C$8),Projects!$B$8*Projects!$I$8,0)+IF(AND(Projects!$G$9="Yes",Projects!$F$9="Yes",46=Projects!$C$9),Projects!$B$9*Projects!$I$9,0)+IF(AND(Projects!$G$10="Yes",Projects!$F$10="Yes",46=Projects!$C$10),Projects!$B$10*Projects!$I$10,0)+IF(AND(Projects!$G$11="Yes",Projects!$F$11="Yes",46=Projects!$C$11),Projects!$B$11*Projects!$I$11,0)+IF(AND(Projects!$G$12="Yes",Projects!$F$12="Yes",46=Projects!$C$12),Projects!$B$12*Projects!$I$12,0)+IF(AND(Projects!$G$13="Yes",Projects!$F$13="Yes",46=Projects!$C$13),Projects!$B$13*Projects!$I$13,0)+IF(AND(Projects!$G$14="Yes",Projects!$F$14="Yes",46=Projects!$C$14),Projects!$B$14*Projects!$I$14,0)+IF(AND(Projects!$G$15="Yes",Projects!$F$15="Yes",46=Projects!$C$15),Projects!$B$15*Projects!$I$15,0)+IF(AND(Projects!$G$16="Yes",Projects!$F$16="Yes",46=Projects!$C$16),Projects!$B$16*Projects!$I$16,0)+IF(AND(Projects!$G$7="Yes",46=Projects!$C$7),Assumptions!$D$18,0)+SUMPRODUCT((Projects!$G$17:$G$46="Yes")*(Projects!$F$17:$F$46="Yes")*(46=Projects!$C$17:$C$46)*Projects!$B$17:$B$46*Projects!$I$17:$I$46)),Actuals!AY16)</f>
        <v/>
      </c>
      <c r="AY106" s="392">
        <f>IF(ISBLANK(Actuals!AZ16),-(IF(AND(Projects!$G$6="Yes",Projects!$F$6="Yes",47=Projects!$C$6),Projects!$B$6*Projects!$I$6,0)+IF(AND(Projects!$G$7="Yes",Projects!$F$7="Yes",47=Projects!$C$7),Projects!$B$7*Projects!$I$7,0)+IF(AND(Projects!$G$8="Yes",Projects!$F$8="Yes",47=Projects!$C$8),Projects!$B$8*Projects!$I$8,0)+IF(AND(Projects!$G$9="Yes",Projects!$F$9="Yes",47=Projects!$C$9),Projects!$B$9*Projects!$I$9,0)+IF(AND(Projects!$G$10="Yes",Projects!$F$10="Yes",47=Projects!$C$10),Projects!$B$10*Projects!$I$10,0)+IF(AND(Projects!$G$11="Yes",Projects!$F$11="Yes",47=Projects!$C$11),Projects!$B$11*Projects!$I$11,0)+IF(AND(Projects!$G$12="Yes",Projects!$F$12="Yes",47=Projects!$C$12),Projects!$B$12*Projects!$I$12,0)+IF(AND(Projects!$G$13="Yes",Projects!$F$13="Yes",47=Projects!$C$13),Projects!$B$13*Projects!$I$13,0)+IF(AND(Projects!$G$14="Yes",Projects!$F$14="Yes",47=Projects!$C$14),Projects!$B$14*Projects!$I$14,0)+IF(AND(Projects!$G$15="Yes",Projects!$F$15="Yes",47=Projects!$C$15),Projects!$B$15*Projects!$I$15,0)+IF(AND(Projects!$G$16="Yes",Projects!$F$16="Yes",47=Projects!$C$16),Projects!$B$16*Projects!$I$16,0)+IF(AND(Projects!$G$7="Yes",47=Projects!$C$7),Assumptions!$D$18,0)+SUMPRODUCT((Projects!$G$17:$G$46="Yes")*(Projects!$F$17:$F$46="Yes")*(47=Projects!$C$17:$C$46)*Projects!$B$17:$B$46*Projects!$I$17:$I$46)),Actuals!AZ16)</f>
        <v/>
      </c>
      <c r="AZ106" s="392">
        <f>IF(ISBLANK(Actuals!BA16),-(IF(AND(Projects!$G$6="Yes",Projects!$F$6="Yes",48=Projects!$C$6),Projects!$B$6*Projects!$I$6,0)+IF(AND(Projects!$G$7="Yes",Projects!$F$7="Yes",48=Projects!$C$7),Projects!$B$7*Projects!$I$7,0)+IF(AND(Projects!$G$8="Yes",Projects!$F$8="Yes",48=Projects!$C$8),Projects!$B$8*Projects!$I$8,0)+IF(AND(Projects!$G$9="Yes",Projects!$F$9="Yes",48=Projects!$C$9),Projects!$B$9*Projects!$I$9,0)+IF(AND(Projects!$G$10="Yes",Projects!$F$10="Yes",48=Projects!$C$10),Projects!$B$10*Projects!$I$10,0)+IF(AND(Projects!$G$11="Yes",Projects!$F$11="Yes",48=Projects!$C$11),Projects!$B$11*Projects!$I$11,0)+IF(AND(Projects!$G$12="Yes",Projects!$F$12="Yes",48=Projects!$C$12),Projects!$B$12*Projects!$I$12,0)+IF(AND(Projects!$G$13="Yes",Projects!$F$13="Yes",48=Projects!$C$13),Projects!$B$13*Projects!$I$13,0)+IF(AND(Projects!$G$14="Yes",Projects!$F$14="Yes",48=Projects!$C$14),Projects!$B$14*Projects!$I$14,0)+IF(AND(Projects!$G$15="Yes",Projects!$F$15="Yes",48=Projects!$C$15),Projects!$B$15*Projects!$I$15,0)+IF(AND(Projects!$G$16="Yes",Projects!$F$16="Yes",48=Projects!$C$16),Projects!$B$16*Projects!$I$16,0)+IF(AND(Projects!$G$7="Yes",48=Projects!$C$7),Assumptions!$D$18,0)+SUMPRODUCT((Projects!$G$17:$G$46="Yes")*(Projects!$F$17:$F$46="Yes")*(48=Projects!$C$17:$C$46)*Projects!$B$17:$B$46*Projects!$I$17:$I$46)),Actuals!BA16)</f>
        <v/>
      </c>
      <c r="BA106" s="392">
        <f>IF(ISBLANK(Actuals!BB16),-(IF(AND(Projects!$G$6="Yes",Projects!$F$6="Yes",49=Projects!$C$6),Projects!$B$6*Projects!$I$6,0)+IF(AND(Projects!$G$7="Yes",Projects!$F$7="Yes",49=Projects!$C$7),Projects!$B$7*Projects!$I$7,0)+IF(AND(Projects!$G$8="Yes",Projects!$F$8="Yes",49=Projects!$C$8),Projects!$B$8*Projects!$I$8,0)+IF(AND(Projects!$G$9="Yes",Projects!$F$9="Yes",49=Projects!$C$9),Projects!$B$9*Projects!$I$9,0)+IF(AND(Projects!$G$10="Yes",Projects!$F$10="Yes",49=Projects!$C$10),Projects!$B$10*Projects!$I$10,0)+IF(AND(Projects!$G$11="Yes",Projects!$F$11="Yes",49=Projects!$C$11),Projects!$B$11*Projects!$I$11,0)+IF(AND(Projects!$G$12="Yes",Projects!$F$12="Yes",49=Projects!$C$12),Projects!$B$12*Projects!$I$12,0)+IF(AND(Projects!$G$13="Yes",Projects!$F$13="Yes",49=Projects!$C$13),Projects!$B$13*Projects!$I$13,0)+IF(AND(Projects!$G$14="Yes",Projects!$F$14="Yes",49=Projects!$C$14),Projects!$B$14*Projects!$I$14,0)+IF(AND(Projects!$G$15="Yes",Projects!$F$15="Yes",49=Projects!$C$15),Projects!$B$15*Projects!$I$15,0)+IF(AND(Projects!$G$16="Yes",Projects!$F$16="Yes",49=Projects!$C$16),Projects!$B$16*Projects!$I$16,0)+IF(AND(Projects!$G$7="Yes",49=Projects!$C$7),Assumptions!$D$18,0)+SUMPRODUCT((Projects!$G$17:$G$46="Yes")*(Projects!$F$17:$F$46="Yes")*(49=Projects!$C$17:$C$46)*Projects!$B$17:$B$46*Projects!$I$17:$I$46)),Actuals!BB16)</f>
        <v/>
      </c>
      <c r="BB106" s="392">
        <f>IF(ISBLANK(Actuals!BC16),-(IF(AND(Projects!$G$6="Yes",Projects!$F$6="Yes",50=Projects!$C$6),Projects!$B$6*Projects!$I$6,0)+IF(AND(Projects!$G$7="Yes",Projects!$F$7="Yes",50=Projects!$C$7),Projects!$B$7*Projects!$I$7,0)+IF(AND(Projects!$G$8="Yes",Projects!$F$8="Yes",50=Projects!$C$8),Projects!$B$8*Projects!$I$8,0)+IF(AND(Projects!$G$9="Yes",Projects!$F$9="Yes",50=Projects!$C$9),Projects!$B$9*Projects!$I$9,0)+IF(AND(Projects!$G$10="Yes",Projects!$F$10="Yes",50=Projects!$C$10),Projects!$B$10*Projects!$I$10,0)+IF(AND(Projects!$G$11="Yes",Projects!$F$11="Yes",50=Projects!$C$11),Projects!$B$11*Projects!$I$11,0)+IF(AND(Projects!$G$12="Yes",Projects!$F$12="Yes",50=Projects!$C$12),Projects!$B$12*Projects!$I$12,0)+IF(AND(Projects!$G$13="Yes",Projects!$F$13="Yes",50=Projects!$C$13),Projects!$B$13*Projects!$I$13,0)+IF(AND(Projects!$G$14="Yes",Projects!$F$14="Yes",50=Projects!$C$14),Projects!$B$14*Projects!$I$14,0)+IF(AND(Projects!$G$15="Yes",Projects!$F$15="Yes",50=Projects!$C$15),Projects!$B$15*Projects!$I$15,0)+IF(AND(Projects!$G$16="Yes",Projects!$F$16="Yes",50=Projects!$C$16),Projects!$B$16*Projects!$I$16,0)+IF(AND(Projects!$G$7="Yes",50=Projects!$C$7),Assumptions!$D$18,0)+SUMPRODUCT((Projects!$G$17:$G$46="Yes")*(Projects!$F$17:$F$46="Yes")*(50=Projects!$C$17:$C$46)*Projects!$B$17:$B$46*Projects!$I$17:$I$46)),Actuals!BC16)</f>
        <v/>
      </c>
      <c r="BC106" s="392">
        <f>IF(ISBLANK(Actuals!BD16),-(IF(AND(Projects!$G$6="Yes",Projects!$F$6="Yes",51=Projects!$C$6),Projects!$B$6*Projects!$I$6,0)+IF(AND(Projects!$G$7="Yes",Projects!$F$7="Yes",51=Projects!$C$7),Projects!$B$7*Projects!$I$7,0)+IF(AND(Projects!$G$8="Yes",Projects!$F$8="Yes",51=Projects!$C$8),Projects!$B$8*Projects!$I$8,0)+IF(AND(Projects!$G$9="Yes",Projects!$F$9="Yes",51=Projects!$C$9),Projects!$B$9*Projects!$I$9,0)+IF(AND(Projects!$G$10="Yes",Projects!$F$10="Yes",51=Projects!$C$10),Projects!$B$10*Projects!$I$10,0)+IF(AND(Projects!$G$11="Yes",Projects!$F$11="Yes",51=Projects!$C$11),Projects!$B$11*Projects!$I$11,0)+IF(AND(Projects!$G$12="Yes",Projects!$F$12="Yes",51=Projects!$C$12),Projects!$B$12*Projects!$I$12,0)+IF(AND(Projects!$G$13="Yes",Projects!$F$13="Yes",51=Projects!$C$13),Projects!$B$13*Projects!$I$13,0)+IF(AND(Projects!$G$14="Yes",Projects!$F$14="Yes",51=Projects!$C$14),Projects!$B$14*Projects!$I$14,0)+IF(AND(Projects!$G$15="Yes",Projects!$F$15="Yes",51=Projects!$C$15),Projects!$B$15*Projects!$I$15,0)+IF(AND(Projects!$G$16="Yes",Projects!$F$16="Yes",51=Projects!$C$16),Projects!$B$16*Projects!$I$16,0)+IF(AND(Projects!$G$7="Yes",51=Projects!$C$7),Assumptions!$D$18,0)+SUMPRODUCT((Projects!$G$17:$G$46="Yes")*(Projects!$F$17:$F$46="Yes")*(51=Projects!$C$17:$C$46)*Projects!$B$17:$B$46*Projects!$I$17:$I$46)),Actuals!BD16)</f>
        <v/>
      </c>
      <c r="BD106" s="392">
        <f>IF(ISBLANK(Actuals!BE16),-(IF(AND(Projects!$G$6="Yes",Projects!$F$6="Yes",52=Projects!$C$6),Projects!$B$6*Projects!$I$6,0)+IF(AND(Projects!$G$7="Yes",Projects!$F$7="Yes",52=Projects!$C$7),Projects!$B$7*Projects!$I$7,0)+IF(AND(Projects!$G$8="Yes",Projects!$F$8="Yes",52=Projects!$C$8),Projects!$B$8*Projects!$I$8,0)+IF(AND(Projects!$G$9="Yes",Projects!$F$9="Yes",52=Projects!$C$9),Projects!$B$9*Projects!$I$9,0)+IF(AND(Projects!$G$10="Yes",Projects!$F$10="Yes",52=Projects!$C$10),Projects!$B$10*Projects!$I$10,0)+IF(AND(Projects!$G$11="Yes",Projects!$F$11="Yes",52=Projects!$C$11),Projects!$B$11*Projects!$I$11,0)+IF(AND(Projects!$G$12="Yes",Projects!$F$12="Yes",52=Projects!$C$12),Projects!$B$12*Projects!$I$12,0)+IF(AND(Projects!$G$13="Yes",Projects!$F$13="Yes",52=Projects!$C$13),Projects!$B$13*Projects!$I$13,0)+IF(AND(Projects!$G$14="Yes",Projects!$F$14="Yes",52=Projects!$C$14),Projects!$B$14*Projects!$I$14,0)+IF(AND(Projects!$G$15="Yes",Projects!$F$15="Yes",52=Projects!$C$15),Projects!$B$15*Projects!$I$15,0)+IF(AND(Projects!$G$16="Yes",Projects!$F$16="Yes",52=Projects!$C$16),Projects!$B$16*Projects!$I$16,0)+IF(AND(Projects!$G$7="Yes",52=Projects!$C$7),Assumptions!$D$18,0)+SUMPRODUCT((Projects!$G$17:$G$46="Yes")*(Projects!$F$17:$F$46="Yes")*(52=Projects!$C$17:$C$46)*Projects!$B$17:$B$46*Projects!$I$17:$I$46)),Actuals!BE16)</f>
        <v/>
      </c>
      <c r="BE106" s="392">
        <f>IF(ISBLANK(Actuals!BF16),-(IF(AND(Projects!$G$6="Yes",Projects!$F$6="Yes",53=Projects!$C$6),Projects!$B$6*Projects!$I$6,0)+IF(AND(Projects!$G$7="Yes",Projects!$F$7="Yes",53=Projects!$C$7),Projects!$B$7*Projects!$I$7,0)+IF(AND(Projects!$G$8="Yes",Projects!$F$8="Yes",53=Projects!$C$8),Projects!$B$8*Projects!$I$8,0)+IF(AND(Projects!$G$9="Yes",Projects!$F$9="Yes",53=Projects!$C$9),Projects!$B$9*Projects!$I$9,0)+IF(AND(Projects!$G$10="Yes",Projects!$F$10="Yes",53=Projects!$C$10),Projects!$B$10*Projects!$I$10,0)+IF(AND(Projects!$G$11="Yes",Projects!$F$11="Yes",53=Projects!$C$11),Projects!$B$11*Projects!$I$11,0)+IF(AND(Projects!$G$12="Yes",Projects!$F$12="Yes",53=Projects!$C$12),Projects!$B$12*Projects!$I$12,0)+IF(AND(Projects!$G$13="Yes",Projects!$F$13="Yes",53=Projects!$C$13),Projects!$B$13*Projects!$I$13,0)+IF(AND(Projects!$G$14="Yes",Projects!$F$14="Yes",53=Projects!$C$14),Projects!$B$14*Projects!$I$14,0)+IF(AND(Projects!$G$15="Yes",Projects!$F$15="Yes",53=Projects!$C$15),Projects!$B$15*Projects!$I$15,0)+IF(AND(Projects!$G$16="Yes",Projects!$F$16="Yes",53=Projects!$C$16),Projects!$B$16*Projects!$I$16,0)+IF(AND(Projects!$G$7="Yes",53=Projects!$C$7),Assumptions!$D$18,0)+SUMPRODUCT((Projects!$G$17:$G$46="Yes")*(Projects!$F$17:$F$46="Yes")*(53=Projects!$C$17:$C$46)*Projects!$B$17:$B$46*Projects!$I$17:$I$46)),Actuals!BF16)</f>
        <v/>
      </c>
      <c r="BF106" s="392">
        <f>IF(ISBLANK(Actuals!BG16),-(IF(AND(Projects!$G$6="Yes",Projects!$F$6="Yes",54=Projects!$C$6),Projects!$B$6*Projects!$I$6,0)+IF(AND(Projects!$G$7="Yes",Projects!$F$7="Yes",54=Projects!$C$7),Projects!$B$7*Projects!$I$7,0)+IF(AND(Projects!$G$8="Yes",Projects!$F$8="Yes",54=Projects!$C$8),Projects!$B$8*Projects!$I$8,0)+IF(AND(Projects!$G$9="Yes",Projects!$F$9="Yes",54=Projects!$C$9),Projects!$B$9*Projects!$I$9,0)+IF(AND(Projects!$G$10="Yes",Projects!$F$10="Yes",54=Projects!$C$10),Projects!$B$10*Projects!$I$10,0)+IF(AND(Projects!$G$11="Yes",Projects!$F$11="Yes",54=Projects!$C$11),Projects!$B$11*Projects!$I$11,0)+IF(AND(Projects!$G$12="Yes",Projects!$F$12="Yes",54=Projects!$C$12),Projects!$B$12*Projects!$I$12,0)+IF(AND(Projects!$G$13="Yes",Projects!$F$13="Yes",54=Projects!$C$13),Projects!$B$13*Projects!$I$13,0)+IF(AND(Projects!$G$14="Yes",Projects!$F$14="Yes",54=Projects!$C$14),Projects!$B$14*Projects!$I$14,0)+IF(AND(Projects!$G$15="Yes",Projects!$F$15="Yes",54=Projects!$C$15),Projects!$B$15*Projects!$I$15,0)+IF(AND(Projects!$G$16="Yes",Projects!$F$16="Yes",54=Projects!$C$16),Projects!$B$16*Projects!$I$16,0)+IF(AND(Projects!$G$7="Yes",54=Projects!$C$7),Assumptions!$D$18,0)+SUMPRODUCT((Projects!$G$17:$G$46="Yes")*(Projects!$F$17:$F$46="Yes")*(54=Projects!$C$17:$C$46)*Projects!$B$17:$B$46*Projects!$I$17:$I$46)),Actuals!BG16)</f>
        <v/>
      </c>
      <c r="BG106" s="392">
        <f>IF(ISBLANK(Actuals!BH16),-(IF(AND(Projects!$G$6="Yes",Projects!$F$6="Yes",55=Projects!$C$6),Projects!$B$6*Projects!$I$6,0)+IF(AND(Projects!$G$7="Yes",Projects!$F$7="Yes",55=Projects!$C$7),Projects!$B$7*Projects!$I$7,0)+IF(AND(Projects!$G$8="Yes",Projects!$F$8="Yes",55=Projects!$C$8),Projects!$B$8*Projects!$I$8,0)+IF(AND(Projects!$G$9="Yes",Projects!$F$9="Yes",55=Projects!$C$9),Projects!$B$9*Projects!$I$9,0)+IF(AND(Projects!$G$10="Yes",Projects!$F$10="Yes",55=Projects!$C$10),Projects!$B$10*Projects!$I$10,0)+IF(AND(Projects!$G$11="Yes",Projects!$F$11="Yes",55=Projects!$C$11),Projects!$B$11*Projects!$I$11,0)+IF(AND(Projects!$G$12="Yes",Projects!$F$12="Yes",55=Projects!$C$12),Projects!$B$12*Projects!$I$12,0)+IF(AND(Projects!$G$13="Yes",Projects!$F$13="Yes",55=Projects!$C$13),Projects!$B$13*Projects!$I$13,0)+IF(AND(Projects!$G$14="Yes",Projects!$F$14="Yes",55=Projects!$C$14),Projects!$B$14*Projects!$I$14,0)+IF(AND(Projects!$G$15="Yes",Projects!$F$15="Yes",55=Projects!$C$15),Projects!$B$15*Projects!$I$15,0)+IF(AND(Projects!$G$16="Yes",Projects!$F$16="Yes",55=Projects!$C$16),Projects!$B$16*Projects!$I$16,0)+IF(AND(Projects!$G$7="Yes",55=Projects!$C$7),Assumptions!$D$18,0)+SUMPRODUCT((Projects!$G$17:$G$46="Yes")*(Projects!$F$17:$F$46="Yes")*(55=Projects!$C$17:$C$46)*Projects!$B$17:$B$46*Projects!$I$17:$I$46)),Actuals!BH16)</f>
        <v/>
      </c>
      <c r="BH106" s="392">
        <f>IF(ISBLANK(Actuals!BI16),-(IF(AND(Projects!$G$6="Yes",Projects!$F$6="Yes",56=Projects!$C$6),Projects!$B$6*Projects!$I$6,0)+IF(AND(Projects!$G$7="Yes",Projects!$F$7="Yes",56=Projects!$C$7),Projects!$B$7*Projects!$I$7,0)+IF(AND(Projects!$G$8="Yes",Projects!$F$8="Yes",56=Projects!$C$8),Projects!$B$8*Projects!$I$8,0)+IF(AND(Projects!$G$9="Yes",Projects!$F$9="Yes",56=Projects!$C$9),Projects!$B$9*Projects!$I$9,0)+IF(AND(Projects!$G$10="Yes",Projects!$F$10="Yes",56=Projects!$C$10),Projects!$B$10*Projects!$I$10,0)+IF(AND(Projects!$G$11="Yes",Projects!$F$11="Yes",56=Projects!$C$11),Projects!$B$11*Projects!$I$11,0)+IF(AND(Projects!$G$12="Yes",Projects!$F$12="Yes",56=Projects!$C$12),Projects!$B$12*Projects!$I$12,0)+IF(AND(Projects!$G$13="Yes",Projects!$F$13="Yes",56=Projects!$C$13),Projects!$B$13*Projects!$I$13,0)+IF(AND(Projects!$G$14="Yes",Projects!$F$14="Yes",56=Projects!$C$14),Projects!$B$14*Projects!$I$14,0)+IF(AND(Projects!$G$15="Yes",Projects!$F$15="Yes",56=Projects!$C$15),Projects!$B$15*Projects!$I$15,0)+IF(AND(Projects!$G$16="Yes",Projects!$F$16="Yes",56=Projects!$C$16),Projects!$B$16*Projects!$I$16,0)+IF(AND(Projects!$G$7="Yes",56=Projects!$C$7),Assumptions!$D$18,0)+SUMPRODUCT((Projects!$G$17:$G$46="Yes")*(Projects!$F$17:$F$46="Yes")*(56=Projects!$C$17:$C$46)*Projects!$B$17:$B$46*Projects!$I$17:$I$46)),Actuals!BI16)</f>
        <v/>
      </c>
      <c r="BI106" s="392">
        <f>IF(ISBLANK(Actuals!BJ16),-(IF(AND(Projects!$G$6="Yes",Projects!$F$6="Yes",57=Projects!$C$6),Projects!$B$6*Projects!$I$6,0)+IF(AND(Projects!$G$7="Yes",Projects!$F$7="Yes",57=Projects!$C$7),Projects!$B$7*Projects!$I$7,0)+IF(AND(Projects!$G$8="Yes",Projects!$F$8="Yes",57=Projects!$C$8),Projects!$B$8*Projects!$I$8,0)+IF(AND(Projects!$G$9="Yes",Projects!$F$9="Yes",57=Projects!$C$9),Projects!$B$9*Projects!$I$9,0)+IF(AND(Projects!$G$10="Yes",Projects!$F$10="Yes",57=Projects!$C$10),Projects!$B$10*Projects!$I$10,0)+IF(AND(Projects!$G$11="Yes",Projects!$F$11="Yes",57=Projects!$C$11),Projects!$B$11*Projects!$I$11,0)+IF(AND(Projects!$G$12="Yes",Projects!$F$12="Yes",57=Projects!$C$12),Projects!$B$12*Projects!$I$12,0)+IF(AND(Projects!$G$13="Yes",Projects!$F$13="Yes",57=Projects!$C$13),Projects!$B$13*Projects!$I$13,0)+IF(AND(Projects!$G$14="Yes",Projects!$F$14="Yes",57=Projects!$C$14),Projects!$B$14*Projects!$I$14,0)+IF(AND(Projects!$G$15="Yes",Projects!$F$15="Yes",57=Projects!$C$15),Projects!$B$15*Projects!$I$15,0)+IF(AND(Projects!$G$16="Yes",Projects!$F$16="Yes",57=Projects!$C$16),Projects!$B$16*Projects!$I$16,0)+IF(AND(Projects!$G$7="Yes",57=Projects!$C$7),Assumptions!$D$18,0)+SUMPRODUCT((Projects!$G$17:$G$46="Yes")*(Projects!$F$17:$F$46="Yes")*(57=Projects!$C$17:$C$46)*Projects!$B$17:$B$46*Projects!$I$17:$I$46)),Actuals!BJ16)</f>
        <v/>
      </c>
      <c r="BJ106" s="392">
        <f>IF(ISBLANK(Actuals!BK16),-(IF(AND(Projects!$G$6="Yes",Projects!$F$6="Yes",58=Projects!$C$6),Projects!$B$6*Projects!$I$6,0)+IF(AND(Projects!$G$7="Yes",Projects!$F$7="Yes",58=Projects!$C$7),Projects!$B$7*Projects!$I$7,0)+IF(AND(Projects!$G$8="Yes",Projects!$F$8="Yes",58=Projects!$C$8),Projects!$B$8*Projects!$I$8,0)+IF(AND(Projects!$G$9="Yes",Projects!$F$9="Yes",58=Projects!$C$9),Projects!$B$9*Projects!$I$9,0)+IF(AND(Projects!$G$10="Yes",Projects!$F$10="Yes",58=Projects!$C$10),Projects!$B$10*Projects!$I$10,0)+IF(AND(Projects!$G$11="Yes",Projects!$F$11="Yes",58=Projects!$C$11),Projects!$B$11*Projects!$I$11,0)+IF(AND(Projects!$G$12="Yes",Projects!$F$12="Yes",58=Projects!$C$12),Projects!$B$12*Projects!$I$12,0)+IF(AND(Projects!$G$13="Yes",Projects!$F$13="Yes",58=Projects!$C$13),Projects!$B$13*Projects!$I$13,0)+IF(AND(Projects!$G$14="Yes",Projects!$F$14="Yes",58=Projects!$C$14),Projects!$B$14*Projects!$I$14,0)+IF(AND(Projects!$G$15="Yes",Projects!$F$15="Yes",58=Projects!$C$15),Projects!$B$15*Projects!$I$15,0)+IF(AND(Projects!$G$16="Yes",Projects!$F$16="Yes",58=Projects!$C$16),Projects!$B$16*Projects!$I$16,0)+IF(AND(Projects!$G$7="Yes",58=Projects!$C$7),Assumptions!$D$18,0)+SUMPRODUCT((Projects!$G$17:$G$46="Yes")*(Projects!$F$17:$F$46="Yes")*(58=Projects!$C$17:$C$46)*Projects!$B$17:$B$46*Projects!$I$17:$I$46)),Actuals!BK16)</f>
        <v/>
      </c>
      <c r="BK106" s="392">
        <f>IF(ISBLANK(Actuals!BL16),-(IF(AND(Projects!$G$6="Yes",Projects!$F$6="Yes",59=Projects!$C$6),Projects!$B$6*Projects!$I$6,0)+IF(AND(Projects!$G$7="Yes",Projects!$F$7="Yes",59=Projects!$C$7),Projects!$B$7*Projects!$I$7,0)+IF(AND(Projects!$G$8="Yes",Projects!$F$8="Yes",59=Projects!$C$8),Projects!$B$8*Projects!$I$8,0)+IF(AND(Projects!$G$9="Yes",Projects!$F$9="Yes",59=Projects!$C$9),Projects!$B$9*Projects!$I$9,0)+IF(AND(Projects!$G$10="Yes",Projects!$F$10="Yes",59=Projects!$C$10),Projects!$B$10*Projects!$I$10,0)+IF(AND(Projects!$G$11="Yes",Projects!$F$11="Yes",59=Projects!$C$11),Projects!$B$11*Projects!$I$11,0)+IF(AND(Projects!$G$12="Yes",Projects!$F$12="Yes",59=Projects!$C$12),Projects!$B$12*Projects!$I$12,0)+IF(AND(Projects!$G$13="Yes",Projects!$F$13="Yes",59=Projects!$C$13),Projects!$B$13*Projects!$I$13,0)+IF(AND(Projects!$G$14="Yes",Projects!$F$14="Yes",59=Projects!$C$14),Projects!$B$14*Projects!$I$14,0)+IF(AND(Projects!$G$15="Yes",Projects!$F$15="Yes",59=Projects!$C$15),Projects!$B$15*Projects!$I$15,0)+IF(AND(Projects!$G$16="Yes",Projects!$F$16="Yes",59=Projects!$C$16),Projects!$B$16*Projects!$I$16,0)+IF(AND(Projects!$G$7="Yes",59=Projects!$C$7),Assumptions!$D$18,0)+SUMPRODUCT((Projects!$G$17:$G$46="Yes")*(Projects!$F$17:$F$46="Yes")*(59=Projects!$C$17:$C$46)*Projects!$B$17:$B$46*Projects!$I$17:$I$46)),Actuals!BL16)</f>
        <v/>
      </c>
      <c r="BL106" s="392">
        <f>IF(ISBLANK(Actuals!BM16),-(IF(AND(Projects!$G$6="Yes",Projects!$F$6="Yes",60=Projects!$C$6),Projects!$B$6*Projects!$I$6,0)+IF(AND(Projects!$G$7="Yes",Projects!$F$7="Yes",60=Projects!$C$7),Projects!$B$7*Projects!$I$7,0)+IF(AND(Projects!$G$8="Yes",Projects!$F$8="Yes",60=Projects!$C$8),Projects!$B$8*Projects!$I$8,0)+IF(AND(Projects!$G$9="Yes",Projects!$F$9="Yes",60=Projects!$C$9),Projects!$B$9*Projects!$I$9,0)+IF(AND(Projects!$G$10="Yes",Projects!$F$10="Yes",60=Projects!$C$10),Projects!$B$10*Projects!$I$10,0)+IF(AND(Projects!$G$11="Yes",Projects!$F$11="Yes",60=Projects!$C$11),Projects!$B$11*Projects!$I$11,0)+IF(AND(Projects!$G$12="Yes",Projects!$F$12="Yes",60=Projects!$C$12),Projects!$B$12*Projects!$I$12,0)+IF(AND(Projects!$G$13="Yes",Projects!$F$13="Yes",60=Projects!$C$13),Projects!$B$13*Projects!$I$13,0)+IF(AND(Projects!$G$14="Yes",Projects!$F$14="Yes",60=Projects!$C$14),Projects!$B$14*Projects!$I$14,0)+IF(AND(Projects!$G$15="Yes",Projects!$F$15="Yes",60=Projects!$C$15),Projects!$B$15*Projects!$I$15,0)+IF(AND(Projects!$G$16="Yes",Projects!$F$16="Yes",60=Projects!$C$16),Projects!$B$16*Projects!$I$16,0)+IF(AND(Projects!$G$7="Yes",60=Projects!$C$7),Assumptions!$D$18,0)+SUMPRODUCT((Projects!$G$17:$G$46="Yes")*(Projects!$F$17:$F$46="Yes")*(60=Projects!$C$17:$C$46)*Projects!$B$17:$B$46*Projects!$I$17:$I$46)),Actuals!BM16)</f>
        <v/>
      </c>
      <c r="BM106" s="392">
        <f>IF(ISBLANK(Actuals!BN16),-(IF(AND(Projects!$G$6="Yes",Projects!$F$6="Yes",61=Projects!$C$6),Projects!$B$6*Projects!$I$6,0)+IF(AND(Projects!$G$7="Yes",Projects!$F$7="Yes",61=Projects!$C$7),Projects!$B$7*Projects!$I$7,0)+IF(AND(Projects!$G$8="Yes",Projects!$F$8="Yes",61=Projects!$C$8),Projects!$B$8*Projects!$I$8,0)+IF(AND(Projects!$G$9="Yes",Projects!$F$9="Yes",61=Projects!$C$9),Projects!$B$9*Projects!$I$9,0)+IF(AND(Projects!$G$10="Yes",Projects!$F$10="Yes",61=Projects!$C$10),Projects!$B$10*Projects!$I$10,0)+IF(AND(Projects!$G$11="Yes",Projects!$F$11="Yes",61=Projects!$C$11),Projects!$B$11*Projects!$I$11,0)+IF(AND(Projects!$G$12="Yes",Projects!$F$12="Yes",61=Projects!$C$12),Projects!$B$12*Projects!$I$12,0)+IF(AND(Projects!$G$13="Yes",Projects!$F$13="Yes",61=Projects!$C$13),Projects!$B$13*Projects!$I$13,0)+IF(AND(Projects!$G$14="Yes",Projects!$F$14="Yes",61=Projects!$C$14),Projects!$B$14*Projects!$I$14,0)+IF(AND(Projects!$G$15="Yes",Projects!$F$15="Yes",61=Projects!$C$15),Projects!$B$15*Projects!$I$15,0)+IF(AND(Projects!$G$16="Yes",Projects!$F$16="Yes",61=Projects!$C$16),Projects!$B$16*Projects!$I$16,0)+IF(AND(Projects!$G$7="Yes",61=Projects!$C$7),Assumptions!$D$18,0)+SUMPRODUCT((Projects!$G$17:$G$46="Yes")*(Projects!$F$17:$F$46="Yes")*(61=Projects!$C$17:$C$46)*Projects!$B$17:$B$46*Projects!$I$17:$I$46)),Actuals!BN16)</f>
        <v/>
      </c>
      <c r="BN106" s="392">
        <f>IF(ISBLANK(Actuals!BO16),-(IF(AND(Projects!$G$6="Yes",Projects!$F$6="Yes",62=Projects!$C$6),Projects!$B$6*Projects!$I$6,0)+IF(AND(Projects!$G$7="Yes",Projects!$F$7="Yes",62=Projects!$C$7),Projects!$B$7*Projects!$I$7,0)+IF(AND(Projects!$G$8="Yes",Projects!$F$8="Yes",62=Projects!$C$8),Projects!$B$8*Projects!$I$8,0)+IF(AND(Projects!$G$9="Yes",Projects!$F$9="Yes",62=Projects!$C$9),Projects!$B$9*Projects!$I$9,0)+IF(AND(Projects!$G$10="Yes",Projects!$F$10="Yes",62=Projects!$C$10),Projects!$B$10*Projects!$I$10,0)+IF(AND(Projects!$G$11="Yes",Projects!$F$11="Yes",62=Projects!$C$11),Projects!$B$11*Projects!$I$11,0)+IF(AND(Projects!$G$12="Yes",Projects!$F$12="Yes",62=Projects!$C$12),Projects!$B$12*Projects!$I$12,0)+IF(AND(Projects!$G$13="Yes",Projects!$F$13="Yes",62=Projects!$C$13),Projects!$B$13*Projects!$I$13,0)+IF(AND(Projects!$G$14="Yes",Projects!$F$14="Yes",62=Projects!$C$14),Projects!$B$14*Projects!$I$14,0)+IF(AND(Projects!$G$15="Yes",Projects!$F$15="Yes",62=Projects!$C$15),Projects!$B$15*Projects!$I$15,0)+IF(AND(Projects!$G$16="Yes",Projects!$F$16="Yes",62=Projects!$C$16),Projects!$B$16*Projects!$I$16,0)+IF(AND(Projects!$G$7="Yes",62=Projects!$C$7),Assumptions!$D$18,0)+SUMPRODUCT((Projects!$G$17:$G$46="Yes")*(Projects!$F$17:$F$46="Yes")*(62=Projects!$C$17:$C$46)*Projects!$B$17:$B$46*Projects!$I$17:$I$46)),Actuals!BO16)</f>
        <v/>
      </c>
      <c r="BO106" s="392">
        <f>IF(ISBLANK(Actuals!BP16),-(IF(AND(Projects!$G$6="Yes",Projects!$F$6="Yes",63=Projects!$C$6),Projects!$B$6*Projects!$I$6,0)+IF(AND(Projects!$G$7="Yes",Projects!$F$7="Yes",63=Projects!$C$7),Projects!$B$7*Projects!$I$7,0)+IF(AND(Projects!$G$8="Yes",Projects!$F$8="Yes",63=Projects!$C$8),Projects!$B$8*Projects!$I$8,0)+IF(AND(Projects!$G$9="Yes",Projects!$F$9="Yes",63=Projects!$C$9),Projects!$B$9*Projects!$I$9,0)+IF(AND(Projects!$G$10="Yes",Projects!$F$10="Yes",63=Projects!$C$10),Projects!$B$10*Projects!$I$10,0)+IF(AND(Projects!$G$11="Yes",Projects!$F$11="Yes",63=Projects!$C$11),Projects!$B$11*Projects!$I$11,0)+IF(AND(Projects!$G$12="Yes",Projects!$F$12="Yes",63=Projects!$C$12),Projects!$B$12*Projects!$I$12,0)+IF(AND(Projects!$G$13="Yes",Projects!$F$13="Yes",63=Projects!$C$13),Projects!$B$13*Projects!$I$13,0)+IF(AND(Projects!$G$14="Yes",Projects!$F$14="Yes",63=Projects!$C$14),Projects!$B$14*Projects!$I$14,0)+IF(AND(Projects!$G$15="Yes",Projects!$F$15="Yes",63=Projects!$C$15),Projects!$B$15*Projects!$I$15,0)+IF(AND(Projects!$G$16="Yes",Projects!$F$16="Yes",63=Projects!$C$16),Projects!$B$16*Projects!$I$16,0)+IF(AND(Projects!$G$7="Yes",63=Projects!$C$7),Assumptions!$D$18,0)+SUMPRODUCT((Projects!$G$17:$G$46="Yes")*(Projects!$F$17:$F$46="Yes")*(63=Projects!$C$17:$C$46)*Projects!$B$17:$B$46*Projects!$I$17:$I$46)),Actuals!BP16)</f>
        <v/>
      </c>
      <c r="BP106" s="392">
        <f>IF(ISBLANK(Actuals!BQ16),-(IF(AND(Projects!$G$6="Yes",Projects!$F$6="Yes",64=Projects!$C$6),Projects!$B$6*Projects!$I$6,0)+IF(AND(Projects!$G$7="Yes",Projects!$F$7="Yes",64=Projects!$C$7),Projects!$B$7*Projects!$I$7,0)+IF(AND(Projects!$G$8="Yes",Projects!$F$8="Yes",64=Projects!$C$8),Projects!$B$8*Projects!$I$8,0)+IF(AND(Projects!$G$9="Yes",Projects!$F$9="Yes",64=Projects!$C$9),Projects!$B$9*Projects!$I$9,0)+IF(AND(Projects!$G$10="Yes",Projects!$F$10="Yes",64=Projects!$C$10),Projects!$B$10*Projects!$I$10,0)+IF(AND(Projects!$G$11="Yes",Projects!$F$11="Yes",64=Projects!$C$11),Projects!$B$11*Projects!$I$11,0)+IF(AND(Projects!$G$12="Yes",Projects!$F$12="Yes",64=Projects!$C$12),Projects!$B$12*Projects!$I$12,0)+IF(AND(Projects!$G$13="Yes",Projects!$F$13="Yes",64=Projects!$C$13),Projects!$B$13*Projects!$I$13,0)+IF(AND(Projects!$G$14="Yes",Projects!$F$14="Yes",64=Projects!$C$14),Projects!$B$14*Projects!$I$14,0)+IF(AND(Projects!$G$15="Yes",Projects!$F$15="Yes",64=Projects!$C$15),Projects!$B$15*Projects!$I$15,0)+IF(AND(Projects!$G$16="Yes",Projects!$F$16="Yes",64=Projects!$C$16),Projects!$B$16*Projects!$I$16,0)+IF(AND(Projects!$G$7="Yes",64=Projects!$C$7),Assumptions!$D$18,0)+SUMPRODUCT((Projects!$G$17:$G$46="Yes")*(Projects!$F$17:$F$46="Yes")*(64=Projects!$C$17:$C$46)*Projects!$B$17:$B$46*Projects!$I$17:$I$46)),Actuals!BQ16)</f>
        <v/>
      </c>
      <c r="BQ106" s="392">
        <f>IF(ISBLANK(Actuals!BR16),-(IF(AND(Projects!$G$6="Yes",Projects!$F$6="Yes",65=Projects!$C$6),Projects!$B$6*Projects!$I$6,0)+IF(AND(Projects!$G$7="Yes",Projects!$F$7="Yes",65=Projects!$C$7),Projects!$B$7*Projects!$I$7,0)+IF(AND(Projects!$G$8="Yes",Projects!$F$8="Yes",65=Projects!$C$8),Projects!$B$8*Projects!$I$8,0)+IF(AND(Projects!$G$9="Yes",Projects!$F$9="Yes",65=Projects!$C$9),Projects!$B$9*Projects!$I$9,0)+IF(AND(Projects!$G$10="Yes",Projects!$F$10="Yes",65=Projects!$C$10),Projects!$B$10*Projects!$I$10,0)+IF(AND(Projects!$G$11="Yes",Projects!$F$11="Yes",65=Projects!$C$11),Projects!$B$11*Projects!$I$11,0)+IF(AND(Projects!$G$12="Yes",Projects!$F$12="Yes",65=Projects!$C$12),Projects!$B$12*Projects!$I$12,0)+IF(AND(Projects!$G$13="Yes",Projects!$F$13="Yes",65=Projects!$C$13),Projects!$B$13*Projects!$I$13,0)+IF(AND(Projects!$G$14="Yes",Projects!$F$14="Yes",65=Projects!$C$14),Projects!$B$14*Projects!$I$14,0)+IF(AND(Projects!$G$15="Yes",Projects!$F$15="Yes",65=Projects!$C$15),Projects!$B$15*Projects!$I$15,0)+IF(AND(Projects!$G$16="Yes",Projects!$F$16="Yes",65=Projects!$C$16),Projects!$B$16*Projects!$I$16,0)+IF(AND(Projects!$G$7="Yes",65=Projects!$C$7),Assumptions!$D$18,0)+SUMPRODUCT((Projects!$G$17:$G$46="Yes")*(Projects!$F$17:$F$46="Yes")*(65=Projects!$C$17:$C$46)*Projects!$B$17:$B$46*Projects!$I$17:$I$46)),Actuals!BR16)</f>
        <v/>
      </c>
      <c r="BR106" s="392">
        <f>IF(ISBLANK(Actuals!BS16),-(IF(AND(Projects!$G$6="Yes",Projects!$F$6="Yes",66=Projects!$C$6),Projects!$B$6*Projects!$I$6,0)+IF(AND(Projects!$G$7="Yes",Projects!$F$7="Yes",66=Projects!$C$7),Projects!$B$7*Projects!$I$7,0)+IF(AND(Projects!$G$8="Yes",Projects!$F$8="Yes",66=Projects!$C$8),Projects!$B$8*Projects!$I$8,0)+IF(AND(Projects!$G$9="Yes",Projects!$F$9="Yes",66=Projects!$C$9),Projects!$B$9*Projects!$I$9,0)+IF(AND(Projects!$G$10="Yes",Projects!$F$10="Yes",66=Projects!$C$10),Projects!$B$10*Projects!$I$10,0)+IF(AND(Projects!$G$11="Yes",Projects!$F$11="Yes",66=Projects!$C$11),Projects!$B$11*Projects!$I$11,0)+IF(AND(Projects!$G$12="Yes",Projects!$F$12="Yes",66=Projects!$C$12),Projects!$B$12*Projects!$I$12,0)+IF(AND(Projects!$G$13="Yes",Projects!$F$13="Yes",66=Projects!$C$13),Projects!$B$13*Projects!$I$13,0)+IF(AND(Projects!$G$14="Yes",Projects!$F$14="Yes",66=Projects!$C$14),Projects!$B$14*Projects!$I$14,0)+IF(AND(Projects!$G$15="Yes",Projects!$F$15="Yes",66=Projects!$C$15),Projects!$B$15*Projects!$I$15,0)+IF(AND(Projects!$G$16="Yes",Projects!$F$16="Yes",66=Projects!$C$16),Projects!$B$16*Projects!$I$16,0)+IF(AND(Projects!$G$7="Yes",66=Projects!$C$7),Assumptions!$D$18,0)+SUMPRODUCT((Projects!$G$17:$G$46="Yes")*(Projects!$F$17:$F$46="Yes")*(66=Projects!$C$17:$C$46)*Projects!$B$17:$B$46*Projects!$I$17:$I$46)),Actuals!BS16)</f>
        <v/>
      </c>
      <c r="BS106" s="392">
        <f>IF(ISBLANK(Actuals!BT16),-(IF(AND(Projects!$G$6="Yes",Projects!$F$6="Yes",67=Projects!$C$6),Projects!$B$6*Projects!$I$6,0)+IF(AND(Projects!$G$7="Yes",Projects!$F$7="Yes",67=Projects!$C$7),Projects!$B$7*Projects!$I$7,0)+IF(AND(Projects!$G$8="Yes",Projects!$F$8="Yes",67=Projects!$C$8),Projects!$B$8*Projects!$I$8,0)+IF(AND(Projects!$G$9="Yes",Projects!$F$9="Yes",67=Projects!$C$9),Projects!$B$9*Projects!$I$9,0)+IF(AND(Projects!$G$10="Yes",Projects!$F$10="Yes",67=Projects!$C$10),Projects!$B$10*Projects!$I$10,0)+IF(AND(Projects!$G$11="Yes",Projects!$F$11="Yes",67=Projects!$C$11),Projects!$B$11*Projects!$I$11,0)+IF(AND(Projects!$G$12="Yes",Projects!$F$12="Yes",67=Projects!$C$12),Projects!$B$12*Projects!$I$12,0)+IF(AND(Projects!$G$13="Yes",Projects!$F$13="Yes",67=Projects!$C$13),Projects!$B$13*Projects!$I$13,0)+IF(AND(Projects!$G$14="Yes",Projects!$F$14="Yes",67=Projects!$C$14),Projects!$B$14*Projects!$I$14,0)+IF(AND(Projects!$G$15="Yes",Projects!$F$15="Yes",67=Projects!$C$15),Projects!$B$15*Projects!$I$15,0)+IF(AND(Projects!$G$16="Yes",Projects!$F$16="Yes",67=Projects!$C$16),Projects!$B$16*Projects!$I$16,0)+IF(AND(Projects!$G$7="Yes",67=Projects!$C$7),Assumptions!$D$18,0)+SUMPRODUCT((Projects!$G$17:$G$46="Yes")*(Projects!$F$17:$F$46="Yes")*(67=Projects!$C$17:$C$46)*Projects!$B$17:$B$46*Projects!$I$17:$I$46)),Actuals!BT16)</f>
        <v/>
      </c>
      <c r="BT106" s="392">
        <f>IF(ISBLANK(Actuals!BU16),-(IF(AND(Projects!$G$6="Yes",Projects!$F$6="Yes",68=Projects!$C$6),Projects!$B$6*Projects!$I$6,0)+IF(AND(Projects!$G$7="Yes",Projects!$F$7="Yes",68=Projects!$C$7),Projects!$B$7*Projects!$I$7,0)+IF(AND(Projects!$G$8="Yes",Projects!$F$8="Yes",68=Projects!$C$8),Projects!$B$8*Projects!$I$8,0)+IF(AND(Projects!$G$9="Yes",Projects!$F$9="Yes",68=Projects!$C$9),Projects!$B$9*Projects!$I$9,0)+IF(AND(Projects!$G$10="Yes",Projects!$F$10="Yes",68=Projects!$C$10),Projects!$B$10*Projects!$I$10,0)+IF(AND(Projects!$G$11="Yes",Projects!$F$11="Yes",68=Projects!$C$11),Projects!$B$11*Projects!$I$11,0)+IF(AND(Projects!$G$12="Yes",Projects!$F$12="Yes",68=Projects!$C$12),Projects!$B$12*Projects!$I$12,0)+IF(AND(Projects!$G$13="Yes",Projects!$F$13="Yes",68=Projects!$C$13),Projects!$B$13*Projects!$I$13,0)+IF(AND(Projects!$G$14="Yes",Projects!$F$14="Yes",68=Projects!$C$14),Projects!$B$14*Projects!$I$14,0)+IF(AND(Projects!$G$15="Yes",Projects!$F$15="Yes",68=Projects!$C$15),Projects!$B$15*Projects!$I$15,0)+IF(AND(Projects!$G$16="Yes",Projects!$F$16="Yes",68=Projects!$C$16),Projects!$B$16*Projects!$I$16,0)+IF(AND(Projects!$G$7="Yes",68=Projects!$C$7),Assumptions!$D$18,0)+SUMPRODUCT((Projects!$G$17:$G$46="Yes")*(Projects!$F$17:$F$46="Yes")*(68=Projects!$C$17:$C$46)*Projects!$B$17:$B$46*Projects!$I$17:$I$46)),Actuals!BU16)</f>
        <v/>
      </c>
      <c r="BU106" s="392">
        <f>IF(ISBLANK(Actuals!BV16),-(IF(AND(Projects!$G$6="Yes",Projects!$F$6="Yes",69=Projects!$C$6),Projects!$B$6*Projects!$I$6,0)+IF(AND(Projects!$G$7="Yes",Projects!$F$7="Yes",69=Projects!$C$7),Projects!$B$7*Projects!$I$7,0)+IF(AND(Projects!$G$8="Yes",Projects!$F$8="Yes",69=Projects!$C$8),Projects!$B$8*Projects!$I$8,0)+IF(AND(Projects!$G$9="Yes",Projects!$F$9="Yes",69=Projects!$C$9),Projects!$B$9*Projects!$I$9,0)+IF(AND(Projects!$G$10="Yes",Projects!$F$10="Yes",69=Projects!$C$10),Projects!$B$10*Projects!$I$10,0)+IF(AND(Projects!$G$11="Yes",Projects!$F$11="Yes",69=Projects!$C$11),Projects!$B$11*Projects!$I$11,0)+IF(AND(Projects!$G$12="Yes",Projects!$F$12="Yes",69=Projects!$C$12),Projects!$B$12*Projects!$I$12,0)+IF(AND(Projects!$G$13="Yes",Projects!$F$13="Yes",69=Projects!$C$13),Projects!$B$13*Projects!$I$13,0)+IF(AND(Projects!$G$14="Yes",Projects!$F$14="Yes",69=Projects!$C$14),Projects!$B$14*Projects!$I$14,0)+IF(AND(Projects!$G$15="Yes",Projects!$F$15="Yes",69=Projects!$C$15),Projects!$B$15*Projects!$I$15,0)+IF(AND(Projects!$G$16="Yes",Projects!$F$16="Yes",69=Projects!$C$16),Projects!$B$16*Projects!$I$16,0)+IF(AND(Projects!$G$7="Yes",69=Projects!$C$7),Assumptions!$D$18,0)+SUMPRODUCT((Projects!$G$17:$G$46="Yes")*(Projects!$F$17:$F$46="Yes")*(69=Projects!$C$17:$C$46)*Projects!$B$17:$B$46*Projects!$I$17:$I$46)),Actuals!BV16)</f>
        <v/>
      </c>
      <c r="BV106" s="392">
        <f>IF(ISBLANK(Actuals!BW16),-(IF(AND(Projects!$G$6="Yes",Projects!$F$6="Yes",70=Projects!$C$6),Projects!$B$6*Projects!$I$6,0)+IF(AND(Projects!$G$7="Yes",Projects!$F$7="Yes",70=Projects!$C$7),Projects!$B$7*Projects!$I$7,0)+IF(AND(Projects!$G$8="Yes",Projects!$F$8="Yes",70=Projects!$C$8),Projects!$B$8*Projects!$I$8,0)+IF(AND(Projects!$G$9="Yes",Projects!$F$9="Yes",70=Projects!$C$9),Projects!$B$9*Projects!$I$9,0)+IF(AND(Projects!$G$10="Yes",Projects!$F$10="Yes",70=Projects!$C$10),Projects!$B$10*Projects!$I$10,0)+IF(AND(Projects!$G$11="Yes",Projects!$F$11="Yes",70=Projects!$C$11),Projects!$B$11*Projects!$I$11,0)+IF(AND(Projects!$G$12="Yes",Projects!$F$12="Yes",70=Projects!$C$12),Projects!$B$12*Projects!$I$12,0)+IF(AND(Projects!$G$13="Yes",Projects!$F$13="Yes",70=Projects!$C$13),Projects!$B$13*Projects!$I$13,0)+IF(AND(Projects!$G$14="Yes",Projects!$F$14="Yes",70=Projects!$C$14),Projects!$B$14*Projects!$I$14,0)+IF(AND(Projects!$G$15="Yes",Projects!$F$15="Yes",70=Projects!$C$15),Projects!$B$15*Projects!$I$15,0)+IF(AND(Projects!$G$16="Yes",Projects!$F$16="Yes",70=Projects!$C$16),Projects!$B$16*Projects!$I$16,0)+IF(AND(Projects!$G$7="Yes",70=Projects!$C$7),Assumptions!$D$18,0)+SUMPRODUCT((Projects!$G$17:$G$46="Yes")*(Projects!$F$17:$F$46="Yes")*(70=Projects!$C$17:$C$46)*Projects!$B$17:$B$46*Projects!$I$17:$I$46)),Actuals!BW16)</f>
        <v/>
      </c>
      <c r="BW106" s="392">
        <f>IF(ISBLANK(Actuals!BX16),-(IF(AND(Projects!$G$6="Yes",Projects!$F$6="Yes",71=Projects!$C$6),Projects!$B$6*Projects!$I$6,0)+IF(AND(Projects!$G$7="Yes",Projects!$F$7="Yes",71=Projects!$C$7),Projects!$B$7*Projects!$I$7,0)+IF(AND(Projects!$G$8="Yes",Projects!$F$8="Yes",71=Projects!$C$8),Projects!$B$8*Projects!$I$8,0)+IF(AND(Projects!$G$9="Yes",Projects!$F$9="Yes",71=Projects!$C$9),Projects!$B$9*Projects!$I$9,0)+IF(AND(Projects!$G$10="Yes",Projects!$F$10="Yes",71=Projects!$C$10),Projects!$B$10*Projects!$I$10,0)+IF(AND(Projects!$G$11="Yes",Projects!$F$11="Yes",71=Projects!$C$11),Projects!$B$11*Projects!$I$11,0)+IF(AND(Projects!$G$12="Yes",Projects!$F$12="Yes",71=Projects!$C$12),Projects!$B$12*Projects!$I$12,0)+IF(AND(Projects!$G$13="Yes",Projects!$F$13="Yes",71=Projects!$C$13),Projects!$B$13*Projects!$I$13,0)+IF(AND(Projects!$G$14="Yes",Projects!$F$14="Yes",71=Projects!$C$14),Projects!$B$14*Projects!$I$14,0)+IF(AND(Projects!$G$15="Yes",Projects!$F$15="Yes",71=Projects!$C$15),Projects!$B$15*Projects!$I$15,0)+IF(AND(Projects!$G$16="Yes",Projects!$F$16="Yes",71=Projects!$C$16),Projects!$B$16*Projects!$I$16,0)+IF(AND(Projects!$G$7="Yes",71=Projects!$C$7),Assumptions!$D$18,0)+SUMPRODUCT((Projects!$G$17:$G$46="Yes")*(Projects!$F$17:$F$46="Yes")*(71=Projects!$C$17:$C$46)*Projects!$B$17:$B$46*Projects!$I$17:$I$46)),Actuals!BX16)</f>
        <v/>
      </c>
      <c r="BX106" s="392">
        <f>IF(ISBLANK(Actuals!BY16),-(IF(AND(Projects!$G$6="Yes",Projects!$F$6="Yes",72=Projects!$C$6),Projects!$B$6*Projects!$I$6,0)+IF(AND(Projects!$G$7="Yes",Projects!$F$7="Yes",72=Projects!$C$7),Projects!$B$7*Projects!$I$7,0)+IF(AND(Projects!$G$8="Yes",Projects!$F$8="Yes",72=Projects!$C$8),Projects!$B$8*Projects!$I$8,0)+IF(AND(Projects!$G$9="Yes",Projects!$F$9="Yes",72=Projects!$C$9),Projects!$B$9*Projects!$I$9,0)+IF(AND(Projects!$G$10="Yes",Projects!$F$10="Yes",72=Projects!$C$10),Projects!$B$10*Projects!$I$10,0)+IF(AND(Projects!$G$11="Yes",Projects!$F$11="Yes",72=Projects!$C$11),Projects!$B$11*Projects!$I$11,0)+IF(AND(Projects!$G$12="Yes",Projects!$F$12="Yes",72=Projects!$C$12),Projects!$B$12*Projects!$I$12,0)+IF(AND(Projects!$G$13="Yes",Projects!$F$13="Yes",72=Projects!$C$13),Projects!$B$13*Projects!$I$13,0)+IF(AND(Projects!$G$14="Yes",Projects!$F$14="Yes",72=Projects!$C$14),Projects!$B$14*Projects!$I$14,0)+IF(AND(Projects!$G$15="Yes",Projects!$F$15="Yes",72=Projects!$C$15),Projects!$B$15*Projects!$I$15,0)+IF(AND(Projects!$G$16="Yes",Projects!$F$16="Yes",72=Projects!$C$16),Projects!$B$16*Projects!$I$16,0)+IF(AND(Projects!$G$7="Yes",72=Projects!$C$7),Assumptions!$D$18,0)+SUMPRODUCT((Projects!$G$17:$G$46="Yes")*(Projects!$F$17:$F$46="Yes")*(72=Projects!$C$17:$C$46)*Projects!$B$17:$B$46*Projects!$I$17:$I$46)),Actuals!BY16)</f>
        <v/>
      </c>
      <c r="BY106" s="392">
        <f>IF(ISBLANK(Actuals!BZ16),-(IF(AND(Projects!$G$6="Yes",Projects!$F$6="Yes",73=Projects!$C$6),Projects!$B$6*Projects!$I$6,0)+IF(AND(Projects!$G$7="Yes",Projects!$F$7="Yes",73=Projects!$C$7),Projects!$B$7*Projects!$I$7,0)+IF(AND(Projects!$G$8="Yes",Projects!$F$8="Yes",73=Projects!$C$8),Projects!$B$8*Projects!$I$8,0)+IF(AND(Projects!$G$9="Yes",Projects!$F$9="Yes",73=Projects!$C$9),Projects!$B$9*Projects!$I$9,0)+IF(AND(Projects!$G$10="Yes",Projects!$F$10="Yes",73=Projects!$C$10),Projects!$B$10*Projects!$I$10,0)+IF(AND(Projects!$G$11="Yes",Projects!$F$11="Yes",73=Projects!$C$11),Projects!$B$11*Projects!$I$11,0)+IF(AND(Projects!$G$12="Yes",Projects!$F$12="Yes",73=Projects!$C$12),Projects!$B$12*Projects!$I$12,0)+IF(AND(Projects!$G$13="Yes",Projects!$F$13="Yes",73=Projects!$C$13),Projects!$B$13*Projects!$I$13,0)+IF(AND(Projects!$G$14="Yes",Projects!$F$14="Yes",73=Projects!$C$14),Projects!$B$14*Projects!$I$14,0)+IF(AND(Projects!$G$15="Yes",Projects!$F$15="Yes",73=Projects!$C$15),Projects!$B$15*Projects!$I$15,0)+IF(AND(Projects!$G$16="Yes",Projects!$F$16="Yes",73=Projects!$C$16),Projects!$B$16*Projects!$I$16,0)+IF(AND(Projects!$G$7="Yes",73=Projects!$C$7),Assumptions!$D$18,0)+SUMPRODUCT((Projects!$G$17:$G$46="Yes")*(Projects!$F$17:$F$46="Yes")*(73=Projects!$C$17:$C$46)*Projects!$B$17:$B$46*Projects!$I$17:$I$46)),Actuals!BZ16)</f>
        <v/>
      </c>
      <c r="BZ106" s="392">
        <f>IF(ISBLANK(Actuals!CA16),-(IF(AND(Projects!$G$6="Yes",Projects!$F$6="Yes",74=Projects!$C$6),Projects!$B$6*Projects!$I$6,0)+IF(AND(Projects!$G$7="Yes",Projects!$F$7="Yes",74=Projects!$C$7),Projects!$B$7*Projects!$I$7,0)+IF(AND(Projects!$G$8="Yes",Projects!$F$8="Yes",74=Projects!$C$8),Projects!$B$8*Projects!$I$8,0)+IF(AND(Projects!$G$9="Yes",Projects!$F$9="Yes",74=Projects!$C$9),Projects!$B$9*Projects!$I$9,0)+IF(AND(Projects!$G$10="Yes",Projects!$F$10="Yes",74=Projects!$C$10),Projects!$B$10*Projects!$I$10,0)+IF(AND(Projects!$G$11="Yes",Projects!$F$11="Yes",74=Projects!$C$11),Projects!$B$11*Projects!$I$11,0)+IF(AND(Projects!$G$12="Yes",Projects!$F$12="Yes",74=Projects!$C$12),Projects!$B$12*Projects!$I$12,0)+IF(AND(Projects!$G$13="Yes",Projects!$F$13="Yes",74=Projects!$C$13),Projects!$B$13*Projects!$I$13,0)+IF(AND(Projects!$G$14="Yes",Projects!$F$14="Yes",74=Projects!$C$14),Projects!$B$14*Projects!$I$14,0)+IF(AND(Projects!$G$15="Yes",Projects!$F$15="Yes",74=Projects!$C$15),Projects!$B$15*Projects!$I$15,0)+IF(AND(Projects!$G$16="Yes",Projects!$F$16="Yes",74=Projects!$C$16),Projects!$B$16*Projects!$I$16,0)+IF(AND(Projects!$G$7="Yes",74=Projects!$C$7),Assumptions!$D$18,0)+SUMPRODUCT((Projects!$G$17:$G$46="Yes")*(Projects!$F$17:$F$46="Yes")*(74=Projects!$C$17:$C$46)*Projects!$B$17:$B$46*Projects!$I$17:$I$46)),Actuals!CA16)</f>
        <v/>
      </c>
      <c r="CA106" s="392">
        <f>IF(ISBLANK(Actuals!CB16),-(IF(AND(Projects!$G$6="Yes",Projects!$F$6="Yes",75=Projects!$C$6),Projects!$B$6*Projects!$I$6,0)+IF(AND(Projects!$G$7="Yes",Projects!$F$7="Yes",75=Projects!$C$7),Projects!$B$7*Projects!$I$7,0)+IF(AND(Projects!$G$8="Yes",Projects!$F$8="Yes",75=Projects!$C$8),Projects!$B$8*Projects!$I$8,0)+IF(AND(Projects!$G$9="Yes",Projects!$F$9="Yes",75=Projects!$C$9),Projects!$B$9*Projects!$I$9,0)+IF(AND(Projects!$G$10="Yes",Projects!$F$10="Yes",75=Projects!$C$10),Projects!$B$10*Projects!$I$10,0)+IF(AND(Projects!$G$11="Yes",Projects!$F$11="Yes",75=Projects!$C$11),Projects!$B$11*Projects!$I$11,0)+IF(AND(Projects!$G$12="Yes",Projects!$F$12="Yes",75=Projects!$C$12),Projects!$B$12*Projects!$I$12,0)+IF(AND(Projects!$G$13="Yes",Projects!$F$13="Yes",75=Projects!$C$13),Projects!$B$13*Projects!$I$13,0)+IF(AND(Projects!$G$14="Yes",Projects!$F$14="Yes",75=Projects!$C$14),Projects!$B$14*Projects!$I$14,0)+IF(AND(Projects!$G$15="Yes",Projects!$F$15="Yes",75=Projects!$C$15),Projects!$B$15*Projects!$I$15,0)+IF(AND(Projects!$G$16="Yes",Projects!$F$16="Yes",75=Projects!$C$16),Projects!$B$16*Projects!$I$16,0)+IF(AND(Projects!$G$7="Yes",75=Projects!$C$7),Assumptions!$D$18,0)+SUMPRODUCT((Projects!$G$17:$G$46="Yes")*(Projects!$F$17:$F$46="Yes")*(75=Projects!$C$17:$C$46)*Projects!$B$17:$B$46*Projects!$I$17:$I$46)),Actuals!CB16)</f>
        <v/>
      </c>
      <c r="CB106" s="392">
        <f>IF(ISBLANK(Actuals!CC16),-(IF(AND(Projects!$G$6="Yes",Projects!$F$6="Yes",76=Projects!$C$6),Projects!$B$6*Projects!$I$6,0)+IF(AND(Projects!$G$7="Yes",Projects!$F$7="Yes",76=Projects!$C$7),Projects!$B$7*Projects!$I$7,0)+IF(AND(Projects!$G$8="Yes",Projects!$F$8="Yes",76=Projects!$C$8),Projects!$B$8*Projects!$I$8,0)+IF(AND(Projects!$G$9="Yes",Projects!$F$9="Yes",76=Projects!$C$9),Projects!$B$9*Projects!$I$9,0)+IF(AND(Projects!$G$10="Yes",Projects!$F$10="Yes",76=Projects!$C$10),Projects!$B$10*Projects!$I$10,0)+IF(AND(Projects!$G$11="Yes",Projects!$F$11="Yes",76=Projects!$C$11),Projects!$B$11*Projects!$I$11,0)+IF(AND(Projects!$G$12="Yes",Projects!$F$12="Yes",76=Projects!$C$12),Projects!$B$12*Projects!$I$12,0)+IF(AND(Projects!$G$13="Yes",Projects!$F$13="Yes",76=Projects!$C$13),Projects!$B$13*Projects!$I$13,0)+IF(AND(Projects!$G$14="Yes",Projects!$F$14="Yes",76=Projects!$C$14),Projects!$B$14*Projects!$I$14,0)+IF(AND(Projects!$G$15="Yes",Projects!$F$15="Yes",76=Projects!$C$15),Projects!$B$15*Projects!$I$15,0)+IF(AND(Projects!$G$16="Yes",Projects!$F$16="Yes",76=Projects!$C$16),Projects!$B$16*Projects!$I$16,0)+IF(AND(Projects!$G$7="Yes",76=Projects!$C$7),Assumptions!$D$18,0)+SUMPRODUCT((Projects!$G$17:$G$46="Yes")*(Projects!$F$17:$F$46="Yes")*(76=Projects!$C$17:$C$46)*Projects!$B$17:$B$46*Projects!$I$17:$I$46)),Actuals!CC16)</f>
        <v/>
      </c>
      <c r="CC106" s="392">
        <f>IF(ISBLANK(Actuals!CD16),-(IF(AND(Projects!$G$6="Yes",Projects!$F$6="Yes",77=Projects!$C$6),Projects!$B$6*Projects!$I$6,0)+IF(AND(Projects!$G$7="Yes",Projects!$F$7="Yes",77=Projects!$C$7),Projects!$B$7*Projects!$I$7,0)+IF(AND(Projects!$G$8="Yes",Projects!$F$8="Yes",77=Projects!$C$8),Projects!$B$8*Projects!$I$8,0)+IF(AND(Projects!$G$9="Yes",Projects!$F$9="Yes",77=Projects!$C$9),Projects!$B$9*Projects!$I$9,0)+IF(AND(Projects!$G$10="Yes",Projects!$F$10="Yes",77=Projects!$C$10),Projects!$B$10*Projects!$I$10,0)+IF(AND(Projects!$G$11="Yes",Projects!$F$11="Yes",77=Projects!$C$11),Projects!$B$11*Projects!$I$11,0)+IF(AND(Projects!$G$12="Yes",Projects!$F$12="Yes",77=Projects!$C$12),Projects!$B$12*Projects!$I$12,0)+IF(AND(Projects!$G$13="Yes",Projects!$F$13="Yes",77=Projects!$C$13),Projects!$B$13*Projects!$I$13,0)+IF(AND(Projects!$G$14="Yes",Projects!$F$14="Yes",77=Projects!$C$14),Projects!$B$14*Projects!$I$14,0)+IF(AND(Projects!$G$15="Yes",Projects!$F$15="Yes",77=Projects!$C$15),Projects!$B$15*Projects!$I$15,0)+IF(AND(Projects!$G$16="Yes",Projects!$F$16="Yes",77=Projects!$C$16),Projects!$B$16*Projects!$I$16,0)+IF(AND(Projects!$G$7="Yes",77=Projects!$C$7),Assumptions!$D$18,0)+SUMPRODUCT((Projects!$G$17:$G$46="Yes")*(Projects!$F$17:$F$46="Yes")*(77=Projects!$C$17:$C$46)*Projects!$B$17:$B$46*Projects!$I$17:$I$46)),Actuals!CD16)</f>
        <v/>
      </c>
      <c r="CD106" s="392">
        <f>IF(ISBLANK(Actuals!CE16),-(IF(AND(Projects!$G$6="Yes",Projects!$F$6="Yes",78=Projects!$C$6),Projects!$B$6*Projects!$I$6,0)+IF(AND(Projects!$G$7="Yes",Projects!$F$7="Yes",78=Projects!$C$7),Projects!$B$7*Projects!$I$7,0)+IF(AND(Projects!$G$8="Yes",Projects!$F$8="Yes",78=Projects!$C$8),Projects!$B$8*Projects!$I$8,0)+IF(AND(Projects!$G$9="Yes",Projects!$F$9="Yes",78=Projects!$C$9),Projects!$B$9*Projects!$I$9,0)+IF(AND(Projects!$G$10="Yes",Projects!$F$10="Yes",78=Projects!$C$10),Projects!$B$10*Projects!$I$10,0)+IF(AND(Projects!$G$11="Yes",Projects!$F$11="Yes",78=Projects!$C$11),Projects!$B$11*Projects!$I$11,0)+IF(AND(Projects!$G$12="Yes",Projects!$F$12="Yes",78=Projects!$C$12),Projects!$B$12*Projects!$I$12,0)+IF(AND(Projects!$G$13="Yes",Projects!$F$13="Yes",78=Projects!$C$13),Projects!$B$13*Projects!$I$13,0)+IF(AND(Projects!$G$14="Yes",Projects!$F$14="Yes",78=Projects!$C$14),Projects!$B$14*Projects!$I$14,0)+IF(AND(Projects!$G$15="Yes",Projects!$F$15="Yes",78=Projects!$C$15),Projects!$B$15*Projects!$I$15,0)+IF(AND(Projects!$G$16="Yes",Projects!$F$16="Yes",78=Projects!$C$16),Projects!$B$16*Projects!$I$16,0)+IF(AND(Projects!$G$7="Yes",78=Projects!$C$7),Assumptions!$D$18,0)+SUMPRODUCT((Projects!$G$17:$G$46="Yes")*(Projects!$F$17:$F$46="Yes")*(78=Projects!$C$17:$C$46)*Projects!$B$17:$B$46*Projects!$I$17:$I$46)),Actuals!CE16)</f>
        <v/>
      </c>
      <c r="CE106" s="392">
        <f>IF(ISBLANK(Actuals!CF16),-(IF(AND(Projects!$G$6="Yes",Projects!$F$6="Yes",79=Projects!$C$6),Projects!$B$6*Projects!$I$6,0)+IF(AND(Projects!$G$7="Yes",Projects!$F$7="Yes",79=Projects!$C$7),Projects!$B$7*Projects!$I$7,0)+IF(AND(Projects!$G$8="Yes",Projects!$F$8="Yes",79=Projects!$C$8),Projects!$B$8*Projects!$I$8,0)+IF(AND(Projects!$G$9="Yes",Projects!$F$9="Yes",79=Projects!$C$9),Projects!$B$9*Projects!$I$9,0)+IF(AND(Projects!$G$10="Yes",Projects!$F$10="Yes",79=Projects!$C$10),Projects!$B$10*Projects!$I$10,0)+IF(AND(Projects!$G$11="Yes",Projects!$F$11="Yes",79=Projects!$C$11),Projects!$B$11*Projects!$I$11,0)+IF(AND(Projects!$G$12="Yes",Projects!$F$12="Yes",79=Projects!$C$12),Projects!$B$12*Projects!$I$12,0)+IF(AND(Projects!$G$13="Yes",Projects!$F$13="Yes",79=Projects!$C$13),Projects!$B$13*Projects!$I$13,0)+IF(AND(Projects!$G$14="Yes",Projects!$F$14="Yes",79=Projects!$C$14),Projects!$B$14*Projects!$I$14,0)+IF(AND(Projects!$G$15="Yes",Projects!$F$15="Yes",79=Projects!$C$15),Projects!$B$15*Projects!$I$15,0)+IF(AND(Projects!$G$16="Yes",Projects!$F$16="Yes",79=Projects!$C$16),Projects!$B$16*Projects!$I$16,0)+IF(AND(Projects!$G$7="Yes",79=Projects!$C$7),Assumptions!$D$18,0)+SUMPRODUCT((Projects!$G$17:$G$46="Yes")*(Projects!$F$17:$F$46="Yes")*(79=Projects!$C$17:$C$46)*Projects!$B$17:$B$46*Projects!$I$17:$I$46)),Actuals!CF16)</f>
        <v/>
      </c>
      <c r="CF106" s="392">
        <f>IF(ISBLANK(Actuals!CG16),-(IF(AND(Projects!$G$6="Yes",Projects!$F$6="Yes",80=Projects!$C$6),Projects!$B$6*Projects!$I$6,0)+IF(AND(Projects!$G$7="Yes",Projects!$F$7="Yes",80=Projects!$C$7),Projects!$B$7*Projects!$I$7,0)+IF(AND(Projects!$G$8="Yes",Projects!$F$8="Yes",80=Projects!$C$8),Projects!$B$8*Projects!$I$8,0)+IF(AND(Projects!$G$9="Yes",Projects!$F$9="Yes",80=Projects!$C$9),Projects!$B$9*Projects!$I$9,0)+IF(AND(Projects!$G$10="Yes",Projects!$F$10="Yes",80=Projects!$C$10),Projects!$B$10*Projects!$I$10,0)+IF(AND(Projects!$G$11="Yes",Projects!$F$11="Yes",80=Projects!$C$11),Projects!$B$11*Projects!$I$11,0)+IF(AND(Projects!$G$12="Yes",Projects!$F$12="Yes",80=Projects!$C$12),Projects!$B$12*Projects!$I$12,0)+IF(AND(Projects!$G$13="Yes",Projects!$F$13="Yes",80=Projects!$C$13),Projects!$B$13*Projects!$I$13,0)+IF(AND(Projects!$G$14="Yes",Projects!$F$14="Yes",80=Projects!$C$14),Projects!$B$14*Projects!$I$14,0)+IF(AND(Projects!$G$15="Yes",Projects!$F$15="Yes",80=Projects!$C$15),Projects!$B$15*Projects!$I$15,0)+IF(AND(Projects!$G$16="Yes",Projects!$F$16="Yes",80=Projects!$C$16),Projects!$B$16*Projects!$I$16,0)+IF(AND(Projects!$G$7="Yes",80=Projects!$C$7),Assumptions!$D$18,0)+SUMPRODUCT((Projects!$G$17:$G$46="Yes")*(Projects!$F$17:$F$46="Yes")*(80=Projects!$C$17:$C$46)*Projects!$B$17:$B$46*Projects!$I$17:$I$46)),Actuals!CG16)</f>
        <v/>
      </c>
      <c r="CG106" s="392">
        <f>IF(ISBLANK(Actuals!CH16),-(IF(AND(Projects!$G$6="Yes",Projects!$F$6="Yes",81=Projects!$C$6),Projects!$B$6*Projects!$I$6,0)+IF(AND(Projects!$G$7="Yes",Projects!$F$7="Yes",81=Projects!$C$7),Projects!$B$7*Projects!$I$7,0)+IF(AND(Projects!$G$8="Yes",Projects!$F$8="Yes",81=Projects!$C$8),Projects!$B$8*Projects!$I$8,0)+IF(AND(Projects!$G$9="Yes",Projects!$F$9="Yes",81=Projects!$C$9),Projects!$B$9*Projects!$I$9,0)+IF(AND(Projects!$G$10="Yes",Projects!$F$10="Yes",81=Projects!$C$10),Projects!$B$10*Projects!$I$10,0)+IF(AND(Projects!$G$11="Yes",Projects!$F$11="Yes",81=Projects!$C$11),Projects!$B$11*Projects!$I$11,0)+IF(AND(Projects!$G$12="Yes",Projects!$F$12="Yes",81=Projects!$C$12),Projects!$B$12*Projects!$I$12,0)+IF(AND(Projects!$G$13="Yes",Projects!$F$13="Yes",81=Projects!$C$13),Projects!$B$13*Projects!$I$13,0)+IF(AND(Projects!$G$14="Yes",Projects!$F$14="Yes",81=Projects!$C$14),Projects!$B$14*Projects!$I$14,0)+IF(AND(Projects!$G$15="Yes",Projects!$F$15="Yes",81=Projects!$C$15),Projects!$B$15*Projects!$I$15,0)+IF(AND(Projects!$G$16="Yes",Projects!$F$16="Yes",81=Projects!$C$16),Projects!$B$16*Projects!$I$16,0)+IF(AND(Projects!$G$7="Yes",81=Projects!$C$7),Assumptions!$D$18,0)+SUMPRODUCT((Projects!$G$17:$G$46="Yes")*(Projects!$F$17:$F$46="Yes")*(81=Projects!$C$17:$C$46)*Projects!$B$17:$B$46*Projects!$I$17:$I$46)),Actuals!CH16)</f>
        <v/>
      </c>
      <c r="CH106" s="392">
        <f>IF(ISBLANK(Actuals!CI16),-(IF(AND(Projects!$G$6="Yes",Projects!$F$6="Yes",82=Projects!$C$6),Projects!$B$6*Projects!$I$6,0)+IF(AND(Projects!$G$7="Yes",Projects!$F$7="Yes",82=Projects!$C$7),Projects!$B$7*Projects!$I$7,0)+IF(AND(Projects!$G$8="Yes",Projects!$F$8="Yes",82=Projects!$C$8),Projects!$B$8*Projects!$I$8,0)+IF(AND(Projects!$G$9="Yes",Projects!$F$9="Yes",82=Projects!$C$9),Projects!$B$9*Projects!$I$9,0)+IF(AND(Projects!$G$10="Yes",Projects!$F$10="Yes",82=Projects!$C$10),Projects!$B$10*Projects!$I$10,0)+IF(AND(Projects!$G$11="Yes",Projects!$F$11="Yes",82=Projects!$C$11),Projects!$B$11*Projects!$I$11,0)+IF(AND(Projects!$G$12="Yes",Projects!$F$12="Yes",82=Projects!$C$12),Projects!$B$12*Projects!$I$12,0)+IF(AND(Projects!$G$13="Yes",Projects!$F$13="Yes",82=Projects!$C$13),Projects!$B$13*Projects!$I$13,0)+IF(AND(Projects!$G$14="Yes",Projects!$F$14="Yes",82=Projects!$C$14),Projects!$B$14*Projects!$I$14,0)+IF(AND(Projects!$G$15="Yes",Projects!$F$15="Yes",82=Projects!$C$15),Projects!$B$15*Projects!$I$15,0)+IF(AND(Projects!$G$16="Yes",Projects!$F$16="Yes",82=Projects!$C$16),Projects!$B$16*Projects!$I$16,0)+IF(AND(Projects!$G$7="Yes",82=Projects!$C$7),Assumptions!$D$18,0)+SUMPRODUCT((Projects!$G$17:$G$46="Yes")*(Projects!$F$17:$F$46="Yes")*(82=Projects!$C$17:$C$46)*Projects!$B$17:$B$46*Projects!$I$17:$I$46)),Actuals!CI16)</f>
        <v/>
      </c>
      <c r="CI106" s="392">
        <f>IF(ISBLANK(Actuals!CJ16),-(IF(AND(Projects!$G$6="Yes",Projects!$F$6="Yes",83=Projects!$C$6),Projects!$B$6*Projects!$I$6,0)+IF(AND(Projects!$G$7="Yes",Projects!$F$7="Yes",83=Projects!$C$7),Projects!$B$7*Projects!$I$7,0)+IF(AND(Projects!$G$8="Yes",Projects!$F$8="Yes",83=Projects!$C$8),Projects!$B$8*Projects!$I$8,0)+IF(AND(Projects!$G$9="Yes",Projects!$F$9="Yes",83=Projects!$C$9),Projects!$B$9*Projects!$I$9,0)+IF(AND(Projects!$G$10="Yes",Projects!$F$10="Yes",83=Projects!$C$10),Projects!$B$10*Projects!$I$10,0)+IF(AND(Projects!$G$11="Yes",Projects!$F$11="Yes",83=Projects!$C$11),Projects!$B$11*Projects!$I$11,0)+IF(AND(Projects!$G$12="Yes",Projects!$F$12="Yes",83=Projects!$C$12),Projects!$B$12*Projects!$I$12,0)+IF(AND(Projects!$G$13="Yes",Projects!$F$13="Yes",83=Projects!$C$13),Projects!$B$13*Projects!$I$13,0)+IF(AND(Projects!$G$14="Yes",Projects!$F$14="Yes",83=Projects!$C$14),Projects!$B$14*Projects!$I$14,0)+IF(AND(Projects!$G$15="Yes",Projects!$F$15="Yes",83=Projects!$C$15),Projects!$B$15*Projects!$I$15,0)+IF(AND(Projects!$G$16="Yes",Projects!$F$16="Yes",83=Projects!$C$16),Projects!$B$16*Projects!$I$16,0)+IF(AND(Projects!$G$7="Yes",83=Projects!$C$7),Assumptions!$D$18,0)+SUMPRODUCT((Projects!$G$17:$G$46="Yes")*(Projects!$F$17:$F$46="Yes")*(83=Projects!$C$17:$C$46)*Projects!$B$17:$B$46*Projects!$I$17:$I$46)),Actuals!CJ16)</f>
        <v/>
      </c>
      <c r="CJ106" s="392">
        <f>IF(ISBLANK(Actuals!CK16),-(IF(AND(Projects!$G$6="Yes",Projects!$F$6="Yes",84=Projects!$C$6),Projects!$B$6*Projects!$I$6,0)+IF(AND(Projects!$G$7="Yes",Projects!$F$7="Yes",84=Projects!$C$7),Projects!$B$7*Projects!$I$7,0)+IF(AND(Projects!$G$8="Yes",Projects!$F$8="Yes",84=Projects!$C$8),Projects!$B$8*Projects!$I$8,0)+IF(AND(Projects!$G$9="Yes",Projects!$F$9="Yes",84=Projects!$C$9),Projects!$B$9*Projects!$I$9,0)+IF(AND(Projects!$G$10="Yes",Projects!$F$10="Yes",84=Projects!$C$10),Projects!$B$10*Projects!$I$10,0)+IF(AND(Projects!$G$11="Yes",Projects!$F$11="Yes",84=Projects!$C$11),Projects!$B$11*Projects!$I$11,0)+IF(AND(Projects!$G$12="Yes",Projects!$F$12="Yes",84=Projects!$C$12),Projects!$B$12*Projects!$I$12,0)+IF(AND(Projects!$G$13="Yes",Projects!$F$13="Yes",84=Projects!$C$13),Projects!$B$13*Projects!$I$13,0)+IF(AND(Projects!$G$14="Yes",Projects!$F$14="Yes",84=Projects!$C$14),Projects!$B$14*Projects!$I$14,0)+IF(AND(Projects!$G$15="Yes",Projects!$F$15="Yes",84=Projects!$C$15),Projects!$B$15*Projects!$I$15,0)+IF(AND(Projects!$G$16="Yes",Projects!$F$16="Yes",84=Projects!$C$16),Projects!$B$16*Projects!$I$16,0)+IF(AND(Projects!$G$7="Yes",84=Projects!$C$7),Assumptions!$D$18,0)+SUMPRODUCT((Projects!$G$17:$G$46="Yes")*(Projects!$F$17:$F$46="Yes")*(84=Projects!$C$17:$C$46)*Projects!$B$17:$B$46*Projects!$I$17:$I$46)),Actuals!CK16)</f>
        <v/>
      </c>
      <c r="CK106" s="392">
        <f>IF(ISBLANK(Actuals!CL16),-(IF(AND(Projects!$G$6="Yes",Projects!$F$6="Yes",85=Projects!$C$6),Projects!$B$6*Projects!$I$6,0)+IF(AND(Projects!$G$7="Yes",Projects!$F$7="Yes",85=Projects!$C$7),Projects!$B$7*Projects!$I$7,0)+IF(AND(Projects!$G$8="Yes",Projects!$F$8="Yes",85=Projects!$C$8),Projects!$B$8*Projects!$I$8,0)+IF(AND(Projects!$G$9="Yes",Projects!$F$9="Yes",85=Projects!$C$9),Projects!$B$9*Projects!$I$9,0)+IF(AND(Projects!$G$10="Yes",Projects!$F$10="Yes",85=Projects!$C$10),Projects!$B$10*Projects!$I$10,0)+IF(AND(Projects!$G$11="Yes",Projects!$F$11="Yes",85=Projects!$C$11),Projects!$B$11*Projects!$I$11,0)+IF(AND(Projects!$G$12="Yes",Projects!$F$12="Yes",85=Projects!$C$12),Projects!$B$12*Projects!$I$12,0)+IF(AND(Projects!$G$13="Yes",Projects!$F$13="Yes",85=Projects!$C$13),Projects!$B$13*Projects!$I$13,0)+IF(AND(Projects!$G$14="Yes",Projects!$F$14="Yes",85=Projects!$C$14),Projects!$B$14*Projects!$I$14,0)+IF(AND(Projects!$G$15="Yes",Projects!$F$15="Yes",85=Projects!$C$15),Projects!$B$15*Projects!$I$15,0)+IF(AND(Projects!$G$16="Yes",Projects!$F$16="Yes",85=Projects!$C$16),Projects!$B$16*Projects!$I$16,0)+IF(AND(Projects!$G$7="Yes",85=Projects!$C$7),Assumptions!$D$18,0)+SUMPRODUCT((Projects!$G$17:$G$46="Yes")*(Projects!$F$17:$F$46="Yes")*(85=Projects!$C$17:$C$46)*Projects!$B$17:$B$46*Projects!$I$17:$I$46)),Actuals!CL16)</f>
        <v/>
      </c>
      <c r="CL106" s="392">
        <f>IF(ISBLANK(Actuals!CM16),-(IF(AND(Projects!$G$6="Yes",Projects!$F$6="Yes",86=Projects!$C$6),Projects!$B$6*Projects!$I$6,0)+IF(AND(Projects!$G$7="Yes",Projects!$F$7="Yes",86=Projects!$C$7),Projects!$B$7*Projects!$I$7,0)+IF(AND(Projects!$G$8="Yes",Projects!$F$8="Yes",86=Projects!$C$8),Projects!$B$8*Projects!$I$8,0)+IF(AND(Projects!$G$9="Yes",Projects!$F$9="Yes",86=Projects!$C$9),Projects!$B$9*Projects!$I$9,0)+IF(AND(Projects!$G$10="Yes",Projects!$F$10="Yes",86=Projects!$C$10),Projects!$B$10*Projects!$I$10,0)+IF(AND(Projects!$G$11="Yes",Projects!$F$11="Yes",86=Projects!$C$11),Projects!$B$11*Projects!$I$11,0)+IF(AND(Projects!$G$12="Yes",Projects!$F$12="Yes",86=Projects!$C$12),Projects!$B$12*Projects!$I$12,0)+IF(AND(Projects!$G$13="Yes",Projects!$F$13="Yes",86=Projects!$C$13),Projects!$B$13*Projects!$I$13,0)+IF(AND(Projects!$G$14="Yes",Projects!$F$14="Yes",86=Projects!$C$14),Projects!$B$14*Projects!$I$14,0)+IF(AND(Projects!$G$15="Yes",Projects!$F$15="Yes",86=Projects!$C$15),Projects!$B$15*Projects!$I$15,0)+IF(AND(Projects!$G$16="Yes",Projects!$F$16="Yes",86=Projects!$C$16),Projects!$B$16*Projects!$I$16,0)+IF(AND(Projects!$G$7="Yes",86=Projects!$C$7),Assumptions!$D$18,0)+SUMPRODUCT((Projects!$G$17:$G$46="Yes")*(Projects!$F$17:$F$46="Yes")*(86=Projects!$C$17:$C$46)*Projects!$B$17:$B$46*Projects!$I$17:$I$46)),Actuals!CM16)</f>
        <v/>
      </c>
      <c r="CM106" s="392">
        <f>IF(ISBLANK(Actuals!CN16),-(IF(AND(Projects!$G$6="Yes",Projects!$F$6="Yes",87=Projects!$C$6),Projects!$B$6*Projects!$I$6,0)+IF(AND(Projects!$G$7="Yes",Projects!$F$7="Yes",87=Projects!$C$7),Projects!$B$7*Projects!$I$7,0)+IF(AND(Projects!$G$8="Yes",Projects!$F$8="Yes",87=Projects!$C$8),Projects!$B$8*Projects!$I$8,0)+IF(AND(Projects!$G$9="Yes",Projects!$F$9="Yes",87=Projects!$C$9),Projects!$B$9*Projects!$I$9,0)+IF(AND(Projects!$G$10="Yes",Projects!$F$10="Yes",87=Projects!$C$10),Projects!$B$10*Projects!$I$10,0)+IF(AND(Projects!$G$11="Yes",Projects!$F$11="Yes",87=Projects!$C$11),Projects!$B$11*Projects!$I$11,0)+IF(AND(Projects!$G$12="Yes",Projects!$F$12="Yes",87=Projects!$C$12),Projects!$B$12*Projects!$I$12,0)+IF(AND(Projects!$G$13="Yes",Projects!$F$13="Yes",87=Projects!$C$13),Projects!$B$13*Projects!$I$13,0)+IF(AND(Projects!$G$14="Yes",Projects!$F$14="Yes",87=Projects!$C$14),Projects!$B$14*Projects!$I$14,0)+IF(AND(Projects!$G$15="Yes",Projects!$F$15="Yes",87=Projects!$C$15),Projects!$B$15*Projects!$I$15,0)+IF(AND(Projects!$G$16="Yes",Projects!$F$16="Yes",87=Projects!$C$16),Projects!$B$16*Projects!$I$16,0)+IF(AND(Projects!$G$7="Yes",87=Projects!$C$7),Assumptions!$D$18,0)+SUMPRODUCT((Projects!$G$17:$G$46="Yes")*(Projects!$F$17:$F$46="Yes")*(87=Projects!$C$17:$C$46)*Projects!$B$17:$B$46*Projects!$I$17:$I$46)),Actuals!CN16)</f>
        <v/>
      </c>
      <c r="CN106" s="392">
        <f>IF(ISBLANK(Actuals!CO16),-(IF(AND(Projects!$G$6="Yes",Projects!$F$6="Yes",88=Projects!$C$6),Projects!$B$6*Projects!$I$6,0)+IF(AND(Projects!$G$7="Yes",Projects!$F$7="Yes",88=Projects!$C$7),Projects!$B$7*Projects!$I$7,0)+IF(AND(Projects!$G$8="Yes",Projects!$F$8="Yes",88=Projects!$C$8),Projects!$B$8*Projects!$I$8,0)+IF(AND(Projects!$G$9="Yes",Projects!$F$9="Yes",88=Projects!$C$9),Projects!$B$9*Projects!$I$9,0)+IF(AND(Projects!$G$10="Yes",Projects!$F$10="Yes",88=Projects!$C$10),Projects!$B$10*Projects!$I$10,0)+IF(AND(Projects!$G$11="Yes",Projects!$F$11="Yes",88=Projects!$C$11),Projects!$B$11*Projects!$I$11,0)+IF(AND(Projects!$G$12="Yes",Projects!$F$12="Yes",88=Projects!$C$12),Projects!$B$12*Projects!$I$12,0)+IF(AND(Projects!$G$13="Yes",Projects!$F$13="Yes",88=Projects!$C$13),Projects!$B$13*Projects!$I$13,0)+IF(AND(Projects!$G$14="Yes",Projects!$F$14="Yes",88=Projects!$C$14),Projects!$B$14*Projects!$I$14,0)+IF(AND(Projects!$G$15="Yes",Projects!$F$15="Yes",88=Projects!$C$15),Projects!$B$15*Projects!$I$15,0)+IF(AND(Projects!$G$16="Yes",Projects!$F$16="Yes",88=Projects!$C$16),Projects!$B$16*Projects!$I$16,0)+IF(AND(Projects!$G$7="Yes",88=Projects!$C$7),Assumptions!$D$18,0)+SUMPRODUCT((Projects!$G$17:$G$46="Yes")*(Projects!$F$17:$F$46="Yes")*(88=Projects!$C$17:$C$46)*Projects!$B$17:$B$46*Projects!$I$17:$I$46)),Actuals!CO16)</f>
        <v/>
      </c>
      <c r="CO106" s="392">
        <f>IF(ISBLANK(Actuals!CP16),-(IF(AND(Projects!$G$6="Yes",Projects!$F$6="Yes",89=Projects!$C$6),Projects!$B$6*Projects!$I$6,0)+IF(AND(Projects!$G$7="Yes",Projects!$F$7="Yes",89=Projects!$C$7),Projects!$B$7*Projects!$I$7,0)+IF(AND(Projects!$G$8="Yes",Projects!$F$8="Yes",89=Projects!$C$8),Projects!$B$8*Projects!$I$8,0)+IF(AND(Projects!$G$9="Yes",Projects!$F$9="Yes",89=Projects!$C$9),Projects!$B$9*Projects!$I$9,0)+IF(AND(Projects!$G$10="Yes",Projects!$F$10="Yes",89=Projects!$C$10),Projects!$B$10*Projects!$I$10,0)+IF(AND(Projects!$G$11="Yes",Projects!$F$11="Yes",89=Projects!$C$11),Projects!$B$11*Projects!$I$11,0)+IF(AND(Projects!$G$12="Yes",Projects!$F$12="Yes",89=Projects!$C$12),Projects!$B$12*Projects!$I$12,0)+IF(AND(Projects!$G$13="Yes",Projects!$F$13="Yes",89=Projects!$C$13),Projects!$B$13*Projects!$I$13,0)+IF(AND(Projects!$G$14="Yes",Projects!$F$14="Yes",89=Projects!$C$14),Projects!$B$14*Projects!$I$14,0)+IF(AND(Projects!$G$15="Yes",Projects!$F$15="Yes",89=Projects!$C$15),Projects!$B$15*Projects!$I$15,0)+IF(AND(Projects!$G$16="Yes",Projects!$F$16="Yes",89=Projects!$C$16),Projects!$B$16*Projects!$I$16,0)+IF(AND(Projects!$G$7="Yes",89=Projects!$C$7),Assumptions!$D$18,0)+SUMPRODUCT((Projects!$G$17:$G$46="Yes")*(Projects!$F$17:$F$46="Yes")*(89=Projects!$C$17:$C$46)*Projects!$B$17:$B$46*Projects!$I$17:$I$46)),Actuals!CP16)</f>
        <v/>
      </c>
      <c r="CP106" s="392">
        <f>IF(ISBLANK(Actuals!CQ16),-(IF(AND(Projects!$G$6="Yes",Projects!$F$6="Yes",90=Projects!$C$6),Projects!$B$6*Projects!$I$6,0)+IF(AND(Projects!$G$7="Yes",Projects!$F$7="Yes",90=Projects!$C$7),Projects!$B$7*Projects!$I$7,0)+IF(AND(Projects!$G$8="Yes",Projects!$F$8="Yes",90=Projects!$C$8),Projects!$B$8*Projects!$I$8,0)+IF(AND(Projects!$G$9="Yes",Projects!$F$9="Yes",90=Projects!$C$9),Projects!$B$9*Projects!$I$9,0)+IF(AND(Projects!$G$10="Yes",Projects!$F$10="Yes",90=Projects!$C$10),Projects!$B$10*Projects!$I$10,0)+IF(AND(Projects!$G$11="Yes",Projects!$F$11="Yes",90=Projects!$C$11),Projects!$B$11*Projects!$I$11,0)+IF(AND(Projects!$G$12="Yes",Projects!$F$12="Yes",90=Projects!$C$12),Projects!$B$12*Projects!$I$12,0)+IF(AND(Projects!$G$13="Yes",Projects!$F$13="Yes",90=Projects!$C$13),Projects!$B$13*Projects!$I$13,0)+IF(AND(Projects!$G$14="Yes",Projects!$F$14="Yes",90=Projects!$C$14),Projects!$B$14*Projects!$I$14,0)+IF(AND(Projects!$G$15="Yes",Projects!$F$15="Yes",90=Projects!$C$15),Projects!$B$15*Projects!$I$15,0)+IF(AND(Projects!$G$16="Yes",Projects!$F$16="Yes",90=Projects!$C$16),Projects!$B$16*Projects!$I$16,0)+IF(AND(Projects!$G$7="Yes",90=Projects!$C$7),Assumptions!$D$18,0)+SUMPRODUCT((Projects!$G$17:$G$46="Yes")*(Projects!$F$17:$F$46="Yes")*(90=Projects!$C$17:$C$46)*Projects!$B$17:$B$46*Projects!$I$17:$I$46)),Actuals!CQ16)</f>
        <v/>
      </c>
      <c r="CQ106" s="392">
        <f>IF(ISBLANK(Actuals!CR16),-(IF(AND(Projects!$G$6="Yes",Projects!$F$6="Yes",91=Projects!$C$6),Projects!$B$6*Projects!$I$6,0)+IF(AND(Projects!$G$7="Yes",Projects!$F$7="Yes",91=Projects!$C$7),Projects!$B$7*Projects!$I$7,0)+IF(AND(Projects!$G$8="Yes",Projects!$F$8="Yes",91=Projects!$C$8),Projects!$B$8*Projects!$I$8,0)+IF(AND(Projects!$G$9="Yes",Projects!$F$9="Yes",91=Projects!$C$9),Projects!$B$9*Projects!$I$9,0)+IF(AND(Projects!$G$10="Yes",Projects!$F$10="Yes",91=Projects!$C$10),Projects!$B$10*Projects!$I$10,0)+IF(AND(Projects!$G$11="Yes",Projects!$F$11="Yes",91=Projects!$C$11),Projects!$B$11*Projects!$I$11,0)+IF(AND(Projects!$G$12="Yes",Projects!$F$12="Yes",91=Projects!$C$12),Projects!$B$12*Projects!$I$12,0)+IF(AND(Projects!$G$13="Yes",Projects!$F$13="Yes",91=Projects!$C$13),Projects!$B$13*Projects!$I$13,0)+IF(AND(Projects!$G$14="Yes",Projects!$F$14="Yes",91=Projects!$C$14),Projects!$B$14*Projects!$I$14,0)+IF(AND(Projects!$G$15="Yes",Projects!$F$15="Yes",91=Projects!$C$15),Projects!$B$15*Projects!$I$15,0)+IF(AND(Projects!$G$16="Yes",Projects!$F$16="Yes",91=Projects!$C$16),Projects!$B$16*Projects!$I$16,0)+IF(AND(Projects!$G$7="Yes",91=Projects!$C$7),Assumptions!$D$18,0)+SUMPRODUCT((Projects!$G$17:$G$46="Yes")*(Projects!$F$17:$F$46="Yes")*(91=Projects!$C$17:$C$46)*Projects!$B$17:$B$46*Projects!$I$17:$I$46)),Actuals!CR16)</f>
        <v/>
      </c>
      <c r="CR106" s="392">
        <f>IF(ISBLANK(Actuals!CS16),-(IF(AND(Projects!$G$6="Yes",Projects!$F$6="Yes",92=Projects!$C$6),Projects!$B$6*Projects!$I$6,0)+IF(AND(Projects!$G$7="Yes",Projects!$F$7="Yes",92=Projects!$C$7),Projects!$B$7*Projects!$I$7,0)+IF(AND(Projects!$G$8="Yes",Projects!$F$8="Yes",92=Projects!$C$8),Projects!$B$8*Projects!$I$8,0)+IF(AND(Projects!$G$9="Yes",Projects!$F$9="Yes",92=Projects!$C$9),Projects!$B$9*Projects!$I$9,0)+IF(AND(Projects!$G$10="Yes",Projects!$F$10="Yes",92=Projects!$C$10),Projects!$B$10*Projects!$I$10,0)+IF(AND(Projects!$G$11="Yes",Projects!$F$11="Yes",92=Projects!$C$11),Projects!$B$11*Projects!$I$11,0)+IF(AND(Projects!$G$12="Yes",Projects!$F$12="Yes",92=Projects!$C$12),Projects!$B$12*Projects!$I$12,0)+IF(AND(Projects!$G$13="Yes",Projects!$F$13="Yes",92=Projects!$C$13),Projects!$B$13*Projects!$I$13,0)+IF(AND(Projects!$G$14="Yes",Projects!$F$14="Yes",92=Projects!$C$14),Projects!$B$14*Projects!$I$14,0)+IF(AND(Projects!$G$15="Yes",Projects!$F$15="Yes",92=Projects!$C$15),Projects!$B$15*Projects!$I$15,0)+IF(AND(Projects!$G$16="Yes",Projects!$F$16="Yes",92=Projects!$C$16),Projects!$B$16*Projects!$I$16,0)+IF(AND(Projects!$G$7="Yes",92=Projects!$C$7),Assumptions!$D$18,0)+SUMPRODUCT((Projects!$G$17:$G$46="Yes")*(Projects!$F$17:$F$46="Yes")*(92=Projects!$C$17:$C$46)*Projects!$B$17:$B$46*Projects!$I$17:$I$46)),Actuals!CS16)</f>
        <v/>
      </c>
      <c r="CS106" s="392">
        <f>IF(ISBLANK(Actuals!CT16),-(IF(AND(Projects!$G$6="Yes",Projects!$F$6="Yes",93=Projects!$C$6),Projects!$B$6*Projects!$I$6,0)+IF(AND(Projects!$G$7="Yes",Projects!$F$7="Yes",93=Projects!$C$7),Projects!$B$7*Projects!$I$7,0)+IF(AND(Projects!$G$8="Yes",Projects!$F$8="Yes",93=Projects!$C$8),Projects!$B$8*Projects!$I$8,0)+IF(AND(Projects!$G$9="Yes",Projects!$F$9="Yes",93=Projects!$C$9),Projects!$B$9*Projects!$I$9,0)+IF(AND(Projects!$G$10="Yes",Projects!$F$10="Yes",93=Projects!$C$10),Projects!$B$10*Projects!$I$10,0)+IF(AND(Projects!$G$11="Yes",Projects!$F$11="Yes",93=Projects!$C$11),Projects!$B$11*Projects!$I$11,0)+IF(AND(Projects!$G$12="Yes",Projects!$F$12="Yes",93=Projects!$C$12),Projects!$B$12*Projects!$I$12,0)+IF(AND(Projects!$G$13="Yes",Projects!$F$13="Yes",93=Projects!$C$13),Projects!$B$13*Projects!$I$13,0)+IF(AND(Projects!$G$14="Yes",Projects!$F$14="Yes",93=Projects!$C$14),Projects!$B$14*Projects!$I$14,0)+IF(AND(Projects!$G$15="Yes",Projects!$F$15="Yes",93=Projects!$C$15),Projects!$B$15*Projects!$I$15,0)+IF(AND(Projects!$G$16="Yes",Projects!$F$16="Yes",93=Projects!$C$16),Projects!$B$16*Projects!$I$16,0)+IF(AND(Projects!$G$7="Yes",93=Projects!$C$7),Assumptions!$D$18,0)+SUMPRODUCT((Projects!$G$17:$G$46="Yes")*(Projects!$F$17:$F$46="Yes")*(93=Projects!$C$17:$C$46)*Projects!$B$17:$B$46*Projects!$I$17:$I$46)),Actuals!CT16)</f>
        <v/>
      </c>
      <c r="CT106" s="392">
        <f>IF(ISBLANK(Actuals!CU16),-(IF(AND(Projects!$G$6="Yes",Projects!$F$6="Yes",94=Projects!$C$6),Projects!$B$6*Projects!$I$6,0)+IF(AND(Projects!$G$7="Yes",Projects!$F$7="Yes",94=Projects!$C$7),Projects!$B$7*Projects!$I$7,0)+IF(AND(Projects!$G$8="Yes",Projects!$F$8="Yes",94=Projects!$C$8),Projects!$B$8*Projects!$I$8,0)+IF(AND(Projects!$G$9="Yes",Projects!$F$9="Yes",94=Projects!$C$9),Projects!$B$9*Projects!$I$9,0)+IF(AND(Projects!$G$10="Yes",Projects!$F$10="Yes",94=Projects!$C$10),Projects!$B$10*Projects!$I$10,0)+IF(AND(Projects!$G$11="Yes",Projects!$F$11="Yes",94=Projects!$C$11),Projects!$B$11*Projects!$I$11,0)+IF(AND(Projects!$G$12="Yes",Projects!$F$12="Yes",94=Projects!$C$12),Projects!$B$12*Projects!$I$12,0)+IF(AND(Projects!$G$13="Yes",Projects!$F$13="Yes",94=Projects!$C$13),Projects!$B$13*Projects!$I$13,0)+IF(AND(Projects!$G$14="Yes",Projects!$F$14="Yes",94=Projects!$C$14),Projects!$B$14*Projects!$I$14,0)+IF(AND(Projects!$G$15="Yes",Projects!$F$15="Yes",94=Projects!$C$15),Projects!$B$15*Projects!$I$15,0)+IF(AND(Projects!$G$16="Yes",Projects!$F$16="Yes",94=Projects!$C$16),Projects!$B$16*Projects!$I$16,0)+IF(AND(Projects!$G$7="Yes",94=Projects!$C$7),Assumptions!$D$18,0)+SUMPRODUCT((Projects!$G$17:$G$46="Yes")*(Projects!$F$17:$F$46="Yes")*(94=Projects!$C$17:$C$46)*Projects!$B$17:$B$46*Projects!$I$17:$I$46)),Actuals!CU16)</f>
        <v/>
      </c>
      <c r="CU106" s="392">
        <f>IF(ISBLANK(Actuals!CV16),-(IF(AND(Projects!$G$6="Yes",Projects!$F$6="Yes",95=Projects!$C$6),Projects!$B$6*Projects!$I$6,0)+IF(AND(Projects!$G$7="Yes",Projects!$F$7="Yes",95=Projects!$C$7),Projects!$B$7*Projects!$I$7,0)+IF(AND(Projects!$G$8="Yes",Projects!$F$8="Yes",95=Projects!$C$8),Projects!$B$8*Projects!$I$8,0)+IF(AND(Projects!$G$9="Yes",Projects!$F$9="Yes",95=Projects!$C$9),Projects!$B$9*Projects!$I$9,0)+IF(AND(Projects!$G$10="Yes",Projects!$F$10="Yes",95=Projects!$C$10),Projects!$B$10*Projects!$I$10,0)+IF(AND(Projects!$G$11="Yes",Projects!$F$11="Yes",95=Projects!$C$11),Projects!$B$11*Projects!$I$11,0)+IF(AND(Projects!$G$12="Yes",Projects!$F$12="Yes",95=Projects!$C$12),Projects!$B$12*Projects!$I$12,0)+IF(AND(Projects!$G$13="Yes",Projects!$F$13="Yes",95=Projects!$C$13),Projects!$B$13*Projects!$I$13,0)+IF(AND(Projects!$G$14="Yes",Projects!$F$14="Yes",95=Projects!$C$14),Projects!$B$14*Projects!$I$14,0)+IF(AND(Projects!$G$15="Yes",Projects!$F$15="Yes",95=Projects!$C$15),Projects!$B$15*Projects!$I$15,0)+IF(AND(Projects!$G$16="Yes",Projects!$F$16="Yes",95=Projects!$C$16),Projects!$B$16*Projects!$I$16,0)+IF(AND(Projects!$G$7="Yes",95=Projects!$C$7),Assumptions!$D$18,0)+SUMPRODUCT((Projects!$G$17:$G$46="Yes")*(Projects!$F$17:$F$46="Yes")*(95=Projects!$C$17:$C$46)*Projects!$B$17:$B$46*Projects!$I$17:$I$46)),Actuals!CV16)</f>
        <v/>
      </c>
      <c r="CV106" s="392">
        <f>IF(ISBLANK(Actuals!CW16),-(IF(AND(Projects!$G$6="Yes",Projects!$F$6="Yes",96=Projects!$C$6),Projects!$B$6*Projects!$I$6,0)+IF(AND(Projects!$G$7="Yes",Projects!$F$7="Yes",96=Projects!$C$7),Projects!$B$7*Projects!$I$7,0)+IF(AND(Projects!$G$8="Yes",Projects!$F$8="Yes",96=Projects!$C$8),Projects!$B$8*Projects!$I$8,0)+IF(AND(Projects!$G$9="Yes",Projects!$F$9="Yes",96=Projects!$C$9),Projects!$B$9*Projects!$I$9,0)+IF(AND(Projects!$G$10="Yes",Projects!$F$10="Yes",96=Projects!$C$10),Projects!$B$10*Projects!$I$10,0)+IF(AND(Projects!$G$11="Yes",Projects!$F$11="Yes",96=Projects!$C$11),Projects!$B$11*Projects!$I$11,0)+IF(AND(Projects!$G$12="Yes",Projects!$F$12="Yes",96=Projects!$C$12),Projects!$B$12*Projects!$I$12,0)+IF(AND(Projects!$G$13="Yes",Projects!$F$13="Yes",96=Projects!$C$13),Projects!$B$13*Projects!$I$13,0)+IF(AND(Projects!$G$14="Yes",Projects!$F$14="Yes",96=Projects!$C$14),Projects!$B$14*Projects!$I$14,0)+IF(AND(Projects!$G$15="Yes",Projects!$F$15="Yes",96=Projects!$C$15),Projects!$B$15*Projects!$I$15,0)+IF(AND(Projects!$G$16="Yes",Projects!$F$16="Yes",96=Projects!$C$16),Projects!$B$16*Projects!$I$16,0)+IF(AND(Projects!$G$7="Yes",96=Projects!$C$7),Assumptions!$D$18,0)+SUMPRODUCT((Projects!$G$17:$G$46="Yes")*(Projects!$F$17:$F$46="Yes")*(96=Projects!$C$17:$C$46)*Projects!$B$17:$B$46*Projects!$I$17:$I$46)),Actuals!CW16)</f>
        <v/>
      </c>
      <c r="CW106" s="392">
        <f>IF(ISBLANK(Actuals!CX16),-(IF(AND(Projects!$G$6="Yes",Projects!$F$6="Yes",97=Projects!$C$6),Projects!$B$6*Projects!$I$6,0)+IF(AND(Projects!$G$7="Yes",Projects!$F$7="Yes",97=Projects!$C$7),Projects!$B$7*Projects!$I$7,0)+IF(AND(Projects!$G$8="Yes",Projects!$F$8="Yes",97=Projects!$C$8),Projects!$B$8*Projects!$I$8,0)+IF(AND(Projects!$G$9="Yes",Projects!$F$9="Yes",97=Projects!$C$9),Projects!$B$9*Projects!$I$9,0)+IF(AND(Projects!$G$10="Yes",Projects!$F$10="Yes",97=Projects!$C$10),Projects!$B$10*Projects!$I$10,0)+IF(AND(Projects!$G$11="Yes",Projects!$F$11="Yes",97=Projects!$C$11),Projects!$B$11*Projects!$I$11,0)+IF(AND(Projects!$G$12="Yes",Projects!$F$12="Yes",97=Projects!$C$12),Projects!$B$12*Projects!$I$12,0)+IF(AND(Projects!$G$13="Yes",Projects!$F$13="Yes",97=Projects!$C$13),Projects!$B$13*Projects!$I$13,0)+IF(AND(Projects!$G$14="Yes",Projects!$F$14="Yes",97=Projects!$C$14),Projects!$B$14*Projects!$I$14,0)+IF(AND(Projects!$G$15="Yes",Projects!$F$15="Yes",97=Projects!$C$15),Projects!$B$15*Projects!$I$15,0)+IF(AND(Projects!$G$16="Yes",Projects!$F$16="Yes",97=Projects!$C$16),Projects!$B$16*Projects!$I$16,0)+IF(AND(Projects!$G$7="Yes",97=Projects!$C$7),Assumptions!$D$18,0)+SUMPRODUCT((Projects!$G$17:$G$46="Yes")*(Projects!$F$17:$F$46="Yes")*(97=Projects!$C$17:$C$46)*Projects!$B$17:$B$46*Projects!$I$17:$I$46)),Actuals!CX16)</f>
        <v/>
      </c>
      <c r="CX106" s="392">
        <f>IF(ISBLANK(Actuals!CY16),-(IF(AND(Projects!$G$6="Yes",Projects!$F$6="Yes",98=Projects!$C$6),Projects!$B$6*Projects!$I$6,0)+IF(AND(Projects!$G$7="Yes",Projects!$F$7="Yes",98=Projects!$C$7),Projects!$B$7*Projects!$I$7,0)+IF(AND(Projects!$G$8="Yes",Projects!$F$8="Yes",98=Projects!$C$8),Projects!$B$8*Projects!$I$8,0)+IF(AND(Projects!$G$9="Yes",Projects!$F$9="Yes",98=Projects!$C$9),Projects!$B$9*Projects!$I$9,0)+IF(AND(Projects!$G$10="Yes",Projects!$F$10="Yes",98=Projects!$C$10),Projects!$B$10*Projects!$I$10,0)+IF(AND(Projects!$G$11="Yes",Projects!$F$11="Yes",98=Projects!$C$11),Projects!$B$11*Projects!$I$11,0)+IF(AND(Projects!$G$12="Yes",Projects!$F$12="Yes",98=Projects!$C$12),Projects!$B$12*Projects!$I$12,0)+IF(AND(Projects!$G$13="Yes",Projects!$F$13="Yes",98=Projects!$C$13),Projects!$B$13*Projects!$I$13,0)+IF(AND(Projects!$G$14="Yes",Projects!$F$14="Yes",98=Projects!$C$14),Projects!$B$14*Projects!$I$14,0)+IF(AND(Projects!$G$15="Yes",Projects!$F$15="Yes",98=Projects!$C$15),Projects!$B$15*Projects!$I$15,0)+IF(AND(Projects!$G$16="Yes",Projects!$F$16="Yes",98=Projects!$C$16),Projects!$B$16*Projects!$I$16,0)+IF(AND(Projects!$G$7="Yes",98=Projects!$C$7),Assumptions!$D$18,0)+SUMPRODUCT((Projects!$G$17:$G$46="Yes")*(Projects!$F$17:$F$46="Yes")*(98=Projects!$C$17:$C$46)*Projects!$B$17:$B$46*Projects!$I$17:$I$46)),Actuals!CY16)</f>
        <v/>
      </c>
      <c r="CY106" s="392">
        <f>IF(ISBLANK(Actuals!CZ16),-(IF(AND(Projects!$G$6="Yes",Projects!$F$6="Yes",99=Projects!$C$6),Projects!$B$6*Projects!$I$6,0)+IF(AND(Projects!$G$7="Yes",Projects!$F$7="Yes",99=Projects!$C$7),Projects!$B$7*Projects!$I$7,0)+IF(AND(Projects!$G$8="Yes",Projects!$F$8="Yes",99=Projects!$C$8),Projects!$B$8*Projects!$I$8,0)+IF(AND(Projects!$G$9="Yes",Projects!$F$9="Yes",99=Projects!$C$9),Projects!$B$9*Projects!$I$9,0)+IF(AND(Projects!$G$10="Yes",Projects!$F$10="Yes",99=Projects!$C$10),Projects!$B$10*Projects!$I$10,0)+IF(AND(Projects!$G$11="Yes",Projects!$F$11="Yes",99=Projects!$C$11),Projects!$B$11*Projects!$I$11,0)+IF(AND(Projects!$G$12="Yes",Projects!$F$12="Yes",99=Projects!$C$12),Projects!$B$12*Projects!$I$12,0)+IF(AND(Projects!$G$13="Yes",Projects!$F$13="Yes",99=Projects!$C$13),Projects!$B$13*Projects!$I$13,0)+IF(AND(Projects!$G$14="Yes",Projects!$F$14="Yes",99=Projects!$C$14),Projects!$B$14*Projects!$I$14,0)+IF(AND(Projects!$G$15="Yes",Projects!$F$15="Yes",99=Projects!$C$15),Projects!$B$15*Projects!$I$15,0)+IF(AND(Projects!$G$16="Yes",Projects!$F$16="Yes",99=Projects!$C$16),Projects!$B$16*Projects!$I$16,0)+IF(AND(Projects!$G$7="Yes",99=Projects!$C$7),Assumptions!$D$18,0)+SUMPRODUCT((Projects!$G$17:$G$46="Yes")*(Projects!$F$17:$F$46="Yes")*(99=Projects!$C$17:$C$46)*Projects!$B$17:$B$46*Projects!$I$17:$I$46)),Actuals!CZ16)</f>
        <v/>
      </c>
      <c r="CZ106" s="392">
        <f>IF(ISBLANK(Actuals!DA16),-(IF(AND(Projects!$G$6="Yes",Projects!$F$6="Yes",100=Projects!$C$6),Projects!$B$6*Projects!$I$6,0)+IF(AND(Projects!$G$7="Yes",Projects!$F$7="Yes",100=Projects!$C$7),Projects!$B$7*Projects!$I$7,0)+IF(AND(Projects!$G$8="Yes",Projects!$F$8="Yes",100=Projects!$C$8),Projects!$B$8*Projects!$I$8,0)+IF(AND(Projects!$G$9="Yes",Projects!$F$9="Yes",100=Projects!$C$9),Projects!$B$9*Projects!$I$9,0)+IF(AND(Projects!$G$10="Yes",Projects!$F$10="Yes",100=Projects!$C$10),Projects!$B$10*Projects!$I$10,0)+IF(AND(Projects!$G$11="Yes",Projects!$F$11="Yes",100=Projects!$C$11),Projects!$B$11*Projects!$I$11,0)+IF(AND(Projects!$G$12="Yes",Projects!$F$12="Yes",100=Projects!$C$12),Projects!$B$12*Projects!$I$12,0)+IF(AND(Projects!$G$13="Yes",Projects!$F$13="Yes",100=Projects!$C$13),Projects!$B$13*Projects!$I$13,0)+IF(AND(Projects!$G$14="Yes",Projects!$F$14="Yes",100=Projects!$C$14),Projects!$B$14*Projects!$I$14,0)+IF(AND(Projects!$G$15="Yes",Projects!$F$15="Yes",100=Projects!$C$15),Projects!$B$15*Projects!$I$15,0)+IF(AND(Projects!$G$16="Yes",Projects!$F$16="Yes",100=Projects!$C$16),Projects!$B$16*Projects!$I$16,0)+IF(AND(Projects!$G$7="Yes",100=Projects!$C$7),Assumptions!$D$18,0)+SUMPRODUCT((Projects!$G$17:$G$46="Yes")*(Projects!$F$17:$F$46="Yes")*(100=Projects!$C$17:$C$46)*Projects!$B$17:$B$46*Projects!$I$17:$I$46)),Actuals!DA16)</f>
        <v/>
      </c>
      <c r="DA106" s="392">
        <f>IF(ISBLANK(Actuals!DB16),-(IF(AND(Projects!$G$6="Yes",Projects!$F$6="Yes",101=Projects!$C$6),Projects!$B$6*Projects!$I$6,0)+IF(AND(Projects!$G$7="Yes",Projects!$F$7="Yes",101=Projects!$C$7),Projects!$B$7*Projects!$I$7,0)+IF(AND(Projects!$G$8="Yes",Projects!$F$8="Yes",101=Projects!$C$8),Projects!$B$8*Projects!$I$8,0)+IF(AND(Projects!$G$9="Yes",Projects!$F$9="Yes",101=Projects!$C$9),Projects!$B$9*Projects!$I$9,0)+IF(AND(Projects!$G$10="Yes",Projects!$F$10="Yes",101=Projects!$C$10),Projects!$B$10*Projects!$I$10,0)+IF(AND(Projects!$G$11="Yes",Projects!$F$11="Yes",101=Projects!$C$11),Projects!$B$11*Projects!$I$11,0)+IF(AND(Projects!$G$12="Yes",Projects!$F$12="Yes",101=Projects!$C$12),Projects!$B$12*Projects!$I$12,0)+IF(AND(Projects!$G$13="Yes",Projects!$F$13="Yes",101=Projects!$C$13),Projects!$B$13*Projects!$I$13,0)+IF(AND(Projects!$G$14="Yes",Projects!$F$14="Yes",101=Projects!$C$14),Projects!$B$14*Projects!$I$14,0)+IF(AND(Projects!$G$15="Yes",Projects!$F$15="Yes",101=Projects!$C$15),Projects!$B$15*Projects!$I$15,0)+IF(AND(Projects!$G$16="Yes",Projects!$F$16="Yes",101=Projects!$C$16),Projects!$B$16*Projects!$I$16,0)+IF(AND(Projects!$G$7="Yes",101=Projects!$C$7),Assumptions!$D$18,0)+SUMPRODUCT((Projects!$G$17:$G$46="Yes")*(Projects!$F$17:$F$46="Yes")*(101=Projects!$C$17:$C$46)*Projects!$B$17:$B$46*Projects!$I$17:$I$46)),Actuals!DB16)</f>
        <v/>
      </c>
      <c r="DB106" s="392">
        <f>IF(ISBLANK(Actuals!DC16),-(IF(AND(Projects!$G$6="Yes",Projects!$F$6="Yes",102=Projects!$C$6),Projects!$B$6*Projects!$I$6,0)+IF(AND(Projects!$G$7="Yes",Projects!$F$7="Yes",102=Projects!$C$7),Projects!$B$7*Projects!$I$7,0)+IF(AND(Projects!$G$8="Yes",Projects!$F$8="Yes",102=Projects!$C$8),Projects!$B$8*Projects!$I$8,0)+IF(AND(Projects!$G$9="Yes",Projects!$F$9="Yes",102=Projects!$C$9),Projects!$B$9*Projects!$I$9,0)+IF(AND(Projects!$G$10="Yes",Projects!$F$10="Yes",102=Projects!$C$10),Projects!$B$10*Projects!$I$10,0)+IF(AND(Projects!$G$11="Yes",Projects!$F$11="Yes",102=Projects!$C$11),Projects!$B$11*Projects!$I$11,0)+IF(AND(Projects!$G$12="Yes",Projects!$F$12="Yes",102=Projects!$C$12),Projects!$B$12*Projects!$I$12,0)+IF(AND(Projects!$G$13="Yes",Projects!$F$13="Yes",102=Projects!$C$13),Projects!$B$13*Projects!$I$13,0)+IF(AND(Projects!$G$14="Yes",Projects!$F$14="Yes",102=Projects!$C$14),Projects!$B$14*Projects!$I$14,0)+IF(AND(Projects!$G$15="Yes",Projects!$F$15="Yes",102=Projects!$C$15),Projects!$B$15*Projects!$I$15,0)+IF(AND(Projects!$G$16="Yes",Projects!$F$16="Yes",102=Projects!$C$16),Projects!$B$16*Projects!$I$16,0)+IF(AND(Projects!$G$7="Yes",102=Projects!$C$7),Assumptions!$D$18,0)+SUMPRODUCT((Projects!$G$17:$G$46="Yes")*(Projects!$F$17:$F$46="Yes")*(102=Projects!$C$17:$C$46)*Projects!$B$17:$B$46*Projects!$I$17:$I$46)),Actuals!DC16)</f>
        <v/>
      </c>
      <c r="DC106" s="392">
        <f>IF(ISBLANK(Actuals!DD16),-(IF(AND(Projects!$G$6="Yes",Projects!$F$6="Yes",103=Projects!$C$6),Projects!$B$6*Projects!$I$6,0)+IF(AND(Projects!$G$7="Yes",Projects!$F$7="Yes",103=Projects!$C$7),Projects!$B$7*Projects!$I$7,0)+IF(AND(Projects!$G$8="Yes",Projects!$F$8="Yes",103=Projects!$C$8),Projects!$B$8*Projects!$I$8,0)+IF(AND(Projects!$G$9="Yes",Projects!$F$9="Yes",103=Projects!$C$9),Projects!$B$9*Projects!$I$9,0)+IF(AND(Projects!$G$10="Yes",Projects!$F$10="Yes",103=Projects!$C$10),Projects!$B$10*Projects!$I$10,0)+IF(AND(Projects!$G$11="Yes",Projects!$F$11="Yes",103=Projects!$C$11),Projects!$B$11*Projects!$I$11,0)+IF(AND(Projects!$G$12="Yes",Projects!$F$12="Yes",103=Projects!$C$12),Projects!$B$12*Projects!$I$12,0)+IF(AND(Projects!$G$13="Yes",Projects!$F$13="Yes",103=Projects!$C$13),Projects!$B$13*Projects!$I$13,0)+IF(AND(Projects!$G$14="Yes",Projects!$F$14="Yes",103=Projects!$C$14),Projects!$B$14*Projects!$I$14,0)+IF(AND(Projects!$G$15="Yes",Projects!$F$15="Yes",103=Projects!$C$15),Projects!$B$15*Projects!$I$15,0)+IF(AND(Projects!$G$16="Yes",Projects!$F$16="Yes",103=Projects!$C$16),Projects!$B$16*Projects!$I$16,0)+IF(AND(Projects!$G$7="Yes",103=Projects!$C$7),Assumptions!$D$18,0)+SUMPRODUCT((Projects!$G$17:$G$46="Yes")*(Projects!$F$17:$F$46="Yes")*(103=Projects!$C$17:$C$46)*Projects!$B$17:$B$46*Projects!$I$17:$I$46)),Actuals!DD16)</f>
        <v/>
      </c>
      <c r="DD106" s="392">
        <f>IF(ISBLANK(Actuals!DE16),-(IF(AND(Projects!$G$6="Yes",Projects!$F$6="Yes",104=Projects!$C$6),Projects!$B$6*Projects!$I$6,0)+IF(AND(Projects!$G$7="Yes",Projects!$F$7="Yes",104=Projects!$C$7),Projects!$B$7*Projects!$I$7,0)+IF(AND(Projects!$G$8="Yes",Projects!$F$8="Yes",104=Projects!$C$8),Projects!$B$8*Projects!$I$8,0)+IF(AND(Projects!$G$9="Yes",Projects!$F$9="Yes",104=Projects!$C$9),Projects!$B$9*Projects!$I$9,0)+IF(AND(Projects!$G$10="Yes",Projects!$F$10="Yes",104=Projects!$C$10),Projects!$B$10*Projects!$I$10,0)+IF(AND(Projects!$G$11="Yes",Projects!$F$11="Yes",104=Projects!$C$11),Projects!$B$11*Projects!$I$11,0)+IF(AND(Projects!$G$12="Yes",Projects!$F$12="Yes",104=Projects!$C$12),Projects!$B$12*Projects!$I$12,0)+IF(AND(Projects!$G$13="Yes",Projects!$F$13="Yes",104=Projects!$C$13),Projects!$B$13*Projects!$I$13,0)+IF(AND(Projects!$G$14="Yes",Projects!$F$14="Yes",104=Projects!$C$14),Projects!$B$14*Projects!$I$14,0)+IF(AND(Projects!$G$15="Yes",Projects!$F$15="Yes",104=Projects!$C$15),Projects!$B$15*Projects!$I$15,0)+IF(AND(Projects!$G$16="Yes",Projects!$F$16="Yes",104=Projects!$C$16),Projects!$B$16*Projects!$I$16,0)+IF(AND(Projects!$G$7="Yes",104=Projects!$C$7),Assumptions!$D$18,0)+SUMPRODUCT((Projects!$G$17:$G$46="Yes")*(Projects!$F$17:$F$46="Yes")*(104=Projects!$C$17:$C$46)*Projects!$B$17:$B$46*Projects!$I$17:$I$46)),Actuals!DE16)</f>
        <v/>
      </c>
      <c r="DE106" s="392">
        <f>IF(ISBLANK(Actuals!DF16),-(IF(AND(Projects!$G$6="Yes",Projects!$F$6="Yes",105=Projects!$C$6),Projects!$B$6*Projects!$I$6,0)+IF(AND(Projects!$G$7="Yes",Projects!$F$7="Yes",105=Projects!$C$7),Projects!$B$7*Projects!$I$7,0)+IF(AND(Projects!$G$8="Yes",Projects!$F$8="Yes",105=Projects!$C$8),Projects!$B$8*Projects!$I$8,0)+IF(AND(Projects!$G$9="Yes",Projects!$F$9="Yes",105=Projects!$C$9),Projects!$B$9*Projects!$I$9,0)+IF(AND(Projects!$G$10="Yes",Projects!$F$10="Yes",105=Projects!$C$10),Projects!$B$10*Projects!$I$10,0)+IF(AND(Projects!$G$11="Yes",Projects!$F$11="Yes",105=Projects!$C$11),Projects!$B$11*Projects!$I$11,0)+IF(AND(Projects!$G$12="Yes",Projects!$F$12="Yes",105=Projects!$C$12),Projects!$B$12*Projects!$I$12,0)+IF(AND(Projects!$G$13="Yes",Projects!$F$13="Yes",105=Projects!$C$13),Projects!$B$13*Projects!$I$13,0)+IF(AND(Projects!$G$14="Yes",Projects!$F$14="Yes",105=Projects!$C$14),Projects!$B$14*Projects!$I$14,0)+IF(AND(Projects!$G$15="Yes",Projects!$F$15="Yes",105=Projects!$C$15),Projects!$B$15*Projects!$I$15,0)+IF(AND(Projects!$G$16="Yes",Projects!$F$16="Yes",105=Projects!$C$16),Projects!$B$16*Projects!$I$16,0)+IF(AND(Projects!$G$7="Yes",105=Projects!$C$7),Assumptions!$D$18,0)+SUMPRODUCT((Projects!$G$17:$G$46="Yes")*(Projects!$F$17:$F$46="Yes")*(105=Projects!$C$17:$C$46)*Projects!$B$17:$B$46*Projects!$I$17:$I$46)),Actuals!DF16)</f>
        <v/>
      </c>
    </row>
    <row r="107" ht="15" customHeight="1" s="410">
      <c r="A107" s="397" t="inlineStr">
        <is>
          <t>Trade Cost True-Up (LIHTC pass-through)</t>
        </is>
      </c>
      <c r="B107" s="392">
        <f>IF(B$3&lt;5,0,-SUMPRODUCT('Deal Terms'!$D$4:$D$47,B$13:B$56+B$60:B$103))</f>
        <v/>
      </c>
      <c r="C107" s="392">
        <f>IF(C$3&lt;5,0,-SUMPRODUCT('Deal Terms'!$D$4:$D$47,C$13:C$56+C$60:C$103))</f>
        <v/>
      </c>
      <c r="D107" s="392">
        <f>IF(D$3&lt;5,0,-SUMPRODUCT('Deal Terms'!$D$4:$D$47,D$13:D$56+D$60:D$103))</f>
        <v/>
      </c>
      <c r="E107" s="392">
        <f>IF(E$3&lt;5,0,-SUMPRODUCT('Deal Terms'!$D$4:$D$47,E$13:E$56+E$60:E$103))</f>
        <v/>
      </c>
      <c r="F107" s="392">
        <f>IF(F$3&lt;5,0,-SUMPRODUCT('Deal Terms'!$D$4:$D$47,F$13:F$56+F$60:F$103))</f>
        <v/>
      </c>
      <c r="G107" s="392">
        <f>IF(G$3&lt;5,0,-SUMPRODUCT('Deal Terms'!$D$4:$D$47,G$13:G$56+G$60:G$103))</f>
        <v/>
      </c>
      <c r="H107" s="392">
        <f>IF(H$3&lt;5,0,-SUMPRODUCT('Deal Terms'!$D$4:$D$47,H$13:H$56+H$60:H$103))</f>
        <v/>
      </c>
      <c r="I107" s="392">
        <f>IF(I$3&lt;5,0,-SUMPRODUCT('Deal Terms'!$D$4:$D$47,I$13:I$56+I$60:I$103))</f>
        <v/>
      </c>
      <c r="J107" s="392">
        <f>IF(J$3&lt;5,0,-SUMPRODUCT('Deal Terms'!$D$4:$D$47,J$13:J$56+J$60:J$103))</f>
        <v/>
      </c>
      <c r="K107" s="392">
        <f>IF(K$3&lt;5,0,-SUMPRODUCT('Deal Terms'!$D$4:$D$47,K$13:K$56+K$60:K$103))</f>
        <v/>
      </c>
      <c r="L107" s="392">
        <f>IF(L$3&lt;5,0,-SUMPRODUCT('Deal Terms'!$D$4:$D$47,L$13:L$56+L$60:L$103))</f>
        <v/>
      </c>
      <c r="M107" s="392">
        <f>IF(M$3&lt;5,0,-SUMPRODUCT('Deal Terms'!$D$4:$D$47,M$13:M$56+M$60:M$103))</f>
        <v/>
      </c>
      <c r="N107" s="392">
        <f>IF(N$3&lt;5,0,-SUMPRODUCT('Deal Terms'!$D$4:$D$47,N$13:N$56+N$60:N$103))</f>
        <v/>
      </c>
      <c r="O107" s="392">
        <f>IF(O$3&lt;5,0,-SUMPRODUCT('Deal Terms'!$D$4:$D$47,O$13:O$56+O$60:O$103))</f>
        <v/>
      </c>
      <c r="P107" s="392">
        <f>IF(P$3&lt;5,0,-SUMPRODUCT('Deal Terms'!$D$4:$D$47,P$13:P$56+P$60:P$103))</f>
        <v/>
      </c>
      <c r="Q107" s="392">
        <f>IF(Q$3&lt;5,0,-SUMPRODUCT('Deal Terms'!$D$4:$D$47,Q$13:Q$56+Q$60:Q$103))</f>
        <v/>
      </c>
      <c r="R107" s="392">
        <f>IF(R$3&lt;5,0,-SUMPRODUCT('Deal Terms'!$D$4:$D$47,R$13:R$56+R$60:R$103))</f>
        <v/>
      </c>
      <c r="S107" s="392">
        <f>IF(S$3&lt;5,0,-SUMPRODUCT('Deal Terms'!$D$4:$D$47,S$13:S$56+S$60:S$103))</f>
        <v/>
      </c>
      <c r="T107" s="392">
        <f>IF(T$3&lt;5,0,-SUMPRODUCT('Deal Terms'!$D$4:$D$47,T$13:T$56+T$60:T$103))</f>
        <v/>
      </c>
      <c r="U107" s="392">
        <f>IF(U$3&lt;5,0,-SUMPRODUCT('Deal Terms'!$D$4:$D$47,U$13:U$56+U$60:U$103))</f>
        <v/>
      </c>
      <c r="V107" s="392">
        <f>IF(V$3&lt;5,0,-SUMPRODUCT('Deal Terms'!$D$4:$D$47,V$13:V$56+V$60:V$103))</f>
        <v/>
      </c>
      <c r="W107" s="392">
        <f>IF(W$3&lt;5,0,-SUMPRODUCT('Deal Terms'!$D$4:$D$47,W$13:W$56+W$60:W$103))</f>
        <v/>
      </c>
      <c r="X107" s="392">
        <f>IF(X$3&lt;5,0,-SUMPRODUCT('Deal Terms'!$D$4:$D$47,X$13:X$56+X$60:X$103))</f>
        <v/>
      </c>
      <c r="Y107" s="392">
        <f>IF(Y$3&lt;5,0,-SUMPRODUCT('Deal Terms'!$D$4:$D$47,Y$13:Y$56+Y$60:Y$103))</f>
        <v/>
      </c>
      <c r="Z107" s="392">
        <f>IF(Z$3&lt;5,0,-SUMPRODUCT('Deal Terms'!$D$4:$D$47,Z$13:Z$56+Z$60:Z$103))</f>
        <v/>
      </c>
      <c r="AA107" s="392">
        <f>IF(AA$3&lt;5,0,-SUMPRODUCT('Deal Terms'!$D$4:$D$47,AA$13:AA$56+AA$60:AA$103))</f>
        <v/>
      </c>
      <c r="AB107" s="392">
        <f>IF(AB$3&lt;5,0,-SUMPRODUCT('Deal Terms'!$D$4:$D$47,AB$13:AB$56+AB$60:AB$103))</f>
        <v/>
      </c>
      <c r="AC107" s="392">
        <f>IF(AC$3&lt;5,0,-SUMPRODUCT('Deal Terms'!$D$4:$D$47,AC$13:AC$56+AC$60:AC$103))</f>
        <v/>
      </c>
      <c r="AD107" s="392">
        <f>IF(AD$3&lt;5,0,-SUMPRODUCT('Deal Terms'!$D$4:$D$47,AD$13:AD$56+AD$60:AD$103))</f>
        <v/>
      </c>
      <c r="AE107" s="392">
        <f>IF(AE$3&lt;5,0,-SUMPRODUCT('Deal Terms'!$D$4:$D$47,AE$13:AE$56+AE$60:AE$103))</f>
        <v/>
      </c>
      <c r="AF107" s="392">
        <f>IF(AF$3&lt;5,0,-SUMPRODUCT('Deal Terms'!$D$4:$D$47,AF$13:AF$56+AF$60:AF$103))</f>
        <v/>
      </c>
      <c r="AG107" s="392">
        <f>IF(AG$3&lt;5,0,-SUMPRODUCT('Deal Terms'!$D$4:$D$47,AG$13:AG$56+AG$60:AG$103))</f>
        <v/>
      </c>
      <c r="AH107" s="392">
        <f>IF(AH$3&lt;5,0,-SUMPRODUCT('Deal Terms'!$D$4:$D$47,AH$13:AH$56+AH$60:AH$103))</f>
        <v/>
      </c>
      <c r="AI107" s="392">
        <f>IF(AI$3&lt;5,0,-SUMPRODUCT('Deal Terms'!$D$4:$D$47,AI$13:AI$56+AI$60:AI$103))</f>
        <v/>
      </c>
      <c r="AJ107" s="392">
        <f>IF(AJ$3&lt;5,0,-SUMPRODUCT('Deal Terms'!$D$4:$D$47,AJ$13:AJ$56+AJ$60:AJ$103))</f>
        <v/>
      </c>
      <c r="AK107" s="392">
        <f>IF(AK$3&lt;5,0,-SUMPRODUCT('Deal Terms'!$D$4:$D$47,AK$13:AK$56+AK$60:AK$103))</f>
        <v/>
      </c>
      <c r="AL107" s="392">
        <f>IF(AL$3&lt;5,0,-SUMPRODUCT('Deal Terms'!$D$4:$D$47,AL$13:AL$56+AL$60:AL$103))</f>
        <v/>
      </c>
      <c r="AM107" s="392">
        <f>IF(AM$3&lt;5,0,-SUMPRODUCT('Deal Terms'!$D$4:$D$47,AM$13:AM$56+AM$60:AM$103))</f>
        <v/>
      </c>
      <c r="AN107" s="392">
        <f>IF(AN$3&lt;5,0,-SUMPRODUCT('Deal Terms'!$D$4:$D$47,AN$13:AN$56+AN$60:AN$103))</f>
        <v/>
      </c>
      <c r="AO107" s="392">
        <f>IF(AO$3&lt;5,0,-SUMPRODUCT('Deal Terms'!$D$4:$D$47,AO$13:AO$56+AO$60:AO$103))</f>
        <v/>
      </c>
      <c r="AP107" s="392">
        <f>IF(AP$3&lt;5,0,-SUMPRODUCT('Deal Terms'!$D$4:$D$47,AP$13:AP$56+AP$60:AP$103))</f>
        <v/>
      </c>
      <c r="AQ107" s="392">
        <f>IF(AQ$3&lt;5,0,-SUMPRODUCT('Deal Terms'!$D$4:$D$47,AQ$13:AQ$56+AQ$60:AQ$103))</f>
        <v/>
      </c>
      <c r="AR107" s="392">
        <f>IF(AR$3&lt;5,0,-SUMPRODUCT('Deal Terms'!$D$4:$D$47,AR$13:AR$56+AR$60:AR$103))</f>
        <v/>
      </c>
      <c r="AS107" s="392">
        <f>IF(AS$3&lt;5,0,-SUMPRODUCT('Deal Terms'!$D$4:$D$47,AS$13:AS$56+AS$60:AS$103))</f>
        <v/>
      </c>
      <c r="AT107" s="392">
        <f>IF(AT$3&lt;5,0,-SUMPRODUCT('Deal Terms'!$D$4:$D$47,AT$13:AT$56+AT$60:AT$103))</f>
        <v/>
      </c>
      <c r="AU107" s="392">
        <f>IF(AU$3&lt;5,0,-SUMPRODUCT('Deal Terms'!$D$4:$D$47,AU$13:AU$56+AU$60:AU$103))</f>
        <v/>
      </c>
      <c r="AV107" s="392">
        <f>IF(AV$3&lt;5,0,-SUMPRODUCT('Deal Terms'!$D$4:$D$47,AV$13:AV$56+AV$60:AV$103))</f>
        <v/>
      </c>
      <c r="AW107" s="392">
        <f>IF(AW$3&lt;5,0,-SUMPRODUCT('Deal Terms'!$D$4:$D$47,AW$13:AW$56+AW$60:AW$103))</f>
        <v/>
      </c>
      <c r="AX107" s="392">
        <f>IF(AX$3&lt;5,0,-SUMPRODUCT('Deal Terms'!$D$4:$D$47,AX$13:AX$56+AX$60:AX$103))</f>
        <v/>
      </c>
      <c r="AY107" s="392">
        <f>IF(AY$3&lt;5,0,-SUMPRODUCT('Deal Terms'!$D$4:$D$47,AY$13:AY$56+AY$60:AY$103))</f>
        <v/>
      </c>
      <c r="AZ107" s="392">
        <f>IF(AZ$3&lt;5,0,-SUMPRODUCT('Deal Terms'!$D$4:$D$47,AZ$13:AZ$56+AZ$60:AZ$103))</f>
        <v/>
      </c>
      <c r="BA107" s="392">
        <f>IF(BA$3&lt;5,0,-SUMPRODUCT('Deal Terms'!$D$4:$D$47,BA$13:BA$56+BA$60:BA$103))</f>
        <v/>
      </c>
      <c r="BB107" s="392">
        <f>IF(BB$3&lt;5,0,-SUMPRODUCT('Deal Terms'!$D$4:$D$47,BB$13:BB$56+BB$60:BB$103))</f>
        <v/>
      </c>
      <c r="BC107" s="392">
        <f>IF(BC$3&lt;5,0,-SUMPRODUCT('Deal Terms'!$D$4:$D$47,BC$13:BC$56+BC$60:BC$103))</f>
        <v/>
      </c>
      <c r="BD107" s="392">
        <f>IF(BD$3&lt;5,0,-SUMPRODUCT('Deal Terms'!$D$4:$D$47,BD$13:BD$56+BD$60:BD$103))</f>
        <v/>
      </c>
      <c r="BE107" s="392">
        <f>IF(BE$3&lt;5,0,-SUMPRODUCT('Deal Terms'!$D$4:$D$47,BE$13:BE$56+BE$60:BE$103))</f>
        <v/>
      </c>
      <c r="BF107" s="392">
        <f>IF(BF$3&lt;5,0,-SUMPRODUCT('Deal Terms'!$D$4:$D$47,BF$13:BF$56+BF$60:BF$103))</f>
        <v/>
      </c>
      <c r="BG107" s="392">
        <f>IF(BG$3&lt;5,0,-SUMPRODUCT('Deal Terms'!$D$4:$D$47,BG$13:BG$56+BG$60:BG$103))</f>
        <v/>
      </c>
      <c r="BH107" s="392">
        <f>IF(BH$3&lt;5,0,-SUMPRODUCT('Deal Terms'!$D$4:$D$47,BH$13:BH$56+BH$60:BH$103))</f>
        <v/>
      </c>
      <c r="BI107" s="392">
        <f>IF(BI$3&lt;5,0,-SUMPRODUCT('Deal Terms'!$D$4:$D$47,BI$13:BI$56+BI$60:BI$103))</f>
        <v/>
      </c>
      <c r="BJ107" s="392">
        <f>IF(BJ$3&lt;5,0,-SUMPRODUCT('Deal Terms'!$D$4:$D$47,BJ$13:BJ$56+BJ$60:BJ$103))</f>
        <v/>
      </c>
      <c r="BK107" s="392">
        <f>IF(BK$3&lt;5,0,-SUMPRODUCT('Deal Terms'!$D$4:$D$47,BK$13:BK$56+BK$60:BK$103))</f>
        <v/>
      </c>
      <c r="BL107" s="392">
        <f>IF(BL$3&lt;5,0,-SUMPRODUCT('Deal Terms'!$D$4:$D$47,BL$13:BL$56+BL$60:BL$103))</f>
        <v/>
      </c>
      <c r="BM107" s="392">
        <f>IF(BM$3&lt;5,0,-SUMPRODUCT('Deal Terms'!$D$4:$D$47,BM$13:BM$56+BM$60:BM$103))</f>
        <v/>
      </c>
      <c r="BN107" s="392">
        <f>IF(BN$3&lt;5,0,-SUMPRODUCT('Deal Terms'!$D$4:$D$47,BN$13:BN$56+BN$60:BN$103))</f>
        <v/>
      </c>
      <c r="BO107" s="392">
        <f>IF(BO$3&lt;5,0,-SUMPRODUCT('Deal Terms'!$D$4:$D$47,BO$13:BO$56+BO$60:BO$103))</f>
        <v/>
      </c>
      <c r="BP107" s="392">
        <f>IF(BP$3&lt;5,0,-SUMPRODUCT('Deal Terms'!$D$4:$D$47,BP$13:BP$56+BP$60:BP$103))</f>
        <v/>
      </c>
      <c r="BQ107" s="392">
        <f>IF(BQ$3&lt;5,0,-SUMPRODUCT('Deal Terms'!$D$4:$D$47,BQ$13:BQ$56+BQ$60:BQ$103))</f>
        <v/>
      </c>
      <c r="BR107" s="392">
        <f>IF(BR$3&lt;5,0,-SUMPRODUCT('Deal Terms'!$D$4:$D$47,BR$13:BR$56+BR$60:BR$103))</f>
        <v/>
      </c>
      <c r="BS107" s="392">
        <f>IF(BS$3&lt;5,0,-SUMPRODUCT('Deal Terms'!$D$4:$D$47,BS$13:BS$56+BS$60:BS$103))</f>
        <v/>
      </c>
      <c r="BT107" s="392">
        <f>IF(BT$3&lt;5,0,-SUMPRODUCT('Deal Terms'!$D$4:$D$47,BT$13:BT$56+BT$60:BT$103))</f>
        <v/>
      </c>
      <c r="BU107" s="392">
        <f>IF(BU$3&lt;5,0,-SUMPRODUCT('Deal Terms'!$D$4:$D$47,BU$13:BU$56+BU$60:BU$103))</f>
        <v/>
      </c>
      <c r="BV107" s="392">
        <f>IF(BV$3&lt;5,0,-SUMPRODUCT('Deal Terms'!$D$4:$D$47,BV$13:BV$56+BV$60:BV$103))</f>
        <v/>
      </c>
      <c r="BW107" s="392">
        <f>IF(BW$3&lt;5,0,-SUMPRODUCT('Deal Terms'!$D$4:$D$47,BW$13:BW$56+BW$60:BW$103))</f>
        <v/>
      </c>
      <c r="BX107" s="392">
        <f>IF(BX$3&lt;5,0,-SUMPRODUCT('Deal Terms'!$D$4:$D$47,BX$13:BX$56+BX$60:BX$103))</f>
        <v/>
      </c>
      <c r="BY107" s="392">
        <f>IF(BY$3&lt;5,0,-SUMPRODUCT('Deal Terms'!$D$4:$D$47,BY$13:BY$56+BY$60:BY$103))</f>
        <v/>
      </c>
      <c r="BZ107" s="392">
        <f>IF(BZ$3&lt;5,0,-SUMPRODUCT('Deal Terms'!$D$4:$D$47,BZ$13:BZ$56+BZ$60:BZ$103))</f>
        <v/>
      </c>
      <c r="CA107" s="392">
        <f>IF(CA$3&lt;5,0,-SUMPRODUCT('Deal Terms'!$D$4:$D$47,CA$13:CA$56+CA$60:CA$103))</f>
        <v/>
      </c>
      <c r="CB107" s="392">
        <f>IF(CB$3&lt;5,0,-SUMPRODUCT('Deal Terms'!$D$4:$D$47,CB$13:CB$56+CB$60:CB$103))</f>
        <v/>
      </c>
      <c r="CC107" s="392">
        <f>IF(CC$3&lt;5,0,-SUMPRODUCT('Deal Terms'!$D$4:$D$47,CC$13:CC$56+CC$60:CC$103))</f>
        <v/>
      </c>
      <c r="CD107" s="392">
        <f>IF(CD$3&lt;5,0,-SUMPRODUCT('Deal Terms'!$D$4:$D$47,CD$13:CD$56+CD$60:CD$103))</f>
        <v/>
      </c>
      <c r="CE107" s="392">
        <f>IF(CE$3&lt;5,0,-SUMPRODUCT('Deal Terms'!$D$4:$D$47,CE$13:CE$56+CE$60:CE$103))</f>
        <v/>
      </c>
      <c r="CF107" s="392">
        <f>IF(CF$3&lt;5,0,-SUMPRODUCT('Deal Terms'!$D$4:$D$47,CF$13:CF$56+CF$60:CF$103))</f>
        <v/>
      </c>
      <c r="CG107" s="392">
        <f>IF(CG$3&lt;5,0,-SUMPRODUCT('Deal Terms'!$D$4:$D$47,CG$13:CG$56+CG$60:CG$103))</f>
        <v/>
      </c>
      <c r="CH107" s="392">
        <f>IF(CH$3&lt;5,0,-SUMPRODUCT('Deal Terms'!$D$4:$D$47,CH$13:CH$56+CH$60:CH$103))</f>
        <v/>
      </c>
      <c r="CI107" s="392">
        <f>IF(CI$3&lt;5,0,-SUMPRODUCT('Deal Terms'!$D$4:$D$47,CI$13:CI$56+CI$60:CI$103))</f>
        <v/>
      </c>
      <c r="CJ107" s="392">
        <f>IF(CJ$3&lt;5,0,-SUMPRODUCT('Deal Terms'!$D$4:$D$47,CJ$13:CJ$56+CJ$60:CJ$103))</f>
        <v/>
      </c>
      <c r="CK107" s="392">
        <f>IF(CK$3&lt;5,0,-SUMPRODUCT('Deal Terms'!$D$4:$D$47,CK$13:CK$56+CK$60:CK$103))</f>
        <v/>
      </c>
      <c r="CL107" s="392">
        <f>IF(CL$3&lt;5,0,-SUMPRODUCT('Deal Terms'!$D$4:$D$47,CL$13:CL$56+CL$60:CL$103))</f>
        <v/>
      </c>
      <c r="CM107" s="392">
        <f>IF(CM$3&lt;5,0,-SUMPRODUCT('Deal Terms'!$D$4:$D$47,CM$13:CM$56+CM$60:CM$103))</f>
        <v/>
      </c>
      <c r="CN107" s="392">
        <f>IF(CN$3&lt;5,0,-SUMPRODUCT('Deal Terms'!$D$4:$D$47,CN$13:CN$56+CN$60:CN$103))</f>
        <v/>
      </c>
      <c r="CO107" s="392">
        <f>IF(CO$3&lt;5,0,-SUMPRODUCT('Deal Terms'!$D$4:$D$47,CO$13:CO$56+CO$60:CO$103))</f>
        <v/>
      </c>
      <c r="CP107" s="392">
        <f>IF(CP$3&lt;5,0,-SUMPRODUCT('Deal Terms'!$D$4:$D$47,CP$13:CP$56+CP$60:CP$103))</f>
        <v/>
      </c>
      <c r="CQ107" s="392">
        <f>IF(CQ$3&lt;5,0,-SUMPRODUCT('Deal Terms'!$D$4:$D$47,CQ$13:CQ$56+CQ$60:CQ$103))</f>
        <v/>
      </c>
      <c r="CR107" s="392">
        <f>IF(CR$3&lt;5,0,-SUMPRODUCT('Deal Terms'!$D$4:$D$47,CR$13:CR$56+CR$60:CR$103))</f>
        <v/>
      </c>
      <c r="CS107" s="392">
        <f>IF(CS$3&lt;5,0,-SUMPRODUCT('Deal Terms'!$D$4:$D$47,CS$13:CS$56+CS$60:CS$103))</f>
        <v/>
      </c>
      <c r="CT107" s="392">
        <f>IF(CT$3&lt;5,0,-SUMPRODUCT('Deal Terms'!$D$4:$D$47,CT$13:CT$56+CT$60:CT$103))</f>
        <v/>
      </c>
      <c r="CU107" s="392">
        <f>IF(CU$3&lt;5,0,-SUMPRODUCT('Deal Terms'!$D$4:$D$47,CU$13:CU$56+CU$60:CU$103))</f>
        <v/>
      </c>
      <c r="CV107" s="392">
        <f>IF(CV$3&lt;5,0,-SUMPRODUCT('Deal Terms'!$D$4:$D$47,CV$13:CV$56+CV$60:CV$103))</f>
        <v/>
      </c>
      <c r="CW107" s="392">
        <f>IF(CW$3&lt;5,0,-SUMPRODUCT('Deal Terms'!$D$4:$D$47,CW$13:CW$56+CW$60:CW$103))</f>
        <v/>
      </c>
      <c r="CX107" s="392">
        <f>IF(CX$3&lt;5,0,-SUMPRODUCT('Deal Terms'!$D$4:$D$47,CX$13:CX$56+CX$60:CX$103))</f>
        <v/>
      </c>
      <c r="CY107" s="392">
        <f>IF(CY$3&lt;5,0,-SUMPRODUCT('Deal Terms'!$D$4:$D$47,CY$13:CY$56+CY$60:CY$103))</f>
        <v/>
      </c>
      <c r="CZ107" s="392">
        <f>IF(CZ$3&lt;5,0,-SUMPRODUCT('Deal Terms'!$D$4:$D$47,CZ$13:CZ$56+CZ$60:CZ$103))</f>
        <v/>
      </c>
      <c r="DA107" s="392">
        <f>IF(DA$3&lt;5,0,-SUMPRODUCT('Deal Terms'!$D$4:$D$47,DA$13:DA$56+DA$60:DA$103))</f>
        <v/>
      </c>
      <c r="DB107" s="392">
        <f>IF(DB$3&lt;5,0,-SUMPRODUCT('Deal Terms'!$D$4:$D$47,DB$13:DB$56+DB$60:DB$103))</f>
        <v/>
      </c>
      <c r="DC107" s="392">
        <f>IF(DC$3&lt;5,0,-SUMPRODUCT('Deal Terms'!$D$4:$D$47,DC$13:DC$56+DC$60:DC$103))</f>
        <v/>
      </c>
      <c r="DD107" s="392">
        <f>IF(DD$3&lt;5,0,-SUMPRODUCT('Deal Terms'!$D$4:$D$47,DD$13:DD$56+DD$60:DD$103))</f>
        <v/>
      </c>
      <c r="DE107" s="392">
        <f>IF(DE$3&lt;5,0,-SUMPRODUCT('Deal Terms'!$D$4:$D$47,DE$13:DE$56+DE$60:DE$103))</f>
        <v/>
      </c>
    </row>
    <row r="108" ht="15" customHeight="1" s="410">
      <c r="A108" s="397" t="inlineStr">
        <is>
          <t>Buyout Savings - LV Share</t>
        </is>
      </c>
      <c r="B108" s="392">
        <f>IF(B$3&lt;5,0,-SUMPRODUCT('Deal Terms'!$E$4:$E$47*('Deal Terms'!$G$4:$G$47=0),B$13:B$56+B$60:B$103))+SUMPRODUCT(('Deal Terms'!$G$4:$G$47=B$3)*('Deal Terms'!$F$4:$F$47-'Deal Terms'!$E$4:$E$47*'Deal Terms'!$I$4:$I$47))</f>
        <v/>
      </c>
      <c r="C108" s="392">
        <f>IF(C$3&lt;5,0,-SUMPRODUCT('Deal Terms'!$E$4:$E$47*('Deal Terms'!$G$4:$G$47=0),C$13:C$56+C$60:C$103))+SUMPRODUCT(('Deal Terms'!$G$4:$G$47=C$3)*('Deal Terms'!$F$4:$F$47-'Deal Terms'!$E$4:$E$47*'Deal Terms'!$I$4:$I$47))</f>
        <v/>
      </c>
      <c r="D108" s="392">
        <f>IF(D$3&lt;5,0,-SUMPRODUCT('Deal Terms'!$E$4:$E$47*('Deal Terms'!$G$4:$G$47=0),D$13:D$56+D$60:D$103))+SUMPRODUCT(('Deal Terms'!$G$4:$G$47=D$3)*('Deal Terms'!$F$4:$F$47-'Deal Terms'!$E$4:$E$47*'Deal Terms'!$I$4:$I$47))</f>
        <v/>
      </c>
      <c r="E108" s="392">
        <f>IF(E$3&lt;5,0,-SUMPRODUCT('Deal Terms'!$E$4:$E$47*('Deal Terms'!$G$4:$G$47=0),E$13:E$56+E$60:E$103))+SUMPRODUCT(('Deal Terms'!$G$4:$G$47=E$3)*('Deal Terms'!$F$4:$F$47-'Deal Terms'!$E$4:$E$47*'Deal Terms'!$I$4:$I$47))</f>
        <v/>
      </c>
      <c r="F108" s="392">
        <f>IF(F$3&lt;5,0,-SUMPRODUCT('Deal Terms'!$E$4:$E$47*('Deal Terms'!$G$4:$G$47=0),F$13:F$56+F$60:F$103))+SUMPRODUCT(('Deal Terms'!$G$4:$G$47=F$3)*('Deal Terms'!$F$4:$F$47-'Deal Terms'!$E$4:$E$47*'Deal Terms'!$I$4:$I$47))</f>
        <v/>
      </c>
      <c r="G108" s="392">
        <f>IF(G$3&lt;5,0,-SUMPRODUCT('Deal Terms'!$E$4:$E$47*('Deal Terms'!$G$4:$G$47=0),G$13:G$56+G$60:G$103))+SUMPRODUCT(('Deal Terms'!$G$4:$G$47=G$3)*('Deal Terms'!$F$4:$F$47-'Deal Terms'!$E$4:$E$47*'Deal Terms'!$I$4:$I$47))</f>
        <v/>
      </c>
      <c r="H108" s="392">
        <f>IF(H$3&lt;5,0,-SUMPRODUCT('Deal Terms'!$E$4:$E$47*('Deal Terms'!$G$4:$G$47=0),H$13:H$56+H$60:H$103))+SUMPRODUCT(('Deal Terms'!$G$4:$G$47=H$3)*('Deal Terms'!$F$4:$F$47-'Deal Terms'!$E$4:$E$47*'Deal Terms'!$I$4:$I$47))</f>
        <v/>
      </c>
      <c r="I108" s="392">
        <f>IF(I$3&lt;5,0,-SUMPRODUCT('Deal Terms'!$E$4:$E$47*('Deal Terms'!$G$4:$G$47=0),I$13:I$56+I$60:I$103))+SUMPRODUCT(('Deal Terms'!$G$4:$G$47=I$3)*('Deal Terms'!$F$4:$F$47-'Deal Terms'!$E$4:$E$47*'Deal Terms'!$I$4:$I$47))</f>
        <v/>
      </c>
      <c r="J108" s="392">
        <f>IF(J$3&lt;5,0,-SUMPRODUCT('Deal Terms'!$E$4:$E$47*('Deal Terms'!$G$4:$G$47=0),J$13:J$56+J$60:J$103))+SUMPRODUCT(('Deal Terms'!$G$4:$G$47=J$3)*('Deal Terms'!$F$4:$F$47-'Deal Terms'!$E$4:$E$47*'Deal Terms'!$I$4:$I$47))</f>
        <v/>
      </c>
      <c r="K108" s="392">
        <f>IF(K$3&lt;5,0,-SUMPRODUCT('Deal Terms'!$E$4:$E$47*('Deal Terms'!$G$4:$G$47=0),K$13:K$56+K$60:K$103))+SUMPRODUCT(('Deal Terms'!$G$4:$G$47=K$3)*('Deal Terms'!$F$4:$F$47-'Deal Terms'!$E$4:$E$47*'Deal Terms'!$I$4:$I$47))</f>
        <v/>
      </c>
      <c r="L108" s="392">
        <f>IF(L$3&lt;5,0,-SUMPRODUCT('Deal Terms'!$E$4:$E$47*('Deal Terms'!$G$4:$G$47=0),L$13:L$56+L$60:L$103))+SUMPRODUCT(('Deal Terms'!$G$4:$G$47=L$3)*('Deal Terms'!$F$4:$F$47-'Deal Terms'!$E$4:$E$47*'Deal Terms'!$I$4:$I$47))</f>
        <v/>
      </c>
      <c r="M108" s="392">
        <f>IF(M$3&lt;5,0,-SUMPRODUCT('Deal Terms'!$E$4:$E$47*('Deal Terms'!$G$4:$G$47=0),M$13:M$56+M$60:M$103))+SUMPRODUCT(('Deal Terms'!$G$4:$G$47=M$3)*('Deal Terms'!$F$4:$F$47-'Deal Terms'!$E$4:$E$47*'Deal Terms'!$I$4:$I$47))</f>
        <v/>
      </c>
      <c r="N108" s="392">
        <f>IF(N$3&lt;5,0,-SUMPRODUCT('Deal Terms'!$E$4:$E$47*('Deal Terms'!$G$4:$G$47=0),N$13:N$56+N$60:N$103))+SUMPRODUCT(('Deal Terms'!$G$4:$G$47=N$3)*('Deal Terms'!$F$4:$F$47-'Deal Terms'!$E$4:$E$47*'Deal Terms'!$I$4:$I$47))</f>
        <v/>
      </c>
      <c r="O108" s="392">
        <f>IF(O$3&lt;5,0,-SUMPRODUCT('Deal Terms'!$E$4:$E$47*('Deal Terms'!$G$4:$G$47=0),O$13:O$56+O$60:O$103))+SUMPRODUCT(('Deal Terms'!$G$4:$G$47=O$3)*('Deal Terms'!$F$4:$F$47-'Deal Terms'!$E$4:$E$47*'Deal Terms'!$I$4:$I$47))</f>
        <v/>
      </c>
      <c r="P108" s="392">
        <f>IF(P$3&lt;5,0,-SUMPRODUCT('Deal Terms'!$E$4:$E$47*('Deal Terms'!$G$4:$G$47=0),P$13:P$56+P$60:P$103))+SUMPRODUCT(('Deal Terms'!$G$4:$G$47=P$3)*('Deal Terms'!$F$4:$F$47-'Deal Terms'!$E$4:$E$47*'Deal Terms'!$I$4:$I$47))</f>
        <v/>
      </c>
      <c r="Q108" s="392">
        <f>IF(Q$3&lt;5,0,-SUMPRODUCT('Deal Terms'!$E$4:$E$47*('Deal Terms'!$G$4:$G$47=0),Q$13:Q$56+Q$60:Q$103))+SUMPRODUCT(('Deal Terms'!$G$4:$G$47=Q$3)*('Deal Terms'!$F$4:$F$47-'Deal Terms'!$E$4:$E$47*'Deal Terms'!$I$4:$I$47))</f>
        <v/>
      </c>
      <c r="R108" s="392">
        <f>IF(R$3&lt;5,0,-SUMPRODUCT('Deal Terms'!$E$4:$E$47*('Deal Terms'!$G$4:$G$47=0),R$13:R$56+R$60:R$103))+SUMPRODUCT(('Deal Terms'!$G$4:$G$47=R$3)*('Deal Terms'!$F$4:$F$47-'Deal Terms'!$E$4:$E$47*'Deal Terms'!$I$4:$I$47))</f>
        <v/>
      </c>
      <c r="S108" s="392">
        <f>IF(S$3&lt;5,0,-SUMPRODUCT('Deal Terms'!$E$4:$E$47*('Deal Terms'!$G$4:$G$47=0),S$13:S$56+S$60:S$103))+SUMPRODUCT(('Deal Terms'!$G$4:$G$47=S$3)*('Deal Terms'!$F$4:$F$47-'Deal Terms'!$E$4:$E$47*'Deal Terms'!$I$4:$I$47))</f>
        <v/>
      </c>
      <c r="T108" s="392">
        <f>IF(T$3&lt;5,0,-SUMPRODUCT('Deal Terms'!$E$4:$E$47*('Deal Terms'!$G$4:$G$47=0),T$13:T$56+T$60:T$103))+SUMPRODUCT(('Deal Terms'!$G$4:$G$47=T$3)*('Deal Terms'!$F$4:$F$47-'Deal Terms'!$E$4:$E$47*'Deal Terms'!$I$4:$I$47))</f>
        <v/>
      </c>
      <c r="U108" s="392">
        <f>IF(U$3&lt;5,0,-SUMPRODUCT('Deal Terms'!$E$4:$E$47*('Deal Terms'!$G$4:$G$47=0),U$13:U$56+U$60:U$103))+SUMPRODUCT(('Deal Terms'!$G$4:$G$47=U$3)*('Deal Terms'!$F$4:$F$47-'Deal Terms'!$E$4:$E$47*'Deal Terms'!$I$4:$I$47))</f>
        <v/>
      </c>
      <c r="V108" s="392">
        <f>IF(V$3&lt;5,0,-SUMPRODUCT('Deal Terms'!$E$4:$E$47*('Deal Terms'!$G$4:$G$47=0),V$13:V$56+V$60:V$103))+SUMPRODUCT(('Deal Terms'!$G$4:$G$47=V$3)*('Deal Terms'!$F$4:$F$47-'Deal Terms'!$E$4:$E$47*'Deal Terms'!$I$4:$I$47))</f>
        <v/>
      </c>
      <c r="W108" s="392">
        <f>IF(W$3&lt;5,0,-SUMPRODUCT('Deal Terms'!$E$4:$E$47*('Deal Terms'!$G$4:$G$47=0),W$13:W$56+W$60:W$103))+SUMPRODUCT(('Deal Terms'!$G$4:$G$47=W$3)*('Deal Terms'!$F$4:$F$47-'Deal Terms'!$E$4:$E$47*'Deal Terms'!$I$4:$I$47))</f>
        <v/>
      </c>
      <c r="X108" s="392">
        <f>IF(X$3&lt;5,0,-SUMPRODUCT('Deal Terms'!$E$4:$E$47*('Deal Terms'!$G$4:$G$47=0),X$13:X$56+X$60:X$103))+SUMPRODUCT(('Deal Terms'!$G$4:$G$47=X$3)*('Deal Terms'!$F$4:$F$47-'Deal Terms'!$E$4:$E$47*'Deal Terms'!$I$4:$I$47))</f>
        <v/>
      </c>
      <c r="Y108" s="392">
        <f>IF(Y$3&lt;5,0,-SUMPRODUCT('Deal Terms'!$E$4:$E$47*('Deal Terms'!$G$4:$G$47=0),Y$13:Y$56+Y$60:Y$103))+SUMPRODUCT(('Deal Terms'!$G$4:$G$47=Y$3)*('Deal Terms'!$F$4:$F$47-'Deal Terms'!$E$4:$E$47*'Deal Terms'!$I$4:$I$47))</f>
        <v/>
      </c>
      <c r="Z108" s="392">
        <f>IF(Z$3&lt;5,0,-SUMPRODUCT('Deal Terms'!$E$4:$E$47*('Deal Terms'!$G$4:$G$47=0),Z$13:Z$56+Z$60:Z$103))+SUMPRODUCT(('Deal Terms'!$G$4:$G$47=Z$3)*('Deal Terms'!$F$4:$F$47-'Deal Terms'!$E$4:$E$47*'Deal Terms'!$I$4:$I$47))</f>
        <v/>
      </c>
      <c r="AA108" s="392">
        <f>IF(AA$3&lt;5,0,-SUMPRODUCT('Deal Terms'!$E$4:$E$47*('Deal Terms'!$G$4:$G$47=0),AA$13:AA$56+AA$60:AA$103))+SUMPRODUCT(('Deal Terms'!$G$4:$G$47=AA$3)*('Deal Terms'!$F$4:$F$47-'Deal Terms'!$E$4:$E$47*'Deal Terms'!$I$4:$I$47))</f>
        <v/>
      </c>
      <c r="AB108" s="392">
        <f>IF(AB$3&lt;5,0,-SUMPRODUCT('Deal Terms'!$E$4:$E$47*('Deal Terms'!$G$4:$G$47=0),AB$13:AB$56+AB$60:AB$103))+SUMPRODUCT(('Deal Terms'!$G$4:$G$47=AB$3)*('Deal Terms'!$F$4:$F$47-'Deal Terms'!$E$4:$E$47*'Deal Terms'!$I$4:$I$47))</f>
        <v/>
      </c>
      <c r="AC108" s="392">
        <f>IF(AC$3&lt;5,0,-SUMPRODUCT('Deal Terms'!$E$4:$E$47*('Deal Terms'!$G$4:$G$47=0),AC$13:AC$56+AC$60:AC$103))+SUMPRODUCT(('Deal Terms'!$G$4:$G$47=AC$3)*('Deal Terms'!$F$4:$F$47-'Deal Terms'!$E$4:$E$47*'Deal Terms'!$I$4:$I$47))</f>
        <v/>
      </c>
      <c r="AD108" s="392">
        <f>IF(AD$3&lt;5,0,-SUMPRODUCT('Deal Terms'!$E$4:$E$47*('Deal Terms'!$G$4:$G$47=0),AD$13:AD$56+AD$60:AD$103))+SUMPRODUCT(('Deal Terms'!$G$4:$G$47=AD$3)*('Deal Terms'!$F$4:$F$47-'Deal Terms'!$E$4:$E$47*'Deal Terms'!$I$4:$I$47))</f>
        <v/>
      </c>
      <c r="AE108" s="392">
        <f>IF(AE$3&lt;5,0,-SUMPRODUCT('Deal Terms'!$E$4:$E$47*('Deal Terms'!$G$4:$G$47=0),AE$13:AE$56+AE$60:AE$103))+SUMPRODUCT(('Deal Terms'!$G$4:$G$47=AE$3)*('Deal Terms'!$F$4:$F$47-'Deal Terms'!$E$4:$E$47*'Deal Terms'!$I$4:$I$47))</f>
        <v/>
      </c>
      <c r="AF108" s="392">
        <f>IF(AF$3&lt;5,0,-SUMPRODUCT('Deal Terms'!$E$4:$E$47*('Deal Terms'!$G$4:$G$47=0),AF$13:AF$56+AF$60:AF$103))+SUMPRODUCT(('Deal Terms'!$G$4:$G$47=AF$3)*('Deal Terms'!$F$4:$F$47-'Deal Terms'!$E$4:$E$47*'Deal Terms'!$I$4:$I$47))</f>
        <v/>
      </c>
      <c r="AG108" s="392">
        <f>IF(AG$3&lt;5,0,-SUMPRODUCT('Deal Terms'!$E$4:$E$47*('Deal Terms'!$G$4:$G$47=0),AG$13:AG$56+AG$60:AG$103))+SUMPRODUCT(('Deal Terms'!$G$4:$G$47=AG$3)*('Deal Terms'!$F$4:$F$47-'Deal Terms'!$E$4:$E$47*'Deal Terms'!$I$4:$I$47))</f>
        <v/>
      </c>
      <c r="AH108" s="392">
        <f>IF(AH$3&lt;5,0,-SUMPRODUCT('Deal Terms'!$E$4:$E$47*('Deal Terms'!$G$4:$G$47=0),AH$13:AH$56+AH$60:AH$103))+SUMPRODUCT(('Deal Terms'!$G$4:$G$47=AH$3)*('Deal Terms'!$F$4:$F$47-'Deal Terms'!$E$4:$E$47*'Deal Terms'!$I$4:$I$47))</f>
        <v/>
      </c>
      <c r="AI108" s="392">
        <f>IF(AI$3&lt;5,0,-SUMPRODUCT('Deal Terms'!$E$4:$E$47*('Deal Terms'!$G$4:$G$47=0),AI$13:AI$56+AI$60:AI$103))+SUMPRODUCT(('Deal Terms'!$G$4:$G$47=AI$3)*('Deal Terms'!$F$4:$F$47-'Deal Terms'!$E$4:$E$47*'Deal Terms'!$I$4:$I$47))</f>
        <v/>
      </c>
      <c r="AJ108" s="392">
        <f>IF(AJ$3&lt;5,0,-SUMPRODUCT('Deal Terms'!$E$4:$E$47*('Deal Terms'!$G$4:$G$47=0),AJ$13:AJ$56+AJ$60:AJ$103))+SUMPRODUCT(('Deal Terms'!$G$4:$G$47=AJ$3)*('Deal Terms'!$F$4:$F$47-'Deal Terms'!$E$4:$E$47*'Deal Terms'!$I$4:$I$47))</f>
        <v/>
      </c>
      <c r="AK108" s="392">
        <f>IF(AK$3&lt;5,0,-SUMPRODUCT('Deal Terms'!$E$4:$E$47*('Deal Terms'!$G$4:$G$47=0),AK$13:AK$56+AK$60:AK$103))+SUMPRODUCT(('Deal Terms'!$G$4:$G$47=AK$3)*('Deal Terms'!$F$4:$F$47-'Deal Terms'!$E$4:$E$47*'Deal Terms'!$I$4:$I$47))</f>
        <v/>
      </c>
      <c r="AL108" s="392">
        <f>IF(AL$3&lt;5,0,-SUMPRODUCT('Deal Terms'!$E$4:$E$47*('Deal Terms'!$G$4:$G$47=0),AL$13:AL$56+AL$60:AL$103))+SUMPRODUCT(('Deal Terms'!$G$4:$G$47=AL$3)*('Deal Terms'!$F$4:$F$47-'Deal Terms'!$E$4:$E$47*'Deal Terms'!$I$4:$I$47))</f>
        <v/>
      </c>
      <c r="AM108" s="392">
        <f>IF(AM$3&lt;5,0,-SUMPRODUCT('Deal Terms'!$E$4:$E$47*('Deal Terms'!$G$4:$G$47=0),AM$13:AM$56+AM$60:AM$103))+SUMPRODUCT(('Deal Terms'!$G$4:$G$47=AM$3)*('Deal Terms'!$F$4:$F$47-'Deal Terms'!$E$4:$E$47*'Deal Terms'!$I$4:$I$47))</f>
        <v/>
      </c>
      <c r="AN108" s="392">
        <f>IF(AN$3&lt;5,0,-SUMPRODUCT('Deal Terms'!$E$4:$E$47*('Deal Terms'!$G$4:$G$47=0),AN$13:AN$56+AN$60:AN$103))+SUMPRODUCT(('Deal Terms'!$G$4:$G$47=AN$3)*('Deal Terms'!$F$4:$F$47-'Deal Terms'!$E$4:$E$47*'Deal Terms'!$I$4:$I$47))</f>
        <v/>
      </c>
      <c r="AO108" s="392">
        <f>IF(AO$3&lt;5,0,-SUMPRODUCT('Deal Terms'!$E$4:$E$47*('Deal Terms'!$G$4:$G$47=0),AO$13:AO$56+AO$60:AO$103))+SUMPRODUCT(('Deal Terms'!$G$4:$G$47=AO$3)*('Deal Terms'!$F$4:$F$47-'Deal Terms'!$E$4:$E$47*'Deal Terms'!$I$4:$I$47))</f>
        <v/>
      </c>
      <c r="AP108" s="392">
        <f>IF(AP$3&lt;5,0,-SUMPRODUCT('Deal Terms'!$E$4:$E$47*('Deal Terms'!$G$4:$G$47=0),AP$13:AP$56+AP$60:AP$103))+SUMPRODUCT(('Deal Terms'!$G$4:$G$47=AP$3)*('Deal Terms'!$F$4:$F$47-'Deal Terms'!$E$4:$E$47*'Deal Terms'!$I$4:$I$47))</f>
        <v/>
      </c>
      <c r="AQ108" s="392">
        <f>IF(AQ$3&lt;5,0,-SUMPRODUCT('Deal Terms'!$E$4:$E$47*('Deal Terms'!$G$4:$G$47=0),AQ$13:AQ$56+AQ$60:AQ$103))+SUMPRODUCT(('Deal Terms'!$G$4:$G$47=AQ$3)*('Deal Terms'!$F$4:$F$47-'Deal Terms'!$E$4:$E$47*'Deal Terms'!$I$4:$I$47))</f>
        <v/>
      </c>
      <c r="AR108" s="392">
        <f>IF(AR$3&lt;5,0,-SUMPRODUCT('Deal Terms'!$E$4:$E$47*('Deal Terms'!$G$4:$G$47=0),AR$13:AR$56+AR$60:AR$103))+SUMPRODUCT(('Deal Terms'!$G$4:$G$47=AR$3)*('Deal Terms'!$F$4:$F$47-'Deal Terms'!$E$4:$E$47*'Deal Terms'!$I$4:$I$47))</f>
        <v/>
      </c>
      <c r="AS108" s="392">
        <f>IF(AS$3&lt;5,0,-SUMPRODUCT('Deal Terms'!$E$4:$E$47*('Deal Terms'!$G$4:$G$47=0),AS$13:AS$56+AS$60:AS$103))+SUMPRODUCT(('Deal Terms'!$G$4:$G$47=AS$3)*('Deal Terms'!$F$4:$F$47-'Deal Terms'!$E$4:$E$47*'Deal Terms'!$I$4:$I$47))</f>
        <v/>
      </c>
      <c r="AT108" s="392">
        <f>IF(AT$3&lt;5,0,-SUMPRODUCT('Deal Terms'!$E$4:$E$47*('Deal Terms'!$G$4:$G$47=0),AT$13:AT$56+AT$60:AT$103))+SUMPRODUCT(('Deal Terms'!$G$4:$G$47=AT$3)*('Deal Terms'!$F$4:$F$47-'Deal Terms'!$E$4:$E$47*'Deal Terms'!$I$4:$I$47))</f>
        <v/>
      </c>
      <c r="AU108" s="392">
        <f>IF(AU$3&lt;5,0,-SUMPRODUCT('Deal Terms'!$E$4:$E$47*('Deal Terms'!$G$4:$G$47=0),AU$13:AU$56+AU$60:AU$103))+SUMPRODUCT(('Deal Terms'!$G$4:$G$47=AU$3)*('Deal Terms'!$F$4:$F$47-'Deal Terms'!$E$4:$E$47*'Deal Terms'!$I$4:$I$47))</f>
        <v/>
      </c>
      <c r="AV108" s="392">
        <f>IF(AV$3&lt;5,0,-SUMPRODUCT('Deal Terms'!$E$4:$E$47*('Deal Terms'!$G$4:$G$47=0),AV$13:AV$56+AV$60:AV$103))+SUMPRODUCT(('Deal Terms'!$G$4:$G$47=AV$3)*('Deal Terms'!$F$4:$F$47-'Deal Terms'!$E$4:$E$47*'Deal Terms'!$I$4:$I$47))</f>
        <v/>
      </c>
      <c r="AW108" s="392">
        <f>IF(AW$3&lt;5,0,-SUMPRODUCT('Deal Terms'!$E$4:$E$47*('Deal Terms'!$G$4:$G$47=0),AW$13:AW$56+AW$60:AW$103))+SUMPRODUCT(('Deal Terms'!$G$4:$G$47=AW$3)*('Deal Terms'!$F$4:$F$47-'Deal Terms'!$E$4:$E$47*'Deal Terms'!$I$4:$I$47))</f>
        <v/>
      </c>
      <c r="AX108" s="392">
        <f>IF(AX$3&lt;5,0,-SUMPRODUCT('Deal Terms'!$E$4:$E$47*('Deal Terms'!$G$4:$G$47=0),AX$13:AX$56+AX$60:AX$103))+SUMPRODUCT(('Deal Terms'!$G$4:$G$47=AX$3)*('Deal Terms'!$F$4:$F$47-'Deal Terms'!$E$4:$E$47*'Deal Terms'!$I$4:$I$47))</f>
        <v/>
      </c>
      <c r="AY108" s="392">
        <f>IF(AY$3&lt;5,0,-SUMPRODUCT('Deal Terms'!$E$4:$E$47*('Deal Terms'!$G$4:$G$47=0),AY$13:AY$56+AY$60:AY$103))+SUMPRODUCT(('Deal Terms'!$G$4:$G$47=AY$3)*('Deal Terms'!$F$4:$F$47-'Deal Terms'!$E$4:$E$47*'Deal Terms'!$I$4:$I$47))</f>
        <v/>
      </c>
      <c r="AZ108" s="392">
        <f>IF(AZ$3&lt;5,0,-SUMPRODUCT('Deal Terms'!$E$4:$E$47*('Deal Terms'!$G$4:$G$47=0),AZ$13:AZ$56+AZ$60:AZ$103))+SUMPRODUCT(('Deal Terms'!$G$4:$G$47=AZ$3)*('Deal Terms'!$F$4:$F$47-'Deal Terms'!$E$4:$E$47*'Deal Terms'!$I$4:$I$47))</f>
        <v/>
      </c>
      <c r="BA108" s="392">
        <f>IF(BA$3&lt;5,0,-SUMPRODUCT('Deal Terms'!$E$4:$E$47*('Deal Terms'!$G$4:$G$47=0),BA$13:BA$56+BA$60:BA$103))+SUMPRODUCT(('Deal Terms'!$G$4:$G$47=BA$3)*('Deal Terms'!$F$4:$F$47-'Deal Terms'!$E$4:$E$47*'Deal Terms'!$I$4:$I$47))</f>
        <v/>
      </c>
      <c r="BB108" s="392">
        <f>IF(BB$3&lt;5,0,-SUMPRODUCT('Deal Terms'!$E$4:$E$47*('Deal Terms'!$G$4:$G$47=0),BB$13:BB$56+BB$60:BB$103))+SUMPRODUCT(('Deal Terms'!$G$4:$G$47=BB$3)*('Deal Terms'!$F$4:$F$47-'Deal Terms'!$E$4:$E$47*'Deal Terms'!$I$4:$I$47))</f>
        <v/>
      </c>
      <c r="BC108" s="392">
        <f>IF(BC$3&lt;5,0,-SUMPRODUCT('Deal Terms'!$E$4:$E$47*('Deal Terms'!$G$4:$G$47=0),BC$13:BC$56+BC$60:BC$103))+SUMPRODUCT(('Deal Terms'!$G$4:$G$47=BC$3)*('Deal Terms'!$F$4:$F$47-'Deal Terms'!$E$4:$E$47*'Deal Terms'!$I$4:$I$47))</f>
        <v/>
      </c>
      <c r="BD108" s="392">
        <f>IF(BD$3&lt;5,0,-SUMPRODUCT('Deal Terms'!$E$4:$E$47*('Deal Terms'!$G$4:$G$47=0),BD$13:BD$56+BD$60:BD$103))+SUMPRODUCT(('Deal Terms'!$G$4:$G$47=BD$3)*('Deal Terms'!$F$4:$F$47-'Deal Terms'!$E$4:$E$47*'Deal Terms'!$I$4:$I$47))</f>
        <v/>
      </c>
      <c r="BE108" s="392">
        <f>IF(BE$3&lt;5,0,-SUMPRODUCT('Deal Terms'!$E$4:$E$47*('Deal Terms'!$G$4:$G$47=0),BE$13:BE$56+BE$60:BE$103))+SUMPRODUCT(('Deal Terms'!$G$4:$G$47=BE$3)*('Deal Terms'!$F$4:$F$47-'Deal Terms'!$E$4:$E$47*'Deal Terms'!$I$4:$I$47))</f>
        <v/>
      </c>
      <c r="BF108" s="392">
        <f>IF(BF$3&lt;5,0,-SUMPRODUCT('Deal Terms'!$E$4:$E$47*('Deal Terms'!$G$4:$G$47=0),BF$13:BF$56+BF$60:BF$103))+SUMPRODUCT(('Deal Terms'!$G$4:$G$47=BF$3)*('Deal Terms'!$F$4:$F$47-'Deal Terms'!$E$4:$E$47*'Deal Terms'!$I$4:$I$47))</f>
        <v/>
      </c>
      <c r="BG108" s="392">
        <f>IF(BG$3&lt;5,0,-SUMPRODUCT('Deal Terms'!$E$4:$E$47*('Deal Terms'!$G$4:$G$47=0),BG$13:BG$56+BG$60:BG$103))+SUMPRODUCT(('Deal Terms'!$G$4:$G$47=BG$3)*('Deal Terms'!$F$4:$F$47-'Deal Terms'!$E$4:$E$47*'Deal Terms'!$I$4:$I$47))</f>
        <v/>
      </c>
      <c r="BH108" s="392">
        <f>IF(BH$3&lt;5,0,-SUMPRODUCT('Deal Terms'!$E$4:$E$47*('Deal Terms'!$G$4:$G$47=0),BH$13:BH$56+BH$60:BH$103))+SUMPRODUCT(('Deal Terms'!$G$4:$G$47=BH$3)*('Deal Terms'!$F$4:$F$47-'Deal Terms'!$E$4:$E$47*'Deal Terms'!$I$4:$I$47))</f>
        <v/>
      </c>
      <c r="BI108" s="392">
        <f>IF(BI$3&lt;5,0,-SUMPRODUCT('Deal Terms'!$E$4:$E$47*('Deal Terms'!$G$4:$G$47=0),BI$13:BI$56+BI$60:BI$103))+SUMPRODUCT(('Deal Terms'!$G$4:$G$47=BI$3)*('Deal Terms'!$F$4:$F$47-'Deal Terms'!$E$4:$E$47*'Deal Terms'!$I$4:$I$47))</f>
        <v/>
      </c>
      <c r="BJ108" s="392">
        <f>IF(BJ$3&lt;5,0,-SUMPRODUCT('Deal Terms'!$E$4:$E$47*('Deal Terms'!$G$4:$G$47=0),BJ$13:BJ$56+BJ$60:BJ$103))+SUMPRODUCT(('Deal Terms'!$G$4:$G$47=BJ$3)*('Deal Terms'!$F$4:$F$47-'Deal Terms'!$E$4:$E$47*'Deal Terms'!$I$4:$I$47))</f>
        <v/>
      </c>
      <c r="BK108" s="392">
        <f>IF(BK$3&lt;5,0,-SUMPRODUCT('Deal Terms'!$E$4:$E$47*('Deal Terms'!$G$4:$G$47=0),BK$13:BK$56+BK$60:BK$103))+SUMPRODUCT(('Deal Terms'!$G$4:$G$47=BK$3)*('Deal Terms'!$F$4:$F$47-'Deal Terms'!$E$4:$E$47*'Deal Terms'!$I$4:$I$47))</f>
        <v/>
      </c>
      <c r="BL108" s="392">
        <f>IF(BL$3&lt;5,0,-SUMPRODUCT('Deal Terms'!$E$4:$E$47*('Deal Terms'!$G$4:$G$47=0),BL$13:BL$56+BL$60:BL$103))+SUMPRODUCT(('Deal Terms'!$G$4:$G$47=BL$3)*('Deal Terms'!$F$4:$F$47-'Deal Terms'!$E$4:$E$47*'Deal Terms'!$I$4:$I$47))</f>
        <v/>
      </c>
      <c r="BM108" s="392">
        <f>IF(BM$3&lt;5,0,-SUMPRODUCT('Deal Terms'!$E$4:$E$47*('Deal Terms'!$G$4:$G$47=0),BM$13:BM$56+BM$60:BM$103))+SUMPRODUCT(('Deal Terms'!$G$4:$G$47=BM$3)*('Deal Terms'!$F$4:$F$47-'Deal Terms'!$E$4:$E$47*'Deal Terms'!$I$4:$I$47))</f>
        <v/>
      </c>
      <c r="BN108" s="392">
        <f>IF(BN$3&lt;5,0,-SUMPRODUCT('Deal Terms'!$E$4:$E$47*('Deal Terms'!$G$4:$G$47=0),BN$13:BN$56+BN$60:BN$103))+SUMPRODUCT(('Deal Terms'!$G$4:$G$47=BN$3)*('Deal Terms'!$F$4:$F$47-'Deal Terms'!$E$4:$E$47*'Deal Terms'!$I$4:$I$47))</f>
        <v/>
      </c>
      <c r="BO108" s="392">
        <f>IF(BO$3&lt;5,0,-SUMPRODUCT('Deal Terms'!$E$4:$E$47*('Deal Terms'!$G$4:$G$47=0),BO$13:BO$56+BO$60:BO$103))+SUMPRODUCT(('Deal Terms'!$G$4:$G$47=BO$3)*('Deal Terms'!$F$4:$F$47-'Deal Terms'!$E$4:$E$47*'Deal Terms'!$I$4:$I$47))</f>
        <v/>
      </c>
      <c r="BP108" s="392">
        <f>IF(BP$3&lt;5,0,-SUMPRODUCT('Deal Terms'!$E$4:$E$47*('Deal Terms'!$G$4:$G$47=0),BP$13:BP$56+BP$60:BP$103))+SUMPRODUCT(('Deal Terms'!$G$4:$G$47=BP$3)*('Deal Terms'!$F$4:$F$47-'Deal Terms'!$E$4:$E$47*'Deal Terms'!$I$4:$I$47))</f>
        <v/>
      </c>
      <c r="BQ108" s="392">
        <f>IF(BQ$3&lt;5,0,-SUMPRODUCT('Deal Terms'!$E$4:$E$47*('Deal Terms'!$G$4:$G$47=0),BQ$13:BQ$56+BQ$60:BQ$103))+SUMPRODUCT(('Deal Terms'!$G$4:$G$47=BQ$3)*('Deal Terms'!$F$4:$F$47-'Deal Terms'!$E$4:$E$47*'Deal Terms'!$I$4:$I$47))</f>
        <v/>
      </c>
      <c r="BR108" s="392">
        <f>IF(BR$3&lt;5,0,-SUMPRODUCT('Deal Terms'!$E$4:$E$47*('Deal Terms'!$G$4:$G$47=0),BR$13:BR$56+BR$60:BR$103))+SUMPRODUCT(('Deal Terms'!$G$4:$G$47=BR$3)*('Deal Terms'!$F$4:$F$47-'Deal Terms'!$E$4:$E$47*'Deal Terms'!$I$4:$I$47))</f>
        <v/>
      </c>
      <c r="BS108" s="392">
        <f>IF(BS$3&lt;5,0,-SUMPRODUCT('Deal Terms'!$E$4:$E$47*('Deal Terms'!$G$4:$G$47=0),BS$13:BS$56+BS$60:BS$103))+SUMPRODUCT(('Deal Terms'!$G$4:$G$47=BS$3)*('Deal Terms'!$F$4:$F$47-'Deal Terms'!$E$4:$E$47*'Deal Terms'!$I$4:$I$47))</f>
        <v/>
      </c>
      <c r="BT108" s="392">
        <f>IF(BT$3&lt;5,0,-SUMPRODUCT('Deal Terms'!$E$4:$E$47*('Deal Terms'!$G$4:$G$47=0),BT$13:BT$56+BT$60:BT$103))+SUMPRODUCT(('Deal Terms'!$G$4:$G$47=BT$3)*('Deal Terms'!$F$4:$F$47-'Deal Terms'!$E$4:$E$47*'Deal Terms'!$I$4:$I$47))</f>
        <v/>
      </c>
      <c r="BU108" s="392">
        <f>IF(BU$3&lt;5,0,-SUMPRODUCT('Deal Terms'!$E$4:$E$47*('Deal Terms'!$G$4:$G$47=0),BU$13:BU$56+BU$60:BU$103))+SUMPRODUCT(('Deal Terms'!$G$4:$G$47=BU$3)*('Deal Terms'!$F$4:$F$47-'Deal Terms'!$E$4:$E$47*'Deal Terms'!$I$4:$I$47))</f>
        <v/>
      </c>
      <c r="BV108" s="392">
        <f>IF(BV$3&lt;5,0,-SUMPRODUCT('Deal Terms'!$E$4:$E$47*('Deal Terms'!$G$4:$G$47=0),BV$13:BV$56+BV$60:BV$103))+SUMPRODUCT(('Deal Terms'!$G$4:$G$47=BV$3)*('Deal Terms'!$F$4:$F$47-'Deal Terms'!$E$4:$E$47*'Deal Terms'!$I$4:$I$47))</f>
        <v/>
      </c>
      <c r="BW108" s="392">
        <f>IF(BW$3&lt;5,0,-SUMPRODUCT('Deal Terms'!$E$4:$E$47*('Deal Terms'!$G$4:$G$47=0),BW$13:BW$56+BW$60:BW$103))+SUMPRODUCT(('Deal Terms'!$G$4:$G$47=BW$3)*('Deal Terms'!$F$4:$F$47-'Deal Terms'!$E$4:$E$47*'Deal Terms'!$I$4:$I$47))</f>
        <v/>
      </c>
      <c r="BX108" s="392">
        <f>IF(BX$3&lt;5,0,-SUMPRODUCT('Deal Terms'!$E$4:$E$47*('Deal Terms'!$G$4:$G$47=0),BX$13:BX$56+BX$60:BX$103))+SUMPRODUCT(('Deal Terms'!$G$4:$G$47=BX$3)*('Deal Terms'!$F$4:$F$47-'Deal Terms'!$E$4:$E$47*'Deal Terms'!$I$4:$I$47))</f>
        <v/>
      </c>
      <c r="BY108" s="392">
        <f>IF(BY$3&lt;5,0,-SUMPRODUCT('Deal Terms'!$E$4:$E$47*('Deal Terms'!$G$4:$G$47=0),BY$13:BY$56+BY$60:BY$103))+SUMPRODUCT(('Deal Terms'!$G$4:$G$47=BY$3)*('Deal Terms'!$F$4:$F$47-'Deal Terms'!$E$4:$E$47*'Deal Terms'!$I$4:$I$47))</f>
        <v/>
      </c>
      <c r="BZ108" s="392">
        <f>IF(BZ$3&lt;5,0,-SUMPRODUCT('Deal Terms'!$E$4:$E$47*('Deal Terms'!$G$4:$G$47=0),BZ$13:BZ$56+BZ$60:BZ$103))+SUMPRODUCT(('Deal Terms'!$G$4:$G$47=BZ$3)*('Deal Terms'!$F$4:$F$47-'Deal Terms'!$E$4:$E$47*'Deal Terms'!$I$4:$I$47))</f>
        <v/>
      </c>
      <c r="CA108" s="392">
        <f>IF(CA$3&lt;5,0,-SUMPRODUCT('Deal Terms'!$E$4:$E$47*('Deal Terms'!$G$4:$G$47=0),CA$13:CA$56+CA$60:CA$103))+SUMPRODUCT(('Deal Terms'!$G$4:$G$47=CA$3)*('Deal Terms'!$F$4:$F$47-'Deal Terms'!$E$4:$E$47*'Deal Terms'!$I$4:$I$47))</f>
        <v/>
      </c>
      <c r="CB108" s="392">
        <f>IF(CB$3&lt;5,0,-SUMPRODUCT('Deal Terms'!$E$4:$E$47*('Deal Terms'!$G$4:$G$47=0),CB$13:CB$56+CB$60:CB$103))+SUMPRODUCT(('Deal Terms'!$G$4:$G$47=CB$3)*('Deal Terms'!$F$4:$F$47-'Deal Terms'!$E$4:$E$47*'Deal Terms'!$I$4:$I$47))</f>
        <v/>
      </c>
      <c r="CC108" s="392">
        <f>IF(CC$3&lt;5,0,-SUMPRODUCT('Deal Terms'!$E$4:$E$47*('Deal Terms'!$G$4:$G$47=0),CC$13:CC$56+CC$60:CC$103))+SUMPRODUCT(('Deal Terms'!$G$4:$G$47=CC$3)*('Deal Terms'!$F$4:$F$47-'Deal Terms'!$E$4:$E$47*'Deal Terms'!$I$4:$I$47))</f>
        <v/>
      </c>
      <c r="CD108" s="392">
        <f>IF(CD$3&lt;5,0,-SUMPRODUCT('Deal Terms'!$E$4:$E$47*('Deal Terms'!$G$4:$G$47=0),CD$13:CD$56+CD$60:CD$103))+SUMPRODUCT(('Deal Terms'!$G$4:$G$47=CD$3)*('Deal Terms'!$F$4:$F$47-'Deal Terms'!$E$4:$E$47*'Deal Terms'!$I$4:$I$47))</f>
        <v/>
      </c>
      <c r="CE108" s="392">
        <f>IF(CE$3&lt;5,0,-SUMPRODUCT('Deal Terms'!$E$4:$E$47*('Deal Terms'!$G$4:$G$47=0),CE$13:CE$56+CE$60:CE$103))+SUMPRODUCT(('Deal Terms'!$G$4:$G$47=CE$3)*('Deal Terms'!$F$4:$F$47-'Deal Terms'!$E$4:$E$47*'Deal Terms'!$I$4:$I$47))</f>
        <v/>
      </c>
      <c r="CF108" s="392">
        <f>IF(CF$3&lt;5,0,-SUMPRODUCT('Deal Terms'!$E$4:$E$47*('Deal Terms'!$G$4:$G$47=0),CF$13:CF$56+CF$60:CF$103))+SUMPRODUCT(('Deal Terms'!$G$4:$G$47=CF$3)*('Deal Terms'!$F$4:$F$47-'Deal Terms'!$E$4:$E$47*'Deal Terms'!$I$4:$I$47))</f>
        <v/>
      </c>
      <c r="CG108" s="392">
        <f>IF(CG$3&lt;5,0,-SUMPRODUCT('Deal Terms'!$E$4:$E$47*('Deal Terms'!$G$4:$G$47=0),CG$13:CG$56+CG$60:CG$103))+SUMPRODUCT(('Deal Terms'!$G$4:$G$47=CG$3)*('Deal Terms'!$F$4:$F$47-'Deal Terms'!$E$4:$E$47*'Deal Terms'!$I$4:$I$47))</f>
        <v/>
      </c>
      <c r="CH108" s="392">
        <f>IF(CH$3&lt;5,0,-SUMPRODUCT('Deal Terms'!$E$4:$E$47*('Deal Terms'!$G$4:$G$47=0),CH$13:CH$56+CH$60:CH$103))+SUMPRODUCT(('Deal Terms'!$G$4:$G$47=CH$3)*('Deal Terms'!$F$4:$F$47-'Deal Terms'!$E$4:$E$47*'Deal Terms'!$I$4:$I$47))</f>
        <v/>
      </c>
      <c r="CI108" s="392">
        <f>IF(CI$3&lt;5,0,-SUMPRODUCT('Deal Terms'!$E$4:$E$47*('Deal Terms'!$G$4:$G$47=0),CI$13:CI$56+CI$60:CI$103))+SUMPRODUCT(('Deal Terms'!$G$4:$G$47=CI$3)*('Deal Terms'!$F$4:$F$47-'Deal Terms'!$E$4:$E$47*'Deal Terms'!$I$4:$I$47))</f>
        <v/>
      </c>
      <c r="CJ108" s="392">
        <f>IF(CJ$3&lt;5,0,-SUMPRODUCT('Deal Terms'!$E$4:$E$47*('Deal Terms'!$G$4:$G$47=0),CJ$13:CJ$56+CJ$60:CJ$103))+SUMPRODUCT(('Deal Terms'!$G$4:$G$47=CJ$3)*('Deal Terms'!$F$4:$F$47-'Deal Terms'!$E$4:$E$47*'Deal Terms'!$I$4:$I$47))</f>
        <v/>
      </c>
      <c r="CK108" s="392">
        <f>IF(CK$3&lt;5,0,-SUMPRODUCT('Deal Terms'!$E$4:$E$47*('Deal Terms'!$G$4:$G$47=0),CK$13:CK$56+CK$60:CK$103))+SUMPRODUCT(('Deal Terms'!$G$4:$G$47=CK$3)*('Deal Terms'!$F$4:$F$47-'Deal Terms'!$E$4:$E$47*'Deal Terms'!$I$4:$I$47))</f>
        <v/>
      </c>
      <c r="CL108" s="392">
        <f>IF(CL$3&lt;5,0,-SUMPRODUCT('Deal Terms'!$E$4:$E$47*('Deal Terms'!$G$4:$G$47=0),CL$13:CL$56+CL$60:CL$103))+SUMPRODUCT(('Deal Terms'!$G$4:$G$47=CL$3)*('Deal Terms'!$F$4:$F$47-'Deal Terms'!$E$4:$E$47*'Deal Terms'!$I$4:$I$47))</f>
        <v/>
      </c>
      <c r="CM108" s="392">
        <f>IF(CM$3&lt;5,0,-SUMPRODUCT('Deal Terms'!$E$4:$E$47*('Deal Terms'!$G$4:$G$47=0),CM$13:CM$56+CM$60:CM$103))+SUMPRODUCT(('Deal Terms'!$G$4:$G$47=CM$3)*('Deal Terms'!$F$4:$F$47-'Deal Terms'!$E$4:$E$47*'Deal Terms'!$I$4:$I$47))</f>
        <v/>
      </c>
      <c r="CN108" s="392">
        <f>IF(CN$3&lt;5,0,-SUMPRODUCT('Deal Terms'!$E$4:$E$47*('Deal Terms'!$G$4:$G$47=0),CN$13:CN$56+CN$60:CN$103))+SUMPRODUCT(('Deal Terms'!$G$4:$G$47=CN$3)*('Deal Terms'!$F$4:$F$47-'Deal Terms'!$E$4:$E$47*'Deal Terms'!$I$4:$I$47))</f>
        <v/>
      </c>
      <c r="CO108" s="392">
        <f>IF(CO$3&lt;5,0,-SUMPRODUCT('Deal Terms'!$E$4:$E$47*('Deal Terms'!$G$4:$G$47=0),CO$13:CO$56+CO$60:CO$103))+SUMPRODUCT(('Deal Terms'!$G$4:$G$47=CO$3)*('Deal Terms'!$F$4:$F$47-'Deal Terms'!$E$4:$E$47*'Deal Terms'!$I$4:$I$47))</f>
        <v/>
      </c>
      <c r="CP108" s="392">
        <f>IF(CP$3&lt;5,0,-SUMPRODUCT('Deal Terms'!$E$4:$E$47*('Deal Terms'!$G$4:$G$47=0),CP$13:CP$56+CP$60:CP$103))+SUMPRODUCT(('Deal Terms'!$G$4:$G$47=CP$3)*('Deal Terms'!$F$4:$F$47-'Deal Terms'!$E$4:$E$47*'Deal Terms'!$I$4:$I$47))</f>
        <v/>
      </c>
      <c r="CQ108" s="392">
        <f>IF(CQ$3&lt;5,0,-SUMPRODUCT('Deal Terms'!$E$4:$E$47*('Deal Terms'!$G$4:$G$47=0),CQ$13:CQ$56+CQ$60:CQ$103))+SUMPRODUCT(('Deal Terms'!$G$4:$G$47=CQ$3)*('Deal Terms'!$F$4:$F$47-'Deal Terms'!$E$4:$E$47*'Deal Terms'!$I$4:$I$47))</f>
        <v/>
      </c>
      <c r="CR108" s="392">
        <f>IF(CR$3&lt;5,0,-SUMPRODUCT('Deal Terms'!$E$4:$E$47*('Deal Terms'!$G$4:$G$47=0),CR$13:CR$56+CR$60:CR$103))+SUMPRODUCT(('Deal Terms'!$G$4:$G$47=CR$3)*('Deal Terms'!$F$4:$F$47-'Deal Terms'!$E$4:$E$47*'Deal Terms'!$I$4:$I$47))</f>
        <v/>
      </c>
      <c r="CS108" s="392">
        <f>IF(CS$3&lt;5,0,-SUMPRODUCT('Deal Terms'!$E$4:$E$47*('Deal Terms'!$G$4:$G$47=0),CS$13:CS$56+CS$60:CS$103))+SUMPRODUCT(('Deal Terms'!$G$4:$G$47=CS$3)*('Deal Terms'!$F$4:$F$47-'Deal Terms'!$E$4:$E$47*'Deal Terms'!$I$4:$I$47))</f>
        <v/>
      </c>
      <c r="CT108" s="392">
        <f>IF(CT$3&lt;5,0,-SUMPRODUCT('Deal Terms'!$E$4:$E$47*('Deal Terms'!$G$4:$G$47=0),CT$13:CT$56+CT$60:CT$103))+SUMPRODUCT(('Deal Terms'!$G$4:$G$47=CT$3)*('Deal Terms'!$F$4:$F$47-'Deal Terms'!$E$4:$E$47*'Deal Terms'!$I$4:$I$47))</f>
        <v/>
      </c>
      <c r="CU108" s="392">
        <f>IF(CU$3&lt;5,0,-SUMPRODUCT('Deal Terms'!$E$4:$E$47*('Deal Terms'!$G$4:$G$47=0),CU$13:CU$56+CU$60:CU$103))+SUMPRODUCT(('Deal Terms'!$G$4:$G$47=CU$3)*('Deal Terms'!$F$4:$F$47-'Deal Terms'!$E$4:$E$47*'Deal Terms'!$I$4:$I$47))</f>
        <v/>
      </c>
      <c r="CV108" s="392">
        <f>IF(CV$3&lt;5,0,-SUMPRODUCT('Deal Terms'!$E$4:$E$47*('Deal Terms'!$G$4:$G$47=0),CV$13:CV$56+CV$60:CV$103))+SUMPRODUCT(('Deal Terms'!$G$4:$G$47=CV$3)*('Deal Terms'!$F$4:$F$47-'Deal Terms'!$E$4:$E$47*'Deal Terms'!$I$4:$I$47))</f>
        <v/>
      </c>
      <c r="CW108" s="392">
        <f>IF(CW$3&lt;5,0,-SUMPRODUCT('Deal Terms'!$E$4:$E$47*('Deal Terms'!$G$4:$G$47=0),CW$13:CW$56+CW$60:CW$103))+SUMPRODUCT(('Deal Terms'!$G$4:$G$47=CW$3)*('Deal Terms'!$F$4:$F$47-'Deal Terms'!$E$4:$E$47*'Deal Terms'!$I$4:$I$47))</f>
        <v/>
      </c>
      <c r="CX108" s="392">
        <f>IF(CX$3&lt;5,0,-SUMPRODUCT('Deal Terms'!$E$4:$E$47*('Deal Terms'!$G$4:$G$47=0),CX$13:CX$56+CX$60:CX$103))+SUMPRODUCT(('Deal Terms'!$G$4:$G$47=CX$3)*('Deal Terms'!$F$4:$F$47-'Deal Terms'!$E$4:$E$47*'Deal Terms'!$I$4:$I$47))</f>
        <v/>
      </c>
      <c r="CY108" s="392">
        <f>IF(CY$3&lt;5,0,-SUMPRODUCT('Deal Terms'!$E$4:$E$47*('Deal Terms'!$G$4:$G$47=0),CY$13:CY$56+CY$60:CY$103))+SUMPRODUCT(('Deal Terms'!$G$4:$G$47=CY$3)*('Deal Terms'!$F$4:$F$47-'Deal Terms'!$E$4:$E$47*'Deal Terms'!$I$4:$I$47))</f>
        <v/>
      </c>
      <c r="CZ108" s="392">
        <f>IF(CZ$3&lt;5,0,-SUMPRODUCT('Deal Terms'!$E$4:$E$47*('Deal Terms'!$G$4:$G$47=0),CZ$13:CZ$56+CZ$60:CZ$103))+SUMPRODUCT(('Deal Terms'!$G$4:$G$47=CZ$3)*('Deal Terms'!$F$4:$F$47-'Deal Terms'!$E$4:$E$47*'Deal Terms'!$I$4:$I$47))</f>
        <v/>
      </c>
      <c r="DA108" s="392">
        <f>IF(DA$3&lt;5,0,-SUMPRODUCT('Deal Terms'!$E$4:$E$47*('Deal Terms'!$G$4:$G$47=0),DA$13:DA$56+DA$60:DA$103))+SUMPRODUCT(('Deal Terms'!$G$4:$G$47=DA$3)*('Deal Terms'!$F$4:$F$47-'Deal Terms'!$E$4:$E$47*'Deal Terms'!$I$4:$I$47))</f>
        <v/>
      </c>
      <c r="DB108" s="392">
        <f>IF(DB$3&lt;5,0,-SUMPRODUCT('Deal Terms'!$E$4:$E$47*('Deal Terms'!$G$4:$G$47=0),DB$13:DB$56+DB$60:DB$103))+SUMPRODUCT(('Deal Terms'!$G$4:$G$47=DB$3)*('Deal Terms'!$F$4:$F$47-'Deal Terms'!$E$4:$E$47*'Deal Terms'!$I$4:$I$47))</f>
        <v/>
      </c>
      <c r="DC108" s="392">
        <f>IF(DC$3&lt;5,0,-SUMPRODUCT('Deal Terms'!$E$4:$E$47*('Deal Terms'!$G$4:$G$47=0),DC$13:DC$56+DC$60:DC$103))+SUMPRODUCT(('Deal Terms'!$G$4:$G$47=DC$3)*('Deal Terms'!$F$4:$F$47-'Deal Terms'!$E$4:$E$47*'Deal Terms'!$I$4:$I$47))</f>
        <v/>
      </c>
      <c r="DD108" s="392">
        <f>IF(DD$3&lt;5,0,-SUMPRODUCT('Deal Terms'!$E$4:$E$47*('Deal Terms'!$G$4:$G$47=0),DD$13:DD$56+DD$60:DD$103))+SUMPRODUCT(('Deal Terms'!$G$4:$G$47=DD$3)*('Deal Terms'!$F$4:$F$47-'Deal Terms'!$E$4:$E$47*'Deal Terms'!$I$4:$I$47))</f>
        <v/>
      </c>
      <c r="DE108" s="392">
        <f>IF(DE$3&lt;5,0,-SUMPRODUCT('Deal Terms'!$E$4:$E$47*('Deal Terms'!$G$4:$G$47=0),DE$13:DE$56+DE$60:DE$103))+SUMPRODUCT(('Deal Terms'!$G$4:$G$47=DE$3)*('Deal Terms'!$F$4:$F$47-'Deal Terms'!$E$4:$E$47*'Deal Terms'!$I$4:$I$47))</f>
        <v/>
      </c>
    </row>
    <row r="109" ht="15" customFormat="1" customHeight="1" s="380">
      <c r="A109" s="411" t="inlineStr">
        <is>
          <t>Gross Profit</t>
        </is>
      </c>
      <c r="B109" s="412">
        <f>B107+B108+B10+B11+B57+B104+B105+B106</f>
        <v/>
      </c>
      <c r="C109" s="412">
        <f>C107+C108+C10+C11+C57+C104+C105+C106</f>
        <v/>
      </c>
      <c r="D109" s="412">
        <f>D107+D108+D10+D11+D57+D104+D105+D106</f>
        <v/>
      </c>
      <c r="E109" s="412">
        <f>E107+E108+E10+E11+E57+E104+E105+E106</f>
        <v/>
      </c>
      <c r="F109" s="412">
        <f>F107+F108+F10+F11+F57+F104+F105+F106</f>
        <v/>
      </c>
      <c r="G109" s="412">
        <f>G107+G108+G10+G11+G57+G104+G105+G106</f>
        <v/>
      </c>
      <c r="H109" s="412">
        <f>H107+H108+H10+H11+H57+H104+H105+H106</f>
        <v/>
      </c>
      <c r="I109" s="412">
        <f>I107+I108+I10+I11+I57+I104+I105+I106</f>
        <v/>
      </c>
      <c r="J109" s="412">
        <f>J107+J108+J10+J11+J57+J104+J105+J106</f>
        <v/>
      </c>
      <c r="K109" s="412">
        <f>K107+K108+K10+K11+K57+K104+K105+K106</f>
        <v/>
      </c>
      <c r="L109" s="412">
        <f>L107+L108+L10+L11+L57+L104+L105+L106</f>
        <v/>
      </c>
      <c r="M109" s="412">
        <f>M107+M108+M10+M11+M57+M104+M105+M106</f>
        <v/>
      </c>
      <c r="N109" s="412">
        <f>N107+N108+N10+N11+N57+N104+N105+N106</f>
        <v/>
      </c>
      <c r="O109" s="412">
        <f>O107+O108+O10+O11+O57+O104+O105+O106</f>
        <v/>
      </c>
      <c r="P109" s="412">
        <f>P107+P108+P10+P11+P57+P104+P105+P106</f>
        <v/>
      </c>
      <c r="Q109" s="412">
        <f>Q107+Q108+Q10+Q11+Q57+Q104+Q105+Q106</f>
        <v/>
      </c>
      <c r="R109" s="412">
        <f>R107+R108+R10+R11+R57+R104+R105+R106</f>
        <v/>
      </c>
      <c r="S109" s="412">
        <f>S107+S108+S10+S11+S57+S104+S105+S106</f>
        <v/>
      </c>
      <c r="T109" s="412">
        <f>T107+T108+T10+T11+T57+T104+T105+T106</f>
        <v/>
      </c>
      <c r="U109" s="412">
        <f>U107+U108+U10+U11+U57+U104+U105+U106</f>
        <v/>
      </c>
      <c r="V109" s="412">
        <f>V107+V108+V10+V11+V57+V104+V105+V106</f>
        <v/>
      </c>
      <c r="W109" s="412">
        <f>W107+W108+W10+W11+W57+W104+W105+W106</f>
        <v/>
      </c>
      <c r="X109" s="412">
        <f>X107+X108+X10+X11+X57+X104+X105+X106</f>
        <v/>
      </c>
      <c r="Y109" s="412">
        <f>Y107+Y108+Y10+Y11+Y57+Y104+Y105+Y106</f>
        <v/>
      </c>
      <c r="Z109" s="412">
        <f>Z107+Z108+Z10+Z11+Z57+Z104+Z105+Z106</f>
        <v/>
      </c>
      <c r="AA109" s="412">
        <f>AA107+AA108+AA10+AA11+AA57+AA104+AA105+AA106</f>
        <v/>
      </c>
      <c r="AB109" s="412">
        <f>AB107+AB108+AB10+AB11+AB57+AB104+AB105+AB106</f>
        <v/>
      </c>
      <c r="AC109" s="412">
        <f>AC107+AC108+AC10+AC11+AC57+AC104+AC105+AC106</f>
        <v/>
      </c>
      <c r="AD109" s="412">
        <f>AD107+AD108+AD10+AD11+AD57+AD104+AD105+AD106</f>
        <v/>
      </c>
      <c r="AE109" s="412">
        <f>AE107+AE108+AE10+AE11+AE57+AE104+AE105+AE106</f>
        <v/>
      </c>
      <c r="AF109" s="412">
        <f>AF107+AF108+AF10+AF11+AF57+AF104+AF105+AF106</f>
        <v/>
      </c>
      <c r="AG109" s="412">
        <f>AG107+AG108+AG10+AG11+AG57+AG104+AG105+AG106</f>
        <v/>
      </c>
      <c r="AH109" s="412">
        <f>AH107+AH108+AH10+AH11+AH57+AH104+AH105+AH106</f>
        <v/>
      </c>
      <c r="AI109" s="412">
        <f>AI107+AI108+AI10+AI11+AI57+AI104+AI105+AI106</f>
        <v/>
      </c>
      <c r="AJ109" s="412">
        <f>AJ107+AJ108+AJ10+AJ11+AJ57+AJ104+AJ105+AJ106</f>
        <v/>
      </c>
      <c r="AK109" s="412">
        <f>AK107+AK108+AK10+AK11+AK57+AK104+AK105+AK106</f>
        <v/>
      </c>
      <c r="AL109" s="412">
        <f>AL107+AL108+AL10+AL11+AL57+AL104+AL105+AL106</f>
        <v/>
      </c>
      <c r="AM109" s="412">
        <f>AM107+AM108+AM10+AM11+AM57+AM104+AM105+AM106</f>
        <v/>
      </c>
      <c r="AN109" s="412">
        <f>AN107+AN108+AN10+AN11+AN57+AN104+AN105+AN106</f>
        <v/>
      </c>
      <c r="AO109" s="412">
        <f>AO107+AO108+AO10+AO11+AO57+AO104+AO105+AO106</f>
        <v/>
      </c>
      <c r="AP109" s="412">
        <f>AP107+AP108+AP10+AP11+AP57+AP104+AP105+AP106</f>
        <v/>
      </c>
      <c r="AQ109" s="412">
        <f>AQ107+AQ108+AQ10+AQ11+AQ57+AQ104+AQ105+AQ106</f>
        <v/>
      </c>
      <c r="AR109" s="412">
        <f>AR107+AR108+AR10+AR11+AR57+AR104+AR105+AR106</f>
        <v/>
      </c>
      <c r="AS109" s="412">
        <f>AS107+AS108+AS10+AS11+AS57+AS104+AS105+AS106</f>
        <v/>
      </c>
      <c r="AT109" s="412">
        <f>AT107+AT108+AT10+AT11+AT57+AT104+AT105+AT106</f>
        <v/>
      </c>
      <c r="AU109" s="412">
        <f>AU107+AU108+AU10+AU11+AU57+AU104+AU105+AU106</f>
        <v/>
      </c>
      <c r="AV109" s="412">
        <f>AV107+AV108+AV10+AV11+AV57+AV104+AV105+AV106</f>
        <v/>
      </c>
      <c r="AW109" s="412">
        <f>AW107+AW108+AW10+AW11+AW57+AW104+AW105+AW106</f>
        <v/>
      </c>
      <c r="AX109" s="412">
        <f>AX107+AX108+AX10+AX11+AX57+AX104+AX105+AX106</f>
        <v/>
      </c>
      <c r="AY109" s="412">
        <f>AY107+AY108+AY10+AY11+AY57+AY104+AY105+AY106</f>
        <v/>
      </c>
      <c r="AZ109" s="412">
        <f>AZ107+AZ108+AZ10+AZ11+AZ57+AZ104+AZ105+AZ106</f>
        <v/>
      </c>
      <c r="BA109" s="412">
        <f>BA107+BA108+BA10+BA11+BA57+BA104+BA105+BA106</f>
        <v/>
      </c>
      <c r="BB109" s="412">
        <f>BB107+BB108+BB10+BB11+BB57+BB104+BB105+BB106</f>
        <v/>
      </c>
      <c r="BC109" s="412">
        <f>BC107+BC108+BC10+BC11+BC57+BC104+BC105+BC106</f>
        <v/>
      </c>
      <c r="BD109" s="412">
        <f>BD107+BD108+BD10+BD11+BD57+BD104+BD105+BD106</f>
        <v/>
      </c>
      <c r="BE109" s="412">
        <f>BE107+BE108+BE10+BE11+BE57+BE104+BE105+BE106</f>
        <v/>
      </c>
      <c r="BF109" s="412">
        <f>BF107+BF108+BF10+BF11+BF57+BF104+BF105+BF106</f>
        <v/>
      </c>
      <c r="BG109" s="412">
        <f>BG107+BG108+BG10+BG11+BG57+BG104+BG105+BG106</f>
        <v/>
      </c>
      <c r="BH109" s="412">
        <f>BH107+BH108+BH10+BH11+BH57+BH104+BH105+BH106</f>
        <v/>
      </c>
      <c r="BI109" s="412">
        <f>BI107+BI108+BI10+BI11+BI57+BI104+BI105+BI106</f>
        <v/>
      </c>
      <c r="BJ109" s="412">
        <f>BJ107+BJ108+BJ10+BJ11+BJ57+BJ104+BJ105+BJ106</f>
        <v/>
      </c>
      <c r="BK109" s="412">
        <f>BK107+BK108+BK10+BK11+BK57+BK104+BK105+BK106</f>
        <v/>
      </c>
      <c r="BL109" s="412">
        <f>BL107+BL108+BL10+BL11+BL57+BL104+BL105+BL106</f>
        <v/>
      </c>
      <c r="BM109" s="412">
        <f>BM107+BM108+BM10+BM11+BM57+BM104+BM105+BM106</f>
        <v/>
      </c>
      <c r="BN109" s="412">
        <f>BN107+BN108+BN10+BN11+BN57+BN104+BN105+BN106</f>
        <v/>
      </c>
      <c r="BO109" s="412">
        <f>BO107+BO108+BO10+BO11+BO57+BO104+BO105+BO106</f>
        <v/>
      </c>
      <c r="BP109" s="412">
        <f>BP107+BP108+BP10+BP11+BP57+BP104+BP105+BP106</f>
        <v/>
      </c>
      <c r="BQ109" s="412">
        <f>BQ107+BQ108+BQ10+BQ11+BQ57+BQ104+BQ105+BQ106</f>
        <v/>
      </c>
      <c r="BR109" s="412">
        <f>BR107+BR108+BR10+BR11+BR57+BR104+BR105+BR106</f>
        <v/>
      </c>
      <c r="BS109" s="412">
        <f>BS107+BS108+BS10+BS11+BS57+BS104+BS105+BS106</f>
        <v/>
      </c>
      <c r="BT109" s="412">
        <f>BT107+BT108+BT10+BT11+BT57+BT104+BT105+BT106</f>
        <v/>
      </c>
      <c r="BU109" s="412">
        <f>BU107+BU108+BU10+BU11+BU57+BU104+BU105+BU106</f>
        <v/>
      </c>
      <c r="BV109" s="412">
        <f>BV107+BV108+BV10+BV11+BV57+BV104+BV105+BV106</f>
        <v/>
      </c>
      <c r="BW109" s="412">
        <f>BW107+BW108+BW10+BW11+BW57+BW104+BW105+BW106</f>
        <v/>
      </c>
      <c r="BX109" s="412">
        <f>BX107+BX108+BX10+BX11+BX57+BX104+BX105+BX106</f>
        <v/>
      </c>
      <c r="BY109" s="412">
        <f>BY107+BY108+BY10+BY11+BY57+BY104+BY105+BY106</f>
        <v/>
      </c>
      <c r="BZ109" s="412">
        <f>BZ107+BZ108+BZ10+BZ11+BZ57+BZ104+BZ105+BZ106</f>
        <v/>
      </c>
      <c r="CA109" s="412">
        <f>CA107+CA108+CA10+CA11+CA57+CA104+CA105+CA106</f>
        <v/>
      </c>
      <c r="CB109" s="412">
        <f>CB107+CB108+CB10+CB11+CB57+CB104+CB105+CB106</f>
        <v/>
      </c>
      <c r="CC109" s="412">
        <f>CC107+CC108+CC10+CC11+CC57+CC104+CC105+CC106</f>
        <v/>
      </c>
      <c r="CD109" s="412">
        <f>CD107+CD108+CD10+CD11+CD57+CD104+CD105+CD106</f>
        <v/>
      </c>
      <c r="CE109" s="412">
        <f>CE107+CE108+CE10+CE11+CE57+CE104+CE105+CE106</f>
        <v/>
      </c>
      <c r="CF109" s="412">
        <f>CF107+CF108+CF10+CF11+CF57+CF104+CF105+CF106</f>
        <v/>
      </c>
      <c r="CG109" s="412">
        <f>CG107+CG108+CG10+CG11+CG57+CG104+CG105+CG106</f>
        <v/>
      </c>
      <c r="CH109" s="412">
        <f>CH107+CH108+CH10+CH11+CH57+CH104+CH105+CH106</f>
        <v/>
      </c>
      <c r="CI109" s="412">
        <f>CI107+CI108+CI10+CI11+CI57+CI104+CI105+CI106</f>
        <v/>
      </c>
      <c r="CJ109" s="412">
        <f>CJ107+CJ108+CJ10+CJ11+CJ57+CJ104+CJ105+CJ106</f>
        <v/>
      </c>
      <c r="CK109" s="412">
        <f>CK107+CK108+CK10+CK11+CK57+CK104+CK105+CK106</f>
        <v/>
      </c>
      <c r="CL109" s="412">
        <f>CL107+CL108+CL10+CL11+CL57+CL104+CL105+CL106</f>
        <v/>
      </c>
      <c r="CM109" s="412">
        <f>CM107+CM108+CM10+CM11+CM57+CM104+CM105+CM106</f>
        <v/>
      </c>
      <c r="CN109" s="412">
        <f>CN107+CN108+CN10+CN11+CN57+CN104+CN105+CN106</f>
        <v/>
      </c>
      <c r="CO109" s="412">
        <f>CO107+CO108+CO10+CO11+CO57+CO104+CO105+CO106</f>
        <v/>
      </c>
      <c r="CP109" s="412">
        <f>CP107+CP108+CP10+CP11+CP57+CP104+CP105+CP106</f>
        <v/>
      </c>
      <c r="CQ109" s="412">
        <f>CQ107+CQ108+CQ10+CQ11+CQ57+CQ104+CQ105+CQ106</f>
        <v/>
      </c>
      <c r="CR109" s="412">
        <f>CR107+CR108+CR10+CR11+CR57+CR104+CR105+CR106</f>
        <v/>
      </c>
      <c r="CS109" s="412">
        <f>CS107+CS108+CS10+CS11+CS57+CS104+CS105+CS106</f>
        <v/>
      </c>
      <c r="CT109" s="412">
        <f>CT107+CT108+CT10+CT11+CT57+CT104+CT105+CT106</f>
        <v/>
      </c>
      <c r="CU109" s="412">
        <f>CU107+CU108+CU10+CU11+CU57+CU104+CU105+CU106</f>
        <v/>
      </c>
      <c r="CV109" s="412">
        <f>CV107+CV108+CV10+CV11+CV57+CV104+CV105+CV106</f>
        <v/>
      </c>
      <c r="CW109" s="412">
        <f>CW107+CW108+CW10+CW11+CW57+CW104+CW105+CW106</f>
        <v/>
      </c>
      <c r="CX109" s="412">
        <f>CX107+CX108+CX10+CX11+CX57+CX104+CX105+CX106</f>
        <v/>
      </c>
      <c r="CY109" s="412">
        <f>CY107+CY108+CY10+CY11+CY57+CY104+CY105+CY106</f>
        <v/>
      </c>
      <c r="CZ109" s="412">
        <f>CZ107+CZ108+CZ10+CZ11+CZ57+CZ104+CZ105+CZ106</f>
        <v/>
      </c>
      <c r="DA109" s="412">
        <f>DA107+DA108+DA10+DA11+DA57+DA104+DA105+DA106</f>
        <v/>
      </c>
      <c r="DB109" s="412">
        <f>DB107+DB108+DB10+DB11+DB57+DB104+DB105+DB106</f>
        <v/>
      </c>
      <c r="DC109" s="412">
        <f>DC107+DC108+DC10+DC11+DC57+DC104+DC105+DC106</f>
        <v/>
      </c>
      <c r="DD109" s="412">
        <f>DD107+DD108+DD10+DD11+DD57+DD104+DD105+DD106</f>
        <v/>
      </c>
      <c r="DE109" s="412">
        <f>DE107+DE108+DE10+DE11+DE57+DE104+DE105+DE106</f>
        <v/>
      </c>
    </row>
    <row r="110" ht="15" customFormat="1" customHeight="1" s="380">
      <c r="A110" s="397" t="inlineStr">
        <is>
          <t>GC Gross Profit Margin %</t>
        </is>
      </c>
      <c r="B110" s="413">
        <f>IFERROR(B109/B58,0)</f>
        <v/>
      </c>
      <c r="C110" s="413">
        <f>IFERROR(C109/C58,0)</f>
        <v/>
      </c>
      <c r="D110" s="413">
        <f>IFERROR(D109/D58,0)</f>
        <v/>
      </c>
      <c r="E110" s="413">
        <f>IFERROR(E109/E58,0)</f>
        <v/>
      </c>
      <c r="F110" s="413">
        <f>IFERROR(F109/F58,0)</f>
        <v/>
      </c>
      <c r="G110" s="413">
        <f>IFERROR(G109/G58,0)</f>
        <v/>
      </c>
      <c r="H110" s="413">
        <f>IFERROR(H109/H58,0)</f>
        <v/>
      </c>
      <c r="I110" s="413">
        <f>IFERROR(I109/I58,0)</f>
        <v/>
      </c>
      <c r="J110" s="413">
        <f>IFERROR(J109/J58,0)</f>
        <v/>
      </c>
      <c r="K110" s="413">
        <f>IFERROR(K109/K58,0)</f>
        <v/>
      </c>
      <c r="L110" s="413">
        <f>IFERROR(L109/L58,0)</f>
        <v/>
      </c>
      <c r="M110" s="413">
        <f>IFERROR(M109/M58,0)</f>
        <v/>
      </c>
      <c r="N110" s="413">
        <f>IFERROR(N109/N58,0)</f>
        <v/>
      </c>
      <c r="O110" s="413">
        <f>IFERROR(O109/O58,0)</f>
        <v/>
      </c>
      <c r="P110" s="413">
        <f>IFERROR(P109/P58,0)</f>
        <v/>
      </c>
      <c r="Q110" s="413">
        <f>IFERROR(Q109/Q58,0)</f>
        <v/>
      </c>
      <c r="R110" s="413">
        <f>IFERROR(R109/R58,0)</f>
        <v/>
      </c>
      <c r="S110" s="413">
        <f>IFERROR(S109/S58,0)</f>
        <v/>
      </c>
      <c r="T110" s="413">
        <f>IFERROR(T109/T58,0)</f>
        <v/>
      </c>
      <c r="U110" s="413">
        <f>IFERROR(U109/U58,0)</f>
        <v/>
      </c>
      <c r="V110" s="413">
        <f>IFERROR(V109/V58,0)</f>
        <v/>
      </c>
      <c r="W110" s="413">
        <f>IFERROR(W109/W58,0)</f>
        <v/>
      </c>
      <c r="X110" s="413">
        <f>IFERROR(X109/X58,0)</f>
        <v/>
      </c>
      <c r="Y110" s="413">
        <f>IFERROR(Y109/Y58,0)</f>
        <v/>
      </c>
      <c r="Z110" s="413">
        <f>IFERROR(Z109/Z58,0)</f>
        <v/>
      </c>
      <c r="AA110" s="413">
        <f>IFERROR(AA109/AA58,0)</f>
        <v/>
      </c>
      <c r="AB110" s="413">
        <f>IFERROR(AB109/AB58,0)</f>
        <v/>
      </c>
      <c r="AC110" s="413">
        <f>IFERROR(AC109/AC58,0)</f>
        <v/>
      </c>
      <c r="AD110" s="413">
        <f>IFERROR(AD109/AD58,0)</f>
        <v/>
      </c>
      <c r="AE110" s="413">
        <f>IFERROR(AE109/AE58,0)</f>
        <v/>
      </c>
      <c r="AF110" s="413">
        <f>IFERROR(AF109/AF58,0)</f>
        <v/>
      </c>
      <c r="AG110" s="413">
        <f>IFERROR(AG109/AG58,0)</f>
        <v/>
      </c>
      <c r="AH110" s="413">
        <f>IFERROR(AH109/AH58,0)</f>
        <v/>
      </c>
      <c r="AI110" s="413">
        <f>IFERROR(AI109/AI58,0)</f>
        <v/>
      </c>
      <c r="AJ110" s="413">
        <f>IFERROR(AJ109/AJ58,0)</f>
        <v/>
      </c>
      <c r="AK110" s="413">
        <f>IFERROR(AK109/AK58,0)</f>
        <v/>
      </c>
      <c r="AL110" s="413">
        <f>IFERROR(AL109/AL58,0)</f>
        <v/>
      </c>
      <c r="AM110" s="413">
        <f>IFERROR(AM109/AM58,0)</f>
        <v/>
      </c>
      <c r="AN110" s="413">
        <f>IFERROR(AN109/AN58,0)</f>
        <v/>
      </c>
      <c r="AO110" s="413">
        <f>IFERROR(AO109/AO58,0)</f>
        <v/>
      </c>
      <c r="AP110" s="413">
        <f>IFERROR(AP109/AP58,0)</f>
        <v/>
      </c>
      <c r="AQ110" s="413">
        <f>IFERROR(AQ109/AQ58,0)</f>
        <v/>
      </c>
      <c r="AR110" s="413">
        <f>IFERROR(AR109/AR58,0)</f>
        <v/>
      </c>
      <c r="AS110" s="413">
        <f>IFERROR(AS109/AS58,0)</f>
        <v/>
      </c>
      <c r="AT110" s="413">
        <f>IFERROR(AT109/AT58,0)</f>
        <v/>
      </c>
      <c r="AU110" s="413">
        <f>IFERROR(AU109/AU58,0)</f>
        <v/>
      </c>
      <c r="AV110" s="413">
        <f>IFERROR(AV109/AV58,0)</f>
        <v/>
      </c>
      <c r="AW110" s="413">
        <f>IFERROR(AW109/AW58,0)</f>
        <v/>
      </c>
      <c r="AX110" s="413">
        <f>IFERROR(AX109/AX58,0)</f>
        <v/>
      </c>
      <c r="AY110" s="413">
        <f>IFERROR(AY109/AY58,0)</f>
        <v/>
      </c>
      <c r="AZ110" s="413">
        <f>IFERROR(AZ109/AZ58,0)</f>
        <v/>
      </c>
      <c r="BA110" s="413">
        <f>IFERROR(BA109/BA58,0)</f>
        <v/>
      </c>
      <c r="BB110" s="413">
        <f>IFERROR(BB109/BB58,0)</f>
        <v/>
      </c>
      <c r="BC110" s="413">
        <f>IFERROR(BC109/BC58,0)</f>
        <v/>
      </c>
      <c r="BD110" s="413">
        <f>IFERROR(BD109/BD58,0)</f>
        <v/>
      </c>
      <c r="BE110" s="413">
        <f>IFERROR(BE109/BE58,0)</f>
        <v/>
      </c>
      <c r="BF110" s="413">
        <f>IFERROR(BF109/BF58,0)</f>
        <v/>
      </c>
      <c r="BG110" s="413">
        <f>IFERROR(BG109/BG58,0)</f>
        <v/>
      </c>
      <c r="BH110" s="413">
        <f>IFERROR(BH109/BH58,0)</f>
        <v/>
      </c>
      <c r="BI110" s="413">
        <f>IFERROR(BI109/BI58,0)</f>
        <v/>
      </c>
      <c r="BJ110" s="413">
        <f>IFERROR(BJ109/BJ58,0)</f>
        <v/>
      </c>
      <c r="BK110" s="413">
        <f>IFERROR(BK109/BK58,0)</f>
        <v/>
      </c>
      <c r="BL110" s="413">
        <f>IFERROR(BL109/BL58,0)</f>
        <v/>
      </c>
      <c r="BM110" s="413">
        <f>IFERROR(BM109/BM58,0)</f>
        <v/>
      </c>
      <c r="BN110" s="413">
        <f>IFERROR(BN109/BN58,0)</f>
        <v/>
      </c>
      <c r="BO110" s="413">
        <f>IFERROR(BO109/BO58,0)</f>
        <v/>
      </c>
      <c r="BP110" s="413">
        <f>IFERROR(BP109/BP58,0)</f>
        <v/>
      </c>
      <c r="BQ110" s="413">
        <f>IFERROR(BQ109/BQ58,0)</f>
        <v/>
      </c>
      <c r="BR110" s="413">
        <f>IFERROR(BR109/BR58,0)</f>
        <v/>
      </c>
      <c r="BS110" s="413">
        <f>IFERROR(BS109/BS58,0)</f>
        <v/>
      </c>
      <c r="BT110" s="413">
        <f>IFERROR(BT109/BT58,0)</f>
        <v/>
      </c>
      <c r="BU110" s="413">
        <f>IFERROR(BU109/BU58,0)</f>
        <v/>
      </c>
      <c r="BV110" s="413">
        <f>IFERROR(BV109/BV58,0)</f>
        <v/>
      </c>
      <c r="BW110" s="413">
        <f>IFERROR(BW109/BW58,0)</f>
        <v/>
      </c>
      <c r="BX110" s="413">
        <f>IFERROR(BX109/BX58,0)</f>
        <v/>
      </c>
      <c r="BY110" s="413">
        <f>IFERROR(BY109/BY58,0)</f>
        <v/>
      </c>
      <c r="BZ110" s="413">
        <f>IFERROR(BZ109/BZ58,0)</f>
        <v/>
      </c>
      <c r="CA110" s="413">
        <f>IFERROR(CA109/CA58,0)</f>
        <v/>
      </c>
      <c r="CB110" s="413">
        <f>IFERROR(CB109/CB58,0)</f>
        <v/>
      </c>
      <c r="CC110" s="413">
        <f>IFERROR(CC109/CC58,0)</f>
        <v/>
      </c>
      <c r="CD110" s="413">
        <f>IFERROR(CD109/CD58,0)</f>
        <v/>
      </c>
      <c r="CE110" s="413">
        <f>IFERROR(CE109/CE58,0)</f>
        <v/>
      </c>
      <c r="CF110" s="413">
        <f>IFERROR(CF109/CF58,0)</f>
        <v/>
      </c>
      <c r="CG110" s="413">
        <f>IFERROR(CG109/CG58,0)</f>
        <v/>
      </c>
      <c r="CH110" s="413">
        <f>IFERROR(CH109/CH58,0)</f>
        <v/>
      </c>
      <c r="CI110" s="413">
        <f>IFERROR(CI109/CI58,0)</f>
        <v/>
      </c>
      <c r="CJ110" s="413">
        <f>IFERROR(CJ109/CJ58,0)</f>
        <v/>
      </c>
      <c r="CK110" s="413">
        <f>IFERROR(CK109/CK58,0)</f>
        <v/>
      </c>
      <c r="CL110" s="413">
        <f>IFERROR(CL109/CL58,0)</f>
        <v/>
      </c>
      <c r="CM110" s="413">
        <f>IFERROR(CM109/CM58,0)</f>
        <v/>
      </c>
      <c r="CN110" s="413">
        <f>IFERROR(CN109/CN58,0)</f>
        <v/>
      </c>
      <c r="CO110" s="413">
        <f>IFERROR(CO109/CO58,0)</f>
        <v/>
      </c>
      <c r="CP110" s="413">
        <f>IFERROR(CP109/CP58,0)</f>
        <v/>
      </c>
      <c r="CQ110" s="413">
        <f>IFERROR(CQ109/CQ58,0)</f>
        <v/>
      </c>
      <c r="CR110" s="413">
        <f>IFERROR(CR109/CR58,0)</f>
        <v/>
      </c>
      <c r="CS110" s="413">
        <f>IFERROR(CS109/CS58,0)</f>
        <v/>
      </c>
      <c r="CT110" s="413">
        <f>IFERROR(CT109/CT58,0)</f>
        <v/>
      </c>
      <c r="CU110" s="413">
        <f>IFERROR(CU109/CU58,0)</f>
        <v/>
      </c>
      <c r="CV110" s="413">
        <f>IFERROR(CV109/CV58,0)</f>
        <v/>
      </c>
      <c r="CW110" s="413">
        <f>IFERROR(CW109/CW58,0)</f>
        <v/>
      </c>
      <c r="CX110" s="413">
        <f>IFERROR(CX109/CX58,0)</f>
        <v/>
      </c>
      <c r="CY110" s="413">
        <f>IFERROR(CY109/CY58,0)</f>
        <v/>
      </c>
      <c r="CZ110" s="413">
        <f>IFERROR(CZ109/CZ58,0)</f>
        <v/>
      </c>
      <c r="DA110" s="413">
        <f>IFERROR(DA109/DA58,0)</f>
        <v/>
      </c>
      <c r="DB110" s="413">
        <f>IFERROR(DB109/DB58,0)</f>
        <v/>
      </c>
      <c r="DC110" s="413">
        <f>IFERROR(DC109/DC58,0)</f>
        <v/>
      </c>
      <c r="DD110" s="413">
        <f>IFERROR(DD109/DD58,0)</f>
        <v/>
      </c>
      <c r="DE110" s="413">
        <f>IFERROR(DE109/DE58,0)</f>
        <v/>
      </c>
    </row>
    <row r="111" ht="15" customFormat="1" customHeight="1" s="380">
      <c r="A111" s="382" t="n"/>
      <c r="B111" s="392" t="n"/>
      <c r="C111" s="392" t="n"/>
      <c r="D111" s="392" t="n"/>
      <c r="E111" s="392" t="n"/>
      <c r="F111" s="392" t="n"/>
      <c r="G111" s="392" t="n"/>
      <c r="H111" s="392" t="n"/>
      <c r="I111" s="392" t="n"/>
      <c r="J111" s="392" t="n"/>
      <c r="K111" s="392" t="n"/>
      <c r="L111" s="392" t="n"/>
      <c r="M111" s="392" t="n"/>
      <c r="N111" s="392" t="n"/>
      <c r="O111" s="392" t="n"/>
      <c r="P111" s="392" t="n"/>
      <c r="Q111" s="392" t="n"/>
      <c r="R111" s="392" t="n"/>
      <c r="S111" s="392" t="n"/>
      <c r="T111" s="392" t="n"/>
      <c r="U111" s="392" t="n"/>
      <c r="V111" s="392" t="n"/>
      <c r="W111" s="392" t="n"/>
      <c r="X111" s="392" t="n"/>
      <c r="Y111" s="392" t="n"/>
      <c r="Z111" s="392" t="n"/>
      <c r="AA111" s="392" t="n"/>
      <c r="AB111" s="392" t="n"/>
      <c r="AC111" s="392" t="n"/>
      <c r="AD111" s="392" t="n"/>
      <c r="AE111" s="392" t="n"/>
      <c r="AF111" s="392" t="n"/>
      <c r="AG111" s="392" t="n"/>
      <c r="AH111" s="392" t="n"/>
      <c r="AI111" s="392" t="n"/>
      <c r="AJ111" s="392" t="n"/>
      <c r="AK111" s="392" t="n"/>
      <c r="AL111" s="392" t="n"/>
      <c r="AM111" s="392" t="n"/>
      <c r="AN111" s="392" t="n"/>
      <c r="AO111" s="392" t="n"/>
      <c r="AP111" s="392" t="n"/>
      <c r="AQ111" s="392" t="n"/>
      <c r="AR111" s="392" t="n"/>
      <c r="AS111" s="392" t="n"/>
      <c r="AT111" s="392" t="n"/>
      <c r="AU111" s="392" t="n"/>
      <c r="AV111" s="392" t="n"/>
      <c r="AW111" s="392" t="n"/>
      <c r="AX111" s="392" t="n"/>
      <c r="AY111" s="392" t="n"/>
      <c r="AZ111" s="392" t="n"/>
      <c r="BA111" s="392" t="n"/>
      <c r="BB111" s="392" t="n"/>
      <c r="BC111" s="392" t="n"/>
      <c r="BD111" s="392" t="n"/>
      <c r="BE111" s="392" t="n"/>
      <c r="BF111" s="392" t="n"/>
      <c r="BG111" s="392" t="n"/>
      <c r="BH111" s="392" t="n"/>
      <c r="BI111" s="392" t="n"/>
      <c r="BJ111" s="392" t="n"/>
      <c r="BK111" s="392" t="n"/>
      <c r="BL111" s="392" t="n"/>
      <c r="BM111" s="392" t="n"/>
      <c r="BN111" s="392" t="n"/>
      <c r="BO111" s="392" t="n"/>
      <c r="BP111" s="392" t="n"/>
      <c r="BQ111" s="392" t="n"/>
      <c r="BR111" s="392" t="n"/>
      <c r="BS111" s="392" t="n"/>
      <c r="BT111" s="392" t="n"/>
      <c r="BU111" s="392" t="n"/>
      <c r="BV111" s="392" t="n"/>
      <c r="BW111" s="392" t="n"/>
      <c r="BX111" s="392" t="n"/>
      <c r="BY111" s="392" t="n"/>
      <c r="BZ111" s="392" t="n"/>
      <c r="CA111" s="392" t="n"/>
      <c r="CB111" s="392" t="n"/>
      <c r="CC111" s="392" t="n"/>
      <c r="CD111" s="392" t="n"/>
      <c r="CE111" s="392" t="n"/>
      <c r="CF111" s="392" t="n"/>
      <c r="CG111" s="392" t="n"/>
      <c r="CH111" s="392" t="n"/>
      <c r="CI111" s="392" t="n"/>
      <c r="CJ111" s="392" t="n"/>
      <c r="CK111" s="392" t="n"/>
      <c r="CL111" s="392" t="n"/>
      <c r="CM111" s="392" t="n"/>
      <c r="CN111" s="392" t="n"/>
      <c r="CO111" s="392" t="n"/>
      <c r="CP111" s="392" t="n"/>
      <c r="CQ111" s="392" t="n"/>
      <c r="CR111" s="392" t="n"/>
      <c r="CS111" s="392" t="n"/>
      <c r="CT111" s="392" t="n"/>
      <c r="CU111" s="392" t="n"/>
      <c r="CV111" s="392" t="n"/>
      <c r="CW111" s="392" t="n"/>
      <c r="CX111" s="392" t="n"/>
      <c r="CY111" s="392" t="n"/>
      <c r="CZ111" s="392" t="n"/>
      <c r="DA111" s="392" t="n"/>
      <c r="DB111" s="392" t="n"/>
      <c r="DC111" s="392" t="n"/>
      <c r="DD111" s="392" t="n"/>
      <c r="DE111" s="392" t="n"/>
    </row>
    <row r="112" ht="15" customFormat="1" customHeight="1" s="380">
      <c r="A112" s="402" t="inlineStr">
        <is>
          <t>GC Costs</t>
        </is>
      </c>
      <c r="B112" s="414" t="n"/>
      <c r="C112" s="414" t="n"/>
      <c r="D112" s="414" t="n"/>
      <c r="E112" s="414" t="n"/>
      <c r="F112" s="414" t="n"/>
      <c r="G112" s="414" t="n"/>
      <c r="H112" s="414" t="n"/>
      <c r="I112" s="414" t="n"/>
      <c r="J112" s="414" t="n"/>
      <c r="K112" s="414" t="n"/>
      <c r="L112" s="414" t="n"/>
      <c r="M112" s="414" t="n"/>
      <c r="N112" s="414" t="n"/>
      <c r="O112" s="414" t="n"/>
      <c r="P112" s="414" t="n"/>
      <c r="Q112" s="414" t="n"/>
      <c r="R112" s="414" t="n"/>
      <c r="S112" s="414" t="n"/>
      <c r="T112" s="414" t="n"/>
      <c r="U112" s="414" t="n"/>
      <c r="V112" s="414" t="n"/>
      <c r="W112" s="414" t="n"/>
      <c r="X112" s="414" t="n"/>
      <c r="Y112" s="414" t="n"/>
      <c r="Z112" s="414" t="n"/>
      <c r="AA112" s="414" t="n"/>
      <c r="AB112" s="414" t="n"/>
      <c r="AC112" s="414" t="n"/>
      <c r="AD112" s="414" t="n"/>
      <c r="AE112" s="414" t="n"/>
      <c r="AF112" s="414" t="n"/>
      <c r="AG112" s="414" t="n"/>
      <c r="AH112" s="414" t="n"/>
      <c r="AI112" s="414" t="n"/>
      <c r="AJ112" s="414" t="n"/>
      <c r="AK112" s="414" t="n"/>
      <c r="AL112" s="414" t="n"/>
      <c r="AM112" s="414" t="n"/>
      <c r="AN112" s="414" t="n"/>
      <c r="AO112" s="414" t="n"/>
      <c r="AP112" s="414" t="n"/>
      <c r="AQ112" s="414" t="n"/>
      <c r="AR112" s="414" t="n"/>
      <c r="AS112" s="414" t="n"/>
      <c r="AT112" s="414" t="n"/>
      <c r="AU112" s="414" t="n"/>
      <c r="AV112" s="414" t="n"/>
      <c r="AW112" s="414" t="n"/>
      <c r="AX112" s="414" t="n"/>
      <c r="AY112" s="414" t="n"/>
      <c r="AZ112" s="414" t="n"/>
      <c r="BA112" s="414" t="n"/>
      <c r="BB112" s="414" t="n"/>
      <c r="BC112" s="414" t="n"/>
      <c r="BD112" s="414" t="n"/>
      <c r="BE112" s="414" t="n"/>
      <c r="BF112" s="414" t="n"/>
      <c r="BG112" s="414" t="n"/>
      <c r="BH112" s="414" t="n"/>
      <c r="BI112" s="414" t="n"/>
      <c r="BJ112" s="414" t="n"/>
      <c r="BK112" s="414" t="n"/>
      <c r="BL112" s="414" t="n"/>
      <c r="BM112" s="414" t="n"/>
      <c r="BN112" s="414" t="n"/>
      <c r="BO112" s="414" t="n"/>
      <c r="BP112" s="414" t="n"/>
      <c r="BQ112" s="414" t="n"/>
      <c r="BR112" s="414" t="n"/>
      <c r="BS112" s="414" t="n"/>
      <c r="BT112" s="414" t="n"/>
      <c r="BU112" s="414" t="n"/>
      <c r="BV112" s="414" t="n"/>
      <c r="BW112" s="414" t="n"/>
      <c r="BX112" s="414" t="n"/>
      <c r="BY112" s="414" t="n"/>
      <c r="BZ112" s="414" t="n"/>
      <c r="CA112" s="414" t="n"/>
      <c r="CB112" s="414" t="n"/>
      <c r="CC112" s="414" t="n"/>
      <c r="CD112" s="414" t="n"/>
      <c r="CE112" s="414" t="n"/>
      <c r="CF112" s="414" t="n"/>
      <c r="CG112" s="414" t="n"/>
      <c r="CH112" s="414" t="n"/>
      <c r="CI112" s="414" t="n"/>
      <c r="CJ112" s="414" t="n"/>
      <c r="CK112" s="414" t="n"/>
      <c r="CL112" s="414" t="n"/>
      <c r="CM112" s="414" t="n"/>
      <c r="CN112" s="414" t="n"/>
      <c r="CO112" s="414" t="n"/>
      <c r="CP112" s="414" t="n"/>
      <c r="CQ112" s="414" t="n"/>
      <c r="CR112" s="414" t="n"/>
      <c r="CS112" s="414" t="n"/>
      <c r="CT112" s="414" t="n"/>
      <c r="CU112" s="414" t="n"/>
      <c r="CV112" s="414" t="n"/>
      <c r="CW112" s="414" t="n"/>
      <c r="CX112" s="414" t="n"/>
      <c r="CY112" s="414" t="n"/>
      <c r="CZ112" s="414" t="n"/>
      <c r="DA112" s="414" t="n"/>
      <c r="DB112" s="414" t="n"/>
      <c r="DC112" s="414" t="n"/>
      <c r="DD112" s="414" t="n"/>
      <c r="DE112" s="414" t="n"/>
    </row>
    <row r="113" ht="15" customFormat="1" customHeight="1" s="380">
      <c r="A113" s="397" t="inlineStr">
        <is>
          <t>5000-1000 Payroll</t>
        </is>
      </c>
      <c r="B113" s="392">
        <f>IF(ISBLANK(Actuals!C21),0,Actuals!C21)</f>
        <v/>
      </c>
      <c r="C113" s="392">
        <f>IF(ISBLANK(Actuals!D21),0,Actuals!D21)</f>
        <v/>
      </c>
      <c r="D113" s="392">
        <f>IF(ISBLANK(Actuals!E21),0,Actuals!E21)</f>
        <v/>
      </c>
      <c r="E113" s="392">
        <f>IF(ISBLANK(Actuals!F21),(-(SUMPRODUCT((Personnel!$O$9:$O$100="GC")*(Personnel!$G$9:$G$100="Yes")*(1&gt;=Personnel!$E$9:$E$100)*((Personnel!$K$9:$K$100="")+(1&lt;=Personnel!$K$9:$K$100)&gt;0)*Personnel!$D$9:$D$100*(1-Personnel!$H$9:$H$100))+Staffing!E81))*Escalation!$B$2,Actuals!F21)</f>
        <v/>
      </c>
      <c r="F113" s="392">
        <f>IF(ISBLANK(Actuals!G21),(-(SUMPRODUCT((Personnel!$O$9:$O$100="GC")*(Personnel!$G$9:$G$100="Yes")*(2&gt;=Personnel!$E$9:$E$100)*((Personnel!$K$9:$K$100="")+(2&lt;=Personnel!$K$9:$K$100)&gt;0)*Personnel!$D$9:$D$100*(1-Personnel!$H$9:$H$100))+Staffing!F81))*Escalation!$B$3,Actuals!G21)</f>
        <v/>
      </c>
      <c r="G113" s="392">
        <f>IF(ISBLANK(Actuals!H21),(-(SUMPRODUCT((Personnel!$O$9:$O$100="GC")*(Personnel!$G$9:$G$100="Yes")*(3&gt;=Personnel!$E$9:$E$100)*((Personnel!$K$9:$K$100="")+(3&lt;=Personnel!$K$9:$K$100)&gt;0)*Personnel!$D$9:$D$100*(1-Personnel!$H$9:$H$100))+Staffing!G81))*Escalation!$B$4,Actuals!H21)</f>
        <v/>
      </c>
      <c r="H113" s="392">
        <f>IF(ISBLANK(Actuals!I21),(-(SUMPRODUCT((Personnel!$O$9:$O$100="GC")*(Personnel!$G$9:$G$100="Yes")*(4&gt;=Personnel!$E$9:$E$100)*((Personnel!$K$9:$K$100="")+(4&lt;=Personnel!$K$9:$K$100)&gt;0)*Personnel!$D$9:$D$100*(1-Personnel!$H$9:$H$100))+Staffing!H81))*Escalation!$B$5,Actuals!I21)</f>
        <v/>
      </c>
      <c r="I113" s="392">
        <f>IF(ISBLANK(Actuals!J21),(-(SUMPRODUCT((Personnel!$O$9:$O$100="GC")*(Personnel!$G$9:$G$100="Yes")*(5&gt;=Personnel!$E$9:$E$100)*((Personnel!$K$9:$K$100="")+(5&lt;=Personnel!$K$9:$K$100)&gt;0)*Personnel!$D$9:$D$100*(1-Personnel!$H$9:$H$100))+Staffing!I81))*Escalation!$B$6,Actuals!J21)</f>
        <v/>
      </c>
      <c r="J113" s="392">
        <f>IF(ISBLANK(Actuals!K21),(-(SUMPRODUCT((Personnel!$O$9:$O$100="GC")*(Personnel!$G$9:$G$100="Yes")*(6&gt;=Personnel!$E$9:$E$100)*((Personnel!$K$9:$K$100="")+(6&lt;=Personnel!$K$9:$K$100)&gt;0)*Personnel!$D$9:$D$100*(1-Personnel!$H$9:$H$100))+Staffing!J81))*Escalation!$B$7,Actuals!K21)</f>
        <v/>
      </c>
      <c r="K113" s="392">
        <f>IF(ISBLANK(Actuals!L21),(-(SUMPRODUCT((Personnel!$O$9:$O$100="GC")*(Personnel!$G$9:$G$100="Yes")*(7&gt;=Personnel!$E$9:$E$100)*((Personnel!$K$9:$K$100="")+(7&lt;=Personnel!$K$9:$K$100)&gt;0)*Personnel!$D$9:$D$100*(1-Personnel!$H$9:$H$100))+Staffing!K81))*Escalation!$B$8,Actuals!L21)</f>
        <v/>
      </c>
      <c r="L113" s="392">
        <f>IF(ISBLANK(Actuals!M21),(-(SUMPRODUCT((Personnel!$O$9:$O$100="GC")*(Personnel!$G$9:$G$100="Yes")*(8&gt;=Personnel!$E$9:$E$100)*((Personnel!$K$9:$K$100="")+(8&lt;=Personnel!$K$9:$K$100)&gt;0)*Personnel!$D$9:$D$100*(1-Personnel!$H$9:$H$100))+Staffing!L81))*Escalation!$B$9,Actuals!M21)</f>
        <v/>
      </c>
      <c r="M113" s="392">
        <f>IF(ISBLANK(Actuals!N21),(-(SUMPRODUCT((Personnel!$O$9:$O$100="GC")*(Personnel!$G$9:$G$100="Yes")*(9&gt;=Personnel!$E$9:$E$100)*((Personnel!$K$9:$K$100="")+(9&lt;=Personnel!$K$9:$K$100)&gt;0)*Personnel!$D$9:$D$100*(1-Personnel!$H$9:$H$100))+Staffing!M81))*Escalation!$B$10,Actuals!N21)</f>
        <v/>
      </c>
      <c r="N113" s="392">
        <f>IF(ISBLANK(Actuals!O21),(-(SUMPRODUCT((Personnel!$O$9:$O$100="GC")*(Personnel!$G$9:$G$100="Yes")*(10&gt;=Personnel!$E$9:$E$100)*((Personnel!$K$9:$K$100="")+(10&lt;=Personnel!$K$9:$K$100)&gt;0)*Personnel!$D$9:$D$100*(1-Personnel!$H$9:$H$100))+Staffing!N81))*Escalation!$B$11,Actuals!O21)</f>
        <v/>
      </c>
      <c r="O113" s="392">
        <f>IF(ISBLANK(Actuals!P21),(-(SUMPRODUCT((Personnel!$O$9:$O$100="GC")*(Personnel!$G$9:$G$100="Yes")*(11&gt;=Personnel!$E$9:$E$100)*((Personnel!$K$9:$K$100="")+(11&lt;=Personnel!$K$9:$K$100)&gt;0)*Personnel!$D$9:$D$100*(1-Personnel!$H$9:$H$100))+Staffing!O81))*Escalation!$B$12,Actuals!P21)</f>
        <v/>
      </c>
      <c r="P113" s="392">
        <f>IF(ISBLANK(Actuals!Q21),(-(SUMPRODUCT((Personnel!$O$9:$O$100="GC")*(Personnel!$G$9:$G$100="Yes")*(12&gt;=Personnel!$E$9:$E$100)*((Personnel!$K$9:$K$100="")+(12&lt;=Personnel!$K$9:$K$100)&gt;0)*Personnel!$D$9:$D$100*(1-Personnel!$H$9:$H$100))+Staffing!P81))*Escalation!$B$13,Actuals!Q21)</f>
        <v/>
      </c>
      <c r="Q113" s="392">
        <f>IF(ISBLANK(Actuals!R21),(-(SUMPRODUCT((Personnel!$O$9:$O$100="GC")*(Personnel!$G$9:$G$100="Yes")*(13&gt;=Personnel!$E$9:$E$100)*((Personnel!$K$9:$K$100="")+(13&lt;=Personnel!$K$9:$K$100)&gt;0)*Personnel!$D$9:$D$100*(1-Personnel!$H$9:$H$100))+Staffing!Q81))*Escalation!$B$14,Actuals!R21)</f>
        <v/>
      </c>
      <c r="R113" s="392">
        <f>IF(ISBLANK(Actuals!S21),(-(SUMPRODUCT((Personnel!$O$9:$O$100="GC")*(Personnel!$G$9:$G$100="Yes")*(14&gt;=Personnel!$E$9:$E$100)*((Personnel!$K$9:$K$100="")+(14&lt;=Personnel!$K$9:$K$100)&gt;0)*Personnel!$D$9:$D$100*(1-Personnel!$H$9:$H$100))+Staffing!R81))*Escalation!$B$15,Actuals!S21)</f>
        <v/>
      </c>
      <c r="S113" s="392">
        <f>IF(ISBLANK(Actuals!T21),(-(SUMPRODUCT((Personnel!$O$9:$O$100="GC")*(Personnel!$G$9:$G$100="Yes")*(15&gt;=Personnel!$E$9:$E$100)*((Personnel!$K$9:$K$100="")+(15&lt;=Personnel!$K$9:$K$100)&gt;0)*Personnel!$D$9:$D$100*(1-Personnel!$H$9:$H$100))+Staffing!S81))*Escalation!$B$16,Actuals!T21)</f>
        <v/>
      </c>
      <c r="T113" s="392">
        <f>IF(ISBLANK(Actuals!U21),(-(SUMPRODUCT((Personnel!$O$9:$O$100="GC")*(Personnel!$G$9:$G$100="Yes")*(16&gt;=Personnel!$E$9:$E$100)*((Personnel!$K$9:$K$100="")+(16&lt;=Personnel!$K$9:$K$100)&gt;0)*Personnel!$D$9:$D$100*(1-Personnel!$H$9:$H$100))+Staffing!T81))*Escalation!$B$17,Actuals!U21)</f>
        <v/>
      </c>
      <c r="U113" s="392">
        <f>IF(ISBLANK(Actuals!V21),(-(SUMPRODUCT((Personnel!$O$9:$O$100="GC")*(Personnel!$G$9:$G$100="Yes")*(17&gt;=Personnel!$E$9:$E$100)*((Personnel!$K$9:$K$100="")+(17&lt;=Personnel!$K$9:$K$100)&gt;0)*Personnel!$D$9:$D$100*(1-Personnel!$H$9:$H$100))+Staffing!U81))*Escalation!$B$18,Actuals!V21)</f>
        <v/>
      </c>
      <c r="V113" s="392">
        <f>IF(ISBLANK(Actuals!W21),(-(SUMPRODUCT((Personnel!$O$9:$O$100="GC")*(Personnel!$G$9:$G$100="Yes")*(18&gt;=Personnel!$E$9:$E$100)*((Personnel!$K$9:$K$100="")+(18&lt;=Personnel!$K$9:$K$100)&gt;0)*Personnel!$D$9:$D$100*(1-Personnel!$H$9:$H$100))+Staffing!V81))*Escalation!$B$19,Actuals!W21)</f>
        <v/>
      </c>
      <c r="W113" s="392">
        <f>IF(ISBLANK(Actuals!X21),(-(SUMPRODUCT((Personnel!$O$9:$O$100="GC")*(Personnel!$G$9:$G$100="Yes")*(19&gt;=Personnel!$E$9:$E$100)*((Personnel!$K$9:$K$100="")+(19&lt;=Personnel!$K$9:$K$100)&gt;0)*Personnel!$D$9:$D$100*(1-Personnel!$H$9:$H$100))+Staffing!W81))*Escalation!$B$20,Actuals!X21)</f>
        <v/>
      </c>
      <c r="X113" s="392">
        <f>IF(ISBLANK(Actuals!Y21),(-(SUMPRODUCT((Personnel!$O$9:$O$100="GC")*(Personnel!$G$9:$G$100="Yes")*(20&gt;=Personnel!$E$9:$E$100)*((Personnel!$K$9:$K$100="")+(20&lt;=Personnel!$K$9:$K$100)&gt;0)*Personnel!$D$9:$D$100*(1-Personnel!$H$9:$H$100))+Staffing!X81))*Escalation!$B$21,Actuals!Y21)</f>
        <v/>
      </c>
      <c r="Y113" s="392">
        <f>IF(ISBLANK(Actuals!Z21),(-(SUMPRODUCT((Personnel!$O$9:$O$100="GC")*(Personnel!$G$9:$G$100="Yes")*(21&gt;=Personnel!$E$9:$E$100)*((Personnel!$K$9:$K$100="")+(21&lt;=Personnel!$K$9:$K$100)&gt;0)*Personnel!$D$9:$D$100*(1-Personnel!$H$9:$H$100))+Staffing!Y81))*Escalation!$B$22,Actuals!Z21)</f>
        <v/>
      </c>
      <c r="Z113" s="392">
        <f>IF(ISBLANK(Actuals!AA21),(-(SUMPRODUCT((Personnel!$O$9:$O$100="GC")*(Personnel!$G$9:$G$100="Yes")*(22&gt;=Personnel!$E$9:$E$100)*((Personnel!$K$9:$K$100="")+(22&lt;=Personnel!$K$9:$K$100)&gt;0)*Personnel!$D$9:$D$100*(1-Personnel!$H$9:$H$100))+Staffing!Z81))*Escalation!$B$23,Actuals!AA21)</f>
        <v/>
      </c>
      <c r="AA113" s="392">
        <f>IF(ISBLANK(Actuals!AB21),(-(SUMPRODUCT((Personnel!$O$9:$O$100="GC")*(Personnel!$G$9:$G$100="Yes")*(23&gt;=Personnel!$E$9:$E$100)*((Personnel!$K$9:$K$100="")+(23&lt;=Personnel!$K$9:$K$100)&gt;0)*Personnel!$D$9:$D$100*(1-Personnel!$H$9:$H$100))+Staffing!AA81))*Escalation!$B$24,Actuals!AB21)</f>
        <v/>
      </c>
      <c r="AB113" s="392">
        <f>IF(ISBLANK(Actuals!AC21),(-(SUMPRODUCT((Personnel!$O$9:$O$100="GC")*(Personnel!$G$9:$G$100="Yes")*(24&gt;=Personnel!$E$9:$E$100)*((Personnel!$K$9:$K$100="")+(24&lt;=Personnel!$K$9:$K$100)&gt;0)*Personnel!$D$9:$D$100*(1-Personnel!$H$9:$H$100))+Staffing!AB81))*Escalation!$B$25,Actuals!AC21)</f>
        <v/>
      </c>
      <c r="AC113" s="392">
        <f>IF(ISBLANK(Actuals!AD21),(-(SUMPRODUCT((Personnel!$O$9:$O$100="GC")*(Personnel!$G$9:$G$100="Yes")*(25&gt;=Personnel!$E$9:$E$100)*((Personnel!$K$9:$K$100="")+(25&lt;=Personnel!$K$9:$K$100)&gt;0)*Personnel!$D$9:$D$100*(1-Personnel!$H$9:$H$100))+Staffing!AC81))*Escalation!$B$26,Actuals!AD21)</f>
        <v/>
      </c>
      <c r="AD113" s="392">
        <f>IF(ISBLANK(Actuals!AE21),(-(SUMPRODUCT((Personnel!$O$9:$O$100="GC")*(Personnel!$G$9:$G$100="Yes")*(26&gt;=Personnel!$E$9:$E$100)*((Personnel!$K$9:$K$100="")+(26&lt;=Personnel!$K$9:$K$100)&gt;0)*Personnel!$D$9:$D$100*(1-Personnel!$H$9:$H$100))+Staffing!AD81))*Escalation!$B$27,Actuals!AE21)</f>
        <v/>
      </c>
      <c r="AE113" s="392">
        <f>IF(ISBLANK(Actuals!AF21),(-(SUMPRODUCT((Personnel!$O$9:$O$100="GC")*(Personnel!$G$9:$G$100="Yes")*(27&gt;=Personnel!$E$9:$E$100)*((Personnel!$K$9:$K$100="")+(27&lt;=Personnel!$K$9:$K$100)&gt;0)*Personnel!$D$9:$D$100*(1-Personnel!$H$9:$H$100))+Staffing!AE81))*Escalation!$B$28,Actuals!AF21)</f>
        <v/>
      </c>
      <c r="AF113" s="392">
        <f>IF(ISBLANK(Actuals!AG21),(-(SUMPRODUCT((Personnel!$O$9:$O$100="GC")*(Personnel!$G$9:$G$100="Yes")*(28&gt;=Personnel!$E$9:$E$100)*((Personnel!$K$9:$K$100="")+(28&lt;=Personnel!$K$9:$K$100)&gt;0)*Personnel!$D$9:$D$100*(1-Personnel!$H$9:$H$100))+Staffing!AF81))*Escalation!$B$29,Actuals!AG21)</f>
        <v/>
      </c>
      <c r="AG113" s="392">
        <f>IF(ISBLANK(Actuals!AH21),(-(SUMPRODUCT((Personnel!$O$9:$O$100="GC")*(Personnel!$G$9:$G$100="Yes")*(29&gt;=Personnel!$E$9:$E$100)*((Personnel!$K$9:$K$100="")+(29&lt;=Personnel!$K$9:$K$100)&gt;0)*Personnel!$D$9:$D$100*(1-Personnel!$H$9:$H$100))+Staffing!AG81))*Escalation!$B$30,Actuals!AH21)</f>
        <v/>
      </c>
      <c r="AH113" s="392">
        <f>IF(ISBLANK(Actuals!AI21),(-(SUMPRODUCT((Personnel!$O$9:$O$100="GC")*(Personnel!$G$9:$G$100="Yes")*(30&gt;=Personnel!$E$9:$E$100)*((Personnel!$K$9:$K$100="")+(30&lt;=Personnel!$K$9:$K$100)&gt;0)*Personnel!$D$9:$D$100*(1-Personnel!$H$9:$H$100))+Staffing!AH81))*Escalation!$B$31,Actuals!AI21)</f>
        <v/>
      </c>
      <c r="AI113" s="392">
        <f>IF(ISBLANK(Actuals!AJ21),(-(SUMPRODUCT((Personnel!$O$9:$O$100="GC")*(Personnel!$G$9:$G$100="Yes")*(31&gt;=Personnel!$E$9:$E$100)*((Personnel!$K$9:$K$100="")+(31&lt;=Personnel!$K$9:$K$100)&gt;0)*Personnel!$D$9:$D$100*(1-Personnel!$H$9:$H$100))+Staffing!AI81))*Escalation!$B$32,Actuals!AJ21)</f>
        <v/>
      </c>
      <c r="AJ113" s="392">
        <f>IF(ISBLANK(Actuals!AK21),(-(SUMPRODUCT((Personnel!$O$9:$O$100="GC")*(Personnel!$G$9:$G$100="Yes")*(32&gt;=Personnel!$E$9:$E$100)*((Personnel!$K$9:$K$100="")+(32&lt;=Personnel!$K$9:$K$100)&gt;0)*Personnel!$D$9:$D$100*(1-Personnel!$H$9:$H$100))+Staffing!AJ81))*Escalation!$B$33,Actuals!AK21)</f>
        <v/>
      </c>
      <c r="AK113" s="392">
        <f>IF(ISBLANK(Actuals!AL21),(-(SUMPRODUCT((Personnel!$O$9:$O$100="GC")*(Personnel!$G$9:$G$100="Yes")*(33&gt;=Personnel!$E$9:$E$100)*((Personnel!$K$9:$K$100="")+(33&lt;=Personnel!$K$9:$K$100)&gt;0)*Personnel!$D$9:$D$100*(1-Personnel!$H$9:$H$100))+Staffing!AK81))*Escalation!$B$34,Actuals!AL21)</f>
        <v/>
      </c>
      <c r="AL113" s="392">
        <f>IF(ISBLANK(Actuals!AM21),(-(SUMPRODUCT((Personnel!$O$9:$O$100="GC")*(Personnel!$G$9:$G$100="Yes")*(34&gt;=Personnel!$E$9:$E$100)*((Personnel!$K$9:$K$100="")+(34&lt;=Personnel!$K$9:$K$100)&gt;0)*Personnel!$D$9:$D$100*(1-Personnel!$H$9:$H$100))+Staffing!AL81))*Escalation!$B$35,Actuals!AM21)</f>
        <v/>
      </c>
      <c r="AM113" s="392">
        <f>IF(ISBLANK(Actuals!AN21),(-(SUMPRODUCT((Personnel!$O$9:$O$100="GC")*(Personnel!$G$9:$G$100="Yes")*(35&gt;=Personnel!$E$9:$E$100)*((Personnel!$K$9:$K$100="")+(35&lt;=Personnel!$K$9:$K$100)&gt;0)*Personnel!$D$9:$D$100*(1-Personnel!$H$9:$H$100))+Staffing!AM81))*Escalation!$B$36,Actuals!AN21)</f>
        <v/>
      </c>
      <c r="AN113" s="392">
        <f>IF(ISBLANK(Actuals!AO21),(-(SUMPRODUCT((Personnel!$O$9:$O$100="GC")*(Personnel!$G$9:$G$100="Yes")*(36&gt;=Personnel!$E$9:$E$100)*((Personnel!$K$9:$K$100="")+(36&lt;=Personnel!$K$9:$K$100)&gt;0)*Personnel!$D$9:$D$100*(1-Personnel!$H$9:$H$100))+Staffing!AN81))*Escalation!$B$37,Actuals!AO21)</f>
        <v/>
      </c>
      <c r="AO113" s="392">
        <f>IF(ISBLANK(Actuals!AP21),(-(SUMPRODUCT((Personnel!$O$9:$O$100="GC")*(Personnel!$G$9:$G$100="Yes")*(37&gt;=Personnel!$E$9:$E$100)*((Personnel!$K$9:$K$100="")+(37&lt;=Personnel!$K$9:$K$100)&gt;0)*Personnel!$D$9:$D$100*(1-Personnel!$H$9:$H$100))+Staffing!AO81))*Escalation!$B$38,Actuals!AP21)</f>
        <v/>
      </c>
      <c r="AP113" s="392">
        <f>IF(ISBLANK(Actuals!AQ21),(-(SUMPRODUCT((Personnel!$O$9:$O$100="GC")*(Personnel!$G$9:$G$100="Yes")*(38&gt;=Personnel!$E$9:$E$100)*((Personnel!$K$9:$K$100="")+(38&lt;=Personnel!$K$9:$K$100)&gt;0)*Personnel!$D$9:$D$100*(1-Personnel!$H$9:$H$100))+Staffing!AP81))*Escalation!$B$39,Actuals!AQ21)</f>
        <v/>
      </c>
      <c r="AQ113" s="392">
        <f>IF(ISBLANK(Actuals!AR21),(-(SUMPRODUCT((Personnel!$O$9:$O$100="GC")*(Personnel!$G$9:$G$100="Yes")*(39&gt;=Personnel!$E$9:$E$100)*((Personnel!$K$9:$K$100="")+(39&lt;=Personnel!$K$9:$K$100)&gt;0)*Personnel!$D$9:$D$100*(1-Personnel!$H$9:$H$100))+Staffing!AQ81))*Escalation!$B$40,Actuals!AR21)</f>
        <v/>
      </c>
      <c r="AR113" s="392">
        <f>IF(ISBLANK(Actuals!AS21),(-(SUMPRODUCT((Personnel!$O$9:$O$100="GC")*(Personnel!$G$9:$G$100="Yes")*(40&gt;=Personnel!$E$9:$E$100)*((Personnel!$K$9:$K$100="")+(40&lt;=Personnel!$K$9:$K$100)&gt;0)*Personnel!$D$9:$D$100*(1-Personnel!$H$9:$H$100))+Staffing!AR81))*Escalation!$B$41,Actuals!AS21)</f>
        <v/>
      </c>
      <c r="AS113" s="392">
        <f>IF(ISBLANK(Actuals!AT21),(-(SUMPRODUCT((Personnel!$O$9:$O$100="GC")*(Personnel!$G$9:$G$100="Yes")*(41&gt;=Personnel!$E$9:$E$100)*((Personnel!$K$9:$K$100="")+(41&lt;=Personnel!$K$9:$K$100)&gt;0)*Personnel!$D$9:$D$100*(1-Personnel!$H$9:$H$100))+Staffing!AS81))*Escalation!$B$42,Actuals!AT21)</f>
        <v/>
      </c>
      <c r="AT113" s="392">
        <f>IF(ISBLANK(Actuals!AU21),(-(SUMPRODUCT((Personnel!$O$9:$O$100="GC")*(Personnel!$G$9:$G$100="Yes")*(42&gt;=Personnel!$E$9:$E$100)*((Personnel!$K$9:$K$100="")+(42&lt;=Personnel!$K$9:$K$100)&gt;0)*Personnel!$D$9:$D$100*(1-Personnel!$H$9:$H$100))+Staffing!AT81))*Escalation!$B$43,Actuals!AU21)</f>
        <v/>
      </c>
      <c r="AU113" s="392">
        <f>IF(ISBLANK(Actuals!AV21),(-(SUMPRODUCT((Personnel!$O$9:$O$100="GC")*(Personnel!$G$9:$G$100="Yes")*(43&gt;=Personnel!$E$9:$E$100)*((Personnel!$K$9:$K$100="")+(43&lt;=Personnel!$K$9:$K$100)&gt;0)*Personnel!$D$9:$D$100*(1-Personnel!$H$9:$H$100))+Staffing!AU81))*Escalation!$B$44,Actuals!AV21)</f>
        <v/>
      </c>
      <c r="AV113" s="392">
        <f>IF(ISBLANK(Actuals!AW21),(-(SUMPRODUCT((Personnel!$O$9:$O$100="GC")*(Personnel!$G$9:$G$100="Yes")*(44&gt;=Personnel!$E$9:$E$100)*((Personnel!$K$9:$K$100="")+(44&lt;=Personnel!$K$9:$K$100)&gt;0)*Personnel!$D$9:$D$100*(1-Personnel!$H$9:$H$100))+Staffing!AV81))*Escalation!$B$45,Actuals!AW21)</f>
        <v/>
      </c>
      <c r="AW113" s="392">
        <f>IF(ISBLANK(Actuals!AX21),(-(SUMPRODUCT((Personnel!$O$9:$O$100="GC")*(Personnel!$G$9:$G$100="Yes")*(45&gt;=Personnel!$E$9:$E$100)*((Personnel!$K$9:$K$100="")+(45&lt;=Personnel!$K$9:$K$100)&gt;0)*Personnel!$D$9:$D$100*(1-Personnel!$H$9:$H$100))+Staffing!AW81))*Escalation!$B$46,Actuals!AX21)</f>
        <v/>
      </c>
      <c r="AX113" s="392">
        <f>IF(ISBLANK(Actuals!AY21),(-(SUMPRODUCT((Personnel!$O$9:$O$100="GC")*(Personnel!$G$9:$G$100="Yes")*(46&gt;=Personnel!$E$9:$E$100)*((Personnel!$K$9:$K$100="")+(46&lt;=Personnel!$K$9:$K$100)&gt;0)*Personnel!$D$9:$D$100*(1-Personnel!$H$9:$H$100))+Staffing!AX81))*Escalation!$B$47,Actuals!AY21)</f>
        <v/>
      </c>
      <c r="AY113" s="392">
        <f>IF(ISBLANK(Actuals!AZ21),(-(SUMPRODUCT((Personnel!$O$9:$O$100="GC")*(Personnel!$G$9:$G$100="Yes")*(47&gt;=Personnel!$E$9:$E$100)*((Personnel!$K$9:$K$100="")+(47&lt;=Personnel!$K$9:$K$100)&gt;0)*Personnel!$D$9:$D$100*(1-Personnel!$H$9:$H$100))+Staffing!AY81))*Escalation!$B$48,Actuals!AZ21)</f>
        <v/>
      </c>
      <c r="AZ113" s="392">
        <f>IF(ISBLANK(Actuals!BA21),(-(SUMPRODUCT((Personnel!$O$9:$O$100="GC")*(Personnel!$G$9:$G$100="Yes")*(48&gt;=Personnel!$E$9:$E$100)*((Personnel!$K$9:$K$100="")+(48&lt;=Personnel!$K$9:$K$100)&gt;0)*Personnel!$D$9:$D$100*(1-Personnel!$H$9:$H$100))+Staffing!AZ81))*Escalation!$B$49,Actuals!BA21)</f>
        <v/>
      </c>
      <c r="BA113" s="392">
        <f>IF(ISBLANK(Actuals!BB21),(-(SUMPRODUCT((Personnel!$O$9:$O$100="GC")*(Personnel!$G$9:$G$100="Yes")*(49&gt;=Personnel!$E$9:$E$100)*((Personnel!$K$9:$K$100="")+(49&lt;=Personnel!$K$9:$K$100)&gt;0)*Personnel!$D$9:$D$100*(1-Personnel!$H$9:$H$100))+Staffing!BA81))*Escalation!$B$50,Actuals!BB21)</f>
        <v/>
      </c>
      <c r="BB113" s="392">
        <f>IF(ISBLANK(Actuals!BC21),(-(SUMPRODUCT((Personnel!$O$9:$O$100="GC")*(Personnel!$G$9:$G$100="Yes")*(50&gt;=Personnel!$E$9:$E$100)*((Personnel!$K$9:$K$100="")+(50&lt;=Personnel!$K$9:$K$100)&gt;0)*Personnel!$D$9:$D$100*(1-Personnel!$H$9:$H$100))+Staffing!BB81))*Escalation!$B$51,Actuals!BC21)</f>
        <v/>
      </c>
      <c r="BC113" s="392">
        <f>IF(ISBLANK(Actuals!BD21),(-(SUMPRODUCT((Personnel!$O$9:$O$100="GC")*(Personnel!$G$9:$G$100="Yes")*(51&gt;=Personnel!$E$9:$E$100)*((Personnel!$K$9:$K$100="")+(51&lt;=Personnel!$K$9:$K$100)&gt;0)*Personnel!$D$9:$D$100*(1-Personnel!$H$9:$H$100))+Staffing!BC81))*Escalation!$B$52,Actuals!BD21)</f>
        <v/>
      </c>
      <c r="BD113" s="392">
        <f>IF(ISBLANK(Actuals!BE21),(-(SUMPRODUCT((Personnel!$O$9:$O$100="GC")*(Personnel!$G$9:$G$100="Yes")*(52&gt;=Personnel!$E$9:$E$100)*((Personnel!$K$9:$K$100="")+(52&lt;=Personnel!$K$9:$K$100)&gt;0)*Personnel!$D$9:$D$100*(1-Personnel!$H$9:$H$100))+Staffing!BD81))*Escalation!$B$53,Actuals!BE21)</f>
        <v/>
      </c>
      <c r="BE113" s="392">
        <f>IF(ISBLANK(Actuals!BF21),(-(SUMPRODUCT((Personnel!$O$9:$O$100="GC")*(Personnel!$G$9:$G$100="Yes")*(53&gt;=Personnel!$E$9:$E$100)*((Personnel!$K$9:$K$100="")+(53&lt;=Personnel!$K$9:$K$100)&gt;0)*Personnel!$D$9:$D$100*(1-Personnel!$H$9:$H$100))+Staffing!BE81))*Escalation!$B$54,Actuals!BF21)</f>
        <v/>
      </c>
      <c r="BF113" s="392">
        <f>IF(ISBLANK(Actuals!BG21),(-(SUMPRODUCT((Personnel!$O$9:$O$100="GC")*(Personnel!$G$9:$G$100="Yes")*(54&gt;=Personnel!$E$9:$E$100)*((Personnel!$K$9:$K$100="")+(54&lt;=Personnel!$K$9:$K$100)&gt;0)*Personnel!$D$9:$D$100*(1-Personnel!$H$9:$H$100))+Staffing!BF81))*Escalation!$B$55,Actuals!BG21)</f>
        <v/>
      </c>
      <c r="BG113" s="392">
        <f>IF(ISBLANK(Actuals!BH21),(-(SUMPRODUCT((Personnel!$O$9:$O$100="GC")*(Personnel!$G$9:$G$100="Yes")*(55&gt;=Personnel!$E$9:$E$100)*((Personnel!$K$9:$K$100="")+(55&lt;=Personnel!$K$9:$K$100)&gt;0)*Personnel!$D$9:$D$100*(1-Personnel!$H$9:$H$100))+Staffing!BG81))*Escalation!$B$56,Actuals!BH21)</f>
        <v/>
      </c>
      <c r="BH113" s="392">
        <f>IF(ISBLANK(Actuals!BI21),(-(SUMPRODUCT((Personnel!$O$9:$O$100="GC")*(Personnel!$G$9:$G$100="Yes")*(56&gt;=Personnel!$E$9:$E$100)*((Personnel!$K$9:$K$100="")+(56&lt;=Personnel!$K$9:$K$100)&gt;0)*Personnel!$D$9:$D$100*(1-Personnel!$H$9:$H$100))+Staffing!BH81))*Escalation!$B$57,Actuals!BI21)</f>
        <v/>
      </c>
      <c r="BI113" s="392">
        <f>IF(ISBLANK(Actuals!BJ21),(-(SUMPRODUCT((Personnel!$O$9:$O$100="GC")*(Personnel!$G$9:$G$100="Yes")*(57&gt;=Personnel!$E$9:$E$100)*((Personnel!$K$9:$K$100="")+(57&lt;=Personnel!$K$9:$K$100)&gt;0)*Personnel!$D$9:$D$100*(1-Personnel!$H$9:$H$100))+Staffing!BI81))*Escalation!$B$58,Actuals!BJ21)</f>
        <v/>
      </c>
      <c r="BJ113" s="392">
        <f>IF(ISBLANK(Actuals!BK21),(-(SUMPRODUCT((Personnel!$O$9:$O$100="GC")*(Personnel!$G$9:$G$100="Yes")*(58&gt;=Personnel!$E$9:$E$100)*((Personnel!$K$9:$K$100="")+(58&lt;=Personnel!$K$9:$K$100)&gt;0)*Personnel!$D$9:$D$100*(1-Personnel!$H$9:$H$100))+Staffing!BJ81))*Escalation!$B$59,Actuals!BK21)</f>
        <v/>
      </c>
      <c r="BK113" s="392">
        <f>IF(ISBLANK(Actuals!BL21),(-(SUMPRODUCT((Personnel!$O$9:$O$100="GC")*(Personnel!$G$9:$G$100="Yes")*(59&gt;=Personnel!$E$9:$E$100)*((Personnel!$K$9:$K$100="")+(59&lt;=Personnel!$K$9:$K$100)&gt;0)*Personnel!$D$9:$D$100*(1-Personnel!$H$9:$H$100))+Staffing!BK81))*Escalation!$B$60,Actuals!BL21)</f>
        <v/>
      </c>
      <c r="BL113" s="392">
        <f>IF(ISBLANK(Actuals!BM21),(-(SUMPRODUCT((Personnel!$O$9:$O$100="GC")*(Personnel!$G$9:$G$100="Yes")*(60&gt;=Personnel!$E$9:$E$100)*((Personnel!$K$9:$K$100="")+(60&lt;=Personnel!$K$9:$K$100)&gt;0)*Personnel!$D$9:$D$100*(1-Personnel!$H$9:$H$100))+Staffing!BL81))*Escalation!$B$61,Actuals!BM21)</f>
        <v/>
      </c>
      <c r="BM113" s="392">
        <f>IF(ISBLANK(Actuals!BN21),(-(SUMPRODUCT((Personnel!$O$9:$O$100="GC")*(Personnel!$G$9:$G$100="Yes")*(61&gt;=Personnel!$E$9:$E$100)*((Personnel!$K$9:$K$100="")+(61&lt;=Personnel!$K$9:$K$100)&gt;0)*Personnel!$D$9:$D$100*(1-Personnel!$H$9:$H$100))+Staffing!BM81))*Escalation!$B$62,Actuals!BN21)</f>
        <v/>
      </c>
      <c r="BN113" s="392">
        <f>IF(ISBLANK(Actuals!BO21),(-(SUMPRODUCT((Personnel!$O$9:$O$100="GC")*(Personnel!$G$9:$G$100="Yes")*(62&gt;=Personnel!$E$9:$E$100)*((Personnel!$K$9:$K$100="")+(62&lt;=Personnel!$K$9:$K$100)&gt;0)*Personnel!$D$9:$D$100*(1-Personnel!$H$9:$H$100))+Staffing!BN81))*Escalation!$B$63,Actuals!BO21)</f>
        <v/>
      </c>
      <c r="BO113" s="392">
        <f>IF(ISBLANK(Actuals!BP21),(-(SUMPRODUCT((Personnel!$O$9:$O$100="GC")*(Personnel!$G$9:$G$100="Yes")*(63&gt;=Personnel!$E$9:$E$100)*((Personnel!$K$9:$K$100="")+(63&lt;=Personnel!$K$9:$K$100)&gt;0)*Personnel!$D$9:$D$100*(1-Personnel!$H$9:$H$100))+Staffing!BO81))*Escalation!$B$64,Actuals!BP21)</f>
        <v/>
      </c>
      <c r="BP113" s="392">
        <f>IF(ISBLANK(Actuals!BQ21),(-(SUMPRODUCT((Personnel!$O$9:$O$100="GC")*(Personnel!$G$9:$G$100="Yes")*(64&gt;=Personnel!$E$9:$E$100)*((Personnel!$K$9:$K$100="")+(64&lt;=Personnel!$K$9:$K$100)&gt;0)*Personnel!$D$9:$D$100*(1-Personnel!$H$9:$H$100))+Staffing!BP81))*Escalation!$B$65,Actuals!BQ21)</f>
        <v/>
      </c>
      <c r="BQ113" s="392">
        <f>IF(ISBLANK(Actuals!BR21),(-(SUMPRODUCT((Personnel!$O$9:$O$100="GC")*(Personnel!$G$9:$G$100="Yes")*(65&gt;=Personnel!$E$9:$E$100)*((Personnel!$K$9:$K$100="")+(65&lt;=Personnel!$K$9:$K$100)&gt;0)*Personnel!$D$9:$D$100*(1-Personnel!$H$9:$H$100))+Staffing!BQ81))*Escalation!$B$66,Actuals!BR21)</f>
        <v/>
      </c>
      <c r="BR113" s="392">
        <f>IF(ISBLANK(Actuals!BS21),(-(SUMPRODUCT((Personnel!$O$9:$O$100="GC")*(Personnel!$G$9:$G$100="Yes")*(66&gt;=Personnel!$E$9:$E$100)*((Personnel!$K$9:$K$100="")+(66&lt;=Personnel!$K$9:$K$100)&gt;0)*Personnel!$D$9:$D$100*(1-Personnel!$H$9:$H$100))+Staffing!BR81))*Escalation!$B$67,Actuals!BS21)</f>
        <v/>
      </c>
      <c r="BS113" s="392">
        <f>IF(ISBLANK(Actuals!BT21),(-(SUMPRODUCT((Personnel!$O$9:$O$100="GC")*(Personnel!$G$9:$G$100="Yes")*(67&gt;=Personnel!$E$9:$E$100)*((Personnel!$K$9:$K$100="")+(67&lt;=Personnel!$K$9:$K$100)&gt;0)*Personnel!$D$9:$D$100*(1-Personnel!$H$9:$H$100))+Staffing!BS81))*Escalation!$B$68,Actuals!BT21)</f>
        <v/>
      </c>
      <c r="BT113" s="392">
        <f>IF(ISBLANK(Actuals!BU21),(-(SUMPRODUCT((Personnel!$O$9:$O$100="GC")*(Personnel!$G$9:$G$100="Yes")*(68&gt;=Personnel!$E$9:$E$100)*((Personnel!$K$9:$K$100="")+(68&lt;=Personnel!$K$9:$K$100)&gt;0)*Personnel!$D$9:$D$100*(1-Personnel!$H$9:$H$100))+Staffing!BT81))*Escalation!$B$69,Actuals!BU21)</f>
        <v/>
      </c>
      <c r="BU113" s="392">
        <f>IF(ISBLANK(Actuals!BV21),(-(SUMPRODUCT((Personnel!$O$9:$O$100="GC")*(Personnel!$G$9:$G$100="Yes")*(69&gt;=Personnel!$E$9:$E$100)*((Personnel!$K$9:$K$100="")+(69&lt;=Personnel!$K$9:$K$100)&gt;0)*Personnel!$D$9:$D$100*(1-Personnel!$H$9:$H$100))+Staffing!BU81))*Escalation!$B$70,Actuals!BV21)</f>
        <v/>
      </c>
      <c r="BV113" s="392">
        <f>IF(ISBLANK(Actuals!BW21),(-(SUMPRODUCT((Personnel!$O$9:$O$100="GC")*(Personnel!$G$9:$G$100="Yes")*(70&gt;=Personnel!$E$9:$E$100)*((Personnel!$K$9:$K$100="")+(70&lt;=Personnel!$K$9:$K$100)&gt;0)*Personnel!$D$9:$D$100*(1-Personnel!$H$9:$H$100))+Staffing!BV81))*Escalation!$B$71,Actuals!BW21)</f>
        <v/>
      </c>
      <c r="BW113" s="392">
        <f>IF(ISBLANK(Actuals!BX21),(-(SUMPRODUCT((Personnel!$O$9:$O$100="GC")*(Personnel!$G$9:$G$100="Yes")*(71&gt;=Personnel!$E$9:$E$100)*((Personnel!$K$9:$K$100="")+(71&lt;=Personnel!$K$9:$K$100)&gt;0)*Personnel!$D$9:$D$100*(1-Personnel!$H$9:$H$100))+Staffing!BW81))*Escalation!$B$72,Actuals!BX21)</f>
        <v/>
      </c>
      <c r="BX113" s="392">
        <f>IF(ISBLANK(Actuals!BY21),(-(SUMPRODUCT((Personnel!$O$9:$O$100="GC")*(Personnel!$G$9:$G$100="Yes")*(72&gt;=Personnel!$E$9:$E$100)*((Personnel!$K$9:$K$100="")+(72&lt;=Personnel!$K$9:$K$100)&gt;0)*Personnel!$D$9:$D$100*(1-Personnel!$H$9:$H$100))+Staffing!BX81))*Escalation!$B$73,Actuals!BY21)</f>
        <v/>
      </c>
      <c r="BY113" s="392">
        <f>IF(ISBLANK(Actuals!BZ21),(-(SUMPRODUCT((Personnel!$O$9:$O$100="GC")*(Personnel!$G$9:$G$100="Yes")*(73&gt;=Personnel!$E$9:$E$100)*((Personnel!$K$9:$K$100="")+(73&lt;=Personnel!$K$9:$K$100)&gt;0)*Personnel!$D$9:$D$100*(1-Personnel!$H$9:$H$100))+Staffing!BY81))*Escalation!$B$74,Actuals!BZ21)</f>
        <v/>
      </c>
      <c r="BZ113" s="392">
        <f>IF(ISBLANK(Actuals!CA21),(-(SUMPRODUCT((Personnel!$O$9:$O$100="GC")*(Personnel!$G$9:$G$100="Yes")*(74&gt;=Personnel!$E$9:$E$100)*((Personnel!$K$9:$K$100="")+(74&lt;=Personnel!$K$9:$K$100)&gt;0)*Personnel!$D$9:$D$100*(1-Personnel!$H$9:$H$100))+Staffing!BZ81))*Escalation!$B$75,Actuals!CA21)</f>
        <v/>
      </c>
      <c r="CA113" s="392">
        <f>IF(ISBLANK(Actuals!CB21),(-(SUMPRODUCT((Personnel!$O$9:$O$100="GC")*(Personnel!$G$9:$G$100="Yes")*(75&gt;=Personnel!$E$9:$E$100)*((Personnel!$K$9:$K$100="")+(75&lt;=Personnel!$K$9:$K$100)&gt;0)*Personnel!$D$9:$D$100*(1-Personnel!$H$9:$H$100))+Staffing!CA81))*Escalation!$B$76,Actuals!CB21)</f>
        <v/>
      </c>
      <c r="CB113" s="392">
        <f>IF(ISBLANK(Actuals!CC21),(-(SUMPRODUCT((Personnel!$O$9:$O$100="GC")*(Personnel!$G$9:$G$100="Yes")*(76&gt;=Personnel!$E$9:$E$100)*((Personnel!$K$9:$K$100="")+(76&lt;=Personnel!$K$9:$K$100)&gt;0)*Personnel!$D$9:$D$100*(1-Personnel!$H$9:$H$100))+Staffing!CB81))*Escalation!$B$77,Actuals!CC21)</f>
        <v/>
      </c>
      <c r="CC113" s="392">
        <f>IF(ISBLANK(Actuals!CD21),(-(SUMPRODUCT((Personnel!$O$9:$O$100="GC")*(Personnel!$G$9:$G$100="Yes")*(77&gt;=Personnel!$E$9:$E$100)*((Personnel!$K$9:$K$100="")+(77&lt;=Personnel!$K$9:$K$100)&gt;0)*Personnel!$D$9:$D$100*(1-Personnel!$H$9:$H$100))+Staffing!CC81))*Escalation!$B$78,Actuals!CD21)</f>
        <v/>
      </c>
      <c r="CD113" s="392">
        <f>IF(ISBLANK(Actuals!CE21),(-(SUMPRODUCT((Personnel!$O$9:$O$100="GC")*(Personnel!$G$9:$G$100="Yes")*(78&gt;=Personnel!$E$9:$E$100)*((Personnel!$K$9:$K$100="")+(78&lt;=Personnel!$K$9:$K$100)&gt;0)*Personnel!$D$9:$D$100*(1-Personnel!$H$9:$H$100))+Staffing!CD81))*Escalation!$B$79,Actuals!CE21)</f>
        <v/>
      </c>
      <c r="CE113" s="392">
        <f>IF(ISBLANK(Actuals!CF21),(-(SUMPRODUCT((Personnel!$O$9:$O$100="GC")*(Personnel!$G$9:$G$100="Yes")*(79&gt;=Personnel!$E$9:$E$100)*((Personnel!$K$9:$K$100="")+(79&lt;=Personnel!$K$9:$K$100)&gt;0)*Personnel!$D$9:$D$100*(1-Personnel!$H$9:$H$100))+Staffing!CE81))*Escalation!$B$80,Actuals!CF21)</f>
        <v/>
      </c>
      <c r="CF113" s="392">
        <f>IF(ISBLANK(Actuals!CG21),(-(SUMPRODUCT((Personnel!$O$9:$O$100="GC")*(Personnel!$G$9:$G$100="Yes")*(80&gt;=Personnel!$E$9:$E$100)*((Personnel!$K$9:$K$100="")+(80&lt;=Personnel!$K$9:$K$100)&gt;0)*Personnel!$D$9:$D$100*(1-Personnel!$H$9:$H$100))+Staffing!CF81))*Escalation!$B$81,Actuals!CG21)</f>
        <v/>
      </c>
      <c r="CG113" s="392">
        <f>IF(ISBLANK(Actuals!CH21),(-(SUMPRODUCT((Personnel!$O$9:$O$100="GC")*(Personnel!$G$9:$G$100="Yes")*(81&gt;=Personnel!$E$9:$E$100)*((Personnel!$K$9:$K$100="")+(81&lt;=Personnel!$K$9:$K$100)&gt;0)*Personnel!$D$9:$D$100*(1-Personnel!$H$9:$H$100))+Staffing!CG81))*Escalation!$B$82,Actuals!CH21)</f>
        <v/>
      </c>
      <c r="CH113" s="392">
        <f>IF(ISBLANK(Actuals!CI21),(-(SUMPRODUCT((Personnel!$O$9:$O$100="GC")*(Personnel!$G$9:$G$100="Yes")*(82&gt;=Personnel!$E$9:$E$100)*((Personnel!$K$9:$K$100="")+(82&lt;=Personnel!$K$9:$K$100)&gt;0)*Personnel!$D$9:$D$100*(1-Personnel!$H$9:$H$100))+Staffing!CH81))*Escalation!$B$83,Actuals!CI21)</f>
        <v/>
      </c>
      <c r="CI113" s="392">
        <f>IF(ISBLANK(Actuals!CJ21),(-(SUMPRODUCT((Personnel!$O$9:$O$100="GC")*(Personnel!$G$9:$G$100="Yes")*(83&gt;=Personnel!$E$9:$E$100)*((Personnel!$K$9:$K$100="")+(83&lt;=Personnel!$K$9:$K$100)&gt;0)*Personnel!$D$9:$D$100*(1-Personnel!$H$9:$H$100))+Staffing!CI81))*Escalation!$B$84,Actuals!CJ21)</f>
        <v/>
      </c>
      <c r="CJ113" s="392">
        <f>IF(ISBLANK(Actuals!CK21),(-(SUMPRODUCT((Personnel!$O$9:$O$100="GC")*(Personnel!$G$9:$G$100="Yes")*(84&gt;=Personnel!$E$9:$E$100)*((Personnel!$K$9:$K$100="")+(84&lt;=Personnel!$K$9:$K$100)&gt;0)*Personnel!$D$9:$D$100*(1-Personnel!$H$9:$H$100))+Staffing!CJ81))*Escalation!$B$85,Actuals!CK21)</f>
        <v/>
      </c>
      <c r="CK113" s="392">
        <f>IF(ISBLANK(Actuals!CL21),(-(SUMPRODUCT((Personnel!$O$9:$O$100="GC")*(Personnel!$G$9:$G$100="Yes")*(85&gt;=Personnel!$E$9:$E$100)*((Personnel!$K$9:$K$100="")+(85&lt;=Personnel!$K$9:$K$100)&gt;0)*Personnel!$D$9:$D$100*(1-Personnel!$H$9:$H$100))+Staffing!CK81))*Escalation!$B$86,Actuals!CL21)</f>
        <v/>
      </c>
      <c r="CL113" s="392">
        <f>IF(ISBLANK(Actuals!CM21),(-(SUMPRODUCT((Personnel!$O$9:$O$100="GC")*(Personnel!$G$9:$G$100="Yes")*(86&gt;=Personnel!$E$9:$E$100)*((Personnel!$K$9:$K$100="")+(86&lt;=Personnel!$K$9:$K$100)&gt;0)*Personnel!$D$9:$D$100*(1-Personnel!$H$9:$H$100))+Staffing!CL81))*Escalation!$B$87,Actuals!CM21)</f>
        <v/>
      </c>
      <c r="CM113" s="392">
        <f>IF(ISBLANK(Actuals!CN21),(-(SUMPRODUCT((Personnel!$O$9:$O$100="GC")*(Personnel!$G$9:$G$100="Yes")*(87&gt;=Personnel!$E$9:$E$100)*((Personnel!$K$9:$K$100="")+(87&lt;=Personnel!$K$9:$K$100)&gt;0)*Personnel!$D$9:$D$100*(1-Personnel!$H$9:$H$100))+Staffing!CM81))*Escalation!$B$88,Actuals!CN21)</f>
        <v/>
      </c>
      <c r="CN113" s="392">
        <f>IF(ISBLANK(Actuals!CO21),(-(SUMPRODUCT((Personnel!$O$9:$O$100="GC")*(Personnel!$G$9:$G$100="Yes")*(88&gt;=Personnel!$E$9:$E$100)*((Personnel!$K$9:$K$100="")+(88&lt;=Personnel!$K$9:$K$100)&gt;0)*Personnel!$D$9:$D$100*(1-Personnel!$H$9:$H$100))+Staffing!CN81))*Escalation!$B$89,Actuals!CO21)</f>
        <v/>
      </c>
      <c r="CO113" s="392">
        <f>IF(ISBLANK(Actuals!CP21),(-(SUMPRODUCT((Personnel!$O$9:$O$100="GC")*(Personnel!$G$9:$G$100="Yes")*(89&gt;=Personnel!$E$9:$E$100)*((Personnel!$K$9:$K$100="")+(89&lt;=Personnel!$K$9:$K$100)&gt;0)*Personnel!$D$9:$D$100*(1-Personnel!$H$9:$H$100))+Staffing!CO81))*Escalation!$B$90,Actuals!CP21)</f>
        <v/>
      </c>
      <c r="CP113" s="392">
        <f>IF(ISBLANK(Actuals!CQ21),(-(SUMPRODUCT((Personnel!$O$9:$O$100="GC")*(Personnel!$G$9:$G$100="Yes")*(90&gt;=Personnel!$E$9:$E$100)*((Personnel!$K$9:$K$100="")+(90&lt;=Personnel!$K$9:$K$100)&gt;0)*Personnel!$D$9:$D$100*(1-Personnel!$H$9:$H$100))+Staffing!CP81))*Escalation!$B$91,Actuals!CQ21)</f>
        <v/>
      </c>
      <c r="CQ113" s="392">
        <f>IF(ISBLANK(Actuals!CR21),(-(SUMPRODUCT((Personnel!$O$9:$O$100="GC")*(Personnel!$G$9:$G$100="Yes")*(91&gt;=Personnel!$E$9:$E$100)*((Personnel!$K$9:$K$100="")+(91&lt;=Personnel!$K$9:$K$100)&gt;0)*Personnel!$D$9:$D$100*(1-Personnel!$H$9:$H$100))+Staffing!CQ81))*Escalation!$B$92,Actuals!CR21)</f>
        <v/>
      </c>
      <c r="CR113" s="392">
        <f>IF(ISBLANK(Actuals!CS21),(-(SUMPRODUCT((Personnel!$O$9:$O$100="GC")*(Personnel!$G$9:$G$100="Yes")*(92&gt;=Personnel!$E$9:$E$100)*((Personnel!$K$9:$K$100="")+(92&lt;=Personnel!$K$9:$K$100)&gt;0)*Personnel!$D$9:$D$100*(1-Personnel!$H$9:$H$100))+Staffing!CR81))*Escalation!$B$93,Actuals!CS21)</f>
        <v/>
      </c>
      <c r="CS113" s="392">
        <f>IF(ISBLANK(Actuals!CT21),(-(SUMPRODUCT((Personnel!$O$9:$O$100="GC")*(Personnel!$G$9:$G$100="Yes")*(93&gt;=Personnel!$E$9:$E$100)*((Personnel!$K$9:$K$100="")+(93&lt;=Personnel!$K$9:$K$100)&gt;0)*Personnel!$D$9:$D$100*(1-Personnel!$H$9:$H$100))+Staffing!CS81))*Escalation!$B$94,Actuals!CT21)</f>
        <v/>
      </c>
      <c r="CT113" s="392">
        <f>IF(ISBLANK(Actuals!CU21),(-(SUMPRODUCT((Personnel!$O$9:$O$100="GC")*(Personnel!$G$9:$G$100="Yes")*(94&gt;=Personnel!$E$9:$E$100)*((Personnel!$K$9:$K$100="")+(94&lt;=Personnel!$K$9:$K$100)&gt;0)*Personnel!$D$9:$D$100*(1-Personnel!$H$9:$H$100))+Staffing!CT81))*Escalation!$B$95,Actuals!CU21)</f>
        <v/>
      </c>
      <c r="CU113" s="392">
        <f>IF(ISBLANK(Actuals!CV21),(-(SUMPRODUCT((Personnel!$O$9:$O$100="GC")*(Personnel!$G$9:$G$100="Yes")*(95&gt;=Personnel!$E$9:$E$100)*((Personnel!$K$9:$K$100="")+(95&lt;=Personnel!$K$9:$K$100)&gt;0)*Personnel!$D$9:$D$100*(1-Personnel!$H$9:$H$100))+Staffing!CU81))*Escalation!$B$96,Actuals!CV21)</f>
        <v/>
      </c>
      <c r="CV113" s="392">
        <f>IF(ISBLANK(Actuals!CW21),(-(SUMPRODUCT((Personnel!$O$9:$O$100="GC")*(Personnel!$G$9:$G$100="Yes")*(96&gt;=Personnel!$E$9:$E$100)*((Personnel!$K$9:$K$100="")+(96&lt;=Personnel!$K$9:$K$100)&gt;0)*Personnel!$D$9:$D$100*(1-Personnel!$H$9:$H$100))+Staffing!CV81))*Escalation!$B$97,Actuals!CW21)</f>
        <v/>
      </c>
      <c r="CW113" s="392">
        <f>IF(ISBLANK(Actuals!CX21),(-(SUMPRODUCT((Personnel!$O$9:$O$100="GC")*(Personnel!$G$9:$G$100="Yes")*(97&gt;=Personnel!$E$9:$E$100)*((Personnel!$K$9:$K$100="")+(97&lt;=Personnel!$K$9:$K$100)&gt;0)*Personnel!$D$9:$D$100*(1-Personnel!$H$9:$H$100))+Staffing!CW81))*Escalation!$B$98,Actuals!CX21)</f>
        <v/>
      </c>
      <c r="CX113" s="392">
        <f>IF(ISBLANK(Actuals!CY21),(-(SUMPRODUCT((Personnel!$O$9:$O$100="GC")*(Personnel!$G$9:$G$100="Yes")*(98&gt;=Personnel!$E$9:$E$100)*((Personnel!$K$9:$K$100="")+(98&lt;=Personnel!$K$9:$K$100)&gt;0)*Personnel!$D$9:$D$100*(1-Personnel!$H$9:$H$100))+Staffing!CX81))*Escalation!$B$99,Actuals!CY21)</f>
        <v/>
      </c>
      <c r="CY113" s="392">
        <f>IF(ISBLANK(Actuals!CZ21),(-(SUMPRODUCT((Personnel!$O$9:$O$100="GC")*(Personnel!$G$9:$G$100="Yes")*(99&gt;=Personnel!$E$9:$E$100)*((Personnel!$K$9:$K$100="")+(99&lt;=Personnel!$K$9:$K$100)&gt;0)*Personnel!$D$9:$D$100*(1-Personnel!$H$9:$H$100))+Staffing!CY81))*Escalation!$B$100,Actuals!CZ21)</f>
        <v/>
      </c>
      <c r="CZ113" s="392">
        <f>IF(ISBLANK(Actuals!DA21),(-(SUMPRODUCT((Personnel!$O$9:$O$100="GC")*(Personnel!$G$9:$G$100="Yes")*(100&gt;=Personnel!$E$9:$E$100)*((Personnel!$K$9:$K$100="")+(100&lt;=Personnel!$K$9:$K$100)&gt;0)*Personnel!$D$9:$D$100*(1-Personnel!$H$9:$H$100))+Staffing!CZ81))*Escalation!$B$101,Actuals!DA21)</f>
        <v/>
      </c>
      <c r="DA113" s="392">
        <f>IF(ISBLANK(Actuals!DB21),(-(SUMPRODUCT((Personnel!$O$9:$O$100="GC")*(Personnel!$G$9:$G$100="Yes")*(101&gt;=Personnel!$E$9:$E$100)*((Personnel!$K$9:$K$100="")+(101&lt;=Personnel!$K$9:$K$100)&gt;0)*Personnel!$D$9:$D$100*(1-Personnel!$H$9:$H$100))+Staffing!DA81))*Escalation!$B$102,Actuals!DB21)</f>
        <v/>
      </c>
      <c r="DB113" s="392">
        <f>IF(ISBLANK(Actuals!DC21),(-(SUMPRODUCT((Personnel!$O$9:$O$100="GC")*(Personnel!$G$9:$G$100="Yes")*(102&gt;=Personnel!$E$9:$E$100)*((Personnel!$K$9:$K$100="")+(102&lt;=Personnel!$K$9:$K$100)&gt;0)*Personnel!$D$9:$D$100*(1-Personnel!$H$9:$H$100))+Staffing!DB81))*Escalation!$B$103,Actuals!DC21)</f>
        <v/>
      </c>
      <c r="DC113" s="392">
        <f>IF(ISBLANK(Actuals!DD21),(-(SUMPRODUCT((Personnel!$O$9:$O$100="GC")*(Personnel!$G$9:$G$100="Yes")*(103&gt;=Personnel!$E$9:$E$100)*((Personnel!$K$9:$K$100="")+(103&lt;=Personnel!$K$9:$K$100)&gt;0)*Personnel!$D$9:$D$100*(1-Personnel!$H$9:$H$100))+Staffing!DC81))*Escalation!$B$104,Actuals!DD21)</f>
        <v/>
      </c>
      <c r="DD113" s="392">
        <f>IF(ISBLANK(Actuals!DE21),(-(SUMPRODUCT((Personnel!$O$9:$O$100="GC")*(Personnel!$G$9:$G$100="Yes")*(104&gt;=Personnel!$E$9:$E$100)*((Personnel!$K$9:$K$100="")+(104&lt;=Personnel!$K$9:$K$100)&gt;0)*Personnel!$D$9:$D$100*(1-Personnel!$H$9:$H$100))+Staffing!DD81))*Escalation!$B$105,Actuals!DE21)</f>
        <v/>
      </c>
      <c r="DE113" s="392">
        <f>IF(ISBLANK(Actuals!DF21),(-(SUMPRODUCT((Personnel!$O$9:$O$100="GC")*(Personnel!$G$9:$G$100="Yes")*(105&gt;=Personnel!$E$9:$E$100)*((Personnel!$K$9:$K$100="")+(105&lt;=Personnel!$K$9:$K$100)&gt;0)*Personnel!$D$9:$D$100*(1-Personnel!$H$9:$H$100))+Staffing!DE81))*Escalation!$B$106,Actuals!DF21)</f>
        <v/>
      </c>
    </row>
    <row r="114" ht="15" customFormat="1" customHeight="1" s="380">
      <c r="A114" s="397" t="inlineStr">
        <is>
          <t>5000-1001 Payroll Taxes</t>
        </is>
      </c>
      <c r="B114" s="392">
        <f>IF(ISBLANK(Actuals!C22),0,Actuals!C22)</f>
        <v/>
      </c>
      <c r="C114" s="392">
        <f>IF(ISBLANK(Actuals!D22),0,Actuals!D22)</f>
        <v/>
      </c>
      <c r="D114" s="392">
        <f>IF(ISBLANK(Actuals!E22),0,Actuals!E22)</f>
        <v/>
      </c>
      <c r="E114" s="392">
        <f>IF(ISBLANK(Actuals!F22),-Helpers!C4*Assumptions!$B$20,Actuals!F22)</f>
        <v/>
      </c>
      <c r="F114" s="392">
        <f>IF(ISBLANK(Actuals!G22),-Helpers!D4*Assumptions!$B$20,Actuals!G22)</f>
        <v/>
      </c>
      <c r="G114" s="392">
        <f>IF(ISBLANK(Actuals!H22),-Helpers!E4*Assumptions!$B$20,Actuals!H22)</f>
        <v/>
      </c>
      <c r="H114" s="392">
        <f>IF(ISBLANK(Actuals!I22),-Helpers!F4*Assumptions!$B$20,Actuals!I22)</f>
        <v/>
      </c>
      <c r="I114" s="392">
        <f>IF(ISBLANK(Actuals!J22),-Helpers!G4*Assumptions!$B$20,Actuals!J22)</f>
        <v/>
      </c>
      <c r="J114" s="392">
        <f>IF(ISBLANK(Actuals!K22),-Helpers!H4*Assumptions!$B$20,Actuals!K22)</f>
        <v/>
      </c>
      <c r="K114" s="392">
        <f>IF(ISBLANK(Actuals!L22),-Helpers!I4*Assumptions!$B$20,Actuals!L22)</f>
        <v/>
      </c>
      <c r="L114" s="392">
        <f>IF(ISBLANK(Actuals!M22),-Helpers!J4*Assumptions!$B$20,Actuals!M22)</f>
        <v/>
      </c>
      <c r="M114" s="392">
        <f>IF(ISBLANK(Actuals!N22),-Helpers!K4*Assumptions!$B$20,Actuals!N22)</f>
        <v/>
      </c>
      <c r="N114" s="392">
        <f>IF(ISBLANK(Actuals!O22),-Helpers!L4*Assumptions!$B$20,Actuals!O22)</f>
        <v/>
      </c>
      <c r="O114" s="392">
        <f>IF(ISBLANK(Actuals!P22),-Helpers!M4*Assumptions!$B$20,Actuals!P22)</f>
        <v/>
      </c>
      <c r="P114" s="392">
        <f>IF(ISBLANK(Actuals!Q22),-Helpers!N4*Assumptions!$B$20,Actuals!Q22)</f>
        <v/>
      </c>
      <c r="Q114" s="392">
        <f>IF(ISBLANK(Actuals!R22),-Helpers!O4*Assumptions!$B$20,Actuals!R22)</f>
        <v/>
      </c>
      <c r="R114" s="392">
        <f>IF(ISBLANK(Actuals!S22),-Helpers!P4*Assumptions!$B$20,Actuals!S22)</f>
        <v/>
      </c>
      <c r="S114" s="392">
        <f>IF(ISBLANK(Actuals!T22),-Helpers!Q4*Assumptions!$B$20,Actuals!T22)</f>
        <v/>
      </c>
      <c r="T114" s="392">
        <f>IF(ISBLANK(Actuals!U22),-Helpers!R4*Assumptions!$B$20,Actuals!U22)</f>
        <v/>
      </c>
      <c r="U114" s="392">
        <f>IF(ISBLANK(Actuals!V22),-Helpers!S4*Assumptions!$B$20,Actuals!V22)</f>
        <v/>
      </c>
      <c r="V114" s="392">
        <f>IF(ISBLANK(Actuals!W22),-Helpers!T4*Assumptions!$B$20,Actuals!W22)</f>
        <v/>
      </c>
      <c r="W114" s="392">
        <f>IF(ISBLANK(Actuals!X22),-Helpers!U4*Assumptions!$B$20,Actuals!X22)</f>
        <v/>
      </c>
      <c r="X114" s="392">
        <f>IF(ISBLANK(Actuals!Y22),-Helpers!V4*Assumptions!$B$20,Actuals!Y22)</f>
        <v/>
      </c>
      <c r="Y114" s="392">
        <f>IF(ISBLANK(Actuals!Z22),-Helpers!W4*Assumptions!$B$20,Actuals!Z22)</f>
        <v/>
      </c>
      <c r="Z114" s="392">
        <f>IF(ISBLANK(Actuals!AA22),-Helpers!X4*Assumptions!$B$20,Actuals!AA22)</f>
        <v/>
      </c>
      <c r="AA114" s="392">
        <f>IF(ISBLANK(Actuals!AB22),-Helpers!Y4*Assumptions!$B$20,Actuals!AB22)</f>
        <v/>
      </c>
      <c r="AB114" s="392">
        <f>IF(ISBLANK(Actuals!AC22),-Helpers!Z4*Assumptions!$B$20,Actuals!AC22)</f>
        <v/>
      </c>
      <c r="AC114" s="392">
        <f>IF(ISBLANK(Actuals!AD22),-Helpers!AA4*Assumptions!$B$20,Actuals!AD22)</f>
        <v/>
      </c>
      <c r="AD114" s="392">
        <f>IF(ISBLANK(Actuals!AE22),-Helpers!AB4*Assumptions!$B$20,Actuals!AE22)</f>
        <v/>
      </c>
      <c r="AE114" s="392">
        <f>IF(ISBLANK(Actuals!AF22),-Helpers!AC4*Assumptions!$B$20,Actuals!AF22)</f>
        <v/>
      </c>
      <c r="AF114" s="392">
        <f>IF(ISBLANK(Actuals!AG22),-Helpers!AD4*Assumptions!$B$20,Actuals!AG22)</f>
        <v/>
      </c>
      <c r="AG114" s="392">
        <f>IF(ISBLANK(Actuals!AH22),-Helpers!AE4*Assumptions!$B$20,Actuals!AH22)</f>
        <v/>
      </c>
      <c r="AH114" s="392">
        <f>IF(ISBLANK(Actuals!AI22),-Helpers!AF4*Assumptions!$B$20,Actuals!AI22)</f>
        <v/>
      </c>
      <c r="AI114" s="392">
        <f>IF(ISBLANK(Actuals!AJ22),-Helpers!AG4*Assumptions!$B$20,Actuals!AJ22)</f>
        <v/>
      </c>
      <c r="AJ114" s="392">
        <f>IF(ISBLANK(Actuals!AK22),-Helpers!AH4*Assumptions!$B$20,Actuals!AK22)</f>
        <v/>
      </c>
      <c r="AK114" s="392">
        <f>IF(ISBLANK(Actuals!AL22),-Helpers!AI4*Assumptions!$B$20,Actuals!AL22)</f>
        <v/>
      </c>
      <c r="AL114" s="392">
        <f>IF(ISBLANK(Actuals!AM22),-Helpers!AJ4*Assumptions!$B$20,Actuals!AM22)</f>
        <v/>
      </c>
      <c r="AM114" s="392">
        <f>IF(ISBLANK(Actuals!AN22),-Helpers!AK4*Assumptions!$B$20,Actuals!AN22)</f>
        <v/>
      </c>
      <c r="AN114" s="392">
        <f>IF(ISBLANK(Actuals!AO22),-Helpers!AL4*Assumptions!$B$20,Actuals!AO22)</f>
        <v/>
      </c>
      <c r="AO114" s="392">
        <f>IF(ISBLANK(Actuals!AP22),-Helpers!AM4*Assumptions!$B$20,Actuals!AP22)</f>
        <v/>
      </c>
      <c r="AP114" s="392">
        <f>IF(ISBLANK(Actuals!AQ22),-Helpers!AN4*Assumptions!$B$20,Actuals!AQ22)</f>
        <v/>
      </c>
      <c r="AQ114" s="392">
        <f>IF(ISBLANK(Actuals!AR22),-Helpers!AO4*Assumptions!$B$20,Actuals!AR22)</f>
        <v/>
      </c>
      <c r="AR114" s="392">
        <f>IF(ISBLANK(Actuals!AS22),-Helpers!AP4*Assumptions!$B$20,Actuals!AS22)</f>
        <v/>
      </c>
      <c r="AS114" s="392">
        <f>IF(ISBLANK(Actuals!AT22),-Helpers!AQ4*Assumptions!$B$20,Actuals!AT22)</f>
        <v/>
      </c>
      <c r="AT114" s="392">
        <f>IF(ISBLANK(Actuals!AU22),-Helpers!AR4*Assumptions!$B$20,Actuals!AU22)</f>
        <v/>
      </c>
      <c r="AU114" s="392">
        <f>IF(ISBLANK(Actuals!AV22),-Helpers!AS4*Assumptions!$B$20,Actuals!AV22)</f>
        <v/>
      </c>
      <c r="AV114" s="392">
        <f>IF(ISBLANK(Actuals!AW22),-Helpers!AT4*Assumptions!$B$20,Actuals!AW22)</f>
        <v/>
      </c>
      <c r="AW114" s="392">
        <f>IF(ISBLANK(Actuals!AX22),-Helpers!AU4*Assumptions!$B$20,Actuals!AX22)</f>
        <v/>
      </c>
      <c r="AX114" s="392">
        <f>IF(ISBLANK(Actuals!AY22),-Helpers!AV4*Assumptions!$B$20,Actuals!AY22)</f>
        <v/>
      </c>
      <c r="AY114" s="392">
        <f>IF(ISBLANK(Actuals!AZ22),-Helpers!AW4*Assumptions!$B$20,Actuals!AZ22)</f>
        <v/>
      </c>
      <c r="AZ114" s="392">
        <f>IF(ISBLANK(Actuals!BA22),-Helpers!AX4*Assumptions!$B$20,Actuals!BA22)</f>
        <v/>
      </c>
      <c r="BA114" s="392">
        <f>IF(ISBLANK(Actuals!BB22),-Helpers!AY4*Assumptions!$B$20,Actuals!BB22)</f>
        <v/>
      </c>
      <c r="BB114" s="392">
        <f>IF(ISBLANK(Actuals!BC22),-Helpers!AZ4*Assumptions!$B$20,Actuals!BC22)</f>
        <v/>
      </c>
      <c r="BC114" s="392">
        <f>IF(ISBLANK(Actuals!BD22),-Helpers!BA4*Assumptions!$B$20,Actuals!BD22)</f>
        <v/>
      </c>
      <c r="BD114" s="392">
        <f>IF(ISBLANK(Actuals!BE22),-Helpers!BB4*Assumptions!$B$20,Actuals!BE22)</f>
        <v/>
      </c>
      <c r="BE114" s="392">
        <f>IF(ISBLANK(Actuals!BF22),-Helpers!BC4*Assumptions!$B$20,Actuals!BF22)</f>
        <v/>
      </c>
      <c r="BF114" s="392">
        <f>IF(ISBLANK(Actuals!BG22),-Helpers!BD4*Assumptions!$B$20,Actuals!BG22)</f>
        <v/>
      </c>
      <c r="BG114" s="392">
        <f>IF(ISBLANK(Actuals!BH22),-Helpers!BE4*Assumptions!$B$20,Actuals!BH22)</f>
        <v/>
      </c>
      <c r="BH114" s="392">
        <f>IF(ISBLANK(Actuals!BI22),-Helpers!BF4*Assumptions!$B$20,Actuals!BI22)</f>
        <v/>
      </c>
      <c r="BI114" s="392">
        <f>IF(ISBLANK(Actuals!BJ22),-Helpers!BG4*Assumptions!$B$20,Actuals!BJ22)</f>
        <v/>
      </c>
      <c r="BJ114" s="392">
        <f>IF(ISBLANK(Actuals!BK22),-Helpers!BH4*Assumptions!$B$20,Actuals!BK22)</f>
        <v/>
      </c>
      <c r="BK114" s="392">
        <f>IF(ISBLANK(Actuals!BL22),-Helpers!BI4*Assumptions!$B$20,Actuals!BL22)</f>
        <v/>
      </c>
      <c r="BL114" s="392">
        <f>IF(ISBLANK(Actuals!BM22),-Helpers!BJ4*Assumptions!$B$20,Actuals!BM22)</f>
        <v/>
      </c>
      <c r="BM114" s="392">
        <f>IF(ISBLANK(Actuals!BN22),-Helpers!BK4*Assumptions!$B$20,Actuals!BN22)</f>
        <v/>
      </c>
      <c r="BN114" s="392">
        <f>IF(ISBLANK(Actuals!BO22),-Helpers!BL4*Assumptions!$B$20,Actuals!BO22)</f>
        <v/>
      </c>
      <c r="BO114" s="392">
        <f>IF(ISBLANK(Actuals!BP22),-Helpers!BM4*Assumptions!$B$20,Actuals!BP22)</f>
        <v/>
      </c>
      <c r="BP114" s="392">
        <f>IF(ISBLANK(Actuals!BQ22),-Helpers!BN4*Assumptions!$B$20,Actuals!BQ22)</f>
        <v/>
      </c>
      <c r="BQ114" s="392">
        <f>IF(ISBLANK(Actuals!BR22),-Helpers!BO4*Assumptions!$B$20,Actuals!BR22)</f>
        <v/>
      </c>
      <c r="BR114" s="392">
        <f>IF(ISBLANK(Actuals!BS22),-Helpers!BP4*Assumptions!$B$20,Actuals!BS22)</f>
        <v/>
      </c>
      <c r="BS114" s="392">
        <f>IF(ISBLANK(Actuals!BT22),-Helpers!BQ4*Assumptions!$B$20,Actuals!BT22)</f>
        <v/>
      </c>
      <c r="BT114" s="392">
        <f>IF(ISBLANK(Actuals!BU22),-Helpers!BR4*Assumptions!$B$20,Actuals!BU22)</f>
        <v/>
      </c>
      <c r="BU114" s="392">
        <f>IF(ISBLANK(Actuals!BV22),-Helpers!BS4*Assumptions!$B$20,Actuals!BV22)</f>
        <v/>
      </c>
      <c r="BV114" s="392">
        <f>IF(ISBLANK(Actuals!BW22),-Helpers!BT4*Assumptions!$B$20,Actuals!BW22)</f>
        <v/>
      </c>
      <c r="BW114" s="392">
        <f>IF(ISBLANK(Actuals!BX22),-Helpers!BU4*Assumptions!$B$20,Actuals!BX22)</f>
        <v/>
      </c>
      <c r="BX114" s="392">
        <f>IF(ISBLANK(Actuals!BY22),-Helpers!BV4*Assumptions!$B$20,Actuals!BY22)</f>
        <v/>
      </c>
      <c r="BY114" s="392">
        <f>IF(ISBLANK(Actuals!BZ22),-Helpers!BW4*Assumptions!$B$20,Actuals!BZ22)</f>
        <v/>
      </c>
      <c r="BZ114" s="392">
        <f>IF(ISBLANK(Actuals!CA22),-Helpers!BX4*Assumptions!$B$20,Actuals!CA22)</f>
        <v/>
      </c>
      <c r="CA114" s="392">
        <f>IF(ISBLANK(Actuals!CB22),-Helpers!BY4*Assumptions!$B$20,Actuals!CB22)</f>
        <v/>
      </c>
      <c r="CB114" s="392">
        <f>IF(ISBLANK(Actuals!CC22),-Helpers!BZ4*Assumptions!$B$20,Actuals!CC22)</f>
        <v/>
      </c>
      <c r="CC114" s="392">
        <f>IF(ISBLANK(Actuals!CD22),-Helpers!CA4*Assumptions!$B$20,Actuals!CD22)</f>
        <v/>
      </c>
      <c r="CD114" s="392">
        <f>IF(ISBLANK(Actuals!CE22),-Helpers!CB4*Assumptions!$B$20,Actuals!CE22)</f>
        <v/>
      </c>
      <c r="CE114" s="392">
        <f>IF(ISBLANK(Actuals!CF22),-Helpers!CC4*Assumptions!$B$20,Actuals!CF22)</f>
        <v/>
      </c>
      <c r="CF114" s="392">
        <f>IF(ISBLANK(Actuals!CG22),-Helpers!CD4*Assumptions!$B$20,Actuals!CG22)</f>
        <v/>
      </c>
      <c r="CG114" s="392">
        <f>IF(ISBLANK(Actuals!CH22),-Helpers!CE4*Assumptions!$B$20,Actuals!CH22)</f>
        <v/>
      </c>
      <c r="CH114" s="392">
        <f>IF(ISBLANK(Actuals!CI22),-Helpers!CF4*Assumptions!$B$20,Actuals!CI22)</f>
        <v/>
      </c>
      <c r="CI114" s="392">
        <f>IF(ISBLANK(Actuals!CJ22),-Helpers!CG4*Assumptions!$B$20,Actuals!CJ22)</f>
        <v/>
      </c>
      <c r="CJ114" s="392">
        <f>IF(ISBLANK(Actuals!CK22),-Helpers!CH4*Assumptions!$B$20,Actuals!CK22)</f>
        <v/>
      </c>
      <c r="CK114" s="392">
        <f>IF(ISBLANK(Actuals!CL22),-Helpers!CI4*Assumptions!$B$20,Actuals!CL22)</f>
        <v/>
      </c>
      <c r="CL114" s="392">
        <f>IF(ISBLANK(Actuals!CM22),-Helpers!CJ4*Assumptions!$B$20,Actuals!CM22)</f>
        <v/>
      </c>
      <c r="CM114" s="392">
        <f>IF(ISBLANK(Actuals!CN22),-Helpers!CK4*Assumptions!$B$20,Actuals!CN22)</f>
        <v/>
      </c>
      <c r="CN114" s="392">
        <f>IF(ISBLANK(Actuals!CO22),-Helpers!CL4*Assumptions!$B$20,Actuals!CO22)</f>
        <v/>
      </c>
      <c r="CO114" s="392">
        <f>IF(ISBLANK(Actuals!CP22),-Helpers!CM4*Assumptions!$B$20,Actuals!CP22)</f>
        <v/>
      </c>
      <c r="CP114" s="392">
        <f>IF(ISBLANK(Actuals!CQ22),-Helpers!CN4*Assumptions!$B$20,Actuals!CQ22)</f>
        <v/>
      </c>
      <c r="CQ114" s="392">
        <f>IF(ISBLANK(Actuals!CR22),-Helpers!CO4*Assumptions!$B$20,Actuals!CR22)</f>
        <v/>
      </c>
      <c r="CR114" s="392">
        <f>IF(ISBLANK(Actuals!CS22),-Helpers!CP4*Assumptions!$B$20,Actuals!CS22)</f>
        <v/>
      </c>
      <c r="CS114" s="392">
        <f>IF(ISBLANK(Actuals!CT22),-Helpers!CQ4*Assumptions!$B$20,Actuals!CT22)</f>
        <v/>
      </c>
      <c r="CT114" s="392">
        <f>IF(ISBLANK(Actuals!CU22),-Helpers!CR4*Assumptions!$B$20,Actuals!CU22)</f>
        <v/>
      </c>
      <c r="CU114" s="392">
        <f>IF(ISBLANK(Actuals!CV22),-Helpers!CS4*Assumptions!$B$20,Actuals!CV22)</f>
        <v/>
      </c>
      <c r="CV114" s="392">
        <f>IF(ISBLANK(Actuals!CW22),-Helpers!CT4*Assumptions!$B$20,Actuals!CW22)</f>
        <v/>
      </c>
      <c r="CW114" s="392">
        <f>IF(ISBLANK(Actuals!CX22),-Helpers!CU4*Assumptions!$B$20,Actuals!CX22)</f>
        <v/>
      </c>
      <c r="CX114" s="392">
        <f>IF(ISBLANK(Actuals!CY22),-Helpers!CV4*Assumptions!$B$20,Actuals!CY22)</f>
        <v/>
      </c>
      <c r="CY114" s="392">
        <f>IF(ISBLANK(Actuals!CZ22),-Helpers!CW4*Assumptions!$B$20,Actuals!CZ22)</f>
        <v/>
      </c>
      <c r="CZ114" s="392">
        <f>IF(ISBLANK(Actuals!DA22),-Helpers!CX4*Assumptions!$B$20,Actuals!DA22)</f>
        <v/>
      </c>
      <c r="DA114" s="392">
        <f>IF(ISBLANK(Actuals!DB22),-Helpers!CY4*Assumptions!$B$20,Actuals!DB22)</f>
        <v/>
      </c>
      <c r="DB114" s="392">
        <f>IF(ISBLANK(Actuals!DC22),-Helpers!CZ4*Assumptions!$B$20,Actuals!DC22)</f>
        <v/>
      </c>
      <c r="DC114" s="392">
        <f>IF(ISBLANK(Actuals!DD22),-Helpers!DA4*Assumptions!$B$20,Actuals!DD22)</f>
        <v/>
      </c>
      <c r="DD114" s="392">
        <f>IF(ISBLANK(Actuals!DE22),-Helpers!DB4*Assumptions!$B$20,Actuals!DE22)</f>
        <v/>
      </c>
      <c r="DE114" s="392">
        <f>IF(ISBLANK(Actuals!DF22),-Helpers!DC4*Assumptions!$B$20,Actuals!DF22)</f>
        <v/>
      </c>
    </row>
    <row r="115" ht="15" customFormat="1" customHeight="1" s="380">
      <c r="A115" s="397" t="inlineStr">
        <is>
          <t>SP Allocated to LV</t>
        </is>
      </c>
      <c r="B115" s="392">
        <f>IF(ISBLANK(Actuals!C23),0,Actuals!C23)</f>
        <v/>
      </c>
      <c r="C115" s="392">
        <f>IF(ISBLANK(Actuals!D23),0,Actuals!D23)</f>
        <v/>
      </c>
      <c r="D115" s="392">
        <f>IF(ISBLANK(Actuals!E23),0,Actuals!E23)</f>
        <v/>
      </c>
      <c r="E115" s="392">
        <f>IF(ISBLANK(Actuals!F23),-(SUMPRODUCT((Personnel!$F$9:$F$100="SixPeak")*(Personnel!$G$9:$G$100="Yes")*(1&gt;=Personnel!$E$9:$E$100)*((Personnel!$K$9:$K$100="")+(1&lt;=Personnel!$K$9:$K$100)&gt;0)*Personnel!$D$9:$D$100*Personnel!$I$9:$I$100)),Actuals!F23)</f>
        <v/>
      </c>
      <c r="F115" s="392">
        <f>IF(ISBLANK(Actuals!G23),-(SUMPRODUCT((Personnel!$F$9:$F$100="SixPeak")*(Personnel!$G$9:$G$100="Yes")*(2&gt;=Personnel!$E$9:$E$100)*((Personnel!$K$9:$K$100="")+(2&lt;=Personnel!$K$9:$K$100)&gt;0)*Personnel!$D$9:$D$100*Personnel!$I$9:$I$100)),Actuals!G23)</f>
        <v/>
      </c>
      <c r="G115" s="392">
        <f>IF(ISBLANK(Actuals!H23),-(SUMPRODUCT((Personnel!$F$9:$F$100="SixPeak")*(Personnel!$G$9:$G$100="Yes")*(3&gt;=Personnel!$E$9:$E$100)*((Personnel!$K$9:$K$100="")+(3&lt;=Personnel!$K$9:$K$100)&gt;0)*Personnel!$D$9:$D$100*Personnel!$I$9:$I$100)),Actuals!H23)</f>
        <v/>
      </c>
      <c r="H115" s="392">
        <f>IF(ISBLANK(Actuals!I23),-(SUMPRODUCT((Personnel!$F$9:$F$100="SixPeak")*(Personnel!$G$9:$G$100="Yes")*(4&gt;=Personnel!$E$9:$E$100)*((Personnel!$K$9:$K$100="")+(4&lt;=Personnel!$K$9:$K$100)&gt;0)*Personnel!$D$9:$D$100*Personnel!$I$9:$I$100)),Actuals!I23)</f>
        <v/>
      </c>
      <c r="I115" s="392">
        <f>IF(ISBLANK(Actuals!J23),-(SUMPRODUCT((Personnel!$F$9:$F$100="SixPeak")*(Personnel!$G$9:$G$100="Yes")*(5&gt;=Personnel!$E$9:$E$100)*((Personnel!$K$9:$K$100="")+(5&lt;=Personnel!$K$9:$K$100)&gt;0)*Personnel!$D$9:$D$100*Personnel!$I$9:$I$100)),Actuals!J23)</f>
        <v/>
      </c>
      <c r="J115" s="392">
        <f>IF(ISBLANK(Actuals!K23),-(SUMPRODUCT((Personnel!$F$9:$F$100="SixPeak")*(Personnel!$G$9:$G$100="Yes")*(6&gt;=Personnel!$E$9:$E$100)*((Personnel!$K$9:$K$100="")+(6&lt;=Personnel!$K$9:$K$100)&gt;0)*Personnel!$D$9:$D$100*Personnel!$I$9:$I$100)),Actuals!K23)</f>
        <v/>
      </c>
      <c r="K115" s="392">
        <f>IF(ISBLANK(Actuals!L23),-(SUMPRODUCT((Personnel!$F$9:$F$100="SixPeak")*(Personnel!$G$9:$G$100="Yes")*(7&gt;=Personnel!$E$9:$E$100)*((Personnel!$K$9:$K$100="")+(7&lt;=Personnel!$K$9:$K$100)&gt;0)*Personnel!$D$9:$D$100*Personnel!$I$9:$I$100)),Actuals!L23)</f>
        <v/>
      </c>
      <c r="L115" s="392">
        <f>IF(ISBLANK(Actuals!M23),-(SUMPRODUCT((Personnel!$F$9:$F$100="SixPeak")*(Personnel!$G$9:$G$100="Yes")*(8&gt;=Personnel!$E$9:$E$100)*((Personnel!$K$9:$K$100="")+(8&lt;=Personnel!$K$9:$K$100)&gt;0)*Personnel!$D$9:$D$100*Personnel!$I$9:$I$100)),Actuals!M23)</f>
        <v/>
      </c>
      <c r="M115" s="392">
        <f>IF(ISBLANK(Actuals!N23),-(SUMPRODUCT((Personnel!$F$9:$F$100="SixPeak")*(Personnel!$G$9:$G$100="Yes")*(9&gt;=Personnel!$E$9:$E$100)*((Personnel!$K$9:$K$100="")+(9&lt;=Personnel!$K$9:$K$100)&gt;0)*Personnel!$D$9:$D$100*Personnel!$I$9:$I$100)),Actuals!N23)</f>
        <v/>
      </c>
      <c r="N115" s="392">
        <f>IF(ISBLANK(Actuals!O23),-(SUMPRODUCT((Personnel!$F$9:$F$100="SixPeak")*(Personnel!$G$9:$G$100="Yes")*(10&gt;=Personnel!$E$9:$E$100)*((Personnel!$K$9:$K$100="")+(10&lt;=Personnel!$K$9:$K$100)&gt;0)*Personnel!$D$9:$D$100*Personnel!$I$9:$I$100)),Actuals!O23)</f>
        <v/>
      </c>
      <c r="O115" s="392">
        <f>IF(ISBLANK(Actuals!P23),-(SUMPRODUCT((Personnel!$F$9:$F$100="SixPeak")*(Personnel!$G$9:$G$100="Yes")*(11&gt;=Personnel!$E$9:$E$100)*((Personnel!$K$9:$K$100="")+(11&lt;=Personnel!$K$9:$K$100)&gt;0)*Personnel!$D$9:$D$100*Personnel!$I$9:$I$100)),Actuals!P23)</f>
        <v/>
      </c>
      <c r="P115" s="392">
        <f>IF(ISBLANK(Actuals!Q23),-(SUMPRODUCT((Personnel!$F$9:$F$100="SixPeak")*(Personnel!$G$9:$G$100="Yes")*(12&gt;=Personnel!$E$9:$E$100)*((Personnel!$K$9:$K$100="")+(12&lt;=Personnel!$K$9:$K$100)&gt;0)*Personnel!$D$9:$D$100*Personnel!$I$9:$I$100)),Actuals!Q23)</f>
        <v/>
      </c>
      <c r="Q115" s="392">
        <f>IF(ISBLANK(Actuals!R23),-(SUMPRODUCT((Personnel!$F$9:$F$100="SixPeak")*(Personnel!$G$9:$G$100="Yes")*(13&gt;=Personnel!$E$9:$E$100)*((Personnel!$K$9:$K$100="")+(13&lt;=Personnel!$K$9:$K$100)&gt;0)*Personnel!$D$9:$D$100*Personnel!$I$9:$I$100)),Actuals!R23)</f>
        <v/>
      </c>
      <c r="R115" s="392">
        <f>IF(ISBLANK(Actuals!S23),-(SUMPRODUCT((Personnel!$F$9:$F$100="SixPeak")*(Personnel!$G$9:$G$100="Yes")*(14&gt;=Personnel!$E$9:$E$100)*((Personnel!$K$9:$K$100="")+(14&lt;=Personnel!$K$9:$K$100)&gt;0)*Personnel!$D$9:$D$100*Personnel!$I$9:$I$100)),Actuals!S23)</f>
        <v/>
      </c>
      <c r="S115" s="392">
        <f>IF(ISBLANK(Actuals!T23),-(SUMPRODUCT((Personnel!$F$9:$F$100="SixPeak")*(Personnel!$G$9:$G$100="Yes")*(15&gt;=Personnel!$E$9:$E$100)*((Personnel!$K$9:$K$100="")+(15&lt;=Personnel!$K$9:$K$100)&gt;0)*Personnel!$D$9:$D$100*Personnel!$I$9:$I$100)),Actuals!T23)</f>
        <v/>
      </c>
      <c r="T115" s="392">
        <f>IF(ISBLANK(Actuals!U23),-(SUMPRODUCT((Personnel!$F$9:$F$100="SixPeak")*(Personnel!$G$9:$G$100="Yes")*(16&gt;=Personnel!$E$9:$E$100)*((Personnel!$K$9:$K$100="")+(16&lt;=Personnel!$K$9:$K$100)&gt;0)*Personnel!$D$9:$D$100*Personnel!$I$9:$I$100)),Actuals!U23)</f>
        <v/>
      </c>
      <c r="U115" s="392">
        <f>IF(ISBLANK(Actuals!V23),-(SUMPRODUCT((Personnel!$F$9:$F$100="SixPeak")*(Personnel!$G$9:$G$100="Yes")*(17&gt;=Personnel!$E$9:$E$100)*((Personnel!$K$9:$K$100="")+(17&lt;=Personnel!$K$9:$K$100)&gt;0)*Personnel!$D$9:$D$100*Personnel!$I$9:$I$100)),Actuals!V23)</f>
        <v/>
      </c>
      <c r="V115" s="392">
        <f>IF(ISBLANK(Actuals!W23),-(SUMPRODUCT((Personnel!$F$9:$F$100="SixPeak")*(Personnel!$G$9:$G$100="Yes")*(18&gt;=Personnel!$E$9:$E$100)*((Personnel!$K$9:$K$100="")+(18&lt;=Personnel!$K$9:$K$100)&gt;0)*Personnel!$D$9:$D$100*Personnel!$I$9:$I$100)),Actuals!W23)</f>
        <v/>
      </c>
      <c r="W115" s="392">
        <f>IF(ISBLANK(Actuals!X23),-(SUMPRODUCT((Personnel!$F$9:$F$100="SixPeak")*(Personnel!$G$9:$G$100="Yes")*(19&gt;=Personnel!$E$9:$E$100)*((Personnel!$K$9:$K$100="")+(19&lt;=Personnel!$K$9:$K$100)&gt;0)*Personnel!$D$9:$D$100*Personnel!$I$9:$I$100)),Actuals!X23)</f>
        <v/>
      </c>
      <c r="X115" s="392">
        <f>IF(ISBLANK(Actuals!Y23),-(SUMPRODUCT((Personnel!$F$9:$F$100="SixPeak")*(Personnel!$G$9:$G$100="Yes")*(20&gt;=Personnel!$E$9:$E$100)*((Personnel!$K$9:$K$100="")+(20&lt;=Personnel!$K$9:$K$100)&gt;0)*Personnel!$D$9:$D$100*Personnel!$I$9:$I$100)),Actuals!Y23)</f>
        <v/>
      </c>
      <c r="Y115" s="392">
        <f>IF(ISBLANK(Actuals!Z23),-(SUMPRODUCT((Personnel!$F$9:$F$100="SixPeak")*(Personnel!$G$9:$G$100="Yes")*(21&gt;=Personnel!$E$9:$E$100)*((Personnel!$K$9:$K$100="")+(21&lt;=Personnel!$K$9:$K$100)&gt;0)*Personnel!$D$9:$D$100*Personnel!$I$9:$I$100)),Actuals!Z23)</f>
        <v/>
      </c>
      <c r="Z115" s="392">
        <f>IF(ISBLANK(Actuals!AA23),-(SUMPRODUCT((Personnel!$F$9:$F$100="SixPeak")*(Personnel!$G$9:$G$100="Yes")*(22&gt;=Personnel!$E$9:$E$100)*((Personnel!$K$9:$K$100="")+(22&lt;=Personnel!$K$9:$K$100)&gt;0)*Personnel!$D$9:$D$100*Personnel!$I$9:$I$100)),Actuals!AA23)</f>
        <v/>
      </c>
      <c r="AA115" s="392">
        <f>IF(ISBLANK(Actuals!AB23),-(SUMPRODUCT((Personnel!$F$9:$F$100="SixPeak")*(Personnel!$G$9:$G$100="Yes")*(23&gt;=Personnel!$E$9:$E$100)*((Personnel!$K$9:$K$100="")+(23&lt;=Personnel!$K$9:$K$100)&gt;0)*Personnel!$D$9:$D$100*Personnel!$I$9:$I$100)),Actuals!AB23)</f>
        <v/>
      </c>
      <c r="AB115" s="392">
        <f>IF(ISBLANK(Actuals!AC23),-(SUMPRODUCT((Personnel!$F$9:$F$100="SixPeak")*(Personnel!$G$9:$G$100="Yes")*(24&gt;=Personnel!$E$9:$E$100)*((Personnel!$K$9:$K$100="")+(24&lt;=Personnel!$K$9:$K$100)&gt;0)*Personnel!$D$9:$D$100*Personnel!$I$9:$I$100)),Actuals!AC23)</f>
        <v/>
      </c>
      <c r="AC115" s="392">
        <f>IF(ISBLANK(Actuals!AD23),-(SUMPRODUCT((Personnel!$F$9:$F$100="SixPeak")*(Personnel!$G$9:$G$100="Yes")*(25&gt;=Personnel!$E$9:$E$100)*((Personnel!$K$9:$K$100="")+(25&lt;=Personnel!$K$9:$K$100)&gt;0)*Personnel!$D$9:$D$100*Personnel!$I$9:$I$100)),Actuals!AD23)</f>
        <v/>
      </c>
      <c r="AD115" s="392">
        <f>IF(ISBLANK(Actuals!AE23),-(SUMPRODUCT((Personnel!$F$9:$F$100="SixPeak")*(Personnel!$G$9:$G$100="Yes")*(26&gt;=Personnel!$E$9:$E$100)*((Personnel!$K$9:$K$100="")+(26&lt;=Personnel!$K$9:$K$100)&gt;0)*Personnel!$D$9:$D$100*Personnel!$I$9:$I$100)),Actuals!AE23)</f>
        <v/>
      </c>
      <c r="AE115" s="392">
        <f>IF(ISBLANK(Actuals!AF23),-(SUMPRODUCT((Personnel!$F$9:$F$100="SixPeak")*(Personnel!$G$9:$G$100="Yes")*(27&gt;=Personnel!$E$9:$E$100)*((Personnel!$K$9:$K$100="")+(27&lt;=Personnel!$K$9:$K$100)&gt;0)*Personnel!$D$9:$D$100*Personnel!$I$9:$I$100)),Actuals!AF23)</f>
        <v/>
      </c>
      <c r="AF115" s="392">
        <f>IF(ISBLANK(Actuals!AG23),-(SUMPRODUCT((Personnel!$F$9:$F$100="SixPeak")*(Personnel!$G$9:$G$100="Yes")*(28&gt;=Personnel!$E$9:$E$100)*((Personnel!$K$9:$K$100="")+(28&lt;=Personnel!$K$9:$K$100)&gt;0)*Personnel!$D$9:$D$100*Personnel!$I$9:$I$100)),Actuals!AG23)</f>
        <v/>
      </c>
      <c r="AG115" s="392">
        <f>IF(ISBLANK(Actuals!AH23),-(SUMPRODUCT((Personnel!$F$9:$F$100="SixPeak")*(Personnel!$G$9:$G$100="Yes")*(29&gt;=Personnel!$E$9:$E$100)*((Personnel!$K$9:$K$100="")+(29&lt;=Personnel!$K$9:$K$100)&gt;0)*Personnel!$D$9:$D$100*Personnel!$I$9:$I$100)),Actuals!AH23)</f>
        <v/>
      </c>
      <c r="AH115" s="392">
        <f>IF(ISBLANK(Actuals!AI23),-(SUMPRODUCT((Personnel!$F$9:$F$100="SixPeak")*(Personnel!$G$9:$G$100="Yes")*(30&gt;=Personnel!$E$9:$E$100)*((Personnel!$K$9:$K$100="")+(30&lt;=Personnel!$K$9:$K$100)&gt;0)*Personnel!$D$9:$D$100*Personnel!$I$9:$I$100)),Actuals!AI23)</f>
        <v/>
      </c>
      <c r="AI115" s="392">
        <f>IF(ISBLANK(Actuals!AJ23),-(SUMPRODUCT((Personnel!$F$9:$F$100="SixPeak")*(Personnel!$G$9:$G$100="Yes")*(31&gt;=Personnel!$E$9:$E$100)*((Personnel!$K$9:$K$100="")+(31&lt;=Personnel!$K$9:$K$100)&gt;0)*Personnel!$D$9:$D$100*Personnel!$I$9:$I$100)),Actuals!AJ23)</f>
        <v/>
      </c>
      <c r="AJ115" s="392">
        <f>IF(ISBLANK(Actuals!AK23),-(SUMPRODUCT((Personnel!$F$9:$F$100="SixPeak")*(Personnel!$G$9:$G$100="Yes")*(32&gt;=Personnel!$E$9:$E$100)*((Personnel!$K$9:$K$100="")+(32&lt;=Personnel!$K$9:$K$100)&gt;0)*Personnel!$D$9:$D$100*Personnel!$I$9:$I$100)),Actuals!AK23)</f>
        <v/>
      </c>
      <c r="AK115" s="392">
        <f>IF(ISBLANK(Actuals!AL23),-(SUMPRODUCT((Personnel!$F$9:$F$100="SixPeak")*(Personnel!$G$9:$G$100="Yes")*(33&gt;=Personnel!$E$9:$E$100)*((Personnel!$K$9:$K$100="")+(33&lt;=Personnel!$K$9:$K$100)&gt;0)*Personnel!$D$9:$D$100*Personnel!$I$9:$I$100)),Actuals!AL23)</f>
        <v/>
      </c>
      <c r="AL115" s="392">
        <f>IF(ISBLANK(Actuals!AM23),-(SUMPRODUCT((Personnel!$F$9:$F$100="SixPeak")*(Personnel!$G$9:$G$100="Yes")*(34&gt;=Personnel!$E$9:$E$100)*((Personnel!$K$9:$K$100="")+(34&lt;=Personnel!$K$9:$K$100)&gt;0)*Personnel!$D$9:$D$100*Personnel!$I$9:$I$100)),Actuals!AM23)</f>
        <v/>
      </c>
      <c r="AM115" s="392">
        <f>IF(ISBLANK(Actuals!AN23),-(SUMPRODUCT((Personnel!$F$9:$F$100="SixPeak")*(Personnel!$G$9:$G$100="Yes")*(35&gt;=Personnel!$E$9:$E$100)*((Personnel!$K$9:$K$100="")+(35&lt;=Personnel!$K$9:$K$100)&gt;0)*Personnel!$D$9:$D$100*Personnel!$I$9:$I$100)),Actuals!AN23)</f>
        <v/>
      </c>
      <c r="AN115" s="392">
        <f>IF(ISBLANK(Actuals!AO23),-(SUMPRODUCT((Personnel!$F$9:$F$100="SixPeak")*(Personnel!$G$9:$G$100="Yes")*(36&gt;=Personnel!$E$9:$E$100)*((Personnel!$K$9:$K$100="")+(36&lt;=Personnel!$K$9:$K$100)&gt;0)*Personnel!$D$9:$D$100*Personnel!$I$9:$I$100)),Actuals!AO23)</f>
        <v/>
      </c>
      <c r="AO115" s="392">
        <f>IF(ISBLANK(Actuals!AP23),-(SUMPRODUCT((Personnel!$F$9:$F$100="SixPeak")*(Personnel!$G$9:$G$100="Yes")*(37&gt;=Personnel!$E$9:$E$100)*((Personnel!$K$9:$K$100="")+(37&lt;=Personnel!$K$9:$K$100)&gt;0)*Personnel!$D$9:$D$100*Personnel!$I$9:$I$100)),Actuals!AP23)</f>
        <v/>
      </c>
      <c r="AP115" s="392">
        <f>IF(ISBLANK(Actuals!AQ23),-(SUMPRODUCT((Personnel!$F$9:$F$100="SixPeak")*(Personnel!$G$9:$G$100="Yes")*(38&gt;=Personnel!$E$9:$E$100)*((Personnel!$K$9:$K$100="")+(38&lt;=Personnel!$K$9:$K$100)&gt;0)*Personnel!$D$9:$D$100*Personnel!$I$9:$I$100)),Actuals!AQ23)</f>
        <v/>
      </c>
      <c r="AQ115" s="392">
        <f>IF(ISBLANK(Actuals!AR23),-(SUMPRODUCT((Personnel!$F$9:$F$100="SixPeak")*(Personnel!$G$9:$G$100="Yes")*(39&gt;=Personnel!$E$9:$E$100)*((Personnel!$K$9:$K$100="")+(39&lt;=Personnel!$K$9:$K$100)&gt;0)*Personnel!$D$9:$D$100*Personnel!$I$9:$I$100)),Actuals!AR23)</f>
        <v/>
      </c>
      <c r="AR115" s="392">
        <f>IF(ISBLANK(Actuals!AS23),-(SUMPRODUCT((Personnel!$F$9:$F$100="SixPeak")*(Personnel!$G$9:$G$100="Yes")*(40&gt;=Personnel!$E$9:$E$100)*((Personnel!$K$9:$K$100="")+(40&lt;=Personnel!$K$9:$K$100)&gt;0)*Personnel!$D$9:$D$100*Personnel!$I$9:$I$100)),Actuals!AS23)</f>
        <v/>
      </c>
      <c r="AS115" s="392">
        <f>IF(ISBLANK(Actuals!AT23),-(SUMPRODUCT((Personnel!$F$9:$F$100="SixPeak")*(Personnel!$G$9:$G$100="Yes")*(41&gt;=Personnel!$E$9:$E$100)*((Personnel!$K$9:$K$100="")+(41&lt;=Personnel!$K$9:$K$100)&gt;0)*Personnel!$D$9:$D$100*Personnel!$I$9:$I$100)),Actuals!AT23)</f>
        <v/>
      </c>
      <c r="AT115" s="392">
        <f>IF(ISBLANK(Actuals!AU23),-(SUMPRODUCT((Personnel!$F$9:$F$100="SixPeak")*(Personnel!$G$9:$G$100="Yes")*(42&gt;=Personnel!$E$9:$E$100)*((Personnel!$K$9:$K$100="")+(42&lt;=Personnel!$K$9:$K$100)&gt;0)*Personnel!$D$9:$D$100*Personnel!$I$9:$I$100)),Actuals!AU23)</f>
        <v/>
      </c>
      <c r="AU115" s="392">
        <f>IF(ISBLANK(Actuals!AV23),-(SUMPRODUCT((Personnel!$F$9:$F$100="SixPeak")*(Personnel!$G$9:$G$100="Yes")*(43&gt;=Personnel!$E$9:$E$100)*((Personnel!$K$9:$K$100="")+(43&lt;=Personnel!$K$9:$K$100)&gt;0)*Personnel!$D$9:$D$100*Personnel!$I$9:$I$100)),Actuals!AV23)</f>
        <v/>
      </c>
      <c r="AV115" s="392">
        <f>IF(ISBLANK(Actuals!AW23),-(SUMPRODUCT((Personnel!$F$9:$F$100="SixPeak")*(Personnel!$G$9:$G$100="Yes")*(44&gt;=Personnel!$E$9:$E$100)*((Personnel!$K$9:$K$100="")+(44&lt;=Personnel!$K$9:$K$100)&gt;0)*Personnel!$D$9:$D$100*Personnel!$I$9:$I$100)),Actuals!AW23)</f>
        <v/>
      </c>
      <c r="AW115" s="392">
        <f>IF(ISBLANK(Actuals!AX23),-(SUMPRODUCT((Personnel!$F$9:$F$100="SixPeak")*(Personnel!$G$9:$G$100="Yes")*(45&gt;=Personnel!$E$9:$E$100)*((Personnel!$K$9:$K$100="")+(45&lt;=Personnel!$K$9:$K$100)&gt;0)*Personnel!$D$9:$D$100*Personnel!$I$9:$I$100)),Actuals!AX23)</f>
        <v/>
      </c>
      <c r="AX115" s="392">
        <f>IF(ISBLANK(Actuals!AY23),-(SUMPRODUCT((Personnel!$F$9:$F$100="SixPeak")*(Personnel!$G$9:$G$100="Yes")*(46&gt;=Personnel!$E$9:$E$100)*((Personnel!$K$9:$K$100="")+(46&lt;=Personnel!$K$9:$K$100)&gt;0)*Personnel!$D$9:$D$100*Personnel!$I$9:$I$100)),Actuals!AY23)</f>
        <v/>
      </c>
      <c r="AY115" s="392">
        <f>IF(ISBLANK(Actuals!AZ23),-(SUMPRODUCT((Personnel!$F$9:$F$100="SixPeak")*(Personnel!$G$9:$G$100="Yes")*(47&gt;=Personnel!$E$9:$E$100)*((Personnel!$K$9:$K$100="")+(47&lt;=Personnel!$K$9:$K$100)&gt;0)*Personnel!$D$9:$D$100*Personnel!$I$9:$I$100)),Actuals!AZ23)</f>
        <v/>
      </c>
      <c r="AZ115" s="392">
        <f>IF(ISBLANK(Actuals!BA23),-(SUMPRODUCT((Personnel!$F$9:$F$100="SixPeak")*(Personnel!$G$9:$G$100="Yes")*(48&gt;=Personnel!$E$9:$E$100)*((Personnel!$K$9:$K$100="")+(48&lt;=Personnel!$K$9:$K$100)&gt;0)*Personnel!$D$9:$D$100*Personnel!$I$9:$I$100)),Actuals!BA23)</f>
        <v/>
      </c>
      <c r="BA115" s="392">
        <f>IF(ISBLANK(Actuals!BB23),-(SUMPRODUCT((Personnel!$F$9:$F$100="SixPeak")*(Personnel!$G$9:$G$100="Yes")*(49&gt;=Personnel!$E$9:$E$100)*((Personnel!$K$9:$K$100="")+(49&lt;=Personnel!$K$9:$K$100)&gt;0)*Personnel!$D$9:$D$100*Personnel!$I$9:$I$100)),Actuals!BB23)</f>
        <v/>
      </c>
      <c r="BB115" s="392">
        <f>IF(ISBLANK(Actuals!BC23),-(SUMPRODUCT((Personnel!$F$9:$F$100="SixPeak")*(Personnel!$G$9:$G$100="Yes")*(50&gt;=Personnel!$E$9:$E$100)*((Personnel!$K$9:$K$100="")+(50&lt;=Personnel!$K$9:$K$100)&gt;0)*Personnel!$D$9:$D$100*Personnel!$I$9:$I$100)),Actuals!BC23)</f>
        <v/>
      </c>
      <c r="BC115" s="392">
        <f>IF(ISBLANK(Actuals!BD23),-(SUMPRODUCT((Personnel!$F$9:$F$100="SixPeak")*(Personnel!$G$9:$G$100="Yes")*(51&gt;=Personnel!$E$9:$E$100)*((Personnel!$K$9:$K$100="")+(51&lt;=Personnel!$K$9:$K$100)&gt;0)*Personnel!$D$9:$D$100*Personnel!$I$9:$I$100)),Actuals!BD23)</f>
        <v/>
      </c>
      <c r="BD115" s="392">
        <f>IF(ISBLANK(Actuals!BE23),-(SUMPRODUCT((Personnel!$F$9:$F$100="SixPeak")*(Personnel!$G$9:$G$100="Yes")*(52&gt;=Personnel!$E$9:$E$100)*((Personnel!$K$9:$K$100="")+(52&lt;=Personnel!$K$9:$K$100)&gt;0)*Personnel!$D$9:$D$100*Personnel!$I$9:$I$100)),Actuals!BE23)</f>
        <v/>
      </c>
      <c r="BE115" s="392">
        <f>IF(ISBLANK(Actuals!BF23),-(SUMPRODUCT((Personnel!$F$9:$F$100="SixPeak")*(Personnel!$G$9:$G$100="Yes")*(53&gt;=Personnel!$E$9:$E$100)*((Personnel!$K$9:$K$100="")+(53&lt;=Personnel!$K$9:$K$100)&gt;0)*Personnel!$D$9:$D$100*Personnel!$I$9:$I$100)),Actuals!BF23)</f>
        <v/>
      </c>
      <c r="BF115" s="392">
        <f>IF(ISBLANK(Actuals!BG23),-(SUMPRODUCT((Personnel!$F$9:$F$100="SixPeak")*(Personnel!$G$9:$G$100="Yes")*(54&gt;=Personnel!$E$9:$E$100)*((Personnel!$K$9:$K$100="")+(54&lt;=Personnel!$K$9:$K$100)&gt;0)*Personnel!$D$9:$D$100*Personnel!$I$9:$I$100)),Actuals!BG23)</f>
        <v/>
      </c>
      <c r="BG115" s="392">
        <f>IF(ISBLANK(Actuals!BH23),-(SUMPRODUCT((Personnel!$F$9:$F$100="SixPeak")*(Personnel!$G$9:$G$100="Yes")*(55&gt;=Personnel!$E$9:$E$100)*((Personnel!$K$9:$K$100="")+(55&lt;=Personnel!$K$9:$K$100)&gt;0)*Personnel!$D$9:$D$100*Personnel!$I$9:$I$100)),Actuals!BH23)</f>
        <v/>
      </c>
      <c r="BH115" s="392">
        <f>IF(ISBLANK(Actuals!BI23),-(SUMPRODUCT((Personnel!$F$9:$F$100="SixPeak")*(Personnel!$G$9:$G$100="Yes")*(56&gt;=Personnel!$E$9:$E$100)*((Personnel!$K$9:$K$100="")+(56&lt;=Personnel!$K$9:$K$100)&gt;0)*Personnel!$D$9:$D$100*Personnel!$I$9:$I$100)),Actuals!BI23)</f>
        <v/>
      </c>
      <c r="BI115" s="392">
        <f>IF(ISBLANK(Actuals!BJ23),-(SUMPRODUCT((Personnel!$F$9:$F$100="SixPeak")*(Personnel!$G$9:$G$100="Yes")*(57&gt;=Personnel!$E$9:$E$100)*((Personnel!$K$9:$K$100="")+(57&lt;=Personnel!$K$9:$K$100)&gt;0)*Personnel!$D$9:$D$100*Personnel!$I$9:$I$100)),Actuals!BJ23)</f>
        <v/>
      </c>
      <c r="BJ115" s="392">
        <f>IF(ISBLANK(Actuals!BK23),-(SUMPRODUCT((Personnel!$F$9:$F$100="SixPeak")*(Personnel!$G$9:$G$100="Yes")*(58&gt;=Personnel!$E$9:$E$100)*((Personnel!$K$9:$K$100="")+(58&lt;=Personnel!$K$9:$K$100)&gt;0)*Personnel!$D$9:$D$100*Personnel!$I$9:$I$100)),Actuals!BK23)</f>
        <v/>
      </c>
      <c r="BK115" s="392">
        <f>IF(ISBLANK(Actuals!BL23),-(SUMPRODUCT((Personnel!$F$9:$F$100="SixPeak")*(Personnel!$G$9:$G$100="Yes")*(59&gt;=Personnel!$E$9:$E$100)*((Personnel!$K$9:$K$100="")+(59&lt;=Personnel!$K$9:$K$100)&gt;0)*Personnel!$D$9:$D$100*Personnel!$I$9:$I$100)),Actuals!BL23)</f>
        <v/>
      </c>
      <c r="BL115" s="392">
        <f>IF(ISBLANK(Actuals!BM23),-(SUMPRODUCT((Personnel!$F$9:$F$100="SixPeak")*(Personnel!$G$9:$G$100="Yes")*(60&gt;=Personnel!$E$9:$E$100)*((Personnel!$K$9:$K$100="")+(60&lt;=Personnel!$K$9:$K$100)&gt;0)*Personnel!$D$9:$D$100*Personnel!$I$9:$I$100)),Actuals!BM23)</f>
        <v/>
      </c>
      <c r="BM115" s="392">
        <f>IF(ISBLANK(Actuals!BN23),-(SUMPRODUCT((Personnel!$F$9:$F$100="SixPeak")*(Personnel!$G$9:$G$100="Yes")*(61&gt;=Personnel!$E$9:$E$100)*((Personnel!$K$9:$K$100="")+(61&lt;=Personnel!$K$9:$K$100)&gt;0)*Personnel!$D$9:$D$100*Personnel!$I$9:$I$100)),Actuals!BN23)</f>
        <v/>
      </c>
      <c r="BN115" s="392">
        <f>IF(ISBLANK(Actuals!BO23),-(SUMPRODUCT((Personnel!$F$9:$F$100="SixPeak")*(Personnel!$G$9:$G$100="Yes")*(62&gt;=Personnel!$E$9:$E$100)*((Personnel!$K$9:$K$100="")+(62&lt;=Personnel!$K$9:$K$100)&gt;0)*Personnel!$D$9:$D$100*Personnel!$I$9:$I$100)),Actuals!BO23)</f>
        <v/>
      </c>
      <c r="BO115" s="392">
        <f>IF(ISBLANK(Actuals!BP23),-(SUMPRODUCT((Personnel!$F$9:$F$100="SixPeak")*(Personnel!$G$9:$G$100="Yes")*(63&gt;=Personnel!$E$9:$E$100)*((Personnel!$K$9:$K$100="")+(63&lt;=Personnel!$K$9:$K$100)&gt;0)*Personnel!$D$9:$D$100*Personnel!$I$9:$I$100)),Actuals!BP23)</f>
        <v/>
      </c>
      <c r="BP115" s="392">
        <f>IF(ISBLANK(Actuals!BQ23),-(SUMPRODUCT((Personnel!$F$9:$F$100="SixPeak")*(Personnel!$G$9:$G$100="Yes")*(64&gt;=Personnel!$E$9:$E$100)*((Personnel!$K$9:$K$100="")+(64&lt;=Personnel!$K$9:$K$100)&gt;0)*Personnel!$D$9:$D$100*Personnel!$I$9:$I$100)),Actuals!BQ23)</f>
        <v/>
      </c>
      <c r="BQ115" s="392">
        <f>IF(ISBLANK(Actuals!BR23),-(SUMPRODUCT((Personnel!$F$9:$F$100="SixPeak")*(Personnel!$G$9:$G$100="Yes")*(65&gt;=Personnel!$E$9:$E$100)*((Personnel!$K$9:$K$100="")+(65&lt;=Personnel!$K$9:$K$100)&gt;0)*Personnel!$D$9:$D$100*Personnel!$I$9:$I$100)),Actuals!BR23)</f>
        <v/>
      </c>
      <c r="BR115" s="392">
        <f>IF(ISBLANK(Actuals!BS23),-(SUMPRODUCT((Personnel!$F$9:$F$100="SixPeak")*(Personnel!$G$9:$G$100="Yes")*(66&gt;=Personnel!$E$9:$E$100)*((Personnel!$K$9:$K$100="")+(66&lt;=Personnel!$K$9:$K$100)&gt;0)*Personnel!$D$9:$D$100*Personnel!$I$9:$I$100)),Actuals!BS23)</f>
        <v/>
      </c>
      <c r="BS115" s="392">
        <f>IF(ISBLANK(Actuals!BT23),-(SUMPRODUCT((Personnel!$F$9:$F$100="SixPeak")*(Personnel!$G$9:$G$100="Yes")*(67&gt;=Personnel!$E$9:$E$100)*((Personnel!$K$9:$K$100="")+(67&lt;=Personnel!$K$9:$K$100)&gt;0)*Personnel!$D$9:$D$100*Personnel!$I$9:$I$100)),Actuals!BT23)</f>
        <v/>
      </c>
      <c r="BT115" s="392">
        <f>IF(ISBLANK(Actuals!BU23),-(SUMPRODUCT((Personnel!$F$9:$F$100="SixPeak")*(Personnel!$G$9:$G$100="Yes")*(68&gt;=Personnel!$E$9:$E$100)*((Personnel!$K$9:$K$100="")+(68&lt;=Personnel!$K$9:$K$100)&gt;0)*Personnel!$D$9:$D$100*Personnel!$I$9:$I$100)),Actuals!BU23)</f>
        <v/>
      </c>
      <c r="BU115" s="392">
        <f>IF(ISBLANK(Actuals!BV23),-(SUMPRODUCT((Personnel!$F$9:$F$100="SixPeak")*(Personnel!$G$9:$G$100="Yes")*(69&gt;=Personnel!$E$9:$E$100)*((Personnel!$K$9:$K$100="")+(69&lt;=Personnel!$K$9:$K$100)&gt;0)*Personnel!$D$9:$D$100*Personnel!$I$9:$I$100)),Actuals!BV23)</f>
        <v/>
      </c>
      <c r="BV115" s="392">
        <f>IF(ISBLANK(Actuals!BW23),-(SUMPRODUCT((Personnel!$F$9:$F$100="SixPeak")*(Personnel!$G$9:$G$100="Yes")*(70&gt;=Personnel!$E$9:$E$100)*((Personnel!$K$9:$K$100="")+(70&lt;=Personnel!$K$9:$K$100)&gt;0)*Personnel!$D$9:$D$100*Personnel!$I$9:$I$100)),Actuals!BW23)</f>
        <v/>
      </c>
      <c r="BW115" s="392">
        <f>IF(ISBLANK(Actuals!BX23),-(SUMPRODUCT((Personnel!$F$9:$F$100="SixPeak")*(Personnel!$G$9:$G$100="Yes")*(71&gt;=Personnel!$E$9:$E$100)*((Personnel!$K$9:$K$100="")+(71&lt;=Personnel!$K$9:$K$100)&gt;0)*Personnel!$D$9:$D$100*Personnel!$I$9:$I$100)),Actuals!BX23)</f>
        <v/>
      </c>
      <c r="BX115" s="392">
        <f>IF(ISBLANK(Actuals!BY23),-(SUMPRODUCT((Personnel!$F$9:$F$100="SixPeak")*(Personnel!$G$9:$G$100="Yes")*(72&gt;=Personnel!$E$9:$E$100)*((Personnel!$K$9:$K$100="")+(72&lt;=Personnel!$K$9:$K$100)&gt;0)*Personnel!$D$9:$D$100*Personnel!$I$9:$I$100)),Actuals!BY23)</f>
        <v/>
      </c>
      <c r="BY115" s="392">
        <f>IF(ISBLANK(Actuals!BZ23),-(SUMPRODUCT((Personnel!$F$9:$F$100="SixPeak")*(Personnel!$G$9:$G$100="Yes")*(73&gt;=Personnel!$E$9:$E$100)*((Personnel!$K$9:$K$100="")+(73&lt;=Personnel!$K$9:$K$100)&gt;0)*Personnel!$D$9:$D$100*Personnel!$I$9:$I$100)),Actuals!BZ23)</f>
        <v/>
      </c>
      <c r="BZ115" s="392">
        <f>IF(ISBLANK(Actuals!CA23),-(SUMPRODUCT((Personnel!$F$9:$F$100="SixPeak")*(Personnel!$G$9:$G$100="Yes")*(74&gt;=Personnel!$E$9:$E$100)*((Personnel!$K$9:$K$100="")+(74&lt;=Personnel!$K$9:$K$100)&gt;0)*Personnel!$D$9:$D$100*Personnel!$I$9:$I$100)),Actuals!CA23)</f>
        <v/>
      </c>
      <c r="CA115" s="392">
        <f>IF(ISBLANK(Actuals!CB23),-(SUMPRODUCT((Personnel!$F$9:$F$100="SixPeak")*(Personnel!$G$9:$G$100="Yes")*(75&gt;=Personnel!$E$9:$E$100)*((Personnel!$K$9:$K$100="")+(75&lt;=Personnel!$K$9:$K$100)&gt;0)*Personnel!$D$9:$D$100*Personnel!$I$9:$I$100)),Actuals!CB23)</f>
        <v/>
      </c>
      <c r="CB115" s="392">
        <f>IF(ISBLANK(Actuals!CC23),-(SUMPRODUCT((Personnel!$F$9:$F$100="SixPeak")*(Personnel!$G$9:$G$100="Yes")*(76&gt;=Personnel!$E$9:$E$100)*((Personnel!$K$9:$K$100="")+(76&lt;=Personnel!$K$9:$K$100)&gt;0)*Personnel!$D$9:$D$100*Personnel!$I$9:$I$100)),Actuals!CC23)</f>
        <v/>
      </c>
      <c r="CC115" s="392">
        <f>IF(ISBLANK(Actuals!CD23),-(SUMPRODUCT((Personnel!$F$9:$F$100="SixPeak")*(Personnel!$G$9:$G$100="Yes")*(77&gt;=Personnel!$E$9:$E$100)*((Personnel!$K$9:$K$100="")+(77&lt;=Personnel!$K$9:$K$100)&gt;0)*Personnel!$D$9:$D$100*Personnel!$I$9:$I$100)),Actuals!CD23)</f>
        <v/>
      </c>
      <c r="CD115" s="392">
        <f>IF(ISBLANK(Actuals!CE23),-(SUMPRODUCT((Personnel!$F$9:$F$100="SixPeak")*(Personnel!$G$9:$G$100="Yes")*(78&gt;=Personnel!$E$9:$E$100)*((Personnel!$K$9:$K$100="")+(78&lt;=Personnel!$K$9:$K$100)&gt;0)*Personnel!$D$9:$D$100*Personnel!$I$9:$I$100)),Actuals!CE23)</f>
        <v/>
      </c>
      <c r="CE115" s="392">
        <f>IF(ISBLANK(Actuals!CF23),-(SUMPRODUCT((Personnel!$F$9:$F$100="SixPeak")*(Personnel!$G$9:$G$100="Yes")*(79&gt;=Personnel!$E$9:$E$100)*((Personnel!$K$9:$K$100="")+(79&lt;=Personnel!$K$9:$K$100)&gt;0)*Personnel!$D$9:$D$100*Personnel!$I$9:$I$100)),Actuals!CF23)</f>
        <v/>
      </c>
      <c r="CF115" s="392">
        <f>IF(ISBLANK(Actuals!CG23),-(SUMPRODUCT((Personnel!$F$9:$F$100="SixPeak")*(Personnel!$G$9:$G$100="Yes")*(80&gt;=Personnel!$E$9:$E$100)*((Personnel!$K$9:$K$100="")+(80&lt;=Personnel!$K$9:$K$100)&gt;0)*Personnel!$D$9:$D$100*Personnel!$I$9:$I$100)),Actuals!CG23)</f>
        <v/>
      </c>
      <c r="CG115" s="392">
        <f>IF(ISBLANK(Actuals!CH23),-(SUMPRODUCT((Personnel!$F$9:$F$100="SixPeak")*(Personnel!$G$9:$G$100="Yes")*(81&gt;=Personnel!$E$9:$E$100)*((Personnel!$K$9:$K$100="")+(81&lt;=Personnel!$K$9:$K$100)&gt;0)*Personnel!$D$9:$D$100*Personnel!$I$9:$I$100)),Actuals!CH23)</f>
        <v/>
      </c>
      <c r="CH115" s="392">
        <f>IF(ISBLANK(Actuals!CI23),-(SUMPRODUCT((Personnel!$F$9:$F$100="SixPeak")*(Personnel!$G$9:$G$100="Yes")*(82&gt;=Personnel!$E$9:$E$100)*((Personnel!$K$9:$K$100="")+(82&lt;=Personnel!$K$9:$K$100)&gt;0)*Personnel!$D$9:$D$100*Personnel!$I$9:$I$100)),Actuals!CI23)</f>
        <v/>
      </c>
      <c r="CI115" s="392">
        <f>IF(ISBLANK(Actuals!CJ23),-(SUMPRODUCT((Personnel!$F$9:$F$100="SixPeak")*(Personnel!$G$9:$G$100="Yes")*(83&gt;=Personnel!$E$9:$E$100)*((Personnel!$K$9:$K$100="")+(83&lt;=Personnel!$K$9:$K$100)&gt;0)*Personnel!$D$9:$D$100*Personnel!$I$9:$I$100)),Actuals!CJ23)</f>
        <v/>
      </c>
      <c r="CJ115" s="392">
        <f>IF(ISBLANK(Actuals!CK23),-(SUMPRODUCT((Personnel!$F$9:$F$100="SixPeak")*(Personnel!$G$9:$G$100="Yes")*(84&gt;=Personnel!$E$9:$E$100)*((Personnel!$K$9:$K$100="")+(84&lt;=Personnel!$K$9:$K$100)&gt;0)*Personnel!$D$9:$D$100*Personnel!$I$9:$I$100)),Actuals!CK23)</f>
        <v/>
      </c>
      <c r="CK115" s="392">
        <f>IF(ISBLANK(Actuals!CL23),-(SUMPRODUCT((Personnel!$F$9:$F$100="SixPeak")*(Personnel!$G$9:$G$100="Yes")*(85&gt;=Personnel!$E$9:$E$100)*((Personnel!$K$9:$K$100="")+(85&lt;=Personnel!$K$9:$K$100)&gt;0)*Personnel!$D$9:$D$100*Personnel!$I$9:$I$100)),Actuals!CL23)</f>
        <v/>
      </c>
      <c r="CL115" s="392">
        <f>IF(ISBLANK(Actuals!CM23),-(SUMPRODUCT((Personnel!$F$9:$F$100="SixPeak")*(Personnel!$G$9:$G$100="Yes")*(86&gt;=Personnel!$E$9:$E$100)*((Personnel!$K$9:$K$100="")+(86&lt;=Personnel!$K$9:$K$100)&gt;0)*Personnel!$D$9:$D$100*Personnel!$I$9:$I$100)),Actuals!CM23)</f>
        <v/>
      </c>
      <c r="CM115" s="392">
        <f>IF(ISBLANK(Actuals!CN23),-(SUMPRODUCT((Personnel!$F$9:$F$100="SixPeak")*(Personnel!$G$9:$G$100="Yes")*(87&gt;=Personnel!$E$9:$E$100)*((Personnel!$K$9:$K$100="")+(87&lt;=Personnel!$K$9:$K$100)&gt;0)*Personnel!$D$9:$D$100*Personnel!$I$9:$I$100)),Actuals!CN23)</f>
        <v/>
      </c>
      <c r="CN115" s="392">
        <f>IF(ISBLANK(Actuals!CO23),-(SUMPRODUCT((Personnel!$F$9:$F$100="SixPeak")*(Personnel!$G$9:$G$100="Yes")*(88&gt;=Personnel!$E$9:$E$100)*((Personnel!$K$9:$K$100="")+(88&lt;=Personnel!$K$9:$K$100)&gt;0)*Personnel!$D$9:$D$100*Personnel!$I$9:$I$100)),Actuals!CO23)</f>
        <v/>
      </c>
      <c r="CO115" s="392">
        <f>IF(ISBLANK(Actuals!CP23),-(SUMPRODUCT((Personnel!$F$9:$F$100="SixPeak")*(Personnel!$G$9:$G$100="Yes")*(89&gt;=Personnel!$E$9:$E$100)*((Personnel!$K$9:$K$100="")+(89&lt;=Personnel!$K$9:$K$100)&gt;0)*Personnel!$D$9:$D$100*Personnel!$I$9:$I$100)),Actuals!CP23)</f>
        <v/>
      </c>
      <c r="CP115" s="392">
        <f>IF(ISBLANK(Actuals!CQ23),-(SUMPRODUCT((Personnel!$F$9:$F$100="SixPeak")*(Personnel!$G$9:$G$100="Yes")*(90&gt;=Personnel!$E$9:$E$100)*((Personnel!$K$9:$K$100="")+(90&lt;=Personnel!$K$9:$K$100)&gt;0)*Personnel!$D$9:$D$100*Personnel!$I$9:$I$100)),Actuals!CQ23)</f>
        <v/>
      </c>
      <c r="CQ115" s="392">
        <f>IF(ISBLANK(Actuals!CR23),-(SUMPRODUCT((Personnel!$F$9:$F$100="SixPeak")*(Personnel!$G$9:$G$100="Yes")*(91&gt;=Personnel!$E$9:$E$100)*((Personnel!$K$9:$K$100="")+(91&lt;=Personnel!$K$9:$K$100)&gt;0)*Personnel!$D$9:$D$100*Personnel!$I$9:$I$100)),Actuals!CR23)</f>
        <v/>
      </c>
      <c r="CR115" s="392">
        <f>IF(ISBLANK(Actuals!CS23),-(SUMPRODUCT((Personnel!$F$9:$F$100="SixPeak")*(Personnel!$G$9:$G$100="Yes")*(92&gt;=Personnel!$E$9:$E$100)*((Personnel!$K$9:$K$100="")+(92&lt;=Personnel!$K$9:$K$100)&gt;0)*Personnel!$D$9:$D$100*Personnel!$I$9:$I$100)),Actuals!CS23)</f>
        <v/>
      </c>
      <c r="CS115" s="392">
        <f>IF(ISBLANK(Actuals!CT23),-(SUMPRODUCT((Personnel!$F$9:$F$100="SixPeak")*(Personnel!$G$9:$G$100="Yes")*(93&gt;=Personnel!$E$9:$E$100)*((Personnel!$K$9:$K$100="")+(93&lt;=Personnel!$K$9:$K$100)&gt;0)*Personnel!$D$9:$D$100*Personnel!$I$9:$I$100)),Actuals!CT23)</f>
        <v/>
      </c>
      <c r="CT115" s="392">
        <f>IF(ISBLANK(Actuals!CU23),-(SUMPRODUCT((Personnel!$F$9:$F$100="SixPeak")*(Personnel!$G$9:$G$100="Yes")*(94&gt;=Personnel!$E$9:$E$100)*((Personnel!$K$9:$K$100="")+(94&lt;=Personnel!$K$9:$K$100)&gt;0)*Personnel!$D$9:$D$100*Personnel!$I$9:$I$100)),Actuals!CU23)</f>
        <v/>
      </c>
      <c r="CU115" s="392">
        <f>IF(ISBLANK(Actuals!CV23),-(SUMPRODUCT((Personnel!$F$9:$F$100="SixPeak")*(Personnel!$G$9:$G$100="Yes")*(95&gt;=Personnel!$E$9:$E$100)*((Personnel!$K$9:$K$100="")+(95&lt;=Personnel!$K$9:$K$100)&gt;0)*Personnel!$D$9:$D$100*Personnel!$I$9:$I$100)),Actuals!CV23)</f>
        <v/>
      </c>
      <c r="CV115" s="392">
        <f>IF(ISBLANK(Actuals!CW23),-(SUMPRODUCT((Personnel!$F$9:$F$100="SixPeak")*(Personnel!$G$9:$G$100="Yes")*(96&gt;=Personnel!$E$9:$E$100)*((Personnel!$K$9:$K$100="")+(96&lt;=Personnel!$K$9:$K$100)&gt;0)*Personnel!$D$9:$D$100*Personnel!$I$9:$I$100)),Actuals!CW23)</f>
        <v/>
      </c>
      <c r="CW115" s="392">
        <f>IF(ISBLANK(Actuals!CX23),-(SUMPRODUCT((Personnel!$F$9:$F$100="SixPeak")*(Personnel!$G$9:$G$100="Yes")*(97&gt;=Personnel!$E$9:$E$100)*((Personnel!$K$9:$K$100="")+(97&lt;=Personnel!$K$9:$K$100)&gt;0)*Personnel!$D$9:$D$100*Personnel!$I$9:$I$100)),Actuals!CX23)</f>
        <v/>
      </c>
      <c r="CX115" s="392">
        <f>IF(ISBLANK(Actuals!CY23),-(SUMPRODUCT((Personnel!$F$9:$F$100="SixPeak")*(Personnel!$G$9:$G$100="Yes")*(98&gt;=Personnel!$E$9:$E$100)*((Personnel!$K$9:$K$100="")+(98&lt;=Personnel!$K$9:$K$100)&gt;0)*Personnel!$D$9:$D$100*Personnel!$I$9:$I$100)),Actuals!CY23)</f>
        <v/>
      </c>
      <c r="CY115" s="392">
        <f>IF(ISBLANK(Actuals!CZ23),-(SUMPRODUCT((Personnel!$F$9:$F$100="SixPeak")*(Personnel!$G$9:$G$100="Yes")*(99&gt;=Personnel!$E$9:$E$100)*((Personnel!$K$9:$K$100="")+(99&lt;=Personnel!$K$9:$K$100)&gt;0)*Personnel!$D$9:$D$100*Personnel!$I$9:$I$100)),Actuals!CZ23)</f>
        <v/>
      </c>
      <c r="CZ115" s="392">
        <f>IF(ISBLANK(Actuals!DA23),-(SUMPRODUCT((Personnel!$F$9:$F$100="SixPeak")*(Personnel!$G$9:$G$100="Yes")*(100&gt;=Personnel!$E$9:$E$100)*((Personnel!$K$9:$K$100="")+(100&lt;=Personnel!$K$9:$K$100)&gt;0)*Personnel!$D$9:$D$100*Personnel!$I$9:$I$100)),Actuals!DA23)</f>
        <v/>
      </c>
      <c r="DA115" s="392">
        <f>IF(ISBLANK(Actuals!DB23),-(SUMPRODUCT((Personnel!$F$9:$F$100="SixPeak")*(Personnel!$G$9:$G$100="Yes")*(101&gt;=Personnel!$E$9:$E$100)*((Personnel!$K$9:$K$100="")+(101&lt;=Personnel!$K$9:$K$100)&gt;0)*Personnel!$D$9:$D$100*Personnel!$I$9:$I$100)),Actuals!DB23)</f>
        <v/>
      </c>
      <c r="DB115" s="392">
        <f>IF(ISBLANK(Actuals!DC23),-(SUMPRODUCT((Personnel!$F$9:$F$100="SixPeak")*(Personnel!$G$9:$G$100="Yes")*(102&gt;=Personnel!$E$9:$E$100)*((Personnel!$K$9:$K$100="")+(102&lt;=Personnel!$K$9:$K$100)&gt;0)*Personnel!$D$9:$D$100*Personnel!$I$9:$I$100)),Actuals!DC23)</f>
        <v/>
      </c>
      <c r="DC115" s="392">
        <f>IF(ISBLANK(Actuals!DD23),-(SUMPRODUCT((Personnel!$F$9:$F$100="SixPeak")*(Personnel!$G$9:$G$100="Yes")*(103&gt;=Personnel!$E$9:$E$100)*((Personnel!$K$9:$K$100="")+(103&lt;=Personnel!$K$9:$K$100)&gt;0)*Personnel!$D$9:$D$100*Personnel!$I$9:$I$100)),Actuals!DD23)</f>
        <v/>
      </c>
      <c r="DD115" s="392">
        <f>IF(ISBLANK(Actuals!DE23),-(SUMPRODUCT((Personnel!$F$9:$F$100="SixPeak")*(Personnel!$G$9:$G$100="Yes")*(104&gt;=Personnel!$E$9:$E$100)*((Personnel!$K$9:$K$100="")+(104&lt;=Personnel!$K$9:$K$100)&gt;0)*Personnel!$D$9:$D$100*Personnel!$I$9:$I$100)),Actuals!DE23)</f>
        <v/>
      </c>
      <c r="DE115" s="392">
        <f>IF(ISBLANK(Actuals!DF23),-(SUMPRODUCT((Personnel!$F$9:$F$100="SixPeak")*(Personnel!$G$9:$G$100="Yes")*(105&gt;=Personnel!$E$9:$E$100)*((Personnel!$K$9:$K$100="")+(105&lt;=Personnel!$K$9:$K$100)&gt;0)*Personnel!$D$9:$D$100*Personnel!$I$9:$I$100)),Actuals!DF23)</f>
        <v/>
      </c>
    </row>
    <row r="116" ht="15" customFormat="1" customHeight="1" s="380">
      <c r="A116" s="397" t="inlineStr">
        <is>
          <t>5000-1002 Employee Benefits</t>
        </is>
      </c>
      <c r="B116" s="392">
        <f>IF(ISBLANK(Actuals!C24),0,Actuals!C24)</f>
        <v/>
      </c>
      <c r="C116" s="392">
        <f>IF(ISBLANK(Actuals!D24),0,Actuals!D24)</f>
        <v/>
      </c>
      <c r="D116" s="392">
        <f>IF(ISBLANK(Actuals!E24),0,Actuals!E24)</f>
        <v/>
      </c>
      <c r="E116" s="392">
        <f>IF(ISBLANK(Actuals!F24),-Helpers!C4*Assumptions!$B$22,Actuals!F24)</f>
        <v/>
      </c>
      <c r="F116" s="392">
        <f>IF(ISBLANK(Actuals!G24),-Helpers!D4*Assumptions!$B$22,Actuals!G24)</f>
        <v/>
      </c>
      <c r="G116" s="392">
        <f>IF(ISBLANK(Actuals!H24),-Helpers!E4*Assumptions!$B$22,Actuals!H24)</f>
        <v/>
      </c>
      <c r="H116" s="392">
        <f>IF(ISBLANK(Actuals!I24),-Helpers!F4*Assumptions!$B$22,Actuals!I24)</f>
        <v/>
      </c>
      <c r="I116" s="392">
        <f>IF(ISBLANK(Actuals!J24),-Helpers!G4*Assumptions!$B$22,Actuals!J24)</f>
        <v/>
      </c>
      <c r="J116" s="392">
        <f>IF(ISBLANK(Actuals!K24),-Helpers!H4*Assumptions!$B$22,Actuals!K24)</f>
        <v/>
      </c>
      <c r="K116" s="392">
        <f>IF(ISBLANK(Actuals!L24),-Helpers!I4*Assumptions!$B$22,Actuals!L24)</f>
        <v/>
      </c>
      <c r="L116" s="392">
        <f>IF(ISBLANK(Actuals!M24),-Helpers!J4*Assumptions!$B$22,Actuals!M24)</f>
        <v/>
      </c>
      <c r="M116" s="392">
        <f>IF(ISBLANK(Actuals!N24),-Helpers!K4*Assumptions!$B$22,Actuals!N24)</f>
        <v/>
      </c>
      <c r="N116" s="392">
        <f>IF(ISBLANK(Actuals!O24),-Helpers!L4*Assumptions!$B$22,Actuals!O24)</f>
        <v/>
      </c>
      <c r="O116" s="392">
        <f>IF(ISBLANK(Actuals!P24),-Helpers!M4*Assumptions!$B$22,Actuals!P24)</f>
        <v/>
      </c>
      <c r="P116" s="392">
        <f>IF(ISBLANK(Actuals!Q24),-Helpers!N4*Assumptions!$B$22,Actuals!Q24)</f>
        <v/>
      </c>
      <c r="Q116" s="392">
        <f>IF(ISBLANK(Actuals!R24),-Helpers!O4*Assumptions!$B$22,Actuals!R24)</f>
        <v/>
      </c>
      <c r="R116" s="392">
        <f>IF(ISBLANK(Actuals!S24),-Helpers!P4*Assumptions!$B$22,Actuals!S24)</f>
        <v/>
      </c>
      <c r="S116" s="392">
        <f>IF(ISBLANK(Actuals!T24),-Helpers!Q4*Assumptions!$B$22,Actuals!T24)</f>
        <v/>
      </c>
      <c r="T116" s="392">
        <f>IF(ISBLANK(Actuals!U24),-Helpers!R4*Assumptions!$B$22,Actuals!U24)</f>
        <v/>
      </c>
      <c r="U116" s="392">
        <f>IF(ISBLANK(Actuals!V24),-Helpers!S4*Assumptions!$B$22,Actuals!V24)</f>
        <v/>
      </c>
      <c r="V116" s="392">
        <f>IF(ISBLANK(Actuals!W24),-Helpers!T4*Assumptions!$B$22,Actuals!W24)</f>
        <v/>
      </c>
      <c r="W116" s="392">
        <f>IF(ISBLANK(Actuals!X24),-Helpers!U4*Assumptions!$B$22,Actuals!X24)</f>
        <v/>
      </c>
      <c r="X116" s="392">
        <f>IF(ISBLANK(Actuals!Y24),-Helpers!V4*Assumptions!$B$22,Actuals!Y24)</f>
        <v/>
      </c>
      <c r="Y116" s="392">
        <f>IF(ISBLANK(Actuals!Z24),-Helpers!W4*Assumptions!$B$22,Actuals!Z24)</f>
        <v/>
      </c>
      <c r="Z116" s="392">
        <f>IF(ISBLANK(Actuals!AA24),-Helpers!X4*Assumptions!$B$22,Actuals!AA24)</f>
        <v/>
      </c>
      <c r="AA116" s="392">
        <f>IF(ISBLANK(Actuals!AB24),-Helpers!Y4*Assumptions!$B$22,Actuals!AB24)</f>
        <v/>
      </c>
      <c r="AB116" s="392">
        <f>IF(ISBLANK(Actuals!AC24),-Helpers!Z4*Assumptions!$B$22,Actuals!AC24)</f>
        <v/>
      </c>
      <c r="AC116" s="392">
        <f>IF(ISBLANK(Actuals!AD24),-Helpers!AA4*Assumptions!$B$22,Actuals!AD24)</f>
        <v/>
      </c>
      <c r="AD116" s="392">
        <f>IF(ISBLANK(Actuals!AE24),-Helpers!AB4*Assumptions!$B$22,Actuals!AE24)</f>
        <v/>
      </c>
      <c r="AE116" s="392">
        <f>IF(ISBLANK(Actuals!AF24),-Helpers!AC4*Assumptions!$B$22,Actuals!AF24)</f>
        <v/>
      </c>
      <c r="AF116" s="392">
        <f>IF(ISBLANK(Actuals!AG24),-Helpers!AD4*Assumptions!$B$22,Actuals!AG24)</f>
        <v/>
      </c>
      <c r="AG116" s="392">
        <f>IF(ISBLANK(Actuals!AH24),-Helpers!AE4*Assumptions!$B$22,Actuals!AH24)</f>
        <v/>
      </c>
      <c r="AH116" s="392">
        <f>IF(ISBLANK(Actuals!AI24),-Helpers!AF4*Assumptions!$B$22,Actuals!AI24)</f>
        <v/>
      </c>
      <c r="AI116" s="392">
        <f>IF(ISBLANK(Actuals!AJ24),-Helpers!AG4*Assumptions!$B$22,Actuals!AJ24)</f>
        <v/>
      </c>
      <c r="AJ116" s="392">
        <f>IF(ISBLANK(Actuals!AK24),-Helpers!AH4*Assumptions!$B$22,Actuals!AK24)</f>
        <v/>
      </c>
      <c r="AK116" s="392">
        <f>IF(ISBLANK(Actuals!AL24),-Helpers!AI4*Assumptions!$B$22,Actuals!AL24)</f>
        <v/>
      </c>
      <c r="AL116" s="392">
        <f>IF(ISBLANK(Actuals!AM24),-Helpers!AJ4*Assumptions!$B$22,Actuals!AM24)</f>
        <v/>
      </c>
      <c r="AM116" s="392">
        <f>IF(ISBLANK(Actuals!AN24),-Helpers!AK4*Assumptions!$B$22,Actuals!AN24)</f>
        <v/>
      </c>
      <c r="AN116" s="392">
        <f>IF(ISBLANK(Actuals!AO24),-Helpers!AL4*Assumptions!$B$22,Actuals!AO24)</f>
        <v/>
      </c>
      <c r="AO116" s="392">
        <f>IF(ISBLANK(Actuals!AP24),-Helpers!AM4*Assumptions!$B$22,Actuals!AP24)</f>
        <v/>
      </c>
      <c r="AP116" s="392">
        <f>IF(ISBLANK(Actuals!AQ24),-Helpers!AN4*Assumptions!$B$22,Actuals!AQ24)</f>
        <v/>
      </c>
      <c r="AQ116" s="392">
        <f>IF(ISBLANK(Actuals!AR24),-Helpers!AO4*Assumptions!$B$22,Actuals!AR24)</f>
        <v/>
      </c>
      <c r="AR116" s="392">
        <f>IF(ISBLANK(Actuals!AS24),-Helpers!AP4*Assumptions!$B$22,Actuals!AS24)</f>
        <v/>
      </c>
      <c r="AS116" s="392">
        <f>IF(ISBLANK(Actuals!AT24),-Helpers!AQ4*Assumptions!$B$22,Actuals!AT24)</f>
        <v/>
      </c>
      <c r="AT116" s="392">
        <f>IF(ISBLANK(Actuals!AU24),-Helpers!AR4*Assumptions!$B$22,Actuals!AU24)</f>
        <v/>
      </c>
      <c r="AU116" s="392">
        <f>IF(ISBLANK(Actuals!AV24),-Helpers!AS4*Assumptions!$B$22,Actuals!AV24)</f>
        <v/>
      </c>
      <c r="AV116" s="392">
        <f>IF(ISBLANK(Actuals!AW24),-Helpers!AT4*Assumptions!$B$22,Actuals!AW24)</f>
        <v/>
      </c>
      <c r="AW116" s="392">
        <f>IF(ISBLANK(Actuals!AX24),-Helpers!AU4*Assumptions!$B$22,Actuals!AX24)</f>
        <v/>
      </c>
      <c r="AX116" s="392">
        <f>IF(ISBLANK(Actuals!AY24),-Helpers!AV4*Assumptions!$B$22,Actuals!AY24)</f>
        <v/>
      </c>
      <c r="AY116" s="392">
        <f>IF(ISBLANK(Actuals!AZ24),-Helpers!AW4*Assumptions!$B$22,Actuals!AZ24)</f>
        <v/>
      </c>
      <c r="AZ116" s="392">
        <f>IF(ISBLANK(Actuals!BA24),-Helpers!AX4*Assumptions!$B$22,Actuals!BA24)</f>
        <v/>
      </c>
      <c r="BA116" s="392">
        <f>IF(ISBLANK(Actuals!BB24),-Helpers!AY4*Assumptions!$B$22,Actuals!BB24)</f>
        <v/>
      </c>
      <c r="BB116" s="392">
        <f>IF(ISBLANK(Actuals!BC24),-Helpers!AZ4*Assumptions!$B$22,Actuals!BC24)</f>
        <v/>
      </c>
      <c r="BC116" s="392">
        <f>IF(ISBLANK(Actuals!BD24),-Helpers!BA4*Assumptions!$B$22,Actuals!BD24)</f>
        <v/>
      </c>
      <c r="BD116" s="392">
        <f>IF(ISBLANK(Actuals!BE24),-Helpers!BB4*Assumptions!$B$22,Actuals!BE24)</f>
        <v/>
      </c>
      <c r="BE116" s="392">
        <f>IF(ISBLANK(Actuals!BF24),-Helpers!BC4*Assumptions!$B$22,Actuals!BF24)</f>
        <v/>
      </c>
      <c r="BF116" s="392">
        <f>IF(ISBLANK(Actuals!BG24),-Helpers!BD4*Assumptions!$B$22,Actuals!BG24)</f>
        <v/>
      </c>
      <c r="BG116" s="392">
        <f>IF(ISBLANK(Actuals!BH24),-Helpers!BE4*Assumptions!$B$22,Actuals!BH24)</f>
        <v/>
      </c>
      <c r="BH116" s="392">
        <f>IF(ISBLANK(Actuals!BI24),-Helpers!BF4*Assumptions!$B$22,Actuals!BI24)</f>
        <v/>
      </c>
      <c r="BI116" s="392">
        <f>IF(ISBLANK(Actuals!BJ24),-Helpers!BG4*Assumptions!$B$22,Actuals!BJ24)</f>
        <v/>
      </c>
      <c r="BJ116" s="392">
        <f>IF(ISBLANK(Actuals!BK24),-Helpers!BH4*Assumptions!$B$22,Actuals!BK24)</f>
        <v/>
      </c>
      <c r="BK116" s="392">
        <f>IF(ISBLANK(Actuals!BL24),-Helpers!BI4*Assumptions!$B$22,Actuals!BL24)</f>
        <v/>
      </c>
      <c r="BL116" s="392">
        <f>IF(ISBLANK(Actuals!BM24),-Helpers!BJ4*Assumptions!$B$22,Actuals!BM24)</f>
        <v/>
      </c>
      <c r="BM116" s="392">
        <f>IF(ISBLANK(Actuals!BN24),-Helpers!BK4*Assumptions!$B$22,Actuals!BN24)</f>
        <v/>
      </c>
      <c r="BN116" s="392">
        <f>IF(ISBLANK(Actuals!BO24),-Helpers!BL4*Assumptions!$B$22,Actuals!BO24)</f>
        <v/>
      </c>
      <c r="BO116" s="392">
        <f>IF(ISBLANK(Actuals!BP24),-Helpers!BM4*Assumptions!$B$22,Actuals!BP24)</f>
        <v/>
      </c>
      <c r="BP116" s="392">
        <f>IF(ISBLANK(Actuals!BQ24),-Helpers!BN4*Assumptions!$B$22,Actuals!BQ24)</f>
        <v/>
      </c>
      <c r="BQ116" s="392">
        <f>IF(ISBLANK(Actuals!BR24),-Helpers!BO4*Assumptions!$B$22,Actuals!BR24)</f>
        <v/>
      </c>
      <c r="BR116" s="392">
        <f>IF(ISBLANK(Actuals!BS24),-Helpers!BP4*Assumptions!$B$22,Actuals!BS24)</f>
        <v/>
      </c>
      <c r="BS116" s="392">
        <f>IF(ISBLANK(Actuals!BT24),-Helpers!BQ4*Assumptions!$B$22,Actuals!BT24)</f>
        <v/>
      </c>
      <c r="BT116" s="392">
        <f>IF(ISBLANK(Actuals!BU24),-Helpers!BR4*Assumptions!$B$22,Actuals!BU24)</f>
        <v/>
      </c>
      <c r="BU116" s="392">
        <f>IF(ISBLANK(Actuals!BV24),-Helpers!BS4*Assumptions!$B$22,Actuals!BV24)</f>
        <v/>
      </c>
      <c r="BV116" s="392">
        <f>IF(ISBLANK(Actuals!BW24),-Helpers!BT4*Assumptions!$B$22,Actuals!BW24)</f>
        <v/>
      </c>
      <c r="BW116" s="392">
        <f>IF(ISBLANK(Actuals!BX24),-Helpers!BU4*Assumptions!$B$22,Actuals!BX24)</f>
        <v/>
      </c>
      <c r="BX116" s="392">
        <f>IF(ISBLANK(Actuals!BY24),-Helpers!BV4*Assumptions!$B$22,Actuals!BY24)</f>
        <v/>
      </c>
      <c r="BY116" s="392">
        <f>IF(ISBLANK(Actuals!BZ24),-Helpers!BW4*Assumptions!$B$22,Actuals!BZ24)</f>
        <v/>
      </c>
      <c r="BZ116" s="392">
        <f>IF(ISBLANK(Actuals!CA24),-Helpers!BX4*Assumptions!$B$22,Actuals!CA24)</f>
        <v/>
      </c>
      <c r="CA116" s="392">
        <f>IF(ISBLANK(Actuals!CB24),-Helpers!BY4*Assumptions!$B$22,Actuals!CB24)</f>
        <v/>
      </c>
      <c r="CB116" s="392">
        <f>IF(ISBLANK(Actuals!CC24),-Helpers!BZ4*Assumptions!$B$22,Actuals!CC24)</f>
        <v/>
      </c>
      <c r="CC116" s="392">
        <f>IF(ISBLANK(Actuals!CD24),-Helpers!CA4*Assumptions!$B$22,Actuals!CD24)</f>
        <v/>
      </c>
      <c r="CD116" s="392">
        <f>IF(ISBLANK(Actuals!CE24),-Helpers!CB4*Assumptions!$B$22,Actuals!CE24)</f>
        <v/>
      </c>
      <c r="CE116" s="392">
        <f>IF(ISBLANK(Actuals!CF24),-Helpers!CC4*Assumptions!$B$22,Actuals!CF24)</f>
        <v/>
      </c>
      <c r="CF116" s="392">
        <f>IF(ISBLANK(Actuals!CG24),-Helpers!CD4*Assumptions!$B$22,Actuals!CG24)</f>
        <v/>
      </c>
      <c r="CG116" s="392">
        <f>IF(ISBLANK(Actuals!CH24),-Helpers!CE4*Assumptions!$B$22,Actuals!CH24)</f>
        <v/>
      </c>
      <c r="CH116" s="392">
        <f>IF(ISBLANK(Actuals!CI24),-Helpers!CF4*Assumptions!$B$22,Actuals!CI24)</f>
        <v/>
      </c>
      <c r="CI116" s="392">
        <f>IF(ISBLANK(Actuals!CJ24),-Helpers!CG4*Assumptions!$B$22,Actuals!CJ24)</f>
        <v/>
      </c>
      <c r="CJ116" s="392">
        <f>IF(ISBLANK(Actuals!CK24),-Helpers!CH4*Assumptions!$B$22,Actuals!CK24)</f>
        <v/>
      </c>
      <c r="CK116" s="392">
        <f>IF(ISBLANK(Actuals!CL24),-Helpers!CI4*Assumptions!$B$22,Actuals!CL24)</f>
        <v/>
      </c>
      <c r="CL116" s="392">
        <f>IF(ISBLANK(Actuals!CM24),-Helpers!CJ4*Assumptions!$B$22,Actuals!CM24)</f>
        <v/>
      </c>
      <c r="CM116" s="392">
        <f>IF(ISBLANK(Actuals!CN24),-Helpers!CK4*Assumptions!$B$22,Actuals!CN24)</f>
        <v/>
      </c>
      <c r="CN116" s="392">
        <f>IF(ISBLANK(Actuals!CO24),-Helpers!CL4*Assumptions!$B$22,Actuals!CO24)</f>
        <v/>
      </c>
      <c r="CO116" s="392">
        <f>IF(ISBLANK(Actuals!CP24),-Helpers!CM4*Assumptions!$B$22,Actuals!CP24)</f>
        <v/>
      </c>
      <c r="CP116" s="392">
        <f>IF(ISBLANK(Actuals!CQ24),-Helpers!CN4*Assumptions!$B$22,Actuals!CQ24)</f>
        <v/>
      </c>
      <c r="CQ116" s="392">
        <f>IF(ISBLANK(Actuals!CR24),-Helpers!CO4*Assumptions!$B$22,Actuals!CR24)</f>
        <v/>
      </c>
      <c r="CR116" s="392">
        <f>IF(ISBLANK(Actuals!CS24),-Helpers!CP4*Assumptions!$B$22,Actuals!CS24)</f>
        <v/>
      </c>
      <c r="CS116" s="392">
        <f>IF(ISBLANK(Actuals!CT24),-Helpers!CQ4*Assumptions!$B$22,Actuals!CT24)</f>
        <v/>
      </c>
      <c r="CT116" s="392">
        <f>IF(ISBLANK(Actuals!CU24),-Helpers!CR4*Assumptions!$B$22,Actuals!CU24)</f>
        <v/>
      </c>
      <c r="CU116" s="392">
        <f>IF(ISBLANK(Actuals!CV24),-Helpers!CS4*Assumptions!$B$22,Actuals!CV24)</f>
        <v/>
      </c>
      <c r="CV116" s="392">
        <f>IF(ISBLANK(Actuals!CW24),-Helpers!CT4*Assumptions!$B$22,Actuals!CW24)</f>
        <v/>
      </c>
      <c r="CW116" s="392">
        <f>IF(ISBLANK(Actuals!CX24),-Helpers!CU4*Assumptions!$B$22,Actuals!CX24)</f>
        <v/>
      </c>
      <c r="CX116" s="392">
        <f>IF(ISBLANK(Actuals!CY24),-Helpers!CV4*Assumptions!$B$22,Actuals!CY24)</f>
        <v/>
      </c>
      <c r="CY116" s="392">
        <f>IF(ISBLANK(Actuals!CZ24),-Helpers!CW4*Assumptions!$B$22,Actuals!CZ24)</f>
        <v/>
      </c>
      <c r="CZ116" s="392">
        <f>IF(ISBLANK(Actuals!DA24),-Helpers!CX4*Assumptions!$B$22,Actuals!DA24)</f>
        <v/>
      </c>
      <c r="DA116" s="392">
        <f>IF(ISBLANK(Actuals!DB24),-Helpers!CY4*Assumptions!$B$22,Actuals!DB24)</f>
        <v/>
      </c>
      <c r="DB116" s="392">
        <f>IF(ISBLANK(Actuals!DC24),-Helpers!CZ4*Assumptions!$B$22,Actuals!DC24)</f>
        <v/>
      </c>
      <c r="DC116" s="392">
        <f>IF(ISBLANK(Actuals!DD24),-Helpers!DA4*Assumptions!$B$22,Actuals!DD24)</f>
        <v/>
      </c>
      <c r="DD116" s="392">
        <f>IF(ISBLANK(Actuals!DE24),-Helpers!DB4*Assumptions!$B$22,Actuals!DE24)</f>
        <v/>
      </c>
      <c r="DE116" s="392">
        <f>IF(ISBLANK(Actuals!DF24),-Helpers!DC4*Assumptions!$B$22,Actuals!DF24)</f>
        <v/>
      </c>
    </row>
    <row r="117" ht="15" customFormat="1" customHeight="1" s="380">
      <c r="A117" s="397" t="inlineStr">
        <is>
          <t>5000-1003 Workers Comp</t>
        </is>
      </c>
      <c r="B117" s="392">
        <f>IF(ISBLANK(Actuals!C25),0,Actuals!C25)</f>
        <v/>
      </c>
      <c r="C117" s="392">
        <f>IF(ISBLANK(Actuals!D25),0,Actuals!D25)</f>
        <v/>
      </c>
      <c r="D117" s="392">
        <f>IF(ISBLANK(Actuals!E25),0,Actuals!E25)</f>
        <v/>
      </c>
      <c r="E117" s="392">
        <f>IF(ISBLANK(Actuals!F25),-Helpers!C4*Assumptions!$B$23,Actuals!F25)</f>
        <v/>
      </c>
      <c r="F117" s="392">
        <f>IF(ISBLANK(Actuals!G25),-Helpers!D4*Assumptions!$B$23,Actuals!G25)</f>
        <v/>
      </c>
      <c r="G117" s="392">
        <f>IF(ISBLANK(Actuals!H25),-Helpers!E4*Assumptions!$B$23,Actuals!H25)</f>
        <v/>
      </c>
      <c r="H117" s="392">
        <f>IF(ISBLANK(Actuals!I25),-Helpers!F4*Assumptions!$B$23,Actuals!I25)</f>
        <v/>
      </c>
      <c r="I117" s="392">
        <f>IF(ISBLANK(Actuals!J25),-Helpers!G4*Assumptions!$B$23,Actuals!J25)</f>
        <v/>
      </c>
      <c r="J117" s="392">
        <f>IF(ISBLANK(Actuals!K25),-Helpers!H4*Assumptions!$B$23,Actuals!K25)</f>
        <v/>
      </c>
      <c r="K117" s="392">
        <f>IF(ISBLANK(Actuals!L25),-Helpers!I4*Assumptions!$B$23,Actuals!L25)</f>
        <v/>
      </c>
      <c r="L117" s="392">
        <f>IF(ISBLANK(Actuals!M25),-Helpers!J4*Assumptions!$B$23,Actuals!M25)</f>
        <v/>
      </c>
      <c r="M117" s="392">
        <f>IF(ISBLANK(Actuals!N25),-Helpers!K4*Assumptions!$B$23,Actuals!N25)</f>
        <v/>
      </c>
      <c r="N117" s="392">
        <f>IF(ISBLANK(Actuals!O25),-Helpers!L4*Assumptions!$B$23,Actuals!O25)</f>
        <v/>
      </c>
      <c r="O117" s="392">
        <f>IF(ISBLANK(Actuals!P25),-Helpers!M4*Assumptions!$B$23,Actuals!P25)</f>
        <v/>
      </c>
      <c r="P117" s="392">
        <f>IF(ISBLANK(Actuals!Q25),-Helpers!N4*Assumptions!$B$23,Actuals!Q25)</f>
        <v/>
      </c>
      <c r="Q117" s="392">
        <f>IF(ISBLANK(Actuals!R25),-Helpers!O4*Assumptions!$B$23,Actuals!R25)</f>
        <v/>
      </c>
      <c r="R117" s="392">
        <f>IF(ISBLANK(Actuals!S25),-Helpers!P4*Assumptions!$B$23,Actuals!S25)</f>
        <v/>
      </c>
      <c r="S117" s="392">
        <f>IF(ISBLANK(Actuals!T25),-Helpers!Q4*Assumptions!$B$23,Actuals!T25)</f>
        <v/>
      </c>
      <c r="T117" s="392">
        <f>IF(ISBLANK(Actuals!U25),-Helpers!R4*Assumptions!$B$23,Actuals!U25)</f>
        <v/>
      </c>
      <c r="U117" s="392">
        <f>IF(ISBLANK(Actuals!V25),-Helpers!S4*Assumptions!$B$23,Actuals!V25)</f>
        <v/>
      </c>
      <c r="V117" s="392">
        <f>IF(ISBLANK(Actuals!W25),-Helpers!T4*Assumptions!$B$23,Actuals!W25)</f>
        <v/>
      </c>
      <c r="W117" s="392">
        <f>IF(ISBLANK(Actuals!X25),-Helpers!U4*Assumptions!$B$23,Actuals!X25)</f>
        <v/>
      </c>
      <c r="X117" s="392">
        <f>IF(ISBLANK(Actuals!Y25),-Helpers!V4*Assumptions!$B$23,Actuals!Y25)</f>
        <v/>
      </c>
      <c r="Y117" s="392">
        <f>IF(ISBLANK(Actuals!Z25),-Helpers!W4*Assumptions!$B$23,Actuals!Z25)</f>
        <v/>
      </c>
      <c r="Z117" s="392">
        <f>IF(ISBLANK(Actuals!AA25),-Helpers!X4*Assumptions!$B$23,Actuals!AA25)</f>
        <v/>
      </c>
      <c r="AA117" s="392">
        <f>IF(ISBLANK(Actuals!AB25),-Helpers!Y4*Assumptions!$B$23,Actuals!AB25)</f>
        <v/>
      </c>
      <c r="AB117" s="392">
        <f>IF(ISBLANK(Actuals!AC25),-Helpers!Z4*Assumptions!$B$23,Actuals!AC25)</f>
        <v/>
      </c>
      <c r="AC117" s="392">
        <f>IF(ISBLANK(Actuals!AD25),-Helpers!AA4*Assumptions!$B$23,Actuals!AD25)</f>
        <v/>
      </c>
      <c r="AD117" s="392">
        <f>IF(ISBLANK(Actuals!AE25),-Helpers!AB4*Assumptions!$B$23,Actuals!AE25)</f>
        <v/>
      </c>
      <c r="AE117" s="392">
        <f>IF(ISBLANK(Actuals!AF25),-Helpers!AC4*Assumptions!$B$23,Actuals!AF25)</f>
        <v/>
      </c>
      <c r="AF117" s="392">
        <f>IF(ISBLANK(Actuals!AG25),-Helpers!AD4*Assumptions!$B$23,Actuals!AG25)</f>
        <v/>
      </c>
      <c r="AG117" s="392">
        <f>IF(ISBLANK(Actuals!AH25),-Helpers!AE4*Assumptions!$B$23,Actuals!AH25)</f>
        <v/>
      </c>
      <c r="AH117" s="392">
        <f>IF(ISBLANK(Actuals!AI25),-Helpers!AF4*Assumptions!$B$23,Actuals!AI25)</f>
        <v/>
      </c>
      <c r="AI117" s="392">
        <f>IF(ISBLANK(Actuals!AJ25),-Helpers!AG4*Assumptions!$B$23,Actuals!AJ25)</f>
        <v/>
      </c>
      <c r="AJ117" s="392">
        <f>IF(ISBLANK(Actuals!AK25),-Helpers!AH4*Assumptions!$B$23,Actuals!AK25)</f>
        <v/>
      </c>
      <c r="AK117" s="392">
        <f>IF(ISBLANK(Actuals!AL25),-Helpers!AI4*Assumptions!$B$23,Actuals!AL25)</f>
        <v/>
      </c>
      <c r="AL117" s="392">
        <f>IF(ISBLANK(Actuals!AM25),-Helpers!AJ4*Assumptions!$B$23,Actuals!AM25)</f>
        <v/>
      </c>
      <c r="AM117" s="392">
        <f>IF(ISBLANK(Actuals!AN25),-Helpers!AK4*Assumptions!$B$23,Actuals!AN25)</f>
        <v/>
      </c>
      <c r="AN117" s="392">
        <f>IF(ISBLANK(Actuals!AO25),-Helpers!AL4*Assumptions!$B$23,Actuals!AO25)</f>
        <v/>
      </c>
      <c r="AO117" s="392">
        <f>IF(ISBLANK(Actuals!AP25),-Helpers!AM4*Assumptions!$B$23,Actuals!AP25)</f>
        <v/>
      </c>
      <c r="AP117" s="392">
        <f>IF(ISBLANK(Actuals!AQ25),-Helpers!AN4*Assumptions!$B$23,Actuals!AQ25)</f>
        <v/>
      </c>
      <c r="AQ117" s="392">
        <f>IF(ISBLANK(Actuals!AR25),-Helpers!AO4*Assumptions!$B$23,Actuals!AR25)</f>
        <v/>
      </c>
      <c r="AR117" s="392">
        <f>IF(ISBLANK(Actuals!AS25),-Helpers!AP4*Assumptions!$B$23,Actuals!AS25)</f>
        <v/>
      </c>
      <c r="AS117" s="392">
        <f>IF(ISBLANK(Actuals!AT25),-Helpers!AQ4*Assumptions!$B$23,Actuals!AT25)</f>
        <v/>
      </c>
      <c r="AT117" s="392">
        <f>IF(ISBLANK(Actuals!AU25),-Helpers!AR4*Assumptions!$B$23,Actuals!AU25)</f>
        <v/>
      </c>
      <c r="AU117" s="392">
        <f>IF(ISBLANK(Actuals!AV25),-Helpers!AS4*Assumptions!$B$23,Actuals!AV25)</f>
        <v/>
      </c>
      <c r="AV117" s="392">
        <f>IF(ISBLANK(Actuals!AW25),-Helpers!AT4*Assumptions!$B$23,Actuals!AW25)</f>
        <v/>
      </c>
      <c r="AW117" s="392">
        <f>IF(ISBLANK(Actuals!AX25),-Helpers!AU4*Assumptions!$B$23,Actuals!AX25)</f>
        <v/>
      </c>
      <c r="AX117" s="392">
        <f>IF(ISBLANK(Actuals!AY25),-Helpers!AV4*Assumptions!$B$23,Actuals!AY25)</f>
        <v/>
      </c>
      <c r="AY117" s="392">
        <f>IF(ISBLANK(Actuals!AZ25),-Helpers!AW4*Assumptions!$B$23,Actuals!AZ25)</f>
        <v/>
      </c>
      <c r="AZ117" s="392">
        <f>IF(ISBLANK(Actuals!BA25),-Helpers!AX4*Assumptions!$B$23,Actuals!BA25)</f>
        <v/>
      </c>
      <c r="BA117" s="392">
        <f>IF(ISBLANK(Actuals!BB25),-Helpers!AY4*Assumptions!$B$23,Actuals!BB25)</f>
        <v/>
      </c>
      <c r="BB117" s="392">
        <f>IF(ISBLANK(Actuals!BC25),-Helpers!AZ4*Assumptions!$B$23,Actuals!BC25)</f>
        <v/>
      </c>
      <c r="BC117" s="392">
        <f>IF(ISBLANK(Actuals!BD25),-Helpers!BA4*Assumptions!$B$23,Actuals!BD25)</f>
        <v/>
      </c>
      <c r="BD117" s="392">
        <f>IF(ISBLANK(Actuals!BE25),-Helpers!BB4*Assumptions!$B$23,Actuals!BE25)</f>
        <v/>
      </c>
      <c r="BE117" s="392">
        <f>IF(ISBLANK(Actuals!BF25),-Helpers!BC4*Assumptions!$B$23,Actuals!BF25)</f>
        <v/>
      </c>
      <c r="BF117" s="392">
        <f>IF(ISBLANK(Actuals!BG25),-Helpers!BD4*Assumptions!$B$23,Actuals!BG25)</f>
        <v/>
      </c>
      <c r="BG117" s="392">
        <f>IF(ISBLANK(Actuals!BH25),-Helpers!BE4*Assumptions!$B$23,Actuals!BH25)</f>
        <v/>
      </c>
      <c r="BH117" s="392">
        <f>IF(ISBLANK(Actuals!BI25),-Helpers!BF4*Assumptions!$B$23,Actuals!BI25)</f>
        <v/>
      </c>
      <c r="BI117" s="392">
        <f>IF(ISBLANK(Actuals!BJ25),-Helpers!BG4*Assumptions!$B$23,Actuals!BJ25)</f>
        <v/>
      </c>
      <c r="BJ117" s="392">
        <f>IF(ISBLANK(Actuals!BK25),-Helpers!BH4*Assumptions!$B$23,Actuals!BK25)</f>
        <v/>
      </c>
      <c r="BK117" s="392">
        <f>IF(ISBLANK(Actuals!BL25),-Helpers!BI4*Assumptions!$B$23,Actuals!BL25)</f>
        <v/>
      </c>
      <c r="BL117" s="392">
        <f>IF(ISBLANK(Actuals!BM25),-Helpers!BJ4*Assumptions!$B$23,Actuals!BM25)</f>
        <v/>
      </c>
      <c r="BM117" s="392">
        <f>IF(ISBLANK(Actuals!BN25),-Helpers!BK4*Assumptions!$B$23,Actuals!BN25)</f>
        <v/>
      </c>
      <c r="BN117" s="392">
        <f>IF(ISBLANK(Actuals!BO25),-Helpers!BL4*Assumptions!$B$23,Actuals!BO25)</f>
        <v/>
      </c>
      <c r="BO117" s="392">
        <f>IF(ISBLANK(Actuals!BP25),-Helpers!BM4*Assumptions!$B$23,Actuals!BP25)</f>
        <v/>
      </c>
      <c r="BP117" s="392">
        <f>IF(ISBLANK(Actuals!BQ25),-Helpers!BN4*Assumptions!$B$23,Actuals!BQ25)</f>
        <v/>
      </c>
      <c r="BQ117" s="392">
        <f>IF(ISBLANK(Actuals!BR25),-Helpers!BO4*Assumptions!$B$23,Actuals!BR25)</f>
        <v/>
      </c>
      <c r="BR117" s="392">
        <f>IF(ISBLANK(Actuals!BS25),-Helpers!BP4*Assumptions!$B$23,Actuals!BS25)</f>
        <v/>
      </c>
      <c r="BS117" s="392">
        <f>IF(ISBLANK(Actuals!BT25),-Helpers!BQ4*Assumptions!$B$23,Actuals!BT25)</f>
        <v/>
      </c>
      <c r="BT117" s="392">
        <f>IF(ISBLANK(Actuals!BU25),-Helpers!BR4*Assumptions!$B$23,Actuals!BU25)</f>
        <v/>
      </c>
      <c r="BU117" s="392">
        <f>IF(ISBLANK(Actuals!BV25),-Helpers!BS4*Assumptions!$B$23,Actuals!BV25)</f>
        <v/>
      </c>
      <c r="BV117" s="392">
        <f>IF(ISBLANK(Actuals!BW25),-Helpers!BT4*Assumptions!$B$23,Actuals!BW25)</f>
        <v/>
      </c>
      <c r="BW117" s="392">
        <f>IF(ISBLANK(Actuals!BX25),-Helpers!BU4*Assumptions!$B$23,Actuals!BX25)</f>
        <v/>
      </c>
      <c r="BX117" s="392">
        <f>IF(ISBLANK(Actuals!BY25),-Helpers!BV4*Assumptions!$B$23,Actuals!BY25)</f>
        <v/>
      </c>
      <c r="BY117" s="392">
        <f>IF(ISBLANK(Actuals!BZ25),-Helpers!BW4*Assumptions!$B$23,Actuals!BZ25)</f>
        <v/>
      </c>
      <c r="BZ117" s="392">
        <f>IF(ISBLANK(Actuals!CA25),-Helpers!BX4*Assumptions!$B$23,Actuals!CA25)</f>
        <v/>
      </c>
      <c r="CA117" s="392">
        <f>IF(ISBLANK(Actuals!CB25),-Helpers!BY4*Assumptions!$B$23,Actuals!CB25)</f>
        <v/>
      </c>
      <c r="CB117" s="392">
        <f>IF(ISBLANK(Actuals!CC25),-Helpers!BZ4*Assumptions!$B$23,Actuals!CC25)</f>
        <v/>
      </c>
      <c r="CC117" s="392">
        <f>IF(ISBLANK(Actuals!CD25),-Helpers!CA4*Assumptions!$B$23,Actuals!CD25)</f>
        <v/>
      </c>
      <c r="CD117" s="392">
        <f>IF(ISBLANK(Actuals!CE25),-Helpers!CB4*Assumptions!$B$23,Actuals!CE25)</f>
        <v/>
      </c>
      <c r="CE117" s="392">
        <f>IF(ISBLANK(Actuals!CF25),-Helpers!CC4*Assumptions!$B$23,Actuals!CF25)</f>
        <v/>
      </c>
      <c r="CF117" s="392">
        <f>IF(ISBLANK(Actuals!CG25),-Helpers!CD4*Assumptions!$B$23,Actuals!CG25)</f>
        <v/>
      </c>
      <c r="CG117" s="392">
        <f>IF(ISBLANK(Actuals!CH25),-Helpers!CE4*Assumptions!$B$23,Actuals!CH25)</f>
        <v/>
      </c>
      <c r="CH117" s="392">
        <f>IF(ISBLANK(Actuals!CI25),-Helpers!CF4*Assumptions!$B$23,Actuals!CI25)</f>
        <v/>
      </c>
      <c r="CI117" s="392">
        <f>IF(ISBLANK(Actuals!CJ25),-Helpers!CG4*Assumptions!$B$23,Actuals!CJ25)</f>
        <v/>
      </c>
      <c r="CJ117" s="392">
        <f>IF(ISBLANK(Actuals!CK25),-Helpers!CH4*Assumptions!$B$23,Actuals!CK25)</f>
        <v/>
      </c>
      <c r="CK117" s="392">
        <f>IF(ISBLANK(Actuals!CL25),-Helpers!CI4*Assumptions!$B$23,Actuals!CL25)</f>
        <v/>
      </c>
      <c r="CL117" s="392">
        <f>IF(ISBLANK(Actuals!CM25),-Helpers!CJ4*Assumptions!$B$23,Actuals!CM25)</f>
        <v/>
      </c>
      <c r="CM117" s="392">
        <f>IF(ISBLANK(Actuals!CN25),-Helpers!CK4*Assumptions!$B$23,Actuals!CN25)</f>
        <v/>
      </c>
      <c r="CN117" s="392">
        <f>IF(ISBLANK(Actuals!CO25),-Helpers!CL4*Assumptions!$B$23,Actuals!CO25)</f>
        <v/>
      </c>
      <c r="CO117" s="392">
        <f>IF(ISBLANK(Actuals!CP25),-Helpers!CM4*Assumptions!$B$23,Actuals!CP25)</f>
        <v/>
      </c>
      <c r="CP117" s="392">
        <f>IF(ISBLANK(Actuals!CQ25),-Helpers!CN4*Assumptions!$B$23,Actuals!CQ25)</f>
        <v/>
      </c>
      <c r="CQ117" s="392">
        <f>IF(ISBLANK(Actuals!CR25),-Helpers!CO4*Assumptions!$B$23,Actuals!CR25)</f>
        <v/>
      </c>
      <c r="CR117" s="392">
        <f>IF(ISBLANK(Actuals!CS25),-Helpers!CP4*Assumptions!$B$23,Actuals!CS25)</f>
        <v/>
      </c>
      <c r="CS117" s="392">
        <f>IF(ISBLANK(Actuals!CT25),-Helpers!CQ4*Assumptions!$B$23,Actuals!CT25)</f>
        <v/>
      </c>
      <c r="CT117" s="392">
        <f>IF(ISBLANK(Actuals!CU25),-Helpers!CR4*Assumptions!$B$23,Actuals!CU25)</f>
        <v/>
      </c>
      <c r="CU117" s="392">
        <f>IF(ISBLANK(Actuals!CV25),-Helpers!CS4*Assumptions!$B$23,Actuals!CV25)</f>
        <v/>
      </c>
      <c r="CV117" s="392">
        <f>IF(ISBLANK(Actuals!CW25),-Helpers!CT4*Assumptions!$B$23,Actuals!CW25)</f>
        <v/>
      </c>
      <c r="CW117" s="392">
        <f>IF(ISBLANK(Actuals!CX25),-Helpers!CU4*Assumptions!$B$23,Actuals!CX25)</f>
        <v/>
      </c>
      <c r="CX117" s="392">
        <f>IF(ISBLANK(Actuals!CY25),-Helpers!CV4*Assumptions!$B$23,Actuals!CY25)</f>
        <v/>
      </c>
      <c r="CY117" s="392">
        <f>IF(ISBLANK(Actuals!CZ25),-Helpers!CW4*Assumptions!$B$23,Actuals!CZ25)</f>
        <v/>
      </c>
      <c r="CZ117" s="392">
        <f>IF(ISBLANK(Actuals!DA25),-Helpers!CX4*Assumptions!$B$23,Actuals!DA25)</f>
        <v/>
      </c>
      <c r="DA117" s="392">
        <f>IF(ISBLANK(Actuals!DB25),-Helpers!CY4*Assumptions!$B$23,Actuals!DB25)</f>
        <v/>
      </c>
      <c r="DB117" s="392">
        <f>IF(ISBLANK(Actuals!DC25),-Helpers!CZ4*Assumptions!$B$23,Actuals!DC25)</f>
        <v/>
      </c>
      <c r="DC117" s="392">
        <f>IF(ISBLANK(Actuals!DD25),-Helpers!DA4*Assumptions!$B$23,Actuals!DD25)</f>
        <v/>
      </c>
      <c r="DD117" s="392">
        <f>IF(ISBLANK(Actuals!DE25),-Helpers!DB4*Assumptions!$B$23,Actuals!DE25)</f>
        <v/>
      </c>
      <c r="DE117" s="392">
        <f>IF(ISBLANK(Actuals!DF25),-Helpers!DC4*Assumptions!$B$23,Actuals!DF25)</f>
        <v/>
      </c>
    </row>
    <row r="118" ht="15" customFormat="1" customHeight="1" s="380">
      <c r="A118" s="397" t="inlineStr">
        <is>
          <t>5000-1005 Payroll Servicing Fees</t>
        </is>
      </c>
      <c r="B118" s="392">
        <f>IF(ISBLANK(Actuals!C26),0,Actuals!C26)</f>
        <v/>
      </c>
      <c r="C118" s="392">
        <f>IF(ISBLANK(Actuals!D26),0,Actuals!D26)</f>
        <v/>
      </c>
      <c r="D118" s="392">
        <f>IF(ISBLANK(Actuals!E26),0,Actuals!E26)</f>
        <v/>
      </c>
      <c r="E118" s="392">
        <f>IF(ISBLANK(Actuals!F26),-Helpers!C4*Assumptions!$B$21,Actuals!F26)</f>
        <v/>
      </c>
      <c r="F118" s="392">
        <f>IF(ISBLANK(Actuals!G26),-Helpers!D4*Assumptions!$B$21,Actuals!G26)</f>
        <v/>
      </c>
      <c r="G118" s="392">
        <f>IF(ISBLANK(Actuals!H26),-Helpers!E4*Assumptions!$B$21,Actuals!H26)</f>
        <v/>
      </c>
      <c r="H118" s="392">
        <f>IF(ISBLANK(Actuals!I26),-Helpers!F4*Assumptions!$B$21,Actuals!I26)</f>
        <v/>
      </c>
      <c r="I118" s="392">
        <f>IF(ISBLANK(Actuals!J26),-Helpers!G4*Assumptions!$B$21,Actuals!J26)</f>
        <v/>
      </c>
      <c r="J118" s="392">
        <f>IF(ISBLANK(Actuals!K26),-Helpers!H4*Assumptions!$B$21,Actuals!K26)</f>
        <v/>
      </c>
      <c r="K118" s="392">
        <f>IF(ISBLANK(Actuals!L26),-Helpers!I4*Assumptions!$B$21,Actuals!L26)</f>
        <v/>
      </c>
      <c r="L118" s="392">
        <f>IF(ISBLANK(Actuals!M26),-Helpers!J4*Assumptions!$B$21,Actuals!M26)</f>
        <v/>
      </c>
      <c r="M118" s="392">
        <f>IF(ISBLANK(Actuals!N26),-Helpers!K4*Assumptions!$B$21,Actuals!N26)</f>
        <v/>
      </c>
      <c r="N118" s="392">
        <f>IF(ISBLANK(Actuals!O26),-Helpers!L4*Assumptions!$B$21,Actuals!O26)</f>
        <v/>
      </c>
      <c r="O118" s="392">
        <f>IF(ISBLANK(Actuals!P26),-Helpers!M4*Assumptions!$B$21,Actuals!P26)</f>
        <v/>
      </c>
      <c r="P118" s="392">
        <f>IF(ISBLANK(Actuals!Q26),-Helpers!N4*Assumptions!$B$21,Actuals!Q26)</f>
        <v/>
      </c>
      <c r="Q118" s="392">
        <f>IF(ISBLANK(Actuals!R26),-Helpers!O4*Assumptions!$B$21,Actuals!R26)</f>
        <v/>
      </c>
      <c r="R118" s="392">
        <f>IF(ISBLANK(Actuals!S26),-Helpers!P4*Assumptions!$B$21,Actuals!S26)</f>
        <v/>
      </c>
      <c r="S118" s="392">
        <f>IF(ISBLANK(Actuals!T26),-Helpers!Q4*Assumptions!$B$21,Actuals!T26)</f>
        <v/>
      </c>
      <c r="T118" s="392">
        <f>IF(ISBLANK(Actuals!U26),-Helpers!R4*Assumptions!$B$21,Actuals!U26)</f>
        <v/>
      </c>
      <c r="U118" s="392">
        <f>IF(ISBLANK(Actuals!V26),-Helpers!S4*Assumptions!$B$21,Actuals!V26)</f>
        <v/>
      </c>
      <c r="V118" s="392">
        <f>IF(ISBLANK(Actuals!W26),-Helpers!T4*Assumptions!$B$21,Actuals!W26)</f>
        <v/>
      </c>
      <c r="W118" s="392">
        <f>IF(ISBLANK(Actuals!X26),-Helpers!U4*Assumptions!$B$21,Actuals!X26)</f>
        <v/>
      </c>
      <c r="X118" s="392">
        <f>IF(ISBLANK(Actuals!Y26),-Helpers!V4*Assumptions!$B$21,Actuals!Y26)</f>
        <v/>
      </c>
      <c r="Y118" s="392">
        <f>IF(ISBLANK(Actuals!Z26),-Helpers!W4*Assumptions!$B$21,Actuals!Z26)</f>
        <v/>
      </c>
      <c r="Z118" s="392">
        <f>IF(ISBLANK(Actuals!AA26),-Helpers!X4*Assumptions!$B$21,Actuals!AA26)</f>
        <v/>
      </c>
      <c r="AA118" s="392">
        <f>IF(ISBLANK(Actuals!AB26),-Helpers!Y4*Assumptions!$B$21,Actuals!AB26)</f>
        <v/>
      </c>
      <c r="AB118" s="392">
        <f>IF(ISBLANK(Actuals!AC26),-Helpers!Z4*Assumptions!$B$21,Actuals!AC26)</f>
        <v/>
      </c>
      <c r="AC118" s="392">
        <f>IF(ISBLANK(Actuals!AD26),-Helpers!AA4*Assumptions!$B$21,Actuals!AD26)</f>
        <v/>
      </c>
      <c r="AD118" s="392">
        <f>IF(ISBLANK(Actuals!AE26),-Helpers!AB4*Assumptions!$B$21,Actuals!AE26)</f>
        <v/>
      </c>
      <c r="AE118" s="392">
        <f>IF(ISBLANK(Actuals!AF26),-Helpers!AC4*Assumptions!$B$21,Actuals!AF26)</f>
        <v/>
      </c>
      <c r="AF118" s="392">
        <f>IF(ISBLANK(Actuals!AG26),-Helpers!AD4*Assumptions!$B$21,Actuals!AG26)</f>
        <v/>
      </c>
      <c r="AG118" s="392">
        <f>IF(ISBLANK(Actuals!AH26),-Helpers!AE4*Assumptions!$B$21,Actuals!AH26)</f>
        <v/>
      </c>
      <c r="AH118" s="392">
        <f>IF(ISBLANK(Actuals!AI26),-Helpers!AF4*Assumptions!$B$21,Actuals!AI26)</f>
        <v/>
      </c>
      <c r="AI118" s="392">
        <f>IF(ISBLANK(Actuals!AJ26),-Helpers!AG4*Assumptions!$B$21,Actuals!AJ26)</f>
        <v/>
      </c>
      <c r="AJ118" s="392">
        <f>IF(ISBLANK(Actuals!AK26),-Helpers!AH4*Assumptions!$B$21,Actuals!AK26)</f>
        <v/>
      </c>
      <c r="AK118" s="392">
        <f>IF(ISBLANK(Actuals!AL26),-Helpers!AI4*Assumptions!$B$21,Actuals!AL26)</f>
        <v/>
      </c>
      <c r="AL118" s="392">
        <f>IF(ISBLANK(Actuals!AM26),-Helpers!AJ4*Assumptions!$B$21,Actuals!AM26)</f>
        <v/>
      </c>
      <c r="AM118" s="392">
        <f>IF(ISBLANK(Actuals!AN26),-Helpers!AK4*Assumptions!$B$21,Actuals!AN26)</f>
        <v/>
      </c>
      <c r="AN118" s="392">
        <f>IF(ISBLANK(Actuals!AO26),-Helpers!AL4*Assumptions!$B$21,Actuals!AO26)</f>
        <v/>
      </c>
      <c r="AO118" s="392">
        <f>IF(ISBLANK(Actuals!AP26),-Helpers!AM4*Assumptions!$B$21,Actuals!AP26)</f>
        <v/>
      </c>
      <c r="AP118" s="392">
        <f>IF(ISBLANK(Actuals!AQ26),-Helpers!AN4*Assumptions!$B$21,Actuals!AQ26)</f>
        <v/>
      </c>
      <c r="AQ118" s="392">
        <f>IF(ISBLANK(Actuals!AR26),-Helpers!AO4*Assumptions!$B$21,Actuals!AR26)</f>
        <v/>
      </c>
      <c r="AR118" s="392">
        <f>IF(ISBLANK(Actuals!AS26),-Helpers!AP4*Assumptions!$B$21,Actuals!AS26)</f>
        <v/>
      </c>
      <c r="AS118" s="392">
        <f>IF(ISBLANK(Actuals!AT26),-Helpers!AQ4*Assumptions!$B$21,Actuals!AT26)</f>
        <v/>
      </c>
      <c r="AT118" s="392">
        <f>IF(ISBLANK(Actuals!AU26),-Helpers!AR4*Assumptions!$B$21,Actuals!AU26)</f>
        <v/>
      </c>
      <c r="AU118" s="392">
        <f>IF(ISBLANK(Actuals!AV26),-Helpers!AS4*Assumptions!$B$21,Actuals!AV26)</f>
        <v/>
      </c>
      <c r="AV118" s="392">
        <f>IF(ISBLANK(Actuals!AW26),-Helpers!AT4*Assumptions!$B$21,Actuals!AW26)</f>
        <v/>
      </c>
      <c r="AW118" s="392">
        <f>IF(ISBLANK(Actuals!AX26),-Helpers!AU4*Assumptions!$B$21,Actuals!AX26)</f>
        <v/>
      </c>
      <c r="AX118" s="392">
        <f>IF(ISBLANK(Actuals!AY26),-Helpers!AV4*Assumptions!$B$21,Actuals!AY26)</f>
        <v/>
      </c>
      <c r="AY118" s="392">
        <f>IF(ISBLANK(Actuals!AZ26),-Helpers!AW4*Assumptions!$B$21,Actuals!AZ26)</f>
        <v/>
      </c>
      <c r="AZ118" s="392">
        <f>IF(ISBLANK(Actuals!BA26),-Helpers!AX4*Assumptions!$B$21,Actuals!BA26)</f>
        <v/>
      </c>
      <c r="BA118" s="392">
        <f>IF(ISBLANK(Actuals!BB26),-Helpers!AY4*Assumptions!$B$21,Actuals!BB26)</f>
        <v/>
      </c>
      <c r="BB118" s="392">
        <f>IF(ISBLANK(Actuals!BC26),-Helpers!AZ4*Assumptions!$B$21,Actuals!BC26)</f>
        <v/>
      </c>
      <c r="BC118" s="392">
        <f>IF(ISBLANK(Actuals!BD26),-Helpers!BA4*Assumptions!$B$21,Actuals!BD26)</f>
        <v/>
      </c>
      <c r="BD118" s="392">
        <f>IF(ISBLANK(Actuals!BE26),-Helpers!BB4*Assumptions!$B$21,Actuals!BE26)</f>
        <v/>
      </c>
      <c r="BE118" s="392">
        <f>IF(ISBLANK(Actuals!BF26),-Helpers!BC4*Assumptions!$B$21,Actuals!BF26)</f>
        <v/>
      </c>
      <c r="BF118" s="392">
        <f>IF(ISBLANK(Actuals!BG26),-Helpers!BD4*Assumptions!$B$21,Actuals!BG26)</f>
        <v/>
      </c>
      <c r="BG118" s="392">
        <f>IF(ISBLANK(Actuals!BH26),-Helpers!BE4*Assumptions!$B$21,Actuals!BH26)</f>
        <v/>
      </c>
      <c r="BH118" s="392">
        <f>IF(ISBLANK(Actuals!BI26),-Helpers!BF4*Assumptions!$B$21,Actuals!BI26)</f>
        <v/>
      </c>
      <c r="BI118" s="392">
        <f>IF(ISBLANK(Actuals!BJ26),-Helpers!BG4*Assumptions!$B$21,Actuals!BJ26)</f>
        <v/>
      </c>
      <c r="BJ118" s="392">
        <f>IF(ISBLANK(Actuals!BK26),-Helpers!BH4*Assumptions!$B$21,Actuals!BK26)</f>
        <v/>
      </c>
      <c r="BK118" s="392">
        <f>IF(ISBLANK(Actuals!BL26),-Helpers!BI4*Assumptions!$B$21,Actuals!BL26)</f>
        <v/>
      </c>
      <c r="BL118" s="392">
        <f>IF(ISBLANK(Actuals!BM26),-Helpers!BJ4*Assumptions!$B$21,Actuals!BM26)</f>
        <v/>
      </c>
      <c r="BM118" s="392">
        <f>IF(ISBLANK(Actuals!BN26),-Helpers!BK4*Assumptions!$B$21,Actuals!BN26)</f>
        <v/>
      </c>
      <c r="BN118" s="392">
        <f>IF(ISBLANK(Actuals!BO26),-Helpers!BL4*Assumptions!$B$21,Actuals!BO26)</f>
        <v/>
      </c>
      <c r="BO118" s="392">
        <f>IF(ISBLANK(Actuals!BP26),-Helpers!BM4*Assumptions!$B$21,Actuals!BP26)</f>
        <v/>
      </c>
      <c r="BP118" s="392">
        <f>IF(ISBLANK(Actuals!BQ26),-Helpers!BN4*Assumptions!$B$21,Actuals!BQ26)</f>
        <v/>
      </c>
      <c r="BQ118" s="392">
        <f>IF(ISBLANK(Actuals!BR26),-Helpers!BO4*Assumptions!$B$21,Actuals!BR26)</f>
        <v/>
      </c>
      <c r="BR118" s="392">
        <f>IF(ISBLANK(Actuals!BS26),-Helpers!BP4*Assumptions!$B$21,Actuals!BS26)</f>
        <v/>
      </c>
      <c r="BS118" s="392">
        <f>IF(ISBLANK(Actuals!BT26),-Helpers!BQ4*Assumptions!$B$21,Actuals!BT26)</f>
        <v/>
      </c>
      <c r="BT118" s="392">
        <f>IF(ISBLANK(Actuals!BU26),-Helpers!BR4*Assumptions!$B$21,Actuals!BU26)</f>
        <v/>
      </c>
      <c r="BU118" s="392">
        <f>IF(ISBLANK(Actuals!BV26),-Helpers!BS4*Assumptions!$B$21,Actuals!BV26)</f>
        <v/>
      </c>
      <c r="BV118" s="392">
        <f>IF(ISBLANK(Actuals!BW26),-Helpers!BT4*Assumptions!$B$21,Actuals!BW26)</f>
        <v/>
      </c>
      <c r="BW118" s="392">
        <f>IF(ISBLANK(Actuals!BX26),-Helpers!BU4*Assumptions!$B$21,Actuals!BX26)</f>
        <v/>
      </c>
      <c r="BX118" s="392">
        <f>IF(ISBLANK(Actuals!BY26),-Helpers!BV4*Assumptions!$B$21,Actuals!BY26)</f>
        <v/>
      </c>
      <c r="BY118" s="392">
        <f>IF(ISBLANK(Actuals!BZ26),-Helpers!BW4*Assumptions!$B$21,Actuals!BZ26)</f>
        <v/>
      </c>
      <c r="BZ118" s="392">
        <f>IF(ISBLANK(Actuals!CA26),-Helpers!BX4*Assumptions!$B$21,Actuals!CA26)</f>
        <v/>
      </c>
      <c r="CA118" s="392">
        <f>IF(ISBLANK(Actuals!CB26),-Helpers!BY4*Assumptions!$B$21,Actuals!CB26)</f>
        <v/>
      </c>
      <c r="CB118" s="392">
        <f>IF(ISBLANK(Actuals!CC26),-Helpers!BZ4*Assumptions!$B$21,Actuals!CC26)</f>
        <v/>
      </c>
      <c r="CC118" s="392">
        <f>IF(ISBLANK(Actuals!CD26),-Helpers!CA4*Assumptions!$B$21,Actuals!CD26)</f>
        <v/>
      </c>
      <c r="CD118" s="392">
        <f>IF(ISBLANK(Actuals!CE26),-Helpers!CB4*Assumptions!$B$21,Actuals!CE26)</f>
        <v/>
      </c>
      <c r="CE118" s="392">
        <f>IF(ISBLANK(Actuals!CF26),-Helpers!CC4*Assumptions!$B$21,Actuals!CF26)</f>
        <v/>
      </c>
      <c r="CF118" s="392">
        <f>IF(ISBLANK(Actuals!CG26),-Helpers!CD4*Assumptions!$B$21,Actuals!CG26)</f>
        <v/>
      </c>
      <c r="CG118" s="392">
        <f>IF(ISBLANK(Actuals!CH26),-Helpers!CE4*Assumptions!$B$21,Actuals!CH26)</f>
        <v/>
      </c>
      <c r="CH118" s="392">
        <f>IF(ISBLANK(Actuals!CI26),-Helpers!CF4*Assumptions!$B$21,Actuals!CI26)</f>
        <v/>
      </c>
      <c r="CI118" s="392">
        <f>IF(ISBLANK(Actuals!CJ26),-Helpers!CG4*Assumptions!$B$21,Actuals!CJ26)</f>
        <v/>
      </c>
      <c r="CJ118" s="392">
        <f>IF(ISBLANK(Actuals!CK26),-Helpers!CH4*Assumptions!$B$21,Actuals!CK26)</f>
        <v/>
      </c>
      <c r="CK118" s="392">
        <f>IF(ISBLANK(Actuals!CL26),-Helpers!CI4*Assumptions!$B$21,Actuals!CL26)</f>
        <v/>
      </c>
      <c r="CL118" s="392">
        <f>IF(ISBLANK(Actuals!CM26),-Helpers!CJ4*Assumptions!$B$21,Actuals!CM26)</f>
        <v/>
      </c>
      <c r="CM118" s="392">
        <f>IF(ISBLANK(Actuals!CN26),-Helpers!CK4*Assumptions!$B$21,Actuals!CN26)</f>
        <v/>
      </c>
      <c r="CN118" s="392">
        <f>IF(ISBLANK(Actuals!CO26),-Helpers!CL4*Assumptions!$B$21,Actuals!CO26)</f>
        <v/>
      </c>
      <c r="CO118" s="392">
        <f>IF(ISBLANK(Actuals!CP26),-Helpers!CM4*Assumptions!$B$21,Actuals!CP26)</f>
        <v/>
      </c>
      <c r="CP118" s="392">
        <f>IF(ISBLANK(Actuals!CQ26),-Helpers!CN4*Assumptions!$B$21,Actuals!CQ26)</f>
        <v/>
      </c>
      <c r="CQ118" s="392">
        <f>IF(ISBLANK(Actuals!CR26),-Helpers!CO4*Assumptions!$B$21,Actuals!CR26)</f>
        <v/>
      </c>
      <c r="CR118" s="392">
        <f>IF(ISBLANK(Actuals!CS26),-Helpers!CP4*Assumptions!$B$21,Actuals!CS26)</f>
        <v/>
      </c>
      <c r="CS118" s="392">
        <f>IF(ISBLANK(Actuals!CT26),-Helpers!CQ4*Assumptions!$B$21,Actuals!CT26)</f>
        <v/>
      </c>
      <c r="CT118" s="392">
        <f>IF(ISBLANK(Actuals!CU26),-Helpers!CR4*Assumptions!$B$21,Actuals!CU26)</f>
        <v/>
      </c>
      <c r="CU118" s="392">
        <f>IF(ISBLANK(Actuals!CV26),-Helpers!CS4*Assumptions!$B$21,Actuals!CV26)</f>
        <v/>
      </c>
      <c r="CV118" s="392">
        <f>IF(ISBLANK(Actuals!CW26),-Helpers!CT4*Assumptions!$B$21,Actuals!CW26)</f>
        <v/>
      </c>
      <c r="CW118" s="392">
        <f>IF(ISBLANK(Actuals!CX26),-Helpers!CU4*Assumptions!$B$21,Actuals!CX26)</f>
        <v/>
      </c>
      <c r="CX118" s="392">
        <f>IF(ISBLANK(Actuals!CY26),-Helpers!CV4*Assumptions!$B$21,Actuals!CY26)</f>
        <v/>
      </c>
      <c r="CY118" s="392">
        <f>IF(ISBLANK(Actuals!CZ26),-Helpers!CW4*Assumptions!$B$21,Actuals!CZ26)</f>
        <v/>
      </c>
      <c r="CZ118" s="392">
        <f>IF(ISBLANK(Actuals!DA26),-Helpers!CX4*Assumptions!$B$21,Actuals!DA26)</f>
        <v/>
      </c>
      <c r="DA118" s="392">
        <f>IF(ISBLANK(Actuals!DB26),-Helpers!CY4*Assumptions!$B$21,Actuals!DB26)</f>
        <v/>
      </c>
      <c r="DB118" s="392">
        <f>IF(ISBLANK(Actuals!DC26),-Helpers!CZ4*Assumptions!$B$21,Actuals!DC26)</f>
        <v/>
      </c>
      <c r="DC118" s="392">
        <f>IF(ISBLANK(Actuals!DD26),-Helpers!DA4*Assumptions!$B$21,Actuals!DD26)</f>
        <v/>
      </c>
      <c r="DD118" s="392">
        <f>IF(ISBLANK(Actuals!DE26),-Helpers!DB4*Assumptions!$B$21,Actuals!DE26)</f>
        <v/>
      </c>
      <c r="DE118" s="392">
        <f>IF(ISBLANK(Actuals!DF26),-Helpers!DC4*Assumptions!$B$21,Actuals!DF26)</f>
        <v/>
      </c>
    </row>
    <row r="119" ht="15" customFormat="1" customHeight="1" s="380">
      <c r="A119" s="397" t="inlineStr">
        <is>
          <t>5000-1007 Payroll - Consultants</t>
        </is>
      </c>
      <c r="B119" s="392">
        <f>IF(ISBLANK(Actuals!C27),0,Actuals!C27)</f>
        <v/>
      </c>
      <c r="C119" s="392">
        <f>IF(ISBLANK(Actuals!D27),0,Actuals!D27)</f>
        <v/>
      </c>
      <c r="D119" s="392">
        <f>IF(ISBLANK(Actuals!E27),0,Actuals!E27)</f>
        <v/>
      </c>
      <c r="E119" s="392">
        <f>IF(ISBLANK(Actuals!F27),-29166.66*Escalation!$B$2,Actuals!F27)</f>
        <v/>
      </c>
      <c r="F119" s="392">
        <f>IF(ISBLANK(Actuals!G27),-29166.66*Escalation!$B$3,Actuals!G27)</f>
        <v/>
      </c>
      <c r="G119" s="392">
        <f>IF(ISBLANK(Actuals!H27),-29166.66*Escalation!$B$4,Actuals!H27)</f>
        <v/>
      </c>
      <c r="H119" s="392">
        <f>IF(ISBLANK(Actuals!I27),-29166.66*Escalation!$B$5,Actuals!I27)</f>
        <v/>
      </c>
      <c r="I119" s="392">
        <f>IF(ISBLANK(Actuals!J27),-29166.66*Escalation!$B$6,Actuals!J27)</f>
        <v/>
      </c>
      <c r="J119" s="392">
        <f>IF(ISBLANK(Actuals!K27),-29166.66*Escalation!$B$7,Actuals!K27)</f>
        <v/>
      </c>
      <c r="K119" s="392">
        <f>IF(ISBLANK(Actuals!L27),-29166.66*Escalation!$B$8,Actuals!L27)</f>
        <v/>
      </c>
      <c r="L119" s="392">
        <f>IF(ISBLANK(Actuals!M27),-29166.66*Escalation!$B$9,Actuals!M27)</f>
        <v/>
      </c>
      <c r="M119" s="392">
        <f>IF(ISBLANK(Actuals!N27),-29166.66*Escalation!$B$10,Actuals!N27)</f>
        <v/>
      </c>
      <c r="N119" s="392">
        <f>IF(ISBLANK(Actuals!O27),-18750*Escalation!$B$11,Actuals!O27)</f>
        <v/>
      </c>
      <c r="O119" s="392">
        <f>IF(ISBLANK(Actuals!P27),-18750*Escalation!$B$12,Actuals!P27)</f>
        <v/>
      </c>
      <c r="P119" s="392">
        <f>IF(ISBLANK(Actuals!Q27),-18750*Escalation!$B$13,Actuals!Q27)</f>
        <v/>
      </c>
      <c r="Q119" s="392">
        <f>IF(ISBLANK(Actuals!R27),-18750*Escalation!$B$14,Actuals!R27)</f>
        <v/>
      </c>
      <c r="R119" s="392">
        <f>IF(ISBLANK(Actuals!S27),-18750*Escalation!$B$15,Actuals!S27)</f>
        <v/>
      </c>
      <c r="S119" s="392">
        <f>IF(ISBLANK(Actuals!T27),-18750*Escalation!$B$16,Actuals!T27)</f>
        <v/>
      </c>
      <c r="T119" s="392">
        <f>IF(ISBLANK(Actuals!U27),-18750*Escalation!$B$17,Actuals!U27)</f>
        <v/>
      </c>
      <c r="U119" s="392">
        <f>IF(ISBLANK(Actuals!V27),-18750*Escalation!$B$18,Actuals!V27)</f>
        <v/>
      </c>
      <c r="V119" s="392">
        <f>IF(ISBLANK(Actuals!W27),-18750*Escalation!$B$19,Actuals!W27)</f>
        <v/>
      </c>
      <c r="W119" s="392">
        <f>IF(ISBLANK(Actuals!X27),-18750*Escalation!$B$20,Actuals!X27)</f>
        <v/>
      </c>
      <c r="X119" s="392">
        <f>IF(ISBLANK(Actuals!Y27),-18750*Escalation!$B$21,Actuals!Y27)</f>
        <v/>
      </c>
      <c r="Y119" s="392">
        <f>IF(ISBLANK(Actuals!Z27),-18750*Escalation!$B$22,Actuals!Z27)</f>
        <v/>
      </c>
      <c r="Z119" s="392">
        <f>IF(ISBLANK(Actuals!AA27),-18750*Escalation!$B$23,Actuals!AA27)</f>
        <v/>
      </c>
      <c r="AA119" s="392">
        <f>IF(ISBLANK(Actuals!AB27),-18750*Escalation!$B$24,Actuals!AB27)</f>
        <v/>
      </c>
      <c r="AB119" s="392">
        <f>IF(ISBLANK(Actuals!AC27),-18750*Escalation!$B$25,Actuals!AC27)</f>
        <v/>
      </c>
      <c r="AC119" s="392">
        <f>IF(ISBLANK(Actuals!AD27),-18750*Escalation!$B$26,Actuals!AD27)</f>
        <v/>
      </c>
      <c r="AD119" s="392">
        <f>IF(ISBLANK(Actuals!AE27),-18750*Escalation!$B$27,Actuals!AE27)</f>
        <v/>
      </c>
      <c r="AE119" s="392">
        <f>IF(ISBLANK(Actuals!AF27),-18750*Escalation!$B$28,Actuals!AF27)</f>
        <v/>
      </c>
      <c r="AF119" s="392">
        <f>IF(ISBLANK(Actuals!AG27),-18750*Escalation!$B$29,Actuals!AG27)</f>
        <v/>
      </c>
      <c r="AG119" s="392">
        <f>IF(ISBLANK(Actuals!AH27),-18750*Escalation!$B$30,Actuals!AH27)</f>
        <v/>
      </c>
      <c r="AH119" s="392">
        <f>IF(ISBLANK(Actuals!AI27),-18750*Escalation!$B$31,Actuals!AI27)</f>
        <v/>
      </c>
      <c r="AI119" s="392">
        <f>IF(ISBLANK(Actuals!AJ27),-18750*Escalation!$B$32,Actuals!AJ27)</f>
        <v/>
      </c>
      <c r="AJ119" s="392">
        <f>IF(ISBLANK(Actuals!AK27),-18750*Escalation!$B$33,Actuals!AK27)</f>
        <v/>
      </c>
      <c r="AK119" s="392">
        <f>IF(ISBLANK(Actuals!AL27),-18750*Escalation!$B$34,Actuals!AL27)</f>
        <v/>
      </c>
      <c r="AL119" s="392">
        <f>IF(ISBLANK(Actuals!AM27),-18750*Escalation!$B$35,Actuals!AM27)</f>
        <v/>
      </c>
      <c r="AM119" s="392">
        <f>IF(ISBLANK(Actuals!AN27),-18750*Escalation!$B$36,Actuals!AN27)</f>
        <v/>
      </c>
      <c r="AN119" s="392">
        <f>IF(ISBLANK(Actuals!AO27),-18750*Escalation!$B$37,Actuals!AO27)</f>
        <v/>
      </c>
      <c r="AO119" s="392">
        <f>IF(ISBLANK(Actuals!AP27),-18750*Escalation!$B$38,Actuals!AP27)</f>
        <v/>
      </c>
      <c r="AP119" s="392">
        <f>IF(ISBLANK(Actuals!AQ27),-18750*Escalation!$B$39,Actuals!AQ27)</f>
        <v/>
      </c>
      <c r="AQ119" s="392">
        <f>IF(ISBLANK(Actuals!AR27),-18750*Escalation!$B$40,Actuals!AR27)</f>
        <v/>
      </c>
      <c r="AR119" s="392">
        <f>IF(ISBLANK(Actuals!AS27),-18750*Escalation!$B$41,Actuals!AS27)</f>
        <v/>
      </c>
      <c r="AS119" s="392">
        <f>IF(ISBLANK(Actuals!AT27),-18750*Escalation!$B$42,Actuals!AT27)</f>
        <v/>
      </c>
      <c r="AT119" s="392">
        <f>IF(ISBLANK(Actuals!AU27),-18750*Escalation!$B$43,Actuals!AU27)</f>
        <v/>
      </c>
      <c r="AU119" s="392">
        <f>IF(ISBLANK(Actuals!AV27),-18750*Escalation!$B$44,Actuals!AV27)</f>
        <v/>
      </c>
      <c r="AV119" s="392">
        <f>IF(ISBLANK(Actuals!AW27),-18750*Escalation!$B$45,Actuals!AW27)</f>
        <v/>
      </c>
      <c r="AW119" s="392">
        <f>IF(ISBLANK(Actuals!AX27),-18750*Escalation!$B$46,Actuals!AX27)</f>
        <v/>
      </c>
      <c r="AX119" s="392">
        <f>IF(ISBLANK(Actuals!AY27),-18750*Escalation!$B$47,Actuals!AY27)</f>
        <v/>
      </c>
      <c r="AY119" s="392">
        <f>IF(ISBLANK(Actuals!AZ27),-18750*Escalation!$B$48,Actuals!AZ27)</f>
        <v/>
      </c>
      <c r="AZ119" s="392">
        <f>IF(ISBLANK(Actuals!BA27),-18750*Escalation!$B$49,Actuals!BA27)</f>
        <v/>
      </c>
      <c r="BA119" s="392">
        <f>IF(ISBLANK(Actuals!BB27),-18750*Escalation!$B$50,Actuals!BB27)</f>
        <v/>
      </c>
      <c r="BB119" s="392">
        <f>IF(ISBLANK(Actuals!BC27),-18750*Escalation!$B$51,Actuals!BC27)</f>
        <v/>
      </c>
      <c r="BC119" s="392">
        <f>IF(ISBLANK(Actuals!BD27),-18750*Escalation!$B$52,Actuals!BD27)</f>
        <v/>
      </c>
      <c r="BD119" s="392">
        <f>IF(ISBLANK(Actuals!BE27),-18750*Escalation!$B$53,Actuals!BE27)</f>
        <v/>
      </c>
      <c r="BE119" s="392">
        <f>IF(ISBLANK(Actuals!BF27),-18750*Escalation!$B$54,Actuals!BF27)</f>
        <v/>
      </c>
      <c r="BF119" s="392">
        <f>IF(ISBLANK(Actuals!BG27),-18750*Escalation!$B$55,Actuals!BG27)</f>
        <v/>
      </c>
      <c r="BG119" s="392">
        <f>IF(ISBLANK(Actuals!BH27),-18750*Escalation!$B$56,Actuals!BH27)</f>
        <v/>
      </c>
      <c r="BH119" s="392">
        <f>IF(ISBLANK(Actuals!BI27),-18750*Escalation!$B$57,Actuals!BI27)</f>
        <v/>
      </c>
      <c r="BI119" s="392">
        <f>IF(ISBLANK(Actuals!BJ27),-18750*Escalation!$B$58,Actuals!BJ27)</f>
        <v/>
      </c>
      <c r="BJ119" s="392">
        <f>IF(ISBLANK(Actuals!BK27),-18750*Escalation!$B$59,Actuals!BK27)</f>
        <v/>
      </c>
      <c r="BK119" s="392">
        <f>IF(ISBLANK(Actuals!BL27),-18750*Escalation!$B$60,Actuals!BL27)</f>
        <v/>
      </c>
      <c r="BL119" s="392">
        <f>IF(ISBLANK(Actuals!BM27),-18750*Escalation!$B$61,Actuals!BM27)</f>
        <v/>
      </c>
      <c r="BM119" s="392">
        <f>IF(ISBLANK(Actuals!BN27),-18750*Escalation!$B$62,Actuals!BN27)</f>
        <v/>
      </c>
      <c r="BN119" s="392">
        <f>IF(ISBLANK(Actuals!BO27),-18750*Escalation!$B$63,Actuals!BO27)</f>
        <v/>
      </c>
      <c r="BO119" s="392">
        <f>IF(ISBLANK(Actuals!BP27),-18750*Escalation!$B$64,Actuals!BP27)</f>
        <v/>
      </c>
      <c r="BP119" s="392">
        <f>IF(ISBLANK(Actuals!BQ27),-18750*Escalation!$B$65,Actuals!BQ27)</f>
        <v/>
      </c>
      <c r="BQ119" s="392">
        <f>IF(ISBLANK(Actuals!BR27),-18750*Escalation!$B$66,Actuals!BR27)</f>
        <v/>
      </c>
      <c r="BR119" s="392">
        <f>IF(ISBLANK(Actuals!BS27),-18750*Escalation!$B$67,Actuals!BS27)</f>
        <v/>
      </c>
      <c r="BS119" s="392">
        <f>IF(ISBLANK(Actuals!BT27),-18750*Escalation!$B$68,Actuals!BT27)</f>
        <v/>
      </c>
      <c r="BT119" s="392">
        <f>IF(ISBLANK(Actuals!BU27),-18750*Escalation!$B$69,Actuals!BU27)</f>
        <v/>
      </c>
      <c r="BU119" s="392">
        <f>IF(ISBLANK(Actuals!BV27),-18750*Escalation!$B$70,Actuals!BV27)</f>
        <v/>
      </c>
      <c r="BV119" s="392">
        <f>IF(ISBLANK(Actuals!BW27),-18750*Escalation!$B$71,Actuals!BW27)</f>
        <v/>
      </c>
      <c r="BW119" s="392">
        <f>IF(ISBLANK(Actuals!BX27),-18750*Escalation!$B$72,Actuals!BX27)</f>
        <v/>
      </c>
      <c r="BX119" s="392">
        <f>IF(ISBLANK(Actuals!BY27),-18750*Escalation!$B$73,Actuals!BY27)</f>
        <v/>
      </c>
      <c r="BY119" s="392">
        <f>IF(ISBLANK(Actuals!BZ27),-18750*Escalation!$B$74,Actuals!BZ27)</f>
        <v/>
      </c>
      <c r="BZ119" s="392">
        <f>IF(ISBLANK(Actuals!CA27),-18750*Escalation!$B$75,Actuals!CA27)</f>
        <v/>
      </c>
      <c r="CA119" s="392">
        <f>IF(ISBLANK(Actuals!CB27),-18750*Escalation!$B$76,Actuals!CB27)</f>
        <v/>
      </c>
      <c r="CB119" s="392">
        <f>IF(ISBLANK(Actuals!CC27),-18750*Escalation!$B$77,Actuals!CC27)</f>
        <v/>
      </c>
      <c r="CC119" s="392">
        <f>IF(ISBLANK(Actuals!CD27),-18750*Escalation!$B$78,Actuals!CD27)</f>
        <v/>
      </c>
      <c r="CD119" s="392">
        <f>IF(ISBLANK(Actuals!CE27),-18750*Escalation!$B$79,Actuals!CE27)</f>
        <v/>
      </c>
      <c r="CE119" s="392">
        <f>IF(ISBLANK(Actuals!CF27),-18750*Escalation!$B$80,Actuals!CF27)</f>
        <v/>
      </c>
      <c r="CF119" s="392">
        <f>IF(ISBLANK(Actuals!CG27),-18750*Escalation!$B$81,Actuals!CG27)</f>
        <v/>
      </c>
      <c r="CG119" s="392">
        <f>IF(ISBLANK(Actuals!CH27),-18750*Escalation!$B$82,Actuals!CH27)</f>
        <v/>
      </c>
      <c r="CH119" s="392">
        <f>IF(ISBLANK(Actuals!CI27),-18750*Escalation!$B$83,Actuals!CI27)</f>
        <v/>
      </c>
      <c r="CI119" s="392">
        <f>IF(ISBLANK(Actuals!CJ27),-18750*Escalation!$B$84,Actuals!CJ27)</f>
        <v/>
      </c>
      <c r="CJ119" s="392">
        <f>IF(ISBLANK(Actuals!CK27),-18750*Escalation!$B$85,Actuals!CK27)</f>
        <v/>
      </c>
      <c r="CK119" s="392">
        <f>IF(ISBLANK(Actuals!CL27),-18750*Escalation!$B$86,Actuals!CL27)</f>
        <v/>
      </c>
      <c r="CL119" s="392">
        <f>IF(ISBLANK(Actuals!CM27),-18750*Escalation!$B$87,Actuals!CM27)</f>
        <v/>
      </c>
      <c r="CM119" s="392">
        <f>IF(ISBLANK(Actuals!CN27),-18750*Escalation!$B$88,Actuals!CN27)</f>
        <v/>
      </c>
      <c r="CN119" s="392">
        <f>IF(ISBLANK(Actuals!CO27),-18750*Escalation!$B$89,Actuals!CO27)</f>
        <v/>
      </c>
      <c r="CO119" s="392">
        <f>IF(ISBLANK(Actuals!CP27),-18750*Escalation!$B$90,Actuals!CP27)</f>
        <v/>
      </c>
      <c r="CP119" s="392">
        <f>IF(ISBLANK(Actuals!CQ27),-18750*Escalation!$B$91,Actuals!CQ27)</f>
        <v/>
      </c>
      <c r="CQ119" s="392">
        <f>IF(ISBLANK(Actuals!CR27),-18750*Escalation!$B$92,Actuals!CR27)</f>
        <v/>
      </c>
      <c r="CR119" s="392">
        <f>IF(ISBLANK(Actuals!CS27),-18750*Escalation!$B$93,Actuals!CS27)</f>
        <v/>
      </c>
      <c r="CS119" s="392">
        <f>IF(ISBLANK(Actuals!CT27),-18750*Escalation!$B$94,Actuals!CT27)</f>
        <v/>
      </c>
      <c r="CT119" s="392">
        <f>IF(ISBLANK(Actuals!CU27),-18750*Escalation!$B$95,Actuals!CU27)</f>
        <v/>
      </c>
      <c r="CU119" s="392">
        <f>IF(ISBLANK(Actuals!CV27),-18750*Escalation!$B$96,Actuals!CV27)</f>
        <v/>
      </c>
      <c r="CV119" s="392">
        <f>IF(ISBLANK(Actuals!CW27),-18750*Escalation!$B$97,Actuals!CW27)</f>
        <v/>
      </c>
      <c r="CW119" s="392">
        <f>IF(ISBLANK(Actuals!CX27),-18750*Escalation!$B$98,Actuals!CX27)</f>
        <v/>
      </c>
      <c r="CX119" s="392">
        <f>IF(ISBLANK(Actuals!CY27),-18750*Escalation!$B$99,Actuals!CY27)</f>
        <v/>
      </c>
      <c r="CY119" s="392">
        <f>IF(ISBLANK(Actuals!CZ27),-18750*Escalation!$B$100,Actuals!CZ27)</f>
        <v/>
      </c>
      <c r="CZ119" s="392">
        <f>IF(ISBLANK(Actuals!DA27),-18750*Escalation!$B$101,Actuals!DA27)</f>
        <v/>
      </c>
      <c r="DA119" s="392">
        <f>IF(ISBLANK(Actuals!DB27),-18750*Escalation!$B$102,Actuals!DB27)</f>
        <v/>
      </c>
      <c r="DB119" s="392">
        <f>IF(ISBLANK(Actuals!DC27),-18750*Escalation!$B$103,Actuals!DC27)</f>
        <v/>
      </c>
      <c r="DC119" s="392">
        <f>IF(ISBLANK(Actuals!DD27),-18750*Escalation!$B$104,Actuals!DD27)</f>
        <v/>
      </c>
      <c r="DD119" s="392">
        <f>IF(ISBLANK(Actuals!DE27),-18750*Escalation!$B$105,Actuals!DE27)</f>
        <v/>
      </c>
      <c r="DE119" s="392">
        <f>IF(ISBLANK(Actuals!DF27),-18750*Escalation!$B$106,Actuals!DF27)</f>
        <v/>
      </c>
    </row>
    <row r="120" ht="15" customFormat="1" customHeight="1" s="380">
      <c r="A120" s="397" t="inlineStr">
        <is>
          <t>5000-1018 Payroll - Self Performed Trades</t>
        </is>
      </c>
      <c r="B120" s="392">
        <f>IF(ISBLANK(Actuals!C28),0,Actuals!C28)</f>
        <v/>
      </c>
      <c r="C120" s="392">
        <f>IF(ISBLANK(Actuals!D28),0,Actuals!D28)</f>
        <v/>
      </c>
      <c r="D120" s="392">
        <f>IF(ISBLANK(Actuals!E28),0,Actuals!E28)</f>
        <v/>
      </c>
      <c r="E120" s="392">
        <f>IF(ISBLANK(Actuals!F28),0*Escalation!$B$2,Actuals!F28)</f>
        <v/>
      </c>
      <c r="F120" s="392">
        <f>IF(ISBLANK(Actuals!G28),0*Escalation!$B$3,Actuals!G28)</f>
        <v/>
      </c>
      <c r="G120" s="392">
        <f>IF(ISBLANK(Actuals!H28),0*Escalation!$B$4,Actuals!H28)</f>
        <v/>
      </c>
      <c r="H120" s="392">
        <f>IF(ISBLANK(Actuals!I28),0*Escalation!$B$5,Actuals!I28)</f>
        <v/>
      </c>
      <c r="I120" s="392">
        <f>IF(ISBLANK(Actuals!J28),0*Escalation!$B$6,Actuals!J28)</f>
        <v/>
      </c>
      <c r="J120" s="392">
        <f>IF(ISBLANK(Actuals!K28),0*Escalation!$B$7,Actuals!K28)</f>
        <v/>
      </c>
      <c r="K120" s="392">
        <f>IF(ISBLANK(Actuals!L28),0*Escalation!$B$8,Actuals!L28)</f>
        <v/>
      </c>
      <c r="L120" s="392">
        <f>IF(ISBLANK(Actuals!M28),0*Escalation!$B$9,Actuals!M28)</f>
        <v/>
      </c>
      <c r="M120" s="392">
        <f>IF(ISBLANK(Actuals!N28),0*Escalation!$B$10,Actuals!N28)</f>
        <v/>
      </c>
      <c r="N120" s="392">
        <f>IF(ISBLANK(Actuals!O28),0*Escalation!$B$11,Actuals!O28)</f>
        <v/>
      </c>
      <c r="O120" s="392">
        <f>IF(ISBLANK(Actuals!P28),0*Escalation!$B$12,Actuals!P28)</f>
        <v/>
      </c>
      <c r="P120" s="392">
        <f>IF(ISBLANK(Actuals!Q28),0*Escalation!$B$13,Actuals!Q28)</f>
        <v/>
      </c>
      <c r="Q120" s="392">
        <f>IF(ISBLANK(Actuals!R28),0*Escalation!$B$14,Actuals!R28)</f>
        <v/>
      </c>
      <c r="R120" s="392">
        <f>IF(ISBLANK(Actuals!S28),0*Escalation!$B$15,Actuals!S28)</f>
        <v/>
      </c>
      <c r="S120" s="392">
        <f>IF(ISBLANK(Actuals!T28),0*Escalation!$B$16,Actuals!T28)</f>
        <v/>
      </c>
      <c r="T120" s="392">
        <f>IF(ISBLANK(Actuals!U28),0*Escalation!$B$17,Actuals!U28)</f>
        <v/>
      </c>
      <c r="U120" s="392">
        <f>IF(ISBLANK(Actuals!V28),0*Escalation!$B$18,Actuals!V28)</f>
        <v/>
      </c>
      <c r="V120" s="392">
        <f>IF(ISBLANK(Actuals!W28),0*Escalation!$B$19,Actuals!W28)</f>
        <v/>
      </c>
      <c r="W120" s="392">
        <f>IF(ISBLANK(Actuals!X28),0*Escalation!$B$20,Actuals!X28)</f>
        <v/>
      </c>
      <c r="X120" s="392">
        <f>IF(ISBLANK(Actuals!Y28),0*Escalation!$B$21,Actuals!Y28)</f>
        <v/>
      </c>
      <c r="Y120" s="392">
        <f>IF(ISBLANK(Actuals!Z28),0*Escalation!$B$22,Actuals!Z28)</f>
        <v/>
      </c>
      <c r="Z120" s="392">
        <f>IF(ISBLANK(Actuals!AA28),0*Escalation!$B$23,Actuals!AA28)</f>
        <v/>
      </c>
      <c r="AA120" s="392">
        <f>IF(ISBLANK(Actuals!AB28),0*Escalation!$B$24,Actuals!AB28)</f>
        <v/>
      </c>
      <c r="AB120" s="392">
        <f>IF(ISBLANK(Actuals!AC28),0*Escalation!$B$25,Actuals!AC28)</f>
        <v/>
      </c>
      <c r="AC120" s="392">
        <f>IF(ISBLANK(Actuals!AD28),0*Escalation!$B$26,Actuals!AD28)</f>
        <v/>
      </c>
      <c r="AD120" s="392">
        <f>IF(ISBLANK(Actuals!AE28),0*Escalation!$B$27,Actuals!AE28)</f>
        <v/>
      </c>
      <c r="AE120" s="392">
        <f>IF(ISBLANK(Actuals!AF28),0*Escalation!$B$28,Actuals!AF28)</f>
        <v/>
      </c>
      <c r="AF120" s="392">
        <f>IF(ISBLANK(Actuals!AG28),0*Escalation!$B$29,Actuals!AG28)</f>
        <v/>
      </c>
      <c r="AG120" s="392">
        <f>IF(ISBLANK(Actuals!AH28),0*Escalation!$B$30,Actuals!AH28)</f>
        <v/>
      </c>
      <c r="AH120" s="392">
        <f>IF(ISBLANK(Actuals!AI28),0*Escalation!$B$31,Actuals!AI28)</f>
        <v/>
      </c>
      <c r="AI120" s="392">
        <f>IF(ISBLANK(Actuals!AJ28),0*Escalation!$B$32,Actuals!AJ28)</f>
        <v/>
      </c>
      <c r="AJ120" s="392">
        <f>IF(ISBLANK(Actuals!AK28),0*Escalation!$B$33,Actuals!AK28)</f>
        <v/>
      </c>
      <c r="AK120" s="392">
        <f>IF(ISBLANK(Actuals!AL28),0*Escalation!$B$34,Actuals!AL28)</f>
        <v/>
      </c>
      <c r="AL120" s="392">
        <f>IF(ISBLANK(Actuals!AM28),0*Escalation!$B$35,Actuals!AM28)</f>
        <v/>
      </c>
      <c r="AM120" s="392">
        <f>IF(ISBLANK(Actuals!AN28),0*Escalation!$B$36,Actuals!AN28)</f>
        <v/>
      </c>
      <c r="AN120" s="392">
        <f>IF(ISBLANK(Actuals!AO28),0*Escalation!$B$37,Actuals!AO28)</f>
        <v/>
      </c>
      <c r="AO120" s="392">
        <f>IF(ISBLANK(Actuals!AP28),0*Escalation!$B$38,Actuals!AP28)</f>
        <v/>
      </c>
      <c r="AP120" s="392">
        <f>IF(ISBLANK(Actuals!AQ28),0*Escalation!$B$39,Actuals!AQ28)</f>
        <v/>
      </c>
      <c r="AQ120" s="392">
        <f>IF(ISBLANK(Actuals!AR28),0*Escalation!$B$40,Actuals!AR28)</f>
        <v/>
      </c>
      <c r="AR120" s="392">
        <f>IF(ISBLANK(Actuals!AS28),0*Escalation!$B$41,Actuals!AS28)</f>
        <v/>
      </c>
      <c r="AS120" s="392">
        <f>IF(ISBLANK(Actuals!AT28),0*Escalation!$B$42,Actuals!AT28)</f>
        <v/>
      </c>
      <c r="AT120" s="392">
        <f>IF(ISBLANK(Actuals!AU28),0*Escalation!$B$43,Actuals!AU28)</f>
        <v/>
      </c>
      <c r="AU120" s="392">
        <f>IF(ISBLANK(Actuals!AV28),0*Escalation!$B$44,Actuals!AV28)</f>
        <v/>
      </c>
      <c r="AV120" s="392">
        <f>IF(ISBLANK(Actuals!AW28),0*Escalation!$B$45,Actuals!AW28)</f>
        <v/>
      </c>
      <c r="AW120" s="392">
        <f>IF(ISBLANK(Actuals!AX28),0*Escalation!$B$46,Actuals!AX28)</f>
        <v/>
      </c>
      <c r="AX120" s="392">
        <f>IF(ISBLANK(Actuals!AY28),0*Escalation!$B$47,Actuals!AY28)</f>
        <v/>
      </c>
      <c r="AY120" s="392">
        <f>IF(ISBLANK(Actuals!AZ28),0*Escalation!$B$48,Actuals!AZ28)</f>
        <v/>
      </c>
      <c r="AZ120" s="392">
        <f>IF(ISBLANK(Actuals!BA28),0*Escalation!$B$49,Actuals!BA28)</f>
        <v/>
      </c>
      <c r="BA120" s="392">
        <f>IF(ISBLANK(Actuals!BB28),0*Escalation!$B$50,Actuals!BB28)</f>
        <v/>
      </c>
      <c r="BB120" s="392">
        <f>IF(ISBLANK(Actuals!BC28),0*Escalation!$B$51,Actuals!BC28)</f>
        <v/>
      </c>
      <c r="BC120" s="392">
        <f>IF(ISBLANK(Actuals!BD28),0*Escalation!$B$52,Actuals!BD28)</f>
        <v/>
      </c>
      <c r="BD120" s="392">
        <f>IF(ISBLANK(Actuals!BE28),0*Escalation!$B$53,Actuals!BE28)</f>
        <v/>
      </c>
      <c r="BE120" s="392">
        <f>IF(ISBLANK(Actuals!BF28),0*Escalation!$B$54,Actuals!BF28)</f>
        <v/>
      </c>
      <c r="BF120" s="392">
        <f>IF(ISBLANK(Actuals!BG28),0*Escalation!$B$55,Actuals!BG28)</f>
        <v/>
      </c>
      <c r="BG120" s="392">
        <f>IF(ISBLANK(Actuals!BH28),0*Escalation!$B$56,Actuals!BH28)</f>
        <v/>
      </c>
      <c r="BH120" s="392">
        <f>IF(ISBLANK(Actuals!BI28),0*Escalation!$B$57,Actuals!BI28)</f>
        <v/>
      </c>
      <c r="BI120" s="392">
        <f>IF(ISBLANK(Actuals!BJ28),0*Escalation!$B$58,Actuals!BJ28)</f>
        <v/>
      </c>
      <c r="BJ120" s="392">
        <f>IF(ISBLANK(Actuals!BK28),0*Escalation!$B$59,Actuals!BK28)</f>
        <v/>
      </c>
      <c r="BK120" s="392">
        <f>IF(ISBLANK(Actuals!BL28),0*Escalation!$B$60,Actuals!BL28)</f>
        <v/>
      </c>
      <c r="BL120" s="392">
        <f>IF(ISBLANK(Actuals!BM28),0*Escalation!$B$61,Actuals!BM28)</f>
        <v/>
      </c>
      <c r="BM120" s="392">
        <f>IF(ISBLANK(Actuals!BN28),0*Escalation!$B$62,Actuals!BN28)</f>
        <v/>
      </c>
      <c r="BN120" s="392">
        <f>IF(ISBLANK(Actuals!BO28),0*Escalation!$B$63,Actuals!BO28)</f>
        <v/>
      </c>
      <c r="BO120" s="392">
        <f>IF(ISBLANK(Actuals!BP28),0*Escalation!$B$64,Actuals!BP28)</f>
        <v/>
      </c>
      <c r="BP120" s="392">
        <f>IF(ISBLANK(Actuals!BQ28),0*Escalation!$B$65,Actuals!BQ28)</f>
        <v/>
      </c>
      <c r="BQ120" s="392">
        <f>IF(ISBLANK(Actuals!BR28),0*Escalation!$B$66,Actuals!BR28)</f>
        <v/>
      </c>
      <c r="BR120" s="392">
        <f>IF(ISBLANK(Actuals!BS28),0*Escalation!$B$67,Actuals!BS28)</f>
        <v/>
      </c>
      <c r="BS120" s="392">
        <f>IF(ISBLANK(Actuals!BT28),0*Escalation!$B$68,Actuals!BT28)</f>
        <v/>
      </c>
      <c r="BT120" s="392">
        <f>IF(ISBLANK(Actuals!BU28),0*Escalation!$B$69,Actuals!BU28)</f>
        <v/>
      </c>
      <c r="BU120" s="392">
        <f>IF(ISBLANK(Actuals!BV28),0*Escalation!$B$70,Actuals!BV28)</f>
        <v/>
      </c>
      <c r="BV120" s="392">
        <f>IF(ISBLANK(Actuals!BW28),0*Escalation!$B$71,Actuals!BW28)</f>
        <v/>
      </c>
      <c r="BW120" s="392">
        <f>IF(ISBLANK(Actuals!BX28),0*Escalation!$B$72,Actuals!BX28)</f>
        <v/>
      </c>
      <c r="BX120" s="392">
        <f>IF(ISBLANK(Actuals!BY28),0*Escalation!$B$73,Actuals!BY28)</f>
        <v/>
      </c>
      <c r="BY120" s="392">
        <f>IF(ISBLANK(Actuals!BZ28),0*Escalation!$B$74,Actuals!BZ28)</f>
        <v/>
      </c>
      <c r="BZ120" s="392">
        <f>IF(ISBLANK(Actuals!CA28),0*Escalation!$B$75,Actuals!CA28)</f>
        <v/>
      </c>
      <c r="CA120" s="392">
        <f>IF(ISBLANK(Actuals!CB28),0*Escalation!$B$76,Actuals!CB28)</f>
        <v/>
      </c>
      <c r="CB120" s="392">
        <f>IF(ISBLANK(Actuals!CC28),0*Escalation!$B$77,Actuals!CC28)</f>
        <v/>
      </c>
      <c r="CC120" s="392">
        <f>IF(ISBLANK(Actuals!CD28),0*Escalation!$B$78,Actuals!CD28)</f>
        <v/>
      </c>
      <c r="CD120" s="392">
        <f>IF(ISBLANK(Actuals!CE28),0*Escalation!$B$79,Actuals!CE28)</f>
        <v/>
      </c>
      <c r="CE120" s="392">
        <f>IF(ISBLANK(Actuals!CF28),0*Escalation!$B$80,Actuals!CF28)</f>
        <v/>
      </c>
      <c r="CF120" s="392">
        <f>IF(ISBLANK(Actuals!CG28),0*Escalation!$B$81,Actuals!CG28)</f>
        <v/>
      </c>
      <c r="CG120" s="392">
        <f>IF(ISBLANK(Actuals!CH28),0*Escalation!$B$82,Actuals!CH28)</f>
        <v/>
      </c>
      <c r="CH120" s="392">
        <f>IF(ISBLANK(Actuals!CI28),0*Escalation!$B$83,Actuals!CI28)</f>
        <v/>
      </c>
      <c r="CI120" s="392">
        <f>IF(ISBLANK(Actuals!CJ28),0*Escalation!$B$84,Actuals!CJ28)</f>
        <v/>
      </c>
      <c r="CJ120" s="392">
        <f>IF(ISBLANK(Actuals!CK28),0*Escalation!$B$85,Actuals!CK28)</f>
        <v/>
      </c>
      <c r="CK120" s="392">
        <f>IF(ISBLANK(Actuals!CL28),0*Escalation!$B$86,Actuals!CL28)</f>
        <v/>
      </c>
      <c r="CL120" s="392">
        <f>IF(ISBLANK(Actuals!CM28),0*Escalation!$B$87,Actuals!CM28)</f>
        <v/>
      </c>
      <c r="CM120" s="392">
        <f>IF(ISBLANK(Actuals!CN28),0*Escalation!$B$88,Actuals!CN28)</f>
        <v/>
      </c>
      <c r="CN120" s="392">
        <f>IF(ISBLANK(Actuals!CO28),0*Escalation!$B$89,Actuals!CO28)</f>
        <v/>
      </c>
      <c r="CO120" s="392">
        <f>IF(ISBLANK(Actuals!CP28),0*Escalation!$B$90,Actuals!CP28)</f>
        <v/>
      </c>
      <c r="CP120" s="392">
        <f>IF(ISBLANK(Actuals!CQ28),0*Escalation!$B$91,Actuals!CQ28)</f>
        <v/>
      </c>
      <c r="CQ120" s="392">
        <f>IF(ISBLANK(Actuals!CR28),0*Escalation!$B$92,Actuals!CR28)</f>
        <v/>
      </c>
      <c r="CR120" s="392">
        <f>IF(ISBLANK(Actuals!CS28),0*Escalation!$B$93,Actuals!CS28)</f>
        <v/>
      </c>
      <c r="CS120" s="392">
        <f>IF(ISBLANK(Actuals!CT28),0*Escalation!$B$94,Actuals!CT28)</f>
        <v/>
      </c>
      <c r="CT120" s="392">
        <f>IF(ISBLANK(Actuals!CU28),0*Escalation!$B$95,Actuals!CU28)</f>
        <v/>
      </c>
      <c r="CU120" s="392">
        <f>IF(ISBLANK(Actuals!CV28),0*Escalation!$B$96,Actuals!CV28)</f>
        <v/>
      </c>
      <c r="CV120" s="392">
        <f>IF(ISBLANK(Actuals!CW28),0*Escalation!$B$97,Actuals!CW28)</f>
        <v/>
      </c>
      <c r="CW120" s="392">
        <f>IF(ISBLANK(Actuals!CX28),0*Escalation!$B$98,Actuals!CX28)</f>
        <v/>
      </c>
      <c r="CX120" s="392">
        <f>IF(ISBLANK(Actuals!CY28),0*Escalation!$B$99,Actuals!CY28)</f>
        <v/>
      </c>
      <c r="CY120" s="392">
        <f>IF(ISBLANK(Actuals!CZ28),0*Escalation!$B$100,Actuals!CZ28)</f>
        <v/>
      </c>
      <c r="CZ120" s="392">
        <f>IF(ISBLANK(Actuals!DA28),0*Escalation!$B$101,Actuals!DA28)</f>
        <v/>
      </c>
      <c r="DA120" s="392">
        <f>IF(ISBLANK(Actuals!DB28),0*Escalation!$B$102,Actuals!DB28)</f>
        <v/>
      </c>
      <c r="DB120" s="392">
        <f>IF(ISBLANK(Actuals!DC28),0*Escalation!$B$103,Actuals!DC28)</f>
        <v/>
      </c>
      <c r="DC120" s="392">
        <f>IF(ISBLANK(Actuals!DD28),0*Escalation!$B$104,Actuals!DD28)</f>
        <v/>
      </c>
      <c r="DD120" s="392">
        <f>IF(ISBLANK(Actuals!DE28),0*Escalation!$B$105,Actuals!DE28)</f>
        <v/>
      </c>
      <c r="DE120" s="392">
        <f>IF(ISBLANK(Actuals!DF28),0*Escalation!$B$106,Actuals!DF28)</f>
        <v/>
      </c>
    </row>
    <row r="121" ht="15" customFormat="1" customHeight="1" s="380">
      <c r="A121" s="397" t="inlineStr">
        <is>
          <t>5100-1000 Rent Expense</t>
        </is>
      </c>
      <c r="B121" s="392">
        <f>IF(ISBLANK(Actuals!C29),0,Actuals!C29)</f>
        <v/>
      </c>
      <c r="C121" s="392">
        <f>IF(ISBLANK(Actuals!D29),0,Actuals!D29)</f>
        <v/>
      </c>
      <c r="D121" s="392">
        <f>IF(ISBLANK(Actuals!E29),0,Actuals!E29)</f>
        <v/>
      </c>
      <c r="E121" s="392">
        <f>IF(ISBLANK(Actuals!F29),-10400*Escalation!$B$2,Actuals!F29)</f>
        <v/>
      </c>
      <c r="F121" s="392">
        <f>IF(ISBLANK(Actuals!G29),-10400*Escalation!$B$3,Actuals!G29)</f>
        <v/>
      </c>
      <c r="G121" s="392">
        <f>IF(ISBLANK(Actuals!H29),-10400*Escalation!$B$4,Actuals!H29)</f>
        <v/>
      </c>
      <c r="H121" s="392">
        <f>IF(ISBLANK(Actuals!I29),-10400*Escalation!$B$5,Actuals!I29)</f>
        <v/>
      </c>
      <c r="I121" s="392">
        <f>IF(ISBLANK(Actuals!J29),-10400*Escalation!$B$6,Actuals!J29)</f>
        <v/>
      </c>
      <c r="J121" s="392">
        <f>IF(ISBLANK(Actuals!K29),-10400*Escalation!$B$7,Actuals!K29)</f>
        <v/>
      </c>
      <c r="K121" s="392">
        <f>IF(ISBLANK(Actuals!L29),-10400*Escalation!$B$8,Actuals!L29)</f>
        <v/>
      </c>
      <c r="L121" s="392">
        <f>IF(ISBLANK(Actuals!M29),-10400*Escalation!$B$9,Actuals!M29)</f>
        <v/>
      </c>
      <c r="M121" s="392">
        <f>IF(ISBLANK(Actuals!N29),-10400*Escalation!$B$10,Actuals!N29)</f>
        <v/>
      </c>
      <c r="N121" s="392">
        <f>IF(ISBLANK(Actuals!O29),-10400*Escalation!$B$11,Actuals!O29)</f>
        <v/>
      </c>
      <c r="O121" s="392">
        <f>IF(ISBLANK(Actuals!P29),-10400*Escalation!$B$12,Actuals!P29)</f>
        <v/>
      </c>
      <c r="P121" s="392">
        <f>IF(ISBLANK(Actuals!Q29),-10400*Escalation!$B$13,Actuals!Q29)</f>
        <v/>
      </c>
      <c r="Q121" s="392">
        <f>IF(ISBLANK(Actuals!R29),-10400*Escalation!$B$14,Actuals!R29)</f>
        <v/>
      </c>
      <c r="R121" s="392">
        <f>IF(ISBLANK(Actuals!S29),-10400*Escalation!$B$15,Actuals!S29)</f>
        <v/>
      </c>
      <c r="S121" s="392">
        <f>IF(ISBLANK(Actuals!T29),-10400*Escalation!$B$16,Actuals!T29)</f>
        <v/>
      </c>
      <c r="T121" s="392">
        <f>IF(ISBLANK(Actuals!U29),-10400*Escalation!$B$17,Actuals!U29)</f>
        <v/>
      </c>
      <c r="U121" s="392">
        <f>IF(ISBLANK(Actuals!V29),-10400*Escalation!$B$18,Actuals!V29)</f>
        <v/>
      </c>
      <c r="V121" s="392">
        <f>IF(ISBLANK(Actuals!W29),-10400*Escalation!$B$19,Actuals!W29)</f>
        <v/>
      </c>
      <c r="W121" s="392">
        <f>IF(ISBLANK(Actuals!X29),-10400*Escalation!$B$20,Actuals!X29)</f>
        <v/>
      </c>
      <c r="X121" s="392">
        <f>IF(ISBLANK(Actuals!Y29),-10400*Escalation!$B$21,Actuals!Y29)</f>
        <v/>
      </c>
      <c r="Y121" s="392">
        <f>IF(ISBLANK(Actuals!Z29),-10400*Escalation!$B$22,Actuals!Z29)</f>
        <v/>
      </c>
      <c r="Z121" s="392">
        <f>IF(ISBLANK(Actuals!AA29),-10400*Escalation!$B$23,Actuals!AA29)</f>
        <v/>
      </c>
      <c r="AA121" s="392">
        <f>IF(ISBLANK(Actuals!AB29),-10400*Escalation!$B$24,Actuals!AB29)</f>
        <v/>
      </c>
      <c r="AB121" s="392">
        <f>IF(ISBLANK(Actuals!AC29),-10400*Escalation!$B$25,Actuals!AC29)</f>
        <v/>
      </c>
      <c r="AC121" s="392">
        <f>IF(ISBLANK(Actuals!AD29),-10400*Escalation!$B$26,Actuals!AD29)</f>
        <v/>
      </c>
      <c r="AD121" s="392">
        <f>IF(ISBLANK(Actuals!AE29),-10400*Escalation!$B$27,Actuals!AE29)</f>
        <v/>
      </c>
      <c r="AE121" s="392">
        <f>IF(ISBLANK(Actuals!AF29),-10400*Escalation!$B$28,Actuals!AF29)</f>
        <v/>
      </c>
      <c r="AF121" s="392">
        <f>IF(ISBLANK(Actuals!AG29),-10400*Escalation!$B$29,Actuals!AG29)</f>
        <v/>
      </c>
      <c r="AG121" s="392">
        <f>IF(ISBLANK(Actuals!AH29),-10400*Escalation!$B$30,Actuals!AH29)</f>
        <v/>
      </c>
      <c r="AH121" s="392">
        <f>IF(ISBLANK(Actuals!AI29),-10400*Escalation!$B$31,Actuals!AI29)</f>
        <v/>
      </c>
      <c r="AI121" s="392">
        <f>IF(ISBLANK(Actuals!AJ29),-10400*Escalation!$B$32,Actuals!AJ29)</f>
        <v/>
      </c>
      <c r="AJ121" s="392">
        <f>IF(ISBLANK(Actuals!AK29),-10400*Escalation!$B$33,Actuals!AK29)</f>
        <v/>
      </c>
      <c r="AK121" s="392">
        <f>IF(ISBLANK(Actuals!AL29),-10400*Escalation!$B$34,Actuals!AL29)</f>
        <v/>
      </c>
      <c r="AL121" s="392">
        <f>IF(ISBLANK(Actuals!AM29),-10400*Escalation!$B$35,Actuals!AM29)</f>
        <v/>
      </c>
      <c r="AM121" s="392">
        <f>IF(ISBLANK(Actuals!AN29),-10400*Escalation!$B$36,Actuals!AN29)</f>
        <v/>
      </c>
      <c r="AN121" s="392">
        <f>IF(ISBLANK(Actuals!AO29),-10400*Escalation!$B$37,Actuals!AO29)</f>
        <v/>
      </c>
      <c r="AO121" s="392">
        <f>IF(ISBLANK(Actuals!AP29),-10400*Escalation!$B$38,Actuals!AP29)</f>
        <v/>
      </c>
      <c r="AP121" s="392">
        <f>IF(ISBLANK(Actuals!AQ29),-10400*Escalation!$B$39,Actuals!AQ29)</f>
        <v/>
      </c>
      <c r="AQ121" s="392">
        <f>IF(ISBLANK(Actuals!AR29),-10400*Escalation!$B$40,Actuals!AR29)</f>
        <v/>
      </c>
      <c r="AR121" s="392">
        <f>IF(ISBLANK(Actuals!AS29),-10400*Escalation!$B$41,Actuals!AS29)</f>
        <v/>
      </c>
      <c r="AS121" s="392">
        <f>IF(ISBLANK(Actuals!AT29),-10400*Escalation!$B$42,Actuals!AT29)</f>
        <v/>
      </c>
      <c r="AT121" s="392">
        <f>IF(ISBLANK(Actuals!AU29),-10400*Escalation!$B$43,Actuals!AU29)</f>
        <v/>
      </c>
      <c r="AU121" s="392">
        <f>IF(ISBLANK(Actuals!AV29),-10400*Escalation!$B$44,Actuals!AV29)</f>
        <v/>
      </c>
      <c r="AV121" s="392">
        <f>IF(ISBLANK(Actuals!AW29),-10400*Escalation!$B$45,Actuals!AW29)</f>
        <v/>
      </c>
      <c r="AW121" s="392">
        <f>IF(ISBLANK(Actuals!AX29),-10400*Escalation!$B$46,Actuals!AX29)</f>
        <v/>
      </c>
      <c r="AX121" s="392">
        <f>IF(ISBLANK(Actuals!AY29),-10400*Escalation!$B$47,Actuals!AY29)</f>
        <v/>
      </c>
      <c r="AY121" s="392">
        <f>IF(ISBLANK(Actuals!AZ29),-10400*Escalation!$B$48,Actuals!AZ29)</f>
        <v/>
      </c>
      <c r="AZ121" s="392">
        <f>IF(ISBLANK(Actuals!BA29),-10400*Escalation!$B$49,Actuals!BA29)</f>
        <v/>
      </c>
      <c r="BA121" s="392">
        <f>IF(ISBLANK(Actuals!BB29),-10400*Escalation!$B$50,Actuals!BB29)</f>
        <v/>
      </c>
      <c r="BB121" s="392">
        <f>IF(ISBLANK(Actuals!BC29),-10400*Escalation!$B$51,Actuals!BC29)</f>
        <v/>
      </c>
      <c r="BC121" s="392">
        <f>IF(ISBLANK(Actuals!BD29),-10400*Escalation!$B$52,Actuals!BD29)</f>
        <v/>
      </c>
      <c r="BD121" s="392">
        <f>IF(ISBLANK(Actuals!BE29),-10400*Escalation!$B$53,Actuals!BE29)</f>
        <v/>
      </c>
      <c r="BE121" s="392">
        <f>IF(ISBLANK(Actuals!BF29),-10400*Escalation!$B$54,Actuals!BF29)</f>
        <v/>
      </c>
      <c r="BF121" s="392">
        <f>IF(ISBLANK(Actuals!BG29),-10400*Escalation!$B$55,Actuals!BG29)</f>
        <v/>
      </c>
      <c r="BG121" s="392">
        <f>IF(ISBLANK(Actuals!BH29),-10400*Escalation!$B$56,Actuals!BH29)</f>
        <v/>
      </c>
      <c r="BH121" s="392">
        <f>IF(ISBLANK(Actuals!BI29),-10400*Escalation!$B$57,Actuals!BI29)</f>
        <v/>
      </c>
      <c r="BI121" s="392">
        <f>IF(ISBLANK(Actuals!BJ29),-10400*Escalation!$B$58,Actuals!BJ29)</f>
        <v/>
      </c>
      <c r="BJ121" s="392">
        <f>IF(ISBLANK(Actuals!BK29),-10400*Escalation!$B$59,Actuals!BK29)</f>
        <v/>
      </c>
      <c r="BK121" s="392">
        <f>IF(ISBLANK(Actuals!BL29),-10400*Escalation!$B$60,Actuals!BL29)</f>
        <v/>
      </c>
      <c r="BL121" s="392">
        <f>IF(ISBLANK(Actuals!BM29),-10400*Escalation!$B$61,Actuals!BM29)</f>
        <v/>
      </c>
      <c r="BM121" s="392">
        <f>IF(ISBLANK(Actuals!BN29),-10400*Escalation!$B$62,Actuals!BN29)</f>
        <v/>
      </c>
      <c r="BN121" s="392">
        <f>IF(ISBLANK(Actuals!BO29),-10400*Escalation!$B$63,Actuals!BO29)</f>
        <v/>
      </c>
      <c r="BO121" s="392">
        <f>IF(ISBLANK(Actuals!BP29),-10400*Escalation!$B$64,Actuals!BP29)</f>
        <v/>
      </c>
      <c r="BP121" s="392">
        <f>IF(ISBLANK(Actuals!BQ29),-10400*Escalation!$B$65,Actuals!BQ29)</f>
        <v/>
      </c>
      <c r="BQ121" s="392">
        <f>IF(ISBLANK(Actuals!BR29),-10400*Escalation!$B$66,Actuals!BR29)</f>
        <v/>
      </c>
      <c r="BR121" s="392">
        <f>IF(ISBLANK(Actuals!BS29),-10400*Escalation!$B$67,Actuals!BS29)</f>
        <v/>
      </c>
      <c r="BS121" s="392">
        <f>IF(ISBLANK(Actuals!BT29),-10400*Escalation!$B$68,Actuals!BT29)</f>
        <v/>
      </c>
      <c r="BT121" s="392">
        <f>IF(ISBLANK(Actuals!BU29),-10400*Escalation!$B$69,Actuals!BU29)</f>
        <v/>
      </c>
      <c r="BU121" s="392">
        <f>IF(ISBLANK(Actuals!BV29),-10400*Escalation!$B$70,Actuals!BV29)</f>
        <v/>
      </c>
      <c r="BV121" s="392">
        <f>IF(ISBLANK(Actuals!BW29),-10400*Escalation!$B$71,Actuals!BW29)</f>
        <v/>
      </c>
      <c r="BW121" s="392">
        <f>IF(ISBLANK(Actuals!BX29),-10400*Escalation!$B$72,Actuals!BX29)</f>
        <v/>
      </c>
      <c r="BX121" s="392">
        <f>IF(ISBLANK(Actuals!BY29),-10400*Escalation!$B$73,Actuals!BY29)</f>
        <v/>
      </c>
      <c r="BY121" s="392">
        <f>IF(ISBLANK(Actuals!BZ29),-10400*Escalation!$B$74,Actuals!BZ29)</f>
        <v/>
      </c>
      <c r="BZ121" s="392">
        <f>IF(ISBLANK(Actuals!CA29),-10400*Escalation!$B$75,Actuals!CA29)</f>
        <v/>
      </c>
      <c r="CA121" s="392">
        <f>IF(ISBLANK(Actuals!CB29),-10400*Escalation!$B$76,Actuals!CB29)</f>
        <v/>
      </c>
      <c r="CB121" s="392">
        <f>IF(ISBLANK(Actuals!CC29),-10400*Escalation!$B$77,Actuals!CC29)</f>
        <v/>
      </c>
      <c r="CC121" s="392">
        <f>IF(ISBLANK(Actuals!CD29),-10400*Escalation!$B$78,Actuals!CD29)</f>
        <v/>
      </c>
      <c r="CD121" s="392">
        <f>IF(ISBLANK(Actuals!CE29),-10400*Escalation!$B$79,Actuals!CE29)</f>
        <v/>
      </c>
      <c r="CE121" s="392">
        <f>IF(ISBLANK(Actuals!CF29),-10400*Escalation!$B$80,Actuals!CF29)</f>
        <v/>
      </c>
      <c r="CF121" s="392">
        <f>IF(ISBLANK(Actuals!CG29),-10400*Escalation!$B$81,Actuals!CG29)</f>
        <v/>
      </c>
      <c r="CG121" s="392">
        <f>IF(ISBLANK(Actuals!CH29),-10400*Escalation!$B$82,Actuals!CH29)</f>
        <v/>
      </c>
      <c r="CH121" s="392">
        <f>IF(ISBLANK(Actuals!CI29),-10400*Escalation!$B$83,Actuals!CI29)</f>
        <v/>
      </c>
      <c r="CI121" s="392">
        <f>IF(ISBLANK(Actuals!CJ29),-10400*Escalation!$B$84,Actuals!CJ29)</f>
        <v/>
      </c>
      <c r="CJ121" s="392">
        <f>IF(ISBLANK(Actuals!CK29),-10400*Escalation!$B$85,Actuals!CK29)</f>
        <v/>
      </c>
      <c r="CK121" s="392">
        <f>IF(ISBLANK(Actuals!CL29),-10400*Escalation!$B$86,Actuals!CL29)</f>
        <v/>
      </c>
      <c r="CL121" s="392">
        <f>IF(ISBLANK(Actuals!CM29),-10400*Escalation!$B$87,Actuals!CM29)</f>
        <v/>
      </c>
      <c r="CM121" s="392">
        <f>IF(ISBLANK(Actuals!CN29),-10400*Escalation!$B$88,Actuals!CN29)</f>
        <v/>
      </c>
      <c r="CN121" s="392">
        <f>IF(ISBLANK(Actuals!CO29),-10400*Escalation!$B$89,Actuals!CO29)</f>
        <v/>
      </c>
      <c r="CO121" s="392">
        <f>IF(ISBLANK(Actuals!CP29),-10400*Escalation!$B$90,Actuals!CP29)</f>
        <v/>
      </c>
      <c r="CP121" s="392">
        <f>IF(ISBLANK(Actuals!CQ29),-10400*Escalation!$B$91,Actuals!CQ29)</f>
        <v/>
      </c>
      <c r="CQ121" s="392">
        <f>IF(ISBLANK(Actuals!CR29),-10400*Escalation!$B$92,Actuals!CR29)</f>
        <v/>
      </c>
      <c r="CR121" s="392">
        <f>IF(ISBLANK(Actuals!CS29),-10400*Escalation!$B$93,Actuals!CS29)</f>
        <v/>
      </c>
      <c r="CS121" s="392">
        <f>IF(ISBLANK(Actuals!CT29),-10400*Escalation!$B$94,Actuals!CT29)</f>
        <v/>
      </c>
      <c r="CT121" s="392">
        <f>IF(ISBLANK(Actuals!CU29),-10400*Escalation!$B$95,Actuals!CU29)</f>
        <v/>
      </c>
      <c r="CU121" s="392">
        <f>IF(ISBLANK(Actuals!CV29),-10400*Escalation!$B$96,Actuals!CV29)</f>
        <v/>
      </c>
      <c r="CV121" s="392">
        <f>IF(ISBLANK(Actuals!CW29),-10400*Escalation!$B$97,Actuals!CW29)</f>
        <v/>
      </c>
      <c r="CW121" s="392">
        <f>IF(ISBLANK(Actuals!CX29),-10400*Escalation!$B$98,Actuals!CX29)</f>
        <v/>
      </c>
      <c r="CX121" s="392">
        <f>IF(ISBLANK(Actuals!CY29),-10400*Escalation!$B$99,Actuals!CY29)</f>
        <v/>
      </c>
      <c r="CY121" s="392">
        <f>IF(ISBLANK(Actuals!CZ29),-10400*Escalation!$B$100,Actuals!CZ29)</f>
        <v/>
      </c>
      <c r="CZ121" s="392">
        <f>IF(ISBLANK(Actuals!DA29),-10400*Escalation!$B$101,Actuals!DA29)</f>
        <v/>
      </c>
      <c r="DA121" s="392">
        <f>IF(ISBLANK(Actuals!DB29),-10400*Escalation!$B$102,Actuals!DB29)</f>
        <v/>
      </c>
      <c r="DB121" s="392">
        <f>IF(ISBLANK(Actuals!DC29),-10400*Escalation!$B$103,Actuals!DC29)</f>
        <v/>
      </c>
      <c r="DC121" s="392">
        <f>IF(ISBLANK(Actuals!DD29),-10400*Escalation!$B$104,Actuals!DD29)</f>
        <v/>
      </c>
      <c r="DD121" s="392">
        <f>IF(ISBLANK(Actuals!DE29),-10400*Escalation!$B$105,Actuals!DE29)</f>
        <v/>
      </c>
      <c r="DE121" s="392">
        <f>IF(ISBLANK(Actuals!DF29),-10400*Escalation!$B$106,Actuals!DF29)</f>
        <v/>
      </c>
    </row>
    <row r="122" ht="15" customFormat="1" customHeight="1" s="380">
      <c r="A122" s="397" t="inlineStr">
        <is>
          <t>5200-1000 Office Supplies and Expenses</t>
        </is>
      </c>
      <c r="B122" s="392">
        <f>IF(ISBLANK(Actuals!C30),0,Actuals!C30)</f>
        <v/>
      </c>
      <c r="C122" s="392">
        <f>IF(ISBLANK(Actuals!D30),0,Actuals!D30)</f>
        <v/>
      </c>
      <c r="D122" s="392">
        <f>IF(ISBLANK(Actuals!E30),0,Actuals!E30)</f>
        <v/>
      </c>
      <c r="E122" s="392">
        <f>IF(ISBLANK(Actuals!F30),-4024.64*Escalation!$B$2,Actuals!F30)</f>
        <v/>
      </c>
      <c r="F122" s="392">
        <f>IF(ISBLANK(Actuals!G30),-4024.64*Escalation!$B$3,Actuals!G30)</f>
        <v/>
      </c>
      <c r="G122" s="392">
        <f>IF(ISBLANK(Actuals!H30),-4024.64*Escalation!$B$4,Actuals!H30)</f>
        <v/>
      </c>
      <c r="H122" s="392">
        <f>IF(ISBLANK(Actuals!I30),-4024.64*Escalation!$B$5,Actuals!I30)</f>
        <v/>
      </c>
      <c r="I122" s="392">
        <f>IF(ISBLANK(Actuals!J30),-4024.64*Escalation!$B$6,Actuals!J30)</f>
        <v/>
      </c>
      <c r="J122" s="392">
        <f>IF(ISBLANK(Actuals!K30),-4024.64*Escalation!$B$7,Actuals!K30)</f>
        <v/>
      </c>
      <c r="K122" s="392">
        <f>IF(ISBLANK(Actuals!L30),-4024.64*Escalation!$B$8,Actuals!L30)</f>
        <v/>
      </c>
      <c r="L122" s="392">
        <f>IF(ISBLANK(Actuals!M30),-4024.64*Escalation!$B$9,Actuals!M30)</f>
        <v/>
      </c>
      <c r="M122" s="392">
        <f>IF(ISBLANK(Actuals!N30),-4024.64*Escalation!$B$10,Actuals!N30)</f>
        <v/>
      </c>
      <c r="N122" s="392">
        <f>IF(ISBLANK(Actuals!O30),-4024.64*Escalation!$B$11,Actuals!O30)</f>
        <v/>
      </c>
      <c r="O122" s="392">
        <f>IF(ISBLANK(Actuals!P30),-4024.64*Escalation!$B$12,Actuals!P30)</f>
        <v/>
      </c>
      <c r="P122" s="392">
        <f>IF(ISBLANK(Actuals!Q30),-4024.64*Escalation!$B$13,Actuals!Q30)</f>
        <v/>
      </c>
      <c r="Q122" s="392">
        <f>IF(ISBLANK(Actuals!R30),-4024.64*Escalation!$B$14,Actuals!R30)</f>
        <v/>
      </c>
      <c r="R122" s="392">
        <f>IF(ISBLANK(Actuals!S30),-4024.64*Escalation!$B$15,Actuals!S30)</f>
        <v/>
      </c>
      <c r="S122" s="392">
        <f>IF(ISBLANK(Actuals!T30),-4024.64*Escalation!$B$16,Actuals!T30)</f>
        <v/>
      </c>
      <c r="T122" s="392">
        <f>IF(ISBLANK(Actuals!U30),-4024.64*Escalation!$B$17,Actuals!U30)</f>
        <v/>
      </c>
      <c r="U122" s="392">
        <f>IF(ISBLANK(Actuals!V30),-4024.64*Escalation!$B$18,Actuals!V30)</f>
        <v/>
      </c>
      <c r="V122" s="392">
        <f>IF(ISBLANK(Actuals!W30),-4024.64*Escalation!$B$19,Actuals!W30)</f>
        <v/>
      </c>
      <c r="W122" s="392">
        <f>IF(ISBLANK(Actuals!X30),-4024.64*Escalation!$B$20,Actuals!X30)</f>
        <v/>
      </c>
      <c r="X122" s="392">
        <f>IF(ISBLANK(Actuals!Y30),-4024.64*Escalation!$B$21,Actuals!Y30)</f>
        <v/>
      </c>
      <c r="Y122" s="392">
        <f>IF(ISBLANK(Actuals!Z30),-4024.64*Escalation!$B$22,Actuals!Z30)</f>
        <v/>
      </c>
      <c r="Z122" s="392">
        <f>IF(ISBLANK(Actuals!AA30),-4024.64*Escalation!$B$23,Actuals!AA30)</f>
        <v/>
      </c>
      <c r="AA122" s="392">
        <f>IF(ISBLANK(Actuals!AB30),-4024.64*Escalation!$B$24,Actuals!AB30)</f>
        <v/>
      </c>
      <c r="AB122" s="392">
        <f>IF(ISBLANK(Actuals!AC30),-4024.64*Escalation!$B$25,Actuals!AC30)</f>
        <v/>
      </c>
      <c r="AC122" s="392">
        <f>IF(ISBLANK(Actuals!AD30),-4024.64*Escalation!$B$26,Actuals!AD30)</f>
        <v/>
      </c>
      <c r="AD122" s="392">
        <f>IF(ISBLANK(Actuals!AE30),-4024.64*Escalation!$B$27,Actuals!AE30)</f>
        <v/>
      </c>
      <c r="AE122" s="392">
        <f>IF(ISBLANK(Actuals!AF30),-4024.64*Escalation!$B$28,Actuals!AF30)</f>
        <v/>
      </c>
      <c r="AF122" s="392">
        <f>IF(ISBLANK(Actuals!AG30),-4024.64*Escalation!$B$29,Actuals!AG30)</f>
        <v/>
      </c>
      <c r="AG122" s="392">
        <f>IF(ISBLANK(Actuals!AH30),-4024.64*Escalation!$B$30,Actuals!AH30)</f>
        <v/>
      </c>
      <c r="AH122" s="392">
        <f>IF(ISBLANK(Actuals!AI30),-4024.64*Escalation!$B$31,Actuals!AI30)</f>
        <v/>
      </c>
      <c r="AI122" s="392">
        <f>IF(ISBLANK(Actuals!AJ30),-4024.64*Escalation!$B$32,Actuals!AJ30)</f>
        <v/>
      </c>
      <c r="AJ122" s="392">
        <f>IF(ISBLANK(Actuals!AK30),-4024.64*Escalation!$B$33,Actuals!AK30)</f>
        <v/>
      </c>
      <c r="AK122" s="392">
        <f>IF(ISBLANK(Actuals!AL30),-4024.64*Escalation!$B$34,Actuals!AL30)</f>
        <v/>
      </c>
      <c r="AL122" s="392">
        <f>IF(ISBLANK(Actuals!AM30),-4024.64*Escalation!$B$35,Actuals!AM30)</f>
        <v/>
      </c>
      <c r="AM122" s="392">
        <f>IF(ISBLANK(Actuals!AN30),-4024.64*Escalation!$B$36,Actuals!AN30)</f>
        <v/>
      </c>
      <c r="AN122" s="392">
        <f>IF(ISBLANK(Actuals!AO30),-4024.64*Escalation!$B$37,Actuals!AO30)</f>
        <v/>
      </c>
      <c r="AO122" s="392">
        <f>IF(ISBLANK(Actuals!AP30),-4024.64*Escalation!$B$38,Actuals!AP30)</f>
        <v/>
      </c>
      <c r="AP122" s="392">
        <f>IF(ISBLANK(Actuals!AQ30),-4024.64*Escalation!$B$39,Actuals!AQ30)</f>
        <v/>
      </c>
      <c r="AQ122" s="392">
        <f>IF(ISBLANK(Actuals!AR30),-4024.64*Escalation!$B$40,Actuals!AR30)</f>
        <v/>
      </c>
      <c r="AR122" s="392">
        <f>IF(ISBLANK(Actuals!AS30),-4024.64*Escalation!$B$41,Actuals!AS30)</f>
        <v/>
      </c>
      <c r="AS122" s="392">
        <f>IF(ISBLANK(Actuals!AT30),-4024.64*Escalation!$B$42,Actuals!AT30)</f>
        <v/>
      </c>
      <c r="AT122" s="392">
        <f>IF(ISBLANK(Actuals!AU30),-4024.64*Escalation!$B$43,Actuals!AU30)</f>
        <v/>
      </c>
      <c r="AU122" s="392">
        <f>IF(ISBLANK(Actuals!AV30),-4024.64*Escalation!$B$44,Actuals!AV30)</f>
        <v/>
      </c>
      <c r="AV122" s="392">
        <f>IF(ISBLANK(Actuals!AW30),-4024.64*Escalation!$B$45,Actuals!AW30)</f>
        <v/>
      </c>
      <c r="AW122" s="392">
        <f>IF(ISBLANK(Actuals!AX30),-4024.64*Escalation!$B$46,Actuals!AX30)</f>
        <v/>
      </c>
      <c r="AX122" s="392">
        <f>IF(ISBLANK(Actuals!AY30),-4024.64*Escalation!$B$47,Actuals!AY30)</f>
        <v/>
      </c>
      <c r="AY122" s="392">
        <f>IF(ISBLANK(Actuals!AZ30),-4024.64*Escalation!$B$48,Actuals!AZ30)</f>
        <v/>
      </c>
      <c r="AZ122" s="392">
        <f>IF(ISBLANK(Actuals!BA30),-4024.64*Escalation!$B$49,Actuals!BA30)</f>
        <v/>
      </c>
      <c r="BA122" s="392">
        <f>IF(ISBLANK(Actuals!BB30),-4024.64*Escalation!$B$50,Actuals!BB30)</f>
        <v/>
      </c>
      <c r="BB122" s="392">
        <f>IF(ISBLANK(Actuals!BC30),-4024.64*Escalation!$B$51,Actuals!BC30)</f>
        <v/>
      </c>
      <c r="BC122" s="392">
        <f>IF(ISBLANK(Actuals!BD30),-4024.64*Escalation!$B$52,Actuals!BD30)</f>
        <v/>
      </c>
      <c r="BD122" s="392">
        <f>IF(ISBLANK(Actuals!BE30),-4024.64*Escalation!$B$53,Actuals!BE30)</f>
        <v/>
      </c>
      <c r="BE122" s="392">
        <f>IF(ISBLANK(Actuals!BF30),-4024.64*Escalation!$B$54,Actuals!BF30)</f>
        <v/>
      </c>
      <c r="BF122" s="392">
        <f>IF(ISBLANK(Actuals!BG30),-4024.64*Escalation!$B$55,Actuals!BG30)</f>
        <v/>
      </c>
      <c r="BG122" s="392">
        <f>IF(ISBLANK(Actuals!BH30),-4024.64*Escalation!$B$56,Actuals!BH30)</f>
        <v/>
      </c>
      <c r="BH122" s="392">
        <f>IF(ISBLANK(Actuals!BI30),-4024.64*Escalation!$B$57,Actuals!BI30)</f>
        <v/>
      </c>
      <c r="BI122" s="392">
        <f>IF(ISBLANK(Actuals!BJ30),-4024.64*Escalation!$B$58,Actuals!BJ30)</f>
        <v/>
      </c>
      <c r="BJ122" s="392">
        <f>IF(ISBLANK(Actuals!BK30),-4024.64*Escalation!$B$59,Actuals!BK30)</f>
        <v/>
      </c>
      <c r="BK122" s="392">
        <f>IF(ISBLANK(Actuals!BL30),-4024.64*Escalation!$B$60,Actuals!BL30)</f>
        <v/>
      </c>
      <c r="BL122" s="392">
        <f>IF(ISBLANK(Actuals!BM30),-4024.64*Escalation!$B$61,Actuals!BM30)</f>
        <v/>
      </c>
      <c r="BM122" s="392">
        <f>IF(ISBLANK(Actuals!BN30),-4024.64*Escalation!$B$62,Actuals!BN30)</f>
        <v/>
      </c>
      <c r="BN122" s="392">
        <f>IF(ISBLANK(Actuals!BO30),-4024.64*Escalation!$B$63,Actuals!BO30)</f>
        <v/>
      </c>
      <c r="BO122" s="392">
        <f>IF(ISBLANK(Actuals!BP30),-4024.64*Escalation!$B$64,Actuals!BP30)</f>
        <v/>
      </c>
      <c r="BP122" s="392">
        <f>IF(ISBLANK(Actuals!BQ30),-4024.64*Escalation!$B$65,Actuals!BQ30)</f>
        <v/>
      </c>
      <c r="BQ122" s="392">
        <f>IF(ISBLANK(Actuals!BR30),-4024.64*Escalation!$B$66,Actuals!BR30)</f>
        <v/>
      </c>
      <c r="BR122" s="392">
        <f>IF(ISBLANK(Actuals!BS30),-4024.64*Escalation!$B$67,Actuals!BS30)</f>
        <v/>
      </c>
      <c r="BS122" s="392">
        <f>IF(ISBLANK(Actuals!BT30),-4024.64*Escalation!$B$68,Actuals!BT30)</f>
        <v/>
      </c>
      <c r="BT122" s="392">
        <f>IF(ISBLANK(Actuals!BU30),-4024.64*Escalation!$B$69,Actuals!BU30)</f>
        <v/>
      </c>
      <c r="BU122" s="392">
        <f>IF(ISBLANK(Actuals!BV30),-4024.64*Escalation!$B$70,Actuals!BV30)</f>
        <v/>
      </c>
      <c r="BV122" s="392">
        <f>IF(ISBLANK(Actuals!BW30),-4024.64*Escalation!$B$71,Actuals!BW30)</f>
        <v/>
      </c>
      <c r="BW122" s="392">
        <f>IF(ISBLANK(Actuals!BX30),-4024.64*Escalation!$B$72,Actuals!BX30)</f>
        <v/>
      </c>
      <c r="BX122" s="392">
        <f>IF(ISBLANK(Actuals!BY30),-4024.64*Escalation!$B$73,Actuals!BY30)</f>
        <v/>
      </c>
      <c r="BY122" s="392">
        <f>IF(ISBLANK(Actuals!BZ30),-4024.64*Escalation!$B$74,Actuals!BZ30)</f>
        <v/>
      </c>
      <c r="BZ122" s="392">
        <f>IF(ISBLANK(Actuals!CA30),-4024.64*Escalation!$B$75,Actuals!CA30)</f>
        <v/>
      </c>
      <c r="CA122" s="392">
        <f>IF(ISBLANK(Actuals!CB30),-4024.64*Escalation!$B$76,Actuals!CB30)</f>
        <v/>
      </c>
      <c r="CB122" s="392">
        <f>IF(ISBLANK(Actuals!CC30),-4024.64*Escalation!$B$77,Actuals!CC30)</f>
        <v/>
      </c>
      <c r="CC122" s="392">
        <f>IF(ISBLANK(Actuals!CD30),-4024.64*Escalation!$B$78,Actuals!CD30)</f>
        <v/>
      </c>
      <c r="CD122" s="392">
        <f>IF(ISBLANK(Actuals!CE30),-4024.64*Escalation!$B$79,Actuals!CE30)</f>
        <v/>
      </c>
      <c r="CE122" s="392">
        <f>IF(ISBLANK(Actuals!CF30),-4024.64*Escalation!$B$80,Actuals!CF30)</f>
        <v/>
      </c>
      <c r="CF122" s="392">
        <f>IF(ISBLANK(Actuals!CG30),-4024.64*Escalation!$B$81,Actuals!CG30)</f>
        <v/>
      </c>
      <c r="CG122" s="392">
        <f>IF(ISBLANK(Actuals!CH30),-4024.64*Escalation!$B$82,Actuals!CH30)</f>
        <v/>
      </c>
      <c r="CH122" s="392">
        <f>IF(ISBLANK(Actuals!CI30),-4024.64*Escalation!$B$83,Actuals!CI30)</f>
        <v/>
      </c>
      <c r="CI122" s="392">
        <f>IF(ISBLANK(Actuals!CJ30),-4024.64*Escalation!$B$84,Actuals!CJ30)</f>
        <v/>
      </c>
      <c r="CJ122" s="392">
        <f>IF(ISBLANK(Actuals!CK30),-4024.64*Escalation!$B$85,Actuals!CK30)</f>
        <v/>
      </c>
      <c r="CK122" s="392">
        <f>IF(ISBLANK(Actuals!CL30),-4024.64*Escalation!$B$86,Actuals!CL30)</f>
        <v/>
      </c>
      <c r="CL122" s="392">
        <f>IF(ISBLANK(Actuals!CM30),-4024.64*Escalation!$B$87,Actuals!CM30)</f>
        <v/>
      </c>
      <c r="CM122" s="392">
        <f>IF(ISBLANK(Actuals!CN30),-4024.64*Escalation!$B$88,Actuals!CN30)</f>
        <v/>
      </c>
      <c r="CN122" s="392">
        <f>IF(ISBLANK(Actuals!CO30),-4024.64*Escalation!$B$89,Actuals!CO30)</f>
        <v/>
      </c>
      <c r="CO122" s="392">
        <f>IF(ISBLANK(Actuals!CP30),-4024.64*Escalation!$B$90,Actuals!CP30)</f>
        <v/>
      </c>
      <c r="CP122" s="392">
        <f>IF(ISBLANK(Actuals!CQ30),-4024.64*Escalation!$B$91,Actuals!CQ30)</f>
        <v/>
      </c>
      <c r="CQ122" s="392">
        <f>IF(ISBLANK(Actuals!CR30),-4024.64*Escalation!$B$92,Actuals!CR30)</f>
        <v/>
      </c>
      <c r="CR122" s="392">
        <f>IF(ISBLANK(Actuals!CS30),-4024.64*Escalation!$B$93,Actuals!CS30)</f>
        <v/>
      </c>
      <c r="CS122" s="392">
        <f>IF(ISBLANK(Actuals!CT30),-4024.64*Escalation!$B$94,Actuals!CT30)</f>
        <v/>
      </c>
      <c r="CT122" s="392">
        <f>IF(ISBLANK(Actuals!CU30),-4024.64*Escalation!$B$95,Actuals!CU30)</f>
        <v/>
      </c>
      <c r="CU122" s="392">
        <f>IF(ISBLANK(Actuals!CV30),-4024.64*Escalation!$B$96,Actuals!CV30)</f>
        <v/>
      </c>
      <c r="CV122" s="392">
        <f>IF(ISBLANK(Actuals!CW30),-4024.64*Escalation!$B$97,Actuals!CW30)</f>
        <v/>
      </c>
      <c r="CW122" s="392">
        <f>IF(ISBLANK(Actuals!CX30),-4024.64*Escalation!$B$98,Actuals!CX30)</f>
        <v/>
      </c>
      <c r="CX122" s="392">
        <f>IF(ISBLANK(Actuals!CY30),-4024.64*Escalation!$B$99,Actuals!CY30)</f>
        <v/>
      </c>
      <c r="CY122" s="392">
        <f>IF(ISBLANK(Actuals!CZ30),-4024.64*Escalation!$B$100,Actuals!CZ30)</f>
        <v/>
      </c>
      <c r="CZ122" s="392">
        <f>IF(ISBLANK(Actuals!DA30),-4024.64*Escalation!$B$101,Actuals!DA30)</f>
        <v/>
      </c>
      <c r="DA122" s="392">
        <f>IF(ISBLANK(Actuals!DB30),-4024.64*Escalation!$B$102,Actuals!DB30)</f>
        <v/>
      </c>
      <c r="DB122" s="392">
        <f>IF(ISBLANK(Actuals!DC30),-4024.64*Escalation!$B$103,Actuals!DC30)</f>
        <v/>
      </c>
      <c r="DC122" s="392">
        <f>IF(ISBLANK(Actuals!DD30),-4024.64*Escalation!$B$104,Actuals!DD30)</f>
        <v/>
      </c>
      <c r="DD122" s="392">
        <f>IF(ISBLANK(Actuals!DE30),-4024.64*Escalation!$B$105,Actuals!DE30)</f>
        <v/>
      </c>
      <c r="DE122" s="392">
        <f>IF(ISBLANK(Actuals!DF30),-4024.64*Escalation!$B$106,Actuals!DF30)</f>
        <v/>
      </c>
    </row>
    <row r="123" ht="15" customFormat="1" customHeight="1" s="380">
      <c r="A123" s="397" t="inlineStr">
        <is>
          <t>5200-1002 Printing and Reproduction</t>
        </is>
      </c>
      <c r="B123" s="392">
        <f>IF(ISBLANK(Actuals!C31),0,Actuals!C31)</f>
        <v/>
      </c>
      <c r="C123" s="392">
        <f>IF(ISBLANK(Actuals!D31),0,Actuals!D31)</f>
        <v/>
      </c>
      <c r="D123" s="392">
        <f>IF(ISBLANK(Actuals!E31),0,Actuals!E31)</f>
        <v/>
      </c>
      <c r="E123" s="392">
        <f>IF(ISBLANK(Actuals!F31),-359.13*Escalation!$B$2,Actuals!F31)</f>
        <v/>
      </c>
      <c r="F123" s="392">
        <f>IF(ISBLANK(Actuals!G31),-359.13*Escalation!$B$3,Actuals!G31)</f>
        <v/>
      </c>
      <c r="G123" s="392">
        <f>IF(ISBLANK(Actuals!H31),-359.13*Escalation!$B$4,Actuals!H31)</f>
        <v/>
      </c>
      <c r="H123" s="392">
        <f>IF(ISBLANK(Actuals!I31),-359.13*Escalation!$B$5,Actuals!I31)</f>
        <v/>
      </c>
      <c r="I123" s="392">
        <f>IF(ISBLANK(Actuals!J31),-359.13*Escalation!$B$6,Actuals!J31)</f>
        <v/>
      </c>
      <c r="J123" s="392">
        <f>IF(ISBLANK(Actuals!K31),-359.13*Escalation!$B$7,Actuals!K31)</f>
        <v/>
      </c>
      <c r="K123" s="392">
        <f>IF(ISBLANK(Actuals!L31),-359.13*Escalation!$B$8,Actuals!L31)</f>
        <v/>
      </c>
      <c r="L123" s="392">
        <f>IF(ISBLANK(Actuals!M31),-359.13*Escalation!$B$9,Actuals!M31)</f>
        <v/>
      </c>
      <c r="M123" s="392">
        <f>IF(ISBLANK(Actuals!N31),-359.13*Escalation!$B$10,Actuals!N31)</f>
        <v/>
      </c>
      <c r="N123" s="392">
        <f>IF(ISBLANK(Actuals!O31),-359.13*Escalation!$B$11,Actuals!O31)</f>
        <v/>
      </c>
      <c r="O123" s="392">
        <f>IF(ISBLANK(Actuals!P31),-359.13*Escalation!$B$12,Actuals!P31)</f>
        <v/>
      </c>
      <c r="P123" s="392">
        <f>IF(ISBLANK(Actuals!Q31),-359.13*Escalation!$B$13,Actuals!Q31)</f>
        <v/>
      </c>
      <c r="Q123" s="392">
        <f>IF(ISBLANK(Actuals!R31),-359.13*Escalation!$B$14,Actuals!R31)</f>
        <v/>
      </c>
      <c r="R123" s="392">
        <f>IF(ISBLANK(Actuals!S31),-359.13*Escalation!$B$15,Actuals!S31)</f>
        <v/>
      </c>
      <c r="S123" s="392">
        <f>IF(ISBLANK(Actuals!T31),-359.13*Escalation!$B$16,Actuals!T31)</f>
        <v/>
      </c>
      <c r="T123" s="392">
        <f>IF(ISBLANK(Actuals!U31),-359.13*Escalation!$B$17,Actuals!U31)</f>
        <v/>
      </c>
      <c r="U123" s="392">
        <f>IF(ISBLANK(Actuals!V31),-359.13*Escalation!$B$18,Actuals!V31)</f>
        <v/>
      </c>
      <c r="V123" s="392">
        <f>IF(ISBLANK(Actuals!W31),-359.13*Escalation!$B$19,Actuals!W31)</f>
        <v/>
      </c>
      <c r="W123" s="392">
        <f>IF(ISBLANK(Actuals!X31),-359.13*Escalation!$B$20,Actuals!X31)</f>
        <v/>
      </c>
      <c r="X123" s="392">
        <f>IF(ISBLANK(Actuals!Y31),-359.13*Escalation!$B$21,Actuals!Y31)</f>
        <v/>
      </c>
      <c r="Y123" s="392">
        <f>IF(ISBLANK(Actuals!Z31),-359.13*Escalation!$B$22,Actuals!Z31)</f>
        <v/>
      </c>
      <c r="Z123" s="392">
        <f>IF(ISBLANK(Actuals!AA31),-359.13*Escalation!$B$23,Actuals!AA31)</f>
        <v/>
      </c>
      <c r="AA123" s="392">
        <f>IF(ISBLANK(Actuals!AB31),-359.13*Escalation!$B$24,Actuals!AB31)</f>
        <v/>
      </c>
      <c r="AB123" s="392">
        <f>IF(ISBLANK(Actuals!AC31),-359.13*Escalation!$B$25,Actuals!AC31)</f>
        <v/>
      </c>
      <c r="AC123" s="392">
        <f>IF(ISBLANK(Actuals!AD31),-359.13*Escalation!$B$26,Actuals!AD31)</f>
        <v/>
      </c>
      <c r="AD123" s="392">
        <f>IF(ISBLANK(Actuals!AE31),-359.13*Escalation!$B$27,Actuals!AE31)</f>
        <v/>
      </c>
      <c r="AE123" s="392">
        <f>IF(ISBLANK(Actuals!AF31),-359.13*Escalation!$B$28,Actuals!AF31)</f>
        <v/>
      </c>
      <c r="AF123" s="392">
        <f>IF(ISBLANK(Actuals!AG31),-359.13*Escalation!$B$29,Actuals!AG31)</f>
        <v/>
      </c>
      <c r="AG123" s="392">
        <f>IF(ISBLANK(Actuals!AH31),-359.13*Escalation!$B$30,Actuals!AH31)</f>
        <v/>
      </c>
      <c r="AH123" s="392">
        <f>IF(ISBLANK(Actuals!AI31),-359.13*Escalation!$B$31,Actuals!AI31)</f>
        <v/>
      </c>
      <c r="AI123" s="392">
        <f>IF(ISBLANK(Actuals!AJ31),-359.13*Escalation!$B$32,Actuals!AJ31)</f>
        <v/>
      </c>
      <c r="AJ123" s="392">
        <f>IF(ISBLANK(Actuals!AK31),-359.13*Escalation!$B$33,Actuals!AK31)</f>
        <v/>
      </c>
      <c r="AK123" s="392">
        <f>IF(ISBLANK(Actuals!AL31),-359.13*Escalation!$B$34,Actuals!AL31)</f>
        <v/>
      </c>
      <c r="AL123" s="392">
        <f>IF(ISBLANK(Actuals!AM31),-359.13*Escalation!$B$35,Actuals!AM31)</f>
        <v/>
      </c>
      <c r="AM123" s="392">
        <f>IF(ISBLANK(Actuals!AN31),-359.13*Escalation!$B$36,Actuals!AN31)</f>
        <v/>
      </c>
      <c r="AN123" s="392">
        <f>IF(ISBLANK(Actuals!AO31),-359.13*Escalation!$B$37,Actuals!AO31)</f>
        <v/>
      </c>
      <c r="AO123" s="392">
        <f>IF(ISBLANK(Actuals!AP31),-359.13*Escalation!$B$38,Actuals!AP31)</f>
        <v/>
      </c>
      <c r="AP123" s="392">
        <f>IF(ISBLANK(Actuals!AQ31),-359.13*Escalation!$B$39,Actuals!AQ31)</f>
        <v/>
      </c>
      <c r="AQ123" s="392">
        <f>IF(ISBLANK(Actuals!AR31),-359.13*Escalation!$B$40,Actuals!AR31)</f>
        <v/>
      </c>
      <c r="AR123" s="392">
        <f>IF(ISBLANK(Actuals!AS31),-359.13*Escalation!$B$41,Actuals!AS31)</f>
        <v/>
      </c>
      <c r="AS123" s="392">
        <f>IF(ISBLANK(Actuals!AT31),-359.13*Escalation!$B$42,Actuals!AT31)</f>
        <v/>
      </c>
      <c r="AT123" s="392">
        <f>IF(ISBLANK(Actuals!AU31),-359.13*Escalation!$B$43,Actuals!AU31)</f>
        <v/>
      </c>
      <c r="AU123" s="392">
        <f>IF(ISBLANK(Actuals!AV31),-359.13*Escalation!$B$44,Actuals!AV31)</f>
        <v/>
      </c>
      <c r="AV123" s="392">
        <f>IF(ISBLANK(Actuals!AW31),-359.13*Escalation!$B$45,Actuals!AW31)</f>
        <v/>
      </c>
      <c r="AW123" s="392">
        <f>IF(ISBLANK(Actuals!AX31),-359.13*Escalation!$B$46,Actuals!AX31)</f>
        <v/>
      </c>
      <c r="AX123" s="392">
        <f>IF(ISBLANK(Actuals!AY31),-359.13*Escalation!$B$47,Actuals!AY31)</f>
        <v/>
      </c>
      <c r="AY123" s="392">
        <f>IF(ISBLANK(Actuals!AZ31),-359.13*Escalation!$B$48,Actuals!AZ31)</f>
        <v/>
      </c>
      <c r="AZ123" s="392">
        <f>IF(ISBLANK(Actuals!BA31),-359.13*Escalation!$B$49,Actuals!BA31)</f>
        <v/>
      </c>
      <c r="BA123" s="392">
        <f>IF(ISBLANK(Actuals!BB31),-359.13*Escalation!$B$50,Actuals!BB31)</f>
        <v/>
      </c>
      <c r="BB123" s="392">
        <f>IF(ISBLANK(Actuals!BC31),-359.13*Escalation!$B$51,Actuals!BC31)</f>
        <v/>
      </c>
      <c r="BC123" s="392">
        <f>IF(ISBLANK(Actuals!BD31),-359.13*Escalation!$B$52,Actuals!BD31)</f>
        <v/>
      </c>
      <c r="BD123" s="392">
        <f>IF(ISBLANK(Actuals!BE31),-359.13*Escalation!$B$53,Actuals!BE31)</f>
        <v/>
      </c>
      <c r="BE123" s="392">
        <f>IF(ISBLANK(Actuals!BF31),-359.13*Escalation!$B$54,Actuals!BF31)</f>
        <v/>
      </c>
      <c r="BF123" s="392">
        <f>IF(ISBLANK(Actuals!BG31),-359.13*Escalation!$B$55,Actuals!BG31)</f>
        <v/>
      </c>
      <c r="BG123" s="392">
        <f>IF(ISBLANK(Actuals!BH31),-359.13*Escalation!$B$56,Actuals!BH31)</f>
        <v/>
      </c>
      <c r="BH123" s="392">
        <f>IF(ISBLANK(Actuals!BI31),-359.13*Escalation!$B$57,Actuals!BI31)</f>
        <v/>
      </c>
      <c r="BI123" s="392">
        <f>IF(ISBLANK(Actuals!BJ31),-359.13*Escalation!$B$58,Actuals!BJ31)</f>
        <v/>
      </c>
      <c r="BJ123" s="392">
        <f>IF(ISBLANK(Actuals!BK31),-359.13*Escalation!$B$59,Actuals!BK31)</f>
        <v/>
      </c>
      <c r="BK123" s="392">
        <f>IF(ISBLANK(Actuals!BL31),-359.13*Escalation!$B$60,Actuals!BL31)</f>
        <v/>
      </c>
      <c r="BL123" s="392">
        <f>IF(ISBLANK(Actuals!BM31),-359.13*Escalation!$B$61,Actuals!BM31)</f>
        <v/>
      </c>
      <c r="BM123" s="392">
        <f>IF(ISBLANK(Actuals!BN31),-359.13*Escalation!$B$62,Actuals!BN31)</f>
        <v/>
      </c>
      <c r="BN123" s="392">
        <f>IF(ISBLANK(Actuals!BO31),-359.13*Escalation!$B$63,Actuals!BO31)</f>
        <v/>
      </c>
      <c r="BO123" s="392">
        <f>IF(ISBLANK(Actuals!BP31),-359.13*Escalation!$B$64,Actuals!BP31)</f>
        <v/>
      </c>
      <c r="BP123" s="392">
        <f>IF(ISBLANK(Actuals!BQ31),-359.13*Escalation!$B$65,Actuals!BQ31)</f>
        <v/>
      </c>
      <c r="BQ123" s="392">
        <f>IF(ISBLANK(Actuals!BR31),-359.13*Escalation!$B$66,Actuals!BR31)</f>
        <v/>
      </c>
      <c r="BR123" s="392">
        <f>IF(ISBLANK(Actuals!BS31),-359.13*Escalation!$B$67,Actuals!BS31)</f>
        <v/>
      </c>
      <c r="BS123" s="392">
        <f>IF(ISBLANK(Actuals!BT31),-359.13*Escalation!$B$68,Actuals!BT31)</f>
        <v/>
      </c>
      <c r="BT123" s="392">
        <f>IF(ISBLANK(Actuals!BU31),-359.13*Escalation!$B$69,Actuals!BU31)</f>
        <v/>
      </c>
      <c r="BU123" s="392">
        <f>IF(ISBLANK(Actuals!BV31),-359.13*Escalation!$B$70,Actuals!BV31)</f>
        <v/>
      </c>
      <c r="BV123" s="392">
        <f>IF(ISBLANK(Actuals!BW31),-359.13*Escalation!$B$71,Actuals!BW31)</f>
        <v/>
      </c>
      <c r="BW123" s="392">
        <f>IF(ISBLANK(Actuals!BX31),-359.13*Escalation!$B$72,Actuals!BX31)</f>
        <v/>
      </c>
      <c r="BX123" s="392">
        <f>IF(ISBLANK(Actuals!BY31),-359.13*Escalation!$B$73,Actuals!BY31)</f>
        <v/>
      </c>
      <c r="BY123" s="392">
        <f>IF(ISBLANK(Actuals!BZ31),-359.13*Escalation!$B$74,Actuals!BZ31)</f>
        <v/>
      </c>
      <c r="BZ123" s="392">
        <f>IF(ISBLANK(Actuals!CA31),-359.13*Escalation!$B$75,Actuals!CA31)</f>
        <v/>
      </c>
      <c r="CA123" s="392">
        <f>IF(ISBLANK(Actuals!CB31),-359.13*Escalation!$B$76,Actuals!CB31)</f>
        <v/>
      </c>
      <c r="CB123" s="392">
        <f>IF(ISBLANK(Actuals!CC31),-359.13*Escalation!$B$77,Actuals!CC31)</f>
        <v/>
      </c>
      <c r="CC123" s="392">
        <f>IF(ISBLANK(Actuals!CD31),-359.13*Escalation!$B$78,Actuals!CD31)</f>
        <v/>
      </c>
      <c r="CD123" s="392">
        <f>IF(ISBLANK(Actuals!CE31),-359.13*Escalation!$B$79,Actuals!CE31)</f>
        <v/>
      </c>
      <c r="CE123" s="392">
        <f>IF(ISBLANK(Actuals!CF31),-359.13*Escalation!$B$80,Actuals!CF31)</f>
        <v/>
      </c>
      <c r="CF123" s="392">
        <f>IF(ISBLANK(Actuals!CG31),-359.13*Escalation!$B$81,Actuals!CG31)</f>
        <v/>
      </c>
      <c r="CG123" s="392">
        <f>IF(ISBLANK(Actuals!CH31),-359.13*Escalation!$B$82,Actuals!CH31)</f>
        <v/>
      </c>
      <c r="CH123" s="392">
        <f>IF(ISBLANK(Actuals!CI31),-359.13*Escalation!$B$83,Actuals!CI31)</f>
        <v/>
      </c>
      <c r="CI123" s="392">
        <f>IF(ISBLANK(Actuals!CJ31),-359.13*Escalation!$B$84,Actuals!CJ31)</f>
        <v/>
      </c>
      <c r="CJ123" s="392">
        <f>IF(ISBLANK(Actuals!CK31),-359.13*Escalation!$B$85,Actuals!CK31)</f>
        <v/>
      </c>
      <c r="CK123" s="392">
        <f>IF(ISBLANK(Actuals!CL31),-359.13*Escalation!$B$86,Actuals!CL31)</f>
        <v/>
      </c>
      <c r="CL123" s="392">
        <f>IF(ISBLANK(Actuals!CM31),-359.13*Escalation!$B$87,Actuals!CM31)</f>
        <v/>
      </c>
      <c r="CM123" s="392">
        <f>IF(ISBLANK(Actuals!CN31),-359.13*Escalation!$B$88,Actuals!CN31)</f>
        <v/>
      </c>
      <c r="CN123" s="392">
        <f>IF(ISBLANK(Actuals!CO31),-359.13*Escalation!$B$89,Actuals!CO31)</f>
        <v/>
      </c>
      <c r="CO123" s="392">
        <f>IF(ISBLANK(Actuals!CP31),-359.13*Escalation!$B$90,Actuals!CP31)</f>
        <v/>
      </c>
      <c r="CP123" s="392">
        <f>IF(ISBLANK(Actuals!CQ31),-359.13*Escalation!$B$91,Actuals!CQ31)</f>
        <v/>
      </c>
      <c r="CQ123" s="392">
        <f>IF(ISBLANK(Actuals!CR31),-359.13*Escalation!$B$92,Actuals!CR31)</f>
        <v/>
      </c>
      <c r="CR123" s="392">
        <f>IF(ISBLANK(Actuals!CS31),-359.13*Escalation!$B$93,Actuals!CS31)</f>
        <v/>
      </c>
      <c r="CS123" s="392">
        <f>IF(ISBLANK(Actuals!CT31),-359.13*Escalation!$B$94,Actuals!CT31)</f>
        <v/>
      </c>
      <c r="CT123" s="392">
        <f>IF(ISBLANK(Actuals!CU31),-359.13*Escalation!$B$95,Actuals!CU31)</f>
        <v/>
      </c>
      <c r="CU123" s="392">
        <f>IF(ISBLANK(Actuals!CV31),-359.13*Escalation!$B$96,Actuals!CV31)</f>
        <v/>
      </c>
      <c r="CV123" s="392">
        <f>IF(ISBLANK(Actuals!CW31),-359.13*Escalation!$B$97,Actuals!CW31)</f>
        <v/>
      </c>
      <c r="CW123" s="392">
        <f>IF(ISBLANK(Actuals!CX31),-359.13*Escalation!$B$98,Actuals!CX31)</f>
        <v/>
      </c>
      <c r="CX123" s="392">
        <f>IF(ISBLANK(Actuals!CY31),-359.13*Escalation!$B$99,Actuals!CY31)</f>
        <v/>
      </c>
      <c r="CY123" s="392">
        <f>IF(ISBLANK(Actuals!CZ31),-359.13*Escalation!$B$100,Actuals!CZ31)</f>
        <v/>
      </c>
      <c r="CZ123" s="392">
        <f>IF(ISBLANK(Actuals!DA31),-359.13*Escalation!$B$101,Actuals!DA31)</f>
        <v/>
      </c>
      <c r="DA123" s="392">
        <f>IF(ISBLANK(Actuals!DB31),-359.13*Escalation!$B$102,Actuals!DB31)</f>
        <v/>
      </c>
      <c r="DB123" s="392">
        <f>IF(ISBLANK(Actuals!DC31),-359.13*Escalation!$B$103,Actuals!DC31)</f>
        <v/>
      </c>
      <c r="DC123" s="392">
        <f>IF(ISBLANK(Actuals!DD31),-359.13*Escalation!$B$104,Actuals!DD31)</f>
        <v/>
      </c>
      <c r="DD123" s="392">
        <f>IF(ISBLANK(Actuals!DE31),-359.13*Escalation!$B$105,Actuals!DE31)</f>
        <v/>
      </c>
      <c r="DE123" s="392">
        <f>IF(ISBLANK(Actuals!DF31),-359.13*Escalation!$B$106,Actuals!DF31)</f>
        <v/>
      </c>
    </row>
    <row r="124" ht="15" customFormat="1" customHeight="1" s="380">
      <c r="A124" s="397" t="inlineStr">
        <is>
          <t>5200-1050 Computer and IT Expenses</t>
        </is>
      </c>
      <c r="B124" s="392">
        <f>IF(ISBLANK(Actuals!C32),0,Actuals!C32)</f>
        <v/>
      </c>
      <c r="C124" s="392">
        <f>IF(ISBLANK(Actuals!D32),0,Actuals!D32)</f>
        <v/>
      </c>
      <c r="D124" s="392">
        <f>IF(ISBLANK(Actuals!E32),0,Actuals!E32)</f>
        <v/>
      </c>
      <c r="E124" s="392">
        <f>IF(ISBLANK(Actuals!F32),-26.33*Escalation!$B$2,Actuals!F32)</f>
        <v/>
      </c>
      <c r="F124" s="392">
        <f>IF(ISBLANK(Actuals!G32),-26.33*Escalation!$B$3,Actuals!G32)</f>
        <v/>
      </c>
      <c r="G124" s="392">
        <f>IF(ISBLANK(Actuals!H32),-26.33*Escalation!$B$4,Actuals!H32)</f>
        <v/>
      </c>
      <c r="H124" s="392">
        <f>IF(ISBLANK(Actuals!I32),-26.33*Escalation!$B$5,Actuals!I32)</f>
        <v/>
      </c>
      <c r="I124" s="392">
        <f>IF(ISBLANK(Actuals!J32),-26.33*Escalation!$B$6,Actuals!J32)</f>
        <v/>
      </c>
      <c r="J124" s="392">
        <f>IF(ISBLANK(Actuals!K32),-26.33*Escalation!$B$7,Actuals!K32)</f>
        <v/>
      </c>
      <c r="K124" s="392">
        <f>IF(ISBLANK(Actuals!L32),-26.33*Escalation!$B$8,Actuals!L32)</f>
        <v/>
      </c>
      <c r="L124" s="392">
        <f>IF(ISBLANK(Actuals!M32),-26.33*Escalation!$B$9,Actuals!M32)</f>
        <v/>
      </c>
      <c r="M124" s="392">
        <f>IF(ISBLANK(Actuals!N32),-26.33*Escalation!$B$10,Actuals!N32)</f>
        <v/>
      </c>
      <c r="N124" s="392">
        <f>IF(ISBLANK(Actuals!O32),-26.33*Escalation!$B$11,Actuals!O32)</f>
        <v/>
      </c>
      <c r="O124" s="392">
        <f>IF(ISBLANK(Actuals!P32),-26.33*Escalation!$B$12,Actuals!P32)</f>
        <v/>
      </c>
      <c r="P124" s="392">
        <f>IF(ISBLANK(Actuals!Q32),-26.33*Escalation!$B$13,Actuals!Q32)</f>
        <v/>
      </c>
      <c r="Q124" s="392">
        <f>IF(ISBLANK(Actuals!R32),-26.33*Escalation!$B$14,Actuals!R32)</f>
        <v/>
      </c>
      <c r="R124" s="392">
        <f>IF(ISBLANK(Actuals!S32),-26.33*Escalation!$B$15,Actuals!S32)</f>
        <v/>
      </c>
      <c r="S124" s="392">
        <f>IF(ISBLANK(Actuals!T32),-26.33*Escalation!$B$16,Actuals!T32)</f>
        <v/>
      </c>
      <c r="T124" s="392">
        <f>IF(ISBLANK(Actuals!U32),-26.33*Escalation!$B$17,Actuals!U32)</f>
        <v/>
      </c>
      <c r="U124" s="392">
        <f>IF(ISBLANK(Actuals!V32),-26.33*Escalation!$B$18,Actuals!V32)</f>
        <v/>
      </c>
      <c r="V124" s="392">
        <f>IF(ISBLANK(Actuals!W32),-26.33*Escalation!$B$19,Actuals!W32)</f>
        <v/>
      </c>
      <c r="W124" s="392">
        <f>IF(ISBLANK(Actuals!X32),-26.33*Escalation!$B$20,Actuals!X32)</f>
        <v/>
      </c>
      <c r="X124" s="392">
        <f>IF(ISBLANK(Actuals!Y32),-26.33*Escalation!$B$21,Actuals!Y32)</f>
        <v/>
      </c>
      <c r="Y124" s="392">
        <f>IF(ISBLANK(Actuals!Z32),-26.33*Escalation!$B$22,Actuals!Z32)</f>
        <v/>
      </c>
      <c r="Z124" s="392">
        <f>IF(ISBLANK(Actuals!AA32),-26.33*Escalation!$B$23,Actuals!AA32)</f>
        <v/>
      </c>
      <c r="AA124" s="392">
        <f>IF(ISBLANK(Actuals!AB32),-26.33*Escalation!$B$24,Actuals!AB32)</f>
        <v/>
      </c>
      <c r="AB124" s="392">
        <f>IF(ISBLANK(Actuals!AC32),-26.33*Escalation!$B$25,Actuals!AC32)</f>
        <v/>
      </c>
      <c r="AC124" s="392">
        <f>IF(ISBLANK(Actuals!AD32),-26.33*Escalation!$B$26,Actuals!AD32)</f>
        <v/>
      </c>
      <c r="AD124" s="392">
        <f>IF(ISBLANK(Actuals!AE32),-26.33*Escalation!$B$27,Actuals!AE32)</f>
        <v/>
      </c>
      <c r="AE124" s="392">
        <f>IF(ISBLANK(Actuals!AF32),-26.33*Escalation!$B$28,Actuals!AF32)</f>
        <v/>
      </c>
      <c r="AF124" s="392">
        <f>IF(ISBLANK(Actuals!AG32),-26.33*Escalation!$B$29,Actuals!AG32)</f>
        <v/>
      </c>
      <c r="AG124" s="392">
        <f>IF(ISBLANK(Actuals!AH32),-26.33*Escalation!$B$30,Actuals!AH32)</f>
        <v/>
      </c>
      <c r="AH124" s="392">
        <f>IF(ISBLANK(Actuals!AI32),-26.33*Escalation!$B$31,Actuals!AI32)</f>
        <v/>
      </c>
      <c r="AI124" s="392">
        <f>IF(ISBLANK(Actuals!AJ32),-26.33*Escalation!$B$32,Actuals!AJ32)</f>
        <v/>
      </c>
      <c r="AJ124" s="392">
        <f>IF(ISBLANK(Actuals!AK32),-26.33*Escalation!$B$33,Actuals!AK32)</f>
        <v/>
      </c>
      <c r="AK124" s="392">
        <f>IF(ISBLANK(Actuals!AL32),-26.33*Escalation!$B$34,Actuals!AL32)</f>
        <v/>
      </c>
      <c r="AL124" s="392">
        <f>IF(ISBLANK(Actuals!AM32),-26.33*Escalation!$B$35,Actuals!AM32)</f>
        <v/>
      </c>
      <c r="AM124" s="392">
        <f>IF(ISBLANK(Actuals!AN32),-26.33*Escalation!$B$36,Actuals!AN32)</f>
        <v/>
      </c>
      <c r="AN124" s="392">
        <f>IF(ISBLANK(Actuals!AO32),-26.33*Escalation!$B$37,Actuals!AO32)</f>
        <v/>
      </c>
      <c r="AO124" s="392">
        <f>IF(ISBLANK(Actuals!AP32),-26.33*Escalation!$B$38,Actuals!AP32)</f>
        <v/>
      </c>
      <c r="AP124" s="392">
        <f>IF(ISBLANK(Actuals!AQ32),-26.33*Escalation!$B$39,Actuals!AQ32)</f>
        <v/>
      </c>
      <c r="AQ124" s="392">
        <f>IF(ISBLANK(Actuals!AR32),-26.33*Escalation!$B$40,Actuals!AR32)</f>
        <v/>
      </c>
      <c r="AR124" s="392">
        <f>IF(ISBLANK(Actuals!AS32),-26.33*Escalation!$B$41,Actuals!AS32)</f>
        <v/>
      </c>
      <c r="AS124" s="392">
        <f>IF(ISBLANK(Actuals!AT32),-26.33*Escalation!$B$42,Actuals!AT32)</f>
        <v/>
      </c>
      <c r="AT124" s="392">
        <f>IF(ISBLANK(Actuals!AU32),-26.33*Escalation!$B$43,Actuals!AU32)</f>
        <v/>
      </c>
      <c r="AU124" s="392">
        <f>IF(ISBLANK(Actuals!AV32),-26.33*Escalation!$B$44,Actuals!AV32)</f>
        <v/>
      </c>
      <c r="AV124" s="392">
        <f>IF(ISBLANK(Actuals!AW32),-26.33*Escalation!$B$45,Actuals!AW32)</f>
        <v/>
      </c>
      <c r="AW124" s="392">
        <f>IF(ISBLANK(Actuals!AX32),-26.33*Escalation!$B$46,Actuals!AX32)</f>
        <v/>
      </c>
      <c r="AX124" s="392">
        <f>IF(ISBLANK(Actuals!AY32),-26.33*Escalation!$B$47,Actuals!AY32)</f>
        <v/>
      </c>
      <c r="AY124" s="392">
        <f>IF(ISBLANK(Actuals!AZ32),-26.33*Escalation!$B$48,Actuals!AZ32)</f>
        <v/>
      </c>
      <c r="AZ124" s="392">
        <f>IF(ISBLANK(Actuals!BA32),-26.33*Escalation!$B$49,Actuals!BA32)</f>
        <v/>
      </c>
      <c r="BA124" s="392">
        <f>IF(ISBLANK(Actuals!BB32),-26.33*Escalation!$B$50,Actuals!BB32)</f>
        <v/>
      </c>
      <c r="BB124" s="392">
        <f>IF(ISBLANK(Actuals!BC32),-26.33*Escalation!$B$51,Actuals!BC32)</f>
        <v/>
      </c>
      <c r="BC124" s="392">
        <f>IF(ISBLANK(Actuals!BD32),-26.33*Escalation!$B$52,Actuals!BD32)</f>
        <v/>
      </c>
      <c r="BD124" s="392">
        <f>IF(ISBLANK(Actuals!BE32),-26.33*Escalation!$B$53,Actuals!BE32)</f>
        <v/>
      </c>
      <c r="BE124" s="392">
        <f>IF(ISBLANK(Actuals!BF32),-26.33*Escalation!$B$54,Actuals!BF32)</f>
        <v/>
      </c>
      <c r="BF124" s="392">
        <f>IF(ISBLANK(Actuals!BG32),-26.33*Escalation!$B$55,Actuals!BG32)</f>
        <v/>
      </c>
      <c r="BG124" s="392">
        <f>IF(ISBLANK(Actuals!BH32),-26.33*Escalation!$B$56,Actuals!BH32)</f>
        <v/>
      </c>
      <c r="BH124" s="392">
        <f>IF(ISBLANK(Actuals!BI32),-26.33*Escalation!$B$57,Actuals!BI32)</f>
        <v/>
      </c>
      <c r="BI124" s="392">
        <f>IF(ISBLANK(Actuals!BJ32),-26.33*Escalation!$B$58,Actuals!BJ32)</f>
        <v/>
      </c>
      <c r="BJ124" s="392">
        <f>IF(ISBLANK(Actuals!BK32),-26.33*Escalation!$B$59,Actuals!BK32)</f>
        <v/>
      </c>
      <c r="BK124" s="392">
        <f>IF(ISBLANK(Actuals!BL32),-26.33*Escalation!$B$60,Actuals!BL32)</f>
        <v/>
      </c>
      <c r="BL124" s="392">
        <f>IF(ISBLANK(Actuals!BM32),-26.33*Escalation!$B$61,Actuals!BM32)</f>
        <v/>
      </c>
      <c r="BM124" s="392">
        <f>IF(ISBLANK(Actuals!BN32),-26.33*Escalation!$B$62,Actuals!BN32)</f>
        <v/>
      </c>
      <c r="BN124" s="392">
        <f>IF(ISBLANK(Actuals!BO32),-26.33*Escalation!$B$63,Actuals!BO32)</f>
        <v/>
      </c>
      <c r="BO124" s="392">
        <f>IF(ISBLANK(Actuals!BP32),-26.33*Escalation!$B$64,Actuals!BP32)</f>
        <v/>
      </c>
      <c r="BP124" s="392">
        <f>IF(ISBLANK(Actuals!BQ32),-26.33*Escalation!$B$65,Actuals!BQ32)</f>
        <v/>
      </c>
      <c r="BQ124" s="392">
        <f>IF(ISBLANK(Actuals!BR32),-26.33*Escalation!$B$66,Actuals!BR32)</f>
        <v/>
      </c>
      <c r="BR124" s="392">
        <f>IF(ISBLANK(Actuals!BS32),-26.33*Escalation!$B$67,Actuals!BS32)</f>
        <v/>
      </c>
      <c r="BS124" s="392">
        <f>IF(ISBLANK(Actuals!BT32),-26.33*Escalation!$B$68,Actuals!BT32)</f>
        <v/>
      </c>
      <c r="BT124" s="392">
        <f>IF(ISBLANK(Actuals!BU32),-26.33*Escalation!$B$69,Actuals!BU32)</f>
        <v/>
      </c>
      <c r="BU124" s="392">
        <f>IF(ISBLANK(Actuals!BV32),-26.33*Escalation!$B$70,Actuals!BV32)</f>
        <v/>
      </c>
      <c r="BV124" s="392">
        <f>IF(ISBLANK(Actuals!BW32),-26.33*Escalation!$B$71,Actuals!BW32)</f>
        <v/>
      </c>
      <c r="BW124" s="392">
        <f>IF(ISBLANK(Actuals!BX32),-26.33*Escalation!$B$72,Actuals!BX32)</f>
        <v/>
      </c>
      <c r="BX124" s="392">
        <f>IF(ISBLANK(Actuals!BY32),-26.33*Escalation!$B$73,Actuals!BY32)</f>
        <v/>
      </c>
      <c r="BY124" s="392">
        <f>IF(ISBLANK(Actuals!BZ32),-26.33*Escalation!$B$74,Actuals!BZ32)</f>
        <v/>
      </c>
      <c r="BZ124" s="392">
        <f>IF(ISBLANK(Actuals!CA32),-26.33*Escalation!$B$75,Actuals!CA32)</f>
        <v/>
      </c>
      <c r="CA124" s="392">
        <f>IF(ISBLANK(Actuals!CB32),-26.33*Escalation!$B$76,Actuals!CB32)</f>
        <v/>
      </c>
      <c r="CB124" s="392">
        <f>IF(ISBLANK(Actuals!CC32),-26.33*Escalation!$B$77,Actuals!CC32)</f>
        <v/>
      </c>
      <c r="CC124" s="392">
        <f>IF(ISBLANK(Actuals!CD32),-26.33*Escalation!$B$78,Actuals!CD32)</f>
        <v/>
      </c>
      <c r="CD124" s="392">
        <f>IF(ISBLANK(Actuals!CE32),-26.33*Escalation!$B$79,Actuals!CE32)</f>
        <v/>
      </c>
      <c r="CE124" s="392">
        <f>IF(ISBLANK(Actuals!CF32),-26.33*Escalation!$B$80,Actuals!CF32)</f>
        <v/>
      </c>
      <c r="CF124" s="392">
        <f>IF(ISBLANK(Actuals!CG32),-26.33*Escalation!$B$81,Actuals!CG32)</f>
        <v/>
      </c>
      <c r="CG124" s="392">
        <f>IF(ISBLANK(Actuals!CH32),-26.33*Escalation!$B$82,Actuals!CH32)</f>
        <v/>
      </c>
      <c r="CH124" s="392">
        <f>IF(ISBLANK(Actuals!CI32),-26.33*Escalation!$B$83,Actuals!CI32)</f>
        <v/>
      </c>
      <c r="CI124" s="392">
        <f>IF(ISBLANK(Actuals!CJ32),-26.33*Escalation!$B$84,Actuals!CJ32)</f>
        <v/>
      </c>
      <c r="CJ124" s="392">
        <f>IF(ISBLANK(Actuals!CK32),-26.33*Escalation!$B$85,Actuals!CK32)</f>
        <v/>
      </c>
      <c r="CK124" s="392">
        <f>IF(ISBLANK(Actuals!CL32),-26.33*Escalation!$B$86,Actuals!CL32)</f>
        <v/>
      </c>
      <c r="CL124" s="392">
        <f>IF(ISBLANK(Actuals!CM32),-26.33*Escalation!$B$87,Actuals!CM32)</f>
        <v/>
      </c>
      <c r="CM124" s="392">
        <f>IF(ISBLANK(Actuals!CN32),-26.33*Escalation!$B$88,Actuals!CN32)</f>
        <v/>
      </c>
      <c r="CN124" s="392">
        <f>IF(ISBLANK(Actuals!CO32),-26.33*Escalation!$B$89,Actuals!CO32)</f>
        <v/>
      </c>
      <c r="CO124" s="392">
        <f>IF(ISBLANK(Actuals!CP32),-26.33*Escalation!$B$90,Actuals!CP32)</f>
        <v/>
      </c>
      <c r="CP124" s="392">
        <f>IF(ISBLANK(Actuals!CQ32),-26.33*Escalation!$B$91,Actuals!CQ32)</f>
        <v/>
      </c>
      <c r="CQ124" s="392">
        <f>IF(ISBLANK(Actuals!CR32),-26.33*Escalation!$B$92,Actuals!CR32)</f>
        <v/>
      </c>
      <c r="CR124" s="392">
        <f>IF(ISBLANK(Actuals!CS32),-26.33*Escalation!$B$93,Actuals!CS32)</f>
        <v/>
      </c>
      <c r="CS124" s="392">
        <f>IF(ISBLANK(Actuals!CT32),-26.33*Escalation!$B$94,Actuals!CT32)</f>
        <v/>
      </c>
      <c r="CT124" s="392">
        <f>IF(ISBLANK(Actuals!CU32),-26.33*Escalation!$B$95,Actuals!CU32)</f>
        <v/>
      </c>
      <c r="CU124" s="392">
        <f>IF(ISBLANK(Actuals!CV32),-26.33*Escalation!$B$96,Actuals!CV32)</f>
        <v/>
      </c>
      <c r="CV124" s="392">
        <f>IF(ISBLANK(Actuals!CW32),-26.33*Escalation!$B$97,Actuals!CW32)</f>
        <v/>
      </c>
      <c r="CW124" s="392">
        <f>IF(ISBLANK(Actuals!CX32),-26.33*Escalation!$B$98,Actuals!CX32)</f>
        <v/>
      </c>
      <c r="CX124" s="392">
        <f>IF(ISBLANK(Actuals!CY32),-26.33*Escalation!$B$99,Actuals!CY32)</f>
        <v/>
      </c>
      <c r="CY124" s="392">
        <f>IF(ISBLANK(Actuals!CZ32),-26.33*Escalation!$B$100,Actuals!CZ32)</f>
        <v/>
      </c>
      <c r="CZ124" s="392">
        <f>IF(ISBLANK(Actuals!DA32),-26.33*Escalation!$B$101,Actuals!DA32)</f>
        <v/>
      </c>
      <c r="DA124" s="392">
        <f>IF(ISBLANK(Actuals!DB32),-26.33*Escalation!$B$102,Actuals!DB32)</f>
        <v/>
      </c>
      <c r="DB124" s="392">
        <f>IF(ISBLANK(Actuals!DC32),-26.33*Escalation!$B$103,Actuals!DC32)</f>
        <v/>
      </c>
      <c r="DC124" s="392">
        <f>IF(ISBLANK(Actuals!DD32),-26.33*Escalation!$B$104,Actuals!DD32)</f>
        <v/>
      </c>
      <c r="DD124" s="392">
        <f>IF(ISBLANK(Actuals!DE32),-26.33*Escalation!$B$105,Actuals!DE32)</f>
        <v/>
      </c>
      <c r="DE124" s="392">
        <f>IF(ISBLANK(Actuals!DF32),-26.33*Escalation!$B$106,Actuals!DF32)</f>
        <v/>
      </c>
    </row>
    <row r="125" ht="15" customFormat="1" customHeight="1" s="380">
      <c r="A125" s="397" t="inlineStr">
        <is>
          <t>5200-1053 IT Software and Subscriptions</t>
        </is>
      </c>
      <c r="B125" s="392">
        <f>IF(ISBLANK(Actuals!C33),0,Actuals!C33)</f>
        <v/>
      </c>
      <c r="C125" s="392">
        <f>IF(ISBLANK(Actuals!D33),0,Actuals!D33)</f>
        <v/>
      </c>
      <c r="D125" s="392">
        <f>IF(ISBLANK(Actuals!E33),0,Actuals!E33)</f>
        <v/>
      </c>
      <c r="E125" s="392">
        <f>IF(ISBLANK(Actuals!F33),-5300.8*Escalation!$B$2,Actuals!F33)</f>
        <v/>
      </c>
      <c r="F125" s="392">
        <f>IF(ISBLANK(Actuals!G33),-5300.8*Escalation!$B$3,Actuals!G33)</f>
        <v/>
      </c>
      <c r="G125" s="392">
        <f>IF(ISBLANK(Actuals!H33),-5300.8*Escalation!$B$4,Actuals!H33)</f>
        <v/>
      </c>
      <c r="H125" s="392">
        <f>IF(ISBLANK(Actuals!I33),-5300.8*Escalation!$B$5,Actuals!I33)</f>
        <v/>
      </c>
      <c r="I125" s="392">
        <f>IF(ISBLANK(Actuals!J33),-5300.8*Escalation!$B$6,Actuals!J33)</f>
        <v/>
      </c>
      <c r="J125" s="392">
        <f>IF(ISBLANK(Actuals!K33),-5300.8*Escalation!$B$7,Actuals!K33)</f>
        <v/>
      </c>
      <c r="K125" s="392">
        <f>IF(ISBLANK(Actuals!L33),-5300.8*Escalation!$B$8,Actuals!L33)</f>
        <v/>
      </c>
      <c r="L125" s="392">
        <f>IF(ISBLANK(Actuals!M33),-5300.8*Escalation!$B$9,Actuals!M33)</f>
        <v/>
      </c>
      <c r="M125" s="392">
        <f>IF(ISBLANK(Actuals!N33),-5300.8*Escalation!$B$10,Actuals!N33)</f>
        <v/>
      </c>
      <c r="N125" s="392">
        <f>IF(ISBLANK(Actuals!O33),-5300.8*Escalation!$B$11,Actuals!O33)</f>
        <v/>
      </c>
      <c r="O125" s="392">
        <f>IF(ISBLANK(Actuals!P33),-5300.8*Escalation!$B$12,Actuals!P33)</f>
        <v/>
      </c>
      <c r="P125" s="392">
        <f>IF(ISBLANK(Actuals!Q33),-5300.8*Escalation!$B$13,Actuals!Q33)</f>
        <v/>
      </c>
      <c r="Q125" s="392">
        <f>IF(ISBLANK(Actuals!R33),-5300.8*Escalation!$B$14,Actuals!R33)</f>
        <v/>
      </c>
      <c r="R125" s="392">
        <f>IF(ISBLANK(Actuals!S33),-5300.8*Escalation!$B$15,Actuals!S33)</f>
        <v/>
      </c>
      <c r="S125" s="392">
        <f>IF(ISBLANK(Actuals!T33),-5300.8*Escalation!$B$16,Actuals!T33)</f>
        <v/>
      </c>
      <c r="T125" s="392">
        <f>IF(ISBLANK(Actuals!U33),-5300.8*Escalation!$B$17,Actuals!U33)</f>
        <v/>
      </c>
      <c r="U125" s="392">
        <f>IF(ISBLANK(Actuals!V33),-5300.8*Escalation!$B$18,Actuals!V33)</f>
        <v/>
      </c>
      <c r="V125" s="392">
        <f>IF(ISBLANK(Actuals!W33),-5300.8*Escalation!$B$19,Actuals!W33)</f>
        <v/>
      </c>
      <c r="W125" s="392">
        <f>IF(ISBLANK(Actuals!X33),-5300.8*Escalation!$B$20,Actuals!X33)</f>
        <v/>
      </c>
      <c r="X125" s="392">
        <f>IF(ISBLANK(Actuals!Y33),-5300.8*Escalation!$B$21,Actuals!Y33)</f>
        <v/>
      </c>
      <c r="Y125" s="392">
        <f>IF(ISBLANK(Actuals!Z33),-5300.8*Escalation!$B$22,Actuals!Z33)</f>
        <v/>
      </c>
      <c r="Z125" s="392">
        <f>IF(ISBLANK(Actuals!AA33),-5300.8*Escalation!$B$23,Actuals!AA33)</f>
        <v/>
      </c>
      <c r="AA125" s="392">
        <f>IF(ISBLANK(Actuals!AB33),-5300.8*Escalation!$B$24,Actuals!AB33)</f>
        <v/>
      </c>
      <c r="AB125" s="392">
        <f>IF(ISBLANK(Actuals!AC33),-5300.8*Escalation!$B$25,Actuals!AC33)</f>
        <v/>
      </c>
      <c r="AC125" s="392">
        <f>IF(ISBLANK(Actuals!AD33),-5300.8*Escalation!$B$26,Actuals!AD33)</f>
        <v/>
      </c>
      <c r="AD125" s="392">
        <f>IF(ISBLANK(Actuals!AE33),-5300.8*Escalation!$B$27,Actuals!AE33)</f>
        <v/>
      </c>
      <c r="AE125" s="392">
        <f>IF(ISBLANK(Actuals!AF33),-5300.8*Escalation!$B$28,Actuals!AF33)</f>
        <v/>
      </c>
      <c r="AF125" s="392">
        <f>IF(ISBLANK(Actuals!AG33),-5300.8*Escalation!$B$29,Actuals!AG33)</f>
        <v/>
      </c>
      <c r="AG125" s="392">
        <f>IF(ISBLANK(Actuals!AH33),-5300.8*Escalation!$B$30,Actuals!AH33)</f>
        <v/>
      </c>
      <c r="AH125" s="392">
        <f>IF(ISBLANK(Actuals!AI33),-5300.8*Escalation!$B$31,Actuals!AI33)</f>
        <v/>
      </c>
      <c r="AI125" s="392">
        <f>IF(ISBLANK(Actuals!AJ33),-5300.8*Escalation!$B$32,Actuals!AJ33)</f>
        <v/>
      </c>
      <c r="AJ125" s="392">
        <f>IF(ISBLANK(Actuals!AK33),-5300.8*Escalation!$B$33,Actuals!AK33)</f>
        <v/>
      </c>
      <c r="AK125" s="392">
        <f>IF(ISBLANK(Actuals!AL33),-5300.8*Escalation!$B$34,Actuals!AL33)</f>
        <v/>
      </c>
      <c r="AL125" s="392">
        <f>IF(ISBLANK(Actuals!AM33),-5300.8*Escalation!$B$35,Actuals!AM33)</f>
        <v/>
      </c>
      <c r="AM125" s="392">
        <f>IF(ISBLANK(Actuals!AN33),-5300.8*Escalation!$B$36,Actuals!AN33)</f>
        <v/>
      </c>
      <c r="AN125" s="392">
        <f>IF(ISBLANK(Actuals!AO33),-5300.8*Escalation!$B$37,Actuals!AO33)</f>
        <v/>
      </c>
      <c r="AO125" s="392">
        <f>IF(ISBLANK(Actuals!AP33),-5300.8*Escalation!$B$38,Actuals!AP33)</f>
        <v/>
      </c>
      <c r="AP125" s="392">
        <f>IF(ISBLANK(Actuals!AQ33),-5300.8*Escalation!$B$39,Actuals!AQ33)</f>
        <v/>
      </c>
      <c r="AQ125" s="392">
        <f>IF(ISBLANK(Actuals!AR33),-5300.8*Escalation!$B$40,Actuals!AR33)</f>
        <v/>
      </c>
      <c r="AR125" s="392">
        <f>IF(ISBLANK(Actuals!AS33),-5300.8*Escalation!$B$41,Actuals!AS33)</f>
        <v/>
      </c>
      <c r="AS125" s="392">
        <f>IF(ISBLANK(Actuals!AT33),-5300.8*Escalation!$B$42,Actuals!AT33)</f>
        <v/>
      </c>
      <c r="AT125" s="392">
        <f>IF(ISBLANK(Actuals!AU33),-5300.8*Escalation!$B$43,Actuals!AU33)</f>
        <v/>
      </c>
      <c r="AU125" s="392">
        <f>IF(ISBLANK(Actuals!AV33),-5300.8*Escalation!$B$44,Actuals!AV33)</f>
        <v/>
      </c>
      <c r="AV125" s="392">
        <f>IF(ISBLANK(Actuals!AW33),-5300.8*Escalation!$B$45,Actuals!AW33)</f>
        <v/>
      </c>
      <c r="AW125" s="392">
        <f>IF(ISBLANK(Actuals!AX33),-5300.8*Escalation!$B$46,Actuals!AX33)</f>
        <v/>
      </c>
      <c r="AX125" s="392">
        <f>IF(ISBLANK(Actuals!AY33),-5300.8*Escalation!$B$47,Actuals!AY33)</f>
        <v/>
      </c>
      <c r="AY125" s="392">
        <f>IF(ISBLANK(Actuals!AZ33),-5300.8*Escalation!$B$48,Actuals!AZ33)</f>
        <v/>
      </c>
      <c r="AZ125" s="392">
        <f>IF(ISBLANK(Actuals!BA33),-5300.8*Escalation!$B$49,Actuals!BA33)</f>
        <v/>
      </c>
      <c r="BA125" s="392">
        <f>IF(ISBLANK(Actuals!BB33),-5300.8*Escalation!$B$50,Actuals!BB33)</f>
        <v/>
      </c>
      <c r="BB125" s="392">
        <f>IF(ISBLANK(Actuals!BC33),-5300.8*Escalation!$B$51,Actuals!BC33)</f>
        <v/>
      </c>
      <c r="BC125" s="392">
        <f>IF(ISBLANK(Actuals!BD33),-5300.8*Escalation!$B$52,Actuals!BD33)</f>
        <v/>
      </c>
      <c r="BD125" s="392">
        <f>IF(ISBLANK(Actuals!BE33),-5300.8*Escalation!$B$53,Actuals!BE33)</f>
        <v/>
      </c>
      <c r="BE125" s="392">
        <f>IF(ISBLANK(Actuals!BF33),-5300.8*Escalation!$B$54,Actuals!BF33)</f>
        <v/>
      </c>
      <c r="BF125" s="392">
        <f>IF(ISBLANK(Actuals!BG33),-5300.8*Escalation!$B$55,Actuals!BG33)</f>
        <v/>
      </c>
      <c r="BG125" s="392">
        <f>IF(ISBLANK(Actuals!BH33),-5300.8*Escalation!$B$56,Actuals!BH33)</f>
        <v/>
      </c>
      <c r="BH125" s="392">
        <f>IF(ISBLANK(Actuals!BI33),-5300.8*Escalation!$B$57,Actuals!BI33)</f>
        <v/>
      </c>
      <c r="BI125" s="392">
        <f>IF(ISBLANK(Actuals!BJ33),-5300.8*Escalation!$B$58,Actuals!BJ33)</f>
        <v/>
      </c>
      <c r="BJ125" s="392">
        <f>IF(ISBLANK(Actuals!BK33),-5300.8*Escalation!$B$59,Actuals!BK33)</f>
        <v/>
      </c>
      <c r="BK125" s="392">
        <f>IF(ISBLANK(Actuals!BL33),-5300.8*Escalation!$B$60,Actuals!BL33)</f>
        <v/>
      </c>
      <c r="BL125" s="392">
        <f>IF(ISBLANK(Actuals!BM33),-5300.8*Escalation!$B$61,Actuals!BM33)</f>
        <v/>
      </c>
      <c r="BM125" s="392">
        <f>IF(ISBLANK(Actuals!BN33),-5300.8*Escalation!$B$62,Actuals!BN33)</f>
        <v/>
      </c>
      <c r="BN125" s="392">
        <f>IF(ISBLANK(Actuals!BO33),-5300.8*Escalation!$B$63,Actuals!BO33)</f>
        <v/>
      </c>
      <c r="BO125" s="392">
        <f>IF(ISBLANK(Actuals!BP33),-5300.8*Escalation!$B$64,Actuals!BP33)</f>
        <v/>
      </c>
      <c r="BP125" s="392">
        <f>IF(ISBLANK(Actuals!BQ33),-5300.8*Escalation!$B$65,Actuals!BQ33)</f>
        <v/>
      </c>
      <c r="BQ125" s="392">
        <f>IF(ISBLANK(Actuals!BR33),-5300.8*Escalation!$B$66,Actuals!BR33)</f>
        <v/>
      </c>
      <c r="BR125" s="392">
        <f>IF(ISBLANK(Actuals!BS33),-5300.8*Escalation!$B$67,Actuals!BS33)</f>
        <v/>
      </c>
      <c r="BS125" s="392">
        <f>IF(ISBLANK(Actuals!BT33),-5300.8*Escalation!$B$68,Actuals!BT33)</f>
        <v/>
      </c>
      <c r="BT125" s="392">
        <f>IF(ISBLANK(Actuals!BU33),-5300.8*Escalation!$B$69,Actuals!BU33)</f>
        <v/>
      </c>
      <c r="BU125" s="392">
        <f>IF(ISBLANK(Actuals!BV33),-5300.8*Escalation!$B$70,Actuals!BV33)</f>
        <v/>
      </c>
      <c r="BV125" s="392">
        <f>IF(ISBLANK(Actuals!BW33),-5300.8*Escalation!$B$71,Actuals!BW33)</f>
        <v/>
      </c>
      <c r="BW125" s="392">
        <f>IF(ISBLANK(Actuals!BX33),-5300.8*Escalation!$B$72,Actuals!BX33)</f>
        <v/>
      </c>
      <c r="BX125" s="392">
        <f>IF(ISBLANK(Actuals!BY33),-5300.8*Escalation!$B$73,Actuals!BY33)</f>
        <v/>
      </c>
      <c r="BY125" s="392">
        <f>IF(ISBLANK(Actuals!BZ33),-5300.8*Escalation!$B$74,Actuals!BZ33)</f>
        <v/>
      </c>
      <c r="BZ125" s="392">
        <f>IF(ISBLANK(Actuals!CA33),-5300.8*Escalation!$B$75,Actuals!CA33)</f>
        <v/>
      </c>
      <c r="CA125" s="392">
        <f>IF(ISBLANK(Actuals!CB33),-5300.8*Escalation!$B$76,Actuals!CB33)</f>
        <v/>
      </c>
      <c r="CB125" s="392">
        <f>IF(ISBLANK(Actuals!CC33),-5300.8*Escalation!$B$77,Actuals!CC33)</f>
        <v/>
      </c>
      <c r="CC125" s="392">
        <f>IF(ISBLANK(Actuals!CD33),-5300.8*Escalation!$B$78,Actuals!CD33)</f>
        <v/>
      </c>
      <c r="CD125" s="392">
        <f>IF(ISBLANK(Actuals!CE33),-5300.8*Escalation!$B$79,Actuals!CE33)</f>
        <v/>
      </c>
      <c r="CE125" s="392">
        <f>IF(ISBLANK(Actuals!CF33),-5300.8*Escalation!$B$80,Actuals!CF33)</f>
        <v/>
      </c>
      <c r="CF125" s="392">
        <f>IF(ISBLANK(Actuals!CG33),-5300.8*Escalation!$B$81,Actuals!CG33)</f>
        <v/>
      </c>
      <c r="CG125" s="392">
        <f>IF(ISBLANK(Actuals!CH33),-5300.8*Escalation!$B$82,Actuals!CH33)</f>
        <v/>
      </c>
      <c r="CH125" s="392">
        <f>IF(ISBLANK(Actuals!CI33),-5300.8*Escalation!$B$83,Actuals!CI33)</f>
        <v/>
      </c>
      <c r="CI125" s="392">
        <f>IF(ISBLANK(Actuals!CJ33),-5300.8*Escalation!$B$84,Actuals!CJ33)</f>
        <v/>
      </c>
      <c r="CJ125" s="392">
        <f>IF(ISBLANK(Actuals!CK33),-5300.8*Escalation!$B$85,Actuals!CK33)</f>
        <v/>
      </c>
      <c r="CK125" s="392">
        <f>IF(ISBLANK(Actuals!CL33),-5300.8*Escalation!$B$86,Actuals!CL33)</f>
        <v/>
      </c>
      <c r="CL125" s="392">
        <f>IF(ISBLANK(Actuals!CM33),-5300.8*Escalation!$B$87,Actuals!CM33)</f>
        <v/>
      </c>
      <c r="CM125" s="392">
        <f>IF(ISBLANK(Actuals!CN33),-5300.8*Escalation!$B$88,Actuals!CN33)</f>
        <v/>
      </c>
      <c r="CN125" s="392">
        <f>IF(ISBLANK(Actuals!CO33),-5300.8*Escalation!$B$89,Actuals!CO33)</f>
        <v/>
      </c>
      <c r="CO125" s="392">
        <f>IF(ISBLANK(Actuals!CP33),-5300.8*Escalation!$B$90,Actuals!CP33)</f>
        <v/>
      </c>
      <c r="CP125" s="392">
        <f>IF(ISBLANK(Actuals!CQ33),-5300.8*Escalation!$B$91,Actuals!CQ33)</f>
        <v/>
      </c>
      <c r="CQ125" s="392">
        <f>IF(ISBLANK(Actuals!CR33),-5300.8*Escalation!$B$92,Actuals!CR33)</f>
        <v/>
      </c>
      <c r="CR125" s="392">
        <f>IF(ISBLANK(Actuals!CS33),-5300.8*Escalation!$B$93,Actuals!CS33)</f>
        <v/>
      </c>
      <c r="CS125" s="392">
        <f>IF(ISBLANK(Actuals!CT33),-5300.8*Escalation!$B$94,Actuals!CT33)</f>
        <v/>
      </c>
      <c r="CT125" s="392">
        <f>IF(ISBLANK(Actuals!CU33),-5300.8*Escalation!$B$95,Actuals!CU33)</f>
        <v/>
      </c>
      <c r="CU125" s="392">
        <f>IF(ISBLANK(Actuals!CV33),-5300.8*Escalation!$B$96,Actuals!CV33)</f>
        <v/>
      </c>
      <c r="CV125" s="392">
        <f>IF(ISBLANK(Actuals!CW33),-5300.8*Escalation!$B$97,Actuals!CW33)</f>
        <v/>
      </c>
      <c r="CW125" s="392">
        <f>IF(ISBLANK(Actuals!CX33),-5300.8*Escalation!$B$98,Actuals!CX33)</f>
        <v/>
      </c>
      <c r="CX125" s="392">
        <f>IF(ISBLANK(Actuals!CY33),-5300.8*Escalation!$B$99,Actuals!CY33)</f>
        <v/>
      </c>
      <c r="CY125" s="392">
        <f>IF(ISBLANK(Actuals!CZ33),-5300.8*Escalation!$B$100,Actuals!CZ33)</f>
        <v/>
      </c>
      <c r="CZ125" s="392">
        <f>IF(ISBLANK(Actuals!DA33),-5300.8*Escalation!$B$101,Actuals!DA33)</f>
        <v/>
      </c>
      <c r="DA125" s="392">
        <f>IF(ISBLANK(Actuals!DB33),-5300.8*Escalation!$B$102,Actuals!DB33)</f>
        <v/>
      </c>
      <c r="DB125" s="392">
        <f>IF(ISBLANK(Actuals!DC33),-5300.8*Escalation!$B$103,Actuals!DC33)</f>
        <v/>
      </c>
      <c r="DC125" s="392">
        <f>IF(ISBLANK(Actuals!DD33),-5300.8*Escalation!$B$104,Actuals!DD33)</f>
        <v/>
      </c>
      <c r="DD125" s="392">
        <f>IF(ISBLANK(Actuals!DE33),-5300.8*Escalation!$B$105,Actuals!DE33)</f>
        <v/>
      </c>
      <c r="DE125" s="392">
        <f>IF(ISBLANK(Actuals!DF33),-5300.8*Escalation!$B$106,Actuals!DF33)</f>
        <v/>
      </c>
    </row>
    <row r="126" ht="15" customFormat="1" customHeight="1" s="380">
      <c r="A126" s="397" t="inlineStr">
        <is>
          <t>5200-1054 Telephone Expenses</t>
        </is>
      </c>
      <c r="B126" s="392">
        <f>IF(ISBLANK(Actuals!C34),0,Actuals!C34)</f>
        <v/>
      </c>
      <c r="C126" s="392">
        <f>IF(ISBLANK(Actuals!D34),0,Actuals!D34)</f>
        <v/>
      </c>
      <c r="D126" s="392">
        <f>IF(ISBLANK(Actuals!E34),0,Actuals!E34)</f>
        <v/>
      </c>
      <c r="E126" s="392">
        <f>IF(ISBLANK(Actuals!F34),-736.03*Escalation!$B$2,Actuals!F34)</f>
        <v/>
      </c>
      <c r="F126" s="392">
        <f>IF(ISBLANK(Actuals!G34),-736.03*Escalation!$B$3,Actuals!G34)</f>
        <v/>
      </c>
      <c r="G126" s="392">
        <f>IF(ISBLANK(Actuals!H34),-736.03*Escalation!$B$4,Actuals!H34)</f>
        <v/>
      </c>
      <c r="H126" s="392">
        <f>IF(ISBLANK(Actuals!I34),-736.03*Escalation!$B$5,Actuals!I34)</f>
        <v/>
      </c>
      <c r="I126" s="392">
        <f>IF(ISBLANK(Actuals!J34),-736.03*Escalation!$B$6,Actuals!J34)</f>
        <v/>
      </c>
      <c r="J126" s="392">
        <f>IF(ISBLANK(Actuals!K34),-736.03*Escalation!$B$7,Actuals!K34)</f>
        <v/>
      </c>
      <c r="K126" s="392">
        <f>IF(ISBLANK(Actuals!L34),-736.03*Escalation!$B$8,Actuals!L34)</f>
        <v/>
      </c>
      <c r="L126" s="392">
        <f>IF(ISBLANK(Actuals!M34),-736.03*Escalation!$B$9,Actuals!M34)</f>
        <v/>
      </c>
      <c r="M126" s="392">
        <f>IF(ISBLANK(Actuals!N34),-736.03*Escalation!$B$10,Actuals!N34)</f>
        <v/>
      </c>
      <c r="N126" s="392">
        <f>IF(ISBLANK(Actuals!O34),-736.03*Escalation!$B$11,Actuals!O34)</f>
        <v/>
      </c>
      <c r="O126" s="392">
        <f>IF(ISBLANK(Actuals!P34),-736.03*Escalation!$B$12,Actuals!P34)</f>
        <v/>
      </c>
      <c r="P126" s="392">
        <f>IF(ISBLANK(Actuals!Q34),-736.03*Escalation!$B$13,Actuals!Q34)</f>
        <v/>
      </c>
      <c r="Q126" s="392">
        <f>IF(ISBLANK(Actuals!R34),-736.03*Escalation!$B$14,Actuals!R34)</f>
        <v/>
      </c>
      <c r="R126" s="392">
        <f>IF(ISBLANK(Actuals!S34),-736.03*Escalation!$B$15,Actuals!S34)</f>
        <v/>
      </c>
      <c r="S126" s="392">
        <f>IF(ISBLANK(Actuals!T34),-736.03*Escalation!$B$16,Actuals!T34)</f>
        <v/>
      </c>
      <c r="T126" s="392">
        <f>IF(ISBLANK(Actuals!U34),-736.03*Escalation!$B$17,Actuals!U34)</f>
        <v/>
      </c>
      <c r="U126" s="392">
        <f>IF(ISBLANK(Actuals!V34),-736.03*Escalation!$B$18,Actuals!V34)</f>
        <v/>
      </c>
      <c r="V126" s="392">
        <f>IF(ISBLANK(Actuals!W34),-736.03*Escalation!$B$19,Actuals!W34)</f>
        <v/>
      </c>
      <c r="W126" s="392">
        <f>IF(ISBLANK(Actuals!X34),-736.03*Escalation!$B$20,Actuals!X34)</f>
        <v/>
      </c>
      <c r="X126" s="392">
        <f>IF(ISBLANK(Actuals!Y34),-736.03*Escalation!$B$21,Actuals!Y34)</f>
        <v/>
      </c>
      <c r="Y126" s="392">
        <f>IF(ISBLANK(Actuals!Z34),-736.03*Escalation!$B$22,Actuals!Z34)</f>
        <v/>
      </c>
      <c r="Z126" s="392">
        <f>IF(ISBLANK(Actuals!AA34),-736.03*Escalation!$B$23,Actuals!AA34)</f>
        <v/>
      </c>
      <c r="AA126" s="392">
        <f>IF(ISBLANK(Actuals!AB34),-736.03*Escalation!$B$24,Actuals!AB34)</f>
        <v/>
      </c>
      <c r="AB126" s="392">
        <f>IF(ISBLANK(Actuals!AC34),-736.03*Escalation!$B$25,Actuals!AC34)</f>
        <v/>
      </c>
      <c r="AC126" s="392">
        <f>IF(ISBLANK(Actuals!AD34),-736.03*Escalation!$B$26,Actuals!AD34)</f>
        <v/>
      </c>
      <c r="AD126" s="392">
        <f>IF(ISBLANK(Actuals!AE34),-736.03*Escalation!$B$27,Actuals!AE34)</f>
        <v/>
      </c>
      <c r="AE126" s="392">
        <f>IF(ISBLANK(Actuals!AF34),-736.03*Escalation!$B$28,Actuals!AF34)</f>
        <v/>
      </c>
      <c r="AF126" s="392">
        <f>IF(ISBLANK(Actuals!AG34),-736.03*Escalation!$B$29,Actuals!AG34)</f>
        <v/>
      </c>
      <c r="AG126" s="392">
        <f>IF(ISBLANK(Actuals!AH34),-736.03*Escalation!$B$30,Actuals!AH34)</f>
        <v/>
      </c>
      <c r="AH126" s="392">
        <f>IF(ISBLANK(Actuals!AI34),-736.03*Escalation!$B$31,Actuals!AI34)</f>
        <v/>
      </c>
      <c r="AI126" s="392">
        <f>IF(ISBLANK(Actuals!AJ34),-736.03*Escalation!$B$32,Actuals!AJ34)</f>
        <v/>
      </c>
      <c r="AJ126" s="392">
        <f>IF(ISBLANK(Actuals!AK34),-736.03*Escalation!$B$33,Actuals!AK34)</f>
        <v/>
      </c>
      <c r="AK126" s="392">
        <f>IF(ISBLANK(Actuals!AL34),-736.03*Escalation!$B$34,Actuals!AL34)</f>
        <v/>
      </c>
      <c r="AL126" s="392">
        <f>IF(ISBLANK(Actuals!AM34),-736.03*Escalation!$B$35,Actuals!AM34)</f>
        <v/>
      </c>
      <c r="AM126" s="392">
        <f>IF(ISBLANK(Actuals!AN34),-736.03*Escalation!$B$36,Actuals!AN34)</f>
        <v/>
      </c>
      <c r="AN126" s="392">
        <f>IF(ISBLANK(Actuals!AO34),-736.03*Escalation!$B$37,Actuals!AO34)</f>
        <v/>
      </c>
      <c r="AO126" s="392">
        <f>IF(ISBLANK(Actuals!AP34),-736.03*Escalation!$B$38,Actuals!AP34)</f>
        <v/>
      </c>
      <c r="AP126" s="392">
        <f>IF(ISBLANK(Actuals!AQ34),-736.03*Escalation!$B$39,Actuals!AQ34)</f>
        <v/>
      </c>
      <c r="AQ126" s="392">
        <f>IF(ISBLANK(Actuals!AR34),-736.03*Escalation!$B$40,Actuals!AR34)</f>
        <v/>
      </c>
      <c r="AR126" s="392">
        <f>IF(ISBLANK(Actuals!AS34),-736.03*Escalation!$B$41,Actuals!AS34)</f>
        <v/>
      </c>
      <c r="AS126" s="392">
        <f>IF(ISBLANK(Actuals!AT34),-736.03*Escalation!$B$42,Actuals!AT34)</f>
        <v/>
      </c>
      <c r="AT126" s="392">
        <f>IF(ISBLANK(Actuals!AU34),-736.03*Escalation!$B$43,Actuals!AU34)</f>
        <v/>
      </c>
      <c r="AU126" s="392">
        <f>IF(ISBLANK(Actuals!AV34),-736.03*Escalation!$B$44,Actuals!AV34)</f>
        <v/>
      </c>
      <c r="AV126" s="392">
        <f>IF(ISBLANK(Actuals!AW34),-736.03*Escalation!$B$45,Actuals!AW34)</f>
        <v/>
      </c>
      <c r="AW126" s="392">
        <f>IF(ISBLANK(Actuals!AX34),-736.03*Escalation!$B$46,Actuals!AX34)</f>
        <v/>
      </c>
      <c r="AX126" s="392">
        <f>IF(ISBLANK(Actuals!AY34),-736.03*Escalation!$B$47,Actuals!AY34)</f>
        <v/>
      </c>
      <c r="AY126" s="392">
        <f>IF(ISBLANK(Actuals!AZ34),-736.03*Escalation!$B$48,Actuals!AZ34)</f>
        <v/>
      </c>
      <c r="AZ126" s="392">
        <f>IF(ISBLANK(Actuals!BA34),-736.03*Escalation!$B$49,Actuals!BA34)</f>
        <v/>
      </c>
      <c r="BA126" s="392">
        <f>IF(ISBLANK(Actuals!BB34),-736.03*Escalation!$B$50,Actuals!BB34)</f>
        <v/>
      </c>
      <c r="BB126" s="392">
        <f>IF(ISBLANK(Actuals!BC34),-736.03*Escalation!$B$51,Actuals!BC34)</f>
        <v/>
      </c>
      <c r="BC126" s="392">
        <f>IF(ISBLANK(Actuals!BD34),-736.03*Escalation!$B$52,Actuals!BD34)</f>
        <v/>
      </c>
      <c r="BD126" s="392">
        <f>IF(ISBLANK(Actuals!BE34),-736.03*Escalation!$B$53,Actuals!BE34)</f>
        <v/>
      </c>
      <c r="BE126" s="392">
        <f>IF(ISBLANK(Actuals!BF34),-736.03*Escalation!$B$54,Actuals!BF34)</f>
        <v/>
      </c>
      <c r="BF126" s="392">
        <f>IF(ISBLANK(Actuals!BG34),-736.03*Escalation!$B$55,Actuals!BG34)</f>
        <v/>
      </c>
      <c r="BG126" s="392">
        <f>IF(ISBLANK(Actuals!BH34),-736.03*Escalation!$B$56,Actuals!BH34)</f>
        <v/>
      </c>
      <c r="BH126" s="392">
        <f>IF(ISBLANK(Actuals!BI34),-736.03*Escalation!$B$57,Actuals!BI34)</f>
        <v/>
      </c>
      <c r="BI126" s="392">
        <f>IF(ISBLANK(Actuals!BJ34),-736.03*Escalation!$B$58,Actuals!BJ34)</f>
        <v/>
      </c>
      <c r="BJ126" s="392">
        <f>IF(ISBLANK(Actuals!BK34),-736.03*Escalation!$B$59,Actuals!BK34)</f>
        <v/>
      </c>
      <c r="BK126" s="392">
        <f>IF(ISBLANK(Actuals!BL34),-736.03*Escalation!$B$60,Actuals!BL34)</f>
        <v/>
      </c>
      <c r="BL126" s="392">
        <f>IF(ISBLANK(Actuals!BM34),-736.03*Escalation!$B$61,Actuals!BM34)</f>
        <v/>
      </c>
      <c r="BM126" s="392">
        <f>IF(ISBLANK(Actuals!BN34),-736.03*Escalation!$B$62,Actuals!BN34)</f>
        <v/>
      </c>
      <c r="BN126" s="392">
        <f>IF(ISBLANK(Actuals!BO34),-736.03*Escalation!$B$63,Actuals!BO34)</f>
        <v/>
      </c>
      <c r="BO126" s="392">
        <f>IF(ISBLANK(Actuals!BP34),-736.03*Escalation!$B$64,Actuals!BP34)</f>
        <v/>
      </c>
      <c r="BP126" s="392">
        <f>IF(ISBLANK(Actuals!BQ34),-736.03*Escalation!$B$65,Actuals!BQ34)</f>
        <v/>
      </c>
      <c r="BQ126" s="392">
        <f>IF(ISBLANK(Actuals!BR34),-736.03*Escalation!$B$66,Actuals!BR34)</f>
        <v/>
      </c>
      <c r="BR126" s="392">
        <f>IF(ISBLANK(Actuals!BS34),-736.03*Escalation!$B$67,Actuals!BS34)</f>
        <v/>
      </c>
      <c r="BS126" s="392">
        <f>IF(ISBLANK(Actuals!BT34),-736.03*Escalation!$B$68,Actuals!BT34)</f>
        <v/>
      </c>
      <c r="BT126" s="392">
        <f>IF(ISBLANK(Actuals!BU34),-736.03*Escalation!$B$69,Actuals!BU34)</f>
        <v/>
      </c>
      <c r="BU126" s="392">
        <f>IF(ISBLANK(Actuals!BV34),-736.03*Escalation!$B$70,Actuals!BV34)</f>
        <v/>
      </c>
      <c r="BV126" s="392">
        <f>IF(ISBLANK(Actuals!BW34),-736.03*Escalation!$B$71,Actuals!BW34)</f>
        <v/>
      </c>
      <c r="BW126" s="392">
        <f>IF(ISBLANK(Actuals!BX34),-736.03*Escalation!$B$72,Actuals!BX34)</f>
        <v/>
      </c>
      <c r="BX126" s="392">
        <f>IF(ISBLANK(Actuals!BY34),-736.03*Escalation!$B$73,Actuals!BY34)</f>
        <v/>
      </c>
      <c r="BY126" s="392">
        <f>IF(ISBLANK(Actuals!BZ34),-736.03*Escalation!$B$74,Actuals!BZ34)</f>
        <v/>
      </c>
      <c r="BZ126" s="392">
        <f>IF(ISBLANK(Actuals!CA34),-736.03*Escalation!$B$75,Actuals!CA34)</f>
        <v/>
      </c>
      <c r="CA126" s="392">
        <f>IF(ISBLANK(Actuals!CB34),-736.03*Escalation!$B$76,Actuals!CB34)</f>
        <v/>
      </c>
      <c r="CB126" s="392">
        <f>IF(ISBLANK(Actuals!CC34),-736.03*Escalation!$B$77,Actuals!CC34)</f>
        <v/>
      </c>
      <c r="CC126" s="392">
        <f>IF(ISBLANK(Actuals!CD34),-736.03*Escalation!$B$78,Actuals!CD34)</f>
        <v/>
      </c>
      <c r="CD126" s="392">
        <f>IF(ISBLANK(Actuals!CE34),-736.03*Escalation!$B$79,Actuals!CE34)</f>
        <v/>
      </c>
      <c r="CE126" s="392">
        <f>IF(ISBLANK(Actuals!CF34),-736.03*Escalation!$B$80,Actuals!CF34)</f>
        <v/>
      </c>
      <c r="CF126" s="392">
        <f>IF(ISBLANK(Actuals!CG34),-736.03*Escalation!$B$81,Actuals!CG34)</f>
        <v/>
      </c>
      <c r="CG126" s="392">
        <f>IF(ISBLANK(Actuals!CH34),-736.03*Escalation!$B$82,Actuals!CH34)</f>
        <v/>
      </c>
      <c r="CH126" s="392">
        <f>IF(ISBLANK(Actuals!CI34),-736.03*Escalation!$B$83,Actuals!CI34)</f>
        <v/>
      </c>
      <c r="CI126" s="392">
        <f>IF(ISBLANK(Actuals!CJ34),-736.03*Escalation!$B$84,Actuals!CJ34)</f>
        <v/>
      </c>
      <c r="CJ126" s="392">
        <f>IF(ISBLANK(Actuals!CK34),-736.03*Escalation!$B$85,Actuals!CK34)</f>
        <v/>
      </c>
      <c r="CK126" s="392">
        <f>IF(ISBLANK(Actuals!CL34),-736.03*Escalation!$B$86,Actuals!CL34)</f>
        <v/>
      </c>
      <c r="CL126" s="392">
        <f>IF(ISBLANK(Actuals!CM34),-736.03*Escalation!$B$87,Actuals!CM34)</f>
        <v/>
      </c>
      <c r="CM126" s="392">
        <f>IF(ISBLANK(Actuals!CN34),-736.03*Escalation!$B$88,Actuals!CN34)</f>
        <v/>
      </c>
      <c r="CN126" s="392">
        <f>IF(ISBLANK(Actuals!CO34),-736.03*Escalation!$B$89,Actuals!CO34)</f>
        <v/>
      </c>
      <c r="CO126" s="392">
        <f>IF(ISBLANK(Actuals!CP34),-736.03*Escalation!$B$90,Actuals!CP34)</f>
        <v/>
      </c>
      <c r="CP126" s="392">
        <f>IF(ISBLANK(Actuals!CQ34),-736.03*Escalation!$B$91,Actuals!CQ34)</f>
        <v/>
      </c>
      <c r="CQ126" s="392">
        <f>IF(ISBLANK(Actuals!CR34),-736.03*Escalation!$B$92,Actuals!CR34)</f>
        <v/>
      </c>
      <c r="CR126" s="392">
        <f>IF(ISBLANK(Actuals!CS34),-736.03*Escalation!$B$93,Actuals!CS34)</f>
        <v/>
      </c>
      <c r="CS126" s="392">
        <f>IF(ISBLANK(Actuals!CT34),-736.03*Escalation!$B$94,Actuals!CT34)</f>
        <v/>
      </c>
      <c r="CT126" s="392">
        <f>IF(ISBLANK(Actuals!CU34),-736.03*Escalation!$B$95,Actuals!CU34)</f>
        <v/>
      </c>
      <c r="CU126" s="392">
        <f>IF(ISBLANK(Actuals!CV34),-736.03*Escalation!$B$96,Actuals!CV34)</f>
        <v/>
      </c>
      <c r="CV126" s="392">
        <f>IF(ISBLANK(Actuals!CW34),-736.03*Escalation!$B$97,Actuals!CW34)</f>
        <v/>
      </c>
      <c r="CW126" s="392">
        <f>IF(ISBLANK(Actuals!CX34),-736.03*Escalation!$B$98,Actuals!CX34)</f>
        <v/>
      </c>
      <c r="CX126" s="392">
        <f>IF(ISBLANK(Actuals!CY34),-736.03*Escalation!$B$99,Actuals!CY34)</f>
        <v/>
      </c>
      <c r="CY126" s="392">
        <f>IF(ISBLANK(Actuals!CZ34),-736.03*Escalation!$B$100,Actuals!CZ34)</f>
        <v/>
      </c>
      <c r="CZ126" s="392">
        <f>IF(ISBLANK(Actuals!DA34),-736.03*Escalation!$B$101,Actuals!DA34)</f>
        <v/>
      </c>
      <c r="DA126" s="392">
        <f>IF(ISBLANK(Actuals!DB34),-736.03*Escalation!$B$102,Actuals!DB34)</f>
        <v/>
      </c>
      <c r="DB126" s="392">
        <f>IF(ISBLANK(Actuals!DC34),-736.03*Escalation!$B$103,Actuals!DC34)</f>
        <v/>
      </c>
      <c r="DC126" s="392">
        <f>IF(ISBLANK(Actuals!DD34),-736.03*Escalation!$B$104,Actuals!DD34)</f>
        <v/>
      </c>
      <c r="DD126" s="392">
        <f>IF(ISBLANK(Actuals!DE34),-736.03*Escalation!$B$105,Actuals!DE34)</f>
        <v/>
      </c>
      <c r="DE126" s="392">
        <f>IF(ISBLANK(Actuals!DF34),-736.03*Escalation!$B$106,Actuals!DF34)</f>
        <v/>
      </c>
    </row>
    <row r="127" ht="15" customFormat="1" customHeight="1" s="380">
      <c r="A127" s="397" t="inlineStr">
        <is>
          <t>5300-1050 Meals and Entertainment</t>
        </is>
      </c>
      <c r="B127" s="392">
        <f>IF(ISBLANK(Actuals!C35),0,Actuals!C35)</f>
        <v/>
      </c>
      <c r="C127" s="392">
        <f>IF(ISBLANK(Actuals!D35),0,Actuals!D35)</f>
        <v/>
      </c>
      <c r="D127" s="392">
        <f>IF(ISBLANK(Actuals!E35),0,Actuals!E35)</f>
        <v/>
      </c>
      <c r="E127" s="392">
        <f>IF(ISBLANK(Actuals!F35),-1134.62*Escalation!$B$2,Actuals!F35)</f>
        <v/>
      </c>
      <c r="F127" s="392">
        <f>IF(ISBLANK(Actuals!G35),-1134.62*Escalation!$B$3,Actuals!G35)</f>
        <v/>
      </c>
      <c r="G127" s="392">
        <f>IF(ISBLANK(Actuals!H35),-1134.62*Escalation!$B$4,Actuals!H35)</f>
        <v/>
      </c>
      <c r="H127" s="392">
        <f>IF(ISBLANK(Actuals!I35),-1134.62*Escalation!$B$5,Actuals!I35)</f>
        <v/>
      </c>
      <c r="I127" s="392">
        <f>IF(ISBLANK(Actuals!J35),-1134.62*Escalation!$B$6,Actuals!J35)</f>
        <v/>
      </c>
      <c r="J127" s="392">
        <f>IF(ISBLANK(Actuals!K35),-1134.62*Escalation!$B$7,Actuals!K35)</f>
        <v/>
      </c>
      <c r="K127" s="392">
        <f>IF(ISBLANK(Actuals!L35),-1134.62*Escalation!$B$8,Actuals!L35)</f>
        <v/>
      </c>
      <c r="L127" s="392">
        <f>IF(ISBLANK(Actuals!M35),-1134.62*Escalation!$B$9,Actuals!M35)</f>
        <v/>
      </c>
      <c r="M127" s="392">
        <f>IF(ISBLANK(Actuals!N35),-1134.62*Escalation!$B$10,Actuals!N35)</f>
        <v/>
      </c>
      <c r="N127" s="392">
        <f>IF(ISBLANK(Actuals!O35),-1134.62*Escalation!$B$11,Actuals!O35)</f>
        <v/>
      </c>
      <c r="O127" s="392">
        <f>IF(ISBLANK(Actuals!P35),-1134.62*Escalation!$B$12,Actuals!P35)</f>
        <v/>
      </c>
      <c r="P127" s="392">
        <f>IF(ISBLANK(Actuals!Q35),-1134.62*Escalation!$B$13,Actuals!Q35)</f>
        <v/>
      </c>
      <c r="Q127" s="392">
        <f>IF(ISBLANK(Actuals!R35),-1134.62*Escalation!$B$14,Actuals!R35)</f>
        <v/>
      </c>
      <c r="R127" s="392">
        <f>IF(ISBLANK(Actuals!S35),-1134.62*Escalation!$B$15,Actuals!S35)</f>
        <v/>
      </c>
      <c r="S127" s="392">
        <f>IF(ISBLANK(Actuals!T35),-1134.62*Escalation!$B$16,Actuals!T35)</f>
        <v/>
      </c>
      <c r="T127" s="392">
        <f>IF(ISBLANK(Actuals!U35),-1134.62*Escalation!$B$17,Actuals!U35)</f>
        <v/>
      </c>
      <c r="U127" s="392">
        <f>IF(ISBLANK(Actuals!V35),-1134.62*Escalation!$B$18,Actuals!V35)</f>
        <v/>
      </c>
      <c r="V127" s="392">
        <f>IF(ISBLANK(Actuals!W35),-1134.62*Escalation!$B$19,Actuals!W35)</f>
        <v/>
      </c>
      <c r="W127" s="392">
        <f>IF(ISBLANK(Actuals!X35),-1134.62*Escalation!$B$20,Actuals!X35)</f>
        <v/>
      </c>
      <c r="X127" s="392">
        <f>IF(ISBLANK(Actuals!Y35),-1134.62*Escalation!$B$21,Actuals!Y35)</f>
        <v/>
      </c>
      <c r="Y127" s="392">
        <f>IF(ISBLANK(Actuals!Z35),-1134.62*Escalation!$B$22,Actuals!Z35)</f>
        <v/>
      </c>
      <c r="Z127" s="392">
        <f>IF(ISBLANK(Actuals!AA35),-1134.62*Escalation!$B$23,Actuals!AA35)</f>
        <v/>
      </c>
      <c r="AA127" s="392">
        <f>IF(ISBLANK(Actuals!AB35),-1134.62*Escalation!$B$24,Actuals!AB35)</f>
        <v/>
      </c>
      <c r="AB127" s="392">
        <f>IF(ISBLANK(Actuals!AC35),-1134.62*Escalation!$B$25,Actuals!AC35)</f>
        <v/>
      </c>
      <c r="AC127" s="392">
        <f>IF(ISBLANK(Actuals!AD35),-1134.62*Escalation!$B$26,Actuals!AD35)</f>
        <v/>
      </c>
      <c r="AD127" s="392">
        <f>IF(ISBLANK(Actuals!AE35),-1134.62*Escalation!$B$27,Actuals!AE35)</f>
        <v/>
      </c>
      <c r="AE127" s="392">
        <f>IF(ISBLANK(Actuals!AF35),-1134.62*Escalation!$B$28,Actuals!AF35)</f>
        <v/>
      </c>
      <c r="AF127" s="392">
        <f>IF(ISBLANK(Actuals!AG35),-1134.62*Escalation!$B$29,Actuals!AG35)</f>
        <v/>
      </c>
      <c r="AG127" s="392">
        <f>IF(ISBLANK(Actuals!AH35),-1134.62*Escalation!$B$30,Actuals!AH35)</f>
        <v/>
      </c>
      <c r="AH127" s="392">
        <f>IF(ISBLANK(Actuals!AI35),-1134.62*Escalation!$B$31,Actuals!AI35)</f>
        <v/>
      </c>
      <c r="AI127" s="392">
        <f>IF(ISBLANK(Actuals!AJ35),-1134.62*Escalation!$B$32,Actuals!AJ35)</f>
        <v/>
      </c>
      <c r="AJ127" s="392">
        <f>IF(ISBLANK(Actuals!AK35),-1134.62*Escalation!$B$33,Actuals!AK35)</f>
        <v/>
      </c>
      <c r="AK127" s="392">
        <f>IF(ISBLANK(Actuals!AL35),-1134.62*Escalation!$B$34,Actuals!AL35)</f>
        <v/>
      </c>
      <c r="AL127" s="392">
        <f>IF(ISBLANK(Actuals!AM35),-1134.62*Escalation!$B$35,Actuals!AM35)</f>
        <v/>
      </c>
      <c r="AM127" s="392">
        <f>IF(ISBLANK(Actuals!AN35),-1134.62*Escalation!$B$36,Actuals!AN35)</f>
        <v/>
      </c>
      <c r="AN127" s="392">
        <f>IF(ISBLANK(Actuals!AO35),-1134.62*Escalation!$B$37,Actuals!AO35)</f>
        <v/>
      </c>
      <c r="AO127" s="392">
        <f>IF(ISBLANK(Actuals!AP35),-1134.62*Escalation!$B$38,Actuals!AP35)</f>
        <v/>
      </c>
      <c r="AP127" s="392">
        <f>IF(ISBLANK(Actuals!AQ35),-1134.62*Escalation!$B$39,Actuals!AQ35)</f>
        <v/>
      </c>
      <c r="AQ127" s="392">
        <f>IF(ISBLANK(Actuals!AR35),-1134.62*Escalation!$B$40,Actuals!AR35)</f>
        <v/>
      </c>
      <c r="AR127" s="392">
        <f>IF(ISBLANK(Actuals!AS35),-1134.62*Escalation!$B$41,Actuals!AS35)</f>
        <v/>
      </c>
      <c r="AS127" s="392">
        <f>IF(ISBLANK(Actuals!AT35),-1134.62*Escalation!$B$42,Actuals!AT35)</f>
        <v/>
      </c>
      <c r="AT127" s="392">
        <f>IF(ISBLANK(Actuals!AU35),-1134.62*Escalation!$B$43,Actuals!AU35)</f>
        <v/>
      </c>
      <c r="AU127" s="392">
        <f>IF(ISBLANK(Actuals!AV35),-1134.62*Escalation!$B$44,Actuals!AV35)</f>
        <v/>
      </c>
      <c r="AV127" s="392">
        <f>IF(ISBLANK(Actuals!AW35),-1134.62*Escalation!$B$45,Actuals!AW35)</f>
        <v/>
      </c>
      <c r="AW127" s="392">
        <f>IF(ISBLANK(Actuals!AX35),-1134.62*Escalation!$B$46,Actuals!AX35)</f>
        <v/>
      </c>
      <c r="AX127" s="392">
        <f>IF(ISBLANK(Actuals!AY35),-1134.62*Escalation!$B$47,Actuals!AY35)</f>
        <v/>
      </c>
      <c r="AY127" s="392">
        <f>IF(ISBLANK(Actuals!AZ35),-1134.62*Escalation!$B$48,Actuals!AZ35)</f>
        <v/>
      </c>
      <c r="AZ127" s="392">
        <f>IF(ISBLANK(Actuals!BA35),-1134.62*Escalation!$B$49,Actuals!BA35)</f>
        <v/>
      </c>
      <c r="BA127" s="392">
        <f>IF(ISBLANK(Actuals!BB35),-1134.62*Escalation!$B$50,Actuals!BB35)</f>
        <v/>
      </c>
      <c r="BB127" s="392">
        <f>IF(ISBLANK(Actuals!BC35),-1134.62*Escalation!$B$51,Actuals!BC35)</f>
        <v/>
      </c>
      <c r="BC127" s="392">
        <f>IF(ISBLANK(Actuals!BD35),-1134.62*Escalation!$B$52,Actuals!BD35)</f>
        <v/>
      </c>
      <c r="BD127" s="392">
        <f>IF(ISBLANK(Actuals!BE35),-1134.62*Escalation!$B$53,Actuals!BE35)</f>
        <v/>
      </c>
      <c r="BE127" s="392">
        <f>IF(ISBLANK(Actuals!BF35),-1134.62*Escalation!$B$54,Actuals!BF35)</f>
        <v/>
      </c>
      <c r="BF127" s="392">
        <f>IF(ISBLANK(Actuals!BG35),-1134.62*Escalation!$B$55,Actuals!BG35)</f>
        <v/>
      </c>
      <c r="BG127" s="392">
        <f>IF(ISBLANK(Actuals!BH35),-1134.62*Escalation!$B$56,Actuals!BH35)</f>
        <v/>
      </c>
      <c r="BH127" s="392">
        <f>IF(ISBLANK(Actuals!BI35),-1134.62*Escalation!$B$57,Actuals!BI35)</f>
        <v/>
      </c>
      <c r="BI127" s="392">
        <f>IF(ISBLANK(Actuals!BJ35),-1134.62*Escalation!$B$58,Actuals!BJ35)</f>
        <v/>
      </c>
      <c r="BJ127" s="392">
        <f>IF(ISBLANK(Actuals!BK35),-1134.62*Escalation!$B$59,Actuals!BK35)</f>
        <v/>
      </c>
      <c r="BK127" s="392">
        <f>IF(ISBLANK(Actuals!BL35),-1134.62*Escalation!$B$60,Actuals!BL35)</f>
        <v/>
      </c>
      <c r="BL127" s="392">
        <f>IF(ISBLANK(Actuals!BM35),-1134.62*Escalation!$B$61,Actuals!BM35)</f>
        <v/>
      </c>
      <c r="BM127" s="392">
        <f>IF(ISBLANK(Actuals!BN35),-1134.62*Escalation!$B$62,Actuals!BN35)</f>
        <v/>
      </c>
      <c r="BN127" s="392">
        <f>IF(ISBLANK(Actuals!BO35),-1134.62*Escalation!$B$63,Actuals!BO35)</f>
        <v/>
      </c>
      <c r="BO127" s="392">
        <f>IF(ISBLANK(Actuals!BP35),-1134.62*Escalation!$B$64,Actuals!BP35)</f>
        <v/>
      </c>
      <c r="BP127" s="392">
        <f>IF(ISBLANK(Actuals!BQ35),-1134.62*Escalation!$B$65,Actuals!BQ35)</f>
        <v/>
      </c>
      <c r="BQ127" s="392">
        <f>IF(ISBLANK(Actuals!BR35),-1134.62*Escalation!$B$66,Actuals!BR35)</f>
        <v/>
      </c>
      <c r="BR127" s="392">
        <f>IF(ISBLANK(Actuals!BS35),-1134.62*Escalation!$B$67,Actuals!BS35)</f>
        <v/>
      </c>
      <c r="BS127" s="392">
        <f>IF(ISBLANK(Actuals!BT35),-1134.62*Escalation!$B$68,Actuals!BT35)</f>
        <v/>
      </c>
      <c r="BT127" s="392">
        <f>IF(ISBLANK(Actuals!BU35),-1134.62*Escalation!$B$69,Actuals!BU35)</f>
        <v/>
      </c>
      <c r="BU127" s="392">
        <f>IF(ISBLANK(Actuals!BV35),-1134.62*Escalation!$B$70,Actuals!BV35)</f>
        <v/>
      </c>
      <c r="BV127" s="392">
        <f>IF(ISBLANK(Actuals!BW35),-1134.62*Escalation!$B$71,Actuals!BW35)</f>
        <v/>
      </c>
      <c r="BW127" s="392">
        <f>IF(ISBLANK(Actuals!BX35),-1134.62*Escalation!$B$72,Actuals!BX35)</f>
        <v/>
      </c>
      <c r="BX127" s="392">
        <f>IF(ISBLANK(Actuals!BY35),-1134.62*Escalation!$B$73,Actuals!BY35)</f>
        <v/>
      </c>
      <c r="BY127" s="392">
        <f>IF(ISBLANK(Actuals!BZ35),-1134.62*Escalation!$B$74,Actuals!BZ35)</f>
        <v/>
      </c>
      <c r="BZ127" s="392">
        <f>IF(ISBLANK(Actuals!CA35),-1134.62*Escalation!$B$75,Actuals!CA35)</f>
        <v/>
      </c>
      <c r="CA127" s="392">
        <f>IF(ISBLANK(Actuals!CB35),-1134.62*Escalation!$B$76,Actuals!CB35)</f>
        <v/>
      </c>
      <c r="CB127" s="392">
        <f>IF(ISBLANK(Actuals!CC35),-1134.62*Escalation!$B$77,Actuals!CC35)</f>
        <v/>
      </c>
      <c r="CC127" s="392">
        <f>IF(ISBLANK(Actuals!CD35),-1134.62*Escalation!$B$78,Actuals!CD35)</f>
        <v/>
      </c>
      <c r="CD127" s="392">
        <f>IF(ISBLANK(Actuals!CE35),-1134.62*Escalation!$B$79,Actuals!CE35)</f>
        <v/>
      </c>
      <c r="CE127" s="392">
        <f>IF(ISBLANK(Actuals!CF35),-1134.62*Escalation!$B$80,Actuals!CF35)</f>
        <v/>
      </c>
      <c r="CF127" s="392">
        <f>IF(ISBLANK(Actuals!CG35),-1134.62*Escalation!$B$81,Actuals!CG35)</f>
        <v/>
      </c>
      <c r="CG127" s="392">
        <f>IF(ISBLANK(Actuals!CH35),-1134.62*Escalation!$B$82,Actuals!CH35)</f>
        <v/>
      </c>
      <c r="CH127" s="392">
        <f>IF(ISBLANK(Actuals!CI35),-1134.62*Escalation!$B$83,Actuals!CI35)</f>
        <v/>
      </c>
      <c r="CI127" s="392">
        <f>IF(ISBLANK(Actuals!CJ35),-1134.62*Escalation!$B$84,Actuals!CJ35)</f>
        <v/>
      </c>
      <c r="CJ127" s="392">
        <f>IF(ISBLANK(Actuals!CK35),-1134.62*Escalation!$B$85,Actuals!CK35)</f>
        <v/>
      </c>
      <c r="CK127" s="392">
        <f>IF(ISBLANK(Actuals!CL35),-1134.62*Escalation!$B$86,Actuals!CL35)</f>
        <v/>
      </c>
      <c r="CL127" s="392">
        <f>IF(ISBLANK(Actuals!CM35),-1134.62*Escalation!$B$87,Actuals!CM35)</f>
        <v/>
      </c>
      <c r="CM127" s="392">
        <f>IF(ISBLANK(Actuals!CN35),-1134.62*Escalation!$B$88,Actuals!CN35)</f>
        <v/>
      </c>
      <c r="CN127" s="392">
        <f>IF(ISBLANK(Actuals!CO35),-1134.62*Escalation!$B$89,Actuals!CO35)</f>
        <v/>
      </c>
      <c r="CO127" s="392">
        <f>IF(ISBLANK(Actuals!CP35),-1134.62*Escalation!$B$90,Actuals!CP35)</f>
        <v/>
      </c>
      <c r="CP127" s="392">
        <f>IF(ISBLANK(Actuals!CQ35),-1134.62*Escalation!$B$91,Actuals!CQ35)</f>
        <v/>
      </c>
      <c r="CQ127" s="392">
        <f>IF(ISBLANK(Actuals!CR35),-1134.62*Escalation!$B$92,Actuals!CR35)</f>
        <v/>
      </c>
      <c r="CR127" s="392">
        <f>IF(ISBLANK(Actuals!CS35),-1134.62*Escalation!$B$93,Actuals!CS35)</f>
        <v/>
      </c>
      <c r="CS127" s="392">
        <f>IF(ISBLANK(Actuals!CT35),-1134.62*Escalation!$B$94,Actuals!CT35)</f>
        <v/>
      </c>
      <c r="CT127" s="392">
        <f>IF(ISBLANK(Actuals!CU35),-1134.62*Escalation!$B$95,Actuals!CU35)</f>
        <v/>
      </c>
      <c r="CU127" s="392">
        <f>IF(ISBLANK(Actuals!CV35),-1134.62*Escalation!$B$96,Actuals!CV35)</f>
        <v/>
      </c>
      <c r="CV127" s="392">
        <f>IF(ISBLANK(Actuals!CW35),-1134.62*Escalation!$B$97,Actuals!CW35)</f>
        <v/>
      </c>
      <c r="CW127" s="392">
        <f>IF(ISBLANK(Actuals!CX35),-1134.62*Escalation!$B$98,Actuals!CX35)</f>
        <v/>
      </c>
      <c r="CX127" s="392">
        <f>IF(ISBLANK(Actuals!CY35),-1134.62*Escalation!$B$99,Actuals!CY35)</f>
        <v/>
      </c>
      <c r="CY127" s="392">
        <f>IF(ISBLANK(Actuals!CZ35),-1134.62*Escalation!$B$100,Actuals!CZ35)</f>
        <v/>
      </c>
      <c r="CZ127" s="392">
        <f>IF(ISBLANK(Actuals!DA35),-1134.62*Escalation!$B$101,Actuals!DA35)</f>
        <v/>
      </c>
      <c r="DA127" s="392">
        <f>IF(ISBLANK(Actuals!DB35),-1134.62*Escalation!$B$102,Actuals!DB35)</f>
        <v/>
      </c>
      <c r="DB127" s="392">
        <f>IF(ISBLANK(Actuals!DC35),-1134.62*Escalation!$B$103,Actuals!DC35)</f>
        <v/>
      </c>
      <c r="DC127" s="392">
        <f>IF(ISBLANK(Actuals!DD35),-1134.62*Escalation!$B$104,Actuals!DD35)</f>
        <v/>
      </c>
      <c r="DD127" s="392">
        <f>IF(ISBLANK(Actuals!DE35),-1134.62*Escalation!$B$105,Actuals!DE35)</f>
        <v/>
      </c>
      <c r="DE127" s="392">
        <f>IF(ISBLANK(Actuals!DF35),-1134.62*Escalation!$B$106,Actuals!DF35)</f>
        <v/>
      </c>
    </row>
    <row r="128" ht="15" customFormat="1" customHeight="1" s="380">
      <c r="A128" s="397" t="inlineStr">
        <is>
          <t>5500-1000 Legal and Professional Fees</t>
        </is>
      </c>
      <c r="B128" s="392">
        <f>IF(ISBLANK(Actuals!C36),0,Actuals!C36)</f>
        <v/>
      </c>
      <c r="C128" s="392">
        <f>IF(ISBLANK(Actuals!D36),0,Actuals!D36)</f>
        <v/>
      </c>
      <c r="D128" s="392">
        <f>IF(ISBLANK(Actuals!E36),0,Actuals!E36)</f>
        <v/>
      </c>
      <c r="E128" s="392">
        <f>IF(ISBLANK(Actuals!F36),-1270.83*Escalation!$B$2,Actuals!F36)</f>
        <v/>
      </c>
      <c r="F128" s="392">
        <f>IF(ISBLANK(Actuals!G36),-1270.83*Escalation!$B$3,Actuals!G36)</f>
        <v/>
      </c>
      <c r="G128" s="392">
        <f>IF(ISBLANK(Actuals!H36),-1270.83*Escalation!$B$4,Actuals!H36)</f>
        <v/>
      </c>
      <c r="H128" s="392">
        <f>IF(ISBLANK(Actuals!I36),-1270.83*Escalation!$B$5,Actuals!I36)</f>
        <v/>
      </c>
      <c r="I128" s="392">
        <f>IF(ISBLANK(Actuals!J36),-1270.83*Escalation!$B$6,Actuals!J36)</f>
        <v/>
      </c>
      <c r="J128" s="392">
        <f>IF(ISBLANK(Actuals!K36),-1270.83*Escalation!$B$7,Actuals!K36)</f>
        <v/>
      </c>
      <c r="K128" s="392">
        <f>IF(ISBLANK(Actuals!L36),-1270.83*Escalation!$B$8,Actuals!L36)</f>
        <v/>
      </c>
      <c r="L128" s="392">
        <f>IF(ISBLANK(Actuals!M36),-1270.83*Escalation!$B$9,Actuals!M36)</f>
        <v/>
      </c>
      <c r="M128" s="392">
        <f>IF(ISBLANK(Actuals!N36),-1270.83*Escalation!$B$10,Actuals!N36)</f>
        <v/>
      </c>
      <c r="N128" s="392">
        <f>IF(ISBLANK(Actuals!O36),-1270.83*Escalation!$B$11,Actuals!O36)</f>
        <v/>
      </c>
      <c r="O128" s="392">
        <f>IF(ISBLANK(Actuals!P36),-1270.83*Escalation!$B$12,Actuals!P36)</f>
        <v/>
      </c>
      <c r="P128" s="392">
        <f>IF(ISBLANK(Actuals!Q36),-1270.83*Escalation!$B$13,Actuals!Q36)</f>
        <v/>
      </c>
      <c r="Q128" s="392">
        <f>IF(ISBLANK(Actuals!R36),-1270.83*Escalation!$B$14,Actuals!R36)</f>
        <v/>
      </c>
      <c r="R128" s="392">
        <f>IF(ISBLANK(Actuals!S36),-1270.83*Escalation!$B$15,Actuals!S36)</f>
        <v/>
      </c>
      <c r="S128" s="392">
        <f>IF(ISBLANK(Actuals!T36),-1270.83*Escalation!$B$16,Actuals!T36)</f>
        <v/>
      </c>
      <c r="T128" s="392">
        <f>IF(ISBLANK(Actuals!U36),-1270.83*Escalation!$B$17,Actuals!U36)</f>
        <v/>
      </c>
      <c r="U128" s="392">
        <f>IF(ISBLANK(Actuals!V36),-1270.83*Escalation!$B$18,Actuals!V36)</f>
        <v/>
      </c>
      <c r="V128" s="392">
        <f>IF(ISBLANK(Actuals!W36),-1270.83*Escalation!$B$19,Actuals!W36)</f>
        <v/>
      </c>
      <c r="W128" s="392">
        <f>IF(ISBLANK(Actuals!X36),-1270.83*Escalation!$B$20,Actuals!X36)</f>
        <v/>
      </c>
      <c r="X128" s="392">
        <f>IF(ISBLANK(Actuals!Y36),-1270.83*Escalation!$B$21,Actuals!Y36)</f>
        <v/>
      </c>
      <c r="Y128" s="392">
        <f>IF(ISBLANK(Actuals!Z36),-1270.83*Escalation!$B$22,Actuals!Z36)</f>
        <v/>
      </c>
      <c r="Z128" s="392">
        <f>IF(ISBLANK(Actuals!AA36),-1270.83*Escalation!$B$23,Actuals!AA36)</f>
        <v/>
      </c>
      <c r="AA128" s="392">
        <f>IF(ISBLANK(Actuals!AB36),-1270.83*Escalation!$B$24,Actuals!AB36)</f>
        <v/>
      </c>
      <c r="AB128" s="392">
        <f>IF(ISBLANK(Actuals!AC36),-1270.83*Escalation!$B$25,Actuals!AC36)</f>
        <v/>
      </c>
      <c r="AC128" s="392">
        <f>IF(ISBLANK(Actuals!AD36),-1270.83*Escalation!$B$26,Actuals!AD36)</f>
        <v/>
      </c>
      <c r="AD128" s="392">
        <f>IF(ISBLANK(Actuals!AE36),-1270.83*Escalation!$B$27,Actuals!AE36)</f>
        <v/>
      </c>
      <c r="AE128" s="392">
        <f>IF(ISBLANK(Actuals!AF36),-1270.83*Escalation!$B$28,Actuals!AF36)</f>
        <v/>
      </c>
      <c r="AF128" s="392">
        <f>IF(ISBLANK(Actuals!AG36),-1270.83*Escalation!$B$29,Actuals!AG36)</f>
        <v/>
      </c>
      <c r="AG128" s="392">
        <f>IF(ISBLANK(Actuals!AH36),-1270.83*Escalation!$B$30,Actuals!AH36)</f>
        <v/>
      </c>
      <c r="AH128" s="392">
        <f>IF(ISBLANK(Actuals!AI36),-1270.83*Escalation!$B$31,Actuals!AI36)</f>
        <v/>
      </c>
      <c r="AI128" s="392">
        <f>IF(ISBLANK(Actuals!AJ36),-1270.83*Escalation!$B$32,Actuals!AJ36)</f>
        <v/>
      </c>
      <c r="AJ128" s="392">
        <f>IF(ISBLANK(Actuals!AK36),-1270.83*Escalation!$B$33,Actuals!AK36)</f>
        <v/>
      </c>
      <c r="AK128" s="392">
        <f>IF(ISBLANK(Actuals!AL36),-1270.83*Escalation!$B$34,Actuals!AL36)</f>
        <v/>
      </c>
      <c r="AL128" s="392">
        <f>IF(ISBLANK(Actuals!AM36),-1270.83*Escalation!$B$35,Actuals!AM36)</f>
        <v/>
      </c>
      <c r="AM128" s="392">
        <f>IF(ISBLANK(Actuals!AN36),-1270.83*Escalation!$B$36,Actuals!AN36)</f>
        <v/>
      </c>
      <c r="AN128" s="392">
        <f>IF(ISBLANK(Actuals!AO36),-1270.83*Escalation!$B$37,Actuals!AO36)</f>
        <v/>
      </c>
      <c r="AO128" s="392">
        <f>IF(ISBLANK(Actuals!AP36),-1270.83*Escalation!$B$38,Actuals!AP36)</f>
        <v/>
      </c>
      <c r="AP128" s="392">
        <f>IF(ISBLANK(Actuals!AQ36),-1270.83*Escalation!$B$39,Actuals!AQ36)</f>
        <v/>
      </c>
      <c r="AQ128" s="392">
        <f>IF(ISBLANK(Actuals!AR36),-1270.83*Escalation!$B$40,Actuals!AR36)</f>
        <v/>
      </c>
      <c r="AR128" s="392">
        <f>IF(ISBLANK(Actuals!AS36),-1270.83*Escalation!$B$41,Actuals!AS36)</f>
        <v/>
      </c>
      <c r="AS128" s="392">
        <f>IF(ISBLANK(Actuals!AT36),-1270.83*Escalation!$B$42,Actuals!AT36)</f>
        <v/>
      </c>
      <c r="AT128" s="392">
        <f>IF(ISBLANK(Actuals!AU36),-1270.83*Escalation!$B$43,Actuals!AU36)</f>
        <v/>
      </c>
      <c r="AU128" s="392">
        <f>IF(ISBLANK(Actuals!AV36),-1270.83*Escalation!$B$44,Actuals!AV36)</f>
        <v/>
      </c>
      <c r="AV128" s="392">
        <f>IF(ISBLANK(Actuals!AW36),-1270.83*Escalation!$B$45,Actuals!AW36)</f>
        <v/>
      </c>
      <c r="AW128" s="392">
        <f>IF(ISBLANK(Actuals!AX36),-1270.83*Escalation!$B$46,Actuals!AX36)</f>
        <v/>
      </c>
      <c r="AX128" s="392">
        <f>IF(ISBLANK(Actuals!AY36),-1270.83*Escalation!$B$47,Actuals!AY36)</f>
        <v/>
      </c>
      <c r="AY128" s="392">
        <f>IF(ISBLANK(Actuals!AZ36),-1270.83*Escalation!$B$48,Actuals!AZ36)</f>
        <v/>
      </c>
      <c r="AZ128" s="392">
        <f>IF(ISBLANK(Actuals!BA36),-1270.83*Escalation!$B$49,Actuals!BA36)</f>
        <v/>
      </c>
      <c r="BA128" s="392">
        <f>IF(ISBLANK(Actuals!BB36),-1270.83*Escalation!$B$50,Actuals!BB36)</f>
        <v/>
      </c>
      <c r="BB128" s="392">
        <f>IF(ISBLANK(Actuals!BC36),-1270.83*Escalation!$B$51,Actuals!BC36)</f>
        <v/>
      </c>
      <c r="BC128" s="392">
        <f>IF(ISBLANK(Actuals!BD36),-1270.83*Escalation!$B$52,Actuals!BD36)</f>
        <v/>
      </c>
      <c r="BD128" s="392">
        <f>IF(ISBLANK(Actuals!BE36),-1270.83*Escalation!$B$53,Actuals!BE36)</f>
        <v/>
      </c>
      <c r="BE128" s="392">
        <f>IF(ISBLANK(Actuals!BF36),-1270.83*Escalation!$B$54,Actuals!BF36)</f>
        <v/>
      </c>
      <c r="BF128" s="392">
        <f>IF(ISBLANK(Actuals!BG36),-1270.83*Escalation!$B$55,Actuals!BG36)</f>
        <v/>
      </c>
      <c r="BG128" s="392">
        <f>IF(ISBLANK(Actuals!BH36),-1270.83*Escalation!$B$56,Actuals!BH36)</f>
        <v/>
      </c>
      <c r="BH128" s="392">
        <f>IF(ISBLANK(Actuals!BI36),-1270.83*Escalation!$B$57,Actuals!BI36)</f>
        <v/>
      </c>
      <c r="BI128" s="392">
        <f>IF(ISBLANK(Actuals!BJ36),-1270.83*Escalation!$B$58,Actuals!BJ36)</f>
        <v/>
      </c>
      <c r="BJ128" s="392">
        <f>IF(ISBLANK(Actuals!BK36),-1270.83*Escalation!$B$59,Actuals!BK36)</f>
        <v/>
      </c>
      <c r="BK128" s="392">
        <f>IF(ISBLANK(Actuals!BL36),-1270.83*Escalation!$B$60,Actuals!BL36)</f>
        <v/>
      </c>
      <c r="BL128" s="392">
        <f>IF(ISBLANK(Actuals!BM36),-1270.83*Escalation!$B$61,Actuals!BM36)</f>
        <v/>
      </c>
      <c r="BM128" s="392">
        <f>IF(ISBLANK(Actuals!BN36),-1270.83*Escalation!$B$62,Actuals!BN36)</f>
        <v/>
      </c>
      <c r="BN128" s="392">
        <f>IF(ISBLANK(Actuals!BO36),-1270.83*Escalation!$B$63,Actuals!BO36)</f>
        <v/>
      </c>
      <c r="BO128" s="392">
        <f>IF(ISBLANK(Actuals!BP36),-1270.83*Escalation!$B$64,Actuals!BP36)</f>
        <v/>
      </c>
      <c r="BP128" s="392">
        <f>IF(ISBLANK(Actuals!BQ36),-1270.83*Escalation!$B$65,Actuals!BQ36)</f>
        <v/>
      </c>
      <c r="BQ128" s="392">
        <f>IF(ISBLANK(Actuals!BR36),-1270.83*Escalation!$B$66,Actuals!BR36)</f>
        <v/>
      </c>
      <c r="BR128" s="392">
        <f>IF(ISBLANK(Actuals!BS36),-1270.83*Escalation!$B$67,Actuals!BS36)</f>
        <v/>
      </c>
      <c r="BS128" s="392">
        <f>IF(ISBLANK(Actuals!BT36),-1270.83*Escalation!$B$68,Actuals!BT36)</f>
        <v/>
      </c>
      <c r="BT128" s="392">
        <f>IF(ISBLANK(Actuals!BU36),-1270.83*Escalation!$B$69,Actuals!BU36)</f>
        <v/>
      </c>
      <c r="BU128" s="392">
        <f>IF(ISBLANK(Actuals!BV36),-1270.83*Escalation!$B$70,Actuals!BV36)</f>
        <v/>
      </c>
      <c r="BV128" s="392">
        <f>IF(ISBLANK(Actuals!BW36),-1270.83*Escalation!$B$71,Actuals!BW36)</f>
        <v/>
      </c>
      <c r="BW128" s="392">
        <f>IF(ISBLANK(Actuals!BX36),-1270.83*Escalation!$B$72,Actuals!BX36)</f>
        <v/>
      </c>
      <c r="BX128" s="392">
        <f>IF(ISBLANK(Actuals!BY36),-1270.83*Escalation!$B$73,Actuals!BY36)</f>
        <v/>
      </c>
      <c r="BY128" s="392">
        <f>IF(ISBLANK(Actuals!BZ36),-1270.83*Escalation!$B$74,Actuals!BZ36)</f>
        <v/>
      </c>
      <c r="BZ128" s="392">
        <f>IF(ISBLANK(Actuals!CA36),-1270.83*Escalation!$B$75,Actuals!CA36)</f>
        <v/>
      </c>
      <c r="CA128" s="392">
        <f>IF(ISBLANK(Actuals!CB36),-1270.83*Escalation!$B$76,Actuals!CB36)</f>
        <v/>
      </c>
      <c r="CB128" s="392">
        <f>IF(ISBLANK(Actuals!CC36),-1270.83*Escalation!$B$77,Actuals!CC36)</f>
        <v/>
      </c>
      <c r="CC128" s="392">
        <f>IF(ISBLANK(Actuals!CD36),-1270.83*Escalation!$B$78,Actuals!CD36)</f>
        <v/>
      </c>
      <c r="CD128" s="392">
        <f>IF(ISBLANK(Actuals!CE36),-1270.83*Escalation!$B$79,Actuals!CE36)</f>
        <v/>
      </c>
      <c r="CE128" s="392">
        <f>IF(ISBLANK(Actuals!CF36),-1270.83*Escalation!$B$80,Actuals!CF36)</f>
        <v/>
      </c>
      <c r="CF128" s="392">
        <f>IF(ISBLANK(Actuals!CG36),-1270.83*Escalation!$B$81,Actuals!CG36)</f>
        <v/>
      </c>
      <c r="CG128" s="392">
        <f>IF(ISBLANK(Actuals!CH36),-1270.83*Escalation!$B$82,Actuals!CH36)</f>
        <v/>
      </c>
      <c r="CH128" s="392">
        <f>IF(ISBLANK(Actuals!CI36),-1270.83*Escalation!$B$83,Actuals!CI36)</f>
        <v/>
      </c>
      <c r="CI128" s="392">
        <f>IF(ISBLANK(Actuals!CJ36),-1270.83*Escalation!$B$84,Actuals!CJ36)</f>
        <v/>
      </c>
      <c r="CJ128" s="392">
        <f>IF(ISBLANK(Actuals!CK36),-1270.83*Escalation!$B$85,Actuals!CK36)</f>
        <v/>
      </c>
      <c r="CK128" s="392">
        <f>IF(ISBLANK(Actuals!CL36),-1270.83*Escalation!$B$86,Actuals!CL36)</f>
        <v/>
      </c>
      <c r="CL128" s="392">
        <f>IF(ISBLANK(Actuals!CM36),-1270.83*Escalation!$B$87,Actuals!CM36)</f>
        <v/>
      </c>
      <c r="CM128" s="392">
        <f>IF(ISBLANK(Actuals!CN36),-1270.83*Escalation!$B$88,Actuals!CN36)</f>
        <v/>
      </c>
      <c r="CN128" s="392">
        <f>IF(ISBLANK(Actuals!CO36),-1270.83*Escalation!$B$89,Actuals!CO36)</f>
        <v/>
      </c>
      <c r="CO128" s="392">
        <f>IF(ISBLANK(Actuals!CP36),-1270.83*Escalation!$B$90,Actuals!CP36)</f>
        <v/>
      </c>
      <c r="CP128" s="392">
        <f>IF(ISBLANK(Actuals!CQ36),-1270.83*Escalation!$B$91,Actuals!CQ36)</f>
        <v/>
      </c>
      <c r="CQ128" s="392">
        <f>IF(ISBLANK(Actuals!CR36),-1270.83*Escalation!$B$92,Actuals!CR36)</f>
        <v/>
      </c>
      <c r="CR128" s="392">
        <f>IF(ISBLANK(Actuals!CS36),-1270.83*Escalation!$B$93,Actuals!CS36)</f>
        <v/>
      </c>
      <c r="CS128" s="392">
        <f>IF(ISBLANK(Actuals!CT36),-1270.83*Escalation!$B$94,Actuals!CT36)</f>
        <v/>
      </c>
      <c r="CT128" s="392">
        <f>IF(ISBLANK(Actuals!CU36),-1270.83*Escalation!$B$95,Actuals!CU36)</f>
        <v/>
      </c>
      <c r="CU128" s="392">
        <f>IF(ISBLANK(Actuals!CV36),-1270.83*Escalation!$B$96,Actuals!CV36)</f>
        <v/>
      </c>
      <c r="CV128" s="392">
        <f>IF(ISBLANK(Actuals!CW36),-1270.83*Escalation!$B$97,Actuals!CW36)</f>
        <v/>
      </c>
      <c r="CW128" s="392">
        <f>IF(ISBLANK(Actuals!CX36),-1270.83*Escalation!$B$98,Actuals!CX36)</f>
        <v/>
      </c>
      <c r="CX128" s="392">
        <f>IF(ISBLANK(Actuals!CY36),-1270.83*Escalation!$B$99,Actuals!CY36)</f>
        <v/>
      </c>
      <c r="CY128" s="392">
        <f>IF(ISBLANK(Actuals!CZ36),-1270.83*Escalation!$B$100,Actuals!CZ36)</f>
        <v/>
      </c>
      <c r="CZ128" s="392">
        <f>IF(ISBLANK(Actuals!DA36),-1270.83*Escalation!$B$101,Actuals!DA36)</f>
        <v/>
      </c>
      <c r="DA128" s="392">
        <f>IF(ISBLANK(Actuals!DB36),-1270.83*Escalation!$B$102,Actuals!DB36)</f>
        <v/>
      </c>
      <c r="DB128" s="392">
        <f>IF(ISBLANK(Actuals!DC36),-1270.83*Escalation!$B$103,Actuals!DC36)</f>
        <v/>
      </c>
      <c r="DC128" s="392">
        <f>IF(ISBLANK(Actuals!DD36),-1270.83*Escalation!$B$104,Actuals!DD36)</f>
        <v/>
      </c>
      <c r="DD128" s="392">
        <f>IF(ISBLANK(Actuals!DE36),-1270.83*Escalation!$B$105,Actuals!DE36)</f>
        <v/>
      </c>
      <c r="DE128" s="392">
        <f>IF(ISBLANK(Actuals!DF36),-1270.83*Escalation!$B$106,Actuals!DF36)</f>
        <v/>
      </c>
    </row>
    <row r="129" ht="15" customFormat="1" customHeight="1" s="380">
      <c r="A129" s="397" t="inlineStr">
        <is>
          <t>5500-1002 Accounting Consulting and Overhead</t>
        </is>
      </c>
      <c r="B129" s="392">
        <f>IF(ISBLANK(Actuals!C37),0,Actuals!C37)</f>
        <v/>
      </c>
      <c r="C129" s="392">
        <f>IF(ISBLANK(Actuals!D37),0,Actuals!D37)</f>
        <v/>
      </c>
      <c r="D129" s="392">
        <f>IF(ISBLANK(Actuals!E37),0,Actuals!E37)</f>
        <v/>
      </c>
      <c r="E129" s="392">
        <f>IF(ISBLANK(Actuals!F37),-5916.33*Escalation!$B$2,Actuals!F37)</f>
        <v/>
      </c>
      <c r="F129" s="392">
        <f>IF(ISBLANK(Actuals!G37),-5916.33*Escalation!$B$3,Actuals!G37)</f>
        <v/>
      </c>
      <c r="G129" s="392">
        <f>IF(ISBLANK(Actuals!H37),-5916.33*Escalation!$B$4,Actuals!H37)</f>
        <v/>
      </c>
      <c r="H129" s="392">
        <f>IF(ISBLANK(Actuals!I37),-5916.33*Escalation!$B$5,Actuals!I37)</f>
        <v/>
      </c>
      <c r="I129" s="392">
        <f>IF(ISBLANK(Actuals!J37),-5916.33*Escalation!$B$6,Actuals!J37)</f>
        <v/>
      </c>
      <c r="J129" s="392">
        <f>IF(ISBLANK(Actuals!K37),-5916.33*Escalation!$B$7,Actuals!K37)</f>
        <v/>
      </c>
      <c r="K129" s="392">
        <f>IF(ISBLANK(Actuals!L37),-5916.33*Escalation!$B$8,Actuals!L37)</f>
        <v/>
      </c>
      <c r="L129" s="392">
        <f>IF(ISBLANK(Actuals!M37),-5916.33*Escalation!$B$9,Actuals!M37)</f>
        <v/>
      </c>
      <c r="M129" s="392">
        <f>IF(ISBLANK(Actuals!N37),-5916.33*Escalation!$B$10,Actuals!N37)</f>
        <v/>
      </c>
      <c r="N129" s="392">
        <f>IF(ISBLANK(Actuals!O37),-5916.33*Escalation!$B$11,Actuals!O37)</f>
        <v/>
      </c>
      <c r="O129" s="392">
        <f>IF(ISBLANK(Actuals!P37),-5916.33*Escalation!$B$12,Actuals!P37)</f>
        <v/>
      </c>
      <c r="P129" s="392">
        <f>IF(ISBLANK(Actuals!Q37),-5916.33*Escalation!$B$13,Actuals!Q37)</f>
        <v/>
      </c>
      <c r="Q129" s="392">
        <f>IF(ISBLANK(Actuals!R37),-5916.33*Escalation!$B$14,Actuals!R37)</f>
        <v/>
      </c>
      <c r="R129" s="392">
        <f>IF(ISBLANK(Actuals!S37),-5916.33*Escalation!$B$15,Actuals!S37)</f>
        <v/>
      </c>
      <c r="S129" s="392">
        <f>IF(ISBLANK(Actuals!T37),-5916.33*Escalation!$B$16,Actuals!T37)</f>
        <v/>
      </c>
      <c r="T129" s="392">
        <f>IF(ISBLANK(Actuals!U37),-5916.33*Escalation!$B$17,Actuals!U37)</f>
        <v/>
      </c>
      <c r="U129" s="392">
        <f>IF(ISBLANK(Actuals!V37),-5916.33*Escalation!$B$18,Actuals!V37)</f>
        <v/>
      </c>
      <c r="V129" s="392">
        <f>IF(ISBLANK(Actuals!W37),-5916.33*Escalation!$B$19,Actuals!W37)</f>
        <v/>
      </c>
      <c r="W129" s="392">
        <f>IF(ISBLANK(Actuals!X37),-5916.33*Escalation!$B$20,Actuals!X37)</f>
        <v/>
      </c>
      <c r="X129" s="392">
        <f>IF(ISBLANK(Actuals!Y37),-5916.33*Escalation!$B$21,Actuals!Y37)</f>
        <v/>
      </c>
      <c r="Y129" s="392">
        <f>IF(ISBLANK(Actuals!Z37),-5916.33*Escalation!$B$22,Actuals!Z37)</f>
        <v/>
      </c>
      <c r="Z129" s="392">
        <f>IF(ISBLANK(Actuals!AA37),-5916.33*Escalation!$B$23,Actuals!AA37)</f>
        <v/>
      </c>
      <c r="AA129" s="392">
        <f>IF(ISBLANK(Actuals!AB37),-5916.33*Escalation!$B$24,Actuals!AB37)</f>
        <v/>
      </c>
      <c r="AB129" s="392">
        <f>IF(ISBLANK(Actuals!AC37),-5916.33*Escalation!$B$25,Actuals!AC37)</f>
        <v/>
      </c>
      <c r="AC129" s="392">
        <f>IF(ISBLANK(Actuals!AD37),-5916.33*Escalation!$B$26,Actuals!AD37)</f>
        <v/>
      </c>
      <c r="AD129" s="392">
        <f>IF(ISBLANK(Actuals!AE37),-5916.33*Escalation!$B$27,Actuals!AE37)</f>
        <v/>
      </c>
      <c r="AE129" s="392">
        <f>IF(ISBLANK(Actuals!AF37),-5916.33*Escalation!$B$28,Actuals!AF37)</f>
        <v/>
      </c>
      <c r="AF129" s="392">
        <f>IF(ISBLANK(Actuals!AG37),-5916.33*Escalation!$B$29,Actuals!AG37)</f>
        <v/>
      </c>
      <c r="AG129" s="392">
        <f>IF(ISBLANK(Actuals!AH37),-5916.33*Escalation!$B$30,Actuals!AH37)</f>
        <v/>
      </c>
      <c r="AH129" s="392">
        <f>IF(ISBLANK(Actuals!AI37),-5916.33*Escalation!$B$31,Actuals!AI37)</f>
        <v/>
      </c>
      <c r="AI129" s="392">
        <f>IF(ISBLANK(Actuals!AJ37),-5916.33*Escalation!$B$32,Actuals!AJ37)</f>
        <v/>
      </c>
      <c r="AJ129" s="392">
        <f>IF(ISBLANK(Actuals!AK37),-5916.33*Escalation!$B$33,Actuals!AK37)</f>
        <v/>
      </c>
      <c r="AK129" s="392">
        <f>IF(ISBLANK(Actuals!AL37),-5916.33*Escalation!$B$34,Actuals!AL37)</f>
        <v/>
      </c>
      <c r="AL129" s="392">
        <f>IF(ISBLANK(Actuals!AM37),-5916.33*Escalation!$B$35,Actuals!AM37)</f>
        <v/>
      </c>
      <c r="AM129" s="392">
        <f>IF(ISBLANK(Actuals!AN37),-5916.33*Escalation!$B$36,Actuals!AN37)</f>
        <v/>
      </c>
      <c r="AN129" s="392">
        <f>IF(ISBLANK(Actuals!AO37),-5916.33*Escalation!$B$37,Actuals!AO37)</f>
        <v/>
      </c>
      <c r="AO129" s="392">
        <f>IF(ISBLANK(Actuals!AP37),-5916.33*Escalation!$B$38,Actuals!AP37)</f>
        <v/>
      </c>
      <c r="AP129" s="392">
        <f>IF(ISBLANK(Actuals!AQ37),-5916.33*Escalation!$B$39,Actuals!AQ37)</f>
        <v/>
      </c>
      <c r="AQ129" s="392">
        <f>IF(ISBLANK(Actuals!AR37),-5916.33*Escalation!$B$40,Actuals!AR37)</f>
        <v/>
      </c>
      <c r="AR129" s="392">
        <f>IF(ISBLANK(Actuals!AS37),-5916.33*Escalation!$B$41,Actuals!AS37)</f>
        <v/>
      </c>
      <c r="AS129" s="392">
        <f>IF(ISBLANK(Actuals!AT37),-5916.33*Escalation!$B$42,Actuals!AT37)</f>
        <v/>
      </c>
      <c r="AT129" s="392">
        <f>IF(ISBLANK(Actuals!AU37),-5916.33*Escalation!$B$43,Actuals!AU37)</f>
        <v/>
      </c>
      <c r="AU129" s="392">
        <f>IF(ISBLANK(Actuals!AV37),-5916.33*Escalation!$B$44,Actuals!AV37)</f>
        <v/>
      </c>
      <c r="AV129" s="392">
        <f>IF(ISBLANK(Actuals!AW37),-5916.33*Escalation!$B$45,Actuals!AW37)</f>
        <v/>
      </c>
      <c r="AW129" s="392">
        <f>IF(ISBLANK(Actuals!AX37),-5916.33*Escalation!$B$46,Actuals!AX37)</f>
        <v/>
      </c>
      <c r="AX129" s="392">
        <f>IF(ISBLANK(Actuals!AY37),-5916.33*Escalation!$B$47,Actuals!AY37)</f>
        <v/>
      </c>
      <c r="AY129" s="392">
        <f>IF(ISBLANK(Actuals!AZ37),-5916.33*Escalation!$B$48,Actuals!AZ37)</f>
        <v/>
      </c>
      <c r="AZ129" s="392">
        <f>IF(ISBLANK(Actuals!BA37),-5916.33*Escalation!$B$49,Actuals!BA37)</f>
        <v/>
      </c>
      <c r="BA129" s="392">
        <f>IF(ISBLANK(Actuals!BB37),-5916.33*Escalation!$B$50,Actuals!BB37)</f>
        <v/>
      </c>
      <c r="BB129" s="392">
        <f>IF(ISBLANK(Actuals!BC37),-5916.33*Escalation!$B$51,Actuals!BC37)</f>
        <v/>
      </c>
      <c r="BC129" s="392">
        <f>IF(ISBLANK(Actuals!BD37),-5916.33*Escalation!$B$52,Actuals!BD37)</f>
        <v/>
      </c>
      <c r="BD129" s="392">
        <f>IF(ISBLANK(Actuals!BE37),-5916.33*Escalation!$B$53,Actuals!BE37)</f>
        <v/>
      </c>
      <c r="BE129" s="392">
        <f>IF(ISBLANK(Actuals!BF37),-5916.33*Escalation!$B$54,Actuals!BF37)</f>
        <v/>
      </c>
      <c r="BF129" s="392">
        <f>IF(ISBLANK(Actuals!BG37),-5916.33*Escalation!$B$55,Actuals!BG37)</f>
        <v/>
      </c>
      <c r="BG129" s="392">
        <f>IF(ISBLANK(Actuals!BH37),-5916.33*Escalation!$B$56,Actuals!BH37)</f>
        <v/>
      </c>
      <c r="BH129" s="392">
        <f>IF(ISBLANK(Actuals!BI37),-5916.33*Escalation!$B$57,Actuals!BI37)</f>
        <v/>
      </c>
      <c r="BI129" s="392">
        <f>IF(ISBLANK(Actuals!BJ37),-5916.33*Escalation!$B$58,Actuals!BJ37)</f>
        <v/>
      </c>
      <c r="BJ129" s="392">
        <f>IF(ISBLANK(Actuals!BK37),-5916.33*Escalation!$B$59,Actuals!BK37)</f>
        <v/>
      </c>
      <c r="BK129" s="392">
        <f>IF(ISBLANK(Actuals!BL37),-5916.33*Escalation!$B$60,Actuals!BL37)</f>
        <v/>
      </c>
      <c r="BL129" s="392">
        <f>IF(ISBLANK(Actuals!BM37),-5916.33*Escalation!$B$61,Actuals!BM37)</f>
        <v/>
      </c>
      <c r="BM129" s="392">
        <f>IF(ISBLANK(Actuals!BN37),-5916.33*Escalation!$B$62,Actuals!BN37)</f>
        <v/>
      </c>
      <c r="BN129" s="392">
        <f>IF(ISBLANK(Actuals!BO37),-5916.33*Escalation!$B$63,Actuals!BO37)</f>
        <v/>
      </c>
      <c r="BO129" s="392">
        <f>IF(ISBLANK(Actuals!BP37),-5916.33*Escalation!$B$64,Actuals!BP37)</f>
        <v/>
      </c>
      <c r="BP129" s="392">
        <f>IF(ISBLANK(Actuals!BQ37),-5916.33*Escalation!$B$65,Actuals!BQ37)</f>
        <v/>
      </c>
      <c r="BQ129" s="392">
        <f>IF(ISBLANK(Actuals!BR37),-5916.33*Escalation!$B$66,Actuals!BR37)</f>
        <v/>
      </c>
      <c r="BR129" s="392">
        <f>IF(ISBLANK(Actuals!BS37),-5916.33*Escalation!$B$67,Actuals!BS37)</f>
        <v/>
      </c>
      <c r="BS129" s="392">
        <f>IF(ISBLANK(Actuals!BT37),-5916.33*Escalation!$B$68,Actuals!BT37)</f>
        <v/>
      </c>
      <c r="BT129" s="392">
        <f>IF(ISBLANK(Actuals!BU37),-5916.33*Escalation!$B$69,Actuals!BU37)</f>
        <v/>
      </c>
      <c r="BU129" s="392">
        <f>IF(ISBLANK(Actuals!BV37),-5916.33*Escalation!$B$70,Actuals!BV37)</f>
        <v/>
      </c>
      <c r="BV129" s="392">
        <f>IF(ISBLANK(Actuals!BW37),-5916.33*Escalation!$B$71,Actuals!BW37)</f>
        <v/>
      </c>
      <c r="BW129" s="392">
        <f>IF(ISBLANK(Actuals!BX37),-5916.33*Escalation!$B$72,Actuals!BX37)</f>
        <v/>
      </c>
      <c r="BX129" s="392">
        <f>IF(ISBLANK(Actuals!BY37),-5916.33*Escalation!$B$73,Actuals!BY37)</f>
        <v/>
      </c>
      <c r="BY129" s="392">
        <f>IF(ISBLANK(Actuals!BZ37),-5916.33*Escalation!$B$74,Actuals!BZ37)</f>
        <v/>
      </c>
      <c r="BZ129" s="392">
        <f>IF(ISBLANK(Actuals!CA37),-5916.33*Escalation!$B$75,Actuals!CA37)</f>
        <v/>
      </c>
      <c r="CA129" s="392">
        <f>IF(ISBLANK(Actuals!CB37),-5916.33*Escalation!$B$76,Actuals!CB37)</f>
        <v/>
      </c>
      <c r="CB129" s="392">
        <f>IF(ISBLANK(Actuals!CC37),-5916.33*Escalation!$B$77,Actuals!CC37)</f>
        <v/>
      </c>
      <c r="CC129" s="392">
        <f>IF(ISBLANK(Actuals!CD37),-5916.33*Escalation!$B$78,Actuals!CD37)</f>
        <v/>
      </c>
      <c r="CD129" s="392">
        <f>IF(ISBLANK(Actuals!CE37),-5916.33*Escalation!$B$79,Actuals!CE37)</f>
        <v/>
      </c>
      <c r="CE129" s="392">
        <f>IF(ISBLANK(Actuals!CF37),-5916.33*Escalation!$B$80,Actuals!CF37)</f>
        <v/>
      </c>
      <c r="CF129" s="392">
        <f>IF(ISBLANK(Actuals!CG37),-5916.33*Escalation!$B$81,Actuals!CG37)</f>
        <v/>
      </c>
      <c r="CG129" s="392">
        <f>IF(ISBLANK(Actuals!CH37),-5916.33*Escalation!$B$82,Actuals!CH37)</f>
        <v/>
      </c>
      <c r="CH129" s="392">
        <f>IF(ISBLANK(Actuals!CI37),-5916.33*Escalation!$B$83,Actuals!CI37)</f>
        <v/>
      </c>
      <c r="CI129" s="392">
        <f>IF(ISBLANK(Actuals!CJ37),-5916.33*Escalation!$B$84,Actuals!CJ37)</f>
        <v/>
      </c>
      <c r="CJ129" s="392">
        <f>IF(ISBLANK(Actuals!CK37),-5916.33*Escalation!$B$85,Actuals!CK37)</f>
        <v/>
      </c>
      <c r="CK129" s="392">
        <f>IF(ISBLANK(Actuals!CL37),-5916.33*Escalation!$B$86,Actuals!CL37)</f>
        <v/>
      </c>
      <c r="CL129" s="392">
        <f>IF(ISBLANK(Actuals!CM37),-5916.33*Escalation!$B$87,Actuals!CM37)</f>
        <v/>
      </c>
      <c r="CM129" s="392">
        <f>IF(ISBLANK(Actuals!CN37),-5916.33*Escalation!$B$88,Actuals!CN37)</f>
        <v/>
      </c>
      <c r="CN129" s="392">
        <f>IF(ISBLANK(Actuals!CO37),-5916.33*Escalation!$B$89,Actuals!CO37)</f>
        <v/>
      </c>
      <c r="CO129" s="392">
        <f>IF(ISBLANK(Actuals!CP37),-5916.33*Escalation!$B$90,Actuals!CP37)</f>
        <v/>
      </c>
      <c r="CP129" s="392">
        <f>IF(ISBLANK(Actuals!CQ37),-5916.33*Escalation!$B$91,Actuals!CQ37)</f>
        <v/>
      </c>
      <c r="CQ129" s="392">
        <f>IF(ISBLANK(Actuals!CR37),-5916.33*Escalation!$B$92,Actuals!CR37)</f>
        <v/>
      </c>
      <c r="CR129" s="392">
        <f>IF(ISBLANK(Actuals!CS37),-5916.33*Escalation!$B$93,Actuals!CS37)</f>
        <v/>
      </c>
      <c r="CS129" s="392">
        <f>IF(ISBLANK(Actuals!CT37),-5916.33*Escalation!$B$94,Actuals!CT37)</f>
        <v/>
      </c>
      <c r="CT129" s="392">
        <f>IF(ISBLANK(Actuals!CU37),-5916.33*Escalation!$B$95,Actuals!CU37)</f>
        <v/>
      </c>
      <c r="CU129" s="392">
        <f>IF(ISBLANK(Actuals!CV37),-5916.33*Escalation!$B$96,Actuals!CV37)</f>
        <v/>
      </c>
      <c r="CV129" s="392">
        <f>IF(ISBLANK(Actuals!CW37),-5916.33*Escalation!$B$97,Actuals!CW37)</f>
        <v/>
      </c>
      <c r="CW129" s="392">
        <f>IF(ISBLANK(Actuals!CX37),-5916.33*Escalation!$B$98,Actuals!CX37)</f>
        <v/>
      </c>
      <c r="CX129" s="392">
        <f>IF(ISBLANK(Actuals!CY37),-5916.33*Escalation!$B$99,Actuals!CY37)</f>
        <v/>
      </c>
      <c r="CY129" s="392">
        <f>IF(ISBLANK(Actuals!CZ37),-5916.33*Escalation!$B$100,Actuals!CZ37)</f>
        <v/>
      </c>
      <c r="CZ129" s="392">
        <f>IF(ISBLANK(Actuals!DA37),-5916.33*Escalation!$B$101,Actuals!DA37)</f>
        <v/>
      </c>
      <c r="DA129" s="392">
        <f>IF(ISBLANK(Actuals!DB37),-5916.33*Escalation!$B$102,Actuals!DB37)</f>
        <v/>
      </c>
      <c r="DB129" s="392">
        <f>IF(ISBLANK(Actuals!DC37),-5916.33*Escalation!$B$103,Actuals!DC37)</f>
        <v/>
      </c>
      <c r="DC129" s="392">
        <f>IF(ISBLANK(Actuals!DD37),-5916.33*Escalation!$B$104,Actuals!DD37)</f>
        <v/>
      </c>
      <c r="DD129" s="392">
        <f>IF(ISBLANK(Actuals!DE37),-5916.33*Escalation!$B$105,Actuals!DE37)</f>
        <v/>
      </c>
      <c r="DE129" s="392">
        <f>IF(ISBLANK(Actuals!DF37),-5916.33*Escalation!$B$106,Actuals!DF37)</f>
        <v/>
      </c>
    </row>
    <row r="130" ht="15" customFormat="1" customHeight="1" s="380">
      <c r="A130" s="397" t="inlineStr">
        <is>
          <t>5500-1004 Consultants and Other Professional Expenses</t>
        </is>
      </c>
      <c r="B130" s="392">
        <f>IF(ISBLANK(Actuals!C38),0,Actuals!C38)</f>
        <v/>
      </c>
      <c r="C130" s="392">
        <f>IF(ISBLANK(Actuals!D38),0,Actuals!D38)</f>
        <v/>
      </c>
      <c r="D130" s="392">
        <f>IF(ISBLANK(Actuals!E38),0,Actuals!E38)</f>
        <v/>
      </c>
      <c r="E130" s="392">
        <f>IF(ISBLANK(Actuals!F38),-250.13*Escalation!$B$2,Actuals!F38)</f>
        <v/>
      </c>
      <c r="F130" s="392">
        <f>IF(ISBLANK(Actuals!G38),-250.13*Escalation!$B$3,Actuals!G38)</f>
        <v/>
      </c>
      <c r="G130" s="392">
        <f>IF(ISBLANK(Actuals!H38),-250.13*Escalation!$B$4,Actuals!H38)</f>
        <v/>
      </c>
      <c r="H130" s="392">
        <f>IF(ISBLANK(Actuals!I38),-250.13*Escalation!$B$5,Actuals!I38)</f>
        <v/>
      </c>
      <c r="I130" s="392">
        <f>IF(ISBLANK(Actuals!J38),-250.13*Escalation!$B$6,Actuals!J38)</f>
        <v/>
      </c>
      <c r="J130" s="392">
        <f>IF(ISBLANK(Actuals!K38),-250.13*Escalation!$B$7,Actuals!K38)</f>
        <v/>
      </c>
      <c r="K130" s="392">
        <f>IF(ISBLANK(Actuals!L38),-250.13*Escalation!$B$8,Actuals!L38)</f>
        <v/>
      </c>
      <c r="L130" s="392">
        <f>IF(ISBLANK(Actuals!M38),-250.13*Escalation!$B$9,Actuals!M38)</f>
        <v/>
      </c>
      <c r="M130" s="392">
        <f>IF(ISBLANK(Actuals!N38),-250.13*Escalation!$B$10,Actuals!N38)</f>
        <v/>
      </c>
      <c r="N130" s="392">
        <f>IF(ISBLANK(Actuals!O38),-250.13*Escalation!$B$11,Actuals!O38)</f>
        <v/>
      </c>
      <c r="O130" s="392">
        <f>IF(ISBLANK(Actuals!P38),-250.13*Escalation!$B$12,Actuals!P38)</f>
        <v/>
      </c>
      <c r="P130" s="392">
        <f>IF(ISBLANK(Actuals!Q38),-250.13*Escalation!$B$13,Actuals!Q38)</f>
        <v/>
      </c>
      <c r="Q130" s="392">
        <f>IF(ISBLANK(Actuals!R38),-250.13*Escalation!$B$14,Actuals!R38)</f>
        <v/>
      </c>
      <c r="R130" s="392">
        <f>IF(ISBLANK(Actuals!S38),-250.13*Escalation!$B$15,Actuals!S38)</f>
        <v/>
      </c>
      <c r="S130" s="392">
        <f>IF(ISBLANK(Actuals!T38),-250.13*Escalation!$B$16,Actuals!T38)</f>
        <v/>
      </c>
      <c r="T130" s="392">
        <f>IF(ISBLANK(Actuals!U38),-250.13*Escalation!$B$17,Actuals!U38)</f>
        <v/>
      </c>
      <c r="U130" s="392">
        <f>IF(ISBLANK(Actuals!V38),-250.13*Escalation!$B$18,Actuals!V38)</f>
        <v/>
      </c>
      <c r="V130" s="392">
        <f>IF(ISBLANK(Actuals!W38),-250.13*Escalation!$B$19,Actuals!W38)</f>
        <v/>
      </c>
      <c r="W130" s="392">
        <f>IF(ISBLANK(Actuals!X38),-250.13*Escalation!$B$20,Actuals!X38)</f>
        <v/>
      </c>
      <c r="X130" s="392">
        <f>IF(ISBLANK(Actuals!Y38),-250.13*Escalation!$B$21,Actuals!Y38)</f>
        <v/>
      </c>
      <c r="Y130" s="392">
        <f>IF(ISBLANK(Actuals!Z38),-250.13*Escalation!$B$22,Actuals!Z38)</f>
        <v/>
      </c>
      <c r="Z130" s="392">
        <f>IF(ISBLANK(Actuals!AA38),-250.13*Escalation!$B$23,Actuals!AA38)</f>
        <v/>
      </c>
      <c r="AA130" s="392">
        <f>IF(ISBLANK(Actuals!AB38),-250.13*Escalation!$B$24,Actuals!AB38)</f>
        <v/>
      </c>
      <c r="AB130" s="392">
        <f>IF(ISBLANK(Actuals!AC38),-250.13*Escalation!$B$25,Actuals!AC38)</f>
        <v/>
      </c>
      <c r="AC130" s="392">
        <f>IF(ISBLANK(Actuals!AD38),-250.13*Escalation!$B$26,Actuals!AD38)</f>
        <v/>
      </c>
      <c r="AD130" s="392">
        <f>IF(ISBLANK(Actuals!AE38),-250.13*Escalation!$B$27,Actuals!AE38)</f>
        <v/>
      </c>
      <c r="AE130" s="392">
        <f>IF(ISBLANK(Actuals!AF38),-250.13*Escalation!$B$28,Actuals!AF38)</f>
        <v/>
      </c>
      <c r="AF130" s="392">
        <f>IF(ISBLANK(Actuals!AG38),-250.13*Escalation!$B$29,Actuals!AG38)</f>
        <v/>
      </c>
      <c r="AG130" s="392">
        <f>IF(ISBLANK(Actuals!AH38),-250.13*Escalation!$B$30,Actuals!AH38)</f>
        <v/>
      </c>
      <c r="AH130" s="392">
        <f>IF(ISBLANK(Actuals!AI38),-250.13*Escalation!$B$31,Actuals!AI38)</f>
        <v/>
      </c>
      <c r="AI130" s="392">
        <f>IF(ISBLANK(Actuals!AJ38),-250.13*Escalation!$B$32,Actuals!AJ38)</f>
        <v/>
      </c>
      <c r="AJ130" s="392">
        <f>IF(ISBLANK(Actuals!AK38),-250.13*Escalation!$B$33,Actuals!AK38)</f>
        <v/>
      </c>
      <c r="AK130" s="392">
        <f>IF(ISBLANK(Actuals!AL38),-250.13*Escalation!$B$34,Actuals!AL38)</f>
        <v/>
      </c>
      <c r="AL130" s="392">
        <f>IF(ISBLANK(Actuals!AM38),-250.13*Escalation!$B$35,Actuals!AM38)</f>
        <v/>
      </c>
      <c r="AM130" s="392">
        <f>IF(ISBLANK(Actuals!AN38),-250.13*Escalation!$B$36,Actuals!AN38)</f>
        <v/>
      </c>
      <c r="AN130" s="392">
        <f>IF(ISBLANK(Actuals!AO38),-250.13*Escalation!$B$37,Actuals!AO38)</f>
        <v/>
      </c>
      <c r="AO130" s="392">
        <f>IF(ISBLANK(Actuals!AP38),-250.13*Escalation!$B$38,Actuals!AP38)</f>
        <v/>
      </c>
      <c r="AP130" s="392">
        <f>IF(ISBLANK(Actuals!AQ38),-250.13*Escalation!$B$39,Actuals!AQ38)</f>
        <v/>
      </c>
      <c r="AQ130" s="392">
        <f>IF(ISBLANK(Actuals!AR38),-250.13*Escalation!$B$40,Actuals!AR38)</f>
        <v/>
      </c>
      <c r="AR130" s="392">
        <f>IF(ISBLANK(Actuals!AS38),-250.13*Escalation!$B$41,Actuals!AS38)</f>
        <v/>
      </c>
      <c r="AS130" s="392">
        <f>IF(ISBLANK(Actuals!AT38),-250.13*Escalation!$B$42,Actuals!AT38)</f>
        <v/>
      </c>
      <c r="AT130" s="392">
        <f>IF(ISBLANK(Actuals!AU38),-250.13*Escalation!$B$43,Actuals!AU38)</f>
        <v/>
      </c>
      <c r="AU130" s="392">
        <f>IF(ISBLANK(Actuals!AV38),-250.13*Escalation!$B$44,Actuals!AV38)</f>
        <v/>
      </c>
      <c r="AV130" s="392">
        <f>IF(ISBLANK(Actuals!AW38),-250.13*Escalation!$B$45,Actuals!AW38)</f>
        <v/>
      </c>
      <c r="AW130" s="392">
        <f>IF(ISBLANK(Actuals!AX38),-250.13*Escalation!$B$46,Actuals!AX38)</f>
        <v/>
      </c>
      <c r="AX130" s="392">
        <f>IF(ISBLANK(Actuals!AY38),-250.13*Escalation!$B$47,Actuals!AY38)</f>
        <v/>
      </c>
      <c r="AY130" s="392">
        <f>IF(ISBLANK(Actuals!AZ38),-250.13*Escalation!$B$48,Actuals!AZ38)</f>
        <v/>
      </c>
      <c r="AZ130" s="392">
        <f>IF(ISBLANK(Actuals!BA38),-250.13*Escalation!$B$49,Actuals!BA38)</f>
        <v/>
      </c>
      <c r="BA130" s="392">
        <f>IF(ISBLANK(Actuals!BB38),-250.13*Escalation!$B$50,Actuals!BB38)</f>
        <v/>
      </c>
      <c r="BB130" s="392">
        <f>IF(ISBLANK(Actuals!BC38),-250.13*Escalation!$B$51,Actuals!BC38)</f>
        <v/>
      </c>
      <c r="BC130" s="392">
        <f>IF(ISBLANK(Actuals!BD38),-250.13*Escalation!$B$52,Actuals!BD38)</f>
        <v/>
      </c>
      <c r="BD130" s="392">
        <f>IF(ISBLANK(Actuals!BE38),-250.13*Escalation!$B$53,Actuals!BE38)</f>
        <v/>
      </c>
      <c r="BE130" s="392">
        <f>IF(ISBLANK(Actuals!BF38),-250.13*Escalation!$B$54,Actuals!BF38)</f>
        <v/>
      </c>
      <c r="BF130" s="392">
        <f>IF(ISBLANK(Actuals!BG38),-250.13*Escalation!$B$55,Actuals!BG38)</f>
        <v/>
      </c>
      <c r="BG130" s="392">
        <f>IF(ISBLANK(Actuals!BH38),-250.13*Escalation!$B$56,Actuals!BH38)</f>
        <v/>
      </c>
      <c r="BH130" s="392">
        <f>IF(ISBLANK(Actuals!BI38),-250.13*Escalation!$B$57,Actuals!BI38)</f>
        <v/>
      </c>
      <c r="BI130" s="392">
        <f>IF(ISBLANK(Actuals!BJ38),-250.13*Escalation!$B$58,Actuals!BJ38)</f>
        <v/>
      </c>
      <c r="BJ130" s="392">
        <f>IF(ISBLANK(Actuals!BK38),-250.13*Escalation!$B$59,Actuals!BK38)</f>
        <v/>
      </c>
      <c r="BK130" s="392">
        <f>IF(ISBLANK(Actuals!BL38),-250.13*Escalation!$B$60,Actuals!BL38)</f>
        <v/>
      </c>
      <c r="BL130" s="392">
        <f>IF(ISBLANK(Actuals!BM38),-250.13*Escalation!$B$61,Actuals!BM38)</f>
        <v/>
      </c>
      <c r="BM130" s="392">
        <f>IF(ISBLANK(Actuals!BN38),-250.13*Escalation!$B$62,Actuals!BN38)</f>
        <v/>
      </c>
      <c r="BN130" s="392">
        <f>IF(ISBLANK(Actuals!BO38),-250.13*Escalation!$B$63,Actuals!BO38)</f>
        <v/>
      </c>
      <c r="BO130" s="392">
        <f>IF(ISBLANK(Actuals!BP38),-250.13*Escalation!$B$64,Actuals!BP38)</f>
        <v/>
      </c>
      <c r="BP130" s="392">
        <f>IF(ISBLANK(Actuals!BQ38),-250.13*Escalation!$B$65,Actuals!BQ38)</f>
        <v/>
      </c>
      <c r="BQ130" s="392">
        <f>IF(ISBLANK(Actuals!BR38),-250.13*Escalation!$B$66,Actuals!BR38)</f>
        <v/>
      </c>
      <c r="BR130" s="392">
        <f>IF(ISBLANK(Actuals!BS38),-250.13*Escalation!$B$67,Actuals!BS38)</f>
        <v/>
      </c>
      <c r="BS130" s="392">
        <f>IF(ISBLANK(Actuals!BT38),-250.13*Escalation!$B$68,Actuals!BT38)</f>
        <v/>
      </c>
      <c r="BT130" s="392">
        <f>IF(ISBLANK(Actuals!BU38),-250.13*Escalation!$B$69,Actuals!BU38)</f>
        <v/>
      </c>
      <c r="BU130" s="392">
        <f>IF(ISBLANK(Actuals!BV38),-250.13*Escalation!$B$70,Actuals!BV38)</f>
        <v/>
      </c>
      <c r="BV130" s="392">
        <f>IF(ISBLANK(Actuals!BW38),-250.13*Escalation!$B$71,Actuals!BW38)</f>
        <v/>
      </c>
      <c r="BW130" s="392">
        <f>IF(ISBLANK(Actuals!BX38),-250.13*Escalation!$B$72,Actuals!BX38)</f>
        <v/>
      </c>
      <c r="BX130" s="392">
        <f>IF(ISBLANK(Actuals!BY38),-250.13*Escalation!$B$73,Actuals!BY38)</f>
        <v/>
      </c>
      <c r="BY130" s="392">
        <f>IF(ISBLANK(Actuals!BZ38),-250.13*Escalation!$B$74,Actuals!BZ38)</f>
        <v/>
      </c>
      <c r="BZ130" s="392">
        <f>IF(ISBLANK(Actuals!CA38),-250.13*Escalation!$B$75,Actuals!CA38)</f>
        <v/>
      </c>
      <c r="CA130" s="392">
        <f>IF(ISBLANK(Actuals!CB38),-250.13*Escalation!$B$76,Actuals!CB38)</f>
        <v/>
      </c>
      <c r="CB130" s="392">
        <f>IF(ISBLANK(Actuals!CC38),-250.13*Escalation!$B$77,Actuals!CC38)</f>
        <v/>
      </c>
      <c r="CC130" s="392">
        <f>IF(ISBLANK(Actuals!CD38),-250.13*Escalation!$B$78,Actuals!CD38)</f>
        <v/>
      </c>
      <c r="CD130" s="392">
        <f>IF(ISBLANK(Actuals!CE38),-250.13*Escalation!$B$79,Actuals!CE38)</f>
        <v/>
      </c>
      <c r="CE130" s="392">
        <f>IF(ISBLANK(Actuals!CF38),-250.13*Escalation!$B$80,Actuals!CF38)</f>
        <v/>
      </c>
      <c r="CF130" s="392">
        <f>IF(ISBLANK(Actuals!CG38),-250.13*Escalation!$B$81,Actuals!CG38)</f>
        <v/>
      </c>
      <c r="CG130" s="392">
        <f>IF(ISBLANK(Actuals!CH38),-250.13*Escalation!$B$82,Actuals!CH38)</f>
        <v/>
      </c>
      <c r="CH130" s="392">
        <f>IF(ISBLANK(Actuals!CI38),-250.13*Escalation!$B$83,Actuals!CI38)</f>
        <v/>
      </c>
      <c r="CI130" s="392">
        <f>IF(ISBLANK(Actuals!CJ38),-250.13*Escalation!$B$84,Actuals!CJ38)</f>
        <v/>
      </c>
      <c r="CJ130" s="392">
        <f>IF(ISBLANK(Actuals!CK38),-250.13*Escalation!$B$85,Actuals!CK38)</f>
        <v/>
      </c>
      <c r="CK130" s="392">
        <f>IF(ISBLANK(Actuals!CL38),-250.13*Escalation!$B$86,Actuals!CL38)</f>
        <v/>
      </c>
      <c r="CL130" s="392">
        <f>IF(ISBLANK(Actuals!CM38),-250.13*Escalation!$B$87,Actuals!CM38)</f>
        <v/>
      </c>
      <c r="CM130" s="392">
        <f>IF(ISBLANK(Actuals!CN38),-250.13*Escalation!$B$88,Actuals!CN38)</f>
        <v/>
      </c>
      <c r="CN130" s="392">
        <f>IF(ISBLANK(Actuals!CO38),-250.13*Escalation!$B$89,Actuals!CO38)</f>
        <v/>
      </c>
      <c r="CO130" s="392">
        <f>IF(ISBLANK(Actuals!CP38),-250.13*Escalation!$B$90,Actuals!CP38)</f>
        <v/>
      </c>
      <c r="CP130" s="392">
        <f>IF(ISBLANK(Actuals!CQ38),-250.13*Escalation!$B$91,Actuals!CQ38)</f>
        <v/>
      </c>
      <c r="CQ130" s="392">
        <f>IF(ISBLANK(Actuals!CR38),-250.13*Escalation!$B$92,Actuals!CR38)</f>
        <v/>
      </c>
      <c r="CR130" s="392">
        <f>IF(ISBLANK(Actuals!CS38),-250.13*Escalation!$B$93,Actuals!CS38)</f>
        <v/>
      </c>
      <c r="CS130" s="392">
        <f>IF(ISBLANK(Actuals!CT38),-250.13*Escalation!$B$94,Actuals!CT38)</f>
        <v/>
      </c>
      <c r="CT130" s="392">
        <f>IF(ISBLANK(Actuals!CU38),-250.13*Escalation!$B$95,Actuals!CU38)</f>
        <v/>
      </c>
      <c r="CU130" s="392">
        <f>IF(ISBLANK(Actuals!CV38),-250.13*Escalation!$B$96,Actuals!CV38)</f>
        <v/>
      </c>
      <c r="CV130" s="392">
        <f>IF(ISBLANK(Actuals!CW38),-250.13*Escalation!$B$97,Actuals!CW38)</f>
        <v/>
      </c>
      <c r="CW130" s="392">
        <f>IF(ISBLANK(Actuals!CX38),-250.13*Escalation!$B$98,Actuals!CX38)</f>
        <v/>
      </c>
      <c r="CX130" s="392">
        <f>IF(ISBLANK(Actuals!CY38),-250.13*Escalation!$B$99,Actuals!CY38)</f>
        <v/>
      </c>
      <c r="CY130" s="392">
        <f>IF(ISBLANK(Actuals!CZ38),-250.13*Escalation!$B$100,Actuals!CZ38)</f>
        <v/>
      </c>
      <c r="CZ130" s="392">
        <f>IF(ISBLANK(Actuals!DA38),-250.13*Escalation!$B$101,Actuals!DA38)</f>
        <v/>
      </c>
      <c r="DA130" s="392">
        <f>IF(ISBLANK(Actuals!DB38),-250.13*Escalation!$B$102,Actuals!DB38)</f>
        <v/>
      </c>
      <c r="DB130" s="392">
        <f>IF(ISBLANK(Actuals!DC38),-250.13*Escalation!$B$103,Actuals!DC38)</f>
        <v/>
      </c>
      <c r="DC130" s="392">
        <f>IF(ISBLANK(Actuals!DD38),-250.13*Escalation!$B$104,Actuals!DD38)</f>
        <v/>
      </c>
      <c r="DD130" s="392">
        <f>IF(ISBLANK(Actuals!DE38),-250.13*Escalation!$B$105,Actuals!DE38)</f>
        <v/>
      </c>
      <c r="DE130" s="392">
        <f>IF(ISBLANK(Actuals!DF38),-250.13*Escalation!$B$106,Actuals!DF38)</f>
        <v/>
      </c>
    </row>
    <row r="131" ht="15" customFormat="1" customHeight="1" s="380">
      <c r="A131" s="397" t="inlineStr">
        <is>
          <t>5500-1050 General Insurance</t>
        </is>
      </c>
      <c r="B131" s="392">
        <f>IF(ISBLANK(Actuals!C39),0,Actuals!C39)</f>
        <v/>
      </c>
      <c r="C131" s="392">
        <f>IF(ISBLANK(Actuals!D39),0,Actuals!D39)</f>
        <v/>
      </c>
      <c r="D131" s="392">
        <f>IF(ISBLANK(Actuals!E39),0,Actuals!E39)</f>
        <v/>
      </c>
      <c r="E131" s="392">
        <f>IF(ISBLANK(Actuals!F39),-1750.91*Escalation!$B$2,Actuals!F39)</f>
        <v/>
      </c>
      <c r="F131" s="392">
        <f>IF(ISBLANK(Actuals!G39),-1750.91*Escalation!$B$3,Actuals!G39)</f>
        <v/>
      </c>
      <c r="G131" s="392">
        <f>IF(ISBLANK(Actuals!H39),-1750.91*Escalation!$B$4,Actuals!H39)</f>
        <v/>
      </c>
      <c r="H131" s="392">
        <f>IF(ISBLANK(Actuals!I39),-1750.91*Escalation!$B$5,Actuals!I39)</f>
        <v/>
      </c>
      <c r="I131" s="392">
        <f>IF(ISBLANK(Actuals!J39),-1750.91*Escalation!$B$6,Actuals!J39)</f>
        <v/>
      </c>
      <c r="J131" s="392">
        <f>IF(ISBLANK(Actuals!K39),-1750.91*Escalation!$B$7,Actuals!K39)</f>
        <v/>
      </c>
      <c r="K131" s="392">
        <f>IF(ISBLANK(Actuals!L39),-1750.91*Escalation!$B$8,Actuals!L39)</f>
        <v/>
      </c>
      <c r="L131" s="392">
        <f>IF(ISBLANK(Actuals!M39),-1750.91*Escalation!$B$9,Actuals!M39)</f>
        <v/>
      </c>
      <c r="M131" s="392">
        <f>IF(ISBLANK(Actuals!N39),-1750.91*Escalation!$B$10,Actuals!N39)</f>
        <v/>
      </c>
      <c r="N131" s="392">
        <f>IF(ISBLANK(Actuals!O39),-1750.91*Escalation!$B$11,Actuals!O39)</f>
        <v/>
      </c>
      <c r="O131" s="392">
        <f>IF(ISBLANK(Actuals!P39),-1750.91*Escalation!$B$12,Actuals!P39)</f>
        <v/>
      </c>
      <c r="P131" s="392">
        <f>IF(ISBLANK(Actuals!Q39),-1750.91*Escalation!$B$13,Actuals!Q39)</f>
        <v/>
      </c>
      <c r="Q131" s="392">
        <f>IF(ISBLANK(Actuals!R39),-1750.91*Escalation!$B$14,Actuals!R39)</f>
        <v/>
      </c>
      <c r="R131" s="392">
        <f>IF(ISBLANK(Actuals!S39),-1750.91*Escalation!$B$15,Actuals!S39)</f>
        <v/>
      </c>
      <c r="S131" s="392">
        <f>IF(ISBLANK(Actuals!T39),-1750.91*Escalation!$B$16,Actuals!T39)</f>
        <v/>
      </c>
      <c r="T131" s="392">
        <f>IF(ISBLANK(Actuals!U39),-1750.91*Escalation!$B$17,Actuals!U39)</f>
        <v/>
      </c>
      <c r="U131" s="392">
        <f>IF(ISBLANK(Actuals!V39),-1750.91*Escalation!$B$18,Actuals!V39)</f>
        <v/>
      </c>
      <c r="V131" s="392">
        <f>IF(ISBLANK(Actuals!W39),-1750.91*Escalation!$B$19,Actuals!W39)</f>
        <v/>
      </c>
      <c r="W131" s="392">
        <f>IF(ISBLANK(Actuals!X39),-1750.91*Escalation!$B$20,Actuals!X39)</f>
        <v/>
      </c>
      <c r="X131" s="392">
        <f>IF(ISBLANK(Actuals!Y39),-1750.91*Escalation!$B$21,Actuals!Y39)</f>
        <v/>
      </c>
      <c r="Y131" s="392">
        <f>IF(ISBLANK(Actuals!Z39),-1750.91*Escalation!$B$22,Actuals!Z39)</f>
        <v/>
      </c>
      <c r="Z131" s="392">
        <f>IF(ISBLANK(Actuals!AA39),-1750.91*Escalation!$B$23,Actuals!AA39)</f>
        <v/>
      </c>
      <c r="AA131" s="392">
        <f>IF(ISBLANK(Actuals!AB39),-1750.91*Escalation!$B$24,Actuals!AB39)</f>
        <v/>
      </c>
      <c r="AB131" s="392">
        <f>IF(ISBLANK(Actuals!AC39),-1750.91*Escalation!$B$25,Actuals!AC39)</f>
        <v/>
      </c>
      <c r="AC131" s="392">
        <f>IF(ISBLANK(Actuals!AD39),-1750.91*Escalation!$B$26,Actuals!AD39)</f>
        <v/>
      </c>
      <c r="AD131" s="392">
        <f>IF(ISBLANK(Actuals!AE39),-1750.91*Escalation!$B$27,Actuals!AE39)</f>
        <v/>
      </c>
      <c r="AE131" s="392">
        <f>IF(ISBLANK(Actuals!AF39),-1750.91*Escalation!$B$28,Actuals!AF39)</f>
        <v/>
      </c>
      <c r="AF131" s="392">
        <f>IF(ISBLANK(Actuals!AG39),-1750.91*Escalation!$B$29,Actuals!AG39)</f>
        <v/>
      </c>
      <c r="AG131" s="392">
        <f>IF(ISBLANK(Actuals!AH39),-1750.91*Escalation!$B$30,Actuals!AH39)</f>
        <v/>
      </c>
      <c r="AH131" s="392">
        <f>IF(ISBLANK(Actuals!AI39),-1750.91*Escalation!$B$31,Actuals!AI39)</f>
        <v/>
      </c>
      <c r="AI131" s="392">
        <f>IF(ISBLANK(Actuals!AJ39),-1750.91*Escalation!$B$32,Actuals!AJ39)</f>
        <v/>
      </c>
      <c r="AJ131" s="392">
        <f>IF(ISBLANK(Actuals!AK39),-1750.91*Escalation!$B$33,Actuals!AK39)</f>
        <v/>
      </c>
      <c r="AK131" s="392">
        <f>IF(ISBLANK(Actuals!AL39),-1750.91*Escalation!$B$34,Actuals!AL39)</f>
        <v/>
      </c>
      <c r="AL131" s="392">
        <f>IF(ISBLANK(Actuals!AM39),-1750.91*Escalation!$B$35,Actuals!AM39)</f>
        <v/>
      </c>
      <c r="AM131" s="392">
        <f>IF(ISBLANK(Actuals!AN39),-1750.91*Escalation!$B$36,Actuals!AN39)</f>
        <v/>
      </c>
      <c r="AN131" s="392">
        <f>IF(ISBLANK(Actuals!AO39),-1750.91*Escalation!$B$37,Actuals!AO39)</f>
        <v/>
      </c>
      <c r="AO131" s="392">
        <f>IF(ISBLANK(Actuals!AP39),-1750.91*Escalation!$B$38,Actuals!AP39)</f>
        <v/>
      </c>
      <c r="AP131" s="392">
        <f>IF(ISBLANK(Actuals!AQ39),-1750.91*Escalation!$B$39,Actuals!AQ39)</f>
        <v/>
      </c>
      <c r="AQ131" s="392">
        <f>IF(ISBLANK(Actuals!AR39),-1750.91*Escalation!$B$40,Actuals!AR39)</f>
        <v/>
      </c>
      <c r="AR131" s="392">
        <f>IF(ISBLANK(Actuals!AS39),-1750.91*Escalation!$B$41,Actuals!AS39)</f>
        <v/>
      </c>
      <c r="AS131" s="392">
        <f>IF(ISBLANK(Actuals!AT39),-1750.91*Escalation!$B$42,Actuals!AT39)</f>
        <v/>
      </c>
      <c r="AT131" s="392">
        <f>IF(ISBLANK(Actuals!AU39),-1750.91*Escalation!$B$43,Actuals!AU39)</f>
        <v/>
      </c>
      <c r="AU131" s="392">
        <f>IF(ISBLANK(Actuals!AV39),-1750.91*Escalation!$B$44,Actuals!AV39)</f>
        <v/>
      </c>
      <c r="AV131" s="392">
        <f>IF(ISBLANK(Actuals!AW39),-1750.91*Escalation!$B$45,Actuals!AW39)</f>
        <v/>
      </c>
      <c r="AW131" s="392">
        <f>IF(ISBLANK(Actuals!AX39),-1750.91*Escalation!$B$46,Actuals!AX39)</f>
        <v/>
      </c>
      <c r="AX131" s="392">
        <f>IF(ISBLANK(Actuals!AY39),-1750.91*Escalation!$B$47,Actuals!AY39)</f>
        <v/>
      </c>
      <c r="AY131" s="392">
        <f>IF(ISBLANK(Actuals!AZ39),-1750.91*Escalation!$B$48,Actuals!AZ39)</f>
        <v/>
      </c>
      <c r="AZ131" s="392">
        <f>IF(ISBLANK(Actuals!BA39),-1750.91*Escalation!$B$49,Actuals!BA39)</f>
        <v/>
      </c>
      <c r="BA131" s="392">
        <f>IF(ISBLANK(Actuals!BB39),-1750.91*Escalation!$B$50,Actuals!BB39)</f>
        <v/>
      </c>
      <c r="BB131" s="392">
        <f>IF(ISBLANK(Actuals!BC39),-1750.91*Escalation!$B$51,Actuals!BC39)</f>
        <v/>
      </c>
      <c r="BC131" s="392">
        <f>IF(ISBLANK(Actuals!BD39),-1750.91*Escalation!$B$52,Actuals!BD39)</f>
        <v/>
      </c>
      <c r="BD131" s="392">
        <f>IF(ISBLANK(Actuals!BE39),-1750.91*Escalation!$B$53,Actuals!BE39)</f>
        <v/>
      </c>
      <c r="BE131" s="392">
        <f>IF(ISBLANK(Actuals!BF39),-1750.91*Escalation!$B$54,Actuals!BF39)</f>
        <v/>
      </c>
      <c r="BF131" s="392">
        <f>IF(ISBLANK(Actuals!BG39),-1750.91*Escalation!$B$55,Actuals!BG39)</f>
        <v/>
      </c>
      <c r="BG131" s="392">
        <f>IF(ISBLANK(Actuals!BH39),-1750.91*Escalation!$B$56,Actuals!BH39)</f>
        <v/>
      </c>
      <c r="BH131" s="392">
        <f>IF(ISBLANK(Actuals!BI39),-1750.91*Escalation!$B$57,Actuals!BI39)</f>
        <v/>
      </c>
      <c r="BI131" s="392">
        <f>IF(ISBLANK(Actuals!BJ39),-1750.91*Escalation!$B$58,Actuals!BJ39)</f>
        <v/>
      </c>
      <c r="BJ131" s="392">
        <f>IF(ISBLANK(Actuals!BK39),-1750.91*Escalation!$B$59,Actuals!BK39)</f>
        <v/>
      </c>
      <c r="BK131" s="392">
        <f>IF(ISBLANK(Actuals!BL39),-1750.91*Escalation!$B$60,Actuals!BL39)</f>
        <v/>
      </c>
      <c r="BL131" s="392">
        <f>IF(ISBLANK(Actuals!BM39),-1750.91*Escalation!$B$61,Actuals!BM39)</f>
        <v/>
      </c>
      <c r="BM131" s="392">
        <f>IF(ISBLANK(Actuals!BN39),-1750.91*Escalation!$B$62,Actuals!BN39)</f>
        <v/>
      </c>
      <c r="BN131" s="392">
        <f>IF(ISBLANK(Actuals!BO39),-1750.91*Escalation!$B$63,Actuals!BO39)</f>
        <v/>
      </c>
      <c r="BO131" s="392">
        <f>IF(ISBLANK(Actuals!BP39),-1750.91*Escalation!$B$64,Actuals!BP39)</f>
        <v/>
      </c>
      <c r="BP131" s="392">
        <f>IF(ISBLANK(Actuals!BQ39),-1750.91*Escalation!$B$65,Actuals!BQ39)</f>
        <v/>
      </c>
      <c r="BQ131" s="392">
        <f>IF(ISBLANK(Actuals!BR39),-1750.91*Escalation!$B$66,Actuals!BR39)</f>
        <v/>
      </c>
      <c r="BR131" s="392">
        <f>IF(ISBLANK(Actuals!BS39),-1750.91*Escalation!$B$67,Actuals!BS39)</f>
        <v/>
      </c>
      <c r="BS131" s="392">
        <f>IF(ISBLANK(Actuals!BT39),-1750.91*Escalation!$B$68,Actuals!BT39)</f>
        <v/>
      </c>
      <c r="BT131" s="392">
        <f>IF(ISBLANK(Actuals!BU39),-1750.91*Escalation!$B$69,Actuals!BU39)</f>
        <v/>
      </c>
      <c r="BU131" s="392">
        <f>IF(ISBLANK(Actuals!BV39),-1750.91*Escalation!$B$70,Actuals!BV39)</f>
        <v/>
      </c>
      <c r="BV131" s="392">
        <f>IF(ISBLANK(Actuals!BW39),-1750.91*Escalation!$B$71,Actuals!BW39)</f>
        <v/>
      </c>
      <c r="BW131" s="392">
        <f>IF(ISBLANK(Actuals!BX39),-1750.91*Escalation!$B$72,Actuals!BX39)</f>
        <v/>
      </c>
      <c r="BX131" s="392">
        <f>IF(ISBLANK(Actuals!BY39),-1750.91*Escalation!$B$73,Actuals!BY39)</f>
        <v/>
      </c>
      <c r="BY131" s="392">
        <f>IF(ISBLANK(Actuals!BZ39),-1750.91*Escalation!$B$74,Actuals!BZ39)</f>
        <v/>
      </c>
      <c r="BZ131" s="392">
        <f>IF(ISBLANK(Actuals!CA39),-1750.91*Escalation!$B$75,Actuals!CA39)</f>
        <v/>
      </c>
      <c r="CA131" s="392">
        <f>IF(ISBLANK(Actuals!CB39),-1750.91*Escalation!$B$76,Actuals!CB39)</f>
        <v/>
      </c>
      <c r="CB131" s="392">
        <f>IF(ISBLANK(Actuals!CC39),-1750.91*Escalation!$B$77,Actuals!CC39)</f>
        <v/>
      </c>
      <c r="CC131" s="392">
        <f>IF(ISBLANK(Actuals!CD39),-1750.91*Escalation!$B$78,Actuals!CD39)</f>
        <v/>
      </c>
      <c r="CD131" s="392">
        <f>IF(ISBLANK(Actuals!CE39),-1750.91*Escalation!$B$79,Actuals!CE39)</f>
        <v/>
      </c>
      <c r="CE131" s="392">
        <f>IF(ISBLANK(Actuals!CF39),-1750.91*Escalation!$B$80,Actuals!CF39)</f>
        <v/>
      </c>
      <c r="CF131" s="392">
        <f>IF(ISBLANK(Actuals!CG39),-1750.91*Escalation!$B$81,Actuals!CG39)</f>
        <v/>
      </c>
      <c r="CG131" s="392">
        <f>IF(ISBLANK(Actuals!CH39),-1750.91*Escalation!$B$82,Actuals!CH39)</f>
        <v/>
      </c>
      <c r="CH131" s="392">
        <f>IF(ISBLANK(Actuals!CI39),-1750.91*Escalation!$B$83,Actuals!CI39)</f>
        <v/>
      </c>
      <c r="CI131" s="392">
        <f>IF(ISBLANK(Actuals!CJ39),-1750.91*Escalation!$B$84,Actuals!CJ39)</f>
        <v/>
      </c>
      <c r="CJ131" s="392">
        <f>IF(ISBLANK(Actuals!CK39),-1750.91*Escalation!$B$85,Actuals!CK39)</f>
        <v/>
      </c>
      <c r="CK131" s="392">
        <f>IF(ISBLANK(Actuals!CL39),-1750.91*Escalation!$B$86,Actuals!CL39)</f>
        <v/>
      </c>
      <c r="CL131" s="392">
        <f>IF(ISBLANK(Actuals!CM39),-1750.91*Escalation!$B$87,Actuals!CM39)</f>
        <v/>
      </c>
      <c r="CM131" s="392">
        <f>IF(ISBLANK(Actuals!CN39),-1750.91*Escalation!$B$88,Actuals!CN39)</f>
        <v/>
      </c>
      <c r="CN131" s="392">
        <f>IF(ISBLANK(Actuals!CO39),-1750.91*Escalation!$B$89,Actuals!CO39)</f>
        <v/>
      </c>
      <c r="CO131" s="392">
        <f>IF(ISBLANK(Actuals!CP39),-1750.91*Escalation!$B$90,Actuals!CP39)</f>
        <v/>
      </c>
      <c r="CP131" s="392">
        <f>IF(ISBLANK(Actuals!CQ39),-1750.91*Escalation!$B$91,Actuals!CQ39)</f>
        <v/>
      </c>
      <c r="CQ131" s="392">
        <f>IF(ISBLANK(Actuals!CR39),-1750.91*Escalation!$B$92,Actuals!CR39)</f>
        <v/>
      </c>
      <c r="CR131" s="392">
        <f>IF(ISBLANK(Actuals!CS39),-1750.91*Escalation!$B$93,Actuals!CS39)</f>
        <v/>
      </c>
      <c r="CS131" s="392">
        <f>IF(ISBLANK(Actuals!CT39),-1750.91*Escalation!$B$94,Actuals!CT39)</f>
        <v/>
      </c>
      <c r="CT131" s="392">
        <f>IF(ISBLANK(Actuals!CU39),-1750.91*Escalation!$B$95,Actuals!CU39)</f>
        <v/>
      </c>
      <c r="CU131" s="392">
        <f>IF(ISBLANK(Actuals!CV39),-1750.91*Escalation!$B$96,Actuals!CV39)</f>
        <v/>
      </c>
      <c r="CV131" s="392">
        <f>IF(ISBLANK(Actuals!CW39),-1750.91*Escalation!$B$97,Actuals!CW39)</f>
        <v/>
      </c>
      <c r="CW131" s="392">
        <f>IF(ISBLANK(Actuals!CX39),-1750.91*Escalation!$B$98,Actuals!CX39)</f>
        <v/>
      </c>
      <c r="CX131" s="392">
        <f>IF(ISBLANK(Actuals!CY39),-1750.91*Escalation!$B$99,Actuals!CY39)</f>
        <v/>
      </c>
      <c r="CY131" s="392">
        <f>IF(ISBLANK(Actuals!CZ39),-1750.91*Escalation!$B$100,Actuals!CZ39)</f>
        <v/>
      </c>
      <c r="CZ131" s="392">
        <f>IF(ISBLANK(Actuals!DA39),-1750.91*Escalation!$B$101,Actuals!DA39)</f>
        <v/>
      </c>
      <c r="DA131" s="392">
        <f>IF(ISBLANK(Actuals!DB39),-1750.91*Escalation!$B$102,Actuals!DB39)</f>
        <v/>
      </c>
      <c r="DB131" s="392">
        <f>IF(ISBLANK(Actuals!DC39),-1750.91*Escalation!$B$103,Actuals!DC39)</f>
        <v/>
      </c>
      <c r="DC131" s="392">
        <f>IF(ISBLANK(Actuals!DD39),-1750.91*Escalation!$B$104,Actuals!DD39)</f>
        <v/>
      </c>
      <c r="DD131" s="392">
        <f>IF(ISBLANK(Actuals!DE39),-1750.91*Escalation!$B$105,Actuals!DE39)</f>
        <v/>
      </c>
      <c r="DE131" s="392">
        <f>IF(ISBLANK(Actuals!DF39),-1750.91*Escalation!$B$106,Actuals!DF39)</f>
        <v/>
      </c>
    </row>
    <row r="132" ht="15" customFormat="1" customHeight="1" s="380">
      <c r="A132" s="397" t="inlineStr">
        <is>
          <t>5700-1003 Other Utilities</t>
        </is>
      </c>
      <c r="B132" s="392">
        <f>IF(ISBLANK(Actuals!C40),0,Actuals!C40)</f>
        <v/>
      </c>
      <c r="C132" s="392">
        <f>IF(ISBLANK(Actuals!D40),0,Actuals!D40)</f>
        <v/>
      </c>
      <c r="D132" s="392">
        <f>IF(ISBLANK(Actuals!E40),0,Actuals!E40)</f>
        <v/>
      </c>
      <c r="E132" s="392">
        <f>IF(ISBLANK(Actuals!F40),-1988.67*Escalation!$B$2,Actuals!F40)</f>
        <v/>
      </c>
      <c r="F132" s="392">
        <f>IF(ISBLANK(Actuals!G40),-1988.67*Escalation!$B$3,Actuals!G40)</f>
        <v/>
      </c>
      <c r="G132" s="392">
        <f>IF(ISBLANK(Actuals!H40),-1988.67*Escalation!$B$4,Actuals!H40)</f>
        <v/>
      </c>
      <c r="H132" s="392">
        <f>IF(ISBLANK(Actuals!I40),-1988.67*Escalation!$B$5,Actuals!I40)</f>
        <v/>
      </c>
      <c r="I132" s="392">
        <f>IF(ISBLANK(Actuals!J40),-1988.67*Escalation!$B$6,Actuals!J40)</f>
        <v/>
      </c>
      <c r="J132" s="392">
        <f>IF(ISBLANK(Actuals!K40),-1988.67*Escalation!$B$7,Actuals!K40)</f>
        <v/>
      </c>
      <c r="K132" s="392">
        <f>IF(ISBLANK(Actuals!L40),-1988.67*Escalation!$B$8,Actuals!L40)</f>
        <v/>
      </c>
      <c r="L132" s="392">
        <f>IF(ISBLANK(Actuals!M40),-1988.67*Escalation!$B$9,Actuals!M40)</f>
        <v/>
      </c>
      <c r="M132" s="392">
        <f>IF(ISBLANK(Actuals!N40),-1988.67*Escalation!$B$10,Actuals!N40)</f>
        <v/>
      </c>
      <c r="N132" s="392">
        <f>IF(ISBLANK(Actuals!O40),-1988.67*Escalation!$B$11,Actuals!O40)</f>
        <v/>
      </c>
      <c r="O132" s="392">
        <f>IF(ISBLANK(Actuals!P40),-1988.67*Escalation!$B$12,Actuals!P40)</f>
        <v/>
      </c>
      <c r="P132" s="392">
        <f>IF(ISBLANK(Actuals!Q40),-1988.67*Escalation!$B$13,Actuals!Q40)</f>
        <v/>
      </c>
      <c r="Q132" s="392">
        <f>IF(ISBLANK(Actuals!R40),-1988.67*Escalation!$B$14,Actuals!R40)</f>
        <v/>
      </c>
      <c r="R132" s="392">
        <f>IF(ISBLANK(Actuals!S40),-1988.67*Escalation!$B$15,Actuals!S40)</f>
        <v/>
      </c>
      <c r="S132" s="392">
        <f>IF(ISBLANK(Actuals!T40),-1988.67*Escalation!$B$16,Actuals!T40)</f>
        <v/>
      </c>
      <c r="T132" s="392">
        <f>IF(ISBLANK(Actuals!U40),-1988.67*Escalation!$B$17,Actuals!U40)</f>
        <v/>
      </c>
      <c r="U132" s="392">
        <f>IF(ISBLANK(Actuals!V40),-1988.67*Escalation!$B$18,Actuals!V40)</f>
        <v/>
      </c>
      <c r="V132" s="392">
        <f>IF(ISBLANK(Actuals!W40),-1988.67*Escalation!$B$19,Actuals!W40)</f>
        <v/>
      </c>
      <c r="W132" s="392">
        <f>IF(ISBLANK(Actuals!X40),-1988.67*Escalation!$B$20,Actuals!X40)</f>
        <v/>
      </c>
      <c r="X132" s="392">
        <f>IF(ISBLANK(Actuals!Y40),-1988.67*Escalation!$B$21,Actuals!Y40)</f>
        <v/>
      </c>
      <c r="Y132" s="392">
        <f>IF(ISBLANK(Actuals!Z40),-1988.67*Escalation!$B$22,Actuals!Z40)</f>
        <v/>
      </c>
      <c r="Z132" s="392">
        <f>IF(ISBLANK(Actuals!AA40),-1988.67*Escalation!$B$23,Actuals!AA40)</f>
        <v/>
      </c>
      <c r="AA132" s="392">
        <f>IF(ISBLANK(Actuals!AB40),-1988.67*Escalation!$B$24,Actuals!AB40)</f>
        <v/>
      </c>
      <c r="AB132" s="392">
        <f>IF(ISBLANK(Actuals!AC40),-1988.67*Escalation!$B$25,Actuals!AC40)</f>
        <v/>
      </c>
      <c r="AC132" s="392">
        <f>IF(ISBLANK(Actuals!AD40),-1988.67*Escalation!$B$26,Actuals!AD40)</f>
        <v/>
      </c>
      <c r="AD132" s="392">
        <f>IF(ISBLANK(Actuals!AE40),-1988.67*Escalation!$B$27,Actuals!AE40)</f>
        <v/>
      </c>
      <c r="AE132" s="392">
        <f>IF(ISBLANK(Actuals!AF40),-1988.67*Escalation!$B$28,Actuals!AF40)</f>
        <v/>
      </c>
      <c r="AF132" s="392">
        <f>IF(ISBLANK(Actuals!AG40),-1988.67*Escalation!$B$29,Actuals!AG40)</f>
        <v/>
      </c>
      <c r="AG132" s="392">
        <f>IF(ISBLANK(Actuals!AH40),-1988.67*Escalation!$B$30,Actuals!AH40)</f>
        <v/>
      </c>
      <c r="AH132" s="392">
        <f>IF(ISBLANK(Actuals!AI40),-1988.67*Escalation!$B$31,Actuals!AI40)</f>
        <v/>
      </c>
      <c r="AI132" s="392">
        <f>IF(ISBLANK(Actuals!AJ40),-1988.67*Escalation!$B$32,Actuals!AJ40)</f>
        <v/>
      </c>
      <c r="AJ132" s="392">
        <f>IF(ISBLANK(Actuals!AK40),-1988.67*Escalation!$B$33,Actuals!AK40)</f>
        <v/>
      </c>
      <c r="AK132" s="392">
        <f>IF(ISBLANK(Actuals!AL40),-1988.67*Escalation!$B$34,Actuals!AL40)</f>
        <v/>
      </c>
      <c r="AL132" s="392">
        <f>IF(ISBLANK(Actuals!AM40),-1988.67*Escalation!$B$35,Actuals!AM40)</f>
        <v/>
      </c>
      <c r="AM132" s="392">
        <f>IF(ISBLANK(Actuals!AN40),-1988.67*Escalation!$B$36,Actuals!AN40)</f>
        <v/>
      </c>
      <c r="AN132" s="392">
        <f>IF(ISBLANK(Actuals!AO40),-1988.67*Escalation!$B$37,Actuals!AO40)</f>
        <v/>
      </c>
      <c r="AO132" s="392">
        <f>IF(ISBLANK(Actuals!AP40),-1988.67*Escalation!$B$38,Actuals!AP40)</f>
        <v/>
      </c>
      <c r="AP132" s="392">
        <f>IF(ISBLANK(Actuals!AQ40),-1988.67*Escalation!$B$39,Actuals!AQ40)</f>
        <v/>
      </c>
      <c r="AQ132" s="392">
        <f>IF(ISBLANK(Actuals!AR40),-1988.67*Escalation!$B$40,Actuals!AR40)</f>
        <v/>
      </c>
      <c r="AR132" s="392">
        <f>IF(ISBLANK(Actuals!AS40),-1988.67*Escalation!$B$41,Actuals!AS40)</f>
        <v/>
      </c>
      <c r="AS132" s="392">
        <f>IF(ISBLANK(Actuals!AT40),-1988.67*Escalation!$B$42,Actuals!AT40)</f>
        <v/>
      </c>
      <c r="AT132" s="392">
        <f>IF(ISBLANK(Actuals!AU40),-1988.67*Escalation!$B$43,Actuals!AU40)</f>
        <v/>
      </c>
      <c r="AU132" s="392">
        <f>IF(ISBLANK(Actuals!AV40),-1988.67*Escalation!$B$44,Actuals!AV40)</f>
        <v/>
      </c>
      <c r="AV132" s="392">
        <f>IF(ISBLANK(Actuals!AW40),-1988.67*Escalation!$B$45,Actuals!AW40)</f>
        <v/>
      </c>
      <c r="AW132" s="392">
        <f>IF(ISBLANK(Actuals!AX40),-1988.67*Escalation!$B$46,Actuals!AX40)</f>
        <v/>
      </c>
      <c r="AX132" s="392">
        <f>IF(ISBLANK(Actuals!AY40),-1988.67*Escalation!$B$47,Actuals!AY40)</f>
        <v/>
      </c>
      <c r="AY132" s="392">
        <f>IF(ISBLANK(Actuals!AZ40),-1988.67*Escalation!$B$48,Actuals!AZ40)</f>
        <v/>
      </c>
      <c r="AZ132" s="392">
        <f>IF(ISBLANK(Actuals!BA40),-1988.67*Escalation!$B$49,Actuals!BA40)</f>
        <v/>
      </c>
      <c r="BA132" s="392">
        <f>IF(ISBLANK(Actuals!BB40),-1988.67*Escalation!$B$50,Actuals!BB40)</f>
        <v/>
      </c>
      <c r="BB132" s="392">
        <f>IF(ISBLANK(Actuals!BC40),-1988.67*Escalation!$B$51,Actuals!BC40)</f>
        <v/>
      </c>
      <c r="BC132" s="392">
        <f>IF(ISBLANK(Actuals!BD40),-1988.67*Escalation!$B$52,Actuals!BD40)</f>
        <v/>
      </c>
      <c r="BD132" s="392">
        <f>IF(ISBLANK(Actuals!BE40),-1988.67*Escalation!$B$53,Actuals!BE40)</f>
        <v/>
      </c>
      <c r="BE132" s="392">
        <f>IF(ISBLANK(Actuals!BF40),-1988.67*Escalation!$B$54,Actuals!BF40)</f>
        <v/>
      </c>
      <c r="BF132" s="392">
        <f>IF(ISBLANK(Actuals!BG40),-1988.67*Escalation!$B$55,Actuals!BG40)</f>
        <v/>
      </c>
      <c r="BG132" s="392">
        <f>IF(ISBLANK(Actuals!BH40),-1988.67*Escalation!$B$56,Actuals!BH40)</f>
        <v/>
      </c>
      <c r="BH132" s="392">
        <f>IF(ISBLANK(Actuals!BI40),-1988.67*Escalation!$B$57,Actuals!BI40)</f>
        <v/>
      </c>
      <c r="BI132" s="392">
        <f>IF(ISBLANK(Actuals!BJ40),-1988.67*Escalation!$B$58,Actuals!BJ40)</f>
        <v/>
      </c>
      <c r="BJ132" s="392">
        <f>IF(ISBLANK(Actuals!BK40),-1988.67*Escalation!$B$59,Actuals!BK40)</f>
        <v/>
      </c>
      <c r="BK132" s="392">
        <f>IF(ISBLANK(Actuals!BL40),-1988.67*Escalation!$B$60,Actuals!BL40)</f>
        <v/>
      </c>
      <c r="BL132" s="392">
        <f>IF(ISBLANK(Actuals!BM40),-1988.67*Escalation!$B$61,Actuals!BM40)</f>
        <v/>
      </c>
      <c r="BM132" s="392">
        <f>IF(ISBLANK(Actuals!BN40),-1988.67*Escalation!$B$62,Actuals!BN40)</f>
        <v/>
      </c>
      <c r="BN132" s="392">
        <f>IF(ISBLANK(Actuals!BO40),-1988.67*Escalation!$B$63,Actuals!BO40)</f>
        <v/>
      </c>
      <c r="BO132" s="392">
        <f>IF(ISBLANK(Actuals!BP40),-1988.67*Escalation!$B$64,Actuals!BP40)</f>
        <v/>
      </c>
      <c r="BP132" s="392">
        <f>IF(ISBLANK(Actuals!BQ40),-1988.67*Escalation!$B$65,Actuals!BQ40)</f>
        <v/>
      </c>
      <c r="BQ132" s="392">
        <f>IF(ISBLANK(Actuals!BR40),-1988.67*Escalation!$B$66,Actuals!BR40)</f>
        <v/>
      </c>
      <c r="BR132" s="392">
        <f>IF(ISBLANK(Actuals!BS40),-1988.67*Escalation!$B$67,Actuals!BS40)</f>
        <v/>
      </c>
      <c r="BS132" s="392">
        <f>IF(ISBLANK(Actuals!BT40),-1988.67*Escalation!$B$68,Actuals!BT40)</f>
        <v/>
      </c>
      <c r="BT132" s="392">
        <f>IF(ISBLANK(Actuals!BU40),-1988.67*Escalation!$B$69,Actuals!BU40)</f>
        <v/>
      </c>
      <c r="BU132" s="392">
        <f>IF(ISBLANK(Actuals!BV40),-1988.67*Escalation!$B$70,Actuals!BV40)</f>
        <v/>
      </c>
      <c r="BV132" s="392">
        <f>IF(ISBLANK(Actuals!BW40),-1988.67*Escalation!$B$71,Actuals!BW40)</f>
        <v/>
      </c>
      <c r="BW132" s="392">
        <f>IF(ISBLANK(Actuals!BX40),-1988.67*Escalation!$B$72,Actuals!BX40)</f>
        <v/>
      </c>
      <c r="BX132" s="392">
        <f>IF(ISBLANK(Actuals!BY40),-1988.67*Escalation!$B$73,Actuals!BY40)</f>
        <v/>
      </c>
      <c r="BY132" s="392">
        <f>IF(ISBLANK(Actuals!BZ40),-1988.67*Escalation!$B$74,Actuals!BZ40)</f>
        <v/>
      </c>
      <c r="BZ132" s="392">
        <f>IF(ISBLANK(Actuals!CA40),-1988.67*Escalation!$B$75,Actuals!CA40)</f>
        <v/>
      </c>
      <c r="CA132" s="392">
        <f>IF(ISBLANK(Actuals!CB40),-1988.67*Escalation!$B$76,Actuals!CB40)</f>
        <v/>
      </c>
      <c r="CB132" s="392">
        <f>IF(ISBLANK(Actuals!CC40),-1988.67*Escalation!$B$77,Actuals!CC40)</f>
        <v/>
      </c>
      <c r="CC132" s="392">
        <f>IF(ISBLANK(Actuals!CD40),-1988.67*Escalation!$B$78,Actuals!CD40)</f>
        <v/>
      </c>
      <c r="CD132" s="392">
        <f>IF(ISBLANK(Actuals!CE40),-1988.67*Escalation!$B$79,Actuals!CE40)</f>
        <v/>
      </c>
      <c r="CE132" s="392">
        <f>IF(ISBLANK(Actuals!CF40),-1988.67*Escalation!$B$80,Actuals!CF40)</f>
        <v/>
      </c>
      <c r="CF132" s="392">
        <f>IF(ISBLANK(Actuals!CG40),-1988.67*Escalation!$B$81,Actuals!CG40)</f>
        <v/>
      </c>
      <c r="CG132" s="392">
        <f>IF(ISBLANK(Actuals!CH40),-1988.67*Escalation!$B$82,Actuals!CH40)</f>
        <v/>
      </c>
      <c r="CH132" s="392">
        <f>IF(ISBLANK(Actuals!CI40),-1988.67*Escalation!$B$83,Actuals!CI40)</f>
        <v/>
      </c>
      <c r="CI132" s="392">
        <f>IF(ISBLANK(Actuals!CJ40),-1988.67*Escalation!$B$84,Actuals!CJ40)</f>
        <v/>
      </c>
      <c r="CJ132" s="392">
        <f>IF(ISBLANK(Actuals!CK40),-1988.67*Escalation!$B$85,Actuals!CK40)</f>
        <v/>
      </c>
      <c r="CK132" s="392">
        <f>IF(ISBLANK(Actuals!CL40),-1988.67*Escalation!$B$86,Actuals!CL40)</f>
        <v/>
      </c>
      <c r="CL132" s="392">
        <f>IF(ISBLANK(Actuals!CM40),-1988.67*Escalation!$B$87,Actuals!CM40)</f>
        <v/>
      </c>
      <c r="CM132" s="392">
        <f>IF(ISBLANK(Actuals!CN40),-1988.67*Escalation!$B$88,Actuals!CN40)</f>
        <v/>
      </c>
      <c r="CN132" s="392">
        <f>IF(ISBLANK(Actuals!CO40),-1988.67*Escalation!$B$89,Actuals!CO40)</f>
        <v/>
      </c>
      <c r="CO132" s="392">
        <f>IF(ISBLANK(Actuals!CP40),-1988.67*Escalation!$B$90,Actuals!CP40)</f>
        <v/>
      </c>
      <c r="CP132" s="392">
        <f>IF(ISBLANK(Actuals!CQ40),-1988.67*Escalation!$B$91,Actuals!CQ40)</f>
        <v/>
      </c>
      <c r="CQ132" s="392">
        <f>IF(ISBLANK(Actuals!CR40),-1988.67*Escalation!$B$92,Actuals!CR40)</f>
        <v/>
      </c>
      <c r="CR132" s="392">
        <f>IF(ISBLANK(Actuals!CS40),-1988.67*Escalation!$B$93,Actuals!CS40)</f>
        <v/>
      </c>
      <c r="CS132" s="392">
        <f>IF(ISBLANK(Actuals!CT40),-1988.67*Escalation!$B$94,Actuals!CT40)</f>
        <v/>
      </c>
      <c r="CT132" s="392">
        <f>IF(ISBLANK(Actuals!CU40),-1988.67*Escalation!$B$95,Actuals!CU40)</f>
        <v/>
      </c>
      <c r="CU132" s="392">
        <f>IF(ISBLANK(Actuals!CV40),-1988.67*Escalation!$B$96,Actuals!CV40)</f>
        <v/>
      </c>
      <c r="CV132" s="392">
        <f>IF(ISBLANK(Actuals!CW40),-1988.67*Escalation!$B$97,Actuals!CW40)</f>
        <v/>
      </c>
      <c r="CW132" s="392">
        <f>IF(ISBLANK(Actuals!CX40),-1988.67*Escalation!$B$98,Actuals!CX40)</f>
        <v/>
      </c>
      <c r="CX132" s="392">
        <f>IF(ISBLANK(Actuals!CY40),-1988.67*Escalation!$B$99,Actuals!CY40)</f>
        <v/>
      </c>
      <c r="CY132" s="392">
        <f>IF(ISBLANK(Actuals!CZ40),-1988.67*Escalation!$B$100,Actuals!CZ40)</f>
        <v/>
      </c>
      <c r="CZ132" s="392">
        <f>IF(ISBLANK(Actuals!DA40),-1988.67*Escalation!$B$101,Actuals!DA40)</f>
        <v/>
      </c>
      <c r="DA132" s="392">
        <f>IF(ISBLANK(Actuals!DB40),-1988.67*Escalation!$B$102,Actuals!DB40)</f>
        <v/>
      </c>
      <c r="DB132" s="392">
        <f>IF(ISBLANK(Actuals!DC40),-1988.67*Escalation!$B$103,Actuals!DC40)</f>
        <v/>
      </c>
      <c r="DC132" s="392">
        <f>IF(ISBLANK(Actuals!DD40),-1988.67*Escalation!$B$104,Actuals!DD40)</f>
        <v/>
      </c>
      <c r="DD132" s="392">
        <f>IF(ISBLANK(Actuals!DE40),-1988.67*Escalation!$B$105,Actuals!DE40)</f>
        <v/>
      </c>
      <c r="DE132" s="392">
        <f>IF(ISBLANK(Actuals!DF40),-1988.67*Escalation!$B$106,Actuals!DF40)</f>
        <v/>
      </c>
    </row>
    <row r="133" ht="15" customFormat="1" customHeight="1" s="380">
      <c r="A133" s="397" t="inlineStr">
        <is>
          <t>5800-1003 Consulting Fee</t>
        </is>
      </c>
      <c r="B133" s="392">
        <f>IF(ISBLANK(Actuals!C41),0,Actuals!C41)</f>
        <v/>
      </c>
      <c r="C133" s="392">
        <f>IF(ISBLANK(Actuals!D41),0,Actuals!D41)</f>
        <v/>
      </c>
      <c r="D133" s="392">
        <f>IF(ISBLANK(Actuals!E41),0,Actuals!E41)</f>
        <v/>
      </c>
      <c r="E133" s="392">
        <f>IF(ISBLANK(Actuals!F41),-(SUMPRODUCT((Personnel!$O$9:$O$100="GC")*(Personnel!$G$9:$G$100="Yes")*(Personnel!$E$9:$E$100&gt;=2)*(Personnel!$E$9:$E$100=1)*Personnel!$C$9:$C$100)*Staffing!$B$21+Staffing!E84),Actuals!F41)</f>
        <v/>
      </c>
      <c r="F133" s="392">
        <f>IF(ISBLANK(Actuals!G41),-(SUMPRODUCT((Personnel!$O$9:$O$100="GC")*(Personnel!$G$9:$G$100="Yes")*(Personnel!$E$9:$E$100&gt;=2)*(Personnel!$E$9:$E$100=2)*Personnel!$C$9:$C$100)*Staffing!$B$21+Staffing!F84),Actuals!G41)</f>
        <v/>
      </c>
      <c r="G133" s="392">
        <f>IF(ISBLANK(Actuals!H41),-(SUMPRODUCT((Personnel!$O$9:$O$100="GC")*(Personnel!$G$9:$G$100="Yes")*(Personnel!$E$9:$E$100&gt;=2)*(Personnel!$E$9:$E$100=3)*Personnel!$C$9:$C$100)*Staffing!$B$21+Staffing!G84),Actuals!H41)</f>
        <v/>
      </c>
      <c r="H133" s="392">
        <f>IF(ISBLANK(Actuals!I41),-(SUMPRODUCT((Personnel!$O$9:$O$100="GC")*(Personnel!$G$9:$G$100="Yes")*(Personnel!$E$9:$E$100&gt;=2)*(Personnel!$E$9:$E$100=4)*Personnel!$C$9:$C$100)*Staffing!$B$21+Staffing!H84),Actuals!I41)</f>
        <v/>
      </c>
      <c r="I133" s="392">
        <f>IF(ISBLANK(Actuals!J41),-(SUMPRODUCT((Personnel!$O$9:$O$100="GC")*(Personnel!$G$9:$G$100="Yes")*(Personnel!$E$9:$E$100&gt;=2)*(Personnel!$E$9:$E$100=5)*Personnel!$C$9:$C$100)*Staffing!$B$21+Staffing!I84),Actuals!J41)</f>
        <v/>
      </c>
      <c r="J133" s="392">
        <f>IF(ISBLANK(Actuals!K41),-(SUMPRODUCT((Personnel!$O$9:$O$100="GC")*(Personnel!$G$9:$G$100="Yes")*(Personnel!$E$9:$E$100&gt;=2)*(Personnel!$E$9:$E$100=6)*Personnel!$C$9:$C$100)*Staffing!$B$21+Staffing!J84),Actuals!K41)</f>
        <v/>
      </c>
      <c r="K133" s="392">
        <f>IF(ISBLANK(Actuals!L41),-(SUMPRODUCT((Personnel!$O$9:$O$100="GC")*(Personnel!$G$9:$G$100="Yes")*(Personnel!$E$9:$E$100&gt;=2)*(Personnel!$E$9:$E$100=7)*Personnel!$C$9:$C$100)*Staffing!$B$21+Staffing!K84),Actuals!L41)</f>
        <v/>
      </c>
      <c r="L133" s="392">
        <f>IF(ISBLANK(Actuals!M41),-(SUMPRODUCT((Personnel!$O$9:$O$100="GC")*(Personnel!$G$9:$G$100="Yes")*(Personnel!$E$9:$E$100&gt;=2)*(Personnel!$E$9:$E$100=8)*Personnel!$C$9:$C$100)*Staffing!$B$21+Staffing!L84),Actuals!M41)</f>
        <v/>
      </c>
      <c r="M133" s="392">
        <f>IF(ISBLANK(Actuals!N41),-(SUMPRODUCT((Personnel!$O$9:$O$100="GC")*(Personnel!$G$9:$G$100="Yes")*(Personnel!$E$9:$E$100&gt;=2)*(Personnel!$E$9:$E$100=9)*Personnel!$C$9:$C$100)*Staffing!$B$21+Staffing!M84),Actuals!N41)</f>
        <v/>
      </c>
      <c r="N133" s="392">
        <f>IF(ISBLANK(Actuals!O41),-(SUMPRODUCT((Personnel!$O$9:$O$100="GC")*(Personnel!$G$9:$G$100="Yes")*(Personnel!$E$9:$E$100&gt;=2)*(Personnel!$E$9:$E$100=10)*Personnel!$C$9:$C$100)*Staffing!$B$21+Staffing!N84),Actuals!O41)</f>
        <v/>
      </c>
      <c r="O133" s="392">
        <f>IF(ISBLANK(Actuals!P41),-(SUMPRODUCT((Personnel!$O$9:$O$100="GC")*(Personnel!$G$9:$G$100="Yes")*(Personnel!$E$9:$E$100&gt;=2)*(Personnel!$E$9:$E$100=11)*Personnel!$C$9:$C$100)*Staffing!$B$21+Staffing!O84),Actuals!P41)</f>
        <v/>
      </c>
      <c r="P133" s="392">
        <f>IF(ISBLANK(Actuals!Q41),-(SUMPRODUCT((Personnel!$O$9:$O$100="GC")*(Personnel!$G$9:$G$100="Yes")*(Personnel!$E$9:$E$100&gt;=2)*(Personnel!$E$9:$E$100=12)*Personnel!$C$9:$C$100)*Staffing!$B$21+Staffing!P84),Actuals!Q41)</f>
        <v/>
      </c>
      <c r="Q133" s="392">
        <f>IF(ISBLANK(Actuals!R41),-(SUMPRODUCT((Personnel!$O$9:$O$100="GC")*(Personnel!$G$9:$G$100="Yes")*(Personnel!$E$9:$E$100&gt;=2)*(Personnel!$E$9:$E$100=13)*Personnel!$C$9:$C$100)*Staffing!$B$21+Staffing!Q84),Actuals!R41)</f>
        <v/>
      </c>
      <c r="R133" s="392">
        <f>IF(ISBLANK(Actuals!S41),-(SUMPRODUCT((Personnel!$O$9:$O$100="GC")*(Personnel!$G$9:$G$100="Yes")*(Personnel!$E$9:$E$100&gt;=2)*(Personnel!$E$9:$E$100=14)*Personnel!$C$9:$C$100)*Staffing!$B$21+Staffing!R84),Actuals!S41)</f>
        <v/>
      </c>
      <c r="S133" s="392">
        <f>IF(ISBLANK(Actuals!T41),-(SUMPRODUCT((Personnel!$O$9:$O$100="GC")*(Personnel!$G$9:$G$100="Yes")*(Personnel!$E$9:$E$100&gt;=2)*(Personnel!$E$9:$E$100=15)*Personnel!$C$9:$C$100)*Staffing!$B$21+Staffing!S84),Actuals!T41)</f>
        <v/>
      </c>
      <c r="T133" s="392">
        <f>IF(ISBLANK(Actuals!U41),-(SUMPRODUCT((Personnel!$O$9:$O$100="GC")*(Personnel!$G$9:$G$100="Yes")*(Personnel!$E$9:$E$100&gt;=2)*(Personnel!$E$9:$E$100=16)*Personnel!$C$9:$C$100)*Staffing!$B$21+Staffing!T84),Actuals!U41)</f>
        <v/>
      </c>
      <c r="U133" s="392">
        <f>IF(ISBLANK(Actuals!V41),-(SUMPRODUCT((Personnel!$O$9:$O$100="GC")*(Personnel!$G$9:$G$100="Yes")*(Personnel!$E$9:$E$100&gt;=2)*(Personnel!$E$9:$E$100=17)*Personnel!$C$9:$C$100)*Staffing!$B$21+Staffing!U84),Actuals!V41)</f>
        <v/>
      </c>
      <c r="V133" s="392">
        <f>IF(ISBLANK(Actuals!W41),-(SUMPRODUCT((Personnel!$O$9:$O$100="GC")*(Personnel!$G$9:$G$100="Yes")*(Personnel!$E$9:$E$100&gt;=2)*(Personnel!$E$9:$E$100=18)*Personnel!$C$9:$C$100)*Staffing!$B$21+Staffing!V84),Actuals!W41)</f>
        <v/>
      </c>
      <c r="W133" s="392">
        <f>IF(ISBLANK(Actuals!X41),-(SUMPRODUCT((Personnel!$O$9:$O$100="GC")*(Personnel!$G$9:$G$100="Yes")*(Personnel!$E$9:$E$100&gt;=2)*(Personnel!$E$9:$E$100=19)*Personnel!$C$9:$C$100)*Staffing!$B$21+Staffing!W84),Actuals!X41)</f>
        <v/>
      </c>
      <c r="X133" s="392">
        <f>IF(ISBLANK(Actuals!Y41),-(SUMPRODUCT((Personnel!$O$9:$O$100="GC")*(Personnel!$G$9:$G$100="Yes")*(Personnel!$E$9:$E$100&gt;=2)*(Personnel!$E$9:$E$100=20)*Personnel!$C$9:$C$100)*Staffing!$B$21+Staffing!X84),Actuals!Y41)</f>
        <v/>
      </c>
      <c r="Y133" s="392">
        <f>IF(ISBLANK(Actuals!Z41),-(SUMPRODUCT((Personnel!$O$9:$O$100="GC")*(Personnel!$G$9:$G$100="Yes")*(Personnel!$E$9:$E$100&gt;=2)*(Personnel!$E$9:$E$100=21)*Personnel!$C$9:$C$100)*Staffing!$B$21+Staffing!Y84),Actuals!Z41)</f>
        <v/>
      </c>
      <c r="Z133" s="392">
        <f>IF(ISBLANK(Actuals!AA41),-(SUMPRODUCT((Personnel!$O$9:$O$100="GC")*(Personnel!$G$9:$G$100="Yes")*(Personnel!$E$9:$E$100&gt;=2)*(Personnel!$E$9:$E$100=22)*Personnel!$C$9:$C$100)*Staffing!$B$21+Staffing!Z84),Actuals!AA41)</f>
        <v/>
      </c>
      <c r="AA133" s="392">
        <f>IF(ISBLANK(Actuals!AB41),-(SUMPRODUCT((Personnel!$O$9:$O$100="GC")*(Personnel!$G$9:$G$100="Yes")*(Personnel!$E$9:$E$100&gt;=2)*(Personnel!$E$9:$E$100=23)*Personnel!$C$9:$C$100)*Staffing!$B$21+Staffing!AA84),Actuals!AB41)</f>
        <v/>
      </c>
      <c r="AB133" s="392">
        <f>IF(ISBLANK(Actuals!AC41),-(SUMPRODUCT((Personnel!$O$9:$O$100="GC")*(Personnel!$G$9:$G$100="Yes")*(Personnel!$E$9:$E$100&gt;=2)*(Personnel!$E$9:$E$100=24)*Personnel!$C$9:$C$100)*Staffing!$B$21+Staffing!AB84),Actuals!AC41)</f>
        <v/>
      </c>
      <c r="AC133" s="392">
        <f>IF(ISBLANK(Actuals!AD41),-(SUMPRODUCT((Personnel!$O$9:$O$100="GC")*(Personnel!$G$9:$G$100="Yes")*(Personnel!$E$9:$E$100&gt;=2)*(Personnel!$E$9:$E$100=25)*Personnel!$C$9:$C$100)*Staffing!$B$21+Staffing!AC84),Actuals!AD41)</f>
        <v/>
      </c>
      <c r="AD133" s="392">
        <f>IF(ISBLANK(Actuals!AE41),-(SUMPRODUCT((Personnel!$O$9:$O$100="GC")*(Personnel!$G$9:$G$100="Yes")*(Personnel!$E$9:$E$100&gt;=2)*(Personnel!$E$9:$E$100=26)*Personnel!$C$9:$C$100)*Staffing!$B$21+Staffing!AD84),Actuals!AE41)</f>
        <v/>
      </c>
      <c r="AE133" s="392">
        <f>IF(ISBLANK(Actuals!AF41),-(SUMPRODUCT((Personnel!$O$9:$O$100="GC")*(Personnel!$G$9:$G$100="Yes")*(Personnel!$E$9:$E$100&gt;=2)*(Personnel!$E$9:$E$100=27)*Personnel!$C$9:$C$100)*Staffing!$B$21+Staffing!AE84),Actuals!AF41)</f>
        <v/>
      </c>
      <c r="AF133" s="392">
        <f>IF(ISBLANK(Actuals!AG41),-(SUMPRODUCT((Personnel!$O$9:$O$100="GC")*(Personnel!$G$9:$G$100="Yes")*(Personnel!$E$9:$E$100&gt;=2)*(Personnel!$E$9:$E$100=28)*Personnel!$C$9:$C$100)*Staffing!$B$21+Staffing!AF84),Actuals!AG41)</f>
        <v/>
      </c>
      <c r="AG133" s="392">
        <f>IF(ISBLANK(Actuals!AH41),-(SUMPRODUCT((Personnel!$O$9:$O$100="GC")*(Personnel!$G$9:$G$100="Yes")*(Personnel!$E$9:$E$100&gt;=2)*(Personnel!$E$9:$E$100=29)*Personnel!$C$9:$C$100)*Staffing!$B$21+Staffing!AG84),Actuals!AH41)</f>
        <v/>
      </c>
      <c r="AH133" s="392">
        <f>IF(ISBLANK(Actuals!AI41),-(SUMPRODUCT((Personnel!$O$9:$O$100="GC")*(Personnel!$G$9:$G$100="Yes")*(Personnel!$E$9:$E$100&gt;=2)*(Personnel!$E$9:$E$100=30)*Personnel!$C$9:$C$100)*Staffing!$B$21+Staffing!AH84),Actuals!AI41)</f>
        <v/>
      </c>
      <c r="AI133" s="392">
        <f>IF(ISBLANK(Actuals!AJ41),-(SUMPRODUCT((Personnel!$O$9:$O$100="GC")*(Personnel!$G$9:$G$100="Yes")*(Personnel!$E$9:$E$100&gt;=2)*(Personnel!$E$9:$E$100=31)*Personnel!$C$9:$C$100)*Staffing!$B$21+Staffing!AI84),Actuals!AJ41)</f>
        <v/>
      </c>
      <c r="AJ133" s="392">
        <f>IF(ISBLANK(Actuals!AK41),-(SUMPRODUCT((Personnel!$O$9:$O$100="GC")*(Personnel!$G$9:$G$100="Yes")*(Personnel!$E$9:$E$100&gt;=2)*(Personnel!$E$9:$E$100=32)*Personnel!$C$9:$C$100)*Staffing!$B$21+Staffing!AJ84),Actuals!AK41)</f>
        <v/>
      </c>
      <c r="AK133" s="392">
        <f>IF(ISBLANK(Actuals!AL41),-(SUMPRODUCT((Personnel!$O$9:$O$100="GC")*(Personnel!$G$9:$G$100="Yes")*(Personnel!$E$9:$E$100&gt;=2)*(Personnel!$E$9:$E$100=33)*Personnel!$C$9:$C$100)*Staffing!$B$21+Staffing!AK84),Actuals!AL41)</f>
        <v/>
      </c>
      <c r="AL133" s="392">
        <f>IF(ISBLANK(Actuals!AM41),-(SUMPRODUCT((Personnel!$O$9:$O$100="GC")*(Personnel!$G$9:$G$100="Yes")*(Personnel!$E$9:$E$100&gt;=2)*(Personnel!$E$9:$E$100=34)*Personnel!$C$9:$C$100)*Staffing!$B$21+Staffing!AL84),Actuals!AM41)</f>
        <v/>
      </c>
      <c r="AM133" s="392">
        <f>IF(ISBLANK(Actuals!AN41),-(SUMPRODUCT((Personnel!$O$9:$O$100="GC")*(Personnel!$G$9:$G$100="Yes")*(Personnel!$E$9:$E$100&gt;=2)*(Personnel!$E$9:$E$100=35)*Personnel!$C$9:$C$100)*Staffing!$B$21+Staffing!AM84),Actuals!AN41)</f>
        <v/>
      </c>
      <c r="AN133" s="392">
        <f>IF(ISBLANK(Actuals!AO41),-(SUMPRODUCT((Personnel!$O$9:$O$100="GC")*(Personnel!$G$9:$G$100="Yes")*(Personnel!$E$9:$E$100&gt;=2)*(Personnel!$E$9:$E$100=36)*Personnel!$C$9:$C$100)*Staffing!$B$21+Staffing!AN84),Actuals!AO41)</f>
        <v/>
      </c>
      <c r="AO133" s="392">
        <f>IF(ISBLANK(Actuals!AP41),-(SUMPRODUCT((Personnel!$O$9:$O$100="GC")*(Personnel!$G$9:$G$100="Yes")*(Personnel!$E$9:$E$100&gt;=2)*(Personnel!$E$9:$E$100=37)*Personnel!$C$9:$C$100)*Staffing!$B$21+Staffing!AO84),Actuals!AP41)</f>
        <v/>
      </c>
      <c r="AP133" s="392">
        <f>IF(ISBLANK(Actuals!AQ41),-(SUMPRODUCT((Personnel!$O$9:$O$100="GC")*(Personnel!$G$9:$G$100="Yes")*(Personnel!$E$9:$E$100&gt;=2)*(Personnel!$E$9:$E$100=38)*Personnel!$C$9:$C$100)*Staffing!$B$21+Staffing!AP84),Actuals!AQ41)</f>
        <v/>
      </c>
      <c r="AQ133" s="392">
        <f>IF(ISBLANK(Actuals!AR41),-(SUMPRODUCT((Personnel!$O$9:$O$100="GC")*(Personnel!$G$9:$G$100="Yes")*(Personnel!$E$9:$E$100&gt;=2)*(Personnel!$E$9:$E$100=39)*Personnel!$C$9:$C$100)*Staffing!$B$21+Staffing!AQ84),Actuals!AR41)</f>
        <v/>
      </c>
      <c r="AR133" s="392">
        <f>IF(ISBLANK(Actuals!AS41),-(SUMPRODUCT((Personnel!$O$9:$O$100="GC")*(Personnel!$G$9:$G$100="Yes")*(Personnel!$E$9:$E$100&gt;=2)*(Personnel!$E$9:$E$100=40)*Personnel!$C$9:$C$100)*Staffing!$B$21+Staffing!AR84),Actuals!AS41)</f>
        <v/>
      </c>
      <c r="AS133" s="392">
        <f>IF(ISBLANK(Actuals!AT41),-(SUMPRODUCT((Personnel!$O$9:$O$100="GC")*(Personnel!$G$9:$G$100="Yes")*(Personnel!$E$9:$E$100&gt;=2)*(Personnel!$E$9:$E$100=41)*Personnel!$C$9:$C$100)*Staffing!$B$21+Staffing!AS84),Actuals!AT41)</f>
        <v/>
      </c>
      <c r="AT133" s="392">
        <f>IF(ISBLANK(Actuals!AU41),-(SUMPRODUCT((Personnel!$O$9:$O$100="GC")*(Personnel!$G$9:$G$100="Yes")*(Personnel!$E$9:$E$100&gt;=2)*(Personnel!$E$9:$E$100=42)*Personnel!$C$9:$C$100)*Staffing!$B$21+Staffing!AT84),Actuals!AU41)</f>
        <v/>
      </c>
      <c r="AU133" s="392">
        <f>IF(ISBLANK(Actuals!AV41),-(SUMPRODUCT((Personnel!$O$9:$O$100="GC")*(Personnel!$G$9:$G$100="Yes")*(Personnel!$E$9:$E$100&gt;=2)*(Personnel!$E$9:$E$100=43)*Personnel!$C$9:$C$100)*Staffing!$B$21+Staffing!AU84),Actuals!AV41)</f>
        <v/>
      </c>
      <c r="AV133" s="392">
        <f>IF(ISBLANK(Actuals!AW41),-(SUMPRODUCT((Personnel!$O$9:$O$100="GC")*(Personnel!$G$9:$G$100="Yes")*(Personnel!$E$9:$E$100&gt;=2)*(Personnel!$E$9:$E$100=44)*Personnel!$C$9:$C$100)*Staffing!$B$21+Staffing!AV84),Actuals!AW41)</f>
        <v/>
      </c>
      <c r="AW133" s="392">
        <f>IF(ISBLANK(Actuals!AX41),-(SUMPRODUCT((Personnel!$O$9:$O$100="GC")*(Personnel!$G$9:$G$100="Yes")*(Personnel!$E$9:$E$100&gt;=2)*(Personnel!$E$9:$E$100=45)*Personnel!$C$9:$C$100)*Staffing!$B$21+Staffing!AW84),Actuals!AX41)</f>
        <v/>
      </c>
      <c r="AX133" s="392">
        <f>IF(ISBLANK(Actuals!AY41),-(SUMPRODUCT((Personnel!$O$9:$O$100="GC")*(Personnel!$G$9:$G$100="Yes")*(Personnel!$E$9:$E$100&gt;=2)*(Personnel!$E$9:$E$100=46)*Personnel!$C$9:$C$100)*Staffing!$B$21+Staffing!AX84),Actuals!AY41)</f>
        <v/>
      </c>
      <c r="AY133" s="392">
        <f>IF(ISBLANK(Actuals!AZ41),-(SUMPRODUCT((Personnel!$O$9:$O$100="GC")*(Personnel!$G$9:$G$100="Yes")*(Personnel!$E$9:$E$100&gt;=2)*(Personnel!$E$9:$E$100=47)*Personnel!$C$9:$C$100)*Staffing!$B$21+Staffing!AY84),Actuals!AZ41)</f>
        <v/>
      </c>
      <c r="AZ133" s="392">
        <f>IF(ISBLANK(Actuals!BA41),-(SUMPRODUCT((Personnel!$O$9:$O$100="GC")*(Personnel!$G$9:$G$100="Yes")*(Personnel!$E$9:$E$100&gt;=2)*(Personnel!$E$9:$E$100=48)*Personnel!$C$9:$C$100)*Staffing!$B$21+Staffing!AZ84),Actuals!BA41)</f>
        <v/>
      </c>
      <c r="BA133" s="392">
        <f>IF(ISBLANK(Actuals!BB41),-(SUMPRODUCT((Personnel!$O$9:$O$100="GC")*(Personnel!$G$9:$G$100="Yes")*(Personnel!$E$9:$E$100&gt;=2)*(Personnel!$E$9:$E$100=49)*Personnel!$C$9:$C$100)*Staffing!$B$21+Staffing!BA84),Actuals!BB41)</f>
        <v/>
      </c>
      <c r="BB133" s="392">
        <f>IF(ISBLANK(Actuals!BC41),-(SUMPRODUCT((Personnel!$O$9:$O$100="GC")*(Personnel!$G$9:$G$100="Yes")*(Personnel!$E$9:$E$100&gt;=2)*(Personnel!$E$9:$E$100=50)*Personnel!$C$9:$C$100)*Staffing!$B$21+Staffing!BB84),Actuals!BC41)</f>
        <v/>
      </c>
      <c r="BC133" s="392">
        <f>IF(ISBLANK(Actuals!BD41),-(SUMPRODUCT((Personnel!$O$9:$O$100="GC")*(Personnel!$G$9:$G$100="Yes")*(Personnel!$E$9:$E$100&gt;=2)*(Personnel!$E$9:$E$100=51)*Personnel!$C$9:$C$100)*Staffing!$B$21+Staffing!BC84),Actuals!BD41)</f>
        <v/>
      </c>
      <c r="BD133" s="392">
        <f>IF(ISBLANK(Actuals!BE41),-(SUMPRODUCT((Personnel!$O$9:$O$100="GC")*(Personnel!$G$9:$G$100="Yes")*(Personnel!$E$9:$E$100&gt;=2)*(Personnel!$E$9:$E$100=52)*Personnel!$C$9:$C$100)*Staffing!$B$21+Staffing!BD84),Actuals!BE41)</f>
        <v/>
      </c>
      <c r="BE133" s="392">
        <f>IF(ISBLANK(Actuals!BF41),-(SUMPRODUCT((Personnel!$O$9:$O$100="GC")*(Personnel!$G$9:$G$100="Yes")*(Personnel!$E$9:$E$100&gt;=2)*(Personnel!$E$9:$E$100=53)*Personnel!$C$9:$C$100)*Staffing!$B$21+Staffing!BE84),Actuals!BF41)</f>
        <v/>
      </c>
      <c r="BF133" s="392">
        <f>IF(ISBLANK(Actuals!BG41),-(SUMPRODUCT((Personnel!$O$9:$O$100="GC")*(Personnel!$G$9:$G$100="Yes")*(Personnel!$E$9:$E$100&gt;=2)*(Personnel!$E$9:$E$100=54)*Personnel!$C$9:$C$100)*Staffing!$B$21+Staffing!BF84),Actuals!BG41)</f>
        <v/>
      </c>
      <c r="BG133" s="392">
        <f>IF(ISBLANK(Actuals!BH41),-(SUMPRODUCT((Personnel!$O$9:$O$100="GC")*(Personnel!$G$9:$G$100="Yes")*(Personnel!$E$9:$E$100&gt;=2)*(Personnel!$E$9:$E$100=55)*Personnel!$C$9:$C$100)*Staffing!$B$21+Staffing!BG84),Actuals!BH41)</f>
        <v/>
      </c>
      <c r="BH133" s="392">
        <f>IF(ISBLANK(Actuals!BI41),-(SUMPRODUCT((Personnel!$O$9:$O$100="GC")*(Personnel!$G$9:$G$100="Yes")*(Personnel!$E$9:$E$100&gt;=2)*(Personnel!$E$9:$E$100=56)*Personnel!$C$9:$C$100)*Staffing!$B$21+Staffing!BH84),Actuals!BI41)</f>
        <v/>
      </c>
      <c r="BI133" s="392">
        <f>IF(ISBLANK(Actuals!BJ41),-(SUMPRODUCT((Personnel!$O$9:$O$100="GC")*(Personnel!$G$9:$G$100="Yes")*(Personnel!$E$9:$E$100&gt;=2)*(Personnel!$E$9:$E$100=57)*Personnel!$C$9:$C$100)*Staffing!$B$21+Staffing!BI84),Actuals!BJ41)</f>
        <v/>
      </c>
      <c r="BJ133" s="392">
        <f>IF(ISBLANK(Actuals!BK41),-(SUMPRODUCT((Personnel!$O$9:$O$100="GC")*(Personnel!$G$9:$G$100="Yes")*(Personnel!$E$9:$E$100&gt;=2)*(Personnel!$E$9:$E$100=58)*Personnel!$C$9:$C$100)*Staffing!$B$21+Staffing!BJ84),Actuals!BK41)</f>
        <v/>
      </c>
      <c r="BK133" s="392">
        <f>IF(ISBLANK(Actuals!BL41),-(SUMPRODUCT((Personnel!$O$9:$O$100="GC")*(Personnel!$G$9:$G$100="Yes")*(Personnel!$E$9:$E$100&gt;=2)*(Personnel!$E$9:$E$100=59)*Personnel!$C$9:$C$100)*Staffing!$B$21+Staffing!BK84),Actuals!BL41)</f>
        <v/>
      </c>
      <c r="BL133" s="392">
        <f>IF(ISBLANK(Actuals!BM41),-(SUMPRODUCT((Personnel!$O$9:$O$100="GC")*(Personnel!$G$9:$G$100="Yes")*(Personnel!$E$9:$E$100&gt;=2)*(Personnel!$E$9:$E$100=60)*Personnel!$C$9:$C$100)*Staffing!$B$21+Staffing!BL84),Actuals!BM41)</f>
        <v/>
      </c>
      <c r="BM133" s="392">
        <f>IF(ISBLANK(Actuals!BN41),-(SUMPRODUCT((Personnel!$O$9:$O$100="GC")*(Personnel!$G$9:$G$100="Yes")*(Personnel!$E$9:$E$100&gt;=2)*(Personnel!$E$9:$E$100=61)*Personnel!$C$9:$C$100)*Staffing!$B$21+Staffing!BM84),Actuals!BN41)</f>
        <v/>
      </c>
      <c r="BN133" s="392">
        <f>IF(ISBLANK(Actuals!BO41),-(SUMPRODUCT((Personnel!$O$9:$O$100="GC")*(Personnel!$G$9:$G$100="Yes")*(Personnel!$E$9:$E$100&gt;=2)*(Personnel!$E$9:$E$100=62)*Personnel!$C$9:$C$100)*Staffing!$B$21+Staffing!BN84),Actuals!BO41)</f>
        <v/>
      </c>
      <c r="BO133" s="392">
        <f>IF(ISBLANK(Actuals!BP41),-(SUMPRODUCT((Personnel!$O$9:$O$100="GC")*(Personnel!$G$9:$G$100="Yes")*(Personnel!$E$9:$E$100&gt;=2)*(Personnel!$E$9:$E$100=63)*Personnel!$C$9:$C$100)*Staffing!$B$21+Staffing!BO84),Actuals!BP41)</f>
        <v/>
      </c>
      <c r="BP133" s="392">
        <f>IF(ISBLANK(Actuals!BQ41),-(SUMPRODUCT((Personnel!$O$9:$O$100="GC")*(Personnel!$G$9:$G$100="Yes")*(Personnel!$E$9:$E$100&gt;=2)*(Personnel!$E$9:$E$100=64)*Personnel!$C$9:$C$100)*Staffing!$B$21+Staffing!BP84),Actuals!BQ41)</f>
        <v/>
      </c>
      <c r="BQ133" s="392">
        <f>IF(ISBLANK(Actuals!BR41),-(SUMPRODUCT((Personnel!$O$9:$O$100="GC")*(Personnel!$G$9:$G$100="Yes")*(Personnel!$E$9:$E$100&gt;=2)*(Personnel!$E$9:$E$100=65)*Personnel!$C$9:$C$100)*Staffing!$B$21+Staffing!BQ84),Actuals!BR41)</f>
        <v/>
      </c>
      <c r="BR133" s="392">
        <f>IF(ISBLANK(Actuals!BS41),-(SUMPRODUCT((Personnel!$O$9:$O$100="GC")*(Personnel!$G$9:$G$100="Yes")*(Personnel!$E$9:$E$100&gt;=2)*(Personnel!$E$9:$E$100=66)*Personnel!$C$9:$C$100)*Staffing!$B$21+Staffing!BR84),Actuals!BS41)</f>
        <v/>
      </c>
      <c r="BS133" s="392">
        <f>IF(ISBLANK(Actuals!BT41),-(SUMPRODUCT((Personnel!$O$9:$O$100="GC")*(Personnel!$G$9:$G$100="Yes")*(Personnel!$E$9:$E$100&gt;=2)*(Personnel!$E$9:$E$100=67)*Personnel!$C$9:$C$100)*Staffing!$B$21+Staffing!BS84),Actuals!BT41)</f>
        <v/>
      </c>
      <c r="BT133" s="392">
        <f>IF(ISBLANK(Actuals!BU41),-(SUMPRODUCT((Personnel!$O$9:$O$100="GC")*(Personnel!$G$9:$G$100="Yes")*(Personnel!$E$9:$E$100&gt;=2)*(Personnel!$E$9:$E$100=68)*Personnel!$C$9:$C$100)*Staffing!$B$21+Staffing!BT84),Actuals!BU41)</f>
        <v/>
      </c>
      <c r="BU133" s="392">
        <f>IF(ISBLANK(Actuals!BV41),-(SUMPRODUCT((Personnel!$O$9:$O$100="GC")*(Personnel!$G$9:$G$100="Yes")*(Personnel!$E$9:$E$100&gt;=2)*(Personnel!$E$9:$E$100=69)*Personnel!$C$9:$C$100)*Staffing!$B$21+Staffing!BU84),Actuals!BV41)</f>
        <v/>
      </c>
      <c r="BV133" s="392">
        <f>IF(ISBLANK(Actuals!BW41),-(SUMPRODUCT((Personnel!$O$9:$O$100="GC")*(Personnel!$G$9:$G$100="Yes")*(Personnel!$E$9:$E$100&gt;=2)*(Personnel!$E$9:$E$100=70)*Personnel!$C$9:$C$100)*Staffing!$B$21+Staffing!BV84),Actuals!BW41)</f>
        <v/>
      </c>
      <c r="BW133" s="392">
        <f>IF(ISBLANK(Actuals!BX41),-(SUMPRODUCT((Personnel!$O$9:$O$100="GC")*(Personnel!$G$9:$G$100="Yes")*(Personnel!$E$9:$E$100&gt;=2)*(Personnel!$E$9:$E$100=71)*Personnel!$C$9:$C$100)*Staffing!$B$21+Staffing!BW84),Actuals!BX41)</f>
        <v/>
      </c>
      <c r="BX133" s="392">
        <f>IF(ISBLANK(Actuals!BY41),-(SUMPRODUCT((Personnel!$O$9:$O$100="GC")*(Personnel!$G$9:$G$100="Yes")*(Personnel!$E$9:$E$100&gt;=2)*(Personnel!$E$9:$E$100=72)*Personnel!$C$9:$C$100)*Staffing!$B$21+Staffing!BX84),Actuals!BY41)</f>
        <v/>
      </c>
      <c r="BY133" s="392">
        <f>IF(ISBLANK(Actuals!BZ41),-(SUMPRODUCT((Personnel!$O$9:$O$100="GC")*(Personnel!$G$9:$G$100="Yes")*(Personnel!$E$9:$E$100&gt;=2)*(Personnel!$E$9:$E$100=73)*Personnel!$C$9:$C$100)*Staffing!$B$21+Staffing!BY84),Actuals!BZ41)</f>
        <v/>
      </c>
      <c r="BZ133" s="392">
        <f>IF(ISBLANK(Actuals!CA41),-(SUMPRODUCT((Personnel!$O$9:$O$100="GC")*(Personnel!$G$9:$G$100="Yes")*(Personnel!$E$9:$E$100&gt;=2)*(Personnel!$E$9:$E$100=74)*Personnel!$C$9:$C$100)*Staffing!$B$21+Staffing!BZ84),Actuals!CA41)</f>
        <v/>
      </c>
      <c r="CA133" s="392">
        <f>IF(ISBLANK(Actuals!CB41),-(SUMPRODUCT((Personnel!$O$9:$O$100="GC")*(Personnel!$G$9:$G$100="Yes")*(Personnel!$E$9:$E$100&gt;=2)*(Personnel!$E$9:$E$100=75)*Personnel!$C$9:$C$100)*Staffing!$B$21+Staffing!CA84),Actuals!CB41)</f>
        <v/>
      </c>
      <c r="CB133" s="392">
        <f>IF(ISBLANK(Actuals!CC41),-(SUMPRODUCT((Personnel!$O$9:$O$100="GC")*(Personnel!$G$9:$G$100="Yes")*(Personnel!$E$9:$E$100&gt;=2)*(Personnel!$E$9:$E$100=76)*Personnel!$C$9:$C$100)*Staffing!$B$21+Staffing!CB84),Actuals!CC41)</f>
        <v/>
      </c>
      <c r="CC133" s="392">
        <f>IF(ISBLANK(Actuals!CD41),-(SUMPRODUCT((Personnel!$O$9:$O$100="GC")*(Personnel!$G$9:$G$100="Yes")*(Personnel!$E$9:$E$100&gt;=2)*(Personnel!$E$9:$E$100=77)*Personnel!$C$9:$C$100)*Staffing!$B$21+Staffing!CC84),Actuals!CD41)</f>
        <v/>
      </c>
      <c r="CD133" s="392">
        <f>IF(ISBLANK(Actuals!CE41),-(SUMPRODUCT((Personnel!$O$9:$O$100="GC")*(Personnel!$G$9:$G$100="Yes")*(Personnel!$E$9:$E$100&gt;=2)*(Personnel!$E$9:$E$100=78)*Personnel!$C$9:$C$100)*Staffing!$B$21+Staffing!CD84),Actuals!CE41)</f>
        <v/>
      </c>
      <c r="CE133" s="392">
        <f>IF(ISBLANK(Actuals!CF41),-(SUMPRODUCT((Personnel!$O$9:$O$100="GC")*(Personnel!$G$9:$G$100="Yes")*(Personnel!$E$9:$E$100&gt;=2)*(Personnel!$E$9:$E$100=79)*Personnel!$C$9:$C$100)*Staffing!$B$21+Staffing!CE84),Actuals!CF41)</f>
        <v/>
      </c>
      <c r="CF133" s="392">
        <f>IF(ISBLANK(Actuals!CG41),-(SUMPRODUCT((Personnel!$O$9:$O$100="GC")*(Personnel!$G$9:$G$100="Yes")*(Personnel!$E$9:$E$100&gt;=2)*(Personnel!$E$9:$E$100=80)*Personnel!$C$9:$C$100)*Staffing!$B$21+Staffing!CF84),Actuals!CG41)</f>
        <v/>
      </c>
      <c r="CG133" s="392">
        <f>IF(ISBLANK(Actuals!CH41),-(SUMPRODUCT((Personnel!$O$9:$O$100="GC")*(Personnel!$G$9:$G$100="Yes")*(Personnel!$E$9:$E$100&gt;=2)*(Personnel!$E$9:$E$100=81)*Personnel!$C$9:$C$100)*Staffing!$B$21+Staffing!CG84),Actuals!CH41)</f>
        <v/>
      </c>
      <c r="CH133" s="392">
        <f>IF(ISBLANK(Actuals!CI41),-(SUMPRODUCT((Personnel!$O$9:$O$100="GC")*(Personnel!$G$9:$G$100="Yes")*(Personnel!$E$9:$E$100&gt;=2)*(Personnel!$E$9:$E$100=82)*Personnel!$C$9:$C$100)*Staffing!$B$21+Staffing!CH84),Actuals!CI41)</f>
        <v/>
      </c>
      <c r="CI133" s="392">
        <f>IF(ISBLANK(Actuals!CJ41),-(SUMPRODUCT((Personnel!$O$9:$O$100="GC")*(Personnel!$G$9:$G$100="Yes")*(Personnel!$E$9:$E$100&gt;=2)*(Personnel!$E$9:$E$100=83)*Personnel!$C$9:$C$100)*Staffing!$B$21+Staffing!CI84),Actuals!CJ41)</f>
        <v/>
      </c>
      <c r="CJ133" s="392">
        <f>IF(ISBLANK(Actuals!CK41),-(SUMPRODUCT((Personnel!$O$9:$O$100="GC")*(Personnel!$G$9:$G$100="Yes")*(Personnel!$E$9:$E$100&gt;=2)*(Personnel!$E$9:$E$100=84)*Personnel!$C$9:$C$100)*Staffing!$B$21+Staffing!CJ84),Actuals!CK41)</f>
        <v/>
      </c>
      <c r="CK133" s="392">
        <f>IF(ISBLANK(Actuals!CL41),-(SUMPRODUCT((Personnel!$O$9:$O$100="GC")*(Personnel!$G$9:$G$100="Yes")*(Personnel!$E$9:$E$100&gt;=2)*(Personnel!$E$9:$E$100=85)*Personnel!$C$9:$C$100)*Staffing!$B$21+Staffing!CK84),Actuals!CL41)</f>
        <v/>
      </c>
      <c r="CL133" s="392">
        <f>IF(ISBLANK(Actuals!CM41),-(SUMPRODUCT((Personnel!$O$9:$O$100="GC")*(Personnel!$G$9:$G$100="Yes")*(Personnel!$E$9:$E$100&gt;=2)*(Personnel!$E$9:$E$100=86)*Personnel!$C$9:$C$100)*Staffing!$B$21+Staffing!CL84),Actuals!CM41)</f>
        <v/>
      </c>
      <c r="CM133" s="392">
        <f>IF(ISBLANK(Actuals!CN41),-(SUMPRODUCT((Personnel!$O$9:$O$100="GC")*(Personnel!$G$9:$G$100="Yes")*(Personnel!$E$9:$E$100&gt;=2)*(Personnel!$E$9:$E$100=87)*Personnel!$C$9:$C$100)*Staffing!$B$21+Staffing!CM84),Actuals!CN41)</f>
        <v/>
      </c>
      <c r="CN133" s="392">
        <f>IF(ISBLANK(Actuals!CO41),-(SUMPRODUCT((Personnel!$O$9:$O$100="GC")*(Personnel!$G$9:$G$100="Yes")*(Personnel!$E$9:$E$100&gt;=2)*(Personnel!$E$9:$E$100=88)*Personnel!$C$9:$C$100)*Staffing!$B$21+Staffing!CN84),Actuals!CO41)</f>
        <v/>
      </c>
      <c r="CO133" s="392">
        <f>IF(ISBLANK(Actuals!CP41),-(SUMPRODUCT((Personnel!$O$9:$O$100="GC")*(Personnel!$G$9:$G$100="Yes")*(Personnel!$E$9:$E$100&gt;=2)*(Personnel!$E$9:$E$100=89)*Personnel!$C$9:$C$100)*Staffing!$B$21+Staffing!CO84),Actuals!CP41)</f>
        <v/>
      </c>
      <c r="CP133" s="392">
        <f>IF(ISBLANK(Actuals!CQ41),-(SUMPRODUCT((Personnel!$O$9:$O$100="GC")*(Personnel!$G$9:$G$100="Yes")*(Personnel!$E$9:$E$100&gt;=2)*(Personnel!$E$9:$E$100=90)*Personnel!$C$9:$C$100)*Staffing!$B$21+Staffing!CP84),Actuals!CQ41)</f>
        <v/>
      </c>
      <c r="CQ133" s="392">
        <f>IF(ISBLANK(Actuals!CR41),-(SUMPRODUCT((Personnel!$O$9:$O$100="GC")*(Personnel!$G$9:$G$100="Yes")*(Personnel!$E$9:$E$100&gt;=2)*(Personnel!$E$9:$E$100=91)*Personnel!$C$9:$C$100)*Staffing!$B$21+Staffing!CQ84),Actuals!CR41)</f>
        <v/>
      </c>
      <c r="CR133" s="392">
        <f>IF(ISBLANK(Actuals!CS41),-(SUMPRODUCT((Personnel!$O$9:$O$100="GC")*(Personnel!$G$9:$G$100="Yes")*(Personnel!$E$9:$E$100&gt;=2)*(Personnel!$E$9:$E$100=92)*Personnel!$C$9:$C$100)*Staffing!$B$21+Staffing!CR84),Actuals!CS41)</f>
        <v/>
      </c>
      <c r="CS133" s="392">
        <f>IF(ISBLANK(Actuals!CT41),-(SUMPRODUCT((Personnel!$O$9:$O$100="GC")*(Personnel!$G$9:$G$100="Yes")*(Personnel!$E$9:$E$100&gt;=2)*(Personnel!$E$9:$E$100=93)*Personnel!$C$9:$C$100)*Staffing!$B$21+Staffing!CS84),Actuals!CT41)</f>
        <v/>
      </c>
      <c r="CT133" s="392">
        <f>IF(ISBLANK(Actuals!CU41),-(SUMPRODUCT((Personnel!$O$9:$O$100="GC")*(Personnel!$G$9:$G$100="Yes")*(Personnel!$E$9:$E$100&gt;=2)*(Personnel!$E$9:$E$100=94)*Personnel!$C$9:$C$100)*Staffing!$B$21+Staffing!CT84),Actuals!CU41)</f>
        <v/>
      </c>
      <c r="CU133" s="392">
        <f>IF(ISBLANK(Actuals!CV41),-(SUMPRODUCT((Personnel!$O$9:$O$100="GC")*(Personnel!$G$9:$G$100="Yes")*(Personnel!$E$9:$E$100&gt;=2)*(Personnel!$E$9:$E$100=95)*Personnel!$C$9:$C$100)*Staffing!$B$21+Staffing!CU84),Actuals!CV41)</f>
        <v/>
      </c>
      <c r="CV133" s="392">
        <f>IF(ISBLANK(Actuals!CW41),-(SUMPRODUCT((Personnel!$O$9:$O$100="GC")*(Personnel!$G$9:$G$100="Yes")*(Personnel!$E$9:$E$100&gt;=2)*(Personnel!$E$9:$E$100=96)*Personnel!$C$9:$C$100)*Staffing!$B$21+Staffing!CV84),Actuals!CW41)</f>
        <v/>
      </c>
      <c r="CW133" s="392">
        <f>IF(ISBLANK(Actuals!CX41),-(SUMPRODUCT((Personnel!$O$9:$O$100="GC")*(Personnel!$G$9:$G$100="Yes")*(Personnel!$E$9:$E$100&gt;=2)*(Personnel!$E$9:$E$100=97)*Personnel!$C$9:$C$100)*Staffing!$B$21+Staffing!CW84),Actuals!CX41)</f>
        <v/>
      </c>
      <c r="CX133" s="392">
        <f>IF(ISBLANK(Actuals!CY41),-(SUMPRODUCT((Personnel!$O$9:$O$100="GC")*(Personnel!$G$9:$G$100="Yes")*(Personnel!$E$9:$E$100&gt;=2)*(Personnel!$E$9:$E$100=98)*Personnel!$C$9:$C$100)*Staffing!$B$21+Staffing!CX84),Actuals!CY41)</f>
        <v/>
      </c>
      <c r="CY133" s="392">
        <f>IF(ISBLANK(Actuals!CZ41),-(SUMPRODUCT((Personnel!$O$9:$O$100="GC")*(Personnel!$G$9:$G$100="Yes")*(Personnel!$E$9:$E$100&gt;=2)*(Personnel!$E$9:$E$100=99)*Personnel!$C$9:$C$100)*Staffing!$B$21+Staffing!CY84),Actuals!CZ41)</f>
        <v/>
      </c>
      <c r="CZ133" s="392">
        <f>IF(ISBLANK(Actuals!DA41),-(SUMPRODUCT((Personnel!$O$9:$O$100="GC")*(Personnel!$G$9:$G$100="Yes")*(Personnel!$E$9:$E$100&gt;=2)*(Personnel!$E$9:$E$100=100)*Personnel!$C$9:$C$100)*Staffing!$B$21+Staffing!CZ84),Actuals!DA41)</f>
        <v/>
      </c>
      <c r="DA133" s="392">
        <f>IF(ISBLANK(Actuals!DB41),-(SUMPRODUCT((Personnel!$O$9:$O$100="GC")*(Personnel!$G$9:$G$100="Yes")*(Personnel!$E$9:$E$100&gt;=2)*(Personnel!$E$9:$E$100=101)*Personnel!$C$9:$C$100)*Staffing!$B$21+Staffing!DA84),Actuals!DB41)</f>
        <v/>
      </c>
      <c r="DB133" s="392">
        <f>IF(ISBLANK(Actuals!DC41),-(SUMPRODUCT((Personnel!$O$9:$O$100="GC")*(Personnel!$G$9:$G$100="Yes")*(Personnel!$E$9:$E$100&gt;=2)*(Personnel!$E$9:$E$100=102)*Personnel!$C$9:$C$100)*Staffing!$B$21+Staffing!DB84),Actuals!DC41)</f>
        <v/>
      </c>
      <c r="DC133" s="392">
        <f>IF(ISBLANK(Actuals!DD41),-(SUMPRODUCT((Personnel!$O$9:$O$100="GC")*(Personnel!$G$9:$G$100="Yes")*(Personnel!$E$9:$E$100&gt;=2)*(Personnel!$E$9:$E$100=103)*Personnel!$C$9:$C$100)*Staffing!$B$21+Staffing!DC84),Actuals!DD41)</f>
        <v/>
      </c>
      <c r="DD133" s="392">
        <f>IF(ISBLANK(Actuals!DE41),-(SUMPRODUCT((Personnel!$O$9:$O$100="GC")*(Personnel!$G$9:$G$100="Yes")*(Personnel!$E$9:$E$100&gt;=2)*(Personnel!$E$9:$E$100=104)*Personnel!$C$9:$C$100)*Staffing!$B$21+Staffing!DD84),Actuals!DE41)</f>
        <v/>
      </c>
      <c r="DE133" s="392">
        <f>IF(ISBLANK(Actuals!DF41),-(SUMPRODUCT((Personnel!$O$9:$O$100="GC")*(Personnel!$G$9:$G$100="Yes")*(Personnel!$E$9:$E$100&gt;=2)*(Personnel!$E$9:$E$100=105)*Personnel!$C$9:$C$100)*Staffing!$B$21+Staffing!DE84),Actuals!DF41)</f>
        <v/>
      </c>
    </row>
    <row r="134" ht="15" customFormat="1" customHeight="1" s="380">
      <c r="A134" s="397" t="inlineStr">
        <is>
          <t>5900-1000 Security Monitoring</t>
        </is>
      </c>
      <c r="B134" s="392">
        <f>IF(ISBLANK(Actuals!C42),0,Actuals!C42)</f>
        <v/>
      </c>
      <c r="C134" s="392">
        <f>IF(ISBLANK(Actuals!D42),0,Actuals!D42)</f>
        <v/>
      </c>
      <c r="D134" s="392">
        <f>IF(ISBLANK(Actuals!E42),0,Actuals!E42)</f>
        <v/>
      </c>
      <c r="E134" s="392">
        <f>IF(ISBLANK(Actuals!F42),-55*Escalation!$B$2,Actuals!F42)</f>
        <v/>
      </c>
      <c r="F134" s="392">
        <f>IF(ISBLANK(Actuals!G42),-55*Escalation!$B$3,Actuals!G42)</f>
        <v/>
      </c>
      <c r="G134" s="392">
        <f>IF(ISBLANK(Actuals!H42),-55*Escalation!$B$4,Actuals!H42)</f>
        <v/>
      </c>
      <c r="H134" s="392">
        <f>IF(ISBLANK(Actuals!I42),-55*Escalation!$B$5,Actuals!I42)</f>
        <v/>
      </c>
      <c r="I134" s="392">
        <f>IF(ISBLANK(Actuals!J42),-55*Escalation!$B$6,Actuals!J42)</f>
        <v/>
      </c>
      <c r="J134" s="392">
        <f>IF(ISBLANK(Actuals!K42),-55*Escalation!$B$7,Actuals!K42)</f>
        <v/>
      </c>
      <c r="K134" s="392">
        <f>IF(ISBLANK(Actuals!L42),-55*Escalation!$B$8,Actuals!L42)</f>
        <v/>
      </c>
      <c r="L134" s="392">
        <f>IF(ISBLANK(Actuals!M42),-55*Escalation!$B$9,Actuals!M42)</f>
        <v/>
      </c>
      <c r="M134" s="392">
        <f>IF(ISBLANK(Actuals!N42),-55*Escalation!$B$10,Actuals!N42)</f>
        <v/>
      </c>
      <c r="N134" s="392">
        <f>IF(ISBLANK(Actuals!O42),-55*Escalation!$B$11,Actuals!O42)</f>
        <v/>
      </c>
      <c r="O134" s="392">
        <f>IF(ISBLANK(Actuals!P42),-55*Escalation!$B$12,Actuals!P42)</f>
        <v/>
      </c>
      <c r="P134" s="392">
        <f>IF(ISBLANK(Actuals!Q42),-55*Escalation!$B$13,Actuals!Q42)</f>
        <v/>
      </c>
      <c r="Q134" s="392">
        <f>IF(ISBLANK(Actuals!R42),-55*Escalation!$B$14,Actuals!R42)</f>
        <v/>
      </c>
      <c r="R134" s="392">
        <f>IF(ISBLANK(Actuals!S42),-55*Escalation!$B$15,Actuals!S42)</f>
        <v/>
      </c>
      <c r="S134" s="392">
        <f>IF(ISBLANK(Actuals!T42),-55*Escalation!$B$16,Actuals!T42)</f>
        <v/>
      </c>
      <c r="T134" s="392">
        <f>IF(ISBLANK(Actuals!U42),-55*Escalation!$B$17,Actuals!U42)</f>
        <v/>
      </c>
      <c r="U134" s="392">
        <f>IF(ISBLANK(Actuals!V42),-55*Escalation!$B$18,Actuals!V42)</f>
        <v/>
      </c>
      <c r="V134" s="392">
        <f>IF(ISBLANK(Actuals!W42),-55*Escalation!$B$19,Actuals!W42)</f>
        <v/>
      </c>
      <c r="W134" s="392">
        <f>IF(ISBLANK(Actuals!X42),-55*Escalation!$B$20,Actuals!X42)</f>
        <v/>
      </c>
      <c r="X134" s="392">
        <f>IF(ISBLANK(Actuals!Y42),-55*Escalation!$B$21,Actuals!Y42)</f>
        <v/>
      </c>
      <c r="Y134" s="392">
        <f>IF(ISBLANK(Actuals!Z42),-55*Escalation!$B$22,Actuals!Z42)</f>
        <v/>
      </c>
      <c r="Z134" s="392">
        <f>IF(ISBLANK(Actuals!AA42),-55*Escalation!$B$23,Actuals!AA42)</f>
        <v/>
      </c>
      <c r="AA134" s="392">
        <f>IF(ISBLANK(Actuals!AB42),-55*Escalation!$B$24,Actuals!AB42)</f>
        <v/>
      </c>
      <c r="AB134" s="392">
        <f>IF(ISBLANK(Actuals!AC42),-55*Escalation!$B$25,Actuals!AC42)</f>
        <v/>
      </c>
      <c r="AC134" s="392">
        <f>IF(ISBLANK(Actuals!AD42),-55*Escalation!$B$26,Actuals!AD42)</f>
        <v/>
      </c>
      <c r="AD134" s="392">
        <f>IF(ISBLANK(Actuals!AE42),-55*Escalation!$B$27,Actuals!AE42)</f>
        <v/>
      </c>
      <c r="AE134" s="392">
        <f>IF(ISBLANK(Actuals!AF42),-55*Escalation!$B$28,Actuals!AF42)</f>
        <v/>
      </c>
      <c r="AF134" s="392">
        <f>IF(ISBLANK(Actuals!AG42),-55*Escalation!$B$29,Actuals!AG42)</f>
        <v/>
      </c>
      <c r="AG134" s="392">
        <f>IF(ISBLANK(Actuals!AH42),-55*Escalation!$B$30,Actuals!AH42)</f>
        <v/>
      </c>
      <c r="AH134" s="392">
        <f>IF(ISBLANK(Actuals!AI42),-55*Escalation!$B$31,Actuals!AI42)</f>
        <v/>
      </c>
      <c r="AI134" s="392">
        <f>IF(ISBLANK(Actuals!AJ42),-55*Escalation!$B$32,Actuals!AJ42)</f>
        <v/>
      </c>
      <c r="AJ134" s="392">
        <f>IF(ISBLANK(Actuals!AK42),-55*Escalation!$B$33,Actuals!AK42)</f>
        <v/>
      </c>
      <c r="AK134" s="392">
        <f>IF(ISBLANK(Actuals!AL42),-55*Escalation!$B$34,Actuals!AL42)</f>
        <v/>
      </c>
      <c r="AL134" s="392">
        <f>IF(ISBLANK(Actuals!AM42),-55*Escalation!$B$35,Actuals!AM42)</f>
        <v/>
      </c>
      <c r="AM134" s="392">
        <f>IF(ISBLANK(Actuals!AN42),-55*Escalation!$B$36,Actuals!AN42)</f>
        <v/>
      </c>
      <c r="AN134" s="392">
        <f>IF(ISBLANK(Actuals!AO42),-55*Escalation!$B$37,Actuals!AO42)</f>
        <v/>
      </c>
      <c r="AO134" s="392">
        <f>IF(ISBLANK(Actuals!AP42),-55*Escalation!$B$38,Actuals!AP42)</f>
        <v/>
      </c>
      <c r="AP134" s="392">
        <f>IF(ISBLANK(Actuals!AQ42),-55*Escalation!$B$39,Actuals!AQ42)</f>
        <v/>
      </c>
      <c r="AQ134" s="392">
        <f>IF(ISBLANK(Actuals!AR42),-55*Escalation!$B$40,Actuals!AR42)</f>
        <v/>
      </c>
      <c r="AR134" s="392">
        <f>IF(ISBLANK(Actuals!AS42),-55*Escalation!$B$41,Actuals!AS42)</f>
        <v/>
      </c>
      <c r="AS134" s="392">
        <f>IF(ISBLANK(Actuals!AT42),-55*Escalation!$B$42,Actuals!AT42)</f>
        <v/>
      </c>
      <c r="AT134" s="392">
        <f>IF(ISBLANK(Actuals!AU42),-55*Escalation!$B$43,Actuals!AU42)</f>
        <v/>
      </c>
      <c r="AU134" s="392">
        <f>IF(ISBLANK(Actuals!AV42),-55*Escalation!$B$44,Actuals!AV42)</f>
        <v/>
      </c>
      <c r="AV134" s="392">
        <f>IF(ISBLANK(Actuals!AW42),-55*Escalation!$B$45,Actuals!AW42)</f>
        <v/>
      </c>
      <c r="AW134" s="392">
        <f>IF(ISBLANK(Actuals!AX42),-55*Escalation!$B$46,Actuals!AX42)</f>
        <v/>
      </c>
      <c r="AX134" s="392">
        <f>IF(ISBLANK(Actuals!AY42),-55*Escalation!$B$47,Actuals!AY42)</f>
        <v/>
      </c>
      <c r="AY134" s="392">
        <f>IF(ISBLANK(Actuals!AZ42),-55*Escalation!$B$48,Actuals!AZ42)</f>
        <v/>
      </c>
      <c r="AZ134" s="392">
        <f>IF(ISBLANK(Actuals!BA42),-55*Escalation!$B$49,Actuals!BA42)</f>
        <v/>
      </c>
      <c r="BA134" s="392">
        <f>IF(ISBLANK(Actuals!BB42),-55*Escalation!$B$50,Actuals!BB42)</f>
        <v/>
      </c>
      <c r="BB134" s="392">
        <f>IF(ISBLANK(Actuals!BC42),-55*Escalation!$B$51,Actuals!BC42)</f>
        <v/>
      </c>
      <c r="BC134" s="392">
        <f>IF(ISBLANK(Actuals!BD42),-55*Escalation!$B$52,Actuals!BD42)</f>
        <v/>
      </c>
      <c r="BD134" s="392">
        <f>IF(ISBLANK(Actuals!BE42),-55*Escalation!$B$53,Actuals!BE42)</f>
        <v/>
      </c>
      <c r="BE134" s="392">
        <f>IF(ISBLANK(Actuals!BF42),-55*Escalation!$B$54,Actuals!BF42)</f>
        <v/>
      </c>
      <c r="BF134" s="392">
        <f>IF(ISBLANK(Actuals!BG42),-55*Escalation!$B$55,Actuals!BG42)</f>
        <v/>
      </c>
      <c r="BG134" s="392">
        <f>IF(ISBLANK(Actuals!BH42),-55*Escalation!$B$56,Actuals!BH42)</f>
        <v/>
      </c>
      <c r="BH134" s="392">
        <f>IF(ISBLANK(Actuals!BI42),-55*Escalation!$B$57,Actuals!BI42)</f>
        <v/>
      </c>
      <c r="BI134" s="392">
        <f>IF(ISBLANK(Actuals!BJ42),-55*Escalation!$B$58,Actuals!BJ42)</f>
        <v/>
      </c>
      <c r="BJ134" s="392">
        <f>IF(ISBLANK(Actuals!BK42),-55*Escalation!$B$59,Actuals!BK42)</f>
        <v/>
      </c>
      <c r="BK134" s="392">
        <f>IF(ISBLANK(Actuals!BL42),-55*Escalation!$B$60,Actuals!BL42)</f>
        <v/>
      </c>
      <c r="BL134" s="392">
        <f>IF(ISBLANK(Actuals!BM42),-55*Escalation!$B$61,Actuals!BM42)</f>
        <v/>
      </c>
      <c r="BM134" s="392">
        <f>IF(ISBLANK(Actuals!BN42),-55*Escalation!$B$62,Actuals!BN42)</f>
        <v/>
      </c>
      <c r="BN134" s="392">
        <f>IF(ISBLANK(Actuals!BO42),-55*Escalation!$B$63,Actuals!BO42)</f>
        <v/>
      </c>
      <c r="BO134" s="392">
        <f>IF(ISBLANK(Actuals!BP42),-55*Escalation!$B$64,Actuals!BP42)</f>
        <v/>
      </c>
      <c r="BP134" s="392">
        <f>IF(ISBLANK(Actuals!BQ42),-55*Escalation!$B$65,Actuals!BQ42)</f>
        <v/>
      </c>
      <c r="BQ134" s="392">
        <f>IF(ISBLANK(Actuals!BR42),-55*Escalation!$B$66,Actuals!BR42)</f>
        <v/>
      </c>
      <c r="BR134" s="392">
        <f>IF(ISBLANK(Actuals!BS42),-55*Escalation!$B$67,Actuals!BS42)</f>
        <v/>
      </c>
      <c r="BS134" s="392">
        <f>IF(ISBLANK(Actuals!BT42),-55*Escalation!$B$68,Actuals!BT42)</f>
        <v/>
      </c>
      <c r="BT134" s="392">
        <f>IF(ISBLANK(Actuals!BU42),-55*Escalation!$B$69,Actuals!BU42)</f>
        <v/>
      </c>
      <c r="BU134" s="392">
        <f>IF(ISBLANK(Actuals!BV42),-55*Escalation!$B$70,Actuals!BV42)</f>
        <v/>
      </c>
      <c r="BV134" s="392">
        <f>IF(ISBLANK(Actuals!BW42),-55*Escalation!$B$71,Actuals!BW42)</f>
        <v/>
      </c>
      <c r="BW134" s="392">
        <f>IF(ISBLANK(Actuals!BX42),-55*Escalation!$B$72,Actuals!BX42)</f>
        <v/>
      </c>
      <c r="BX134" s="392">
        <f>IF(ISBLANK(Actuals!BY42),-55*Escalation!$B$73,Actuals!BY42)</f>
        <v/>
      </c>
      <c r="BY134" s="392">
        <f>IF(ISBLANK(Actuals!BZ42),-55*Escalation!$B$74,Actuals!BZ42)</f>
        <v/>
      </c>
      <c r="BZ134" s="392">
        <f>IF(ISBLANK(Actuals!CA42),-55*Escalation!$B$75,Actuals!CA42)</f>
        <v/>
      </c>
      <c r="CA134" s="392">
        <f>IF(ISBLANK(Actuals!CB42),-55*Escalation!$B$76,Actuals!CB42)</f>
        <v/>
      </c>
      <c r="CB134" s="392">
        <f>IF(ISBLANK(Actuals!CC42),-55*Escalation!$B$77,Actuals!CC42)</f>
        <v/>
      </c>
      <c r="CC134" s="392">
        <f>IF(ISBLANK(Actuals!CD42),-55*Escalation!$B$78,Actuals!CD42)</f>
        <v/>
      </c>
      <c r="CD134" s="392">
        <f>IF(ISBLANK(Actuals!CE42),-55*Escalation!$B$79,Actuals!CE42)</f>
        <v/>
      </c>
      <c r="CE134" s="392">
        <f>IF(ISBLANK(Actuals!CF42),-55*Escalation!$B$80,Actuals!CF42)</f>
        <v/>
      </c>
      <c r="CF134" s="392">
        <f>IF(ISBLANK(Actuals!CG42),-55*Escalation!$B$81,Actuals!CG42)</f>
        <v/>
      </c>
      <c r="CG134" s="392">
        <f>IF(ISBLANK(Actuals!CH42),-55*Escalation!$B$82,Actuals!CH42)</f>
        <v/>
      </c>
      <c r="CH134" s="392">
        <f>IF(ISBLANK(Actuals!CI42),-55*Escalation!$B$83,Actuals!CI42)</f>
        <v/>
      </c>
      <c r="CI134" s="392">
        <f>IF(ISBLANK(Actuals!CJ42),-55*Escalation!$B$84,Actuals!CJ42)</f>
        <v/>
      </c>
      <c r="CJ134" s="392">
        <f>IF(ISBLANK(Actuals!CK42),-55*Escalation!$B$85,Actuals!CK42)</f>
        <v/>
      </c>
      <c r="CK134" s="392">
        <f>IF(ISBLANK(Actuals!CL42),-55*Escalation!$B$86,Actuals!CL42)</f>
        <v/>
      </c>
      <c r="CL134" s="392">
        <f>IF(ISBLANK(Actuals!CM42),-55*Escalation!$B$87,Actuals!CM42)</f>
        <v/>
      </c>
      <c r="CM134" s="392">
        <f>IF(ISBLANK(Actuals!CN42),-55*Escalation!$B$88,Actuals!CN42)</f>
        <v/>
      </c>
      <c r="CN134" s="392">
        <f>IF(ISBLANK(Actuals!CO42),-55*Escalation!$B$89,Actuals!CO42)</f>
        <v/>
      </c>
      <c r="CO134" s="392">
        <f>IF(ISBLANK(Actuals!CP42),-55*Escalation!$B$90,Actuals!CP42)</f>
        <v/>
      </c>
      <c r="CP134" s="392">
        <f>IF(ISBLANK(Actuals!CQ42),-55*Escalation!$B$91,Actuals!CQ42)</f>
        <v/>
      </c>
      <c r="CQ134" s="392">
        <f>IF(ISBLANK(Actuals!CR42),-55*Escalation!$B$92,Actuals!CR42)</f>
        <v/>
      </c>
      <c r="CR134" s="392">
        <f>IF(ISBLANK(Actuals!CS42),-55*Escalation!$B$93,Actuals!CS42)</f>
        <v/>
      </c>
      <c r="CS134" s="392">
        <f>IF(ISBLANK(Actuals!CT42),-55*Escalation!$B$94,Actuals!CT42)</f>
        <v/>
      </c>
      <c r="CT134" s="392">
        <f>IF(ISBLANK(Actuals!CU42),-55*Escalation!$B$95,Actuals!CU42)</f>
        <v/>
      </c>
      <c r="CU134" s="392">
        <f>IF(ISBLANK(Actuals!CV42),-55*Escalation!$B$96,Actuals!CV42)</f>
        <v/>
      </c>
      <c r="CV134" s="392">
        <f>IF(ISBLANK(Actuals!CW42),-55*Escalation!$B$97,Actuals!CW42)</f>
        <v/>
      </c>
      <c r="CW134" s="392">
        <f>IF(ISBLANK(Actuals!CX42),-55*Escalation!$B$98,Actuals!CX42)</f>
        <v/>
      </c>
      <c r="CX134" s="392">
        <f>IF(ISBLANK(Actuals!CY42),-55*Escalation!$B$99,Actuals!CY42)</f>
        <v/>
      </c>
      <c r="CY134" s="392">
        <f>IF(ISBLANK(Actuals!CZ42),-55*Escalation!$B$100,Actuals!CZ42)</f>
        <v/>
      </c>
      <c r="CZ134" s="392">
        <f>IF(ISBLANK(Actuals!DA42),-55*Escalation!$B$101,Actuals!DA42)</f>
        <v/>
      </c>
      <c r="DA134" s="392">
        <f>IF(ISBLANK(Actuals!DB42),-55*Escalation!$B$102,Actuals!DB42)</f>
        <v/>
      </c>
      <c r="DB134" s="392">
        <f>IF(ISBLANK(Actuals!DC42),-55*Escalation!$B$103,Actuals!DC42)</f>
        <v/>
      </c>
      <c r="DC134" s="392">
        <f>IF(ISBLANK(Actuals!DD42),-55*Escalation!$B$104,Actuals!DD42)</f>
        <v/>
      </c>
      <c r="DD134" s="392">
        <f>IF(ISBLANK(Actuals!DE42),-55*Escalation!$B$105,Actuals!DE42)</f>
        <v/>
      </c>
      <c r="DE134" s="392">
        <f>IF(ISBLANK(Actuals!DF42),-55*Escalation!$B$106,Actuals!DF42)</f>
        <v/>
      </c>
    </row>
    <row r="135" ht="15" customFormat="1" customHeight="1" s="380">
      <c r="A135" s="415" t="inlineStr">
        <is>
          <t>5900-1002 Repairs and Maintenance</t>
        </is>
      </c>
      <c r="B135" s="401">
        <f>IF(ISBLANK(Actuals!C43),0,Actuals!C43)</f>
        <v/>
      </c>
      <c r="C135" s="401">
        <f>IF(ISBLANK(Actuals!D43),0,Actuals!D43)</f>
        <v/>
      </c>
      <c r="D135" s="401">
        <f>IF(ISBLANK(Actuals!E43),0,Actuals!E43)</f>
        <v/>
      </c>
      <c r="E135" s="401">
        <f>IF(ISBLANK(Actuals!F43),0*Escalation!$B$2,Actuals!F43)</f>
        <v/>
      </c>
      <c r="F135" s="401">
        <f>IF(ISBLANK(Actuals!G43),0*Escalation!$B$3,Actuals!G43)</f>
        <v/>
      </c>
      <c r="G135" s="401">
        <f>IF(ISBLANK(Actuals!H43),0*Escalation!$B$4,Actuals!H43)</f>
        <v/>
      </c>
      <c r="H135" s="401">
        <f>IF(ISBLANK(Actuals!I43),0*Escalation!$B$5,Actuals!I43)</f>
        <v/>
      </c>
      <c r="I135" s="401">
        <f>IF(ISBLANK(Actuals!J43),0*Escalation!$B$6,Actuals!J43)</f>
        <v/>
      </c>
      <c r="J135" s="401">
        <f>IF(ISBLANK(Actuals!K43),0*Escalation!$B$7,Actuals!K43)</f>
        <v/>
      </c>
      <c r="K135" s="401">
        <f>IF(ISBLANK(Actuals!L43),0*Escalation!$B$8,Actuals!L43)</f>
        <v/>
      </c>
      <c r="L135" s="401">
        <f>IF(ISBLANK(Actuals!M43),0*Escalation!$B$9,Actuals!M43)</f>
        <v/>
      </c>
      <c r="M135" s="401">
        <f>IF(ISBLANK(Actuals!N43),0*Escalation!$B$10,Actuals!N43)</f>
        <v/>
      </c>
      <c r="N135" s="401">
        <f>IF(ISBLANK(Actuals!O43),0*Escalation!$B$11,Actuals!O43)</f>
        <v/>
      </c>
      <c r="O135" s="401">
        <f>IF(ISBLANK(Actuals!P43),0*Escalation!$B$12,Actuals!P43)</f>
        <v/>
      </c>
      <c r="P135" s="401">
        <f>IF(ISBLANK(Actuals!Q43),0*Escalation!$B$13,Actuals!Q43)</f>
        <v/>
      </c>
      <c r="Q135" s="401">
        <f>IF(ISBLANK(Actuals!R43),0*Escalation!$B$14,Actuals!R43)</f>
        <v/>
      </c>
      <c r="R135" s="401">
        <f>IF(ISBLANK(Actuals!S43),0*Escalation!$B$15,Actuals!S43)</f>
        <v/>
      </c>
      <c r="S135" s="401">
        <f>IF(ISBLANK(Actuals!T43),0*Escalation!$B$16,Actuals!T43)</f>
        <v/>
      </c>
      <c r="T135" s="401">
        <f>IF(ISBLANK(Actuals!U43),0*Escalation!$B$17,Actuals!U43)</f>
        <v/>
      </c>
      <c r="U135" s="401">
        <f>IF(ISBLANK(Actuals!V43),0*Escalation!$B$18,Actuals!V43)</f>
        <v/>
      </c>
      <c r="V135" s="401">
        <f>IF(ISBLANK(Actuals!W43),0*Escalation!$B$19,Actuals!W43)</f>
        <v/>
      </c>
      <c r="W135" s="401">
        <f>IF(ISBLANK(Actuals!X43),0*Escalation!$B$20,Actuals!X43)</f>
        <v/>
      </c>
      <c r="X135" s="401">
        <f>IF(ISBLANK(Actuals!Y43),0*Escalation!$B$21,Actuals!Y43)</f>
        <v/>
      </c>
      <c r="Y135" s="401">
        <f>IF(ISBLANK(Actuals!Z43),0*Escalation!$B$22,Actuals!Z43)</f>
        <v/>
      </c>
      <c r="Z135" s="401">
        <f>IF(ISBLANK(Actuals!AA43),0*Escalation!$B$23,Actuals!AA43)</f>
        <v/>
      </c>
      <c r="AA135" s="401">
        <f>IF(ISBLANK(Actuals!AB43),0*Escalation!$B$24,Actuals!AB43)</f>
        <v/>
      </c>
      <c r="AB135" s="401">
        <f>IF(ISBLANK(Actuals!AC43),0*Escalation!$B$25,Actuals!AC43)</f>
        <v/>
      </c>
      <c r="AC135" s="401">
        <f>IF(ISBLANK(Actuals!AD43),0*Escalation!$B$26,Actuals!AD43)</f>
        <v/>
      </c>
      <c r="AD135" s="401">
        <f>IF(ISBLANK(Actuals!AE43),0*Escalation!$B$27,Actuals!AE43)</f>
        <v/>
      </c>
      <c r="AE135" s="401">
        <f>IF(ISBLANK(Actuals!AF43),0*Escalation!$B$28,Actuals!AF43)</f>
        <v/>
      </c>
      <c r="AF135" s="401">
        <f>IF(ISBLANK(Actuals!AG43),0*Escalation!$B$29,Actuals!AG43)</f>
        <v/>
      </c>
      <c r="AG135" s="401">
        <f>IF(ISBLANK(Actuals!AH43),0*Escalation!$B$30,Actuals!AH43)</f>
        <v/>
      </c>
      <c r="AH135" s="401">
        <f>IF(ISBLANK(Actuals!AI43),0*Escalation!$B$31,Actuals!AI43)</f>
        <v/>
      </c>
      <c r="AI135" s="401">
        <f>IF(ISBLANK(Actuals!AJ43),0*Escalation!$B$32,Actuals!AJ43)</f>
        <v/>
      </c>
      <c r="AJ135" s="401">
        <f>IF(ISBLANK(Actuals!AK43),0*Escalation!$B$33,Actuals!AK43)</f>
        <v/>
      </c>
      <c r="AK135" s="401">
        <f>IF(ISBLANK(Actuals!AL43),0*Escalation!$B$34,Actuals!AL43)</f>
        <v/>
      </c>
      <c r="AL135" s="401">
        <f>IF(ISBLANK(Actuals!AM43),0*Escalation!$B$35,Actuals!AM43)</f>
        <v/>
      </c>
      <c r="AM135" s="401">
        <f>IF(ISBLANK(Actuals!AN43),0*Escalation!$B$36,Actuals!AN43)</f>
        <v/>
      </c>
      <c r="AN135" s="401">
        <f>IF(ISBLANK(Actuals!AO43),0*Escalation!$B$37,Actuals!AO43)</f>
        <v/>
      </c>
      <c r="AO135" s="401">
        <f>IF(ISBLANK(Actuals!AP43),0*Escalation!$B$38,Actuals!AP43)</f>
        <v/>
      </c>
      <c r="AP135" s="401">
        <f>IF(ISBLANK(Actuals!AQ43),0*Escalation!$B$39,Actuals!AQ43)</f>
        <v/>
      </c>
      <c r="AQ135" s="401">
        <f>IF(ISBLANK(Actuals!AR43),0*Escalation!$B$40,Actuals!AR43)</f>
        <v/>
      </c>
      <c r="AR135" s="401">
        <f>IF(ISBLANK(Actuals!AS43),0*Escalation!$B$41,Actuals!AS43)</f>
        <v/>
      </c>
      <c r="AS135" s="401">
        <f>IF(ISBLANK(Actuals!AT43),0*Escalation!$B$42,Actuals!AT43)</f>
        <v/>
      </c>
      <c r="AT135" s="401">
        <f>IF(ISBLANK(Actuals!AU43),0*Escalation!$B$43,Actuals!AU43)</f>
        <v/>
      </c>
      <c r="AU135" s="401">
        <f>IF(ISBLANK(Actuals!AV43),0*Escalation!$B$44,Actuals!AV43)</f>
        <v/>
      </c>
      <c r="AV135" s="401">
        <f>IF(ISBLANK(Actuals!AW43),0*Escalation!$B$45,Actuals!AW43)</f>
        <v/>
      </c>
      <c r="AW135" s="401">
        <f>IF(ISBLANK(Actuals!AX43),0*Escalation!$B$46,Actuals!AX43)</f>
        <v/>
      </c>
      <c r="AX135" s="401">
        <f>IF(ISBLANK(Actuals!AY43),0*Escalation!$B$47,Actuals!AY43)</f>
        <v/>
      </c>
      <c r="AY135" s="401">
        <f>IF(ISBLANK(Actuals!AZ43),0*Escalation!$B$48,Actuals!AZ43)</f>
        <v/>
      </c>
      <c r="AZ135" s="401">
        <f>IF(ISBLANK(Actuals!BA43),0*Escalation!$B$49,Actuals!BA43)</f>
        <v/>
      </c>
      <c r="BA135" s="401">
        <f>IF(ISBLANK(Actuals!BB43),0*Escalation!$B$50,Actuals!BB43)</f>
        <v/>
      </c>
      <c r="BB135" s="401">
        <f>IF(ISBLANK(Actuals!BC43),0*Escalation!$B$51,Actuals!BC43)</f>
        <v/>
      </c>
      <c r="BC135" s="401">
        <f>IF(ISBLANK(Actuals!BD43),0*Escalation!$B$52,Actuals!BD43)</f>
        <v/>
      </c>
      <c r="BD135" s="401">
        <f>IF(ISBLANK(Actuals!BE43),0*Escalation!$B$53,Actuals!BE43)</f>
        <v/>
      </c>
      <c r="BE135" s="401">
        <f>IF(ISBLANK(Actuals!BF43),0*Escalation!$B$54,Actuals!BF43)</f>
        <v/>
      </c>
      <c r="BF135" s="401">
        <f>IF(ISBLANK(Actuals!BG43),0*Escalation!$B$55,Actuals!BG43)</f>
        <v/>
      </c>
      <c r="BG135" s="401">
        <f>IF(ISBLANK(Actuals!BH43),0*Escalation!$B$56,Actuals!BH43)</f>
        <v/>
      </c>
      <c r="BH135" s="401">
        <f>IF(ISBLANK(Actuals!BI43),0*Escalation!$B$57,Actuals!BI43)</f>
        <v/>
      </c>
      <c r="BI135" s="401">
        <f>IF(ISBLANK(Actuals!BJ43),0*Escalation!$B$58,Actuals!BJ43)</f>
        <v/>
      </c>
      <c r="BJ135" s="401">
        <f>IF(ISBLANK(Actuals!BK43),0*Escalation!$B$59,Actuals!BK43)</f>
        <v/>
      </c>
      <c r="BK135" s="401">
        <f>IF(ISBLANK(Actuals!BL43),0*Escalation!$B$60,Actuals!BL43)</f>
        <v/>
      </c>
      <c r="BL135" s="401">
        <f>IF(ISBLANK(Actuals!BM43),0*Escalation!$B$61,Actuals!BM43)</f>
        <v/>
      </c>
      <c r="BM135" s="401">
        <f>IF(ISBLANK(Actuals!BN43),0*Escalation!$B$62,Actuals!BN43)</f>
        <v/>
      </c>
      <c r="BN135" s="401">
        <f>IF(ISBLANK(Actuals!BO43),0*Escalation!$B$63,Actuals!BO43)</f>
        <v/>
      </c>
      <c r="BO135" s="401">
        <f>IF(ISBLANK(Actuals!BP43),0*Escalation!$B$64,Actuals!BP43)</f>
        <v/>
      </c>
      <c r="BP135" s="401">
        <f>IF(ISBLANK(Actuals!BQ43),0*Escalation!$B$65,Actuals!BQ43)</f>
        <v/>
      </c>
      <c r="BQ135" s="401">
        <f>IF(ISBLANK(Actuals!BR43),0*Escalation!$B$66,Actuals!BR43)</f>
        <v/>
      </c>
      <c r="BR135" s="401">
        <f>IF(ISBLANK(Actuals!BS43),0*Escalation!$B$67,Actuals!BS43)</f>
        <v/>
      </c>
      <c r="BS135" s="401">
        <f>IF(ISBLANK(Actuals!BT43),0*Escalation!$B$68,Actuals!BT43)</f>
        <v/>
      </c>
      <c r="BT135" s="401">
        <f>IF(ISBLANK(Actuals!BU43),0*Escalation!$B$69,Actuals!BU43)</f>
        <v/>
      </c>
      <c r="BU135" s="401">
        <f>IF(ISBLANK(Actuals!BV43),0*Escalation!$B$70,Actuals!BV43)</f>
        <v/>
      </c>
      <c r="BV135" s="401">
        <f>IF(ISBLANK(Actuals!BW43),0*Escalation!$B$71,Actuals!BW43)</f>
        <v/>
      </c>
      <c r="BW135" s="401">
        <f>IF(ISBLANK(Actuals!BX43),0*Escalation!$B$72,Actuals!BX43)</f>
        <v/>
      </c>
      <c r="BX135" s="401">
        <f>IF(ISBLANK(Actuals!BY43),0*Escalation!$B$73,Actuals!BY43)</f>
        <v/>
      </c>
      <c r="BY135" s="401">
        <f>IF(ISBLANK(Actuals!BZ43),0*Escalation!$B$74,Actuals!BZ43)</f>
        <v/>
      </c>
      <c r="BZ135" s="401">
        <f>IF(ISBLANK(Actuals!CA43),0*Escalation!$B$75,Actuals!CA43)</f>
        <v/>
      </c>
      <c r="CA135" s="401">
        <f>IF(ISBLANK(Actuals!CB43),0*Escalation!$B$76,Actuals!CB43)</f>
        <v/>
      </c>
      <c r="CB135" s="401">
        <f>IF(ISBLANK(Actuals!CC43),0*Escalation!$B$77,Actuals!CC43)</f>
        <v/>
      </c>
      <c r="CC135" s="401">
        <f>IF(ISBLANK(Actuals!CD43),0*Escalation!$B$78,Actuals!CD43)</f>
        <v/>
      </c>
      <c r="CD135" s="401">
        <f>IF(ISBLANK(Actuals!CE43),0*Escalation!$B$79,Actuals!CE43)</f>
        <v/>
      </c>
      <c r="CE135" s="401">
        <f>IF(ISBLANK(Actuals!CF43),0*Escalation!$B$80,Actuals!CF43)</f>
        <v/>
      </c>
      <c r="CF135" s="401">
        <f>IF(ISBLANK(Actuals!CG43),0*Escalation!$B$81,Actuals!CG43)</f>
        <v/>
      </c>
      <c r="CG135" s="401">
        <f>IF(ISBLANK(Actuals!CH43),0*Escalation!$B$82,Actuals!CH43)</f>
        <v/>
      </c>
      <c r="CH135" s="401">
        <f>IF(ISBLANK(Actuals!CI43),0*Escalation!$B$83,Actuals!CI43)</f>
        <v/>
      </c>
      <c r="CI135" s="401">
        <f>IF(ISBLANK(Actuals!CJ43),0*Escalation!$B$84,Actuals!CJ43)</f>
        <v/>
      </c>
      <c r="CJ135" s="401">
        <f>IF(ISBLANK(Actuals!CK43),0*Escalation!$B$85,Actuals!CK43)</f>
        <v/>
      </c>
      <c r="CK135" s="401">
        <f>IF(ISBLANK(Actuals!CL43),0*Escalation!$B$86,Actuals!CL43)</f>
        <v/>
      </c>
      <c r="CL135" s="401">
        <f>IF(ISBLANK(Actuals!CM43),0*Escalation!$B$87,Actuals!CM43)</f>
        <v/>
      </c>
      <c r="CM135" s="401">
        <f>IF(ISBLANK(Actuals!CN43),0*Escalation!$B$88,Actuals!CN43)</f>
        <v/>
      </c>
      <c r="CN135" s="401">
        <f>IF(ISBLANK(Actuals!CO43),0*Escalation!$B$89,Actuals!CO43)</f>
        <v/>
      </c>
      <c r="CO135" s="401">
        <f>IF(ISBLANK(Actuals!CP43),0*Escalation!$B$90,Actuals!CP43)</f>
        <v/>
      </c>
      <c r="CP135" s="401">
        <f>IF(ISBLANK(Actuals!CQ43),0*Escalation!$B$91,Actuals!CQ43)</f>
        <v/>
      </c>
      <c r="CQ135" s="401">
        <f>IF(ISBLANK(Actuals!CR43),0*Escalation!$B$92,Actuals!CR43)</f>
        <v/>
      </c>
      <c r="CR135" s="401">
        <f>IF(ISBLANK(Actuals!CS43),0*Escalation!$B$93,Actuals!CS43)</f>
        <v/>
      </c>
      <c r="CS135" s="401">
        <f>IF(ISBLANK(Actuals!CT43),0*Escalation!$B$94,Actuals!CT43)</f>
        <v/>
      </c>
      <c r="CT135" s="401">
        <f>IF(ISBLANK(Actuals!CU43),0*Escalation!$B$95,Actuals!CU43)</f>
        <v/>
      </c>
      <c r="CU135" s="401">
        <f>IF(ISBLANK(Actuals!CV43),0*Escalation!$B$96,Actuals!CV43)</f>
        <v/>
      </c>
      <c r="CV135" s="401">
        <f>IF(ISBLANK(Actuals!CW43),0*Escalation!$B$97,Actuals!CW43)</f>
        <v/>
      </c>
      <c r="CW135" s="401">
        <f>IF(ISBLANK(Actuals!CX43),0*Escalation!$B$98,Actuals!CX43)</f>
        <v/>
      </c>
      <c r="CX135" s="401">
        <f>IF(ISBLANK(Actuals!CY43),0*Escalation!$B$99,Actuals!CY43)</f>
        <v/>
      </c>
      <c r="CY135" s="401">
        <f>IF(ISBLANK(Actuals!CZ43),0*Escalation!$B$100,Actuals!CZ43)</f>
        <v/>
      </c>
      <c r="CZ135" s="401">
        <f>IF(ISBLANK(Actuals!DA43),0*Escalation!$B$101,Actuals!DA43)</f>
        <v/>
      </c>
      <c r="DA135" s="401">
        <f>IF(ISBLANK(Actuals!DB43),0*Escalation!$B$102,Actuals!DB43)</f>
        <v/>
      </c>
      <c r="DB135" s="401">
        <f>IF(ISBLANK(Actuals!DC43),0*Escalation!$B$103,Actuals!DC43)</f>
        <v/>
      </c>
      <c r="DC135" s="401">
        <f>IF(ISBLANK(Actuals!DD43),0*Escalation!$B$104,Actuals!DD43)</f>
        <v/>
      </c>
      <c r="DD135" s="401">
        <f>IF(ISBLANK(Actuals!DE43),0*Escalation!$B$105,Actuals!DE43)</f>
        <v/>
      </c>
      <c r="DE135" s="401">
        <f>IF(ISBLANK(Actuals!DF43),0*Escalation!$B$106,Actuals!DF43)</f>
        <v/>
      </c>
    </row>
    <row r="136" ht="15" customFormat="1" customHeight="1" s="380">
      <c r="A136" s="415" t="inlineStr">
        <is>
          <t>5900-1003 Janitorial and Cleaning Expenses</t>
        </is>
      </c>
      <c r="B136" s="401">
        <f>IF(ISBLANK(Actuals!C44),0,Actuals!C44)</f>
        <v/>
      </c>
      <c r="C136" s="401">
        <f>IF(ISBLANK(Actuals!D44),0,Actuals!D44)</f>
        <v/>
      </c>
      <c r="D136" s="401">
        <f>IF(ISBLANK(Actuals!E44),0,Actuals!E44)</f>
        <v/>
      </c>
      <c r="E136" s="401">
        <f>IF(ISBLANK(Actuals!F44),-550*Escalation!$B$2,Actuals!F44)</f>
        <v/>
      </c>
      <c r="F136" s="401">
        <f>IF(ISBLANK(Actuals!G44),-550*Escalation!$B$3,Actuals!G44)</f>
        <v/>
      </c>
      <c r="G136" s="401">
        <f>IF(ISBLANK(Actuals!H44),-550*Escalation!$B$4,Actuals!H44)</f>
        <v/>
      </c>
      <c r="H136" s="401">
        <f>IF(ISBLANK(Actuals!I44),-550*Escalation!$B$5,Actuals!I44)</f>
        <v/>
      </c>
      <c r="I136" s="401">
        <f>IF(ISBLANK(Actuals!J44),-550*Escalation!$B$6,Actuals!J44)</f>
        <v/>
      </c>
      <c r="J136" s="401">
        <f>IF(ISBLANK(Actuals!K44),-550*Escalation!$B$7,Actuals!K44)</f>
        <v/>
      </c>
      <c r="K136" s="401">
        <f>IF(ISBLANK(Actuals!L44),-550*Escalation!$B$8,Actuals!L44)</f>
        <v/>
      </c>
      <c r="L136" s="401">
        <f>IF(ISBLANK(Actuals!M44),-550*Escalation!$B$9,Actuals!M44)</f>
        <v/>
      </c>
      <c r="M136" s="401">
        <f>IF(ISBLANK(Actuals!N44),-550*Escalation!$B$10,Actuals!N44)</f>
        <v/>
      </c>
      <c r="N136" s="401">
        <f>IF(ISBLANK(Actuals!O44),-550*Escalation!$B$11,Actuals!O44)</f>
        <v/>
      </c>
      <c r="O136" s="401">
        <f>IF(ISBLANK(Actuals!P44),-550*Escalation!$B$12,Actuals!P44)</f>
        <v/>
      </c>
      <c r="P136" s="401">
        <f>IF(ISBLANK(Actuals!Q44),-550*Escalation!$B$13,Actuals!Q44)</f>
        <v/>
      </c>
      <c r="Q136" s="401">
        <f>IF(ISBLANK(Actuals!R44),-550*Escalation!$B$14,Actuals!R44)</f>
        <v/>
      </c>
      <c r="R136" s="401">
        <f>IF(ISBLANK(Actuals!S44),-550*Escalation!$B$15,Actuals!S44)</f>
        <v/>
      </c>
      <c r="S136" s="401">
        <f>IF(ISBLANK(Actuals!T44),-550*Escalation!$B$16,Actuals!T44)</f>
        <v/>
      </c>
      <c r="T136" s="401">
        <f>IF(ISBLANK(Actuals!U44),-550*Escalation!$B$17,Actuals!U44)</f>
        <v/>
      </c>
      <c r="U136" s="401">
        <f>IF(ISBLANK(Actuals!V44),-550*Escalation!$B$18,Actuals!V44)</f>
        <v/>
      </c>
      <c r="V136" s="401">
        <f>IF(ISBLANK(Actuals!W44),-550*Escalation!$B$19,Actuals!W44)</f>
        <v/>
      </c>
      <c r="W136" s="401">
        <f>IF(ISBLANK(Actuals!X44),-550*Escalation!$B$20,Actuals!X44)</f>
        <v/>
      </c>
      <c r="X136" s="401">
        <f>IF(ISBLANK(Actuals!Y44),-550*Escalation!$B$21,Actuals!Y44)</f>
        <v/>
      </c>
      <c r="Y136" s="401">
        <f>IF(ISBLANK(Actuals!Z44),-550*Escalation!$B$22,Actuals!Z44)</f>
        <v/>
      </c>
      <c r="Z136" s="401">
        <f>IF(ISBLANK(Actuals!AA44),-550*Escalation!$B$23,Actuals!AA44)</f>
        <v/>
      </c>
      <c r="AA136" s="401">
        <f>IF(ISBLANK(Actuals!AB44),-550*Escalation!$B$24,Actuals!AB44)</f>
        <v/>
      </c>
      <c r="AB136" s="401">
        <f>IF(ISBLANK(Actuals!AC44),-550*Escalation!$B$25,Actuals!AC44)</f>
        <v/>
      </c>
      <c r="AC136" s="401">
        <f>IF(ISBLANK(Actuals!AD44),-550*Escalation!$B$26,Actuals!AD44)</f>
        <v/>
      </c>
      <c r="AD136" s="401">
        <f>IF(ISBLANK(Actuals!AE44),-550*Escalation!$B$27,Actuals!AE44)</f>
        <v/>
      </c>
      <c r="AE136" s="401">
        <f>IF(ISBLANK(Actuals!AF44),-550*Escalation!$B$28,Actuals!AF44)</f>
        <v/>
      </c>
      <c r="AF136" s="401">
        <f>IF(ISBLANK(Actuals!AG44),-550*Escalation!$B$29,Actuals!AG44)</f>
        <v/>
      </c>
      <c r="AG136" s="401">
        <f>IF(ISBLANK(Actuals!AH44),-550*Escalation!$B$30,Actuals!AH44)</f>
        <v/>
      </c>
      <c r="AH136" s="401">
        <f>IF(ISBLANK(Actuals!AI44),-550*Escalation!$B$31,Actuals!AI44)</f>
        <v/>
      </c>
      <c r="AI136" s="401">
        <f>IF(ISBLANK(Actuals!AJ44),-550*Escalation!$B$32,Actuals!AJ44)</f>
        <v/>
      </c>
      <c r="AJ136" s="401">
        <f>IF(ISBLANK(Actuals!AK44),-550*Escalation!$B$33,Actuals!AK44)</f>
        <v/>
      </c>
      <c r="AK136" s="401">
        <f>IF(ISBLANK(Actuals!AL44),-550*Escalation!$B$34,Actuals!AL44)</f>
        <v/>
      </c>
      <c r="AL136" s="401">
        <f>IF(ISBLANK(Actuals!AM44),-550*Escalation!$B$35,Actuals!AM44)</f>
        <v/>
      </c>
      <c r="AM136" s="401">
        <f>IF(ISBLANK(Actuals!AN44),-550*Escalation!$B$36,Actuals!AN44)</f>
        <v/>
      </c>
      <c r="AN136" s="401">
        <f>IF(ISBLANK(Actuals!AO44),-550*Escalation!$B$37,Actuals!AO44)</f>
        <v/>
      </c>
      <c r="AO136" s="401">
        <f>IF(ISBLANK(Actuals!AP44),-550*Escalation!$B$38,Actuals!AP44)</f>
        <v/>
      </c>
      <c r="AP136" s="401">
        <f>IF(ISBLANK(Actuals!AQ44),-550*Escalation!$B$39,Actuals!AQ44)</f>
        <v/>
      </c>
      <c r="AQ136" s="401">
        <f>IF(ISBLANK(Actuals!AR44),-550*Escalation!$B$40,Actuals!AR44)</f>
        <v/>
      </c>
      <c r="AR136" s="401">
        <f>IF(ISBLANK(Actuals!AS44),-550*Escalation!$B$41,Actuals!AS44)</f>
        <v/>
      </c>
      <c r="AS136" s="401">
        <f>IF(ISBLANK(Actuals!AT44),-550*Escalation!$B$42,Actuals!AT44)</f>
        <v/>
      </c>
      <c r="AT136" s="401">
        <f>IF(ISBLANK(Actuals!AU44),-550*Escalation!$B$43,Actuals!AU44)</f>
        <v/>
      </c>
      <c r="AU136" s="401">
        <f>IF(ISBLANK(Actuals!AV44),-550*Escalation!$B$44,Actuals!AV44)</f>
        <v/>
      </c>
      <c r="AV136" s="401">
        <f>IF(ISBLANK(Actuals!AW44),-550*Escalation!$B$45,Actuals!AW44)</f>
        <v/>
      </c>
      <c r="AW136" s="401">
        <f>IF(ISBLANK(Actuals!AX44),-550*Escalation!$B$46,Actuals!AX44)</f>
        <v/>
      </c>
      <c r="AX136" s="401">
        <f>IF(ISBLANK(Actuals!AY44),-550*Escalation!$B$47,Actuals!AY44)</f>
        <v/>
      </c>
      <c r="AY136" s="401">
        <f>IF(ISBLANK(Actuals!AZ44),-550*Escalation!$B$48,Actuals!AZ44)</f>
        <v/>
      </c>
      <c r="AZ136" s="401">
        <f>IF(ISBLANK(Actuals!BA44),-550*Escalation!$B$49,Actuals!BA44)</f>
        <v/>
      </c>
      <c r="BA136" s="401">
        <f>IF(ISBLANK(Actuals!BB44),-550*Escalation!$B$50,Actuals!BB44)</f>
        <v/>
      </c>
      <c r="BB136" s="401">
        <f>IF(ISBLANK(Actuals!BC44),-550*Escalation!$B$51,Actuals!BC44)</f>
        <v/>
      </c>
      <c r="BC136" s="401">
        <f>IF(ISBLANK(Actuals!BD44),-550*Escalation!$B$52,Actuals!BD44)</f>
        <v/>
      </c>
      <c r="BD136" s="401">
        <f>IF(ISBLANK(Actuals!BE44),-550*Escalation!$B$53,Actuals!BE44)</f>
        <v/>
      </c>
      <c r="BE136" s="401">
        <f>IF(ISBLANK(Actuals!BF44),-550*Escalation!$B$54,Actuals!BF44)</f>
        <v/>
      </c>
      <c r="BF136" s="401">
        <f>IF(ISBLANK(Actuals!BG44),-550*Escalation!$B$55,Actuals!BG44)</f>
        <v/>
      </c>
      <c r="BG136" s="401">
        <f>IF(ISBLANK(Actuals!BH44),-550*Escalation!$B$56,Actuals!BH44)</f>
        <v/>
      </c>
      <c r="BH136" s="401">
        <f>IF(ISBLANK(Actuals!BI44),-550*Escalation!$B$57,Actuals!BI44)</f>
        <v/>
      </c>
      <c r="BI136" s="401">
        <f>IF(ISBLANK(Actuals!BJ44),-550*Escalation!$B$58,Actuals!BJ44)</f>
        <v/>
      </c>
      <c r="BJ136" s="401">
        <f>IF(ISBLANK(Actuals!BK44),-550*Escalation!$B$59,Actuals!BK44)</f>
        <v/>
      </c>
      <c r="BK136" s="401">
        <f>IF(ISBLANK(Actuals!BL44),-550*Escalation!$B$60,Actuals!BL44)</f>
        <v/>
      </c>
      <c r="BL136" s="401">
        <f>IF(ISBLANK(Actuals!BM44),-550*Escalation!$B$61,Actuals!BM44)</f>
        <v/>
      </c>
      <c r="BM136" s="401">
        <f>IF(ISBLANK(Actuals!BN44),-550*Escalation!$B$62,Actuals!BN44)</f>
        <v/>
      </c>
      <c r="BN136" s="401">
        <f>IF(ISBLANK(Actuals!BO44),-550*Escalation!$B$63,Actuals!BO44)</f>
        <v/>
      </c>
      <c r="BO136" s="401">
        <f>IF(ISBLANK(Actuals!BP44),-550*Escalation!$B$64,Actuals!BP44)</f>
        <v/>
      </c>
      <c r="BP136" s="401">
        <f>IF(ISBLANK(Actuals!BQ44),-550*Escalation!$B$65,Actuals!BQ44)</f>
        <v/>
      </c>
      <c r="BQ136" s="401">
        <f>IF(ISBLANK(Actuals!BR44),-550*Escalation!$B$66,Actuals!BR44)</f>
        <v/>
      </c>
      <c r="BR136" s="401">
        <f>IF(ISBLANK(Actuals!BS44),-550*Escalation!$B$67,Actuals!BS44)</f>
        <v/>
      </c>
      <c r="BS136" s="401">
        <f>IF(ISBLANK(Actuals!BT44),-550*Escalation!$B$68,Actuals!BT44)</f>
        <v/>
      </c>
      <c r="BT136" s="401">
        <f>IF(ISBLANK(Actuals!BU44),-550*Escalation!$B$69,Actuals!BU44)</f>
        <v/>
      </c>
      <c r="BU136" s="401">
        <f>IF(ISBLANK(Actuals!BV44),-550*Escalation!$B$70,Actuals!BV44)</f>
        <v/>
      </c>
      <c r="BV136" s="401">
        <f>IF(ISBLANK(Actuals!BW44),-550*Escalation!$B$71,Actuals!BW44)</f>
        <v/>
      </c>
      <c r="BW136" s="401">
        <f>IF(ISBLANK(Actuals!BX44),-550*Escalation!$B$72,Actuals!BX44)</f>
        <v/>
      </c>
      <c r="BX136" s="401">
        <f>IF(ISBLANK(Actuals!BY44),-550*Escalation!$B$73,Actuals!BY44)</f>
        <v/>
      </c>
      <c r="BY136" s="401">
        <f>IF(ISBLANK(Actuals!BZ44),-550*Escalation!$B$74,Actuals!BZ44)</f>
        <v/>
      </c>
      <c r="BZ136" s="401">
        <f>IF(ISBLANK(Actuals!CA44),-550*Escalation!$B$75,Actuals!CA44)</f>
        <v/>
      </c>
      <c r="CA136" s="401">
        <f>IF(ISBLANK(Actuals!CB44),-550*Escalation!$B$76,Actuals!CB44)</f>
        <v/>
      </c>
      <c r="CB136" s="401">
        <f>IF(ISBLANK(Actuals!CC44),-550*Escalation!$B$77,Actuals!CC44)</f>
        <v/>
      </c>
      <c r="CC136" s="401">
        <f>IF(ISBLANK(Actuals!CD44),-550*Escalation!$B$78,Actuals!CD44)</f>
        <v/>
      </c>
      <c r="CD136" s="401">
        <f>IF(ISBLANK(Actuals!CE44),-550*Escalation!$B$79,Actuals!CE44)</f>
        <v/>
      </c>
      <c r="CE136" s="401">
        <f>IF(ISBLANK(Actuals!CF44),-550*Escalation!$B$80,Actuals!CF44)</f>
        <v/>
      </c>
      <c r="CF136" s="401">
        <f>IF(ISBLANK(Actuals!CG44),-550*Escalation!$B$81,Actuals!CG44)</f>
        <v/>
      </c>
      <c r="CG136" s="401">
        <f>IF(ISBLANK(Actuals!CH44),-550*Escalation!$B$82,Actuals!CH44)</f>
        <v/>
      </c>
      <c r="CH136" s="401">
        <f>IF(ISBLANK(Actuals!CI44),-550*Escalation!$B$83,Actuals!CI44)</f>
        <v/>
      </c>
      <c r="CI136" s="401">
        <f>IF(ISBLANK(Actuals!CJ44),-550*Escalation!$B$84,Actuals!CJ44)</f>
        <v/>
      </c>
      <c r="CJ136" s="401">
        <f>IF(ISBLANK(Actuals!CK44),-550*Escalation!$B$85,Actuals!CK44)</f>
        <v/>
      </c>
      <c r="CK136" s="401">
        <f>IF(ISBLANK(Actuals!CL44),-550*Escalation!$B$86,Actuals!CL44)</f>
        <v/>
      </c>
      <c r="CL136" s="401">
        <f>IF(ISBLANK(Actuals!CM44),-550*Escalation!$B$87,Actuals!CM44)</f>
        <v/>
      </c>
      <c r="CM136" s="401">
        <f>IF(ISBLANK(Actuals!CN44),-550*Escalation!$B$88,Actuals!CN44)</f>
        <v/>
      </c>
      <c r="CN136" s="401">
        <f>IF(ISBLANK(Actuals!CO44),-550*Escalation!$B$89,Actuals!CO44)</f>
        <v/>
      </c>
      <c r="CO136" s="401">
        <f>IF(ISBLANK(Actuals!CP44),-550*Escalation!$B$90,Actuals!CP44)</f>
        <v/>
      </c>
      <c r="CP136" s="401">
        <f>IF(ISBLANK(Actuals!CQ44),-550*Escalation!$B$91,Actuals!CQ44)</f>
        <v/>
      </c>
      <c r="CQ136" s="401">
        <f>IF(ISBLANK(Actuals!CR44),-550*Escalation!$B$92,Actuals!CR44)</f>
        <v/>
      </c>
      <c r="CR136" s="401">
        <f>IF(ISBLANK(Actuals!CS44),-550*Escalation!$B$93,Actuals!CS44)</f>
        <v/>
      </c>
      <c r="CS136" s="401">
        <f>IF(ISBLANK(Actuals!CT44),-550*Escalation!$B$94,Actuals!CT44)</f>
        <v/>
      </c>
      <c r="CT136" s="401">
        <f>IF(ISBLANK(Actuals!CU44),-550*Escalation!$B$95,Actuals!CU44)</f>
        <v/>
      </c>
      <c r="CU136" s="401">
        <f>IF(ISBLANK(Actuals!CV44),-550*Escalation!$B$96,Actuals!CV44)</f>
        <v/>
      </c>
      <c r="CV136" s="401">
        <f>IF(ISBLANK(Actuals!CW44),-550*Escalation!$B$97,Actuals!CW44)</f>
        <v/>
      </c>
      <c r="CW136" s="401">
        <f>IF(ISBLANK(Actuals!CX44),-550*Escalation!$B$98,Actuals!CX44)</f>
        <v/>
      </c>
      <c r="CX136" s="401">
        <f>IF(ISBLANK(Actuals!CY44),-550*Escalation!$B$99,Actuals!CY44)</f>
        <v/>
      </c>
      <c r="CY136" s="401">
        <f>IF(ISBLANK(Actuals!CZ44),-550*Escalation!$B$100,Actuals!CZ44)</f>
        <v/>
      </c>
      <c r="CZ136" s="401">
        <f>IF(ISBLANK(Actuals!DA44),-550*Escalation!$B$101,Actuals!DA44)</f>
        <v/>
      </c>
      <c r="DA136" s="401">
        <f>IF(ISBLANK(Actuals!DB44),-550*Escalation!$B$102,Actuals!DB44)</f>
        <v/>
      </c>
      <c r="DB136" s="401">
        <f>IF(ISBLANK(Actuals!DC44),-550*Escalation!$B$103,Actuals!DC44)</f>
        <v/>
      </c>
      <c r="DC136" s="401">
        <f>IF(ISBLANK(Actuals!DD44),-550*Escalation!$B$104,Actuals!DD44)</f>
        <v/>
      </c>
      <c r="DD136" s="401">
        <f>IF(ISBLANK(Actuals!DE44),-550*Escalation!$B$105,Actuals!DE44)</f>
        <v/>
      </c>
      <c r="DE136" s="401">
        <f>IF(ISBLANK(Actuals!DF44),-550*Escalation!$B$106,Actuals!DF44)</f>
        <v/>
      </c>
    </row>
    <row r="137" ht="15" customFormat="1" customHeight="1" s="380">
      <c r="A137" s="415" t="inlineStr">
        <is>
          <t>5900-1005 Supplies and Other Job Site Overhead</t>
        </is>
      </c>
      <c r="B137" s="401">
        <f>IF(ISBLANK(Actuals!C45),0,Actuals!C45)</f>
        <v/>
      </c>
      <c r="C137" s="401">
        <f>IF(ISBLANK(Actuals!D45),0,Actuals!D45)</f>
        <v/>
      </c>
      <c r="D137" s="401">
        <f>IF(ISBLANK(Actuals!E45),0,Actuals!E45)</f>
        <v/>
      </c>
      <c r="E137" s="401">
        <f>IF(ISBLANK(Actuals!F45),-17638.14*Escalation!$B$2,Actuals!F45)</f>
        <v/>
      </c>
      <c r="F137" s="401">
        <f>IF(ISBLANK(Actuals!G45),-17638.14*Escalation!$B$3,Actuals!G45)</f>
        <v/>
      </c>
      <c r="G137" s="401">
        <f>IF(ISBLANK(Actuals!H45),-17638.14*Escalation!$B$4,Actuals!H45)</f>
        <v/>
      </c>
      <c r="H137" s="401">
        <f>IF(ISBLANK(Actuals!I45),-17638.14*Escalation!$B$5,Actuals!I45)</f>
        <v/>
      </c>
      <c r="I137" s="401">
        <f>IF(ISBLANK(Actuals!J45),-17638.14*Escalation!$B$6,Actuals!J45)</f>
        <v/>
      </c>
      <c r="J137" s="401">
        <f>IF(ISBLANK(Actuals!K45),-17638.14*Escalation!$B$7,Actuals!K45)</f>
        <v/>
      </c>
      <c r="K137" s="401">
        <f>IF(ISBLANK(Actuals!L45),-17638.14*Escalation!$B$8,Actuals!L45)</f>
        <v/>
      </c>
      <c r="L137" s="401">
        <f>IF(ISBLANK(Actuals!M45),-17638.14*Escalation!$B$9,Actuals!M45)</f>
        <v/>
      </c>
      <c r="M137" s="401">
        <f>IF(ISBLANK(Actuals!N45),-17638.14*Escalation!$B$10,Actuals!N45)</f>
        <v/>
      </c>
      <c r="N137" s="401">
        <f>IF(ISBLANK(Actuals!O45),-17638.14*Escalation!$B$11,Actuals!O45)</f>
        <v/>
      </c>
      <c r="O137" s="401">
        <f>IF(ISBLANK(Actuals!P45),-17638.14*Escalation!$B$12,Actuals!P45)</f>
        <v/>
      </c>
      <c r="P137" s="401">
        <f>IF(ISBLANK(Actuals!Q45),-17638.14*Escalation!$B$13,Actuals!Q45)</f>
        <v/>
      </c>
      <c r="Q137" s="401">
        <f>IF(ISBLANK(Actuals!R45),-17638.14*Escalation!$B$14,Actuals!R45)</f>
        <v/>
      </c>
      <c r="R137" s="401">
        <f>IF(ISBLANK(Actuals!S45),-17638.14*Escalation!$B$15,Actuals!S45)</f>
        <v/>
      </c>
      <c r="S137" s="401">
        <f>IF(ISBLANK(Actuals!T45),-17638.14*Escalation!$B$16,Actuals!T45)</f>
        <v/>
      </c>
      <c r="T137" s="401">
        <f>IF(ISBLANK(Actuals!U45),-17638.14*Escalation!$B$17,Actuals!U45)</f>
        <v/>
      </c>
      <c r="U137" s="401">
        <f>IF(ISBLANK(Actuals!V45),-17638.14*Escalation!$B$18,Actuals!V45)</f>
        <v/>
      </c>
      <c r="V137" s="401">
        <f>IF(ISBLANK(Actuals!W45),-17638.14*Escalation!$B$19,Actuals!W45)</f>
        <v/>
      </c>
      <c r="W137" s="401">
        <f>IF(ISBLANK(Actuals!X45),-17638.14*Escalation!$B$20,Actuals!X45)</f>
        <v/>
      </c>
      <c r="X137" s="401">
        <f>IF(ISBLANK(Actuals!Y45),-17638.14*Escalation!$B$21,Actuals!Y45)</f>
        <v/>
      </c>
      <c r="Y137" s="401">
        <f>IF(ISBLANK(Actuals!Z45),-17638.14*Escalation!$B$22,Actuals!Z45)</f>
        <v/>
      </c>
      <c r="Z137" s="401">
        <f>IF(ISBLANK(Actuals!AA45),-17638.14*Escalation!$B$23,Actuals!AA45)</f>
        <v/>
      </c>
      <c r="AA137" s="401">
        <f>IF(ISBLANK(Actuals!AB45),-17638.14*Escalation!$B$24,Actuals!AB45)</f>
        <v/>
      </c>
      <c r="AB137" s="401">
        <f>IF(ISBLANK(Actuals!AC45),-17638.14*Escalation!$B$25,Actuals!AC45)</f>
        <v/>
      </c>
      <c r="AC137" s="401">
        <f>IF(ISBLANK(Actuals!AD45),-17638.14*Escalation!$B$26,Actuals!AD45)</f>
        <v/>
      </c>
      <c r="AD137" s="401">
        <f>IF(ISBLANK(Actuals!AE45),-17638.14*Escalation!$B$27,Actuals!AE45)</f>
        <v/>
      </c>
      <c r="AE137" s="401">
        <f>IF(ISBLANK(Actuals!AF45),-17638.14*Escalation!$B$28,Actuals!AF45)</f>
        <v/>
      </c>
      <c r="AF137" s="401">
        <f>IF(ISBLANK(Actuals!AG45),-17638.14*Escalation!$B$29,Actuals!AG45)</f>
        <v/>
      </c>
      <c r="AG137" s="401">
        <f>IF(ISBLANK(Actuals!AH45),-17638.14*Escalation!$B$30,Actuals!AH45)</f>
        <v/>
      </c>
      <c r="AH137" s="401">
        <f>IF(ISBLANK(Actuals!AI45),-17638.14*Escalation!$B$31,Actuals!AI45)</f>
        <v/>
      </c>
      <c r="AI137" s="401">
        <f>IF(ISBLANK(Actuals!AJ45),-17638.14*Escalation!$B$32,Actuals!AJ45)</f>
        <v/>
      </c>
      <c r="AJ137" s="401">
        <f>IF(ISBLANK(Actuals!AK45),-17638.14*Escalation!$B$33,Actuals!AK45)</f>
        <v/>
      </c>
      <c r="AK137" s="401">
        <f>IF(ISBLANK(Actuals!AL45),-17638.14*Escalation!$B$34,Actuals!AL45)</f>
        <v/>
      </c>
      <c r="AL137" s="401">
        <f>IF(ISBLANK(Actuals!AM45),-17638.14*Escalation!$B$35,Actuals!AM45)</f>
        <v/>
      </c>
      <c r="AM137" s="401">
        <f>IF(ISBLANK(Actuals!AN45),-17638.14*Escalation!$B$36,Actuals!AN45)</f>
        <v/>
      </c>
      <c r="AN137" s="401">
        <f>IF(ISBLANK(Actuals!AO45),-17638.14*Escalation!$B$37,Actuals!AO45)</f>
        <v/>
      </c>
      <c r="AO137" s="401">
        <f>IF(ISBLANK(Actuals!AP45),-17638.14*Escalation!$B$38,Actuals!AP45)</f>
        <v/>
      </c>
      <c r="AP137" s="401">
        <f>IF(ISBLANK(Actuals!AQ45),-17638.14*Escalation!$B$39,Actuals!AQ45)</f>
        <v/>
      </c>
      <c r="AQ137" s="401">
        <f>IF(ISBLANK(Actuals!AR45),-17638.14*Escalation!$B$40,Actuals!AR45)</f>
        <v/>
      </c>
      <c r="AR137" s="401">
        <f>IF(ISBLANK(Actuals!AS45),-17638.14*Escalation!$B$41,Actuals!AS45)</f>
        <v/>
      </c>
      <c r="AS137" s="401">
        <f>IF(ISBLANK(Actuals!AT45),-17638.14*Escalation!$B$42,Actuals!AT45)</f>
        <v/>
      </c>
      <c r="AT137" s="401">
        <f>IF(ISBLANK(Actuals!AU45),-17638.14*Escalation!$B$43,Actuals!AU45)</f>
        <v/>
      </c>
      <c r="AU137" s="401">
        <f>IF(ISBLANK(Actuals!AV45),-17638.14*Escalation!$B$44,Actuals!AV45)</f>
        <v/>
      </c>
      <c r="AV137" s="401">
        <f>IF(ISBLANK(Actuals!AW45),-17638.14*Escalation!$B$45,Actuals!AW45)</f>
        <v/>
      </c>
      <c r="AW137" s="401">
        <f>IF(ISBLANK(Actuals!AX45),-17638.14*Escalation!$B$46,Actuals!AX45)</f>
        <v/>
      </c>
      <c r="AX137" s="401">
        <f>IF(ISBLANK(Actuals!AY45),-17638.14*Escalation!$B$47,Actuals!AY45)</f>
        <v/>
      </c>
      <c r="AY137" s="401">
        <f>IF(ISBLANK(Actuals!AZ45),-17638.14*Escalation!$B$48,Actuals!AZ45)</f>
        <v/>
      </c>
      <c r="AZ137" s="401">
        <f>IF(ISBLANK(Actuals!BA45),-17638.14*Escalation!$B$49,Actuals!BA45)</f>
        <v/>
      </c>
      <c r="BA137" s="401">
        <f>IF(ISBLANK(Actuals!BB45),-17638.14*Escalation!$B$50,Actuals!BB45)</f>
        <v/>
      </c>
      <c r="BB137" s="401">
        <f>IF(ISBLANK(Actuals!BC45),-17638.14*Escalation!$B$51,Actuals!BC45)</f>
        <v/>
      </c>
      <c r="BC137" s="401">
        <f>IF(ISBLANK(Actuals!BD45),-17638.14*Escalation!$B$52,Actuals!BD45)</f>
        <v/>
      </c>
      <c r="BD137" s="401">
        <f>IF(ISBLANK(Actuals!BE45),-17638.14*Escalation!$B$53,Actuals!BE45)</f>
        <v/>
      </c>
      <c r="BE137" s="401">
        <f>IF(ISBLANK(Actuals!BF45),-17638.14*Escalation!$B$54,Actuals!BF45)</f>
        <v/>
      </c>
      <c r="BF137" s="401">
        <f>IF(ISBLANK(Actuals!BG45),-17638.14*Escalation!$B$55,Actuals!BG45)</f>
        <v/>
      </c>
      <c r="BG137" s="401">
        <f>IF(ISBLANK(Actuals!BH45),-17638.14*Escalation!$B$56,Actuals!BH45)</f>
        <v/>
      </c>
      <c r="BH137" s="401">
        <f>IF(ISBLANK(Actuals!BI45),-17638.14*Escalation!$B$57,Actuals!BI45)</f>
        <v/>
      </c>
      <c r="BI137" s="401">
        <f>IF(ISBLANK(Actuals!BJ45),-17638.14*Escalation!$B$58,Actuals!BJ45)</f>
        <v/>
      </c>
      <c r="BJ137" s="401">
        <f>IF(ISBLANK(Actuals!BK45),-17638.14*Escalation!$B$59,Actuals!BK45)</f>
        <v/>
      </c>
      <c r="BK137" s="401">
        <f>IF(ISBLANK(Actuals!BL45),-17638.14*Escalation!$B$60,Actuals!BL45)</f>
        <v/>
      </c>
      <c r="BL137" s="401">
        <f>IF(ISBLANK(Actuals!BM45),-17638.14*Escalation!$B$61,Actuals!BM45)</f>
        <v/>
      </c>
      <c r="BM137" s="401">
        <f>IF(ISBLANK(Actuals!BN45),-17638.14*Escalation!$B$62,Actuals!BN45)</f>
        <v/>
      </c>
      <c r="BN137" s="401">
        <f>IF(ISBLANK(Actuals!BO45),-17638.14*Escalation!$B$63,Actuals!BO45)</f>
        <v/>
      </c>
      <c r="BO137" s="401">
        <f>IF(ISBLANK(Actuals!BP45),-17638.14*Escalation!$B$64,Actuals!BP45)</f>
        <v/>
      </c>
      <c r="BP137" s="401">
        <f>IF(ISBLANK(Actuals!BQ45),-17638.14*Escalation!$B$65,Actuals!BQ45)</f>
        <v/>
      </c>
      <c r="BQ137" s="401">
        <f>IF(ISBLANK(Actuals!BR45),-17638.14*Escalation!$B$66,Actuals!BR45)</f>
        <v/>
      </c>
      <c r="BR137" s="401">
        <f>IF(ISBLANK(Actuals!BS45),-17638.14*Escalation!$B$67,Actuals!BS45)</f>
        <v/>
      </c>
      <c r="BS137" s="401">
        <f>IF(ISBLANK(Actuals!BT45),-17638.14*Escalation!$B$68,Actuals!BT45)</f>
        <v/>
      </c>
      <c r="BT137" s="401">
        <f>IF(ISBLANK(Actuals!BU45),-17638.14*Escalation!$B$69,Actuals!BU45)</f>
        <v/>
      </c>
      <c r="BU137" s="401">
        <f>IF(ISBLANK(Actuals!BV45),-17638.14*Escalation!$B$70,Actuals!BV45)</f>
        <v/>
      </c>
      <c r="BV137" s="401">
        <f>IF(ISBLANK(Actuals!BW45),-17638.14*Escalation!$B$71,Actuals!BW45)</f>
        <v/>
      </c>
      <c r="BW137" s="401">
        <f>IF(ISBLANK(Actuals!BX45),-17638.14*Escalation!$B$72,Actuals!BX45)</f>
        <v/>
      </c>
      <c r="BX137" s="401">
        <f>IF(ISBLANK(Actuals!BY45),-17638.14*Escalation!$B$73,Actuals!BY45)</f>
        <v/>
      </c>
      <c r="BY137" s="401">
        <f>IF(ISBLANK(Actuals!BZ45),-17638.14*Escalation!$B$74,Actuals!BZ45)</f>
        <v/>
      </c>
      <c r="BZ137" s="401">
        <f>IF(ISBLANK(Actuals!CA45),-17638.14*Escalation!$B$75,Actuals!CA45)</f>
        <v/>
      </c>
      <c r="CA137" s="401">
        <f>IF(ISBLANK(Actuals!CB45),-17638.14*Escalation!$B$76,Actuals!CB45)</f>
        <v/>
      </c>
      <c r="CB137" s="401">
        <f>IF(ISBLANK(Actuals!CC45),-17638.14*Escalation!$B$77,Actuals!CC45)</f>
        <v/>
      </c>
      <c r="CC137" s="401">
        <f>IF(ISBLANK(Actuals!CD45),-17638.14*Escalation!$B$78,Actuals!CD45)</f>
        <v/>
      </c>
      <c r="CD137" s="401">
        <f>IF(ISBLANK(Actuals!CE45),-17638.14*Escalation!$B$79,Actuals!CE45)</f>
        <v/>
      </c>
      <c r="CE137" s="401">
        <f>IF(ISBLANK(Actuals!CF45),-17638.14*Escalation!$B$80,Actuals!CF45)</f>
        <v/>
      </c>
      <c r="CF137" s="401">
        <f>IF(ISBLANK(Actuals!CG45),-17638.14*Escalation!$B$81,Actuals!CG45)</f>
        <v/>
      </c>
      <c r="CG137" s="401">
        <f>IF(ISBLANK(Actuals!CH45),-17638.14*Escalation!$B$82,Actuals!CH45)</f>
        <v/>
      </c>
      <c r="CH137" s="401">
        <f>IF(ISBLANK(Actuals!CI45),-17638.14*Escalation!$B$83,Actuals!CI45)</f>
        <v/>
      </c>
      <c r="CI137" s="401">
        <f>IF(ISBLANK(Actuals!CJ45),-17638.14*Escalation!$B$84,Actuals!CJ45)</f>
        <v/>
      </c>
      <c r="CJ137" s="401">
        <f>IF(ISBLANK(Actuals!CK45),-17638.14*Escalation!$B$85,Actuals!CK45)</f>
        <v/>
      </c>
      <c r="CK137" s="401">
        <f>IF(ISBLANK(Actuals!CL45),-17638.14*Escalation!$B$86,Actuals!CL45)</f>
        <v/>
      </c>
      <c r="CL137" s="401">
        <f>IF(ISBLANK(Actuals!CM45),-17638.14*Escalation!$B$87,Actuals!CM45)</f>
        <v/>
      </c>
      <c r="CM137" s="401">
        <f>IF(ISBLANK(Actuals!CN45),-17638.14*Escalation!$B$88,Actuals!CN45)</f>
        <v/>
      </c>
      <c r="CN137" s="401">
        <f>IF(ISBLANK(Actuals!CO45),-17638.14*Escalation!$B$89,Actuals!CO45)</f>
        <v/>
      </c>
      <c r="CO137" s="401">
        <f>IF(ISBLANK(Actuals!CP45),-17638.14*Escalation!$B$90,Actuals!CP45)</f>
        <v/>
      </c>
      <c r="CP137" s="401">
        <f>IF(ISBLANK(Actuals!CQ45),-17638.14*Escalation!$B$91,Actuals!CQ45)</f>
        <v/>
      </c>
      <c r="CQ137" s="401">
        <f>IF(ISBLANK(Actuals!CR45),-17638.14*Escalation!$B$92,Actuals!CR45)</f>
        <v/>
      </c>
      <c r="CR137" s="401">
        <f>IF(ISBLANK(Actuals!CS45),-17638.14*Escalation!$B$93,Actuals!CS45)</f>
        <v/>
      </c>
      <c r="CS137" s="401">
        <f>IF(ISBLANK(Actuals!CT45),-17638.14*Escalation!$B$94,Actuals!CT45)</f>
        <v/>
      </c>
      <c r="CT137" s="401">
        <f>IF(ISBLANK(Actuals!CU45),-17638.14*Escalation!$B$95,Actuals!CU45)</f>
        <v/>
      </c>
      <c r="CU137" s="401">
        <f>IF(ISBLANK(Actuals!CV45),-17638.14*Escalation!$B$96,Actuals!CV45)</f>
        <v/>
      </c>
      <c r="CV137" s="401">
        <f>IF(ISBLANK(Actuals!CW45),-17638.14*Escalation!$B$97,Actuals!CW45)</f>
        <v/>
      </c>
      <c r="CW137" s="401">
        <f>IF(ISBLANK(Actuals!CX45),-17638.14*Escalation!$B$98,Actuals!CX45)</f>
        <v/>
      </c>
      <c r="CX137" s="401">
        <f>IF(ISBLANK(Actuals!CY45),-17638.14*Escalation!$B$99,Actuals!CY45)</f>
        <v/>
      </c>
      <c r="CY137" s="401">
        <f>IF(ISBLANK(Actuals!CZ45),-17638.14*Escalation!$B$100,Actuals!CZ45)</f>
        <v/>
      </c>
      <c r="CZ137" s="401">
        <f>IF(ISBLANK(Actuals!DA45),-17638.14*Escalation!$B$101,Actuals!DA45)</f>
        <v/>
      </c>
      <c r="DA137" s="401">
        <f>IF(ISBLANK(Actuals!DB45),-17638.14*Escalation!$B$102,Actuals!DB45)</f>
        <v/>
      </c>
      <c r="DB137" s="401">
        <f>IF(ISBLANK(Actuals!DC45),-17638.14*Escalation!$B$103,Actuals!DC45)</f>
        <v/>
      </c>
      <c r="DC137" s="401">
        <f>IF(ISBLANK(Actuals!DD45),-17638.14*Escalation!$B$104,Actuals!DD45)</f>
        <v/>
      </c>
      <c r="DD137" s="401">
        <f>IF(ISBLANK(Actuals!DE45),-17638.14*Escalation!$B$105,Actuals!DE45)</f>
        <v/>
      </c>
      <c r="DE137" s="401">
        <f>IF(ISBLANK(Actuals!DF45),-17638.14*Escalation!$B$106,Actuals!DF45)</f>
        <v/>
      </c>
    </row>
    <row r="138" ht="15" customFormat="1" customHeight="1" s="380">
      <c r="A138" s="415" t="inlineStr">
        <is>
          <t>5900-1006 Auto and Truck Expense</t>
        </is>
      </c>
      <c r="B138" s="401">
        <f>IF(ISBLANK(Actuals!C46),0,Actuals!C46)</f>
        <v/>
      </c>
      <c r="C138" s="401">
        <f>IF(ISBLANK(Actuals!D46),0,Actuals!D46)</f>
        <v/>
      </c>
      <c r="D138" s="401">
        <f>IF(ISBLANK(Actuals!E46),0,Actuals!E46)</f>
        <v/>
      </c>
      <c r="E138" s="401">
        <f>IF(ISBLANK(Actuals!F46),-1422.33*Escalation!$B$2,Actuals!F46)</f>
        <v/>
      </c>
      <c r="F138" s="401">
        <f>IF(ISBLANK(Actuals!G46),-1422.33*Escalation!$B$3,Actuals!G46)</f>
        <v/>
      </c>
      <c r="G138" s="401">
        <f>IF(ISBLANK(Actuals!H46),-1422.33*Escalation!$B$4,Actuals!H46)</f>
        <v/>
      </c>
      <c r="H138" s="401">
        <f>IF(ISBLANK(Actuals!I46),-1422.33*Escalation!$B$5,Actuals!I46)</f>
        <v/>
      </c>
      <c r="I138" s="401">
        <f>IF(ISBLANK(Actuals!J46),-1422.33*Escalation!$B$6,Actuals!J46)</f>
        <v/>
      </c>
      <c r="J138" s="401">
        <f>IF(ISBLANK(Actuals!K46),-1422.33*Escalation!$B$7,Actuals!K46)</f>
        <v/>
      </c>
      <c r="K138" s="401">
        <f>IF(ISBLANK(Actuals!L46),-1422.33*Escalation!$B$8,Actuals!L46)</f>
        <v/>
      </c>
      <c r="L138" s="401">
        <f>IF(ISBLANK(Actuals!M46),-1422.33*Escalation!$B$9,Actuals!M46)</f>
        <v/>
      </c>
      <c r="M138" s="401">
        <f>IF(ISBLANK(Actuals!N46),-1422.33*Escalation!$B$10,Actuals!N46)</f>
        <v/>
      </c>
      <c r="N138" s="401">
        <f>IF(ISBLANK(Actuals!O46),-1422.33*Escalation!$B$11,Actuals!O46)</f>
        <v/>
      </c>
      <c r="O138" s="401">
        <f>IF(ISBLANK(Actuals!P46),-1422.33*Escalation!$B$12,Actuals!P46)</f>
        <v/>
      </c>
      <c r="P138" s="401">
        <f>IF(ISBLANK(Actuals!Q46),-1422.33*Escalation!$B$13,Actuals!Q46)</f>
        <v/>
      </c>
      <c r="Q138" s="401">
        <f>IF(ISBLANK(Actuals!R46),-1422.33*Escalation!$B$14,Actuals!R46)</f>
        <v/>
      </c>
      <c r="R138" s="401">
        <f>IF(ISBLANK(Actuals!S46),-1422.33*Escalation!$B$15,Actuals!S46)</f>
        <v/>
      </c>
      <c r="S138" s="401">
        <f>IF(ISBLANK(Actuals!T46),-1422.33*Escalation!$B$16,Actuals!T46)</f>
        <v/>
      </c>
      <c r="T138" s="401">
        <f>IF(ISBLANK(Actuals!U46),-1422.33*Escalation!$B$17,Actuals!U46)</f>
        <v/>
      </c>
      <c r="U138" s="401">
        <f>IF(ISBLANK(Actuals!V46),-1422.33*Escalation!$B$18,Actuals!V46)</f>
        <v/>
      </c>
      <c r="V138" s="401">
        <f>IF(ISBLANK(Actuals!W46),-1422.33*Escalation!$B$19,Actuals!W46)</f>
        <v/>
      </c>
      <c r="W138" s="401">
        <f>IF(ISBLANK(Actuals!X46),-1422.33*Escalation!$B$20,Actuals!X46)</f>
        <v/>
      </c>
      <c r="X138" s="401">
        <f>IF(ISBLANK(Actuals!Y46),-1422.33*Escalation!$B$21,Actuals!Y46)</f>
        <v/>
      </c>
      <c r="Y138" s="401">
        <f>IF(ISBLANK(Actuals!Z46),-1422.33*Escalation!$B$22,Actuals!Z46)</f>
        <v/>
      </c>
      <c r="Z138" s="401">
        <f>IF(ISBLANK(Actuals!AA46),-1422.33*Escalation!$B$23,Actuals!AA46)</f>
        <v/>
      </c>
      <c r="AA138" s="401">
        <f>IF(ISBLANK(Actuals!AB46),-1422.33*Escalation!$B$24,Actuals!AB46)</f>
        <v/>
      </c>
      <c r="AB138" s="401">
        <f>IF(ISBLANK(Actuals!AC46),-1422.33*Escalation!$B$25,Actuals!AC46)</f>
        <v/>
      </c>
      <c r="AC138" s="401">
        <f>IF(ISBLANK(Actuals!AD46),-1422.33*Escalation!$B$26,Actuals!AD46)</f>
        <v/>
      </c>
      <c r="AD138" s="401">
        <f>IF(ISBLANK(Actuals!AE46),-1422.33*Escalation!$B$27,Actuals!AE46)</f>
        <v/>
      </c>
      <c r="AE138" s="401">
        <f>IF(ISBLANK(Actuals!AF46),-1422.33*Escalation!$B$28,Actuals!AF46)</f>
        <v/>
      </c>
      <c r="AF138" s="401">
        <f>IF(ISBLANK(Actuals!AG46),-1422.33*Escalation!$B$29,Actuals!AG46)</f>
        <v/>
      </c>
      <c r="AG138" s="401">
        <f>IF(ISBLANK(Actuals!AH46),-1422.33*Escalation!$B$30,Actuals!AH46)</f>
        <v/>
      </c>
      <c r="AH138" s="401">
        <f>IF(ISBLANK(Actuals!AI46),-1422.33*Escalation!$B$31,Actuals!AI46)</f>
        <v/>
      </c>
      <c r="AI138" s="401">
        <f>IF(ISBLANK(Actuals!AJ46),-1422.33*Escalation!$B$32,Actuals!AJ46)</f>
        <v/>
      </c>
      <c r="AJ138" s="401">
        <f>IF(ISBLANK(Actuals!AK46),-1422.33*Escalation!$B$33,Actuals!AK46)</f>
        <v/>
      </c>
      <c r="AK138" s="401">
        <f>IF(ISBLANK(Actuals!AL46),-1422.33*Escalation!$B$34,Actuals!AL46)</f>
        <v/>
      </c>
      <c r="AL138" s="401">
        <f>IF(ISBLANK(Actuals!AM46),-1422.33*Escalation!$B$35,Actuals!AM46)</f>
        <v/>
      </c>
      <c r="AM138" s="401">
        <f>IF(ISBLANK(Actuals!AN46),-1422.33*Escalation!$B$36,Actuals!AN46)</f>
        <v/>
      </c>
      <c r="AN138" s="401">
        <f>IF(ISBLANK(Actuals!AO46),-1422.33*Escalation!$B$37,Actuals!AO46)</f>
        <v/>
      </c>
      <c r="AO138" s="401">
        <f>IF(ISBLANK(Actuals!AP46),-1422.33*Escalation!$B$38,Actuals!AP46)</f>
        <v/>
      </c>
      <c r="AP138" s="401">
        <f>IF(ISBLANK(Actuals!AQ46),-1422.33*Escalation!$B$39,Actuals!AQ46)</f>
        <v/>
      </c>
      <c r="AQ138" s="401">
        <f>IF(ISBLANK(Actuals!AR46),-1422.33*Escalation!$B$40,Actuals!AR46)</f>
        <v/>
      </c>
      <c r="AR138" s="401">
        <f>IF(ISBLANK(Actuals!AS46),-1422.33*Escalation!$B$41,Actuals!AS46)</f>
        <v/>
      </c>
      <c r="AS138" s="401">
        <f>IF(ISBLANK(Actuals!AT46),-1422.33*Escalation!$B$42,Actuals!AT46)</f>
        <v/>
      </c>
      <c r="AT138" s="401">
        <f>IF(ISBLANK(Actuals!AU46),-1422.33*Escalation!$B$43,Actuals!AU46)</f>
        <v/>
      </c>
      <c r="AU138" s="401">
        <f>IF(ISBLANK(Actuals!AV46),-1422.33*Escalation!$B$44,Actuals!AV46)</f>
        <v/>
      </c>
      <c r="AV138" s="401">
        <f>IF(ISBLANK(Actuals!AW46),-1422.33*Escalation!$B$45,Actuals!AW46)</f>
        <v/>
      </c>
      <c r="AW138" s="401">
        <f>IF(ISBLANK(Actuals!AX46),-1422.33*Escalation!$B$46,Actuals!AX46)</f>
        <v/>
      </c>
      <c r="AX138" s="401">
        <f>IF(ISBLANK(Actuals!AY46),-1422.33*Escalation!$B$47,Actuals!AY46)</f>
        <v/>
      </c>
      <c r="AY138" s="401">
        <f>IF(ISBLANK(Actuals!AZ46),-1422.33*Escalation!$B$48,Actuals!AZ46)</f>
        <v/>
      </c>
      <c r="AZ138" s="401">
        <f>IF(ISBLANK(Actuals!BA46),-1422.33*Escalation!$B$49,Actuals!BA46)</f>
        <v/>
      </c>
      <c r="BA138" s="401">
        <f>IF(ISBLANK(Actuals!BB46),-1422.33*Escalation!$B$50,Actuals!BB46)</f>
        <v/>
      </c>
      <c r="BB138" s="401">
        <f>IF(ISBLANK(Actuals!BC46),-1422.33*Escalation!$B$51,Actuals!BC46)</f>
        <v/>
      </c>
      <c r="BC138" s="401">
        <f>IF(ISBLANK(Actuals!BD46),-1422.33*Escalation!$B$52,Actuals!BD46)</f>
        <v/>
      </c>
      <c r="BD138" s="401">
        <f>IF(ISBLANK(Actuals!BE46),-1422.33*Escalation!$B$53,Actuals!BE46)</f>
        <v/>
      </c>
      <c r="BE138" s="401">
        <f>IF(ISBLANK(Actuals!BF46),-1422.33*Escalation!$B$54,Actuals!BF46)</f>
        <v/>
      </c>
      <c r="BF138" s="401">
        <f>IF(ISBLANK(Actuals!BG46),-1422.33*Escalation!$B$55,Actuals!BG46)</f>
        <v/>
      </c>
      <c r="BG138" s="401">
        <f>IF(ISBLANK(Actuals!BH46),-1422.33*Escalation!$B$56,Actuals!BH46)</f>
        <v/>
      </c>
      <c r="BH138" s="401">
        <f>IF(ISBLANK(Actuals!BI46),-1422.33*Escalation!$B$57,Actuals!BI46)</f>
        <v/>
      </c>
      <c r="BI138" s="401">
        <f>IF(ISBLANK(Actuals!BJ46),-1422.33*Escalation!$B$58,Actuals!BJ46)</f>
        <v/>
      </c>
      <c r="BJ138" s="401">
        <f>IF(ISBLANK(Actuals!BK46),-1422.33*Escalation!$B$59,Actuals!BK46)</f>
        <v/>
      </c>
      <c r="BK138" s="401">
        <f>IF(ISBLANK(Actuals!BL46),-1422.33*Escalation!$B$60,Actuals!BL46)</f>
        <v/>
      </c>
      <c r="BL138" s="401">
        <f>IF(ISBLANK(Actuals!BM46),-1422.33*Escalation!$B$61,Actuals!BM46)</f>
        <v/>
      </c>
      <c r="BM138" s="401">
        <f>IF(ISBLANK(Actuals!BN46),-1422.33*Escalation!$B$62,Actuals!BN46)</f>
        <v/>
      </c>
      <c r="BN138" s="401">
        <f>IF(ISBLANK(Actuals!BO46),-1422.33*Escalation!$B$63,Actuals!BO46)</f>
        <v/>
      </c>
      <c r="BO138" s="401">
        <f>IF(ISBLANK(Actuals!BP46),-1422.33*Escalation!$B$64,Actuals!BP46)</f>
        <v/>
      </c>
      <c r="BP138" s="401">
        <f>IF(ISBLANK(Actuals!BQ46),-1422.33*Escalation!$B$65,Actuals!BQ46)</f>
        <v/>
      </c>
      <c r="BQ138" s="401">
        <f>IF(ISBLANK(Actuals!BR46),-1422.33*Escalation!$B$66,Actuals!BR46)</f>
        <v/>
      </c>
      <c r="BR138" s="401">
        <f>IF(ISBLANK(Actuals!BS46),-1422.33*Escalation!$B$67,Actuals!BS46)</f>
        <v/>
      </c>
      <c r="BS138" s="401">
        <f>IF(ISBLANK(Actuals!BT46),-1422.33*Escalation!$B$68,Actuals!BT46)</f>
        <v/>
      </c>
      <c r="BT138" s="401">
        <f>IF(ISBLANK(Actuals!BU46),-1422.33*Escalation!$B$69,Actuals!BU46)</f>
        <v/>
      </c>
      <c r="BU138" s="401">
        <f>IF(ISBLANK(Actuals!BV46),-1422.33*Escalation!$B$70,Actuals!BV46)</f>
        <v/>
      </c>
      <c r="BV138" s="401">
        <f>IF(ISBLANK(Actuals!BW46),-1422.33*Escalation!$B$71,Actuals!BW46)</f>
        <v/>
      </c>
      <c r="BW138" s="401">
        <f>IF(ISBLANK(Actuals!BX46),-1422.33*Escalation!$B$72,Actuals!BX46)</f>
        <v/>
      </c>
      <c r="BX138" s="401">
        <f>IF(ISBLANK(Actuals!BY46),-1422.33*Escalation!$B$73,Actuals!BY46)</f>
        <v/>
      </c>
      <c r="BY138" s="401">
        <f>IF(ISBLANK(Actuals!BZ46),-1422.33*Escalation!$B$74,Actuals!BZ46)</f>
        <v/>
      </c>
      <c r="BZ138" s="401">
        <f>IF(ISBLANK(Actuals!CA46),-1422.33*Escalation!$B$75,Actuals!CA46)</f>
        <v/>
      </c>
      <c r="CA138" s="401">
        <f>IF(ISBLANK(Actuals!CB46),-1422.33*Escalation!$B$76,Actuals!CB46)</f>
        <v/>
      </c>
      <c r="CB138" s="401">
        <f>IF(ISBLANK(Actuals!CC46),-1422.33*Escalation!$B$77,Actuals!CC46)</f>
        <v/>
      </c>
      <c r="CC138" s="401">
        <f>IF(ISBLANK(Actuals!CD46),-1422.33*Escalation!$B$78,Actuals!CD46)</f>
        <v/>
      </c>
      <c r="CD138" s="401">
        <f>IF(ISBLANK(Actuals!CE46),-1422.33*Escalation!$B$79,Actuals!CE46)</f>
        <v/>
      </c>
      <c r="CE138" s="401">
        <f>IF(ISBLANK(Actuals!CF46),-1422.33*Escalation!$B$80,Actuals!CF46)</f>
        <v/>
      </c>
      <c r="CF138" s="401">
        <f>IF(ISBLANK(Actuals!CG46),-1422.33*Escalation!$B$81,Actuals!CG46)</f>
        <v/>
      </c>
      <c r="CG138" s="401">
        <f>IF(ISBLANK(Actuals!CH46),-1422.33*Escalation!$B$82,Actuals!CH46)</f>
        <v/>
      </c>
      <c r="CH138" s="401">
        <f>IF(ISBLANK(Actuals!CI46),-1422.33*Escalation!$B$83,Actuals!CI46)</f>
        <v/>
      </c>
      <c r="CI138" s="401">
        <f>IF(ISBLANK(Actuals!CJ46),-1422.33*Escalation!$B$84,Actuals!CJ46)</f>
        <v/>
      </c>
      <c r="CJ138" s="401">
        <f>IF(ISBLANK(Actuals!CK46),-1422.33*Escalation!$B$85,Actuals!CK46)</f>
        <v/>
      </c>
      <c r="CK138" s="401">
        <f>IF(ISBLANK(Actuals!CL46),-1422.33*Escalation!$B$86,Actuals!CL46)</f>
        <v/>
      </c>
      <c r="CL138" s="401">
        <f>IF(ISBLANK(Actuals!CM46),-1422.33*Escalation!$B$87,Actuals!CM46)</f>
        <v/>
      </c>
      <c r="CM138" s="401">
        <f>IF(ISBLANK(Actuals!CN46),-1422.33*Escalation!$B$88,Actuals!CN46)</f>
        <v/>
      </c>
      <c r="CN138" s="401">
        <f>IF(ISBLANK(Actuals!CO46),-1422.33*Escalation!$B$89,Actuals!CO46)</f>
        <v/>
      </c>
      <c r="CO138" s="401">
        <f>IF(ISBLANK(Actuals!CP46),-1422.33*Escalation!$B$90,Actuals!CP46)</f>
        <v/>
      </c>
      <c r="CP138" s="401">
        <f>IF(ISBLANK(Actuals!CQ46),-1422.33*Escalation!$B$91,Actuals!CQ46)</f>
        <v/>
      </c>
      <c r="CQ138" s="401">
        <f>IF(ISBLANK(Actuals!CR46),-1422.33*Escalation!$B$92,Actuals!CR46)</f>
        <v/>
      </c>
      <c r="CR138" s="401">
        <f>IF(ISBLANK(Actuals!CS46),-1422.33*Escalation!$B$93,Actuals!CS46)</f>
        <v/>
      </c>
      <c r="CS138" s="401">
        <f>IF(ISBLANK(Actuals!CT46),-1422.33*Escalation!$B$94,Actuals!CT46)</f>
        <v/>
      </c>
      <c r="CT138" s="401">
        <f>IF(ISBLANK(Actuals!CU46),-1422.33*Escalation!$B$95,Actuals!CU46)</f>
        <v/>
      </c>
      <c r="CU138" s="401">
        <f>IF(ISBLANK(Actuals!CV46),-1422.33*Escalation!$B$96,Actuals!CV46)</f>
        <v/>
      </c>
      <c r="CV138" s="401">
        <f>IF(ISBLANK(Actuals!CW46),-1422.33*Escalation!$B$97,Actuals!CW46)</f>
        <v/>
      </c>
      <c r="CW138" s="401">
        <f>IF(ISBLANK(Actuals!CX46),-1422.33*Escalation!$B$98,Actuals!CX46)</f>
        <v/>
      </c>
      <c r="CX138" s="401">
        <f>IF(ISBLANK(Actuals!CY46),-1422.33*Escalation!$B$99,Actuals!CY46)</f>
        <v/>
      </c>
      <c r="CY138" s="401">
        <f>IF(ISBLANK(Actuals!CZ46),-1422.33*Escalation!$B$100,Actuals!CZ46)</f>
        <v/>
      </c>
      <c r="CZ138" s="401">
        <f>IF(ISBLANK(Actuals!DA46),-1422.33*Escalation!$B$101,Actuals!DA46)</f>
        <v/>
      </c>
      <c r="DA138" s="401">
        <f>IF(ISBLANK(Actuals!DB46),-1422.33*Escalation!$B$102,Actuals!DB46)</f>
        <v/>
      </c>
      <c r="DB138" s="401">
        <f>IF(ISBLANK(Actuals!DC46),-1422.33*Escalation!$B$103,Actuals!DC46)</f>
        <v/>
      </c>
      <c r="DC138" s="401">
        <f>IF(ISBLANK(Actuals!DD46),-1422.33*Escalation!$B$104,Actuals!DD46)</f>
        <v/>
      </c>
      <c r="DD138" s="401">
        <f>IF(ISBLANK(Actuals!DE46),-1422.33*Escalation!$B$105,Actuals!DE46)</f>
        <v/>
      </c>
      <c r="DE138" s="401">
        <f>IF(ISBLANK(Actuals!DF46),-1422.33*Escalation!$B$106,Actuals!DF46)</f>
        <v/>
      </c>
    </row>
    <row r="139" ht="15" customFormat="1" customHeight="1" s="380">
      <c r="A139" s="415" t="inlineStr">
        <is>
          <t>5900-1007 Landscaping</t>
        </is>
      </c>
      <c r="B139" s="401">
        <f>IF(ISBLANK(Actuals!C47),0,Actuals!C47)</f>
        <v/>
      </c>
      <c r="C139" s="401">
        <f>IF(ISBLANK(Actuals!D47),0,Actuals!D47)</f>
        <v/>
      </c>
      <c r="D139" s="401">
        <f>IF(ISBLANK(Actuals!E47),0,Actuals!E47)</f>
        <v/>
      </c>
      <c r="E139" s="401">
        <f>IF(ISBLANK(Actuals!F47),-160*Escalation!$B$2,Actuals!F47)</f>
        <v/>
      </c>
      <c r="F139" s="401">
        <f>IF(ISBLANK(Actuals!G47),-160*Escalation!$B$3,Actuals!G47)</f>
        <v/>
      </c>
      <c r="G139" s="401">
        <f>IF(ISBLANK(Actuals!H47),-160*Escalation!$B$4,Actuals!H47)</f>
        <v/>
      </c>
      <c r="H139" s="401">
        <f>IF(ISBLANK(Actuals!I47),-160*Escalation!$B$5,Actuals!I47)</f>
        <v/>
      </c>
      <c r="I139" s="401">
        <f>IF(ISBLANK(Actuals!J47),-160*Escalation!$B$6,Actuals!J47)</f>
        <v/>
      </c>
      <c r="J139" s="401">
        <f>IF(ISBLANK(Actuals!K47),-160*Escalation!$B$7,Actuals!K47)</f>
        <v/>
      </c>
      <c r="K139" s="401">
        <f>IF(ISBLANK(Actuals!L47),-160*Escalation!$B$8,Actuals!L47)</f>
        <v/>
      </c>
      <c r="L139" s="401">
        <f>IF(ISBLANK(Actuals!M47),-160*Escalation!$B$9,Actuals!M47)</f>
        <v/>
      </c>
      <c r="M139" s="401">
        <f>IF(ISBLANK(Actuals!N47),-160*Escalation!$B$10,Actuals!N47)</f>
        <v/>
      </c>
      <c r="N139" s="401">
        <f>IF(ISBLANK(Actuals!O47),-160*Escalation!$B$11,Actuals!O47)</f>
        <v/>
      </c>
      <c r="O139" s="401">
        <f>IF(ISBLANK(Actuals!P47),-160*Escalation!$B$12,Actuals!P47)</f>
        <v/>
      </c>
      <c r="P139" s="401">
        <f>IF(ISBLANK(Actuals!Q47),-160*Escalation!$B$13,Actuals!Q47)</f>
        <v/>
      </c>
      <c r="Q139" s="401">
        <f>IF(ISBLANK(Actuals!R47),-160*Escalation!$B$14,Actuals!R47)</f>
        <v/>
      </c>
      <c r="R139" s="401">
        <f>IF(ISBLANK(Actuals!S47),-160*Escalation!$B$15,Actuals!S47)</f>
        <v/>
      </c>
      <c r="S139" s="401">
        <f>IF(ISBLANK(Actuals!T47),-160*Escalation!$B$16,Actuals!T47)</f>
        <v/>
      </c>
      <c r="T139" s="401">
        <f>IF(ISBLANK(Actuals!U47),-160*Escalation!$B$17,Actuals!U47)</f>
        <v/>
      </c>
      <c r="U139" s="401">
        <f>IF(ISBLANK(Actuals!V47),-160*Escalation!$B$18,Actuals!V47)</f>
        <v/>
      </c>
      <c r="V139" s="401">
        <f>IF(ISBLANK(Actuals!W47),-160*Escalation!$B$19,Actuals!W47)</f>
        <v/>
      </c>
      <c r="W139" s="401">
        <f>IF(ISBLANK(Actuals!X47),-160*Escalation!$B$20,Actuals!X47)</f>
        <v/>
      </c>
      <c r="X139" s="401">
        <f>IF(ISBLANK(Actuals!Y47),-160*Escalation!$B$21,Actuals!Y47)</f>
        <v/>
      </c>
      <c r="Y139" s="401">
        <f>IF(ISBLANK(Actuals!Z47),-160*Escalation!$B$22,Actuals!Z47)</f>
        <v/>
      </c>
      <c r="Z139" s="401">
        <f>IF(ISBLANK(Actuals!AA47),-160*Escalation!$B$23,Actuals!AA47)</f>
        <v/>
      </c>
      <c r="AA139" s="401">
        <f>IF(ISBLANK(Actuals!AB47),-160*Escalation!$B$24,Actuals!AB47)</f>
        <v/>
      </c>
      <c r="AB139" s="401">
        <f>IF(ISBLANK(Actuals!AC47),-160*Escalation!$B$25,Actuals!AC47)</f>
        <v/>
      </c>
      <c r="AC139" s="401">
        <f>IF(ISBLANK(Actuals!AD47),-160*Escalation!$B$26,Actuals!AD47)</f>
        <v/>
      </c>
      <c r="AD139" s="401">
        <f>IF(ISBLANK(Actuals!AE47),-160*Escalation!$B$27,Actuals!AE47)</f>
        <v/>
      </c>
      <c r="AE139" s="401">
        <f>IF(ISBLANK(Actuals!AF47),-160*Escalation!$B$28,Actuals!AF47)</f>
        <v/>
      </c>
      <c r="AF139" s="401">
        <f>IF(ISBLANK(Actuals!AG47),-160*Escalation!$B$29,Actuals!AG47)</f>
        <v/>
      </c>
      <c r="AG139" s="401">
        <f>IF(ISBLANK(Actuals!AH47),-160*Escalation!$B$30,Actuals!AH47)</f>
        <v/>
      </c>
      <c r="AH139" s="401">
        <f>IF(ISBLANK(Actuals!AI47),-160*Escalation!$B$31,Actuals!AI47)</f>
        <v/>
      </c>
      <c r="AI139" s="401">
        <f>IF(ISBLANK(Actuals!AJ47),-160*Escalation!$B$32,Actuals!AJ47)</f>
        <v/>
      </c>
      <c r="AJ139" s="401">
        <f>IF(ISBLANK(Actuals!AK47),-160*Escalation!$B$33,Actuals!AK47)</f>
        <v/>
      </c>
      <c r="AK139" s="401">
        <f>IF(ISBLANK(Actuals!AL47),-160*Escalation!$B$34,Actuals!AL47)</f>
        <v/>
      </c>
      <c r="AL139" s="401">
        <f>IF(ISBLANK(Actuals!AM47),-160*Escalation!$B$35,Actuals!AM47)</f>
        <v/>
      </c>
      <c r="AM139" s="401">
        <f>IF(ISBLANK(Actuals!AN47),-160*Escalation!$B$36,Actuals!AN47)</f>
        <v/>
      </c>
      <c r="AN139" s="401">
        <f>IF(ISBLANK(Actuals!AO47),-160*Escalation!$B$37,Actuals!AO47)</f>
        <v/>
      </c>
      <c r="AO139" s="401">
        <f>IF(ISBLANK(Actuals!AP47),-160*Escalation!$B$38,Actuals!AP47)</f>
        <v/>
      </c>
      <c r="AP139" s="401">
        <f>IF(ISBLANK(Actuals!AQ47),-160*Escalation!$B$39,Actuals!AQ47)</f>
        <v/>
      </c>
      <c r="AQ139" s="401">
        <f>IF(ISBLANK(Actuals!AR47),-160*Escalation!$B$40,Actuals!AR47)</f>
        <v/>
      </c>
      <c r="AR139" s="401">
        <f>IF(ISBLANK(Actuals!AS47),-160*Escalation!$B$41,Actuals!AS47)</f>
        <v/>
      </c>
      <c r="AS139" s="401">
        <f>IF(ISBLANK(Actuals!AT47),-160*Escalation!$B$42,Actuals!AT47)</f>
        <v/>
      </c>
      <c r="AT139" s="401">
        <f>IF(ISBLANK(Actuals!AU47),-160*Escalation!$B$43,Actuals!AU47)</f>
        <v/>
      </c>
      <c r="AU139" s="401">
        <f>IF(ISBLANK(Actuals!AV47),-160*Escalation!$B$44,Actuals!AV47)</f>
        <v/>
      </c>
      <c r="AV139" s="401">
        <f>IF(ISBLANK(Actuals!AW47),-160*Escalation!$B$45,Actuals!AW47)</f>
        <v/>
      </c>
      <c r="AW139" s="401">
        <f>IF(ISBLANK(Actuals!AX47),-160*Escalation!$B$46,Actuals!AX47)</f>
        <v/>
      </c>
      <c r="AX139" s="401">
        <f>IF(ISBLANK(Actuals!AY47),-160*Escalation!$B$47,Actuals!AY47)</f>
        <v/>
      </c>
      <c r="AY139" s="401">
        <f>IF(ISBLANK(Actuals!AZ47),-160*Escalation!$B$48,Actuals!AZ47)</f>
        <v/>
      </c>
      <c r="AZ139" s="401">
        <f>IF(ISBLANK(Actuals!BA47),-160*Escalation!$B$49,Actuals!BA47)</f>
        <v/>
      </c>
      <c r="BA139" s="401">
        <f>IF(ISBLANK(Actuals!BB47),-160*Escalation!$B$50,Actuals!BB47)</f>
        <v/>
      </c>
      <c r="BB139" s="401">
        <f>IF(ISBLANK(Actuals!BC47),-160*Escalation!$B$51,Actuals!BC47)</f>
        <v/>
      </c>
      <c r="BC139" s="401">
        <f>IF(ISBLANK(Actuals!BD47),-160*Escalation!$B$52,Actuals!BD47)</f>
        <v/>
      </c>
      <c r="BD139" s="401">
        <f>IF(ISBLANK(Actuals!BE47),-160*Escalation!$B$53,Actuals!BE47)</f>
        <v/>
      </c>
      <c r="BE139" s="401">
        <f>IF(ISBLANK(Actuals!BF47),-160*Escalation!$B$54,Actuals!BF47)</f>
        <v/>
      </c>
      <c r="BF139" s="401">
        <f>IF(ISBLANK(Actuals!BG47),-160*Escalation!$B$55,Actuals!BG47)</f>
        <v/>
      </c>
      <c r="BG139" s="401">
        <f>IF(ISBLANK(Actuals!BH47),-160*Escalation!$B$56,Actuals!BH47)</f>
        <v/>
      </c>
      <c r="BH139" s="401">
        <f>IF(ISBLANK(Actuals!BI47),-160*Escalation!$B$57,Actuals!BI47)</f>
        <v/>
      </c>
      <c r="BI139" s="401">
        <f>IF(ISBLANK(Actuals!BJ47),-160*Escalation!$B$58,Actuals!BJ47)</f>
        <v/>
      </c>
      <c r="BJ139" s="401">
        <f>IF(ISBLANK(Actuals!BK47),-160*Escalation!$B$59,Actuals!BK47)</f>
        <v/>
      </c>
      <c r="BK139" s="401">
        <f>IF(ISBLANK(Actuals!BL47),-160*Escalation!$B$60,Actuals!BL47)</f>
        <v/>
      </c>
      <c r="BL139" s="401">
        <f>IF(ISBLANK(Actuals!BM47),-160*Escalation!$B$61,Actuals!BM47)</f>
        <v/>
      </c>
      <c r="BM139" s="401">
        <f>IF(ISBLANK(Actuals!BN47),-160*Escalation!$B$62,Actuals!BN47)</f>
        <v/>
      </c>
      <c r="BN139" s="401">
        <f>IF(ISBLANK(Actuals!BO47),-160*Escalation!$B$63,Actuals!BO47)</f>
        <v/>
      </c>
      <c r="BO139" s="401">
        <f>IF(ISBLANK(Actuals!BP47),-160*Escalation!$B$64,Actuals!BP47)</f>
        <v/>
      </c>
      <c r="BP139" s="401">
        <f>IF(ISBLANK(Actuals!BQ47),-160*Escalation!$B$65,Actuals!BQ47)</f>
        <v/>
      </c>
      <c r="BQ139" s="401">
        <f>IF(ISBLANK(Actuals!BR47),-160*Escalation!$B$66,Actuals!BR47)</f>
        <v/>
      </c>
      <c r="BR139" s="401">
        <f>IF(ISBLANK(Actuals!BS47),-160*Escalation!$B$67,Actuals!BS47)</f>
        <v/>
      </c>
      <c r="BS139" s="401">
        <f>IF(ISBLANK(Actuals!BT47),-160*Escalation!$B$68,Actuals!BT47)</f>
        <v/>
      </c>
      <c r="BT139" s="401">
        <f>IF(ISBLANK(Actuals!BU47),-160*Escalation!$B$69,Actuals!BU47)</f>
        <v/>
      </c>
      <c r="BU139" s="401">
        <f>IF(ISBLANK(Actuals!BV47),-160*Escalation!$B$70,Actuals!BV47)</f>
        <v/>
      </c>
      <c r="BV139" s="401">
        <f>IF(ISBLANK(Actuals!BW47),-160*Escalation!$B$71,Actuals!BW47)</f>
        <v/>
      </c>
      <c r="BW139" s="401">
        <f>IF(ISBLANK(Actuals!BX47),-160*Escalation!$B$72,Actuals!BX47)</f>
        <v/>
      </c>
      <c r="BX139" s="401">
        <f>IF(ISBLANK(Actuals!BY47),-160*Escalation!$B$73,Actuals!BY47)</f>
        <v/>
      </c>
      <c r="BY139" s="401">
        <f>IF(ISBLANK(Actuals!BZ47),-160*Escalation!$B$74,Actuals!BZ47)</f>
        <v/>
      </c>
      <c r="BZ139" s="401">
        <f>IF(ISBLANK(Actuals!CA47),-160*Escalation!$B$75,Actuals!CA47)</f>
        <v/>
      </c>
      <c r="CA139" s="401">
        <f>IF(ISBLANK(Actuals!CB47),-160*Escalation!$B$76,Actuals!CB47)</f>
        <v/>
      </c>
      <c r="CB139" s="401">
        <f>IF(ISBLANK(Actuals!CC47),-160*Escalation!$B$77,Actuals!CC47)</f>
        <v/>
      </c>
      <c r="CC139" s="401">
        <f>IF(ISBLANK(Actuals!CD47),-160*Escalation!$B$78,Actuals!CD47)</f>
        <v/>
      </c>
      <c r="CD139" s="401">
        <f>IF(ISBLANK(Actuals!CE47),-160*Escalation!$B$79,Actuals!CE47)</f>
        <v/>
      </c>
      <c r="CE139" s="401">
        <f>IF(ISBLANK(Actuals!CF47),-160*Escalation!$B$80,Actuals!CF47)</f>
        <v/>
      </c>
      <c r="CF139" s="401">
        <f>IF(ISBLANK(Actuals!CG47),-160*Escalation!$B$81,Actuals!CG47)</f>
        <v/>
      </c>
      <c r="CG139" s="401">
        <f>IF(ISBLANK(Actuals!CH47),-160*Escalation!$B$82,Actuals!CH47)</f>
        <v/>
      </c>
      <c r="CH139" s="401">
        <f>IF(ISBLANK(Actuals!CI47),-160*Escalation!$B$83,Actuals!CI47)</f>
        <v/>
      </c>
      <c r="CI139" s="401">
        <f>IF(ISBLANK(Actuals!CJ47),-160*Escalation!$B$84,Actuals!CJ47)</f>
        <v/>
      </c>
      <c r="CJ139" s="401">
        <f>IF(ISBLANK(Actuals!CK47),-160*Escalation!$B$85,Actuals!CK47)</f>
        <v/>
      </c>
      <c r="CK139" s="401">
        <f>IF(ISBLANK(Actuals!CL47),-160*Escalation!$B$86,Actuals!CL47)</f>
        <v/>
      </c>
      <c r="CL139" s="401">
        <f>IF(ISBLANK(Actuals!CM47),-160*Escalation!$B$87,Actuals!CM47)</f>
        <v/>
      </c>
      <c r="CM139" s="401">
        <f>IF(ISBLANK(Actuals!CN47),-160*Escalation!$B$88,Actuals!CN47)</f>
        <v/>
      </c>
      <c r="CN139" s="401">
        <f>IF(ISBLANK(Actuals!CO47),-160*Escalation!$B$89,Actuals!CO47)</f>
        <v/>
      </c>
      <c r="CO139" s="401">
        <f>IF(ISBLANK(Actuals!CP47),-160*Escalation!$B$90,Actuals!CP47)</f>
        <v/>
      </c>
      <c r="CP139" s="401">
        <f>IF(ISBLANK(Actuals!CQ47),-160*Escalation!$B$91,Actuals!CQ47)</f>
        <v/>
      </c>
      <c r="CQ139" s="401">
        <f>IF(ISBLANK(Actuals!CR47),-160*Escalation!$B$92,Actuals!CR47)</f>
        <v/>
      </c>
      <c r="CR139" s="401">
        <f>IF(ISBLANK(Actuals!CS47),-160*Escalation!$B$93,Actuals!CS47)</f>
        <v/>
      </c>
      <c r="CS139" s="401">
        <f>IF(ISBLANK(Actuals!CT47),-160*Escalation!$B$94,Actuals!CT47)</f>
        <v/>
      </c>
      <c r="CT139" s="401">
        <f>IF(ISBLANK(Actuals!CU47),-160*Escalation!$B$95,Actuals!CU47)</f>
        <v/>
      </c>
      <c r="CU139" s="401">
        <f>IF(ISBLANK(Actuals!CV47),-160*Escalation!$B$96,Actuals!CV47)</f>
        <v/>
      </c>
      <c r="CV139" s="401">
        <f>IF(ISBLANK(Actuals!CW47),-160*Escalation!$B$97,Actuals!CW47)</f>
        <v/>
      </c>
      <c r="CW139" s="401">
        <f>IF(ISBLANK(Actuals!CX47),-160*Escalation!$B$98,Actuals!CX47)</f>
        <v/>
      </c>
      <c r="CX139" s="401">
        <f>IF(ISBLANK(Actuals!CY47),-160*Escalation!$B$99,Actuals!CY47)</f>
        <v/>
      </c>
      <c r="CY139" s="401">
        <f>IF(ISBLANK(Actuals!CZ47),-160*Escalation!$B$100,Actuals!CZ47)</f>
        <v/>
      </c>
      <c r="CZ139" s="401">
        <f>IF(ISBLANK(Actuals!DA47),-160*Escalation!$B$101,Actuals!DA47)</f>
        <v/>
      </c>
      <c r="DA139" s="401">
        <f>IF(ISBLANK(Actuals!DB47),-160*Escalation!$B$102,Actuals!DB47)</f>
        <v/>
      </c>
      <c r="DB139" s="401">
        <f>IF(ISBLANK(Actuals!DC47),-160*Escalation!$B$103,Actuals!DC47)</f>
        <v/>
      </c>
      <c r="DC139" s="401">
        <f>IF(ISBLANK(Actuals!DD47),-160*Escalation!$B$104,Actuals!DD47)</f>
        <v/>
      </c>
      <c r="DD139" s="401">
        <f>IF(ISBLANK(Actuals!DE47),-160*Escalation!$B$105,Actuals!DE47)</f>
        <v/>
      </c>
      <c r="DE139" s="401">
        <f>IF(ISBLANK(Actuals!DF47),-160*Escalation!$B$106,Actuals!DF47)</f>
        <v/>
      </c>
    </row>
    <row r="140" ht="15" customFormat="1" customHeight="1" s="380">
      <c r="A140" s="415" t="inlineStr">
        <is>
          <t>5900-1040 Warranty and Other Job Adjustments</t>
        </is>
      </c>
      <c r="B140" s="401">
        <f>IF(ISBLANK(Actuals!C48),0,Actuals!C48)</f>
        <v/>
      </c>
      <c r="C140" s="401">
        <f>IF(ISBLANK(Actuals!D48),0,Actuals!D48)</f>
        <v/>
      </c>
      <c r="D140" s="401">
        <f>IF(ISBLANK(Actuals!E48),0,Actuals!E48)</f>
        <v/>
      </c>
      <c r="E140" s="401">
        <f>IF(ISBLANK(Actuals!F48),-5000*Escalation!$B$2,Actuals!F48)</f>
        <v/>
      </c>
      <c r="F140" s="401">
        <f>IF(ISBLANK(Actuals!G48),-5000*Escalation!$B$3,Actuals!G48)</f>
        <v/>
      </c>
      <c r="G140" s="401">
        <f>IF(ISBLANK(Actuals!H48),-5000*Escalation!$B$4,Actuals!H48)</f>
        <v/>
      </c>
      <c r="H140" s="401">
        <f>IF(ISBLANK(Actuals!I48),-5000*Escalation!$B$5,Actuals!I48)</f>
        <v/>
      </c>
      <c r="I140" s="401">
        <f>IF(ISBLANK(Actuals!J48),-5000*Escalation!$B$6,Actuals!J48)</f>
        <v/>
      </c>
      <c r="J140" s="401">
        <f>IF(ISBLANK(Actuals!K48),-5000*Escalation!$B$7,Actuals!K48)</f>
        <v/>
      </c>
      <c r="K140" s="401">
        <f>IF(ISBLANK(Actuals!L48),-5000*Escalation!$B$8,Actuals!L48)</f>
        <v/>
      </c>
      <c r="L140" s="401">
        <f>IF(ISBLANK(Actuals!M48),-5000*Escalation!$B$9,Actuals!M48)</f>
        <v/>
      </c>
      <c r="M140" s="401">
        <f>IF(ISBLANK(Actuals!N48),-5000*Escalation!$B$10,Actuals!N48)</f>
        <v/>
      </c>
      <c r="N140" s="401">
        <f>IF(ISBLANK(Actuals!O48),-5000*Escalation!$B$11,Actuals!O48)</f>
        <v/>
      </c>
      <c r="O140" s="401">
        <f>IF(ISBLANK(Actuals!P48),-5000*Escalation!$B$12,Actuals!P48)</f>
        <v/>
      </c>
      <c r="P140" s="401">
        <f>IF(ISBLANK(Actuals!Q48),-5000*Escalation!$B$13,Actuals!Q48)</f>
        <v/>
      </c>
      <c r="Q140" s="401">
        <f>IF(ISBLANK(Actuals!R48),-5000*Escalation!$B$14,Actuals!R48)</f>
        <v/>
      </c>
      <c r="R140" s="401">
        <f>IF(ISBLANK(Actuals!S48),-5000*Escalation!$B$15,Actuals!S48)</f>
        <v/>
      </c>
      <c r="S140" s="401">
        <f>IF(ISBLANK(Actuals!T48),-5000*Escalation!$B$16,Actuals!T48)</f>
        <v/>
      </c>
      <c r="T140" s="401">
        <f>IF(ISBLANK(Actuals!U48),-5000*Escalation!$B$17,Actuals!U48)</f>
        <v/>
      </c>
      <c r="U140" s="401">
        <f>IF(ISBLANK(Actuals!V48),-5000*Escalation!$B$18,Actuals!V48)</f>
        <v/>
      </c>
      <c r="V140" s="401">
        <f>IF(ISBLANK(Actuals!W48),-5000*Escalation!$B$19,Actuals!W48)</f>
        <v/>
      </c>
      <c r="W140" s="401">
        <f>IF(ISBLANK(Actuals!X48),-5000*Escalation!$B$20,Actuals!X48)</f>
        <v/>
      </c>
      <c r="X140" s="401">
        <f>IF(ISBLANK(Actuals!Y48),-5000*Escalation!$B$21,Actuals!Y48)</f>
        <v/>
      </c>
      <c r="Y140" s="401">
        <f>IF(ISBLANK(Actuals!Z48),-5000*Escalation!$B$22,Actuals!Z48)</f>
        <v/>
      </c>
      <c r="Z140" s="401">
        <f>IF(ISBLANK(Actuals!AA48),-5000*Escalation!$B$23,Actuals!AA48)</f>
        <v/>
      </c>
      <c r="AA140" s="401">
        <f>IF(ISBLANK(Actuals!AB48),-5000*Escalation!$B$24,Actuals!AB48)</f>
        <v/>
      </c>
      <c r="AB140" s="401">
        <f>IF(ISBLANK(Actuals!AC48),-5000*Escalation!$B$25,Actuals!AC48)</f>
        <v/>
      </c>
      <c r="AC140" s="401">
        <f>IF(ISBLANK(Actuals!AD48),-5000*Escalation!$B$26,Actuals!AD48)</f>
        <v/>
      </c>
      <c r="AD140" s="401">
        <f>IF(ISBLANK(Actuals!AE48),-5000*Escalation!$B$27,Actuals!AE48)</f>
        <v/>
      </c>
      <c r="AE140" s="401">
        <f>IF(ISBLANK(Actuals!AF48),-5000*Escalation!$B$28,Actuals!AF48)</f>
        <v/>
      </c>
      <c r="AF140" s="401">
        <f>IF(ISBLANK(Actuals!AG48),-5000*Escalation!$B$29,Actuals!AG48)</f>
        <v/>
      </c>
      <c r="AG140" s="401">
        <f>IF(ISBLANK(Actuals!AH48),-5000*Escalation!$B$30,Actuals!AH48)</f>
        <v/>
      </c>
      <c r="AH140" s="401">
        <f>IF(ISBLANK(Actuals!AI48),-5000*Escalation!$B$31,Actuals!AI48)</f>
        <v/>
      </c>
      <c r="AI140" s="401">
        <f>IF(ISBLANK(Actuals!AJ48),-5000*Escalation!$B$32,Actuals!AJ48)</f>
        <v/>
      </c>
      <c r="AJ140" s="401">
        <f>IF(ISBLANK(Actuals!AK48),-5000*Escalation!$B$33,Actuals!AK48)</f>
        <v/>
      </c>
      <c r="AK140" s="401">
        <f>IF(ISBLANK(Actuals!AL48),-5000*Escalation!$B$34,Actuals!AL48)</f>
        <v/>
      </c>
      <c r="AL140" s="401">
        <f>IF(ISBLANK(Actuals!AM48),-5000*Escalation!$B$35,Actuals!AM48)</f>
        <v/>
      </c>
      <c r="AM140" s="401">
        <f>IF(ISBLANK(Actuals!AN48),-5000*Escalation!$B$36,Actuals!AN48)</f>
        <v/>
      </c>
      <c r="AN140" s="401">
        <f>IF(ISBLANK(Actuals!AO48),-5000*Escalation!$B$37,Actuals!AO48)</f>
        <v/>
      </c>
      <c r="AO140" s="401">
        <f>IF(ISBLANK(Actuals!AP48),-5000*Escalation!$B$38,Actuals!AP48)</f>
        <v/>
      </c>
      <c r="AP140" s="401">
        <f>IF(ISBLANK(Actuals!AQ48),-5000*Escalation!$B$39,Actuals!AQ48)</f>
        <v/>
      </c>
      <c r="AQ140" s="401">
        <f>IF(ISBLANK(Actuals!AR48),-5000*Escalation!$B$40,Actuals!AR48)</f>
        <v/>
      </c>
      <c r="AR140" s="401">
        <f>IF(ISBLANK(Actuals!AS48),-5000*Escalation!$B$41,Actuals!AS48)</f>
        <v/>
      </c>
      <c r="AS140" s="401">
        <f>IF(ISBLANK(Actuals!AT48),-5000*Escalation!$B$42,Actuals!AT48)</f>
        <v/>
      </c>
      <c r="AT140" s="401">
        <f>IF(ISBLANK(Actuals!AU48),-5000*Escalation!$B$43,Actuals!AU48)</f>
        <v/>
      </c>
      <c r="AU140" s="401">
        <f>IF(ISBLANK(Actuals!AV48),-5000*Escalation!$B$44,Actuals!AV48)</f>
        <v/>
      </c>
      <c r="AV140" s="401">
        <f>IF(ISBLANK(Actuals!AW48),-5000*Escalation!$B$45,Actuals!AW48)</f>
        <v/>
      </c>
      <c r="AW140" s="401">
        <f>IF(ISBLANK(Actuals!AX48),-5000*Escalation!$B$46,Actuals!AX48)</f>
        <v/>
      </c>
      <c r="AX140" s="401">
        <f>IF(ISBLANK(Actuals!AY48),-5000*Escalation!$B$47,Actuals!AY48)</f>
        <v/>
      </c>
      <c r="AY140" s="401">
        <f>IF(ISBLANK(Actuals!AZ48),-5000*Escalation!$B$48,Actuals!AZ48)</f>
        <v/>
      </c>
      <c r="AZ140" s="401">
        <f>IF(ISBLANK(Actuals!BA48),-5000*Escalation!$B$49,Actuals!BA48)</f>
        <v/>
      </c>
      <c r="BA140" s="401">
        <f>IF(ISBLANK(Actuals!BB48),-5000*Escalation!$B$50,Actuals!BB48)</f>
        <v/>
      </c>
      <c r="BB140" s="401">
        <f>IF(ISBLANK(Actuals!BC48),-5000*Escalation!$B$51,Actuals!BC48)</f>
        <v/>
      </c>
      <c r="BC140" s="401">
        <f>IF(ISBLANK(Actuals!BD48),-5000*Escalation!$B$52,Actuals!BD48)</f>
        <v/>
      </c>
      <c r="BD140" s="401">
        <f>IF(ISBLANK(Actuals!BE48),-5000*Escalation!$B$53,Actuals!BE48)</f>
        <v/>
      </c>
      <c r="BE140" s="401">
        <f>IF(ISBLANK(Actuals!BF48),-5000*Escalation!$B$54,Actuals!BF48)</f>
        <v/>
      </c>
      <c r="BF140" s="401">
        <f>IF(ISBLANK(Actuals!BG48),-5000*Escalation!$B$55,Actuals!BG48)</f>
        <v/>
      </c>
      <c r="BG140" s="401">
        <f>IF(ISBLANK(Actuals!BH48),-5000*Escalation!$B$56,Actuals!BH48)</f>
        <v/>
      </c>
      <c r="BH140" s="401">
        <f>IF(ISBLANK(Actuals!BI48),-5000*Escalation!$B$57,Actuals!BI48)</f>
        <v/>
      </c>
      <c r="BI140" s="401">
        <f>IF(ISBLANK(Actuals!BJ48),-5000*Escalation!$B$58,Actuals!BJ48)</f>
        <v/>
      </c>
      <c r="BJ140" s="401">
        <f>IF(ISBLANK(Actuals!BK48),-5000*Escalation!$B$59,Actuals!BK48)</f>
        <v/>
      </c>
      <c r="BK140" s="401">
        <f>IF(ISBLANK(Actuals!BL48),-5000*Escalation!$B$60,Actuals!BL48)</f>
        <v/>
      </c>
      <c r="BL140" s="401">
        <f>IF(ISBLANK(Actuals!BM48),-5000*Escalation!$B$61,Actuals!BM48)</f>
        <v/>
      </c>
      <c r="BM140" s="401">
        <f>IF(ISBLANK(Actuals!BN48),-5000*Escalation!$B$62,Actuals!BN48)</f>
        <v/>
      </c>
      <c r="BN140" s="401">
        <f>IF(ISBLANK(Actuals!BO48),-5000*Escalation!$B$63,Actuals!BO48)</f>
        <v/>
      </c>
      <c r="BO140" s="401">
        <f>IF(ISBLANK(Actuals!BP48),-5000*Escalation!$B$64,Actuals!BP48)</f>
        <v/>
      </c>
      <c r="BP140" s="401">
        <f>IF(ISBLANK(Actuals!BQ48),-5000*Escalation!$B$65,Actuals!BQ48)</f>
        <v/>
      </c>
      <c r="BQ140" s="401">
        <f>IF(ISBLANK(Actuals!BR48),-5000*Escalation!$B$66,Actuals!BR48)</f>
        <v/>
      </c>
      <c r="BR140" s="401">
        <f>IF(ISBLANK(Actuals!BS48),-5000*Escalation!$B$67,Actuals!BS48)</f>
        <v/>
      </c>
      <c r="BS140" s="401">
        <f>IF(ISBLANK(Actuals!BT48),-5000*Escalation!$B$68,Actuals!BT48)</f>
        <v/>
      </c>
      <c r="BT140" s="401">
        <f>IF(ISBLANK(Actuals!BU48),-5000*Escalation!$B$69,Actuals!BU48)</f>
        <v/>
      </c>
      <c r="BU140" s="401">
        <f>IF(ISBLANK(Actuals!BV48),-5000*Escalation!$B$70,Actuals!BV48)</f>
        <v/>
      </c>
      <c r="BV140" s="401">
        <f>IF(ISBLANK(Actuals!BW48),-5000*Escalation!$B$71,Actuals!BW48)</f>
        <v/>
      </c>
      <c r="BW140" s="401">
        <f>IF(ISBLANK(Actuals!BX48),-5000*Escalation!$B$72,Actuals!BX48)</f>
        <v/>
      </c>
      <c r="BX140" s="401">
        <f>IF(ISBLANK(Actuals!BY48),-5000*Escalation!$B$73,Actuals!BY48)</f>
        <v/>
      </c>
      <c r="BY140" s="401">
        <f>IF(ISBLANK(Actuals!BZ48),-5000*Escalation!$B$74,Actuals!BZ48)</f>
        <v/>
      </c>
      <c r="BZ140" s="401">
        <f>IF(ISBLANK(Actuals!CA48),-5000*Escalation!$B$75,Actuals!CA48)</f>
        <v/>
      </c>
      <c r="CA140" s="401">
        <f>IF(ISBLANK(Actuals!CB48),-5000*Escalation!$B$76,Actuals!CB48)</f>
        <v/>
      </c>
      <c r="CB140" s="401">
        <f>IF(ISBLANK(Actuals!CC48),-5000*Escalation!$B$77,Actuals!CC48)</f>
        <v/>
      </c>
      <c r="CC140" s="401">
        <f>IF(ISBLANK(Actuals!CD48),-5000*Escalation!$B$78,Actuals!CD48)</f>
        <v/>
      </c>
      <c r="CD140" s="401">
        <f>IF(ISBLANK(Actuals!CE48),-5000*Escalation!$B$79,Actuals!CE48)</f>
        <v/>
      </c>
      <c r="CE140" s="401">
        <f>IF(ISBLANK(Actuals!CF48),-5000*Escalation!$B$80,Actuals!CF48)</f>
        <v/>
      </c>
      <c r="CF140" s="401">
        <f>IF(ISBLANK(Actuals!CG48),-5000*Escalation!$B$81,Actuals!CG48)</f>
        <v/>
      </c>
      <c r="CG140" s="401">
        <f>IF(ISBLANK(Actuals!CH48),-5000*Escalation!$B$82,Actuals!CH48)</f>
        <v/>
      </c>
      <c r="CH140" s="401">
        <f>IF(ISBLANK(Actuals!CI48),-5000*Escalation!$B$83,Actuals!CI48)</f>
        <v/>
      </c>
      <c r="CI140" s="401">
        <f>IF(ISBLANK(Actuals!CJ48),-5000*Escalation!$B$84,Actuals!CJ48)</f>
        <v/>
      </c>
      <c r="CJ140" s="401">
        <f>IF(ISBLANK(Actuals!CK48),-5000*Escalation!$B$85,Actuals!CK48)</f>
        <v/>
      </c>
      <c r="CK140" s="401">
        <f>IF(ISBLANK(Actuals!CL48),-5000*Escalation!$B$86,Actuals!CL48)</f>
        <v/>
      </c>
      <c r="CL140" s="401">
        <f>IF(ISBLANK(Actuals!CM48),-5000*Escalation!$B$87,Actuals!CM48)</f>
        <v/>
      </c>
      <c r="CM140" s="401">
        <f>IF(ISBLANK(Actuals!CN48),-5000*Escalation!$B$88,Actuals!CN48)</f>
        <v/>
      </c>
      <c r="CN140" s="401">
        <f>IF(ISBLANK(Actuals!CO48),-5000*Escalation!$B$89,Actuals!CO48)</f>
        <v/>
      </c>
      <c r="CO140" s="401">
        <f>IF(ISBLANK(Actuals!CP48),-5000*Escalation!$B$90,Actuals!CP48)</f>
        <v/>
      </c>
      <c r="CP140" s="401">
        <f>IF(ISBLANK(Actuals!CQ48),-5000*Escalation!$B$91,Actuals!CQ48)</f>
        <v/>
      </c>
      <c r="CQ140" s="401">
        <f>IF(ISBLANK(Actuals!CR48),-5000*Escalation!$B$92,Actuals!CR48)</f>
        <v/>
      </c>
      <c r="CR140" s="401">
        <f>IF(ISBLANK(Actuals!CS48),-5000*Escalation!$B$93,Actuals!CS48)</f>
        <v/>
      </c>
      <c r="CS140" s="401">
        <f>IF(ISBLANK(Actuals!CT48),-5000*Escalation!$B$94,Actuals!CT48)</f>
        <v/>
      </c>
      <c r="CT140" s="401">
        <f>IF(ISBLANK(Actuals!CU48),-5000*Escalation!$B$95,Actuals!CU48)</f>
        <v/>
      </c>
      <c r="CU140" s="401">
        <f>IF(ISBLANK(Actuals!CV48),-5000*Escalation!$B$96,Actuals!CV48)</f>
        <v/>
      </c>
      <c r="CV140" s="401">
        <f>IF(ISBLANK(Actuals!CW48),-5000*Escalation!$B$97,Actuals!CW48)</f>
        <v/>
      </c>
      <c r="CW140" s="401">
        <f>IF(ISBLANK(Actuals!CX48),-5000*Escalation!$B$98,Actuals!CX48)</f>
        <v/>
      </c>
      <c r="CX140" s="401">
        <f>IF(ISBLANK(Actuals!CY48),-5000*Escalation!$B$99,Actuals!CY48)</f>
        <v/>
      </c>
      <c r="CY140" s="401">
        <f>IF(ISBLANK(Actuals!CZ48),-5000*Escalation!$B$100,Actuals!CZ48)</f>
        <v/>
      </c>
      <c r="CZ140" s="401">
        <f>IF(ISBLANK(Actuals!DA48),-5000*Escalation!$B$101,Actuals!DA48)</f>
        <v/>
      </c>
      <c r="DA140" s="401">
        <f>IF(ISBLANK(Actuals!DB48),-5000*Escalation!$B$102,Actuals!DB48)</f>
        <v/>
      </c>
      <c r="DB140" s="401">
        <f>IF(ISBLANK(Actuals!DC48),-5000*Escalation!$B$103,Actuals!DC48)</f>
        <v/>
      </c>
      <c r="DC140" s="401">
        <f>IF(ISBLANK(Actuals!DD48),-5000*Escalation!$B$104,Actuals!DD48)</f>
        <v/>
      </c>
      <c r="DD140" s="401">
        <f>IF(ISBLANK(Actuals!DE48),-5000*Escalation!$B$105,Actuals!DE48)</f>
        <v/>
      </c>
      <c r="DE140" s="401">
        <f>IF(ISBLANK(Actuals!DF48),-5000*Escalation!$B$106,Actuals!DF48)</f>
        <v/>
      </c>
    </row>
    <row r="141" ht="15" customFormat="1" customHeight="1" s="380">
      <c r="A141" s="415" t="inlineStr">
        <is>
          <t>5900-1075 Miscellaneous Expense</t>
        </is>
      </c>
      <c r="B141" s="401">
        <f>IF(ISBLANK(Actuals!C49),0,Actuals!C49)</f>
        <v/>
      </c>
      <c r="C141" s="401">
        <f>IF(ISBLANK(Actuals!D49),0,Actuals!D49)</f>
        <v/>
      </c>
      <c r="D141" s="401">
        <f>IF(ISBLANK(Actuals!E49),0,Actuals!E49)</f>
        <v/>
      </c>
      <c r="E141" s="401">
        <f>IF(ISBLANK(Actuals!F49),-417.6*Escalation!$B$2,Actuals!F49)</f>
        <v/>
      </c>
      <c r="F141" s="401">
        <f>IF(ISBLANK(Actuals!G49),-417.6*Escalation!$B$3,Actuals!G49)</f>
        <v/>
      </c>
      <c r="G141" s="401">
        <f>IF(ISBLANK(Actuals!H49),-417.6*Escalation!$B$4,Actuals!H49)</f>
        <v/>
      </c>
      <c r="H141" s="401">
        <f>IF(ISBLANK(Actuals!I49),-417.6*Escalation!$B$5,Actuals!I49)</f>
        <v/>
      </c>
      <c r="I141" s="401">
        <f>IF(ISBLANK(Actuals!J49),-417.6*Escalation!$B$6,Actuals!J49)</f>
        <v/>
      </c>
      <c r="J141" s="401">
        <f>IF(ISBLANK(Actuals!K49),-417.6*Escalation!$B$7,Actuals!K49)</f>
        <v/>
      </c>
      <c r="K141" s="401">
        <f>IF(ISBLANK(Actuals!L49),-417.6*Escalation!$B$8,Actuals!L49)</f>
        <v/>
      </c>
      <c r="L141" s="401">
        <f>IF(ISBLANK(Actuals!M49),-417.6*Escalation!$B$9,Actuals!M49)</f>
        <v/>
      </c>
      <c r="M141" s="401">
        <f>IF(ISBLANK(Actuals!N49),-417.6*Escalation!$B$10,Actuals!N49)</f>
        <v/>
      </c>
      <c r="N141" s="401">
        <f>IF(ISBLANK(Actuals!O49),-417.6*Escalation!$B$11,Actuals!O49)</f>
        <v/>
      </c>
      <c r="O141" s="401">
        <f>IF(ISBLANK(Actuals!P49),-417.6*Escalation!$B$12,Actuals!P49)</f>
        <v/>
      </c>
      <c r="P141" s="401">
        <f>IF(ISBLANK(Actuals!Q49),-417.6*Escalation!$B$13,Actuals!Q49)</f>
        <v/>
      </c>
      <c r="Q141" s="401">
        <f>IF(ISBLANK(Actuals!R49),-417.6*Escalation!$B$14,Actuals!R49)</f>
        <v/>
      </c>
      <c r="R141" s="401">
        <f>IF(ISBLANK(Actuals!S49),-417.6*Escalation!$B$15,Actuals!S49)</f>
        <v/>
      </c>
      <c r="S141" s="401">
        <f>IF(ISBLANK(Actuals!T49),-417.6*Escalation!$B$16,Actuals!T49)</f>
        <v/>
      </c>
      <c r="T141" s="401">
        <f>IF(ISBLANK(Actuals!U49),-417.6*Escalation!$B$17,Actuals!U49)</f>
        <v/>
      </c>
      <c r="U141" s="401">
        <f>IF(ISBLANK(Actuals!V49),-417.6*Escalation!$B$18,Actuals!V49)</f>
        <v/>
      </c>
      <c r="V141" s="401">
        <f>IF(ISBLANK(Actuals!W49),-417.6*Escalation!$B$19,Actuals!W49)</f>
        <v/>
      </c>
      <c r="W141" s="401">
        <f>IF(ISBLANK(Actuals!X49),-417.6*Escalation!$B$20,Actuals!X49)</f>
        <v/>
      </c>
      <c r="X141" s="401">
        <f>IF(ISBLANK(Actuals!Y49),-417.6*Escalation!$B$21,Actuals!Y49)</f>
        <v/>
      </c>
      <c r="Y141" s="401">
        <f>IF(ISBLANK(Actuals!Z49),-417.6*Escalation!$B$22,Actuals!Z49)</f>
        <v/>
      </c>
      <c r="Z141" s="401">
        <f>IF(ISBLANK(Actuals!AA49),-417.6*Escalation!$B$23,Actuals!AA49)</f>
        <v/>
      </c>
      <c r="AA141" s="401">
        <f>IF(ISBLANK(Actuals!AB49),-417.6*Escalation!$B$24,Actuals!AB49)</f>
        <v/>
      </c>
      <c r="AB141" s="401">
        <f>IF(ISBLANK(Actuals!AC49),-417.6*Escalation!$B$25,Actuals!AC49)</f>
        <v/>
      </c>
      <c r="AC141" s="401">
        <f>IF(ISBLANK(Actuals!AD49),-417.6*Escalation!$B$26,Actuals!AD49)</f>
        <v/>
      </c>
      <c r="AD141" s="401">
        <f>IF(ISBLANK(Actuals!AE49),-417.6*Escalation!$B$27,Actuals!AE49)</f>
        <v/>
      </c>
      <c r="AE141" s="401">
        <f>IF(ISBLANK(Actuals!AF49),-417.6*Escalation!$B$28,Actuals!AF49)</f>
        <v/>
      </c>
      <c r="AF141" s="401">
        <f>IF(ISBLANK(Actuals!AG49),-417.6*Escalation!$B$29,Actuals!AG49)</f>
        <v/>
      </c>
      <c r="AG141" s="401">
        <f>IF(ISBLANK(Actuals!AH49),-417.6*Escalation!$B$30,Actuals!AH49)</f>
        <v/>
      </c>
      <c r="AH141" s="401">
        <f>IF(ISBLANK(Actuals!AI49),-417.6*Escalation!$B$31,Actuals!AI49)</f>
        <v/>
      </c>
      <c r="AI141" s="401">
        <f>IF(ISBLANK(Actuals!AJ49),-417.6*Escalation!$B$32,Actuals!AJ49)</f>
        <v/>
      </c>
      <c r="AJ141" s="401">
        <f>IF(ISBLANK(Actuals!AK49),-417.6*Escalation!$B$33,Actuals!AK49)</f>
        <v/>
      </c>
      <c r="AK141" s="401">
        <f>IF(ISBLANK(Actuals!AL49),-417.6*Escalation!$B$34,Actuals!AL49)</f>
        <v/>
      </c>
      <c r="AL141" s="401">
        <f>IF(ISBLANK(Actuals!AM49),-417.6*Escalation!$B$35,Actuals!AM49)</f>
        <v/>
      </c>
      <c r="AM141" s="401">
        <f>IF(ISBLANK(Actuals!AN49),-417.6*Escalation!$B$36,Actuals!AN49)</f>
        <v/>
      </c>
      <c r="AN141" s="401">
        <f>IF(ISBLANK(Actuals!AO49),-417.6*Escalation!$B$37,Actuals!AO49)</f>
        <v/>
      </c>
      <c r="AO141" s="401">
        <f>IF(ISBLANK(Actuals!AP49),-417.6*Escalation!$B$38,Actuals!AP49)</f>
        <v/>
      </c>
      <c r="AP141" s="401">
        <f>IF(ISBLANK(Actuals!AQ49),-417.6*Escalation!$B$39,Actuals!AQ49)</f>
        <v/>
      </c>
      <c r="AQ141" s="401">
        <f>IF(ISBLANK(Actuals!AR49),-417.6*Escalation!$B$40,Actuals!AR49)</f>
        <v/>
      </c>
      <c r="AR141" s="401">
        <f>IF(ISBLANK(Actuals!AS49),-417.6*Escalation!$B$41,Actuals!AS49)</f>
        <v/>
      </c>
      <c r="AS141" s="401">
        <f>IF(ISBLANK(Actuals!AT49),-417.6*Escalation!$B$42,Actuals!AT49)</f>
        <v/>
      </c>
      <c r="AT141" s="401">
        <f>IF(ISBLANK(Actuals!AU49),-417.6*Escalation!$B$43,Actuals!AU49)</f>
        <v/>
      </c>
      <c r="AU141" s="401">
        <f>IF(ISBLANK(Actuals!AV49),-417.6*Escalation!$B$44,Actuals!AV49)</f>
        <v/>
      </c>
      <c r="AV141" s="401">
        <f>IF(ISBLANK(Actuals!AW49),-417.6*Escalation!$B$45,Actuals!AW49)</f>
        <v/>
      </c>
      <c r="AW141" s="401">
        <f>IF(ISBLANK(Actuals!AX49),-417.6*Escalation!$B$46,Actuals!AX49)</f>
        <v/>
      </c>
      <c r="AX141" s="401">
        <f>IF(ISBLANK(Actuals!AY49),-417.6*Escalation!$B$47,Actuals!AY49)</f>
        <v/>
      </c>
      <c r="AY141" s="401">
        <f>IF(ISBLANK(Actuals!AZ49),-417.6*Escalation!$B$48,Actuals!AZ49)</f>
        <v/>
      </c>
      <c r="AZ141" s="401">
        <f>IF(ISBLANK(Actuals!BA49),-417.6*Escalation!$B$49,Actuals!BA49)</f>
        <v/>
      </c>
      <c r="BA141" s="401">
        <f>IF(ISBLANK(Actuals!BB49),-417.6*Escalation!$B$50,Actuals!BB49)</f>
        <v/>
      </c>
      <c r="BB141" s="401">
        <f>IF(ISBLANK(Actuals!BC49),-417.6*Escalation!$B$51,Actuals!BC49)</f>
        <v/>
      </c>
      <c r="BC141" s="401">
        <f>IF(ISBLANK(Actuals!BD49),-417.6*Escalation!$B$52,Actuals!BD49)</f>
        <v/>
      </c>
      <c r="BD141" s="401">
        <f>IF(ISBLANK(Actuals!BE49),-417.6*Escalation!$B$53,Actuals!BE49)</f>
        <v/>
      </c>
      <c r="BE141" s="401">
        <f>IF(ISBLANK(Actuals!BF49),-417.6*Escalation!$B$54,Actuals!BF49)</f>
        <v/>
      </c>
      <c r="BF141" s="401">
        <f>IF(ISBLANK(Actuals!BG49),-417.6*Escalation!$B$55,Actuals!BG49)</f>
        <v/>
      </c>
      <c r="BG141" s="401">
        <f>IF(ISBLANK(Actuals!BH49),-417.6*Escalation!$B$56,Actuals!BH49)</f>
        <v/>
      </c>
      <c r="BH141" s="401">
        <f>IF(ISBLANK(Actuals!BI49),-417.6*Escalation!$B$57,Actuals!BI49)</f>
        <v/>
      </c>
      <c r="BI141" s="401">
        <f>IF(ISBLANK(Actuals!BJ49),-417.6*Escalation!$B$58,Actuals!BJ49)</f>
        <v/>
      </c>
      <c r="BJ141" s="401">
        <f>IF(ISBLANK(Actuals!BK49),-417.6*Escalation!$B$59,Actuals!BK49)</f>
        <v/>
      </c>
      <c r="BK141" s="401">
        <f>IF(ISBLANK(Actuals!BL49),-417.6*Escalation!$B$60,Actuals!BL49)</f>
        <v/>
      </c>
      <c r="BL141" s="401">
        <f>IF(ISBLANK(Actuals!BM49),-417.6*Escalation!$B$61,Actuals!BM49)</f>
        <v/>
      </c>
      <c r="BM141" s="401">
        <f>IF(ISBLANK(Actuals!BN49),-417.6*Escalation!$B$62,Actuals!BN49)</f>
        <v/>
      </c>
      <c r="BN141" s="401">
        <f>IF(ISBLANK(Actuals!BO49),-417.6*Escalation!$B$63,Actuals!BO49)</f>
        <v/>
      </c>
      <c r="BO141" s="401">
        <f>IF(ISBLANK(Actuals!BP49),-417.6*Escalation!$B$64,Actuals!BP49)</f>
        <v/>
      </c>
      <c r="BP141" s="401">
        <f>IF(ISBLANK(Actuals!BQ49),-417.6*Escalation!$B$65,Actuals!BQ49)</f>
        <v/>
      </c>
      <c r="BQ141" s="401">
        <f>IF(ISBLANK(Actuals!BR49),-417.6*Escalation!$B$66,Actuals!BR49)</f>
        <v/>
      </c>
      <c r="BR141" s="401">
        <f>IF(ISBLANK(Actuals!BS49),-417.6*Escalation!$B$67,Actuals!BS49)</f>
        <v/>
      </c>
      <c r="BS141" s="401">
        <f>IF(ISBLANK(Actuals!BT49),-417.6*Escalation!$B$68,Actuals!BT49)</f>
        <v/>
      </c>
      <c r="BT141" s="401">
        <f>IF(ISBLANK(Actuals!BU49),-417.6*Escalation!$B$69,Actuals!BU49)</f>
        <v/>
      </c>
      <c r="BU141" s="401">
        <f>IF(ISBLANK(Actuals!BV49),-417.6*Escalation!$B$70,Actuals!BV49)</f>
        <v/>
      </c>
      <c r="BV141" s="401">
        <f>IF(ISBLANK(Actuals!BW49),-417.6*Escalation!$B$71,Actuals!BW49)</f>
        <v/>
      </c>
      <c r="BW141" s="401">
        <f>IF(ISBLANK(Actuals!BX49),-417.6*Escalation!$B$72,Actuals!BX49)</f>
        <v/>
      </c>
      <c r="BX141" s="401">
        <f>IF(ISBLANK(Actuals!BY49),-417.6*Escalation!$B$73,Actuals!BY49)</f>
        <v/>
      </c>
      <c r="BY141" s="401">
        <f>IF(ISBLANK(Actuals!BZ49),-417.6*Escalation!$B$74,Actuals!BZ49)</f>
        <v/>
      </c>
      <c r="BZ141" s="401">
        <f>IF(ISBLANK(Actuals!CA49),-417.6*Escalation!$B$75,Actuals!CA49)</f>
        <v/>
      </c>
      <c r="CA141" s="401">
        <f>IF(ISBLANK(Actuals!CB49),-417.6*Escalation!$B$76,Actuals!CB49)</f>
        <v/>
      </c>
      <c r="CB141" s="401">
        <f>IF(ISBLANK(Actuals!CC49),-417.6*Escalation!$B$77,Actuals!CC49)</f>
        <v/>
      </c>
      <c r="CC141" s="401">
        <f>IF(ISBLANK(Actuals!CD49),-417.6*Escalation!$B$78,Actuals!CD49)</f>
        <v/>
      </c>
      <c r="CD141" s="401">
        <f>IF(ISBLANK(Actuals!CE49),-417.6*Escalation!$B$79,Actuals!CE49)</f>
        <v/>
      </c>
      <c r="CE141" s="401">
        <f>IF(ISBLANK(Actuals!CF49),-417.6*Escalation!$B$80,Actuals!CF49)</f>
        <v/>
      </c>
      <c r="CF141" s="401">
        <f>IF(ISBLANK(Actuals!CG49),-417.6*Escalation!$B$81,Actuals!CG49)</f>
        <v/>
      </c>
      <c r="CG141" s="401">
        <f>IF(ISBLANK(Actuals!CH49),-417.6*Escalation!$B$82,Actuals!CH49)</f>
        <v/>
      </c>
      <c r="CH141" s="401">
        <f>IF(ISBLANK(Actuals!CI49),-417.6*Escalation!$B$83,Actuals!CI49)</f>
        <v/>
      </c>
      <c r="CI141" s="401">
        <f>IF(ISBLANK(Actuals!CJ49),-417.6*Escalation!$B$84,Actuals!CJ49)</f>
        <v/>
      </c>
      <c r="CJ141" s="401">
        <f>IF(ISBLANK(Actuals!CK49),-417.6*Escalation!$B$85,Actuals!CK49)</f>
        <v/>
      </c>
      <c r="CK141" s="401">
        <f>IF(ISBLANK(Actuals!CL49),-417.6*Escalation!$B$86,Actuals!CL49)</f>
        <v/>
      </c>
      <c r="CL141" s="401">
        <f>IF(ISBLANK(Actuals!CM49),-417.6*Escalation!$B$87,Actuals!CM49)</f>
        <v/>
      </c>
      <c r="CM141" s="401">
        <f>IF(ISBLANK(Actuals!CN49),-417.6*Escalation!$B$88,Actuals!CN49)</f>
        <v/>
      </c>
      <c r="CN141" s="401">
        <f>IF(ISBLANK(Actuals!CO49),-417.6*Escalation!$B$89,Actuals!CO49)</f>
        <v/>
      </c>
      <c r="CO141" s="401">
        <f>IF(ISBLANK(Actuals!CP49),-417.6*Escalation!$B$90,Actuals!CP49)</f>
        <v/>
      </c>
      <c r="CP141" s="401">
        <f>IF(ISBLANK(Actuals!CQ49),-417.6*Escalation!$B$91,Actuals!CQ49)</f>
        <v/>
      </c>
      <c r="CQ141" s="401">
        <f>IF(ISBLANK(Actuals!CR49),-417.6*Escalation!$B$92,Actuals!CR49)</f>
        <v/>
      </c>
      <c r="CR141" s="401">
        <f>IF(ISBLANK(Actuals!CS49),-417.6*Escalation!$B$93,Actuals!CS49)</f>
        <v/>
      </c>
      <c r="CS141" s="401">
        <f>IF(ISBLANK(Actuals!CT49),-417.6*Escalation!$B$94,Actuals!CT49)</f>
        <v/>
      </c>
      <c r="CT141" s="401">
        <f>IF(ISBLANK(Actuals!CU49),-417.6*Escalation!$B$95,Actuals!CU49)</f>
        <v/>
      </c>
      <c r="CU141" s="401">
        <f>IF(ISBLANK(Actuals!CV49),-417.6*Escalation!$B$96,Actuals!CV49)</f>
        <v/>
      </c>
      <c r="CV141" s="401">
        <f>IF(ISBLANK(Actuals!CW49),-417.6*Escalation!$B$97,Actuals!CW49)</f>
        <v/>
      </c>
      <c r="CW141" s="401">
        <f>IF(ISBLANK(Actuals!CX49),-417.6*Escalation!$B$98,Actuals!CX49)</f>
        <v/>
      </c>
      <c r="CX141" s="401">
        <f>IF(ISBLANK(Actuals!CY49),-417.6*Escalation!$B$99,Actuals!CY49)</f>
        <v/>
      </c>
      <c r="CY141" s="401">
        <f>IF(ISBLANK(Actuals!CZ49),-417.6*Escalation!$B$100,Actuals!CZ49)</f>
        <v/>
      </c>
      <c r="CZ141" s="401">
        <f>IF(ISBLANK(Actuals!DA49),-417.6*Escalation!$B$101,Actuals!DA49)</f>
        <v/>
      </c>
      <c r="DA141" s="401">
        <f>IF(ISBLANK(Actuals!DB49),-417.6*Escalation!$B$102,Actuals!DB49)</f>
        <v/>
      </c>
      <c r="DB141" s="401">
        <f>IF(ISBLANK(Actuals!DC49),-417.6*Escalation!$B$103,Actuals!DC49)</f>
        <v/>
      </c>
      <c r="DC141" s="401">
        <f>IF(ISBLANK(Actuals!DD49),-417.6*Escalation!$B$104,Actuals!DD49)</f>
        <v/>
      </c>
      <c r="DD141" s="401">
        <f>IF(ISBLANK(Actuals!DE49),-417.6*Escalation!$B$105,Actuals!DE49)</f>
        <v/>
      </c>
      <c r="DE141" s="401">
        <f>IF(ISBLANK(Actuals!DF49),-417.6*Escalation!$B$106,Actuals!DF49)</f>
        <v/>
      </c>
    </row>
    <row r="142" ht="15" customFormat="1" customHeight="1" s="380">
      <c r="A142" s="397" t="inlineStr">
        <is>
          <t>5900-1080 Bank Service Charges</t>
        </is>
      </c>
      <c r="B142" s="401">
        <f>IF(ISBLANK(Actuals!C50),0,Actuals!C50)</f>
        <v/>
      </c>
      <c r="C142" s="401">
        <f>IF(ISBLANK(Actuals!D50),0,Actuals!D50)</f>
        <v/>
      </c>
      <c r="D142" s="401">
        <f>IF(ISBLANK(Actuals!E50),0,Actuals!E50)</f>
        <v/>
      </c>
      <c r="E142" s="401">
        <f>IF(ISBLANK(Actuals!F50),-26.67*Escalation!$B$2,Actuals!F50)</f>
        <v/>
      </c>
      <c r="F142" s="401">
        <f>IF(ISBLANK(Actuals!G50),-26.67*Escalation!$B$3,Actuals!G50)</f>
        <v/>
      </c>
      <c r="G142" s="401">
        <f>IF(ISBLANK(Actuals!H50),-26.67*Escalation!$B$4,Actuals!H50)</f>
        <v/>
      </c>
      <c r="H142" s="401">
        <f>IF(ISBLANK(Actuals!I50),-26.67*Escalation!$B$5,Actuals!I50)</f>
        <v/>
      </c>
      <c r="I142" s="401">
        <f>IF(ISBLANK(Actuals!J50),-26.67*Escalation!$B$6,Actuals!J50)</f>
        <v/>
      </c>
      <c r="J142" s="401">
        <f>IF(ISBLANK(Actuals!K50),-26.67*Escalation!$B$7,Actuals!K50)</f>
        <v/>
      </c>
      <c r="K142" s="401">
        <f>IF(ISBLANK(Actuals!L50),-26.67*Escalation!$B$8,Actuals!L50)</f>
        <v/>
      </c>
      <c r="L142" s="401">
        <f>IF(ISBLANK(Actuals!M50),-26.67*Escalation!$B$9,Actuals!M50)</f>
        <v/>
      </c>
      <c r="M142" s="401">
        <f>IF(ISBLANK(Actuals!N50),-26.67*Escalation!$B$10,Actuals!N50)</f>
        <v/>
      </c>
      <c r="N142" s="401">
        <f>IF(ISBLANK(Actuals!O50),-26.67*Escalation!$B$11,Actuals!O50)</f>
        <v/>
      </c>
      <c r="O142" s="401">
        <f>IF(ISBLANK(Actuals!P50),-26.67*Escalation!$B$12,Actuals!P50)</f>
        <v/>
      </c>
      <c r="P142" s="401">
        <f>IF(ISBLANK(Actuals!Q50),-26.67*Escalation!$B$13,Actuals!Q50)</f>
        <v/>
      </c>
      <c r="Q142" s="401">
        <f>IF(ISBLANK(Actuals!R50),-26.67*Escalation!$B$14,Actuals!R50)</f>
        <v/>
      </c>
      <c r="R142" s="401">
        <f>IF(ISBLANK(Actuals!S50),-26.67*Escalation!$B$15,Actuals!S50)</f>
        <v/>
      </c>
      <c r="S142" s="401">
        <f>IF(ISBLANK(Actuals!T50),-26.67*Escalation!$B$16,Actuals!T50)</f>
        <v/>
      </c>
      <c r="T142" s="401">
        <f>IF(ISBLANK(Actuals!U50),-26.67*Escalation!$B$17,Actuals!U50)</f>
        <v/>
      </c>
      <c r="U142" s="401">
        <f>IF(ISBLANK(Actuals!V50),-26.67*Escalation!$B$18,Actuals!V50)</f>
        <v/>
      </c>
      <c r="V142" s="401">
        <f>IF(ISBLANK(Actuals!W50),-26.67*Escalation!$B$19,Actuals!W50)</f>
        <v/>
      </c>
      <c r="W142" s="401">
        <f>IF(ISBLANK(Actuals!X50),-26.67*Escalation!$B$20,Actuals!X50)</f>
        <v/>
      </c>
      <c r="X142" s="401">
        <f>IF(ISBLANK(Actuals!Y50),-26.67*Escalation!$B$21,Actuals!Y50)</f>
        <v/>
      </c>
      <c r="Y142" s="401">
        <f>IF(ISBLANK(Actuals!Z50),-26.67*Escalation!$B$22,Actuals!Z50)</f>
        <v/>
      </c>
      <c r="Z142" s="401">
        <f>IF(ISBLANK(Actuals!AA50),-26.67*Escalation!$B$23,Actuals!AA50)</f>
        <v/>
      </c>
      <c r="AA142" s="401">
        <f>IF(ISBLANK(Actuals!AB50),-26.67*Escalation!$B$24,Actuals!AB50)</f>
        <v/>
      </c>
      <c r="AB142" s="401">
        <f>IF(ISBLANK(Actuals!AC50),-26.67*Escalation!$B$25,Actuals!AC50)</f>
        <v/>
      </c>
      <c r="AC142" s="401">
        <f>IF(ISBLANK(Actuals!AD50),-26.67*Escalation!$B$26,Actuals!AD50)</f>
        <v/>
      </c>
      <c r="AD142" s="401">
        <f>IF(ISBLANK(Actuals!AE50),-26.67*Escalation!$B$27,Actuals!AE50)</f>
        <v/>
      </c>
      <c r="AE142" s="401">
        <f>IF(ISBLANK(Actuals!AF50),-26.67*Escalation!$B$28,Actuals!AF50)</f>
        <v/>
      </c>
      <c r="AF142" s="401">
        <f>IF(ISBLANK(Actuals!AG50),-26.67*Escalation!$B$29,Actuals!AG50)</f>
        <v/>
      </c>
      <c r="AG142" s="401">
        <f>IF(ISBLANK(Actuals!AH50),-26.67*Escalation!$B$30,Actuals!AH50)</f>
        <v/>
      </c>
      <c r="AH142" s="401">
        <f>IF(ISBLANK(Actuals!AI50),-26.67*Escalation!$B$31,Actuals!AI50)</f>
        <v/>
      </c>
      <c r="AI142" s="401">
        <f>IF(ISBLANK(Actuals!AJ50),-26.67*Escalation!$B$32,Actuals!AJ50)</f>
        <v/>
      </c>
      <c r="AJ142" s="401">
        <f>IF(ISBLANK(Actuals!AK50),-26.67*Escalation!$B$33,Actuals!AK50)</f>
        <v/>
      </c>
      <c r="AK142" s="401">
        <f>IF(ISBLANK(Actuals!AL50),-26.67*Escalation!$B$34,Actuals!AL50)</f>
        <v/>
      </c>
      <c r="AL142" s="401">
        <f>IF(ISBLANK(Actuals!AM50),-26.67*Escalation!$B$35,Actuals!AM50)</f>
        <v/>
      </c>
      <c r="AM142" s="401">
        <f>IF(ISBLANK(Actuals!AN50),-26.67*Escalation!$B$36,Actuals!AN50)</f>
        <v/>
      </c>
      <c r="AN142" s="401">
        <f>IF(ISBLANK(Actuals!AO50),-26.67*Escalation!$B$37,Actuals!AO50)</f>
        <v/>
      </c>
      <c r="AO142" s="401">
        <f>IF(ISBLANK(Actuals!AP50),-26.67*Escalation!$B$38,Actuals!AP50)</f>
        <v/>
      </c>
      <c r="AP142" s="401">
        <f>IF(ISBLANK(Actuals!AQ50),-26.67*Escalation!$B$39,Actuals!AQ50)</f>
        <v/>
      </c>
      <c r="AQ142" s="401">
        <f>IF(ISBLANK(Actuals!AR50),-26.67*Escalation!$B$40,Actuals!AR50)</f>
        <v/>
      </c>
      <c r="AR142" s="401">
        <f>IF(ISBLANK(Actuals!AS50),-26.67*Escalation!$B$41,Actuals!AS50)</f>
        <v/>
      </c>
      <c r="AS142" s="401">
        <f>IF(ISBLANK(Actuals!AT50),-26.67*Escalation!$B$42,Actuals!AT50)</f>
        <v/>
      </c>
      <c r="AT142" s="401">
        <f>IF(ISBLANK(Actuals!AU50),-26.67*Escalation!$B$43,Actuals!AU50)</f>
        <v/>
      </c>
      <c r="AU142" s="401">
        <f>IF(ISBLANK(Actuals!AV50),-26.67*Escalation!$B$44,Actuals!AV50)</f>
        <v/>
      </c>
      <c r="AV142" s="401">
        <f>IF(ISBLANK(Actuals!AW50),-26.67*Escalation!$B$45,Actuals!AW50)</f>
        <v/>
      </c>
      <c r="AW142" s="401">
        <f>IF(ISBLANK(Actuals!AX50),-26.67*Escalation!$B$46,Actuals!AX50)</f>
        <v/>
      </c>
      <c r="AX142" s="401">
        <f>IF(ISBLANK(Actuals!AY50),-26.67*Escalation!$B$47,Actuals!AY50)</f>
        <v/>
      </c>
      <c r="AY142" s="401">
        <f>IF(ISBLANK(Actuals!AZ50),-26.67*Escalation!$B$48,Actuals!AZ50)</f>
        <v/>
      </c>
      <c r="AZ142" s="401">
        <f>IF(ISBLANK(Actuals!BA50),-26.67*Escalation!$B$49,Actuals!BA50)</f>
        <v/>
      </c>
      <c r="BA142" s="401">
        <f>IF(ISBLANK(Actuals!BB50),-26.67*Escalation!$B$50,Actuals!BB50)</f>
        <v/>
      </c>
      <c r="BB142" s="401">
        <f>IF(ISBLANK(Actuals!BC50),-26.67*Escalation!$B$51,Actuals!BC50)</f>
        <v/>
      </c>
      <c r="BC142" s="401">
        <f>IF(ISBLANK(Actuals!BD50),-26.67*Escalation!$B$52,Actuals!BD50)</f>
        <v/>
      </c>
      <c r="BD142" s="401">
        <f>IF(ISBLANK(Actuals!BE50),-26.67*Escalation!$B$53,Actuals!BE50)</f>
        <v/>
      </c>
      <c r="BE142" s="401">
        <f>IF(ISBLANK(Actuals!BF50),-26.67*Escalation!$B$54,Actuals!BF50)</f>
        <v/>
      </c>
      <c r="BF142" s="401">
        <f>IF(ISBLANK(Actuals!BG50),-26.67*Escalation!$B$55,Actuals!BG50)</f>
        <v/>
      </c>
      <c r="BG142" s="401">
        <f>IF(ISBLANK(Actuals!BH50),-26.67*Escalation!$B$56,Actuals!BH50)</f>
        <v/>
      </c>
      <c r="BH142" s="401">
        <f>IF(ISBLANK(Actuals!BI50),-26.67*Escalation!$B$57,Actuals!BI50)</f>
        <v/>
      </c>
      <c r="BI142" s="401">
        <f>IF(ISBLANK(Actuals!BJ50),-26.67*Escalation!$B$58,Actuals!BJ50)</f>
        <v/>
      </c>
      <c r="BJ142" s="401">
        <f>IF(ISBLANK(Actuals!BK50),-26.67*Escalation!$B$59,Actuals!BK50)</f>
        <v/>
      </c>
      <c r="BK142" s="401">
        <f>IF(ISBLANK(Actuals!BL50),-26.67*Escalation!$B$60,Actuals!BL50)</f>
        <v/>
      </c>
      <c r="BL142" s="401">
        <f>IF(ISBLANK(Actuals!BM50),-26.67*Escalation!$B$61,Actuals!BM50)</f>
        <v/>
      </c>
      <c r="BM142" s="401">
        <f>IF(ISBLANK(Actuals!BN50),-26.67*Escalation!$B$62,Actuals!BN50)</f>
        <v/>
      </c>
      <c r="BN142" s="401">
        <f>IF(ISBLANK(Actuals!BO50),-26.67*Escalation!$B$63,Actuals!BO50)</f>
        <v/>
      </c>
      <c r="BO142" s="401">
        <f>IF(ISBLANK(Actuals!BP50),-26.67*Escalation!$B$64,Actuals!BP50)</f>
        <v/>
      </c>
      <c r="BP142" s="401">
        <f>IF(ISBLANK(Actuals!BQ50),-26.67*Escalation!$B$65,Actuals!BQ50)</f>
        <v/>
      </c>
      <c r="BQ142" s="401">
        <f>IF(ISBLANK(Actuals!BR50),-26.67*Escalation!$B$66,Actuals!BR50)</f>
        <v/>
      </c>
      <c r="BR142" s="401">
        <f>IF(ISBLANK(Actuals!BS50),-26.67*Escalation!$B$67,Actuals!BS50)</f>
        <v/>
      </c>
      <c r="BS142" s="401">
        <f>IF(ISBLANK(Actuals!BT50),-26.67*Escalation!$B$68,Actuals!BT50)</f>
        <v/>
      </c>
      <c r="BT142" s="401">
        <f>IF(ISBLANK(Actuals!BU50),-26.67*Escalation!$B$69,Actuals!BU50)</f>
        <v/>
      </c>
      <c r="BU142" s="401">
        <f>IF(ISBLANK(Actuals!BV50),-26.67*Escalation!$B$70,Actuals!BV50)</f>
        <v/>
      </c>
      <c r="BV142" s="401">
        <f>IF(ISBLANK(Actuals!BW50),-26.67*Escalation!$B$71,Actuals!BW50)</f>
        <v/>
      </c>
      <c r="BW142" s="401">
        <f>IF(ISBLANK(Actuals!BX50),-26.67*Escalation!$B$72,Actuals!BX50)</f>
        <v/>
      </c>
      <c r="BX142" s="401">
        <f>IF(ISBLANK(Actuals!BY50),-26.67*Escalation!$B$73,Actuals!BY50)</f>
        <v/>
      </c>
      <c r="BY142" s="401">
        <f>IF(ISBLANK(Actuals!BZ50),-26.67*Escalation!$B$74,Actuals!BZ50)</f>
        <v/>
      </c>
      <c r="BZ142" s="401">
        <f>IF(ISBLANK(Actuals!CA50),-26.67*Escalation!$B$75,Actuals!CA50)</f>
        <v/>
      </c>
      <c r="CA142" s="401">
        <f>IF(ISBLANK(Actuals!CB50),-26.67*Escalation!$B$76,Actuals!CB50)</f>
        <v/>
      </c>
      <c r="CB142" s="401">
        <f>IF(ISBLANK(Actuals!CC50),-26.67*Escalation!$B$77,Actuals!CC50)</f>
        <v/>
      </c>
      <c r="CC142" s="401">
        <f>IF(ISBLANK(Actuals!CD50),-26.67*Escalation!$B$78,Actuals!CD50)</f>
        <v/>
      </c>
      <c r="CD142" s="401">
        <f>IF(ISBLANK(Actuals!CE50),-26.67*Escalation!$B$79,Actuals!CE50)</f>
        <v/>
      </c>
      <c r="CE142" s="401">
        <f>IF(ISBLANK(Actuals!CF50),-26.67*Escalation!$B$80,Actuals!CF50)</f>
        <v/>
      </c>
      <c r="CF142" s="401">
        <f>IF(ISBLANK(Actuals!CG50),-26.67*Escalation!$B$81,Actuals!CG50)</f>
        <v/>
      </c>
      <c r="CG142" s="401">
        <f>IF(ISBLANK(Actuals!CH50),-26.67*Escalation!$B$82,Actuals!CH50)</f>
        <v/>
      </c>
      <c r="CH142" s="401">
        <f>IF(ISBLANK(Actuals!CI50),-26.67*Escalation!$B$83,Actuals!CI50)</f>
        <v/>
      </c>
      <c r="CI142" s="401">
        <f>IF(ISBLANK(Actuals!CJ50),-26.67*Escalation!$B$84,Actuals!CJ50)</f>
        <v/>
      </c>
      <c r="CJ142" s="401">
        <f>IF(ISBLANK(Actuals!CK50),-26.67*Escalation!$B$85,Actuals!CK50)</f>
        <v/>
      </c>
      <c r="CK142" s="401">
        <f>IF(ISBLANK(Actuals!CL50),-26.67*Escalation!$B$86,Actuals!CL50)</f>
        <v/>
      </c>
      <c r="CL142" s="401">
        <f>IF(ISBLANK(Actuals!CM50),-26.67*Escalation!$B$87,Actuals!CM50)</f>
        <v/>
      </c>
      <c r="CM142" s="401">
        <f>IF(ISBLANK(Actuals!CN50),-26.67*Escalation!$B$88,Actuals!CN50)</f>
        <v/>
      </c>
      <c r="CN142" s="401">
        <f>IF(ISBLANK(Actuals!CO50),-26.67*Escalation!$B$89,Actuals!CO50)</f>
        <v/>
      </c>
      <c r="CO142" s="401">
        <f>IF(ISBLANK(Actuals!CP50),-26.67*Escalation!$B$90,Actuals!CP50)</f>
        <v/>
      </c>
      <c r="CP142" s="401">
        <f>IF(ISBLANK(Actuals!CQ50),-26.67*Escalation!$B$91,Actuals!CQ50)</f>
        <v/>
      </c>
      <c r="CQ142" s="401">
        <f>IF(ISBLANK(Actuals!CR50),-26.67*Escalation!$B$92,Actuals!CR50)</f>
        <v/>
      </c>
      <c r="CR142" s="401">
        <f>IF(ISBLANK(Actuals!CS50),-26.67*Escalation!$B$93,Actuals!CS50)</f>
        <v/>
      </c>
      <c r="CS142" s="401">
        <f>IF(ISBLANK(Actuals!CT50),-26.67*Escalation!$B$94,Actuals!CT50)</f>
        <v/>
      </c>
      <c r="CT142" s="401">
        <f>IF(ISBLANK(Actuals!CU50),-26.67*Escalation!$B$95,Actuals!CU50)</f>
        <v/>
      </c>
      <c r="CU142" s="401">
        <f>IF(ISBLANK(Actuals!CV50),-26.67*Escalation!$B$96,Actuals!CV50)</f>
        <v/>
      </c>
      <c r="CV142" s="401">
        <f>IF(ISBLANK(Actuals!CW50),-26.67*Escalation!$B$97,Actuals!CW50)</f>
        <v/>
      </c>
      <c r="CW142" s="401">
        <f>IF(ISBLANK(Actuals!CX50),-26.67*Escalation!$B$98,Actuals!CX50)</f>
        <v/>
      </c>
      <c r="CX142" s="401">
        <f>IF(ISBLANK(Actuals!CY50),-26.67*Escalation!$B$99,Actuals!CY50)</f>
        <v/>
      </c>
      <c r="CY142" s="401">
        <f>IF(ISBLANK(Actuals!CZ50),-26.67*Escalation!$B$100,Actuals!CZ50)</f>
        <v/>
      </c>
      <c r="CZ142" s="401">
        <f>IF(ISBLANK(Actuals!DA50),-26.67*Escalation!$B$101,Actuals!DA50)</f>
        <v/>
      </c>
      <c r="DA142" s="401">
        <f>IF(ISBLANK(Actuals!DB50),-26.67*Escalation!$B$102,Actuals!DB50)</f>
        <v/>
      </c>
      <c r="DB142" s="401">
        <f>IF(ISBLANK(Actuals!DC50),-26.67*Escalation!$B$103,Actuals!DC50)</f>
        <v/>
      </c>
      <c r="DC142" s="401">
        <f>IF(ISBLANK(Actuals!DD50),-26.67*Escalation!$B$104,Actuals!DD50)</f>
        <v/>
      </c>
      <c r="DD142" s="401">
        <f>IF(ISBLANK(Actuals!DE50),-26.67*Escalation!$B$105,Actuals!DE50)</f>
        <v/>
      </c>
      <c r="DE142" s="401">
        <f>IF(ISBLANK(Actuals!DF50),-26.67*Escalation!$B$106,Actuals!DF50)</f>
        <v/>
      </c>
    </row>
    <row r="143" ht="15" customFormat="1" customHeight="1" s="380">
      <c r="A143" s="397" t="inlineStr">
        <is>
          <t>5900-3000 Charitable Contribution</t>
        </is>
      </c>
      <c r="B143" s="401">
        <f>IF(ISBLANK(Actuals!C51),0,Actuals!C51)</f>
        <v/>
      </c>
      <c r="C143" s="401">
        <f>IF(ISBLANK(Actuals!D51),0,Actuals!D51)</f>
        <v/>
      </c>
      <c r="D143" s="401">
        <f>IF(ISBLANK(Actuals!E51),0,Actuals!E51)</f>
        <v/>
      </c>
      <c r="E143" s="401">
        <f>IF(ISBLANK(Actuals!F51),-21*Escalation!$B$2,Actuals!F51)</f>
        <v/>
      </c>
      <c r="F143" s="401">
        <f>IF(ISBLANK(Actuals!G51),-21*Escalation!$B$3,Actuals!G51)</f>
        <v/>
      </c>
      <c r="G143" s="401">
        <f>IF(ISBLANK(Actuals!H51),-21*Escalation!$B$4,Actuals!H51)</f>
        <v/>
      </c>
      <c r="H143" s="401">
        <f>IF(ISBLANK(Actuals!I51),-21*Escalation!$B$5,Actuals!I51)</f>
        <v/>
      </c>
      <c r="I143" s="401">
        <f>IF(ISBLANK(Actuals!J51),-21*Escalation!$B$6,Actuals!J51)</f>
        <v/>
      </c>
      <c r="J143" s="401">
        <f>IF(ISBLANK(Actuals!K51),-21*Escalation!$B$7,Actuals!K51)</f>
        <v/>
      </c>
      <c r="K143" s="401">
        <f>IF(ISBLANK(Actuals!L51),-21*Escalation!$B$8,Actuals!L51)</f>
        <v/>
      </c>
      <c r="L143" s="401">
        <f>IF(ISBLANK(Actuals!M51),-21*Escalation!$B$9,Actuals!M51)</f>
        <v/>
      </c>
      <c r="M143" s="401">
        <f>IF(ISBLANK(Actuals!N51),-21*Escalation!$B$10,Actuals!N51)</f>
        <v/>
      </c>
      <c r="N143" s="401">
        <f>IF(ISBLANK(Actuals!O51),-21*Escalation!$B$11,Actuals!O51)</f>
        <v/>
      </c>
      <c r="O143" s="401">
        <f>IF(ISBLANK(Actuals!P51),-21*Escalation!$B$12,Actuals!P51)</f>
        <v/>
      </c>
      <c r="P143" s="401">
        <f>IF(ISBLANK(Actuals!Q51),-21*Escalation!$B$13,Actuals!Q51)</f>
        <v/>
      </c>
      <c r="Q143" s="401">
        <f>IF(ISBLANK(Actuals!R51),-21*Escalation!$B$14,Actuals!R51)</f>
        <v/>
      </c>
      <c r="R143" s="401">
        <f>IF(ISBLANK(Actuals!S51),-21*Escalation!$B$15,Actuals!S51)</f>
        <v/>
      </c>
      <c r="S143" s="401">
        <f>IF(ISBLANK(Actuals!T51),-21*Escalation!$B$16,Actuals!T51)</f>
        <v/>
      </c>
      <c r="T143" s="401">
        <f>IF(ISBLANK(Actuals!U51),-21*Escalation!$B$17,Actuals!U51)</f>
        <v/>
      </c>
      <c r="U143" s="401">
        <f>IF(ISBLANK(Actuals!V51),-21*Escalation!$B$18,Actuals!V51)</f>
        <v/>
      </c>
      <c r="V143" s="401">
        <f>IF(ISBLANK(Actuals!W51),-21*Escalation!$B$19,Actuals!W51)</f>
        <v/>
      </c>
      <c r="W143" s="401">
        <f>IF(ISBLANK(Actuals!X51),-21*Escalation!$B$20,Actuals!X51)</f>
        <v/>
      </c>
      <c r="X143" s="401">
        <f>IF(ISBLANK(Actuals!Y51),-21*Escalation!$B$21,Actuals!Y51)</f>
        <v/>
      </c>
      <c r="Y143" s="401">
        <f>IF(ISBLANK(Actuals!Z51),-21*Escalation!$B$22,Actuals!Z51)</f>
        <v/>
      </c>
      <c r="Z143" s="401">
        <f>IF(ISBLANK(Actuals!AA51),-21*Escalation!$B$23,Actuals!AA51)</f>
        <v/>
      </c>
      <c r="AA143" s="401">
        <f>IF(ISBLANK(Actuals!AB51),-21*Escalation!$B$24,Actuals!AB51)</f>
        <v/>
      </c>
      <c r="AB143" s="401">
        <f>IF(ISBLANK(Actuals!AC51),-21*Escalation!$B$25,Actuals!AC51)</f>
        <v/>
      </c>
      <c r="AC143" s="401">
        <f>IF(ISBLANK(Actuals!AD51),-21*Escalation!$B$26,Actuals!AD51)</f>
        <v/>
      </c>
      <c r="AD143" s="401">
        <f>IF(ISBLANK(Actuals!AE51),-21*Escalation!$B$27,Actuals!AE51)</f>
        <v/>
      </c>
      <c r="AE143" s="401">
        <f>IF(ISBLANK(Actuals!AF51),-21*Escalation!$B$28,Actuals!AF51)</f>
        <v/>
      </c>
      <c r="AF143" s="401">
        <f>IF(ISBLANK(Actuals!AG51),-21*Escalation!$B$29,Actuals!AG51)</f>
        <v/>
      </c>
      <c r="AG143" s="401">
        <f>IF(ISBLANK(Actuals!AH51),-21*Escalation!$B$30,Actuals!AH51)</f>
        <v/>
      </c>
      <c r="AH143" s="401">
        <f>IF(ISBLANK(Actuals!AI51),-21*Escalation!$B$31,Actuals!AI51)</f>
        <v/>
      </c>
      <c r="AI143" s="401">
        <f>IF(ISBLANK(Actuals!AJ51),-21*Escalation!$B$32,Actuals!AJ51)</f>
        <v/>
      </c>
      <c r="AJ143" s="401">
        <f>IF(ISBLANK(Actuals!AK51),-21*Escalation!$B$33,Actuals!AK51)</f>
        <v/>
      </c>
      <c r="AK143" s="401">
        <f>IF(ISBLANK(Actuals!AL51),-21*Escalation!$B$34,Actuals!AL51)</f>
        <v/>
      </c>
      <c r="AL143" s="401">
        <f>IF(ISBLANK(Actuals!AM51),-21*Escalation!$B$35,Actuals!AM51)</f>
        <v/>
      </c>
      <c r="AM143" s="401">
        <f>IF(ISBLANK(Actuals!AN51),-21*Escalation!$B$36,Actuals!AN51)</f>
        <v/>
      </c>
      <c r="AN143" s="401">
        <f>IF(ISBLANK(Actuals!AO51),-21*Escalation!$B$37,Actuals!AO51)</f>
        <v/>
      </c>
      <c r="AO143" s="401">
        <f>IF(ISBLANK(Actuals!AP51),-21*Escalation!$B$38,Actuals!AP51)</f>
        <v/>
      </c>
      <c r="AP143" s="401">
        <f>IF(ISBLANK(Actuals!AQ51),-21*Escalation!$B$39,Actuals!AQ51)</f>
        <v/>
      </c>
      <c r="AQ143" s="401">
        <f>IF(ISBLANK(Actuals!AR51),-21*Escalation!$B$40,Actuals!AR51)</f>
        <v/>
      </c>
      <c r="AR143" s="401">
        <f>IF(ISBLANK(Actuals!AS51),-21*Escalation!$B$41,Actuals!AS51)</f>
        <v/>
      </c>
      <c r="AS143" s="401">
        <f>IF(ISBLANK(Actuals!AT51),-21*Escalation!$B$42,Actuals!AT51)</f>
        <v/>
      </c>
      <c r="AT143" s="401">
        <f>IF(ISBLANK(Actuals!AU51),-21*Escalation!$B$43,Actuals!AU51)</f>
        <v/>
      </c>
      <c r="AU143" s="401">
        <f>IF(ISBLANK(Actuals!AV51),-21*Escalation!$B$44,Actuals!AV51)</f>
        <v/>
      </c>
      <c r="AV143" s="401">
        <f>IF(ISBLANK(Actuals!AW51),-21*Escalation!$B$45,Actuals!AW51)</f>
        <v/>
      </c>
      <c r="AW143" s="401">
        <f>IF(ISBLANK(Actuals!AX51),-21*Escalation!$B$46,Actuals!AX51)</f>
        <v/>
      </c>
      <c r="AX143" s="401">
        <f>IF(ISBLANK(Actuals!AY51),-21*Escalation!$B$47,Actuals!AY51)</f>
        <v/>
      </c>
      <c r="AY143" s="401">
        <f>IF(ISBLANK(Actuals!AZ51),-21*Escalation!$B$48,Actuals!AZ51)</f>
        <v/>
      </c>
      <c r="AZ143" s="401">
        <f>IF(ISBLANK(Actuals!BA51),-21*Escalation!$B$49,Actuals!BA51)</f>
        <v/>
      </c>
      <c r="BA143" s="401">
        <f>IF(ISBLANK(Actuals!BB51),-21*Escalation!$B$50,Actuals!BB51)</f>
        <v/>
      </c>
      <c r="BB143" s="401">
        <f>IF(ISBLANK(Actuals!BC51),-21*Escalation!$B$51,Actuals!BC51)</f>
        <v/>
      </c>
      <c r="BC143" s="401">
        <f>IF(ISBLANK(Actuals!BD51),-21*Escalation!$B$52,Actuals!BD51)</f>
        <v/>
      </c>
      <c r="BD143" s="401">
        <f>IF(ISBLANK(Actuals!BE51),-21*Escalation!$B$53,Actuals!BE51)</f>
        <v/>
      </c>
      <c r="BE143" s="401">
        <f>IF(ISBLANK(Actuals!BF51),-21*Escalation!$B$54,Actuals!BF51)</f>
        <v/>
      </c>
      <c r="BF143" s="401">
        <f>IF(ISBLANK(Actuals!BG51),-21*Escalation!$B$55,Actuals!BG51)</f>
        <v/>
      </c>
      <c r="BG143" s="401">
        <f>IF(ISBLANK(Actuals!BH51),-21*Escalation!$B$56,Actuals!BH51)</f>
        <v/>
      </c>
      <c r="BH143" s="401">
        <f>IF(ISBLANK(Actuals!BI51),-21*Escalation!$B$57,Actuals!BI51)</f>
        <v/>
      </c>
      <c r="BI143" s="401">
        <f>IF(ISBLANK(Actuals!BJ51),-21*Escalation!$B$58,Actuals!BJ51)</f>
        <v/>
      </c>
      <c r="BJ143" s="401">
        <f>IF(ISBLANK(Actuals!BK51),-21*Escalation!$B$59,Actuals!BK51)</f>
        <v/>
      </c>
      <c r="BK143" s="401">
        <f>IF(ISBLANK(Actuals!BL51),-21*Escalation!$B$60,Actuals!BL51)</f>
        <v/>
      </c>
      <c r="BL143" s="401">
        <f>IF(ISBLANK(Actuals!BM51),-21*Escalation!$B$61,Actuals!BM51)</f>
        <v/>
      </c>
      <c r="BM143" s="401">
        <f>IF(ISBLANK(Actuals!BN51),-21*Escalation!$B$62,Actuals!BN51)</f>
        <v/>
      </c>
      <c r="BN143" s="401">
        <f>IF(ISBLANK(Actuals!BO51),-21*Escalation!$B$63,Actuals!BO51)</f>
        <v/>
      </c>
      <c r="BO143" s="401">
        <f>IF(ISBLANK(Actuals!BP51),-21*Escalation!$B$64,Actuals!BP51)</f>
        <v/>
      </c>
      <c r="BP143" s="401">
        <f>IF(ISBLANK(Actuals!BQ51),-21*Escalation!$B$65,Actuals!BQ51)</f>
        <v/>
      </c>
      <c r="BQ143" s="401">
        <f>IF(ISBLANK(Actuals!BR51),-21*Escalation!$B$66,Actuals!BR51)</f>
        <v/>
      </c>
      <c r="BR143" s="401">
        <f>IF(ISBLANK(Actuals!BS51),-21*Escalation!$B$67,Actuals!BS51)</f>
        <v/>
      </c>
      <c r="BS143" s="401">
        <f>IF(ISBLANK(Actuals!BT51),-21*Escalation!$B$68,Actuals!BT51)</f>
        <v/>
      </c>
      <c r="BT143" s="401">
        <f>IF(ISBLANK(Actuals!BU51),-21*Escalation!$B$69,Actuals!BU51)</f>
        <v/>
      </c>
      <c r="BU143" s="401">
        <f>IF(ISBLANK(Actuals!BV51),-21*Escalation!$B$70,Actuals!BV51)</f>
        <v/>
      </c>
      <c r="BV143" s="401">
        <f>IF(ISBLANK(Actuals!BW51),-21*Escalation!$B$71,Actuals!BW51)</f>
        <v/>
      </c>
      <c r="BW143" s="401">
        <f>IF(ISBLANK(Actuals!BX51),-21*Escalation!$B$72,Actuals!BX51)</f>
        <v/>
      </c>
      <c r="BX143" s="401">
        <f>IF(ISBLANK(Actuals!BY51),-21*Escalation!$B$73,Actuals!BY51)</f>
        <v/>
      </c>
      <c r="BY143" s="401">
        <f>IF(ISBLANK(Actuals!BZ51),-21*Escalation!$B$74,Actuals!BZ51)</f>
        <v/>
      </c>
      <c r="BZ143" s="401">
        <f>IF(ISBLANK(Actuals!CA51),-21*Escalation!$B$75,Actuals!CA51)</f>
        <v/>
      </c>
      <c r="CA143" s="401">
        <f>IF(ISBLANK(Actuals!CB51),-21*Escalation!$B$76,Actuals!CB51)</f>
        <v/>
      </c>
      <c r="CB143" s="401">
        <f>IF(ISBLANK(Actuals!CC51),-21*Escalation!$B$77,Actuals!CC51)</f>
        <v/>
      </c>
      <c r="CC143" s="401">
        <f>IF(ISBLANK(Actuals!CD51),-21*Escalation!$B$78,Actuals!CD51)</f>
        <v/>
      </c>
      <c r="CD143" s="401">
        <f>IF(ISBLANK(Actuals!CE51),-21*Escalation!$B$79,Actuals!CE51)</f>
        <v/>
      </c>
      <c r="CE143" s="401">
        <f>IF(ISBLANK(Actuals!CF51),-21*Escalation!$B$80,Actuals!CF51)</f>
        <v/>
      </c>
      <c r="CF143" s="401">
        <f>IF(ISBLANK(Actuals!CG51),-21*Escalation!$B$81,Actuals!CG51)</f>
        <v/>
      </c>
      <c r="CG143" s="401">
        <f>IF(ISBLANK(Actuals!CH51),-21*Escalation!$B$82,Actuals!CH51)</f>
        <v/>
      </c>
      <c r="CH143" s="401">
        <f>IF(ISBLANK(Actuals!CI51),-21*Escalation!$B$83,Actuals!CI51)</f>
        <v/>
      </c>
      <c r="CI143" s="401">
        <f>IF(ISBLANK(Actuals!CJ51),-21*Escalation!$B$84,Actuals!CJ51)</f>
        <v/>
      </c>
      <c r="CJ143" s="401">
        <f>IF(ISBLANK(Actuals!CK51),-21*Escalation!$B$85,Actuals!CK51)</f>
        <v/>
      </c>
      <c r="CK143" s="401">
        <f>IF(ISBLANK(Actuals!CL51),-21*Escalation!$B$86,Actuals!CL51)</f>
        <v/>
      </c>
      <c r="CL143" s="401">
        <f>IF(ISBLANK(Actuals!CM51),-21*Escalation!$B$87,Actuals!CM51)</f>
        <v/>
      </c>
      <c r="CM143" s="401">
        <f>IF(ISBLANK(Actuals!CN51),-21*Escalation!$B$88,Actuals!CN51)</f>
        <v/>
      </c>
      <c r="CN143" s="401">
        <f>IF(ISBLANK(Actuals!CO51),-21*Escalation!$B$89,Actuals!CO51)</f>
        <v/>
      </c>
      <c r="CO143" s="401">
        <f>IF(ISBLANK(Actuals!CP51),-21*Escalation!$B$90,Actuals!CP51)</f>
        <v/>
      </c>
      <c r="CP143" s="401">
        <f>IF(ISBLANK(Actuals!CQ51),-21*Escalation!$B$91,Actuals!CQ51)</f>
        <v/>
      </c>
      <c r="CQ143" s="401">
        <f>IF(ISBLANK(Actuals!CR51),-21*Escalation!$B$92,Actuals!CR51)</f>
        <v/>
      </c>
      <c r="CR143" s="401">
        <f>IF(ISBLANK(Actuals!CS51),-21*Escalation!$B$93,Actuals!CS51)</f>
        <v/>
      </c>
      <c r="CS143" s="401">
        <f>IF(ISBLANK(Actuals!CT51),-21*Escalation!$B$94,Actuals!CT51)</f>
        <v/>
      </c>
      <c r="CT143" s="401">
        <f>IF(ISBLANK(Actuals!CU51),-21*Escalation!$B$95,Actuals!CU51)</f>
        <v/>
      </c>
      <c r="CU143" s="401">
        <f>IF(ISBLANK(Actuals!CV51),-21*Escalation!$B$96,Actuals!CV51)</f>
        <v/>
      </c>
      <c r="CV143" s="401">
        <f>IF(ISBLANK(Actuals!CW51),-21*Escalation!$B$97,Actuals!CW51)</f>
        <v/>
      </c>
      <c r="CW143" s="401">
        <f>IF(ISBLANK(Actuals!CX51),-21*Escalation!$B$98,Actuals!CX51)</f>
        <v/>
      </c>
      <c r="CX143" s="401">
        <f>IF(ISBLANK(Actuals!CY51),-21*Escalation!$B$99,Actuals!CY51)</f>
        <v/>
      </c>
      <c r="CY143" s="401">
        <f>IF(ISBLANK(Actuals!CZ51),-21*Escalation!$B$100,Actuals!CZ51)</f>
        <v/>
      </c>
      <c r="CZ143" s="401">
        <f>IF(ISBLANK(Actuals!DA51),-21*Escalation!$B$101,Actuals!DA51)</f>
        <v/>
      </c>
      <c r="DA143" s="401">
        <f>IF(ISBLANK(Actuals!DB51),-21*Escalation!$B$102,Actuals!DB51)</f>
        <v/>
      </c>
      <c r="DB143" s="401">
        <f>IF(ISBLANK(Actuals!DC51),-21*Escalation!$B$103,Actuals!DC51)</f>
        <v/>
      </c>
      <c r="DC143" s="401">
        <f>IF(ISBLANK(Actuals!DD51),-21*Escalation!$B$104,Actuals!DD51)</f>
        <v/>
      </c>
      <c r="DD143" s="401">
        <f>IF(ISBLANK(Actuals!DE51),-21*Escalation!$B$105,Actuals!DE51)</f>
        <v/>
      </c>
      <c r="DE143" s="401">
        <f>IF(ISBLANK(Actuals!DF51),-21*Escalation!$B$106,Actuals!DF51)</f>
        <v/>
      </c>
    </row>
    <row r="144" ht="15" customFormat="1" customHeight="1" s="380">
      <c r="A144" s="397" t="inlineStr">
        <is>
          <t>BD Commission</t>
        </is>
      </c>
      <c r="B144" s="401">
        <f>IF(ISBLANK(Actuals!C52),-MAX(0,'BD Commission Detail'!C53),Actuals!C52)</f>
        <v/>
      </c>
      <c r="C144" s="401">
        <f>IF(ISBLANK(Actuals!D52),-MAX(0,'BD Commission Detail'!D53),Actuals!D52)</f>
        <v/>
      </c>
      <c r="D144" s="401">
        <f>IF(ISBLANK(Actuals!E52),-MAX(0,'BD Commission Detail'!E53),Actuals!E52)</f>
        <v/>
      </c>
      <c r="E144" s="401">
        <f>IF(ISBLANK(Actuals!F52),-MAX(0,'BD Commission Detail'!F53),Actuals!F52)</f>
        <v/>
      </c>
      <c r="F144" s="401">
        <f>IF(ISBLANK(Actuals!G52),-MAX(0,'BD Commission Detail'!G53),Actuals!G52)</f>
        <v/>
      </c>
      <c r="G144" s="401">
        <f>IF(ISBLANK(Actuals!H52),-MAX(0,'BD Commission Detail'!H53),Actuals!H52)</f>
        <v/>
      </c>
      <c r="H144" s="401">
        <f>IF(ISBLANK(Actuals!I52),-MAX(0,'BD Commission Detail'!I53),Actuals!I52)</f>
        <v/>
      </c>
      <c r="I144" s="401">
        <f>IF(ISBLANK(Actuals!J52),-MAX(0,'BD Commission Detail'!J53),Actuals!J52)</f>
        <v/>
      </c>
      <c r="J144" s="401">
        <f>IF(ISBLANK(Actuals!K52),-MAX(0,'BD Commission Detail'!K53),Actuals!K52)</f>
        <v/>
      </c>
      <c r="K144" s="401">
        <f>IF(ISBLANK(Actuals!L52),-MAX(0,'BD Commission Detail'!L53),Actuals!L52)</f>
        <v/>
      </c>
      <c r="L144" s="401">
        <f>IF(ISBLANK(Actuals!M52),-MAX(0,'BD Commission Detail'!M53),Actuals!M52)</f>
        <v/>
      </c>
      <c r="M144" s="401">
        <f>IF(ISBLANK(Actuals!N52),-MAX(0,'BD Commission Detail'!N53),Actuals!N52)</f>
        <v/>
      </c>
      <c r="N144" s="401">
        <f>IF(ISBLANK(Actuals!O52),-MAX(0,'BD Commission Detail'!O53),Actuals!O52)</f>
        <v/>
      </c>
      <c r="O144" s="401">
        <f>IF(ISBLANK(Actuals!P52),-MAX(0,'BD Commission Detail'!P53),Actuals!P52)</f>
        <v/>
      </c>
      <c r="P144" s="401">
        <f>IF(ISBLANK(Actuals!Q52),-MAX(0,'BD Commission Detail'!Q53),Actuals!Q52)</f>
        <v/>
      </c>
      <c r="Q144" s="401">
        <f>IF(ISBLANK(Actuals!R52),-MAX(0,'BD Commission Detail'!R53),Actuals!R52)</f>
        <v/>
      </c>
      <c r="R144" s="401">
        <f>IF(ISBLANK(Actuals!S52),-MAX(0,'BD Commission Detail'!S53),Actuals!S52)</f>
        <v/>
      </c>
      <c r="S144" s="401">
        <f>IF(ISBLANK(Actuals!T52),-MAX(0,'BD Commission Detail'!T53),Actuals!T52)</f>
        <v/>
      </c>
      <c r="T144" s="401">
        <f>IF(ISBLANK(Actuals!U52),-MAX(0,'BD Commission Detail'!U53),Actuals!U52)</f>
        <v/>
      </c>
      <c r="U144" s="401">
        <f>IF(ISBLANK(Actuals!V52),-MAX(0,'BD Commission Detail'!V53),Actuals!V52)</f>
        <v/>
      </c>
      <c r="V144" s="401">
        <f>IF(ISBLANK(Actuals!W52),-MAX(0,'BD Commission Detail'!W53),Actuals!W52)</f>
        <v/>
      </c>
      <c r="W144" s="401">
        <f>IF(ISBLANK(Actuals!X52),-MAX(0,'BD Commission Detail'!X53),Actuals!X52)</f>
        <v/>
      </c>
      <c r="X144" s="401">
        <f>IF(ISBLANK(Actuals!Y52),-MAX(0,'BD Commission Detail'!Y53),Actuals!Y52)</f>
        <v/>
      </c>
      <c r="Y144" s="401">
        <f>IF(ISBLANK(Actuals!Z52),-MAX(0,'BD Commission Detail'!Z53),Actuals!Z52)</f>
        <v/>
      </c>
      <c r="Z144" s="401">
        <f>IF(ISBLANK(Actuals!AA52),-MAX(0,'BD Commission Detail'!AA53),Actuals!AA52)</f>
        <v/>
      </c>
      <c r="AA144" s="401">
        <f>IF(ISBLANK(Actuals!AB52),-MAX(0,'BD Commission Detail'!AB53),Actuals!AB52)</f>
        <v/>
      </c>
      <c r="AB144" s="401">
        <f>IF(ISBLANK(Actuals!AC52),-MAX(0,'BD Commission Detail'!AC53),Actuals!AC52)</f>
        <v/>
      </c>
      <c r="AC144" s="401">
        <f>IF(ISBLANK(Actuals!AD52),-MAX(0,'BD Commission Detail'!AD53),Actuals!AD52)</f>
        <v/>
      </c>
      <c r="AD144" s="401">
        <f>IF(ISBLANK(Actuals!AE52),-MAX(0,'BD Commission Detail'!AE53),Actuals!AE52)</f>
        <v/>
      </c>
      <c r="AE144" s="401">
        <f>IF(ISBLANK(Actuals!AF52),-MAX(0,'BD Commission Detail'!AF53),Actuals!AF52)</f>
        <v/>
      </c>
      <c r="AF144" s="401">
        <f>IF(ISBLANK(Actuals!AG52),-MAX(0,'BD Commission Detail'!AG53),Actuals!AG52)</f>
        <v/>
      </c>
      <c r="AG144" s="401">
        <f>IF(ISBLANK(Actuals!AH52),-MAX(0,'BD Commission Detail'!AH53),Actuals!AH52)</f>
        <v/>
      </c>
      <c r="AH144" s="401">
        <f>IF(ISBLANK(Actuals!AI52),-MAX(0,'BD Commission Detail'!AI53),Actuals!AI52)</f>
        <v/>
      </c>
      <c r="AI144" s="401">
        <f>IF(ISBLANK(Actuals!AJ52),-MAX(0,'BD Commission Detail'!AJ53),Actuals!AJ52)</f>
        <v/>
      </c>
      <c r="AJ144" s="401">
        <f>IF(ISBLANK(Actuals!AK52),-MAX(0,'BD Commission Detail'!AK53),Actuals!AK52)</f>
        <v/>
      </c>
      <c r="AK144" s="401">
        <f>IF(ISBLANK(Actuals!AL52),-MAX(0,'BD Commission Detail'!AL53),Actuals!AL52)</f>
        <v/>
      </c>
      <c r="AL144" s="401">
        <f>IF(ISBLANK(Actuals!AM52),-MAX(0,'BD Commission Detail'!AM53),Actuals!AM52)</f>
        <v/>
      </c>
      <c r="AM144" s="401">
        <f>IF(ISBLANK(Actuals!AN52),-MAX(0,'BD Commission Detail'!AN53),Actuals!AN52)</f>
        <v/>
      </c>
      <c r="AN144" s="401">
        <f>IF(ISBLANK(Actuals!AO52),-MAX(0,'BD Commission Detail'!AO53),Actuals!AO52)</f>
        <v/>
      </c>
      <c r="AO144" s="401">
        <f>IF(ISBLANK(Actuals!AP52),-MAX(0,'BD Commission Detail'!AP53),Actuals!AP52)</f>
        <v/>
      </c>
      <c r="AP144" s="401">
        <f>IF(ISBLANK(Actuals!AQ52),-MAX(0,'BD Commission Detail'!AQ53),Actuals!AQ52)</f>
        <v/>
      </c>
      <c r="AQ144" s="401">
        <f>IF(ISBLANK(Actuals!AR52),-MAX(0,'BD Commission Detail'!AR53),Actuals!AR52)</f>
        <v/>
      </c>
      <c r="AR144" s="401">
        <f>IF(ISBLANK(Actuals!AS52),-MAX(0,'BD Commission Detail'!AS53),Actuals!AS52)</f>
        <v/>
      </c>
      <c r="AS144" s="401">
        <f>IF(ISBLANK(Actuals!AT52),-MAX(0,'BD Commission Detail'!AT53),Actuals!AT52)</f>
        <v/>
      </c>
      <c r="AT144" s="401">
        <f>IF(ISBLANK(Actuals!AU52),-MAX(0,'BD Commission Detail'!AU53),Actuals!AU52)</f>
        <v/>
      </c>
      <c r="AU144" s="401">
        <f>IF(ISBLANK(Actuals!AV52),-MAX(0,'BD Commission Detail'!AV53),Actuals!AV52)</f>
        <v/>
      </c>
      <c r="AV144" s="401">
        <f>IF(ISBLANK(Actuals!AW52),-MAX(0,'BD Commission Detail'!AW53),Actuals!AW52)</f>
        <v/>
      </c>
      <c r="AW144" s="401">
        <f>IF(ISBLANK(Actuals!AX52),-MAX(0,'BD Commission Detail'!AX53),Actuals!AX52)</f>
        <v/>
      </c>
      <c r="AX144" s="401">
        <f>IF(ISBLANK(Actuals!AY52),-MAX(0,'BD Commission Detail'!AY53),Actuals!AY52)</f>
        <v/>
      </c>
      <c r="AY144" s="401">
        <f>IF(ISBLANK(Actuals!AZ52),-MAX(0,'BD Commission Detail'!AZ53),Actuals!AZ52)</f>
        <v/>
      </c>
      <c r="AZ144" s="401">
        <f>IF(ISBLANK(Actuals!BA52),-MAX(0,'BD Commission Detail'!BA53),Actuals!BA52)</f>
        <v/>
      </c>
      <c r="BA144" s="401">
        <f>IF(ISBLANK(Actuals!BB52),-MAX(0,'BD Commission Detail'!BB53),Actuals!BB52)</f>
        <v/>
      </c>
      <c r="BB144" s="401">
        <f>IF(ISBLANK(Actuals!BC52),-MAX(0,'BD Commission Detail'!BC53),Actuals!BC52)</f>
        <v/>
      </c>
      <c r="BC144" s="401">
        <f>IF(ISBLANK(Actuals!BD52),-MAX(0,'BD Commission Detail'!BD53),Actuals!BD52)</f>
        <v/>
      </c>
      <c r="BD144" s="401">
        <f>IF(ISBLANK(Actuals!BE52),-MAX(0,'BD Commission Detail'!BE53),Actuals!BE52)</f>
        <v/>
      </c>
      <c r="BE144" s="401">
        <f>IF(ISBLANK(Actuals!BF52),-MAX(0,'BD Commission Detail'!BF53),Actuals!BF52)</f>
        <v/>
      </c>
      <c r="BF144" s="401">
        <f>IF(ISBLANK(Actuals!BG52),-MAX(0,'BD Commission Detail'!BG53),Actuals!BG52)</f>
        <v/>
      </c>
      <c r="BG144" s="401">
        <f>IF(ISBLANK(Actuals!BH52),-MAX(0,'BD Commission Detail'!BH53),Actuals!BH52)</f>
        <v/>
      </c>
      <c r="BH144" s="401">
        <f>IF(ISBLANK(Actuals!BI52),-MAX(0,'BD Commission Detail'!BI53),Actuals!BI52)</f>
        <v/>
      </c>
      <c r="BI144" s="401">
        <f>IF(ISBLANK(Actuals!BJ52),-MAX(0,'BD Commission Detail'!BJ53),Actuals!BJ52)</f>
        <v/>
      </c>
      <c r="BJ144" s="401">
        <f>IF(ISBLANK(Actuals!BK52),-MAX(0,'BD Commission Detail'!BK53),Actuals!BK52)</f>
        <v/>
      </c>
      <c r="BK144" s="401">
        <f>IF(ISBLANK(Actuals!BL52),-MAX(0,'BD Commission Detail'!BL53),Actuals!BL52)</f>
        <v/>
      </c>
      <c r="BL144" s="401">
        <f>IF(ISBLANK(Actuals!BM52),-MAX(0,'BD Commission Detail'!BM53),Actuals!BM52)</f>
        <v/>
      </c>
      <c r="BM144" s="401">
        <f>IF(ISBLANK(Actuals!BN52),-MAX(0,'BD Commission Detail'!BN53),Actuals!BN52)</f>
        <v/>
      </c>
      <c r="BN144" s="401">
        <f>IF(ISBLANK(Actuals!BO52),-MAX(0,'BD Commission Detail'!BO53),Actuals!BO52)</f>
        <v/>
      </c>
      <c r="BO144" s="401">
        <f>IF(ISBLANK(Actuals!BP52),-MAX(0,'BD Commission Detail'!BP53),Actuals!BP52)</f>
        <v/>
      </c>
      <c r="BP144" s="401">
        <f>IF(ISBLANK(Actuals!BQ52),-MAX(0,'BD Commission Detail'!BQ53),Actuals!BQ52)</f>
        <v/>
      </c>
      <c r="BQ144" s="401">
        <f>IF(ISBLANK(Actuals!BR52),-MAX(0,'BD Commission Detail'!BR53),Actuals!BR52)</f>
        <v/>
      </c>
      <c r="BR144" s="401">
        <f>IF(ISBLANK(Actuals!BS52),-MAX(0,'BD Commission Detail'!BS53),Actuals!BS52)</f>
        <v/>
      </c>
      <c r="BS144" s="401">
        <f>IF(ISBLANK(Actuals!BT52),-MAX(0,'BD Commission Detail'!BT53),Actuals!BT52)</f>
        <v/>
      </c>
      <c r="BT144" s="401">
        <f>IF(ISBLANK(Actuals!BU52),-MAX(0,'BD Commission Detail'!BU53),Actuals!BU52)</f>
        <v/>
      </c>
      <c r="BU144" s="401">
        <f>IF(ISBLANK(Actuals!BV52),-MAX(0,'BD Commission Detail'!BV53),Actuals!BV52)</f>
        <v/>
      </c>
      <c r="BV144" s="401">
        <f>IF(ISBLANK(Actuals!BW52),-MAX(0,'BD Commission Detail'!BW53),Actuals!BW52)</f>
        <v/>
      </c>
      <c r="BW144" s="401">
        <f>IF(ISBLANK(Actuals!BX52),-MAX(0,'BD Commission Detail'!BX53),Actuals!BX52)</f>
        <v/>
      </c>
      <c r="BX144" s="401">
        <f>IF(ISBLANK(Actuals!BY52),-MAX(0,'BD Commission Detail'!BY53),Actuals!BY52)</f>
        <v/>
      </c>
      <c r="BY144" s="401">
        <f>IF(ISBLANK(Actuals!BZ52),-MAX(0,'BD Commission Detail'!BZ53),Actuals!BZ52)</f>
        <v/>
      </c>
      <c r="BZ144" s="401">
        <f>IF(ISBLANK(Actuals!CA52),-MAX(0,'BD Commission Detail'!CA53),Actuals!CA52)</f>
        <v/>
      </c>
      <c r="CA144" s="401">
        <f>IF(ISBLANK(Actuals!CB52),-MAX(0,'BD Commission Detail'!CB53),Actuals!CB52)</f>
        <v/>
      </c>
      <c r="CB144" s="401">
        <f>IF(ISBLANK(Actuals!CC52),-MAX(0,'BD Commission Detail'!CC53),Actuals!CC52)</f>
        <v/>
      </c>
      <c r="CC144" s="401">
        <f>IF(ISBLANK(Actuals!CD52),-MAX(0,'BD Commission Detail'!CD53),Actuals!CD52)</f>
        <v/>
      </c>
      <c r="CD144" s="401">
        <f>IF(ISBLANK(Actuals!CE52),-MAX(0,'BD Commission Detail'!CE53),Actuals!CE52)</f>
        <v/>
      </c>
      <c r="CE144" s="401">
        <f>IF(ISBLANK(Actuals!CF52),-MAX(0,'BD Commission Detail'!CF53),Actuals!CF52)</f>
        <v/>
      </c>
      <c r="CF144" s="401">
        <f>IF(ISBLANK(Actuals!CG52),-MAX(0,'BD Commission Detail'!CG53),Actuals!CG52)</f>
        <v/>
      </c>
      <c r="CG144" s="401">
        <f>IF(ISBLANK(Actuals!CH52),-MAX(0,'BD Commission Detail'!CH53),Actuals!CH52)</f>
        <v/>
      </c>
      <c r="CH144" s="401">
        <f>IF(ISBLANK(Actuals!CI52),-MAX(0,'BD Commission Detail'!CI53),Actuals!CI52)</f>
        <v/>
      </c>
      <c r="CI144" s="401">
        <f>IF(ISBLANK(Actuals!CJ52),-MAX(0,'BD Commission Detail'!CJ53),Actuals!CJ52)</f>
        <v/>
      </c>
      <c r="CJ144" s="401">
        <f>IF(ISBLANK(Actuals!CK52),-MAX(0,'BD Commission Detail'!CK53),Actuals!CK52)</f>
        <v/>
      </c>
      <c r="CK144" s="401">
        <f>IF(ISBLANK(Actuals!CL52),-MAX(0,'BD Commission Detail'!CL53),Actuals!CL52)</f>
        <v/>
      </c>
      <c r="CL144" s="401">
        <f>IF(ISBLANK(Actuals!CM52),-MAX(0,'BD Commission Detail'!CM53),Actuals!CM52)</f>
        <v/>
      </c>
      <c r="CM144" s="401">
        <f>IF(ISBLANK(Actuals!CN52),-MAX(0,'BD Commission Detail'!CN53),Actuals!CN52)</f>
        <v/>
      </c>
      <c r="CN144" s="401">
        <f>IF(ISBLANK(Actuals!CO52),-MAX(0,'BD Commission Detail'!CO53),Actuals!CO52)</f>
        <v/>
      </c>
      <c r="CO144" s="401">
        <f>IF(ISBLANK(Actuals!CP52),-MAX(0,'BD Commission Detail'!CP53),Actuals!CP52)</f>
        <v/>
      </c>
      <c r="CP144" s="401">
        <f>IF(ISBLANK(Actuals!CQ52),-MAX(0,'BD Commission Detail'!CQ53),Actuals!CQ52)</f>
        <v/>
      </c>
      <c r="CQ144" s="401">
        <f>IF(ISBLANK(Actuals!CR52),-MAX(0,'BD Commission Detail'!CR53),Actuals!CR52)</f>
        <v/>
      </c>
      <c r="CR144" s="401">
        <f>IF(ISBLANK(Actuals!CS52),-MAX(0,'BD Commission Detail'!CS53),Actuals!CS52)</f>
        <v/>
      </c>
      <c r="CS144" s="401">
        <f>IF(ISBLANK(Actuals!CT52),-MAX(0,'BD Commission Detail'!CT53),Actuals!CT52)</f>
        <v/>
      </c>
      <c r="CT144" s="401">
        <f>IF(ISBLANK(Actuals!CU52),-MAX(0,'BD Commission Detail'!CU53),Actuals!CU52)</f>
        <v/>
      </c>
      <c r="CU144" s="401">
        <f>IF(ISBLANK(Actuals!CV52),-MAX(0,'BD Commission Detail'!CV53),Actuals!CV52)</f>
        <v/>
      </c>
      <c r="CV144" s="401">
        <f>IF(ISBLANK(Actuals!CW52),-MAX(0,'BD Commission Detail'!CW53),Actuals!CW52)</f>
        <v/>
      </c>
      <c r="CW144" s="401">
        <f>IF(ISBLANK(Actuals!CX52),-MAX(0,'BD Commission Detail'!CX53),Actuals!CX52)</f>
        <v/>
      </c>
      <c r="CX144" s="401">
        <f>IF(ISBLANK(Actuals!CY52),-MAX(0,'BD Commission Detail'!CY53),Actuals!CY52)</f>
        <v/>
      </c>
      <c r="CY144" s="401">
        <f>IF(ISBLANK(Actuals!CZ52),-MAX(0,'BD Commission Detail'!CZ53),Actuals!CZ52)</f>
        <v/>
      </c>
      <c r="CZ144" s="401">
        <f>IF(ISBLANK(Actuals!DA52),-MAX(0,'BD Commission Detail'!DA53),Actuals!DA52)</f>
        <v/>
      </c>
      <c r="DA144" s="401">
        <f>IF(ISBLANK(Actuals!DB52),-MAX(0,'BD Commission Detail'!DB53),Actuals!DB52)</f>
        <v/>
      </c>
      <c r="DB144" s="401">
        <f>IF(ISBLANK(Actuals!DC52),-MAX(0,'BD Commission Detail'!DC53),Actuals!DC52)</f>
        <v/>
      </c>
      <c r="DC144" s="401">
        <f>IF(ISBLANK(Actuals!DD52),-MAX(0,'BD Commission Detail'!DD53),Actuals!DD52)</f>
        <v/>
      </c>
      <c r="DD144" s="401">
        <f>IF(ISBLANK(Actuals!DE52),-MAX(0,'BD Commission Detail'!DE53),Actuals!DE52)</f>
        <v/>
      </c>
      <c r="DE144" s="401">
        <f>IF(ISBLANK(Actuals!DF52),-MAX(0,'BD Commission Detail'!DF53),Actuals!DF52)</f>
        <v/>
      </c>
      <c r="DF144" s="380">
        <f>IF(ISBLANK(Actuals!DG52),-MAX(0,'BD Commission Detail'!DF53),Actuals!DG52)</f>
        <v/>
      </c>
      <c r="DG144" s="380">
        <f>IF(ISBLANK(Actuals!DH52),-MAX(0,'BD Commission Detail'!DG53),Actuals!DH52)</f>
        <v/>
      </c>
      <c r="DH144" s="380">
        <f>IF(ISBLANK(Actuals!DI52),-MAX(0,'BD Commission Detail'!DH53),Actuals!DI52)</f>
        <v/>
      </c>
      <c r="DI144" s="380">
        <f>IF(ISBLANK(Actuals!DJ52),-MAX(0,'BD Commission Detail'!DI53),Actuals!DJ52)</f>
        <v/>
      </c>
      <c r="DJ144" s="380">
        <f>IF(ISBLANK(Actuals!DK52),-MAX(0,'BD Commission Detail'!DJ53),Actuals!DK52)</f>
        <v/>
      </c>
      <c r="DK144" s="380">
        <f>IF(ISBLANK(Actuals!DL52),-MAX(0,'BD Commission Detail'!DK53),Actuals!DL52)</f>
        <v/>
      </c>
      <c r="DL144" s="380">
        <f>IF(ISBLANK(Actuals!DM52),-MAX(0,'BD Commission Detail'!DL53),Actuals!DM52)</f>
        <v/>
      </c>
      <c r="DM144" s="380">
        <f>IF(ISBLANK(Actuals!DN52),-MAX(0,'BD Commission Detail'!DM53),Actuals!DN52)</f>
        <v/>
      </c>
      <c r="DN144" s="380">
        <f>IF(ISBLANK(Actuals!DO52),-MAX(0,'BD Commission Detail'!DN53),Actuals!DO52)</f>
        <v/>
      </c>
      <c r="DO144" s="380">
        <f>IF(ISBLANK(Actuals!DP52),-MAX(0,'BD Commission Detail'!DO53),Actuals!DP52)</f>
        <v/>
      </c>
      <c r="DP144" s="380">
        <f>IF(ISBLANK(Actuals!DQ52),-MAX(0,'BD Commission Detail'!DP53),Actuals!DQ52)</f>
        <v/>
      </c>
      <c r="DQ144" s="380">
        <f>IF(ISBLANK(Actuals!DR52),-MAX(0,'BD Commission Detail'!DQ53),Actuals!DR52)</f>
        <v/>
      </c>
      <c r="DR144" s="380">
        <f>IF(ISBLANK(Actuals!DS52),-MAX(0,'BD Commission Detail'!DR53),Actuals!DS52)</f>
        <v/>
      </c>
      <c r="DS144" s="380">
        <f>IF(ISBLANK(Actuals!DT52),-MAX(0,'BD Commission Detail'!DS53),Actuals!DT52)</f>
        <v/>
      </c>
      <c r="DT144" s="380">
        <f>IF(ISBLANK(Actuals!DU52),-MAX(0,'BD Commission Detail'!DT53),Actuals!DU52)</f>
        <v/>
      </c>
      <c r="DU144" s="380">
        <f>IF(ISBLANK(Actuals!DV52),-MAX(0,'BD Commission Detail'!DU53),Actuals!DV52)</f>
        <v/>
      </c>
      <c r="DV144" s="380">
        <f>IF(ISBLANK(Actuals!DW52),-MAX(0,'BD Commission Detail'!DV53),Actuals!DW52)</f>
        <v/>
      </c>
      <c r="DW144" s="380">
        <f>IF(ISBLANK(Actuals!DX52),-MAX(0,'BD Commission Detail'!DW53),Actuals!DX52)</f>
        <v/>
      </c>
      <c r="DX144" s="380">
        <f>IF(ISBLANK(Actuals!DY52),-MAX(0,'BD Commission Detail'!DX53),Actuals!DY52)</f>
        <v/>
      </c>
      <c r="DY144" s="380">
        <f>IF(ISBLANK(Actuals!DZ52),-MAX(0,'BD Commission Detail'!DY53),Actuals!DZ52)</f>
        <v/>
      </c>
      <c r="DZ144" s="380">
        <f>IF(ISBLANK(Actuals!EA52),-MAX(0,'BD Commission Detail'!DZ53),Actuals!EA52)</f>
        <v/>
      </c>
      <c r="EA144" s="380">
        <f>IF(ISBLANK(Actuals!EB52),-MAX(0,'BD Commission Detail'!EA53),Actuals!EB52)</f>
        <v/>
      </c>
      <c r="EB144" s="380">
        <f>IF(ISBLANK(Actuals!EC52),-MAX(0,'BD Commission Detail'!EB53),Actuals!EC52)</f>
        <v/>
      </c>
      <c r="EC144" s="380">
        <f>IF(ISBLANK(Actuals!ED52),-MAX(0,'BD Commission Detail'!EC53),Actuals!ED52)</f>
        <v/>
      </c>
      <c r="ED144" s="380">
        <f>IF(ISBLANK(Actuals!EE52),-MAX(0,'BD Commission Detail'!ED53),Actuals!EE52)</f>
        <v/>
      </c>
      <c r="EE144" s="380">
        <f>IF(ISBLANK(Actuals!EF52),-MAX(0,'BD Commission Detail'!EE53),Actuals!EF52)</f>
        <v/>
      </c>
      <c r="EF144" s="380">
        <f>IF(ISBLANK(Actuals!EG52),-MAX(0,'BD Commission Detail'!EF53),Actuals!EG52)</f>
        <v/>
      </c>
      <c r="EG144" s="380">
        <f>IF(ISBLANK(Actuals!EH52),-MAX(0,'BD Commission Detail'!EG53),Actuals!EH52)</f>
        <v/>
      </c>
      <c r="EH144" s="380">
        <f>IF(ISBLANK(Actuals!EI52),-MAX(0,'BD Commission Detail'!EH53),Actuals!EI52)</f>
        <v/>
      </c>
      <c r="EI144" s="380">
        <f>IF(ISBLANK(Actuals!EJ52),-MAX(0,'BD Commission Detail'!EI53),Actuals!EJ52)</f>
        <v/>
      </c>
      <c r="EJ144" s="380">
        <f>IF(ISBLANK(Actuals!EK52),-MAX(0,'BD Commission Detail'!EJ53),Actuals!EK52)</f>
        <v/>
      </c>
      <c r="EK144" s="380">
        <f>IF(ISBLANK(Actuals!EL52),-MAX(0,'BD Commission Detail'!EK53),Actuals!EL52)</f>
        <v/>
      </c>
      <c r="EL144" s="380">
        <f>IF(ISBLANK(Actuals!EM52),-MAX(0,'BD Commission Detail'!EL53),Actuals!EM52)</f>
        <v/>
      </c>
      <c r="EM144" s="380">
        <f>IF(ISBLANK(Actuals!EN52),-MAX(0,'BD Commission Detail'!EM53),Actuals!EN52)</f>
        <v/>
      </c>
      <c r="EN144" s="380">
        <f>IF(ISBLANK(Actuals!EO52),-MAX(0,'BD Commission Detail'!EN53),Actuals!EO52)</f>
        <v/>
      </c>
      <c r="EO144" s="380">
        <f>IF(ISBLANK(Actuals!EP52),-MAX(0,'BD Commission Detail'!EO53),Actuals!EP52)</f>
        <v/>
      </c>
      <c r="EP144" s="380">
        <f>IF(ISBLANK(Actuals!EQ52),-MAX(0,'BD Commission Detail'!EP53),Actuals!EQ52)</f>
        <v/>
      </c>
      <c r="EQ144" s="380">
        <f>IF(ISBLANK(Actuals!ER52),-MAX(0,'BD Commission Detail'!EQ53),Actuals!ER52)</f>
        <v/>
      </c>
      <c r="ER144" s="380">
        <f>IF(ISBLANK(Actuals!ES52),-MAX(0,'BD Commission Detail'!ER53),Actuals!ES52)</f>
        <v/>
      </c>
      <c r="ES144" s="380">
        <f>IF(ISBLANK(Actuals!ET52),-MAX(0,'BD Commission Detail'!ES53),Actuals!ET52)</f>
        <v/>
      </c>
      <c r="ET144" s="380">
        <f>IF(ISBLANK(Actuals!EU52),-MAX(0,'BD Commission Detail'!ET53),Actuals!EU52)</f>
        <v/>
      </c>
      <c r="EU144" s="380">
        <f>IF(ISBLANK(Actuals!EV52),-MAX(0,'BD Commission Detail'!EU53),Actuals!EV52)</f>
        <v/>
      </c>
      <c r="EV144" s="380">
        <f>IF(ISBLANK(Actuals!EW52),-MAX(0,'BD Commission Detail'!EV53),Actuals!EW52)</f>
        <v/>
      </c>
      <c r="EW144" s="380">
        <f>IF(ISBLANK(Actuals!EX52),-MAX(0,'BD Commission Detail'!EW53),Actuals!EX52)</f>
        <v/>
      </c>
      <c r="EX144" s="380">
        <f>IF(ISBLANK(Actuals!EY52),-MAX(0,'BD Commission Detail'!EX53),Actuals!EY52)</f>
        <v/>
      </c>
      <c r="EY144" s="380">
        <f>IF(ISBLANK(Actuals!EZ52),-MAX(0,'BD Commission Detail'!EY53),Actuals!EZ52)</f>
        <v/>
      </c>
      <c r="EZ144" s="380">
        <f>IF(ISBLANK(Actuals!FA52),-MAX(0,'BD Commission Detail'!EZ53),Actuals!FA52)</f>
        <v/>
      </c>
      <c r="FA144" s="380">
        <f>IF(ISBLANK(Actuals!FB52),-MAX(0,'BD Commission Detail'!FA53),Actuals!FB52)</f>
        <v/>
      </c>
      <c r="FB144" s="380">
        <f>IF(ISBLANK(Actuals!FC52),-MAX(0,'BD Commission Detail'!FB53),Actuals!FC52)</f>
        <v/>
      </c>
      <c r="FC144" s="380">
        <f>IF(ISBLANK(Actuals!FD52),-MAX(0,'BD Commission Detail'!FC53),Actuals!FD52)</f>
        <v/>
      </c>
      <c r="FD144" s="380">
        <f>IF(ISBLANK(Actuals!FE52),-MAX(0,'BD Commission Detail'!FD53),Actuals!FE52)</f>
        <v/>
      </c>
      <c r="FE144" s="380">
        <f>IF(ISBLANK(Actuals!FF52),-MAX(0,'BD Commission Detail'!FE53),Actuals!FF52)</f>
        <v/>
      </c>
      <c r="FF144" s="380">
        <f>IF(ISBLANK(Actuals!FG52),-MAX(0,'BD Commission Detail'!FF53),Actuals!FG52)</f>
        <v/>
      </c>
      <c r="FG144" s="380">
        <f>IF(ISBLANK(Actuals!FH52),-MAX(0,'BD Commission Detail'!FG53),Actuals!FH52)</f>
        <v/>
      </c>
      <c r="FH144" s="380">
        <f>IF(ISBLANK(Actuals!FI52),-MAX(0,'BD Commission Detail'!FH53),Actuals!FI52)</f>
        <v/>
      </c>
      <c r="FI144" s="380">
        <f>IF(ISBLANK(Actuals!FJ52),-MAX(0,'BD Commission Detail'!FI53),Actuals!FJ52)</f>
        <v/>
      </c>
      <c r="FJ144" s="380">
        <f>IF(ISBLANK(Actuals!FK52),-MAX(0,'BD Commission Detail'!FJ53),Actuals!FK52)</f>
        <v/>
      </c>
      <c r="FK144" s="380">
        <f>IF(ISBLANK(Actuals!FL52),-MAX(0,'BD Commission Detail'!FK53),Actuals!FL52)</f>
        <v/>
      </c>
      <c r="FL144" s="380">
        <f>IF(ISBLANK(Actuals!FM52),-MAX(0,'BD Commission Detail'!FL53),Actuals!FM52)</f>
        <v/>
      </c>
      <c r="FM144" s="380">
        <f>IF(ISBLANK(Actuals!FN52),-MAX(0,'BD Commission Detail'!FM53),Actuals!FN52)</f>
        <v/>
      </c>
      <c r="FN144" s="380">
        <f>IF(ISBLANK(Actuals!FO52),-MAX(0,'BD Commission Detail'!FN53),Actuals!FO52)</f>
        <v/>
      </c>
      <c r="FO144" s="380">
        <f>IF(ISBLANK(Actuals!FP52),-MAX(0,'BD Commission Detail'!FO53),Actuals!FP52)</f>
        <v/>
      </c>
      <c r="FP144" s="380">
        <f>IF(ISBLANK(Actuals!FQ52),-MAX(0,'BD Commission Detail'!FP53),Actuals!FQ52)</f>
        <v/>
      </c>
      <c r="FQ144" s="380">
        <f>IF(ISBLANK(Actuals!FR52),-MAX(0,'BD Commission Detail'!FQ53),Actuals!FR52)</f>
        <v/>
      </c>
      <c r="FR144" s="380">
        <f>IF(ISBLANK(Actuals!FS52),-MAX(0,'BD Commission Detail'!FR53),Actuals!FS52)</f>
        <v/>
      </c>
      <c r="FS144" s="380">
        <f>IF(ISBLANK(Actuals!FT52),-MAX(0,'BD Commission Detail'!FS53),Actuals!FT52)</f>
        <v/>
      </c>
      <c r="FT144" s="380">
        <f>IF(ISBLANK(Actuals!FU52),-MAX(0,'BD Commission Detail'!FT53),Actuals!FU52)</f>
        <v/>
      </c>
      <c r="FU144" s="380">
        <f>IF(ISBLANK(Actuals!FV52),-MAX(0,'BD Commission Detail'!FU53),Actuals!FV52)</f>
        <v/>
      </c>
      <c r="FV144" s="380">
        <f>IF(ISBLANK(Actuals!FW52),-MAX(0,'BD Commission Detail'!FV53),Actuals!FW52)</f>
        <v/>
      </c>
      <c r="FW144" s="380">
        <f>IF(ISBLANK(Actuals!FX52),-MAX(0,'BD Commission Detail'!FW53),Actuals!FX52)</f>
        <v/>
      </c>
      <c r="FX144" s="380">
        <f>IF(ISBLANK(Actuals!FY52),-MAX(0,'BD Commission Detail'!FX53),Actuals!FY52)</f>
        <v/>
      </c>
      <c r="FY144" s="380">
        <f>IF(ISBLANK(Actuals!FZ52),-MAX(0,'BD Commission Detail'!FY53),Actuals!FZ52)</f>
        <v/>
      </c>
      <c r="FZ144" s="380">
        <f>IF(ISBLANK(Actuals!GA52),-MAX(0,'BD Commission Detail'!FZ53),Actuals!GA52)</f>
        <v/>
      </c>
      <c r="GA144" s="380">
        <f>IF(ISBLANK(Actuals!GB52),-MAX(0,'BD Commission Detail'!GA53),Actuals!GB52)</f>
        <v/>
      </c>
      <c r="GB144" s="380">
        <f>IF(ISBLANK(Actuals!GC52),-MAX(0,'BD Commission Detail'!GB53),Actuals!GC52)</f>
        <v/>
      </c>
      <c r="GC144" s="380">
        <f>IF(ISBLANK(Actuals!GD52),-MAX(0,'BD Commission Detail'!GC53),Actuals!GD52)</f>
        <v/>
      </c>
      <c r="GD144" s="380">
        <f>IF(ISBLANK(Actuals!GE52),-MAX(0,'BD Commission Detail'!GD53),Actuals!GE52)</f>
        <v/>
      </c>
      <c r="GE144" s="380">
        <f>IF(ISBLANK(Actuals!GF52),-MAX(0,'BD Commission Detail'!GE53),Actuals!GF52)</f>
        <v/>
      </c>
      <c r="GF144" s="380">
        <f>IF(ISBLANK(Actuals!GG52),-MAX(0,'BD Commission Detail'!GF53),Actuals!GG52)</f>
        <v/>
      </c>
      <c r="GG144" s="380">
        <f>IF(ISBLANK(Actuals!GH52),-MAX(0,'BD Commission Detail'!GG53),Actuals!GH52)</f>
        <v/>
      </c>
      <c r="GH144" s="380">
        <f>IF(ISBLANK(Actuals!GI52),-MAX(0,'BD Commission Detail'!GH53),Actuals!GI52)</f>
        <v/>
      </c>
      <c r="GI144" s="380">
        <f>IF(ISBLANK(Actuals!GJ52),-MAX(0,'BD Commission Detail'!GI53),Actuals!GJ52)</f>
        <v/>
      </c>
      <c r="GJ144" s="380">
        <f>IF(ISBLANK(Actuals!GK52),-MAX(0,'BD Commission Detail'!GJ53),Actuals!GK52)</f>
        <v/>
      </c>
      <c r="GK144" s="380">
        <f>IF(ISBLANK(Actuals!GL52),-MAX(0,'BD Commission Detail'!GK53),Actuals!GL52)</f>
        <v/>
      </c>
      <c r="GL144" s="380">
        <f>IF(ISBLANK(Actuals!GM52),-MAX(0,'BD Commission Detail'!GL53),Actuals!GM52)</f>
        <v/>
      </c>
      <c r="GM144" s="380">
        <f>IF(ISBLANK(Actuals!GN52),-MAX(0,'BD Commission Detail'!GM53),Actuals!GN52)</f>
        <v/>
      </c>
      <c r="GN144" s="380">
        <f>IF(ISBLANK(Actuals!GO52),-MAX(0,'BD Commission Detail'!GN53),Actuals!GO52)</f>
        <v/>
      </c>
      <c r="GO144" s="380">
        <f>IF(ISBLANK(Actuals!GP52),-MAX(0,'BD Commission Detail'!GO53),Actuals!GP52)</f>
        <v/>
      </c>
      <c r="GP144" s="380">
        <f>IF(ISBLANK(Actuals!GQ52),-MAX(0,'BD Commission Detail'!GP53),Actuals!GQ52)</f>
        <v/>
      </c>
      <c r="GQ144" s="380">
        <f>IF(ISBLANK(Actuals!GR52),-MAX(0,'BD Commission Detail'!GQ53),Actuals!GR52)</f>
        <v/>
      </c>
      <c r="GR144" s="380">
        <f>IF(ISBLANK(Actuals!GS52),-MAX(0,'BD Commission Detail'!GR53),Actuals!GS52)</f>
        <v/>
      </c>
      <c r="GS144" s="380">
        <f>IF(ISBLANK(Actuals!GT52),-MAX(0,'BD Commission Detail'!GS53),Actuals!GT52)</f>
        <v/>
      </c>
      <c r="GT144" s="380">
        <f>IF(ISBLANK(Actuals!GU52),-MAX(0,'BD Commission Detail'!GT53),Actuals!GU52)</f>
        <v/>
      </c>
      <c r="GU144" s="380">
        <f>IF(ISBLANK(Actuals!GV52),-MAX(0,'BD Commission Detail'!GU53),Actuals!GV52)</f>
        <v/>
      </c>
      <c r="GV144" s="380">
        <f>IF(ISBLANK(Actuals!GW52),-MAX(0,'BD Commission Detail'!GV53),Actuals!GW52)</f>
        <v/>
      </c>
      <c r="GW144" s="380">
        <f>IF(ISBLANK(Actuals!GX52),-MAX(0,'BD Commission Detail'!GW53),Actuals!GX52)</f>
        <v/>
      </c>
      <c r="GX144" s="380">
        <f>IF(ISBLANK(Actuals!GY52),-MAX(0,'BD Commission Detail'!GX53),Actuals!GY52)</f>
        <v/>
      </c>
      <c r="GY144" s="380">
        <f>IF(ISBLANK(Actuals!GZ52),-MAX(0,'BD Commission Detail'!GY53),Actuals!GZ52)</f>
        <v/>
      </c>
      <c r="GZ144" s="380">
        <f>IF(ISBLANK(Actuals!HA52),-MAX(0,'BD Commission Detail'!GZ53),Actuals!HA52)</f>
        <v/>
      </c>
      <c r="HA144" s="380">
        <f>IF(ISBLANK(Actuals!HB52),-MAX(0,'BD Commission Detail'!HA53),Actuals!HB52)</f>
        <v/>
      </c>
      <c r="HB144" s="380">
        <f>IF(ISBLANK(Actuals!HC52),-MAX(0,'BD Commission Detail'!HB53),Actuals!HC52)</f>
        <v/>
      </c>
      <c r="HC144" s="380">
        <f>IF(ISBLANK(Actuals!HD52),-MAX(0,'BD Commission Detail'!HC53),Actuals!HD52)</f>
        <v/>
      </c>
      <c r="HD144" s="380">
        <f>IF(ISBLANK(Actuals!HE52),-MAX(0,'BD Commission Detail'!HD53),Actuals!HE52)</f>
        <v/>
      </c>
      <c r="HE144" s="380">
        <f>IF(ISBLANK(Actuals!HF52),-MAX(0,'BD Commission Detail'!HE53),Actuals!HF52)</f>
        <v/>
      </c>
      <c r="HF144" s="380">
        <f>IF(ISBLANK(Actuals!HG52),-MAX(0,'BD Commission Detail'!HF53),Actuals!HG52)</f>
        <v/>
      </c>
      <c r="HG144" s="380">
        <f>IF(ISBLANK(Actuals!HH52),-MAX(0,'BD Commission Detail'!HG53),Actuals!HH52)</f>
        <v/>
      </c>
      <c r="HH144" s="380">
        <f>IF(ISBLANK(Actuals!HI52),-MAX(0,'BD Commission Detail'!HH53),Actuals!HI52)</f>
        <v/>
      </c>
      <c r="HI144" s="380">
        <f>IF(ISBLANK(Actuals!HJ52),-MAX(0,'BD Commission Detail'!HI53),Actuals!HJ52)</f>
        <v/>
      </c>
      <c r="HJ144" s="380">
        <f>IF(ISBLANK(Actuals!HK52),-MAX(0,'BD Commission Detail'!HJ53),Actuals!HK52)</f>
        <v/>
      </c>
      <c r="HK144" s="380">
        <f>IF(ISBLANK(Actuals!HL52),-MAX(0,'BD Commission Detail'!HK53),Actuals!HL52)</f>
        <v/>
      </c>
      <c r="HL144" s="380">
        <f>IF(ISBLANK(Actuals!HM52),-MAX(0,'BD Commission Detail'!HL53),Actuals!HM52)</f>
        <v/>
      </c>
      <c r="HM144" s="380">
        <f>IF(ISBLANK(Actuals!HN52),-MAX(0,'BD Commission Detail'!HM53),Actuals!HN52)</f>
        <v/>
      </c>
      <c r="HN144" s="380">
        <f>IF(ISBLANK(Actuals!HO52),-MAX(0,'BD Commission Detail'!HN53),Actuals!HO52)</f>
        <v/>
      </c>
      <c r="HO144" s="380">
        <f>IF(ISBLANK(Actuals!HP52),-MAX(0,'BD Commission Detail'!HO53),Actuals!HP52)</f>
        <v/>
      </c>
      <c r="HP144" s="380">
        <f>IF(ISBLANK(Actuals!HQ52),-MAX(0,'BD Commission Detail'!HP53),Actuals!HQ52)</f>
        <v/>
      </c>
      <c r="HQ144" s="380">
        <f>IF(ISBLANK(Actuals!HR52),-MAX(0,'BD Commission Detail'!HQ53),Actuals!HR52)</f>
        <v/>
      </c>
      <c r="HR144" s="380">
        <f>IF(ISBLANK(Actuals!HS52),-MAX(0,'BD Commission Detail'!HR53),Actuals!HS52)</f>
        <v/>
      </c>
      <c r="HS144" s="380">
        <f>IF(ISBLANK(Actuals!HT52),-MAX(0,'BD Commission Detail'!HS53),Actuals!HT52)</f>
        <v/>
      </c>
      <c r="HT144" s="380">
        <f>IF(ISBLANK(Actuals!HU52),-MAX(0,'BD Commission Detail'!HT53),Actuals!HU52)</f>
        <v/>
      </c>
      <c r="HU144" s="380">
        <f>IF(ISBLANK(Actuals!HV52),-MAX(0,'BD Commission Detail'!HU53),Actuals!HV52)</f>
        <v/>
      </c>
      <c r="HV144" s="380">
        <f>IF(ISBLANK(Actuals!HW52),-MAX(0,'BD Commission Detail'!HV53),Actuals!HW52)</f>
        <v/>
      </c>
      <c r="HW144" s="380">
        <f>IF(ISBLANK(Actuals!HX52),-MAX(0,'BD Commission Detail'!HW53),Actuals!HX52)</f>
        <v/>
      </c>
      <c r="HX144" s="380">
        <f>IF(ISBLANK(Actuals!HY52),-MAX(0,'BD Commission Detail'!HX53),Actuals!HY52)</f>
        <v/>
      </c>
      <c r="HY144" s="380">
        <f>IF(ISBLANK(Actuals!HZ52),-MAX(0,'BD Commission Detail'!HY53),Actuals!HZ52)</f>
        <v/>
      </c>
      <c r="HZ144" s="380">
        <f>IF(ISBLANK(Actuals!IA52),-MAX(0,'BD Commission Detail'!HZ53),Actuals!IA52)</f>
        <v/>
      </c>
      <c r="IA144" s="380">
        <f>IF(ISBLANK(Actuals!IB52),-MAX(0,'BD Commission Detail'!IA53),Actuals!IB52)</f>
        <v/>
      </c>
      <c r="IB144" s="380">
        <f>IF(ISBLANK(Actuals!IC52),-MAX(0,'BD Commission Detail'!IB53),Actuals!IC52)</f>
        <v/>
      </c>
      <c r="IC144" s="380">
        <f>IF(ISBLANK(Actuals!ID52),-MAX(0,'BD Commission Detail'!IC53),Actuals!ID52)</f>
        <v/>
      </c>
      <c r="ID144" s="380">
        <f>IF(ISBLANK(Actuals!IE52),-MAX(0,'BD Commission Detail'!ID53),Actuals!IE52)</f>
        <v/>
      </c>
      <c r="IE144" s="380">
        <f>IF(ISBLANK(Actuals!IF52),-MAX(0,'BD Commission Detail'!IE53),Actuals!IF52)</f>
        <v/>
      </c>
      <c r="IF144" s="380">
        <f>IF(ISBLANK(Actuals!IG52),-MAX(0,'BD Commission Detail'!IF53),Actuals!IG52)</f>
        <v/>
      </c>
      <c r="IG144" s="380">
        <f>IF(ISBLANK(Actuals!IH52),-MAX(0,'BD Commission Detail'!IG53),Actuals!IH52)</f>
        <v/>
      </c>
      <c r="IH144" s="380">
        <f>IF(ISBLANK(Actuals!II52),-MAX(0,'BD Commission Detail'!IH53),Actuals!II52)</f>
        <v/>
      </c>
      <c r="II144" s="380">
        <f>IF(ISBLANK(Actuals!IJ52),-MAX(0,'BD Commission Detail'!II53),Actuals!IJ52)</f>
        <v/>
      </c>
      <c r="IJ144" s="380">
        <f>IF(ISBLANK(Actuals!IK52),-MAX(0,'BD Commission Detail'!IJ53),Actuals!IK52)</f>
        <v/>
      </c>
      <c r="IK144" s="380">
        <f>IF(ISBLANK(Actuals!IL52),-MAX(0,'BD Commission Detail'!IK53),Actuals!IL52)</f>
        <v/>
      </c>
      <c r="IL144" s="380">
        <f>IF(ISBLANK(Actuals!IM52),-MAX(0,'BD Commission Detail'!IL53),Actuals!IM52)</f>
        <v/>
      </c>
      <c r="IM144" s="380">
        <f>IF(ISBLANK(Actuals!IN52),-MAX(0,'BD Commission Detail'!IM53),Actuals!IN52)</f>
        <v/>
      </c>
      <c r="IN144" s="380">
        <f>IF(ISBLANK(Actuals!IO52),-MAX(0,'BD Commission Detail'!IN53),Actuals!IO52)</f>
        <v/>
      </c>
      <c r="IO144" s="380">
        <f>IF(ISBLANK(Actuals!IP52),-MAX(0,'BD Commission Detail'!IO53),Actuals!IP52)</f>
        <v/>
      </c>
      <c r="IP144" s="380">
        <f>IF(ISBLANK(Actuals!IQ52),-MAX(0,'BD Commission Detail'!IP53),Actuals!IQ52)</f>
        <v/>
      </c>
      <c r="IQ144" s="380">
        <f>IF(ISBLANK(Actuals!IR52),-MAX(0,'BD Commission Detail'!IQ53),Actuals!IR52)</f>
        <v/>
      </c>
      <c r="IR144" s="380">
        <f>IF(ISBLANK(Actuals!IS52),-MAX(0,'BD Commission Detail'!IR53),Actuals!IS52)</f>
        <v/>
      </c>
      <c r="IS144" s="380">
        <f>IF(ISBLANK(Actuals!IT52),-MAX(0,'BD Commission Detail'!IS53),Actuals!IT52)</f>
        <v/>
      </c>
      <c r="IT144" s="380">
        <f>IF(ISBLANK(Actuals!IU52),-MAX(0,'BD Commission Detail'!IT53),Actuals!IU52)</f>
        <v/>
      </c>
      <c r="IU144" s="380">
        <f>IF(ISBLANK(Actuals!IV52),-MAX(0,'BD Commission Detail'!IU53),Actuals!IV52)</f>
        <v/>
      </c>
      <c r="IV144" s="380">
        <f>IF(ISBLANK(Actuals!IW52),-MAX(0,'BD Commission Detail'!IV53),Actuals!IW52)</f>
        <v/>
      </c>
      <c r="IW144" s="380">
        <f>IF(ISBLANK(Actuals!IX52),-MAX(0,'BD Commission Detail'!IW53),Actuals!IX52)</f>
        <v/>
      </c>
      <c r="IX144" s="380">
        <f>IF(ISBLANK(Actuals!IY52),-MAX(0,'BD Commission Detail'!IX53),Actuals!IY52)</f>
        <v/>
      </c>
      <c r="IY144" s="380">
        <f>IF(ISBLANK(Actuals!IZ52),-MAX(0,'BD Commission Detail'!IY53),Actuals!IZ52)</f>
        <v/>
      </c>
      <c r="IZ144" s="380">
        <f>IF(ISBLANK(Actuals!JA52),-MAX(0,'BD Commission Detail'!IZ53),Actuals!JA52)</f>
        <v/>
      </c>
      <c r="JA144" s="380">
        <f>IF(ISBLANK(Actuals!JB52),-MAX(0,'BD Commission Detail'!JA53),Actuals!JB52)</f>
        <v/>
      </c>
      <c r="JB144" s="380">
        <f>IF(ISBLANK(Actuals!JC52),-MAX(0,'BD Commission Detail'!JB53),Actuals!JC52)</f>
        <v/>
      </c>
      <c r="JC144" s="380">
        <f>IF(ISBLANK(Actuals!JD52),-MAX(0,'BD Commission Detail'!JC53),Actuals!JD52)</f>
        <v/>
      </c>
      <c r="JD144" s="380">
        <f>IF(ISBLANK(Actuals!JE52),-MAX(0,'BD Commission Detail'!JD53),Actuals!JE52)</f>
        <v/>
      </c>
      <c r="JE144" s="380">
        <f>IF(ISBLANK(Actuals!JF52),-MAX(0,'BD Commission Detail'!JE53),Actuals!JF52)</f>
        <v/>
      </c>
      <c r="JF144" s="380">
        <f>IF(ISBLANK(Actuals!JG52),-MAX(0,'BD Commission Detail'!JF53),Actuals!JG52)</f>
        <v/>
      </c>
      <c r="JG144" s="380">
        <f>IF(ISBLANK(Actuals!JH52),-MAX(0,'BD Commission Detail'!JG53),Actuals!JH52)</f>
        <v/>
      </c>
      <c r="JH144" s="380">
        <f>IF(ISBLANK(Actuals!JI52),-MAX(0,'BD Commission Detail'!JH53),Actuals!JI52)</f>
        <v/>
      </c>
      <c r="JI144" s="380">
        <f>IF(ISBLANK(Actuals!JJ52),-MAX(0,'BD Commission Detail'!JI53),Actuals!JJ52)</f>
        <v/>
      </c>
      <c r="JJ144" s="380">
        <f>IF(ISBLANK(Actuals!JK52),-MAX(0,'BD Commission Detail'!JJ53),Actuals!JK52)</f>
        <v/>
      </c>
      <c r="JK144" s="380">
        <f>IF(ISBLANK(Actuals!JL52),-MAX(0,'BD Commission Detail'!JK53),Actuals!JL52)</f>
        <v/>
      </c>
      <c r="JL144" s="380">
        <f>IF(ISBLANK(Actuals!JM52),-MAX(0,'BD Commission Detail'!JL53),Actuals!JM52)</f>
        <v/>
      </c>
      <c r="JM144" s="380">
        <f>IF(ISBLANK(Actuals!JN52),-MAX(0,'BD Commission Detail'!JM53),Actuals!JN52)</f>
        <v/>
      </c>
      <c r="JN144" s="380">
        <f>IF(ISBLANK(Actuals!JO52),-MAX(0,'BD Commission Detail'!JN53),Actuals!JO52)</f>
        <v/>
      </c>
      <c r="JO144" s="380">
        <f>IF(ISBLANK(Actuals!JP52),-MAX(0,'BD Commission Detail'!JO53),Actuals!JP52)</f>
        <v/>
      </c>
      <c r="JP144" s="380">
        <f>IF(ISBLANK(Actuals!JQ52),-MAX(0,'BD Commission Detail'!JP53),Actuals!JQ52)</f>
        <v/>
      </c>
      <c r="JQ144" s="380">
        <f>IF(ISBLANK(Actuals!JR52),-MAX(0,'BD Commission Detail'!JQ53),Actuals!JR52)</f>
        <v/>
      </c>
      <c r="JR144" s="380">
        <f>IF(ISBLANK(Actuals!JS52),-MAX(0,'BD Commission Detail'!JR53),Actuals!JS52)</f>
        <v/>
      </c>
      <c r="JS144" s="380">
        <f>IF(ISBLANK(Actuals!JT52),-MAX(0,'BD Commission Detail'!JS53),Actuals!JT52)</f>
        <v/>
      </c>
      <c r="JT144" s="380">
        <f>IF(ISBLANK(Actuals!JU52),-MAX(0,'BD Commission Detail'!JT53),Actuals!JU52)</f>
        <v/>
      </c>
      <c r="JU144" s="380">
        <f>IF(ISBLANK(Actuals!JV52),-MAX(0,'BD Commission Detail'!JU53),Actuals!JV52)</f>
        <v/>
      </c>
      <c r="JV144" s="380">
        <f>IF(ISBLANK(Actuals!JW52),-MAX(0,'BD Commission Detail'!JV53),Actuals!JW52)</f>
        <v/>
      </c>
      <c r="JW144" s="380">
        <f>IF(ISBLANK(Actuals!JX52),-MAX(0,'BD Commission Detail'!JW53),Actuals!JX52)</f>
        <v/>
      </c>
      <c r="JX144" s="380">
        <f>IF(ISBLANK(Actuals!JY52),-MAX(0,'BD Commission Detail'!JX53),Actuals!JY52)</f>
        <v/>
      </c>
      <c r="JY144" s="380">
        <f>IF(ISBLANK(Actuals!JZ52),-MAX(0,'BD Commission Detail'!JY53),Actuals!JZ52)</f>
        <v/>
      </c>
      <c r="JZ144" s="380">
        <f>IF(ISBLANK(Actuals!KA52),-MAX(0,'BD Commission Detail'!JZ53),Actuals!KA52)</f>
        <v/>
      </c>
      <c r="KA144" s="380">
        <f>IF(ISBLANK(Actuals!KB52),-MAX(0,'BD Commission Detail'!KA53),Actuals!KB52)</f>
        <v/>
      </c>
      <c r="KB144" s="380">
        <f>IF(ISBLANK(Actuals!KC52),-MAX(0,'BD Commission Detail'!KB53),Actuals!KC52)</f>
        <v/>
      </c>
      <c r="KC144" s="380">
        <f>IF(ISBLANK(Actuals!KD52),-MAX(0,'BD Commission Detail'!KC53),Actuals!KD52)</f>
        <v/>
      </c>
      <c r="KD144" s="380">
        <f>IF(ISBLANK(Actuals!KE52),-MAX(0,'BD Commission Detail'!KD53),Actuals!KE52)</f>
        <v/>
      </c>
      <c r="KE144" s="380">
        <f>IF(ISBLANK(Actuals!KF52),-MAX(0,'BD Commission Detail'!KE53),Actuals!KF52)</f>
        <v/>
      </c>
      <c r="KF144" s="380">
        <f>IF(ISBLANK(Actuals!KG52),-MAX(0,'BD Commission Detail'!KF53),Actuals!KG52)</f>
        <v/>
      </c>
      <c r="KG144" s="380">
        <f>IF(ISBLANK(Actuals!KH52),-MAX(0,'BD Commission Detail'!KG53),Actuals!KH52)</f>
        <v/>
      </c>
      <c r="KH144" s="380">
        <f>IF(ISBLANK(Actuals!KI52),-MAX(0,'BD Commission Detail'!KH53),Actuals!KI52)</f>
        <v/>
      </c>
      <c r="KI144" s="380">
        <f>IF(ISBLANK(Actuals!KJ52),-MAX(0,'BD Commission Detail'!KI53),Actuals!KJ52)</f>
        <v/>
      </c>
      <c r="KJ144" s="380">
        <f>IF(ISBLANK(Actuals!KK52),-MAX(0,'BD Commission Detail'!KJ53),Actuals!KK52)</f>
        <v/>
      </c>
      <c r="KK144" s="380">
        <f>IF(ISBLANK(Actuals!KL52),-MAX(0,'BD Commission Detail'!KK53),Actuals!KL52)</f>
        <v/>
      </c>
      <c r="KL144" s="380">
        <f>IF(ISBLANK(Actuals!KM52),-MAX(0,'BD Commission Detail'!KL53),Actuals!KM52)</f>
        <v/>
      </c>
      <c r="KM144" s="380">
        <f>IF(ISBLANK(Actuals!KN52),-MAX(0,'BD Commission Detail'!KM53),Actuals!KN52)</f>
        <v/>
      </c>
      <c r="KN144" s="380">
        <f>IF(ISBLANK(Actuals!KO52),-MAX(0,'BD Commission Detail'!KN53),Actuals!KO52)</f>
        <v/>
      </c>
      <c r="KO144" s="380">
        <f>IF(ISBLANK(Actuals!KP52),-MAX(0,'BD Commission Detail'!KO53),Actuals!KP52)</f>
        <v/>
      </c>
      <c r="KP144" s="380">
        <f>IF(ISBLANK(Actuals!KQ52),-MAX(0,'BD Commission Detail'!KP53),Actuals!KQ52)</f>
        <v/>
      </c>
      <c r="KQ144" s="380">
        <f>IF(ISBLANK(Actuals!KR52),-MAX(0,'BD Commission Detail'!KQ53),Actuals!KR52)</f>
        <v/>
      </c>
      <c r="KR144" s="380">
        <f>IF(ISBLANK(Actuals!KS52),-MAX(0,'BD Commission Detail'!KR53),Actuals!KS52)</f>
        <v/>
      </c>
      <c r="KS144" s="380">
        <f>IF(ISBLANK(Actuals!KT52),-MAX(0,'BD Commission Detail'!KS53),Actuals!KT52)</f>
        <v/>
      </c>
      <c r="KT144" s="380">
        <f>IF(ISBLANK(Actuals!KU52),-MAX(0,'BD Commission Detail'!KT53),Actuals!KU52)</f>
        <v/>
      </c>
      <c r="KU144" s="380">
        <f>IF(ISBLANK(Actuals!KV52),-MAX(0,'BD Commission Detail'!KU53),Actuals!KV52)</f>
        <v/>
      </c>
      <c r="KV144" s="380">
        <f>IF(ISBLANK(Actuals!KW52),-MAX(0,'BD Commission Detail'!KV53),Actuals!KW52)</f>
        <v/>
      </c>
      <c r="KW144" s="380">
        <f>IF(ISBLANK(Actuals!KX52),-MAX(0,'BD Commission Detail'!KW53),Actuals!KX52)</f>
        <v/>
      </c>
      <c r="KX144" s="380">
        <f>IF(ISBLANK(Actuals!KY52),-MAX(0,'BD Commission Detail'!KX53),Actuals!KY52)</f>
        <v/>
      </c>
      <c r="KY144" s="380">
        <f>IF(ISBLANK(Actuals!KZ52),-MAX(0,'BD Commission Detail'!KY53),Actuals!KZ52)</f>
        <v/>
      </c>
      <c r="KZ144" s="380">
        <f>IF(ISBLANK(Actuals!LA52),-MAX(0,'BD Commission Detail'!KZ53),Actuals!LA52)</f>
        <v/>
      </c>
      <c r="LA144" s="380">
        <f>IF(ISBLANK(Actuals!LB52),-MAX(0,'BD Commission Detail'!LA53),Actuals!LB52)</f>
        <v/>
      </c>
      <c r="LB144" s="380">
        <f>IF(ISBLANK(Actuals!LC52),-MAX(0,'BD Commission Detail'!LB53),Actuals!LC52)</f>
        <v/>
      </c>
      <c r="LC144" s="380">
        <f>IF(ISBLANK(Actuals!LD52),-MAX(0,'BD Commission Detail'!LC53),Actuals!LD52)</f>
        <v/>
      </c>
      <c r="LD144" s="380">
        <f>IF(ISBLANK(Actuals!LE52),-MAX(0,'BD Commission Detail'!LD53),Actuals!LE52)</f>
        <v/>
      </c>
      <c r="LE144" s="380">
        <f>IF(ISBLANK(Actuals!LF52),-MAX(0,'BD Commission Detail'!LE53),Actuals!LF52)</f>
        <v/>
      </c>
      <c r="LF144" s="380">
        <f>IF(ISBLANK(Actuals!LG52),-MAX(0,'BD Commission Detail'!LF53),Actuals!LG52)</f>
        <v/>
      </c>
      <c r="LG144" s="380">
        <f>IF(ISBLANK(Actuals!LH52),-MAX(0,'BD Commission Detail'!LG53),Actuals!LH52)</f>
        <v/>
      </c>
      <c r="LH144" s="380">
        <f>IF(ISBLANK(Actuals!LI52),-MAX(0,'BD Commission Detail'!LH53),Actuals!LI52)</f>
        <v/>
      </c>
      <c r="LI144" s="380">
        <f>IF(ISBLANK(Actuals!LJ52),-MAX(0,'BD Commission Detail'!LI53),Actuals!LJ52)</f>
        <v/>
      </c>
      <c r="LJ144" s="380">
        <f>IF(ISBLANK(Actuals!LK52),-MAX(0,'BD Commission Detail'!LJ53),Actuals!LK52)</f>
        <v/>
      </c>
      <c r="LK144" s="380">
        <f>IF(ISBLANK(Actuals!LL52),-MAX(0,'BD Commission Detail'!LK53),Actuals!LL52)</f>
        <v/>
      </c>
      <c r="LL144" s="380">
        <f>IF(ISBLANK(Actuals!LM52),-MAX(0,'BD Commission Detail'!LL53),Actuals!LM52)</f>
        <v/>
      </c>
      <c r="LM144" s="380">
        <f>IF(ISBLANK(Actuals!LN52),-MAX(0,'BD Commission Detail'!LM53),Actuals!LN52)</f>
        <v/>
      </c>
      <c r="LN144" s="380">
        <f>IF(ISBLANK(Actuals!LO52),-MAX(0,'BD Commission Detail'!LN53),Actuals!LO52)</f>
        <v/>
      </c>
      <c r="LO144" s="380">
        <f>IF(ISBLANK(Actuals!LP52),-MAX(0,'BD Commission Detail'!LO53),Actuals!LP52)</f>
        <v/>
      </c>
      <c r="LP144" s="380">
        <f>IF(ISBLANK(Actuals!LQ52),-MAX(0,'BD Commission Detail'!LP53),Actuals!LQ52)</f>
        <v/>
      </c>
      <c r="LQ144" s="380">
        <f>IF(ISBLANK(Actuals!LR52),-MAX(0,'BD Commission Detail'!LQ53),Actuals!LR52)</f>
        <v/>
      </c>
      <c r="LR144" s="380">
        <f>IF(ISBLANK(Actuals!LS52),-MAX(0,'BD Commission Detail'!LR53),Actuals!LS52)</f>
        <v/>
      </c>
      <c r="LS144" s="380">
        <f>IF(ISBLANK(Actuals!LT52),-MAX(0,'BD Commission Detail'!LS53),Actuals!LT52)</f>
        <v/>
      </c>
      <c r="LT144" s="380">
        <f>IF(ISBLANK(Actuals!LU52),-MAX(0,'BD Commission Detail'!LT53),Actuals!LU52)</f>
        <v/>
      </c>
      <c r="LU144" s="380">
        <f>IF(ISBLANK(Actuals!LV52),-MAX(0,'BD Commission Detail'!LU53),Actuals!LV52)</f>
        <v/>
      </c>
      <c r="LV144" s="380">
        <f>IF(ISBLANK(Actuals!LW52),-MAX(0,'BD Commission Detail'!LV53),Actuals!LW52)</f>
        <v/>
      </c>
      <c r="LW144" s="380">
        <f>IF(ISBLANK(Actuals!LX52),-MAX(0,'BD Commission Detail'!LW53),Actuals!LX52)</f>
        <v/>
      </c>
      <c r="LX144" s="380">
        <f>IF(ISBLANK(Actuals!LY52),-MAX(0,'BD Commission Detail'!LX53),Actuals!LY52)</f>
        <v/>
      </c>
      <c r="LY144" s="380">
        <f>IF(ISBLANK(Actuals!LZ52),-MAX(0,'BD Commission Detail'!LY53),Actuals!LZ52)</f>
        <v/>
      </c>
      <c r="LZ144" s="380">
        <f>IF(ISBLANK(Actuals!MA52),-MAX(0,'BD Commission Detail'!LZ53),Actuals!MA52)</f>
        <v/>
      </c>
      <c r="MA144" s="380">
        <f>IF(ISBLANK(Actuals!MB52),-MAX(0,'BD Commission Detail'!MA53),Actuals!MB52)</f>
        <v/>
      </c>
      <c r="MB144" s="380">
        <f>IF(ISBLANK(Actuals!MC52),-MAX(0,'BD Commission Detail'!MB53),Actuals!MC52)</f>
        <v/>
      </c>
      <c r="MC144" s="380">
        <f>IF(ISBLANK(Actuals!MD52),-MAX(0,'BD Commission Detail'!MC53),Actuals!MD52)</f>
        <v/>
      </c>
      <c r="MD144" s="380">
        <f>IF(ISBLANK(Actuals!ME52),-MAX(0,'BD Commission Detail'!MD53),Actuals!ME52)</f>
        <v/>
      </c>
      <c r="ME144" s="380">
        <f>IF(ISBLANK(Actuals!MF52),-MAX(0,'BD Commission Detail'!ME53),Actuals!MF52)</f>
        <v/>
      </c>
      <c r="MF144" s="380">
        <f>IF(ISBLANK(Actuals!MG52),-MAX(0,'BD Commission Detail'!MF53),Actuals!MG52)</f>
        <v/>
      </c>
      <c r="MG144" s="380">
        <f>IF(ISBLANK(Actuals!MH52),-MAX(0,'BD Commission Detail'!MG53),Actuals!MH52)</f>
        <v/>
      </c>
      <c r="MH144" s="380">
        <f>IF(ISBLANK(Actuals!MI52),-MAX(0,'BD Commission Detail'!MH53),Actuals!MI52)</f>
        <v/>
      </c>
      <c r="MI144" s="380">
        <f>IF(ISBLANK(Actuals!MJ52),-MAX(0,'BD Commission Detail'!MI53),Actuals!MJ52)</f>
        <v/>
      </c>
      <c r="MJ144" s="380">
        <f>IF(ISBLANK(Actuals!MK52),-MAX(0,'BD Commission Detail'!MJ53),Actuals!MK52)</f>
        <v/>
      </c>
      <c r="MK144" s="380">
        <f>IF(ISBLANK(Actuals!ML52),-MAX(0,'BD Commission Detail'!MK53),Actuals!ML52)</f>
        <v/>
      </c>
      <c r="ML144" s="380">
        <f>IF(ISBLANK(Actuals!MM52),-MAX(0,'BD Commission Detail'!ML53),Actuals!MM52)</f>
        <v/>
      </c>
      <c r="MM144" s="380">
        <f>IF(ISBLANK(Actuals!MN52),-MAX(0,'BD Commission Detail'!MM53),Actuals!MN52)</f>
        <v/>
      </c>
      <c r="MN144" s="380">
        <f>IF(ISBLANK(Actuals!MO52),-MAX(0,'BD Commission Detail'!MN53),Actuals!MO52)</f>
        <v/>
      </c>
      <c r="MO144" s="380">
        <f>IF(ISBLANK(Actuals!MP52),-MAX(0,'BD Commission Detail'!MO53),Actuals!MP52)</f>
        <v/>
      </c>
      <c r="MP144" s="380">
        <f>IF(ISBLANK(Actuals!MQ52),-MAX(0,'BD Commission Detail'!MP53),Actuals!MQ52)</f>
        <v/>
      </c>
      <c r="MQ144" s="380">
        <f>IF(ISBLANK(Actuals!MR52),-MAX(0,'BD Commission Detail'!MQ53),Actuals!MR52)</f>
        <v/>
      </c>
      <c r="MR144" s="380">
        <f>IF(ISBLANK(Actuals!MS52),-MAX(0,'BD Commission Detail'!MR53),Actuals!MS52)</f>
        <v/>
      </c>
      <c r="MS144" s="380">
        <f>IF(ISBLANK(Actuals!MT52),-MAX(0,'BD Commission Detail'!MS53),Actuals!MT52)</f>
        <v/>
      </c>
      <c r="MT144" s="380">
        <f>IF(ISBLANK(Actuals!MU52),-MAX(0,'BD Commission Detail'!MT53),Actuals!MU52)</f>
        <v/>
      </c>
      <c r="MU144" s="380">
        <f>IF(ISBLANK(Actuals!MV52),-MAX(0,'BD Commission Detail'!MU53),Actuals!MV52)</f>
        <v/>
      </c>
      <c r="MV144" s="380">
        <f>IF(ISBLANK(Actuals!MW52),-MAX(0,'BD Commission Detail'!MV53),Actuals!MW52)</f>
        <v/>
      </c>
      <c r="MW144" s="380">
        <f>IF(ISBLANK(Actuals!MX52),-MAX(0,'BD Commission Detail'!MW53),Actuals!MX52)</f>
        <v/>
      </c>
      <c r="MX144" s="380">
        <f>IF(ISBLANK(Actuals!MY52),-MAX(0,'BD Commission Detail'!MX53),Actuals!MY52)</f>
        <v/>
      </c>
      <c r="MY144" s="380">
        <f>IF(ISBLANK(Actuals!MZ52),-MAX(0,'BD Commission Detail'!MY53),Actuals!MZ52)</f>
        <v/>
      </c>
      <c r="MZ144" s="380">
        <f>IF(ISBLANK(Actuals!NA52),-MAX(0,'BD Commission Detail'!MZ53),Actuals!NA52)</f>
        <v/>
      </c>
      <c r="NA144" s="380">
        <f>IF(ISBLANK(Actuals!NB52),-MAX(0,'BD Commission Detail'!NA53),Actuals!NB52)</f>
        <v/>
      </c>
      <c r="NB144" s="380">
        <f>IF(ISBLANK(Actuals!NC52),-MAX(0,'BD Commission Detail'!NB53),Actuals!NC52)</f>
        <v/>
      </c>
      <c r="NC144" s="380">
        <f>IF(ISBLANK(Actuals!ND52),-MAX(0,'BD Commission Detail'!NC53),Actuals!ND52)</f>
        <v/>
      </c>
      <c r="ND144" s="380">
        <f>IF(ISBLANK(Actuals!NE52),-MAX(0,'BD Commission Detail'!ND53),Actuals!NE52)</f>
        <v/>
      </c>
      <c r="NE144" s="380">
        <f>IF(ISBLANK(Actuals!NF52),-MAX(0,'BD Commission Detail'!NE53),Actuals!NF52)</f>
        <v/>
      </c>
      <c r="NF144" s="380">
        <f>IF(ISBLANK(Actuals!NG52),-MAX(0,'BD Commission Detail'!NF53),Actuals!NG52)</f>
        <v/>
      </c>
      <c r="NG144" s="380">
        <f>IF(ISBLANK(Actuals!NH52),-MAX(0,'BD Commission Detail'!NG53),Actuals!NH52)</f>
        <v/>
      </c>
      <c r="NH144" s="380">
        <f>IF(ISBLANK(Actuals!NI52),-MAX(0,'BD Commission Detail'!NH53),Actuals!NI52)</f>
        <v/>
      </c>
      <c r="NI144" s="380">
        <f>IF(ISBLANK(Actuals!NJ52),-MAX(0,'BD Commission Detail'!NI53),Actuals!NJ52)</f>
        <v/>
      </c>
      <c r="NJ144" s="380">
        <f>IF(ISBLANK(Actuals!NK52),-MAX(0,'BD Commission Detail'!NJ53),Actuals!NK52)</f>
        <v/>
      </c>
      <c r="NK144" s="380">
        <f>IF(ISBLANK(Actuals!NL52),-MAX(0,'BD Commission Detail'!NK53),Actuals!NL52)</f>
        <v/>
      </c>
      <c r="NL144" s="380">
        <f>IF(ISBLANK(Actuals!NM52),-MAX(0,'BD Commission Detail'!NL53),Actuals!NM52)</f>
        <v/>
      </c>
      <c r="NM144" s="380">
        <f>IF(ISBLANK(Actuals!NN52),-MAX(0,'BD Commission Detail'!NM53),Actuals!NN52)</f>
        <v/>
      </c>
      <c r="NN144" s="380">
        <f>IF(ISBLANK(Actuals!NO52),-MAX(0,'BD Commission Detail'!NN53),Actuals!NO52)</f>
        <v/>
      </c>
      <c r="NO144" s="380">
        <f>IF(ISBLANK(Actuals!NP52),-MAX(0,'BD Commission Detail'!NO53),Actuals!NP52)</f>
        <v/>
      </c>
      <c r="NP144" s="380">
        <f>IF(ISBLANK(Actuals!NQ52),-MAX(0,'BD Commission Detail'!NP53),Actuals!NQ52)</f>
        <v/>
      </c>
      <c r="NQ144" s="380">
        <f>IF(ISBLANK(Actuals!NR52),-MAX(0,'BD Commission Detail'!NQ53),Actuals!NR52)</f>
        <v/>
      </c>
      <c r="NR144" s="380">
        <f>IF(ISBLANK(Actuals!NS52),-MAX(0,'BD Commission Detail'!NR53),Actuals!NS52)</f>
        <v/>
      </c>
      <c r="NS144" s="380">
        <f>IF(ISBLANK(Actuals!NT52),-MAX(0,'BD Commission Detail'!NS53),Actuals!NT52)</f>
        <v/>
      </c>
      <c r="NT144" s="380">
        <f>IF(ISBLANK(Actuals!NU52),-MAX(0,'BD Commission Detail'!NT53),Actuals!NU52)</f>
        <v/>
      </c>
      <c r="NU144" s="380">
        <f>IF(ISBLANK(Actuals!NV52),-MAX(0,'BD Commission Detail'!NU53),Actuals!NV52)</f>
        <v/>
      </c>
      <c r="NV144" s="380">
        <f>IF(ISBLANK(Actuals!NW52),-MAX(0,'BD Commission Detail'!NV53),Actuals!NW52)</f>
        <v/>
      </c>
      <c r="NW144" s="380">
        <f>IF(ISBLANK(Actuals!NX52),-MAX(0,'BD Commission Detail'!NW53),Actuals!NX52)</f>
        <v/>
      </c>
      <c r="NX144" s="380">
        <f>IF(ISBLANK(Actuals!NY52),-MAX(0,'BD Commission Detail'!NX53),Actuals!NY52)</f>
        <v/>
      </c>
      <c r="NY144" s="380">
        <f>IF(ISBLANK(Actuals!NZ52),-MAX(0,'BD Commission Detail'!NY53),Actuals!NZ52)</f>
        <v/>
      </c>
      <c r="NZ144" s="380">
        <f>IF(ISBLANK(Actuals!OA52),-MAX(0,'BD Commission Detail'!NZ53),Actuals!OA52)</f>
        <v/>
      </c>
      <c r="OA144" s="380">
        <f>IF(ISBLANK(Actuals!OB52),-MAX(0,'BD Commission Detail'!OA53),Actuals!OB52)</f>
        <v/>
      </c>
      <c r="OB144" s="380">
        <f>IF(ISBLANK(Actuals!OC52),-MAX(0,'BD Commission Detail'!OB53),Actuals!OC52)</f>
        <v/>
      </c>
      <c r="OC144" s="380">
        <f>IF(ISBLANK(Actuals!OD52),-MAX(0,'BD Commission Detail'!OC53),Actuals!OD52)</f>
        <v/>
      </c>
      <c r="OD144" s="380">
        <f>IF(ISBLANK(Actuals!OE52),-MAX(0,'BD Commission Detail'!OD53),Actuals!OE52)</f>
        <v/>
      </c>
      <c r="OE144" s="380">
        <f>IF(ISBLANK(Actuals!OF52),-MAX(0,'BD Commission Detail'!OE53),Actuals!OF52)</f>
        <v/>
      </c>
      <c r="OF144" s="380">
        <f>IF(ISBLANK(Actuals!OG52),-MAX(0,'BD Commission Detail'!OF53),Actuals!OG52)</f>
        <v/>
      </c>
      <c r="OG144" s="380">
        <f>IF(ISBLANK(Actuals!OH52),-MAX(0,'BD Commission Detail'!OG53),Actuals!OH52)</f>
        <v/>
      </c>
      <c r="OH144" s="380">
        <f>IF(ISBLANK(Actuals!OI52),-MAX(0,'BD Commission Detail'!OH53),Actuals!OI52)</f>
        <v/>
      </c>
      <c r="OI144" s="380">
        <f>IF(ISBLANK(Actuals!OJ52),-MAX(0,'BD Commission Detail'!OI53),Actuals!OJ52)</f>
        <v/>
      </c>
      <c r="OJ144" s="380">
        <f>IF(ISBLANK(Actuals!OK52),-MAX(0,'BD Commission Detail'!OJ53),Actuals!OK52)</f>
        <v/>
      </c>
      <c r="OK144" s="380">
        <f>IF(ISBLANK(Actuals!OL52),-MAX(0,'BD Commission Detail'!OK53),Actuals!OL52)</f>
        <v/>
      </c>
      <c r="OL144" s="380">
        <f>IF(ISBLANK(Actuals!OM52),-MAX(0,'BD Commission Detail'!OL53),Actuals!OM52)</f>
        <v/>
      </c>
      <c r="OM144" s="380">
        <f>IF(ISBLANK(Actuals!ON52),-MAX(0,'BD Commission Detail'!OM53),Actuals!ON52)</f>
        <v/>
      </c>
      <c r="ON144" s="380">
        <f>IF(ISBLANK(Actuals!OO52),-MAX(0,'BD Commission Detail'!ON53),Actuals!OO52)</f>
        <v/>
      </c>
      <c r="OO144" s="380">
        <f>IF(ISBLANK(Actuals!OP52),-MAX(0,'BD Commission Detail'!OO53),Actuals!OP52)</f>
        <v/>
      </c>
      <c r="OP144" s="380">
        <f>IF(ISBLANK(Actuals!OQ52),-MAX(0,'BD Commission Detail'!OP53),Actuals!OQ52)</f>
        <v/>
      </c>
      <c r="OQ144" s="380">
        <f>IF(ISBLANK(Actuals!OR52),-MAX(0,'BD Commission Detail'!OQ53),Actuals!OR52)</f>
        <v/>
      </c>
      <c r="OR144" s="380">
        <f>IF(ISBLANK(Actuals!OS52),-MAX(0,'BD Commission Detail'!OR53),Actuals!OS52)</f>
        <v/>
      </c>
      <c r="OS144" s="380">
        <f>IF(ISBLANK(Actuals!OT52),-MAX(0,'BD Commission Detail'!OS53),Actuals!OT52)</f>
        <v/>
      </c>
      <c r="OT144" s="380">
        <f>IF(ISBLANK(Actuals!OU52),-MAX(0,'BD Commission Detail'!OT53),Actuals!OU52)</f>
        <v/>
      </c>
      <c r="OU144" s="380">
        <f>IF(ISBLANK(Actuals!OV52),-MAX(0,'BD Commission Detail'!OU53),Actuals!OV52)</f>
        <v/>
      </c>
      <c r="OV144" s="380">
        <f>IF(ISBLANK(Actuals!OW52),-MAX(0,'BD Commission Detail'!OV53),Actuals!OW52)</f>
        <v/>
      </c>
      <c r="OW144" s="380">
        <f>IF(ISBLANK(Actuals!OX52),-MAX(0,'BD Commission Detail'!OW53),Actuals!OX52)</f>
        <v/>
      </c>
      <c r="OX144" s="380">
        <f>IF(ISBLANK(Actuals!OY52),-MAX(0,'BD Commission Detail'!OX53),Actuals!OY52)</f>
        <v/>
      </c>
      <c r="OY144" s="380">
        <f>IF(ISBLANK(Actuals!OZ52),-MAX(0,'BD Commission Detail'!OY53),Actuals!OZ52)</f>
        <v/>
      </c>
      <c r="OZ144" s="380">
        <f>IF(ISBLANK(Actuals!PA52),-MAX(0,'BD Commission Detail'!OZ53),Actuals!PA52)</f>
        <v/>
      </c>
      <c r="PA144" s="380">
        <f>IF(ISBLANK(Actuals!PB52),-MAX(0,'BD Commission Detail'!PA53),Actuals!PB52)</f>
        <v/>
      </c>
      <c r="PB144" s="380">
        <f>IF(ISBLANK(Actuals!PC52),-MAX(0,'BD Commission Detail'!PB53),Actuals!PC52)</f>
        <v/>
      </c>
      <c r="PC144" s="380">
        <f>IF(ISBLANK(Actuals!PD52),-MAX(0,'BD Commission Detail'!PC53),Actuals!PD52)</f>
        <v/>
      </c>
      <c r="PD144" s="380">
        <f>IF(ISBLANK(Actuals!PE52),-MAX(0,'BD Commission Detail'!PD53),Actuals!PE52)</f>
        <v/>
      </c>
      <c r="PE144" s="380">
        <f>IF(ISBLANK(Actuals!PF52),-MAX(0,'BD Commission Detail'!PE53),Actuals!PF52)</f>
        <v/>
      </c>
      <c r="PF144" s="380">
        <f>IF(ISBLANK(Actuals!PG52),-MAX(0,'BD Commission Detail'!PF53),Actuals!PG52)</f>
        <v/>
      </c>
      <c r="PG144" s="380">
        <f>IF(ISBLANK(Actuals!PH52),-MAX(0,'BD Commission Detail'!PG53),Actuals!PH52)</f>
        <v/>
      </c>
      <c r="PH144" s="380">
        <f>IF(ISBLANK(Actuals!PI52),-MAX(0,'BD Commission Detail'!PH53),Actuals!PI52)</f>
        <v/>
      </c>
      <c r="PI144" s="380">
        <f>IF(ISBLANK(Actuals!PJ52),-MAX(0,'BD Commission Detail'!PI53),Actuals!PJ52)</f>
        <v/>
      </c>
      <c r="PJ144" s="380">
        <f>IF(ISBLANK(Actuals!PK52),-MAX(0,'BD Commission Detail'!PJ53),Actuals!PK52)</f>
        <v/>
      </c>
      <c r="PK144" s="380">
        <f>IF(ISBLANK(Actuals!PL52),-MAX(0,'BD Commission Detail'!PK53),Actuals!PL52)</f>
        <v/>
      </c>
      <c r="PL144" s="380">
        <f>IF(ISBLANK(Actuals!PM52),-MAX(0,'BD Commission Detail'!PL53),Actuals!PM52)</f>
        <v/>
      </c>
      <c r="PM144" s="380">
        <f>IF(ISBLANK(Actuals!PN52),-MAX(0,'BD Commission Detail'!PM53),Actuals!PN52)</f>
        <v/>
      </c>
      <c r="PN144" s="380">
        <f>IF(ISBLANK(Actuals!PO52),-MAX(0,'BD Commission Detail'!PN53),Actuals!PO52)</f>
        <v/>
      </c>
      <c r="PO144" s="380">
        <f>IF(ISBLANK(Actuals!PP52),-MAX(0,'BD Commission Detail'!PO53),Actuals!PP52)</f>
        <v/>
      </c>
      <c r="PP144" s="380">
        <f>IF(ISBLANK(Actuals!PQ52),-MAX(0,'BD Commission Detail'!PP53),Actuals!PQ52)</f>
        <v/>
      </c>
      <c r="PQ144" s="380">
        <f>IF(ISBLANK(Actuals!PR52),-MAX(0,'BD Commission Detail'!PQ53),Actuals!PR52)</f>
        <v/>
      </c>
      <c r="PR144" s="380">
        <f>IF(ISBLANK(Actuals!PS52),-MAX(0,'BD Commission Detail'!PR53),Actuals!PS52)</f>
        <v/>
      </c>
      <c r="PS144" s="380">
        <f>IF(ISBLANK(Actuals!PT52),-MAX(0,'BD Commission Detail'!PS53),Actuals!PT52)</f>
        <v/>
      </c>
      <c r="PT144" s="380">
        <f>IF(ISBLANK(Actuals!PU52),-MAX(0,'BD Commission Detail'!PT53),Actuals!PU52)</f>
        <v/>
      </c>
      <c r="PU144" s="380">
        <f>IF(ISBLANK(Actuals!PV52),-MAX(0,'BD Commission Detail'!PU53),Actuals!PV52)</f>
        <v/>
      </c>
      <c r="PV144" s="380">
        <f>IF(ISBLANK(Actuals!PW52),-MAX(0,'BD Commission Detail'!PV53),Actuals!PW52)</f>
        <v/>
      </c>
      <c r="PW144" s="380">
        <f>IF(ISBLANK(Actuals!PX52),-MAX(0,'BD Commission Detail'!PW53),Actuals!PX52)</f>
        <v/>
      </c>
      <c r="PX144" s="380">
        <f>IF(ISBLANK(Actuals!PY52),-MAX(0,'BD Commission Detail'!PX53),Actuals!PY52)</f>
        <v/>
      </c>
      <c r="PY144" s="380">
        <f>IF(ISBLANK(Actuals!PZ52),-MAX(0,'BD Commission Detail'!PY53),Actuals!PZ52)</f>
        <v/>
      </c>
      <c r="PZ144" s="380">
        <f>IF(ISBLANK(Actuals!QA52),-MAX(0,'BD Commission Detail'!PZ53),Actuals!QA52)</f>
        <v/>
      </c>
      <c r="QA144" s="380">
        <f>IF(ISBLANK(Actuals!QB52),-MAX(0,'BD Commission Detail'!QA53),Actuals!QB52)</f>
        <v/>
      </c>
      <c r="QB144" s="380">
        <f>IF(ISBLANK(Actuals!QC52),-MAX(0,'BD Commission Detail'!QB53),Actuals!QC52)</f>
        <v/>
      </c>
      <c r="QC144" s="380">
        <f>IF(ISBLANK(Actuals!QD52),-MAX(0,'BD Commission Detail'!QC53),Actuals!QD52)</f>
        <v/>
      </c>
      <c r="QD144" s="380">
        <f>IF(ISBLANK(Actuals!QE52),-MAX(0,'BD Commission Detail'!QD53),Actuals!QE52)</f>
        <v/>
      </c>
      <c r="QE144" s="380">
        <f>IF(ISBLANK(Actuals!QF52),-MAX(0,'BD Commission Detail'!QE53),Actuals!QF52)</f>
        <v/>
      </c>
      <c r="QF144" s="380">
        <f>IF(ISBLANK(Actuals!QG52),-MAX(0,'BD Commission Detail'!QF53),Actuals!QG52)</f>
        <v/>
      </c>
      <c r="QG144" s="380">
        <f>IF(ISBLANK(Actuals!QH52),-MAX(0,'BD Commission Detail'!QG53),Actuals!QH52)</f>
        <v/>
      </c>
      <c r="QH144" s="380">
        <f>IF(ISBLANK(Actuals!QI52),-MAX(0,'BD Commission Detail'!QH53),Actuals!QI52)</f>
        <v/>
      </c>
      <c r="QI144" s="380">
        <f>IF(ISBLANK(Actuals!QJ52),-MAX(0,'BD Commission Detail'!QI53),Actuals!QJ52)</f>
        <v/>
      </c>
      <c r="QJ144" s="380">
        <f>IF(ISBLANK(Actuals!QK52),-MAX(0,'BD Commission Detail'!QJ53),Actuals!QK52)</f>
        <v/>
      </c>
      <c r="QK144" s="380">
        <f>IF(ISBLANK(Actuals!QL52),-MAX(0,'BD Commission Detail'!QK53),Actuals!QL52)</f>
        <v/>
      </c>
      <c r="QL144" s="380">
        <f>IF(ISBLANK(Actuals!QM52),-MAX(0,'BD Commission Detail'!QL53),Actuals!QM52)</f>
        <v/>
      </c>
      <c r="QM144" s="380">
        <f>IF(ISBLANK(Actuals!QN52),-MAX(0,'BD Commission Detail'!QM53),Actuals!QN52)</f>
        <v/>
      </c>
      <c r="QN144" s="380">
        <f>IF(ISBLANK(Actuals!QO52),-MAX(0,'BD Commission Detail'!QN53),Actuals!QO52)</f>
        <v/>
      </c>
      <c r="QO144" s="380">
        <f>IF(ISBLANK(Actuals!QP52),-MAX(0,'BD Commission Detail'!QO53),Actuals!QP52)</f>
        <v/>
      </c>
      <c r="QP144" s="380">
        <f>IF(ISBLANK(Actuals!QQ52),-MAX(0,'BD Commission Detail'!QP53),Actuals!QQ52)</f>
        <v/>
      </c>
      <c r="QQ144" s="380">
        <f>IF(ISBLANK(Actuals!QR52),-MAX(0,'BD Commission Detail'!QQ53),Actuals!QR52)</f>
        <v/>
      </c>
      <c r="QR144" s="380">
        <f>IF(ISBLANK(Actuals!QS52),-MAX(0,'BD Commission Detail'!QR53),Actuals!QS52)</f>
        <v/>
      </c>
      <c r="QS144" s="380">
        <f>IF(ISBLANK(Actuals!QT52),-MAX(0,'BD Commission Detail'!QS53),Actuals!QT52)</f>
        <v/>
      </c>
      <c r="QT144" s="380">
        <f>IF(ISBLANK(Actuals!QU52),-MAX(0,'BD Commission Detail'!QT53),Actuals!QU52)</f>
        <v/>
      </c>
      <c r="QU144" s="380">
        <f>IF(ISBLANK(Actuals!QV52),-MAX(0,'BD Commission Detail'!QU53),Actuals!QV52)</f>
        <v/>
      </c>
      <c r="QV144" s="380">
        <f>IF(ISBLANK(Actuals!QW52),-MAX(0,'BD Commission Detail'!QV53),Actuals!QW52)</f>
        <v/>
      </c>
      <c r="QW144" s="380">
        <f>IF(ISBLANK(Actuals!QX52),-MAX(0,'BD Commission Detail'!QW53),Actuals!QX52)</f>
        <v/>
      </c>
      <c r="QX144" s="380">
        <f>IF(ISBLANK(Actuals!QY52),-MAX(0,'BD Commission Detail'!QX53),Actuals!QY52)</f>
        <v/>
      </c>
      <c r="QY144" s="380">
        <f>IF(ISBLANK(Actuals!QZ52),-MAX(0,'BD Commission Detail'!QY53),Actuals!QZ52)</f>
        <v/>
      </c>
      <c r="QZ144" s="380">
        <f>IF(ISBLANK(Actuals!RA52),-MAX(0,'BD Commission Detail'!QZ53),Actuals!RA52)</f>
        <v/>
      </c>
      <c r="RA144" s="380">
        <f>IF(ISBLANK(Actuals!RB52),-MAX(0,'BD Commission Detail'!RA53),Actuals!RB52)</f>
        <v/>
      </c>
      <c r="RB144" s="380">
        <f>IF(ISBLANK(Actuals!RC52),-MAX(0,'BD Commission Detail'!RB53),Actuals!RC52)</f>
        <v/>
      </c>
      <c r="RC144" s="380">
        <f>IF(ISBLANK(Actuals!RD52),-MAX(0,'BD Commission Detail'!RC53),Actuals!RD52)</f>
        <v/>
      </c>
      <c r="RD144" s="380">
        <f>IF(ISBLANK(Actuals!RE52),-MAX(0,'BD Commission Detail'!RD53),Actuals!RE52)</f>
        <v/>
      </c>
      <c r="RE144" s="380">
        <f>IF(ISBLANK(Actuals!RF52),-MAX(0,'BD Commission Detail'!RE53),Actuals!RF52)</f>
        <v/>
      </c>
      <c r="RF144" s="380">
        <f>IF(ISBLANK(Actuals!RG52),-MAX(0,'BD Commission Detail'!RF53),Actuals!RG52)</f>
        <v/>
      </c>
      <c r="RG144" s="380">
        <f>IF(ISBLANK(Actuals!RH52),-MAX(0,'BD Commission Detail'!RG53),Actuals!RH52)</f>
        <v/>
      </c>
      <c r="RH144" s="380">
        <f>IF(ISBLANK(Actuals!RI52),-MAX(0,'BD Commission Detail'!RH53),Actuals!RI52)</f>
        <v/>
      </c>
      <c r="RI144" s="380">
        <f>IF(ISBLANK(Actuals!RJ52),-MAX(0,'BD Commission Detail'!RI53),Actuals!RJ52)</f>
        <v/>
      </c>
      <c r="RJ144" s="380">
        <f>IF(ISBLANK(Actuals!RK52),-MAX(0,'BD Commission Detail'!RJ53),Actuals!RK52)</f>
        <v/>
      </c>
      <c r="RK144" s="380">
        <f>IF(ISBLANK(Actuals!RL52),-MAX(0,'BD Commission Detail'!RK53),Actuals!RL52)</f>
        <v/>
      </c>
      <c r="RL144" s="380">
        <f>IF(ISBLANK(Actuals!RM52),-MAX(0,'BD Commission Detail'!RL53),Actuals!RM52)</f>
        <v/>
      </c>
      <c r="RM144" s="380">
        <f>IF(ISBLANK(Actuals!RN52),-MAX(0,'BD Commission Detail'!RM53),Actuals!RN52)</f>
        <v/>
      </c>
      <c r="RN144" s="380">
        <f>IF(ISBLANK(Actuals!RO52),-MAX(0,'BD Commission Detail'!RN53),Actuals!RO52)</f>
        <v/>
      </c>
      <c r="RO144" s="380">
        <f>IF(ISBLANK(Actuals!RP52),-MAX(0,'BD Commission Detail'!RO53),Actuals!RP52)</f>
        <v/>
      </c>
      <c r="RP144" s="380">
        <f>IF(ISBLANK(Actuals!RQ52),-MAX(0,'BD Commission Detail'!RP53),Actuals!RQ52)</f>
        <v/>
      </c>
      <c r="RQ144" s="380">
        <f>IF(ISBLANK(Actuals!RR52),-MAX(0,'BD Commission Detail'!RQ53),Actuals!RR52)</f>
        <v/>
      </c>
      <c r="RR144" s="380">
        <f>IF(ISBLANK(Actuals!RS52),-MAX(0,'BD Commission Detail'!RR53),Actuals!RS52)</f>
        <v/>
      </c>
      <c r="RS144" s="380">
        <f>IF(ISBLANK(Actuals!RT52),-MAX(0,'BD Commission Detail'!RS53),Actuals!RT52)</f>
        <v/>
      </c>
      <c r="RT144" s="380">
        <f>IF(ISBLANK(Actuals!RU52),-MAX(0,'BD Commission Detail'!RT53),Actuals!RU52)</f>
        <v/>
      </c>
      <c r="RU144" s="380">
        <f>IF(ISBLANK(Actuals!RV52),-MAX(0,'BD Commission Detail'!RU53),Actuals!RV52)</f>
        <v/>
      </c>
      <c r="RV144" s="380">
        <f>IF(ISBLANK(Actuals!RW52),-MAX(0,'BD Commission Detail'!RV53),Actuals!RW52)</f>
        <v/>
      </c>
      <c r="RW144" s="380">
        <f>IF(ISBLANK(Actuals!RX52),-MAX(0,'BD Commission Detail'!RW53),Actuals!RX52)</f>
        <v/>
      </c>
      <c r="RX144" s="380">
        <f>IF(ISBLANK(Actuals!RY52),-MAX(0,'BD Commission Detail'!RX53),Actuals!RY52)</f>
        <v/>
      </c>
      <c r="RY144" s="380">
        <f>IF(ISBLANK(Actuals!RZ52),-MAX(0,'BD Commission Detail'!RY53),Actuals!RZ52)</f>
        <v/>
      </c>
      <c r="RZ144" s="380">
        <f>IF(ISBLANK(Actuals!SA52),-MAX(0,'BD Commission Detail'!RZ53),Actuals!SA52)</f>
        <v/>
      </c>
      <c r="SA144" s="380">
        <f>IF(ISBLANK(Actuals!SB52),-MAX(0,'BD Commission Detail'!SA53),Actuals!SB52)</f>
        <v/>
      </c>
      <c r="SB144" s="380">
        <f>IF(ISBLANK(Actuals!SC52),-MAX(0,'BD Commission Detail'!SB53),Actuals!SC52)</f>
        <v/>
      </c>
      <c r="SC144" s="380">
        <f>IF(ISBLANK(Actuals!SD52),-MAX(0,'BD Commission Detail'!SC53),Actuals!SD52)</f>
        <v/>
      </c>
      <c r="SD144" s="380">
        <f>IF(ISBLANK(Actuals!SE52),-MAX(0,'BD Commission Detail'!SD53),Actuals!SE52)</f>
        <v/>
      </c>
      <c r="SE144" s="380">
        <f>IF(ISBLANK(Actuals!SF52),-MAX(0,'BD Commission Detail'!SE53),Actuals!SF52)</f>
        <v/>
      </c>
      <c r="SF144" s="380">
        <f>IF(ISBLANK(Actuals!SG52),-MAX(0,'BD Commission Detail'!SF53),Actuals!SG52)</f>
        <v/>
      </c>
      <c r="SG144" s="380">
        <f>IF(ISBLANK(Actuals!SH52),-MAX(0,'BD Commission Detail'!SG53),Actuals!SH52)</f>
        <v/>
      </c>
      <c r="SH144" s="380">
        <f>IF(ISBLANK(Actuals!SI52),-MAX(0,'BD Commission Detail'!SH53),Actuals!SI52)</f>
        <v/>
      </c>
      <c r="SI144" s="380">
        <f>IF(ISBLANK(Actuals!SJ52),-MAX(0,'BD Commission Detail'!SI53),Actuals!SJ52)</f>
        <v/>
      </c>
      <c r="SJ144" s="380">
        <f>IF(ISBLANK(Actuals!SK52),-MAX(0,'BD Commission Detail'!SJ53),Actuals!SK52)</f>
        <v/>
      </c>
      <c r="SK144" s="380">
        <f>IF(ISBLANK(Actuals!SL52),-MAX(0,'BD Commission Detail'!SK53),Actuals!SL52)</f>
        <v/>
      </c>
      <c r="SL144" s="380">
        <f>IF(ISBLANK(Actuals!SM52),-MAX(0,'BD Commission Detail'!SL53),Actuals!SM52)</f>
        <v/>
      </c>
      <c r="SM144" s="380">
        <f>IF(ISBLANK(Actuals!SN52),-MAX(0,'BD Commission Detail'!SM53),Actuals!SN52)</f>
        <v/>
      </c>
      <c r="SN144" s="380">
        <f>IF(ISBLANK(Actuals!SO52),-MAX(0,'BD Commission Detail'!SN53),Actuals!SO52)</f>
        <v/>
      </c>
      <c r="SO144" s="380">
        <f>IF(ISBLANK(Actuals!SP52),-MAX(0,'BD Commission Detail'!SO53),Actuals!SP52)</f>
        <v/>
      </c>
      <c r="SP144" s="380">
        <f>IF(ISBLANK(Actuals!SQ52),-MAX(0,'BD Commission Detail'!SP53),Actuals!SQ52)</f>
        <v/>
      </c>
      <c r="SQ144" s="380">
        <f>IF(ISBLANK(Actuals!SR52),-MAX(0,'BD Commission Detail'!SQ53),Actuals!SR52)</f>
        <v/>
      </c>
      <c r="SR144" s="380">
        <f>IF(ISBLANK(Actuals!SS52),-MAX(0,'BD Commission Detail'!SR53),Actuals!SS52)</f>
        <v/>
      </c>
      <c r="SS144" s="380">
        <f>IF(ISBLANK(Actuals!ST52),-MAX(0,'BD Commission Detail'!SS53),Actuals!ST52)</f>
        <v/>
      </c>
      <c r="ST144" s="380">
        <f>IF(ISBLANK(Actuals!SU52),-MAX(0,'BD Commission Detail'!ST53),Actuals!SU52)</f>
        <v/>
      </c>
      <c r="SU144" s="380">
        <f>IF(ISBLANK(Actuals!SV52),-MAX(0,'BD Commission Detail'!SU53),Actuals!SV52)</f>
        <v/>
      </c>
      <c r="SV144" s="380">
        <f>IF(ISBLANK(Actuals!SW52),-MAX(0,'BD Commission Detail'!SV53),Actuals!SW52)</f>
        <v/>
      </c>
      <c r="SW144" s="380">
        <f>IF(ISBLANK(Actuals!SX52),-MAX(0,'BD Commission Detail'!SW53),Actuals!SX52)</f>
        <v/>
      </c>
      <c r="SX144" s="380">
        <f>IF(ISBLANK(Actuals!SY52),-MAX(0,'BD Commission Detail'!SX53),Actuals!SY52)</f>
        <v/>
      </c>
      <c r="SY144" s="380">
        <f>IF(ISBLANK(Actuals!SZ52),-MAX(0,'BD Commission Detail'!SY53),Actuals!SZ52)</f>
        <v/>
      </c>
      <c r="SZ144" s="380">
        <f>IF(ISBLANK(Actuals!TA52),-MAX(0,'BD Commission Detail'!SZ53),Actuals!TA52)</f>
        <v/>
      </c>
      <c r="TA144" s="380">
        <f>IF(ISBLANK(Actuals!TB52),-MAX(0,'BD Commission Detail'!TA53),Actuals!TB52)</f>
        <v/>
      </c>
      <c r="TB144" s="380">
        <f>IF(ISBLANK(Actuals!TC52),-MAX(0,'BD Commission Detail'!TB53),Actuals!TC52)</f>
        <v/>
      </c>
      <c r="TC144" s="380">
        <f>IF(ISBLANK(Actuals!TD52),-MAX(0,'BD Commission Detail'!TC53),Actuals!TD52)</f>
        <v/>
      </c>
      <c r="TD144" s="380">
        <f>IF(ISBLANK(Actuals!TE52),-MAX(0,'BD Commission Detail'!TD53),Actuals!TE52)</f>
        <v/>
      </c>
      <c r="TE144" s="380">
        <f>IF(ISBLANK(Actuals!TF52),-MAX(0,'BD Commission Detail'!TE53),Actuals!TF52)</f>
        <v/>
      </c>
      <c r="TF144" s="380">
        <f>IF(ISBLANK(Actuals!TG52),-MAX(0,'BD Commission Detail'!TF53),Actuals!TG52)</f>
        <v/>
      </c>
      <c r="TG144" s="380">
        <f>IF(ISBLANK(Actuals!TH52),-MAX(0,'BD Commission Detail'!TG53),Actuals!TH52)</f>
        <v/>
      </c>
      <c r="TH144" s="380">
        <f>IF(ISBLANK(Actuals!TI52),-MAX(0,'BD Commission Detail'!TH53),Actuals!TI52)</f>
        <v/>
      </c>
      <c r="TI144" s="380">
        <f>IF(ISBLANK(Actuals!TJ52),-MAX(0,'BD Commission Detail'!TI53),Actuals!TJ52)</f>
        <v/>
      </c>
      <c r="TJ144" s="380">
        <f>IF(ISBLANK(Actuals!TK52),-MAX(0,'BD Commission Detail'!TJ53),Actuals!TK52)</f>
        <v/>
      </c>
      <c r="TK144" s="380">
        <f>IF(ISBLANK(Actuals!TL52),-MAX(0,'BD Commission Detail'!TK53),Actuals!TL52)</f>
        <v/>
      </c>
      <c r="TL144" s="380">
        <f>IF(ISBLANK(Actuals!TM52),-MAX(0,'BD Commission Detail'!TL53),Actuals!TM52)</f>
        <v/>
      </c>
      <c r="TM144" s="380">
        <f>IF(ISBLANK(Actuals!TN52),-MAX(0,'BD Commission Detail'!TM53),Actuals!TN52)</f>
        <v/>
      </c>
      <c r="TN144" s="380">
        <f>IF(ISBLANK(Actuals!TO52),-MAX(0,'BD Commission Detail'!TN53),Actuals!TO52)</f>
        <v/>
      </c>
      <c r="TO144" s="380">
        <f>IF(ISBLANK(Actuals!TP52),-MAX(0,'BD Commission Detail'!TO53),Actuals!TP52)</f>
        <v/>
      </c>
      <c r="TP144" s="380">
        <f>IF(ISBLANK(Actuals!TQ52),-MAX(0,'BD Commission Detail'!TP53),Actuals!TQ52)</f>
        <v/>
      </c>
      <c r="TQ144" s="380">
        <f>IF(ISBLANK(Actuals!TR52),-MAX(0,'BD Commission Detail'!TQ53),Actuals!TR52)</f>
        <v/>
      </c>
      <c r="TR144" s="380">
        <f>IF(ISBLANK(Actuals!TS52),-MAX(0,'BD Commission Detail'!TR53),Actuals!TS52)</f>
        <v/>
      </c>
      <c r="TS144" s="380">
        <f>IF(ISBLANK(Actuals!TT52),-MAX(0,'BD Commission Detail'!TS53),Actuals!TT52)</f>
        <v/>
      </c>
      <c r="TT144" s="380">
        <f>IF(ISBLANK(Actuals!TU52),-MAX(0,'BD Commission Detail'!TT53),Actuals!TU52)</f>
        <v/>
      </c>
      <c r="TU144" s="380">
        <f>IF(ISBLANK(Actuals!TV52),-MAX(0,'BD Commission Detail'!TU53),Actuals!TV52)</f>
        <v/>
      </c>
      <c r="TV144" s="380">
        <f>IF(ISBLANK(Actuals!TW52),-MAX(0,'BD Commission Detail'!TV53),Actuals!TW52)</f>
        <v/>
      </c>
      <c r="TW144" s="380">
        <f>IF(ISBLANK(Actuals!TX52),-MAX(0,'BD Commission Detail'!TW53),Actuals!TX52)</f>
        <v/>
      </c>
      <c r="TX144" s="380">
        <f>IF(ISBLANK(Actuals!TY52),-MAX(0,'BD Commission Detail'!TX53),Actuals!TY52)</f>
        <v/>
      </c>
      <c r="TY144" s="380">
        <f>IF(ISBLANK(Actuals!TZ52),-MAX(0,'BD Commission Detail'!TY53),Actuals!TZ52)</f>
        <v/>
      </c>
      <c r="TZ144" s="380">
        <f>IF(ISBLANK(Actuals!UA52),-MAX(0,'BD Commission Detail'!TZ53),Actuals!UA52)</f>
        <v/>
      </c>
      <c r="UA144" s="380">
        <f>IF(ISBLANK(Actuals!UB52),-MAX(0,'BD Commission Detail'!UA53),Actuals!UB52)</f>
        <v/>
      </c>
      <c r="UB144" s="380">
        <f>IF(ISBLANK(Actuals!UC52),-MAX(0,'BD Commission Detail'!UB53),Actuals!UC52)</f>
        <v/>
      </c>
      <c r="UC144" s="380">
        <f>IF(ISBLANK(Actuals!UD52),-MAX(0,'BD Commission Detail'!UC53),Actuals!UD52)</f>
        <v/>
      </c>
      <c r="UD144" s="380">
        <f>IF(ISBLANK(Actuals!UE52),-MAX(0,'BD Commission Detail'!UD53),Actuals!UE52)</f>
        <v/>
      </c>
      <c r="UE144" s="380">
        <f>IF(ISBLANK(Actuals!UF52),-MAX(0,'BD Commission Detail'!UE53),Actuals!UF52)</f>
        <v/>
      </c>
      <c r="UF144" s="380">
        <f>IF(ISBLANK(Actuals!UG52),-MAX(0,'BD Commission Detail'!UF53),Actuals!UG52)</f>
        <v/>
      </c>
      <c r="UG144" s="380">
        <f>IF(ISBLANK(Actuals!UH52),-MAX(0,'BD Commission Detail'!UG53),Actuals!UH52)</f>
        <v/>
      </c>
      <c r="UH144" s="380">
        <f>IF(ISBLANK(Actuals!UI52),-MAX(0,'BD Commission Detail'!UH53),Actuals!UI52)</f>
        <v/>
      </c>
      <c r="UI144" s="380">
        <f>IF(ISBLANK(Actuals!UJ52),-MAX(0,'BD Commission Detail'!UI53),Actuals!UJ52)</f>
        <v/>
      </c>
      <c r="UJ144" s="380">
        <f>IF(ISBLANK(Actuals!UK52),-MAX(0,'BD Commission Detail'!UJ53),Actuals!UK52)</f>
        <v/>
      </c>
      <c r="UK144" s="380">
        <f>IF(ISBLANK(Actuals!UL52),-MAX(0,'BD Commission Detail'!UK53),Actuals!UL52)</f>
        <v/>
      </c>
      <c r="UL144" s="380">
        <f>IF(ISBLANK(Actuals!UM52),-MAX(0,'BD Commission Detail'!UL53),Actuals!UM52)</f>
        <v/>
      </c>
      <c r="UM144" s="380">
        <f>IF(ISBLANK(Actuals!UN52),-MAX(0,'BD Commission Detail'!UM53),Actuals!UN52)</f>
        <v/>
      </c>
      <c r="UN144" s="380">
        <f>IF(ISBLANK(Actuals!UO52),-MAX(0,'BD Commission Detail'!UN53),Actuals!UO52)</f>
        <v/>
      </c>
      <c r="UO144" s="380">
        <f>IF(ISBLANK(Actuals!UP52),-MAX(0,'BD Commission Detail'!UO53),Actuals!UP52)</f>
        <v/>
      </c>
      <c r="UP144" s="380">
        <f>IF(ISBLANK(Actuals!UQ52),-MAX(0,'BD Commission Detail'!UP53),Actuals!UQ52)</f>
        <v/>
      </c>
      <c r="UQ144" s="380">
        <f>IF(ISBLANK(Actuals!UR52),-MAX(0,'BD Commission Detail'!UQ53),Actuals!UR52)</f>
        <v/>
      </c>
      <c r="UR144" s="380">
        <f>IF(ISBLANK(Actuals!US52),-MAX(0,'BD Commission Detail'!UR53),Actuals!US52)</f>
        <v/>
      </c>
      <c r="US144" s="380">
        <f>IF(ISBLANK(Actuals!UT52),-MAX(0,'BD Commission Detail'!US53),Actuals!UT52)</f>
        <v/>
      </c>
      <c r="UT144" s="380">
        <f>IF(ISBLANK(Actuals!UU52),-MAX(0,'BD Commission Detail'!UT53),Actuals!UU52)</f>
        <v/>
      </c>
      <c r="UU144" s="380">
        <f>IF(ISBLANK(Actuals!UV52),-MAX(0,'BD Commission Detail'!UU53),Actuals!UV52)</f>
        <v/>
      </c>
      <c r="UV144" s="380">
        <f>IF(ISBLANK(Actuals!UW52),-MAX(0,'BD Commission Detail'!UV53),Actuals!UW52)</f>
        <v/>
      </c>
      <c r="UW144" s="380">
        <f>IF(ISBLANK(Actuals!UX52),-MAX(0,'BD Commission Detail'!UW53),Actuals!UX52)</f>
        <v/>
      </c>
      <c r="UX144" s="380">
        <f>IF(ISBLANK(Actuals!UY52),-MAX(0,'BD Commission Detail'!UX53),Actuals!UY52)</f>
        <v/>
      </c>
      <c r="UY144" s="380">
        <f>IF(ISBLANK(Actuals!UZ52),-MAX(0,'BD Commission Detail'!UY53),Actuals!UZ52)</f>
        <v/>
      </c>
      <c r="UZ144" s="380">
        <f>IF(ISBLANK(Actuals!VA52),-MAX(0,'BD Commission Detail'!UZ53),Actuals!VA52)</f>
        <v/>
      </c>
      <c r="VA144" s="380">
        <f>IF(ISBLANK(Actuals!VB52),-MAX(0,'BD Commission Detail'!VA53),Actuals!VB52)</f>
        <v/>
      </c>
      <c r="VB144" s="380">
        <f>IF(ISBLANK(Actuals!VC52),-MAX(0,'BD Commission Detail'!VB53),Actuals!VC52)</f>
        <v/>
      </c>
      <c r="VC144" s="380">
        <f>IF(ISBLANK(Actuals!VD52),-MAX(0,'BD Commission Detail'!VC53),Actuals!VD52)</f>
        <v/>
      </c>
      <c r="VD144" s="380">
        <f>IF(ISBLANK(Actuals!VE52),-MAX(0,'BD Commission Detail'!VD53),Actuals!VE52)</f>
        <v/>
      </c>
      <c r="VE144" s="380">
        <f>IF(ISBLANK(Actuals!VF52),-MAX(0,'BD Commission Detail'!VE53),Actuals!VF52)</f>
        <v/>
      </c>
      <c r="VF144" s="380">
        <f>IF(ISBLANK(Actuals!VG52),-MAX(0,'BD Commission Detail'!VF53),Actuals!VG52)</f>
        <v/>
      </c>
      <c r="VG144" s="380">
        <f>IF(ISBLANK(Actuals!VH52),-MAX(0,'BD Commission Detail'!VG53),Actuals!VH52)</f>
        <v/>
      </c>
      <c r="VH144" s="380">
        <f>IF(ISBLANK(Actuals!VI52),-MAX(0,'BD Commission Detail'!VH53),Actuals!VI52)</f>
        <v/>
      </c>
      <c r="VI144" s="380">
        <f>IF(ISBLANK(Actuals!VJ52),-MAX(0,'BD Commission Detail'!VI53),Actuals!VJ52)</f>
        <v/>
      </c>
      <c r="VJ144" s="380">
        <f>IF(ISBLANK(Actuals!VK52),-MAX(0,'BD Commission Detail'!VJ53),Actuals!VK52)</f>
        <v/>
      </c>
      <c r="VK144" s="380">
        <f>IF(ISBLANK(Actuals!VL52),-MAX(0,'BD Commission Detail'!VK53),Actuals!VL52)</f>
        <v/>
      </c>
      <c r="VL144" s="380">
        <f>IF(ISBLANK(Actuals!VM52),-MAX(0,'BD Commission Detail'!VL53),Actuals!VM52)</f>
        <v/>
      </c>
      <c r="VM144" s="380">
        <f>IF(ISBLANK(Actuals!VN52),-MAX(0,'BD Commission Detail'!VM53),Actuals!VN52)</f>
        <v/>
      </c>
      <c r="VN144" s="380">
        <f>IF(ISBLANK(Actuals!VO52),-MAX(0,'BD Commission Detail'!VN53),Actuals!VO52)</f>
        <v/>
      </c>
      <c r="VO144" s="380">
        <f>IF(ISBLANK(Actuals!VP52),-MAX(0,'BD Commission Detail'!VO53),Actuals!VP52)</f>
        <v/>
      </c>
      <c r="VP144" s="380">
        <f>IF(ISBLANK(Actuals!VQ52),-MAX(0,'BD Commission Detail'!VP53),Actuals!VQ52)</f>
        <v/>
      </c>
      <c r="VQ144" s="380">
        <f>IF(ISBLANK(Actuals!VR52),-MAX(0,'BD Commission Detail'!VQ53),Actuals!VR52)</f>
        <v/>
      </c>
      <c r="VR144" s="380">
        <f>IF(ISBLANK(Actuals!VS52),-MAX(0,'BD Commission Detail'!VR53),Actuals!VS52)</f>
        <v/>
      </c>
      <c r="VS144" s="380">
        <f>IF(ISBLANK(Actuals!VT52),-MAX(0,'BD Commission Detail'!VS53),Actuals!VT52)</f>
        <v/>
      </c>
      <c r="VT144" s="380">
        <f>IF(ISBLANK(Actuals!VU52),-MAX(0,'BD Commission Detail'!VT53),Actuals!VU52)</f>
        <v/>
      </c>
      <c r="VU144" s="380">
        <f>IF(ISBLANK(Actuals!VV52),-MAX(0,'BD Commission Detail'!VU53),Actuals!VV52)</f>
        <v/>
      </c>
      <c r="VV144" s="380">
        <f>IF(ISBLANK(Actuals!VW52),-MAX(0,'BD Commission Detail'!VV53),Actuals!VW52)</f>
        <v/>
      </c>
      <c r="VW144" s="380">
        <f>IF(ISBLANK(Actuals!VX52),-MAX(0,'BD Commission Detail'!VW53),Actuals!VX52)</f>
        <v/>
      </c>
      <c r="VX144" s="380">
        <f>IF(ISBLANK(Actuals!VY52),-MAX(0,'BD Commission Detail'!VX53),Actuals!VY52)</f>
        <v/>
      </c>
    </row>
    <row r="145" ht="15" customFormat="1" customHeight="1" s="380">
      <c r="A145" s="397" t="inlineStr">
        <is>
          <t>8200-2000 State Tax and Fees</t>
        </is>
      </c>
      <c r="B145" s="401">
        <f>IF(ISBLANK(Actuals!C53),0,Actuals!C53)</f>
        <v/>
      </c>
      <c r="C145" s="401">
        <f>IF(ISBLANK(Actuals!D53),0,Actuals!D53)</f>
        <v/>
      </c>
      <c r="D145" s="401">
        <f>IF(ISBLANK(Actuals!E53),0,Actuals!E53)</f>
        <v/>
      </c>
      <c r="E145" s="401">
        <f>IF(ISBLANK(Actuals!F53),-3701.78*Escalation!$B$2,Actuals!F53)</f>
        <v/>
      </c>
      <c r="F145" s="401">
        <f>IF(ISBLANK(Actuals!G53),-3701.78*Escalation!$B$3,Actuals!G53)</f>
        <v/>
      </c>
      <c r="G145" s="401">
        <f>IF(ISBLANK(Actuals!H53),-3701.78*Escalation!$B$4,Actuals!H53)</f>
        <v/>
      </c>
      <c r="H145" s="401">
        <f>IF(ISBLANK(Actuals!I53),-3701.78*Escalation!$B$5,Actuals!I53)</f>
        <v/>
      </c>
      <c r="I145" s="401">
        <f>IF(ISBLANK(Actuals!J53),-3701.78*Escalation!$B$6,Actuals!J53)</f>
        <v/>
      </c>
      <c r="J145" s="401">
        <f>IF(ISBLANK(Actuals!K53),-3701.78*Escalation!$B$7,Actuals!K53)</f>
        <v/>
      </c>
      <c r="K145" s="401">
        <f>IF(ISBLANK(Actuals!L53),-3701.78*Escalation!$B$8,Actuals!L53)</f>
        <v/>
      </c>
      <c r="L145" s="401">
        <f>IF(ISBLANK(Actuals!M53),-3701.78*Escalation!$B$9,Actuals!M53)</f>
        <v/>
      </c>
      <c r="M145" s="401">
        <f>IF(ISBLANK(Actuals!N53),-3701.78*Escalation!$B$10,Actuals!N53)</f>
        <v/>
      </c>
      <c r="N145" s="401">
        <f>IF(ISBLANK(Actuals!O53),-3701.78*Escalation!$B$11,Actuals!O53)</f>
        <v/>
      </c>
      <c r="O145" s="401">
        <f>IF(ISBLANK(Actuals!P53),-3701.78*Escalation!$B$12,Actuals!P53)</f>
        <v/>
      </c>
      <c r="P145" s="401">
        <f>IF(ISBLANK(Actuals!Q53),-3701.78*Escalation!$B$13,Actuals!Q53)</f>
        <v/>
      </c>
      <c r="Q145" s="401">
        <f>IF(ISBLANK(Actuals!R53),-3701.78*Escalation!$B$14,Actuals!R53)</f>
        <v/>
      </c>
      <c r="R145" s="401">
        <f>IF(ISBLANK(Actuals!S53),-3701.78*Escalation!$B$15,Actuals!S53)</f>
        <v/>
      </c>
      <c r="S145" s="401">
        <f>IF(ISBLANK(Actuals!T53),-3701.78*Escalation!$B$16,Actuals!T53)</f>
        <v/>
      </c>
      <c r="T145" s="401">
        <f>IF(ISBLANK(Actuals!U53),-3701.78*Escalation!$B$17,Actuals!U53)</f>
        <v/>
      </c>
      <c r="U145" s="401">
        <f>IF(ISBLANK(Actuals!V53),-3701.78*Escalation!$B$18,Actuals!V53)</f>
        <v/>
      </c>
      <c r="V145" s="401">
        <f>IF(ISBLANK(Actuals!W53),-3701.78*Escalation!$B$19,Actuals!W53)</f>
        <v/>
      </c>
      <c r="W145" s="401">
        <f>IF(ISBLANK(Actuals!X53),-3701.78*Escalation!$B$20,Actuals!X53)</f>
        <v/>
      </c>
      <c r="X145" s="401">
        <f>IF(ISBLANK(Actuals!Y53),-3701.78*Escalation!$B$21,Actuals!Y53)</f>
        <v/>
      </c>
      <c r="Y145" s="401">
        <f>IF(ISBLANK(Actuals!Z53),-3701.78*Escalation!$B$22,Actuals!Z53)</f>
        <v/>
      </c>
      <c r="Z145" s="401">
        <f>IF(ISBLANK(Actuals!AA53),-3701.78*Escalation!$B$23,Actuals!AA53)</f>
        <v/>
      </c>
      <c r="AA145" s="401">
        <f>IF(ISBLANK(Actuals!AB53),-3701.78*Escalation!$B$24,Actuals!AB53)</f>
        <v/>
      </c>
      <c r="AB145" s="401">
        <f>IF(ISBLANK(Actuals!AC53),-3701.78*Escalation!$B$25,Actuals!AC53)</f>
        <v/>
      </c>
      <c r="AC145" s="401">
        <f>IF(ISBLANK(Actuals!AD53),-3701.78*Escalation!$B$26,Actuals!AD53)</f>
        <v/>
      </c>
      <c r="AD145" s="401">
        <f>IF(ISBLANK(Actuals!AE53),-3701.78*Escalation!$B$27,Actuals!AE53)</f>
        <v/>
      </c>
      <c r="AE145" s="401">
        <f>IF(ISBLANK(Actuals!AF53),-3701.78*Escalation!$B$28,Actuals!AF53)</f>
        <v/>
      </c>
      <c r="AF145" s="401">
        <f>IF(ISBLANK(Actuals!AG53),-3701.78*Escalation!$B$29,Actuals!AG53)</f>
        <v/>
      </c>
      <c r="AG145" s="401">
        <f>IF(ISBLANK(Actuals!AH53),-3701.78*Escalation!$B$30,Actuals!AH53)</f>
        <v/>
      </c>
      <c r="AH145" s="401">
        <f>IF(ISBLANK(Actuals!AI53),-3701.78*Escalation!$B$31,Actuals!AI53)</f>
        <v/>
      </c>
      <c r="AI145" s="401">
        <f>IF(ISBLANK(Actuals!AJ53),-3701.78*Escalation!$B$32,Actuals!AJ53)</f>
        <v/>
      </c>
      <c r="AJ145" s="401">
        <f>IF(ISBLANK(Actuals!AK53),-3701.78*Escalation!$B$33,Actuals!AK53)</f>
        <v/>
      </c>
      <c r="AK145" s="401">
        <f>IF(ISBLANK(Actuals!AL53),-3701.78*Escalation!$B$34,Actuals!AL53)</f>
        <v/>
      </c>
      <c r="AL145" s="401">
        <f>IF(ISBLANK(Actuals!AM53),-3701.78*Escalation!$B$35,Actuals!AM53)</f>
        <v/>
      </c>
      <c r="AM145" s="401">
        <f>IF(ISBLANK(Actuals!AN53),-3701.78*Escalation!$B$36,Actuals!AN53)</f>
        <v/>
      </c>
      <c r="AN145" s="401">
        <f>IF(ISBLANK(Actuals!AO53),-3701.78*Escalation!$B$37,Actuals!AO53)</f>
        <v/>
      </c>
      <c r="AO145" s="401">
        <f>IF(ISBLANK(Actuals!AP53),-3701.78*Escalation!$B$38,Actuals!AP53)</f>
        <v/>
      </c>
      <c r="AP145" s="401">
        <f>IF(ISBLANK(Actuals!AQ53),-3701.78*Escalation!$B$39,Actuals!AQ53)</f>
        <v/>
      </c>
      <c r="AQ145" s="401">
        <f>IF(ISBLANK(Actuals!AR53),-3701.78*Escalation!$B$40,Actuals!AR53)</f>
        <v/>
      </c>
      <c r="AR145" s="401">
        <f>IF(ISBLANK(Actuals!AS53),-3701.78*Escalation!$B$41,Actuals!AS53)</f>
        <v/>
      </c>
      <c r="AS145" s="401">
        <f>IF(ISBLANK(Actuals!AT53),-3701.78*Escalation!$B$42,Actuals!AT53)</f>
        <v/>
      </c>
      <c r="AT145" s="401">
        <f>IF(ISBLANK(Actuals!AU53),-3701.78*Escalation!$B$43,Actuals!AU53)</f>
        <v/>
      </c>
      <c r="AU145" s="401">
        <f>IF(ISBLANK(Actuals!AV53),-3701.78*Escalation!$B$44,Actuals!AV53)</f>
        <v/>
      </c>
      <c r="AV145" s="401">
        <f>IF(ISBLANK(Actuals!AW53),-3701.78*Escalation!$B$45,Actuals!AW53)</f>
        <v/>
      </c>
      <c r="AW145" s="401">
        <f>IF(ISBLANK(Actuals!AX53),-3701.78*Escalation!$B$46,Actuals!AX53)</f>
        <v/>
      </c>
      <c r="AX145" s="401">
        <f>IF(ISBLANK(Actuals!AY53),-3701.78*Escalation!$B$47,Actuals!AY53)</f>
        <v/>
      </c>
      <c r="AY145" s="401">
        <f>IF(ISBLANK(Actuals!AZ53),-3701.78*Escalation!$B$48,Actuals!AZ53)</f>
        <v/>
      </c>
      <c r="AZ145" s="401">
        <f>IF(ISBLANK(Actuals!BA53),-3701.78*Escalation!$B$49,Actuals!BA53)</f>
        <v/>
      </c>
      <c r="BA145" s="401">
        <f>IF(ISBLANK(Actuals!BB53),-3701.78*Escalation!$B$50,Actuals!BB53)</f>
        <v/>
      </c>
      <c r="BB145" s="401">
        <f>IF(ISBLANK(Actuals!BC53),-3701.78*Escalation!$B$51,Actuals!BC53)</f>
        <v/>
      </c>
      <c r="BC145" s="401">
        <f>IF(ISBLANK(Actuals!BD53),-3701.78*Escalation!$B$52,Actuals!BD53)</f>
        <v/>
      </c>
      <c r="BD145" s="401">
        <f>IF(ISBLANK(Actuals!BE53),-3701.78*Escalation!$B$53,Actuals!BE53)</f>
        <v/>
      </c>
      <c r="BE145" s="401">
        <f>IF(ISBLANK(Actuals!BF53),-3701.78*Escalation!$B$54,Actuals!BF53)</f>
        <v/>
      </c>
      <c r="BF145" s="401">
        <f>IF(ISBLANK(Actuals!BG53),-3701.78*Escalation!$B$55,Actuals!BG53)</f>
        <v/>
      </c>
      <c r="BG145" s="401">
        <f>IF(ISBLANK(Actuals!BH53),-3701.78*Escalation!$B$56,Actuals!BH53)</f>
        <v/>
      </c>
      <c r="BH145" s="401">
        <f>IF(ISBLANK(Actuals!BI53),-3701.78*Escalation!$B$57,Actuals!BI53)</f>
        <v/>
      </c>
      <c r="BI145" s="401">
        <f>IF(ISBLANK(Actuals!BJ53),-3701.78*Escalation!$B$58,Actuals!BJ53)</f>
        <v/>
      </c>
      <c r="BJ145" s="401">
        <f>IF(ISBLANK(Actuals!BK53),-3701.78*Escalation!$B$59,Actuals!BK53)</f>
        <v/>
      </c>
      <c r="BK145" s="401">
        <f>IF(ISBLANK(Actuals!BL53),-3701.78*Escalation!$B$60,Actuals!BL53)</f>
        <v/>
      </c>
      <c r="BL145" s="401">
        <f>IF(ISBLANK(Actuals!BM53),-3701.78*Escalation!$B$61,Actuals!BM53)</f>
        <v/>
      </c>
      <c r="BM145" s="401">
        <f>IF(ISBLANK(Actuals!BN53),-3701.78*Escalation!$B$62,Actuals!BN53)</f>
        <v/>
      </c>
      <c r="BN145" s="401">
        <f>IF(ISBLANK(Actuals!BO53),-3701.78*Escalation!$B$63,Actuals!BO53)</f>
        <v/>
      </c>
      <c r="BO145" s="401">
        <f>IF(ISBLANK(Actuals!BP53),-3701.78*Escalation!$B$64,Actuals!BP53)</f>
        <v/>
      </c>
      <c r="BP145" s="401">
        <f>IF(ISBLANK(Actuals!BQ53),-3701.78*Escalation!$B$65,Actuals!BQ53)</f>
        <v/>
      </c>
      <c r="BQ145" s="401">
        <f>IF(ISBLANK(Actuals!BR53),-3701.78*Escalation!$B$66,Actuals!BR53)</f>
        <v/>
      </c>
      <c r="BR145" s="401">
        <f>IF(ISBLANK(Actuals!BS53),-3701.78*Escalation!$B$67,Actuals!BS53)</f>
        <v/>
      </c>
      <c r="BS145" s="401">
        <f>IF(ISBLANK(Actuals!BT53),-3701.78*Escalation!$B$68,Actuals!BT53)</f>
        <v/>
      </c>
      <c r="BT145" s="401">
        <f>IF(ISBLANK(Actuals!BU53),-3701.78*Escalation!$B$69,Actuals!BU53)</f>
        <v/>
      </c>
      <c r="BU145" s="401">
        <f>IF(ISBLANK(Actuals!BV53),-3701.78*Escalation!$B$70,Actuals!BV53)</f>
        <v/>
      </c>
      <c r="BV145" s="401">
        <f>IF(ISBLANK(Actuals!BW53),-3701.78*Escalation!$B$71,Actuals!BW53)</f>
        <v/>
      </c>
      <c r="BW145" s="401">
        <f>IF(ISBLANK(Actuals!BX53),-3701.78*Escalation!$B$72,Actuals!BX53)</f>
        <v/>
      </c>
      <c r="BX145" s="401">
        <f>IF(ISBLANK(Actuals!BY53),-3701.78*Escalation!$B$73,Actuals!BY53)</f>
        <v/>
      </c>
      <c r="BY145" s="401">
        <f>IF(ISBLANK(Actuals!BZ53),-3701.78*Escalation!$B$74,Actuals!BZ53)</f>
        <v/>
      </c>
      <c r="BZ145" s="401">
        <f>IF(ISBLANK(Actuals!CA53),-3701.78*Escalation!$B$75,Actuals!CA53)</f>
        <v/>
      </c>
      <c r="CA145" s="401">
        <f>IF(ISBLANK(Actuals!CB53),-3701.78*Escalation!$B$76,Actuals!CB53)</f>
        <v/>
      </c>
      <c r="CB145" s="401">
        <f>IF(ISBLANK(Actuals!CC53),-3701.78*Escalation!$B$77,Actuals!CC53)</f>
        <v/>
      </c>
      <c r="CC145" s="401">
        <f>IF(ISBLANK(Actuals!CD53),-3701.78*Escalation!$B$78,Actuals!CD53)</f>
        <v/>
      </c>
      <c r="CD145" s="401">
        <f>IF(ISBLANK(Actuals!CE53),-3701.78*Escalation!$B$79,Actuals!CE53)</f>
        <v/>
      </c>
      <c r="CE145" s="401">
        <f>IF(ISBLANK(Actuals!CF53),-3701.78*Escalation!$B$80,Actuals!CF53)</f>
        <v/>
      </c>
      <c r="CF145" s="401">
        <f>IF(ISBLANK(Actuals!CG53),-3701.78*Escalation!$B$81,Actuals!CG53)</f>
        <v/>
      </c>
      <c r="CG145" s="401">
        <f>IF(ISBLANK(Actuals!CH53),-3701.78*Escalation!$B$82,Actuals!CH53)</f>
        <v/>
      </c>
      <c r="CH145" s="401">
        <f>IF(ISBLANK(Actuals!CI53),-3701.78*Escalation!$B$83,Actuals!CI53)</f>
        <v/>
      </c>
      <c r="CI145" s="401">
        <f>IF(ISBLANK(Actuals!CJ53),-3701.78*Escalation!$B$84,Actuals!CJ53)</f>
        <v/>
      </c>
      <c r="CJ145" s="401">
        <f>IF(ISBLANK(Actuals!CK53),-3701.78*Escalation!$B$85,Actuals!CK53)</f>
        <v/>
      </c>
      <c r="CK145" s="401">
        <f>IF(ISBLANK(Actuals!CL53),-3701.78*Escalation!$B$86,Actuals!CL53)</f>
        <v/>
      </c>
      <c r="CL145" s="401">
        <f>IF(ISBLANK(Actuals!CM53),-3701.78*Escalation!$B$87,Actuals!CM53)</f>
        <v/>
      </c>
      <c r="CM145" s="401">
        <f>IF(ISBLANK(Actuals!CN53),-3701.78*Escalation!$B$88,Actuals!CN53)</f>
        <v/>
      </c>
      <c r="CN145" s="401">
        <f>IF(ISBLANK(Actuals!CO53),-3701.78*Escalation!$B$89,Actuals!CO53)</f>
        <v/>
      </c>
      <c r="CO145" s="401">
        <f>IF(ISBLANK(Actuals!CP53),-3701.78*Escalation!$B$90,Actuals!CP53)</f>
        <v/>
      </c>
      <c r="CP145" s="401">
        <f>IF(ISBLANK(Actuals!CQ53),-3701.78*Escalation!$B$91,Actuals!CQ53)</f>
        <v/>
      </c>
      <c r="CQ145" s="401">
        <f>IF(ISBLANK(Actuals!CR53),-3701.78*Escalation!$B$92,Actuals!CR53)</f>
        <v/>
      </c>
      <c r="CR145" s="401">
        <f>IF(ISBLANK(Actuals!CS53),-3701.78*Escalation!$B$93,Actuals!CS53)</f>
        <v/>
      </c>
      <c r="CS145" s="401">
        <f>IF(ISBLANK(Actuals!CT53),-3701.78*Escalation!$B$94,Actuals!CT53)</f>
        <v/>
      </c>
      <c r="CT145" s="401">
        <f>IF(ISBLANK(Actuals!CU53),-3701.78*Escalation!$B$95,Actuals!CU53)</f>
        <v/>
      </c>
      <c r="CU145" s="401">
        <f>IF(ISBLANK(Actuals!CV53),-3701.78*Escalation!$B$96,Actuals!CV53)</f>
        <v/>
      </c>
      <c r="CV145" s="401">
        <f>IF(ISBLANK(Actuals!CW53),-3701.78*Escalation!$B$97,Actuals!CW53)</f>
        <v/>
      </c>
      <c r="CW145" s="401">
        <f>IF(ISBLANK(Actuals!CX53),-3701.78*Escalation!$B$98,Actuals!CX53)</f>
        <v/>
      </c>
      <c r="CX145" s="401">
        <f>IF(ISBLANK(Actuals!CY53),-3701.78*Escalation!$B$99,Actuals!CY53)</f>
        <v/>
      </c>
      <c r="CY145" s="401">
        <f>IF(ISBLANK(Actuals!CZ53),-3701.78*Escalation!$B$100,Actuals!CZ53)</f>
        <v/>
      </c>
      <c r="CZ145" s="401">
        <f>IF(ISBLANK(Actuals!DA53),-3701.78*Escalation!$B$101,Actuals!DA53)</f>
        <v/>
      </c>
      <c r="DA145" s="401">
        <f>IF(ISBLANK(Actuals!DB53),-3701.78*Escalation!$B$102,Actuals!DB53)</f>
        <v/>
      </c>
      <c r="DB145" s="401">
        <f>IF(ISBLANK(Actuals!DC53),-3701.78*Escalation!$B$103,Actuals!DC53)</f>
        <v/>
      </c>
      <c r="DC145" s="401">
        <f>IF(ISBLANK(Actuals!DD53),-3701.78*Escalation!$B$104,Actuals!DD53)</f>
        <v/>
      </c>
      <c r="DD145" s="401">
        <f>IF(ISBLANK(Actuals!DE53),-3701.78*Escalation!$B$105,Actuals!DE53)</f>
        <v/>
      </c>
      <c r="DE145" s="401">
        <f>IF(ISBLANK(Actuals!DF53),-3701.78*Escalation!$B$106,Actuals!DF53)</f>
        <v/>
      </c>
    </row>
    <row r="146" ht="15" customFormat="1" customHeight="1" s="380">
      <c r="A146" s="408" t="inlineStr">
        <is>
          <t>Total GC Costs</t>
        </is>
      </c>
      <c r="B146" s="409">
        <f>SUM(B112:B145)+Actuals!C54</f>
        <v/>
      </c>
      <c r="C146" s="409">
        <f>SUM(C112:C145)+Actuals!D54</f>
        <v/>
      </c>
      <c r="D146" s="409">
        <f>SUM(D112:D145)+Actuals!E54</f>
        <v/>
      </c>
      <c r="E146" s="409">
        <f>SUM(E112:E145)+Actuals!F54</f>
        <v/>
      </c>
      <c r="F146" s="409">
        <f>SUM(F112:F145)+Actuals!G54</f>
        <v/>
      </c>
      <c r="G146" s="409">
        <f>SUM(G112:G145)+Actuals!H54</f>
        <v/>
      </c>
      <c r="H146" s="409">
        <f>SUM(H112:H145)+Actuals!I54</f>
        <v/>
      </c>
      <c r="I146" s="409">
        <f>SUM(I112:I145)+Actuals!J54</f>
        <v/>
      </c>
      <c r="J146" s="409">
        <f>SUM(J112:J145)+Actuals!K54</f>
        <v/>
      </c>
      <c r="K146" s="409">
        <f>SUM(K112:K145)+Actuals!L54</f>
        <v/>
      </c>
      <c r="L146" s="409">
        <f>SUM(L112:L145)+Actuals!M54</f>
        <v/>
      </c>
      <c r="M146" s="409">
        <f>SUM(M112:M145)+Actuals!N54</f>
        <v/>
      </c>
      <c r="N146" s="409">
        <f>SUM(N112:N145)+Actuals!O54</f>
        <v/>
      </c>
      <c r="O146" s="409">
        <f>SUM(O112:O145)+Actuals!P54</f>
        <v/>
      </c>
      <c r="P146" s="409">
        <f>SUM(P112:P145)+Actuals!Q54</f>
        <v/>
      </c>
      <c r="Q146" s="409">
        <f>SUM(Q112:Q145)+Actuals!R54</f>
        <v/>
      </c>
      <c r="R146" s="409">
        <f>SUM(R112:R145)+Actuals!S54</f>
        <v/>
      </c>
      <c r="S146" s="409">
        <f>SUM(S112:S145)+Actuals!T54</f>
        <v/>
      </c>
      <c r="T146" s="409">
        <f>SUM(T112:T145)+Actuals!U54</f>
        <v/>
      </c>
      <c r="U146" s="409">
        <f>SUM(U112:U145)+Actuals!V54</f>
        <v/>
      </c>
      <c r="V146" s="409">
        <f>SUM(V112:V145)+Actuals!W54</f>
        <v/>
      </c>
      <c r="W146" s="409">
        <f>SUM(W112:W145)+Actuals!X54</f>
        <v/>
      </c>
      <c r="X146" s="409">
        <f>SUM(X112:X145)+Actuals!Y54</f>
        <v/>
      </c>
      <c r="Y146" s="409">
        <f>SUM(Y112:Y145)+Actuals!Z54</f>
        <v/>
      </c>
      <c r="Z146" s="409">
        <f>SUM(Z112:Z145)+Actuals!AA54</f>
        <v/>
      </c>
      <c r="AA146" s="409">
        <f>SUM(AA112:AA145)+Actuals!AB54</f>
        <v/>
      </c>
      <c r="AB146" s="409">
        <f>SUM(AB112:AB145)+Actuals!AC54</f>
        <v/>
      </c>
      <c r="AC146" s="409">
        <f>SUM(AC112:AC145)+Actuals!AD54</f>
        <v/>
      </c>
      <c r="AD146" s="409">
        <f>SUM(AD112:AD145)+Actuals!AE54</f>
        <v/>
      </c>
      <c r="AE146" s="409">
        <f>SUM(AE112:AE145)+Actuals!AF54</f>
        <v/>
      </c>
      <c r="AF146" s="409">
        <f>SUM(AF112:AF145)+Actuals!AG54</f>
        <v/>
      </c>
      <c r="AG146" s="409">
        <f>SUM(AG112:AG145)+Actuals!AH54</f>
        <v/>
      </c>
      <c r="AH146" s="409">
        <f>SUM(AH112:AH145)+Actuals!AI54</f>
        <v/>
      </c>
      <c r="AI146" s="409">
        <f>SUM(AI112:AI145)+Actuals!AJ54</f>
        <v/>
      </c>
      <c r="AJ146" s="409">
        <f>SUM(AJ112:AJ145)+Actuals!AK54</f>
        <v/>
      </c>
      <c r="AK146" s="409">
        <f>SUM(AK112:AK145)+Actuals!AL54</f>
        <v/>
      </c>
      <c r="AL146" s="409">
        <f>SUM(AL112:AL145)+Actuals!AM54</f>
        <v/>
      </c>
      <c r="AM146" s="409">
        <f>SUM(AM112:AM145)+Actuals!AN54</f>
        <v/>
      </c>
      <c r="AN146" s="409">
        <f>SUM(AN112:AN145)+Actuals!AO54</f>
        <v/>
      </c>
      <c r="AO146" s="409">
        <f>SUM(AO112:AO145)+Actuals!AP54</f>
        <v/>
      </c>
      <c r="AP146" s="409">
        <f>SUM(AP112:AP145)+Actuals!AQ54</f>
        <v/>
      </c>
      <c r="AQ146" s="409">
        <f>SUM(AQ112:AQ145)+Actuals!AR54</f>
        <v/>
      </c>
      <c r="AR146" s="409">
        <f>SUM(AR112:AR145)+Actuals!AS54</f>
        <v/>
      </c>
      <c r="AS146" s="409">
        <f>SUM(AS112:AS145)+Actuals!AT54</f>
        <v/>
      </c>
      <c r="AT146" s="409">
        <f>SUM(AT112:AT145)+Actuals!AU54</f>
        <v/>
      </c>
      <c r="AU146" s="409">
        <f>SUM(AU112:AU145)+Actuals!AV54</f>
        <v/>
      </c>
      <c r="AV146" s="409">
        <f>SUM(AV112:AV145)+Actuals!AW54</f>
        <v/>
      </c>
      <c r="AW146" s="409">
        <f>SUM(AW112:AW145)+Actuals!AX54</f>
        <v/>
      </c>
      <c r="AX146" s="409">
        <f>SUM(AX112:AX145)+Actuals!AY54</f>
        <v/>
      </c>
      <c r="AY146" s="409">
        <f>SUM(AY112:AY145)+Actuals!AZ54</f>
        <v/>
      </c>
      <c r="AZ146" s="409">
        <f>SUM(AZ112:AZ145)+Actuals!BA54</f>
        <v/>
      </c>
      <c r="BA146" s="409">
        <f>SUM(BA112:BA145)+Actuals!BB54</f>
        <v/>
      </c>
      <c r="BB146" s="409">
        <f>SUM(BB112:BB145)+Actuals!BC54</f>
        <v/>
      </c>
      <c r="BC146" s="409">
        <f>SUM(BC112:BC145)+Actuals!BD54</f>
        <v/>
      </c>
      <c r="BD146" s="409">
        <f>SUM(BD112:BD145)+Actuals!BE54</f>
        <v/>
      </c>
      <c r="BE146" s="409">
        <f>SUM(BE112:BE145)+Actuals!BF54</f>
        <v/>
      </c>
      <c r="BF146" s="409">
        <f>SUM(BF112:BF145)+Actuals!BG54</f>
        <v/>
      </c>
      <c r="BG146" s="409">
        <f>SUM(BG112:BG145)+Actuals!BH54</f>
        <v/>
      </c>
      <c r="BH146" s="409">
        <f>SUM(BH112:BH145)+Actuals!BI54</f>
        <v/>
      </c>
      <c r="BI146" s="409">
        <f>SUM(BI112:BI145)+Actuals!BJ54</f>
        <v/>
      </c>
      <c r="BJ146" s="409">
        <f>SUM(BJ112:BJ145)+Actuals!BK54</f>
        <v/>
      </c>
      <c r="BK146" s="409">
        <f>SUM(BK112:BK145)+Actuals!BL54</f>
        <v/>
      </c>
      <c r="BL146" s="409">
        <f>SUM(BL112:BL145)+Actuals!BM54</f>
        <v/>
      </c>
      <c r="BM146" s="409">
        <f>SUM(BM112:BM145)+Actuals!BN54</f>
        <v/>
      </c>
      <c r="BN146" s="409">
        <f>SUM(BN112:BN145)+Actuals!BO54</f>
        <v/>
      </c>
      <c r="BO146" s="409">
        <f>SUM(BO112:BO145)+Actuals!BP54</f>
        <v/>
      </c>
      <c r="BP146" s="409">
        <f>SUM(BP112:BP145)+Actuals!BQ54</f>
        <v/>
      </c>
      <c r="BQ146" s="409">
        <f>SUM(BQ112:BQ145)+Actuals!BR54</f>
        <v/>
      </c>
      <c r="BR146" s="409">
        <f>SUM(BR112:BR145)+Actuals!BS54</f>
        <v/>
      </c>
      <c r="BS146" s="409">
        <f>SUM(BS112:BS145)+Actuals!BT54</f>
        <v/>
      </c>
      <c r="BT146" s="409">
        <f>SUM(BT112:BT145)+Actuals!BU54</f>
        <v/>
      </c>
      <c r="BU146" s="409">
        <f>SUM(BU112:BU145)+Actuals!BV54</f>
        <v/>
      </c>
      <c r="BV146" s="409">
        <f>SUM(BV112:BV145)+Actuals!BW54</f>
        <v/>
      </c>
      <c r="BW146" s="409">
        <f>SUM(BW112:BW145)+Actuals!BX54</f>
        <v/>
      </c>
      <c r="BX146" s="409">
        <f>SUM(BX112:BX145)+Actuals!BY54</f>
        <v/>
      </c>
      <c r="BY146" s="409">
        <f>SUM(BY112:BY145)+Actuals!BZ54</f>
        <v/>
      </c>
      <c r="BZ146" s="409">
        <f>SUM(BZ112:BZ145)+Actuals!CA54</f>
        <v/>
      </c>
      <c r="CA146" s="409">
        <f>SUM(CA112:CA145)+Actuals!CB54</f>
        <v/>
      </c>
      <c r="CB146" s="409">
        <f>SUM(CB112:CB145)+Actuals!CC54</f>
        <v/>
      </c>
      <c r="CC146" s="409">
        <f>SUM(CC112:CC145)+Actuals!CD54</f>
        <v/>
      </c>
      <c r="CD146" s="409">
        <f>SUM(CD112:CD145)+Actuals!CE54</f>
        <v/>
      </c>
      <c r="CE146" s="409">
        <f>SUM(CE112:CE145)+Actuals!CF54</f>
        <v/>
      </c>
      <c r="CF146" s="409">
        <f>SUM(CF112:CF145)+Actuals!CG54</f>
        <v/>
      </c>
      <c r="CG146" s="409">
        <f>SUM(CG112:CG145)+Actuals!CH54</f>
        <v/>
      </c>
      <c r="CH146" s="409">
        <f>SUM(CH112:CH145)+Actuals!CI54</f>
        <v/>
      </c>
      <c r="CI146" s="409">
        <f>SUM(CI112:CI145)+Actuals!CJ54</f>
        <v/>
      </c>
      <c r="CJ146" s="409">
        <f>SUM(CJ112:CJ145)+Actuals!CK54</f>
        <v/>
      </c>
      <c r="CK146" s="409">
        <f>SUM(CK112:CK145)+Actuals!CL54</f>
        <v/>
      </c>
      <c r="CL146" s="409">
        <f>SUM(CL112:CL145)+Actuals!CM54</f>
        <v/>
      </c>
      <c r="CM146" s="409">
        <f>SUM(CM112:CM145)+Actuals!CN54</f>
        <v/>
      </c>
      <c r="CN146" s="409">
        <f>SUM(CN112:CN145)+Actuals!CO54</f>
        <v/>
      </c>
      <c r="CO146" s="409">
        <f>SUM(CO112:CO145)+Actuals!CP54</f>
        <v/>
      </c>
      <c r="CP146" s="409">
        <f>SUM(CP112:CP145)+Actuals!CQ54</f>
        <v/>
      </c>
      <c r="CQ146" s="409">
        <f>SUM(CQ112:CQ145)+Actuals!CR54</f>
        <v/>
      </c>
      <c r="CR146" s="409">
        <f>SUM(CR112:CR145)+Actuals!CS54</f>
        <v/>
      </c>
      <c r="CS146" s="409">
        <f>SUM(CS112:CS145)+Actuals!CT54</f>
        <v/>
      </c>
      <c r="CT146" s="409">
        <f>SUM(CT112:CT145)+Actuals!CU54</f>
        <v/>
      </c>
      <c r="CU146" s="409">
        <f>SUM(CU112:CU145)+Actuals!CV54</f>
        <v/>
      </c>
      <c r="CV146" s="409">
        <f>SUM(CV112:CV145)+Actuals!CW54</f>
        <v/>
      </c>
      <c r="CW146" s="409">
        <f>SUM(CW112:CW145)+Actuals!CX54</f>
        <v/>
      </c>
      <c r="CX146" s="409">
        <f>SUM(CX112:CX145)+Actuals!CY54</f>
        <v/>
      </c>
      <c r="CY146" s="409">
        <f>SUM(CY112:CY145)+Actuals!CZ54</f>
        <v/>
      </c>
      <c r="CZ146" s="409">
        <f>SUM(CZ112:CZ145)+Actuals!DA54</f>
        <v/>
      </c>
      <c r="DA146" s="409">
        <f>SUM(DA112:DA145)+Actuals!DB54</f>
        <v/>
      </c>
      <c r="DB146" s="409">
        <f>SUM(DB112:DB145)+Actuals!DC54</f>
        <v/>
      </c>
      <c r="DC146" s="409">
        <f>SUM(DC112:DC145)+Actuals!DD54</f>
        <v/>
      </c>
      <c r="DD146" s="409">
        <f>SUM(DD112:DD145)+Actuals!DE54</f>
        <v/>
      </c>
      <c r="DE146" s="409">
        <f>SUM(DE112:DE145)+Actuals!DF54</f>
        <v/>
      </c>
    </row>
    <row r="147" ht="19.5" customFormat="1" customHeight="1" s="380">
      <c r="A147" s="416" t="inlineStr">
        <is>
          <t>GC Net Income</t>
        </is>
      </c>
      <c r="B147" s="417">
        <f>B109+B146</f>
        <v/>
      </c>
      <c r="C147" s="417">
        <f>C109+C146</f>
        <v/>
      </c>
      <c r="D147" s="417">
        <f>D109+D146</f>
        <v/>
      </c>
      <c r="E147" s="417">
        <f>E109+E146</f>
        <v/>
      </c>
      <c r="F147" s="417">
        <f>F109+F146</f>
        <v/>
      </c>
      <c r="G147" s="417">
        <f>G109+G146</f>
        <v/>
      </c>
      <c r="H147" s="417">
        <f>H109+H146</f>
        <v/>
      </c>
      <c r="I147" s="417">
        <f>I109+I146</f>
        <v/>
      </c>
      <c r="J147" s="417">
        <f>J109+J146</f>
        <v/>
      </c>
      <c r="K147" s="417">
        <f>K109+K146</f>
        <v/>
      </c>
      <c r="L147" s="417">
        <f>L109+L146</f>
        <v/>
      </c>
      <c r="M147" s="417">
        <f>M109+M146</f>
        <v/>
      </c>
      <c r="N147" s="417">
        <f>N109+N146</f>
        <v/>
      </c>
      <c r="O147" s="417">
        <f>O109+O146</f>
        <v/>
      </c>
      <c r="P147" s="417">
        <f>P109+P146</f>
        <v/>
      </c>
      <c r="Q147" s="417">
        <f>Q109+Q146</f>
        <v/>
      </c>
      <c r="R147" s="417">
        <f>R109+R146</f>
        <v/>
      </c>
      <c r="S147" s="417">
        <f>S109+S146</f>
        <v/>
      </c>
      <c r="T147" s="417">
        <f>T109+T146</f>
        <v/>
      </c>
      <c r="U147" s="417">
        <f>U109+U146</f>
        <v/>
      </c>
      <c r="V147" s="417">
        <f>V109+V146</f>
        <v/>
      </c>
      <c r="W147" s="417">
        <f>W109+W146</f>
        <v/>
      </c>
      <c r="X147" s="417">
        <f>X109+X146</f>
        <v/>
      </c>
      <c r="Y147" s="417">
        <f>Y109+Y146</f>
        <v/>
      </c>
      <c r="Z147" s="417">
        <f>Z109+Z146</f>
        <v/>
      </c>
      <c r="AA147" s="417">
        <f>AA109+AA146</f>
        <v/>
      </c>
      <c r="AB147" s="417">
        <f>AB109+AB146</f>
        <v/>
      </c>
      <c r="AC147" s="417">
        <f>AC109+AC146</f>
        <v/>
      </c>
      <c r="AD147" s="417">
        <f>AD109+AD146</f>
        <v/>
      </c>
      <c r="AE147" s="417">
        <f>AE109+AE146</f>
        <v/>
      </c>
      <c r="AF147" s="417">
        <f>AF109+AF146</f>
        <v/>
      </c>
      <c r="AG147" s="417">
        <f>AG109+AG146</f>
        <v/>
      </c>
      <c r="AH147" s="417">
        <f>AH109+AH146</f>
        <v/>
      </c>
      <c r="AI147" s="417">
        <f>AI109+AI146</f>
        <v/>
      </c>
      <c r="AJ147" s="417">
        <f>AJ109+AJ146</f>
        <v/>
      </c>
      <c r="AK147" s="417">
        <f>AK109+AK146</f>
        <v/>
      </c>
      <c r="AL147" s="417">
        <f>AL109+AL146</f>
        <v/>
      </c>
      <c r="AM147" s="417">
        <f>AM109+AM146</f>
        <v/>
      </c>
      <c r="AN147" s="417">
        <f>AN109+AN146</f>
        <v/>
      </c>
      <c r="AO147" s="417">
        <f>AO109+AO146</f>
        <v/>
      </c>
      <c r="AP147" s="417">
        <f>AP109+AP146</f>
        <v/>
      </c>
      <c r="AQ147" s="417">
        <f>AQ109+AQ146</f>
        <v/>
      </c>
      <c r="AR147" s="417">
        <f>AR109+AR146</f>
        <v/>
      </c>
      <c r="AS147" s="417">
        <f>AS109+AS146</f>
        <v/>
      </c>
      <c r="AT147" s="417">
        <f>AT109+AT146</f>
        <v/>
      </c>
      <c r="AU147" s="417">
        <f>AU109+AU146</f>
        <v/>
      </c>
      <c r="AV147" s="417">
        <f>AV109+AV146</f>
        <v/>
      </c>
      <c r="AW147" s="417">
        <f>AW109+AW146</f>
        <v/>
      </c>
      <c r="AX147" s="417">
        <f>AX109+AX146</f>
        <v/>
      </c>
      <c r="AY147" s="417">
        <f>AY109+AY146</f>
        <v/>
      </c>
      <c r="AZ147" s="417">
        <f>AZ109+AZ146</f>
        <v/>
      </c>
      <c r="BA147" s="417">
        <f>BA109+BA146</f>
        <v/>
      </c>
      <c r="BB147" s="417">
        <f>BB109+BB146</f>
        <v/>
      </c>
      <c r="BC147" s="417">
        <f>BC109+BC146</f>
        <v/>
      </c>
      <c r="BD147" s="417">
        <f>BD109+BD146</f>
        <v/>
      </c>
      <c r="BE147" s="417">
        <f>BE109+BE146</f>
        <v/>
      </c>
      <c r="BF147" s="417">
        <f>BF109+BF146</f>
        <v/>
      </c>
      <c r="BG147" s="417">
        <f>BG109+BG146</f>
        <v/>
      </c>
      <c r="BH147" s="417">
        <f>BH109+BH146</f>
        <v/>
      </c>
      <c r="BI147" s="417">
        <f>BI109+BI146</f>
        <v/>
      </c>
      <c r="BJ147" s="417">
        <f>BJ109+BJ146</f>
        <v/>
      </c>
      <c r="BK147" s="417">
        <f>BK109+BK146</f>
        <v/>
      </c>
      <c r="BL147" s="417">
        <f>BL109+BL146</f>
        <v/>
      </c>
      <c r="BM147" s="417">
        <f>BM109+BM146</f>
        <v/>
      </c>
      <c r="BN147" s="417">
        <f>BN109+BN146</f>
        <v/>
      </c>
      <c r="BO147" s="417">
        <f>BO109+BO146</f>
        <v/>
      </c>
      <c r="BP147" s="417">
        <f>BP109+BP146</f>
        <v/>
      </c>
      <c r="BQ147" s="417">
        <f>BQ109+BQ146</f>
        <v/>
      </c>
      <c r="BR147" s="417">
        <f>BR109+BR146</f>
        <v/>
      </c>
      <c r="BS147" s="417">
        <f>BS109+BS146</f>
        <v/>
      </c>
      <c r="BT147" s="417">
        <f>BT109+BT146</f>
        <v/>
      </c>
      <c r="BU147" s="417">
        <f>BU109+BU146</f>
        <v/>
      </c>
      <c r="BV147" s="417">
        <f>BV109+BV146</f>
        <v/>
      </c>
      <c r="BW147" s="417">
        <f>BW109+BW146</f>
        <v/>
      </c>
      <c r="BX147" s="417">
        <f>BX109+BX146</f>
        <v/>
      </c>
      <c r="BY147" s="417">
        <f>BY109+BY146</f>
        <v/>
      </c>
      <c r="BZ147" s="417">
        <f>BZ109+BZ146</f>
        <v/>
      </c>
      <c r="CA147" s="417">
        <f>CA109+CA146</f>
        <v/>
      </c>
      <c r="CB147" s="417">
        <f>CB109+CB146</f>
        <v/>
      </c>
      <c r="CC147" s="417">
        <f>CC109+CC146</f>
        <v/>
      </c>
      <c r="CD147" s="417">
        <f>CD109+CD146</f>
        <v/>
      </c>
      <c r="CE147" s="417">
        <f>CE109+CE146</f>
        <v/>
      </c>
      <c r="CF147" s="417">
        <f>CF109+CF146</f>
        <v/>
      </c>
      <c r="CG147" s="417">
        <f>CG109+CG146</f>
        <v/>
      </c>
      <c r="CH147" s="417">
        <f>CH109+CH146</f>
        <v/>
      </c>
      <c r="CI147" s="417">
        <f>CI109+CI146</f>
        <v/>
      </c>
      <c r="CJ147" s="417">
        <f>CJ109+CJ146</f>
        <v/>
      </c>
      <c r="CK147" s="417">
        <f>CK109+CK146</f>
        <v/>
      </c>
      <c r="CL147" s="417">
        <f>CL109+CL146</f>
        <v/>
      </c>
      <c r="CM147" s="417">
        <f>CM109+CM146</f>
        <v/>
      </c>
      <c r="CN147" s="417">
        <f>CN109+CN146</f>
        <v/>
      </c>
      <c r="CO147" s="417">
        <f>CO109+CO146</f>
        <v/>
      </c>
      <c r="CP147" s="417">
        <f>CP109+CP146</f>
        <v/>
      </c>
      <c r="CQ147" s="417">
        <f>CQ109+CQ146</f>
        <v/>
      </c>
      <c r="CR147" s="417">
        <f>CR109+CR146</f>
        <v/>
      </c>
      <c r="CS147" s="417">
        <f>CS109+CS146</f>
        <v/>
      </c>
      <c r="CT147" s="417">
        <f>CT109+CT146</f>
        <v/>
      </c>
      <c r="CU147" s="417">
        <f>CU109+CU146</f>
        <v/>
      </c>
      <c r="CV147" s="417">
        <f>CV109+CV146</f>
        <v/>
      </c>
      <c r="CW147" s="417">
        <f>CW109+CW146</f>
        <v/>
      </c>
      <c r="CX147" s="417">
        <f>CX109+CX146</f>
        <v/>
      </c>
      <c r="CY147" s="417">
        <f>CY109+CY146</f>
        <v/>
      </c>
      <c r="CZ147" s="417">
        <f>CZ109+CZ146</f>
        <v/>
      </c>
      <c r="DA147" s="417">
        <f>DA109+DA146</f>
        <v/>
      </c>
      <c r="DB147" s="417">
        <f>DB109+DB146</f>
        <v/>
      </c>
      <c r="DC147" s="417">
        <f>DC109+DC146</f>
        <v/>
      </c>
      <c r="DD147" s="417">
        <f>DD109+DD146</f>
        <v/>
      </c>
      <c r="DE147" s="417">
        <f>DE109+DE146</f>
        <v/>
      </c>
    </row>
    <row r="148" ht="19.5" customFormat="1" customHeight="1" s="380">
      <c r="A148" s="397" t="inlineStr">
        <is>
          <t>GC Net Profit Margin %</t>
        </is>
      </c>
      <c r="B148" s="413">
        <f>IFERROR(B147/B58,0)</f>
        <v/>
      </c>
      <c r="C148" s="413">
        <f>IFERROR(C147/C58,0)</f>
        <v/>
      </c>
      <c r="D148" s="413">
        <f>IFERROR(D147/D58,0)</f>
        <v/>
      </c>
      <c r="E148" s="413">
        <f>IFERROR(E147/E58,0)</f>
        <v/>
      </c>
      <c r="F148" s="413">
        <f>IFERROR(F147/F58,0)</f>
        <v/>
      </c>
      <c r="G148" s="413">
        <f>IFERROR(G147/G58,0)</f>
        <v/>
      </c>
      <c r="H148" s="413">
        <f>IFERROR(H147/H58,0)</f>
        <v/>
      </c>
      <c r="I148" s="413">
        <f>IFERROR(I147/I58,0)</f>
        <v/>
      </c>
      <c r="J148" s="413">
        <f>IFERROR(J147/J58,0)</f>
        <v/>
      </c>
      <c r="K148" s="413">
        <f>IFERROR(K147/K58,0)</f>
        <v/>
      </c>
      <c r="L148" s="413">
        <f>IFERROR(L147/L58,0)</f>
        <v/>
      </c>
      <c r="M148" s="413">
        <f>IFERROR(M147/M58,0)</f>
        <v/>
      </c>
      <c r="N148" s="413">
        <f>IFERROR(N147/N58,0)</f>
        <v/>
      </c>
      <c r="O148" s="413">
        <f>IFERROR(O147/O58,0)</f>
        <v/>
      </c>
      <c r="P148" s="413">
        <f>IFERROR(P147/P58,0)</f>
        <v/>
      </c>
      <c r="Q148" s="413">
        <f>IFERROR(Q147/Q58,0)</f>
        <v/>
      </c>
      <c r="R148" s="413">
        <f>IFERROR(R147/R58,0)</f>
        <v/>
      </c>
      <c r="S148" s="413">
        <f>IFERROR(S147/S58,0)</f>
        <v/>
      </c>
      <c r="T148" s="413">
        <f>IFERROR(T147/T58,0)</f>
        <v/>
      </c>
      <c r="U148" s="413">
        <f>IFERROR(U147/U58,0)</f>
        <v/>
      </c>
      <c r="V148" s="413">
        <f>IFERROR(V147/V58,0)</f>
        <v/>
      </c>
      <c r="W148" s="413">
        <f>IFERROR(W147/W58,0)</f>
        <v/>
      </c>
      <c r="X148" s="413">
        <f>IFERROR(X147/X58,0)</f>
        <v/>
      </c>
      <c r="Y148" s="413">
        <f>IFERROR(Y147/Y58,0)</f>
        <v/>
      </c>
      <c r="Z148" s="413">
        <f>IFERROR(Z147/Z58,0)</f>
        <v/>
      </c>
      <c r="AA148" s="413">
        <f>IFERROR(AA147/AA58,0)</f>
        <v/>
      </c>
      <c r="AB148" s="413">
        <f>IFERROR(AB147/AB58,0)</f>
        <v/>
      </c>
      <c r="AC148" s="413">
        <f>IFERROR(AC147/AC58,0)</f>
        <v/>
      </c>
      <c r="AD148" s="413">
        <f>IFERROR(AD147/AD58,0)</f>
        <v/>
      </c>
      <c r="AE148" s="413">
        <f>IFERROR(AE147/AE58,0)</f>
        <v/>
      </c>
      <c r="AF148" s="413">
        <f>IFERROR(AF147/AF58,0)</f>
        <v/>
      </c>
      <c r="AG148" s="413">
        <f>IFERROR(AG147/AG58,0)</f>
        <v/>
      </c>
      <c r="AH148" s="413">
        <f>IFERROR(AH147/AH58,0)</f>
        <v/>
      </c>
      <c r="AI148" s="413">
        <f>IFERROR(AI147/AI58,0)</f>
        <v/>
      </c>
      <c r="AJ148" s="413">
        <f>IFERROR(AJ147/AJ58,0)</f>
        <v/>
      </c>
      <c r="AK148" s="413">
        <f>IFERROR(AK147/AK58,0)</f>
        <v/>
      </c>
      <c r="AL148" s="413">
        <f>IFERROR(AL147/AL58,0)</f>
        <v/>
      </c>
      <c r="AM148" s="413">
        <f>IFERROR(AM147/AM58,0)</f>
        <v/>
      </c>
      <c r="AN148" s="413">
        <f>IFERROR(AN147/AN58,0)</f>
        <v/>
      </c>
      <c r="AO148" s="413">
        <f>IFERROR(AO147/AO58,0)</f>
        <v/>
      </c>
      <c r="AP148" s="413">
        <f>IFERROR(AP147/AP58,0)</f>
        <v/>
      </c>
      <c r="AQ148" s="413">
        <f>IFERROR(AQ147/AQ58,0)</f>
        <v/>
      </c>
      <c r="AR148" s="413">
        <f>IFERROR(AR147/AR58,0)</f>
        <v/>
      </c>
      <c r="AS148" s="413">
        <f>IFERROR(AS147/AS58,0)</f>
        <v/>
      </c>
      <c r="AT148" s="413">
        <f>IFERROR(AT147/AT58,0)</f>
        <v/>
      </c>
      <c r="AU148" s="413">
        <f>IFERROR(AU147/AU58,0)</f>
        <v/>
      </c>
      <c r="AV148" s="413">
        <f>IFERROR(AV147/AV58,0)</f>
        <v/>
      </c>
      <c r="AW148" s="413">
        <f>IFERROR(AW147/AW58,0)</f>
        <v/>
      </c>
      <c r="AX148" s="413">
        <f>IFERROR(AX147/AX58,0)</f>
        <v/>
      </c>
      <c r="AY148" s="413">
        <f>IFERROR(AY147/AY58,0)</f>
        <v/>
      </c>
      <c r="AZ148" s="413">
        <f>IFERROR(AZ147/AZ58,0)</f>
        <v/>
      </c>
      <c r="BA148" s="413">
        <f>IFERROR(BA147/BA58,0)</f>
        <v/>
      </c>
      <c r="BB148" s="413">
        <f>IFERROR(BB147/BB58,0)</f>
        <v/>
      </c>
      <c r="BC148" s="413">
        <f>IFERROR(BC147/BC58,0)</f>
        <v/>
      </c>
      <c r="BD148" s="413">
        <f>IFERROR(BD147/BD58,0)</f>
        <v/>
      </c>
      <c r="BE148" s="413">
        <f>IFERROR(BE147/BE58,0)</f>
        <v/>
      </c>
      <c r="BF148" s="413">
        <f>IFERROR(BF147/BF58,0)</f>
        <v/>
      </c>
      <c r="BG148" s="413">
        <f>IFERROR(BG147/BG58,0)</f>
        <v/>
      </c>
      <c r="BH148" s="413">
        <f>IFERROR(BH147/BH58,0)</f>
        <v/>
      </c>
      <c r="BI148" s="413">
        <f>IFERROR(BI147/BI58,0)</f>
        <v/>
      </c>
      <c r="BJ148" s="413">
        <f>IFERROR(BJ147/BJ58,0)</f>
        <v/>
      </c>
      <c r="BK148" s="413">
        <f>IFERROR(BK147/BK58,0)</f>
        <v/>
      </c>
      <c r="BL148" s="413">
        <f>IFERROR(BL147/BL58,0)</f>
        <v/>
      </c>
      <c r="BM148" s="413">
        <f>IFERROR(BM147/BM58,0)</f>
        <v/>
      </c>
      <c r="BN148" s="413">
        <f>IFERROR(BN147/BN58,0)</f>
        <v/>
      </c>
      <c r="BO148" s="413">
        <f>IFERROR(BO147/BO58,0)</f>
        <v/>
      </c>
      <c r="BP148" s="413">
        <f>IFERROR(BP147/BP58,0)</f>
        <v/>
      </c>
      <c r="BQ148" s="413">
        <f>IFERROR(BQ147/BQ58,0)</f>
        <v/>
      </c>
      <c r="BR148" s="413">
        <f>IFERROR(BR147/BR58,0)</f>
        <v/>
      </c>
      <c r="BS148" s="413">
        <f>IFERROR(BS147/BS58,0)</f>
        <v/>
      </c>
      <c r="BT148" s="413">
        <f>IFERROR(BT147/BT58,0)</f>
        <v/>
      </c>
      <c r="BU148" s="413">
        <f>IFERROR(BU147/BU58,0)</f>
        <v/>
      </c>
      <c r="BV148" s="413">
        <f>IFERROR(BV147/BV58,0)</f>
        <v/>
      </c>
      <c r="BW148" s="413">
        <f>IFERROR(BW147/BW58,0)</f>
        <v/>
      </c>
      <c r="BX148" s="413">
        <f>IFERROR(BX147/BX58,0)</f>
        <v/>
      </c>
      <c r="BY148" s="413">
        <f>IFERROR(BY147/BY58,0)</f>
        <v/>
      </c>
      <c r="BZ148" s="413">
        <f>IFERROR(BZ147/BZ58,0)</f>
        <v/>
      </c>
      <c r="CA148" s="413">
        <f>IFERROR(CA147/CA58,0)</f>
        <v/>
      </c>
      <c r="CB148" s="413">
        <f>IFERROR(CB147/CB58,0)</f>
        <v/>
      </c>
      <c r="CC148" s="413">
        <f>IFERROR(CC147/CC58,0)</f>
        <v/>
      </c>
      <c r="CD148" s="413">
        <f>IFERROR(CD147/CD58,0)</f>
        <v/>
      </c>
      <c r="CE148" s="413">
        <f>IFERROR(CE147/CE58,0)</f>
        <v/>
      </c>
      <c r="CF148" s="413">
        <f>IFERROR(CF147/CF58,0)</f>
        <v/>
      </c>
      <c r="CG148" s="413">
        <f>IFERROR(CG147/CG58,0)</f>
        <v/>
      </c>
      <c r="CH148" s="413">
        <f>IFERROR(CH147/CH58,0)</f>
        <v/>
      </c>
      <c r="CI148" s="413">
        <f>IFERROR(CI147/CI58,0)</f>
        <v/>
      </c>
      <c r="CJ148" s="413">
        <f>IFERROR(CJ147/CJ58,0)</f>
        <v/>
      </c>
      <c r="CK148" s="413">
        <f>IFERROR(CK147/CK58,0)</f>
        <v/>
      </c>
      <c r="CL148" s="413">
        <f>IFERROR(CL147/CL58,0)</f>
        <v/>
      </c>
      <c r="CM148" s="413">
        <f>IFERROR(CM147/CM58,0)</f>
        <v/>
      </c>
      <c r="CN148" s="413">
        <f>IFERROR(CN147/CN58,0)</f>
        <v/>
      </c>
      <c r="CO148" s="413">
        <f>IFERROR(CO147/CO58,0)</f>
        <v/>
      </c>
      <c r="CP148" s="413">
        <f>IFERROR(CP147/CP58,0)</f>
        <v/>
      </c>
      <c r="CQ148" s="413">
        <f>IFERROR(CQ147/CQ58,0)</f>
        <v/>
      </c>
      <c r="CR148" s="413">
        <f>IFERROR(CR147/CR58,0)</f>
        <v/>
      </c>
      <c r="CS148" s="413">
        <f>IFERROR(CS147/CS58,0)</f>
        <v/>
      </c>
      <c r="CT148" s="413">
        <f>IFERROR(CT147/CT58,0)</f>
        <v/>
      </c>
      <c r="CU148" s="413">
        <f>IFERROR(CU147/CU58,0)</f>
        <v/>
      </c>
      <c r="CV148" s="413">
        <f>IFERROR(CV147/CV58,0)</f>
        <v/>
      </c>
      <c r="CW148" s="413">
        <f>IFERROR(CW147/CW58,0)</f>
        <v/>
      </c>
      <c r="CX148" s="413">
        <f>IFERROR(CX147/CX58,0)</f>
        <v/>
      </c>
      <c r="CY148" s="413">
        <f>IFERROR(CY147/CY58,0)</f>
        <v/>
      </c>
      <c r="CZ148" s="413">
        <f>IFERROR(CZ147/CZ58,0)</f>
        <v/>
      </c>
      <c r="DA148" s="413">
        <f>IFERROR(DA147/DA58,0)</f>
        <v/>
      </c>
      <c r="DB148" s="413">
        <f>IFERROR(DB147/DB58,0)</f>
        <v/>
      </c>
      <c r="DC148" s="413">
        <f>IFERROR(DC147/DC58,0)</f>
        <v/>
      </c>
      <c r="DD148" s="413">
        <f>IFERROR(DD147/DD58,0)</f>
        <v/>
      </c>
      <c r="DE148" s="413">
        <f>IFERROR(DE147/DE58,0)</f>
        <v/>
      </c>
    </row>
    <row r="149" ht="15" customFormat="1" customHeight="1" s="380">
      <c r="A149" s="382" t="n"/>
      <c r="B149" s="392" t="n"/>
      <c r="C149" s="392" t="n"/>
      <c r="D149" s="392" t="n"/>
      <c r="E149" s="392" t="n"/>
      <c r="F149" s="392" t="n"/>
      <c r="G149" s="392" t="n"/>
      <c r="H149" s="392" t="n"/>
      <c r="I149" s="392" t="n"/>
      <c r="J149" s="392" t="n"/>
      <c r="K149" s="392" t="n"/>
      <c r="L149" s="392" t="n"/>
      <c r="M149" s="392" t="n"/>
      <c r="N149" s="392" t="n"/>
      <c r="O149" s="392" t="n"/>
      <c r="P149" s="392" t="n"/>
      <c r="Q149" s="392" t="n"/>
      <c r="R149" s="392" t="n"/>
      <c r="S149" s="392" t="n"/>
      <c r="T149" s="392" t="n"/>
      <c r="U149" s="392" t="n"/>
      <c r="V149" s="392" t="n"/>
      <c r="W149" s="392" t="n"/>
      <c r="X149" s="392" t="n"/>
      <c r="Y149" s="392" t="n"/>
      <c r="Z149" s="392" t="n"/>
      <c r="AA149" s="392" t="n"/>
      <c r="AB149" s="392" t="n"/>
      <c r="AC149" s="392" t="n"/>
      <c r="AD149" s="392" t="n"/>
      <c r="AE149" s="392" t="n"/>
      <c r="AF149" s="392" t="n"/>
      <c r="AG149" s="392" t="n"/>
      <c r="AH149" s="392" t="n"/>
      <c r="AI149" s="392" t="n"/>
      <c r="AJ149" s="392" t="n"/>
      <c r="AK149" s="392" t="n"/>
      <c r="AL149" s="392" t="n"/>
      <c r="AM149" s="392" t="n"/>
      <c r="AN149" s="392" t="n"/>
      <c r="AO149" s="392" t="n"/>
      <c r="AP149" s="392" t="n"/>
      <c r="AQ149" s="392" t="n"/>
      <c r="AR149" s="392" t="n"/>
      <c r="AS149" s="392" t="n"/>
      <c r="AT149" s="392" t="n"/>
      <c r="AU149" s="392" t="n"/>
      <c r="AV149" s="392" t="n"/>
      <c r="AW149" s="392" t="n"/>
      <c r="AX149" s="392" t="n"/>
      <c r="AY149" s="392" t="n"/>
      <c r="AZ149" s="392" t="n"/>
      <c r="BA149" s="392" t="n"/>
      <c r="BB149" s="392" t="n"/>
      <c r="BC149" s="392" t="n"/>
      <c r="BD149" s="392" t="n"/>
      <c r="BE149" s="392" t="n"/>
      <c r="BF149" s="392" t="n"/>
      <c r="BG149" s="392" t="n"/>
      <c r="BH149" s="392" t="n"/>
      <c r="BI149" s="392" t="n"/>
      <c r="BJ149" s="392" t="n"/>
      <c r="BK149" s="392" t="n"/>
      <c r="BL149" s="392" t="n"/>
      <c r="BM149" s="392" t="n"/>
      <c r="BN149" s="392" t="n"/>
      <c r="BO149" s="392" t="n"/>
      <c r="BP149" s="392" t="n"/>
      <c r="BQ149" s="392" t="n"/>
      <c r="BR149" s="392" t="n"/>
      <c r="BS149" s="392" t="n"/>
      <c r="BT149" s="392" t="n"/>
      <c r="BU149" s="392" t="n"/>
      <c r="BV149" s="392" t="n"/>
      <c r="BW149" s="392" t="n"/>
      <c r="BX149" s="392" t="n"/>
      <c r="BY149" s="392" t="n"/>
      <c r="BZ149" s="392" t="n"/>
      <c r="CA149" s="392" t="n"/>
      <c r="CB149" s="392" t="n"/>
      <c r="CC149" s="392" t="n"/>
      <c r="CD149" s="392" t="n"/>
      <c r="CE149" s="392" t="n"/>
      <c r="CF149" s="392" t="n"/>
      <c r="CG149" s="392" t="n"/>
      <c r="CH149" s="392" t="n"/>
      <c r="CI149" s="392" t="n"/>
      <c r="CJ149" s="392" t="n"/>
      <c r="CK149" s="392" t="n"/>
      <c r="CL149" s="392" t="n"/>
      <c r="CM149" s="392" t="n"/>
      <c r="CN149" s="392" t="n"/>
      <c r="CO149" s="392" t="n"/>
      <c r="CP149" s="392" t="n"/>
      <c r="CQ149" s="392" t="n"/>
      <c r="CR149" s="392" t="n"/>
      <c r="CS149" s="392" t="n"/>
      <c r="CT149" s="392" t="n"/>
      <c r="CU149" s="392" t="n"/>
      <c r="CV149" s="392" t="n"/>
      <c r="CW149" s="392" t="n"/>
      <c r="CX149" s="392" t="n"/>
      <c r="CY149" s="392" t="n"/>
      <c r="CZ149" s="392" t="n"/>
      <c r="DA149" s="392" t="n"/>
      <c r="DB149" s="392" t="n"/>
      <c r="DC149" s="392" t="n"/>
      <c r="DD149" s="392" t="n"/>
      <c r="DE149" s="392" t="n"/>
    </row>
    <row r="150" ht="15" customFormat="1" customHeight="1" s="380">
      <c r="A150" s="402" t="inlineStr">
        <is>
          <t>Six Peak Revenue</t>
        </is>
      </c>
      <c r="B150" s="414" t="n"/>
      <c r="C150" s="414" t="n"/>
      <c r="D150" s="414" t="n"/>
      <c r="E150" s="414" t="n"/>
      <c r="F150" s="414" t="n"/>
      <c r="G150" s="414" t="n"/>
      <c r="H150" s="414" t="n"/>
      <c r="I150" s="414" t="n"/>
      <c r="J150" s="414" t="n"/>
      <c r="K150" s="414" t="n"/>
      <c r="L150" s="414" t="n"/>
      <c r="M150" s="414" t="n"/>
      <c r="N150" s="414" t="n"/>
      <c r="O150" s="414" t="n"/>
      <c r="P150" s="414" t="n"/>
      <c r="Q150" s="414" t="n"/>
      <c r="R150" s="414" t="n"/>
      <c r="S150" s="414" t="n"/>
      <c r="T150" s="414" t="n"/>
      <c r="U150" s="414" t="n"/>
      <c r="V150" s="414" t="n"/>
      <c r="W150" s="414" t="n"/>
      <c r="X150" s="414" t="n"/>
      <c r="Y150" s="414" t="n"/>
      <c r="Z150" s="414" t="n"/>
      <c r="AA150" s="414" t="n"/>
      <c r="AB150" s="414" t="n"/>
      <c r="AC150" s="414" t="n"/>
      <c r="AD150" s="414" t="n"/>
      <c r="AE150" s="414" t="n"/>
      <c r="AF150" s="414" t="n"/>
      <c r="AG150" s="414" t="n"/>
      <c r="AH150" s="414" t="n"/>
      <c r="AI150" s="414" t="n"/>
      <c r="AJ150" s="414" t="n"/>
      <c r="AK150" s="414" t="n"/>
      <c r="AL150" s="414" t="n"/>
      <c r="AM150" s="414" t="n"/>
      <c r="AN150" s="414" t="n"/>
      <c r="AO150" s="414" t="n"/>
      <c r="AP150" s="414" t="n"/>
      <c r="AQ150" s="414" t="n"/>
      <c r="AR150" s="414" t="n"/>
      <c r="AS150" s="414" t="n"/>
      <c r="AT150" s="414" t="n"/>
      <c r="AU150" s="414" t="n"/>
      <c r="AV150" s="414" t="n"/>
      <c r="AW150" s="414" t="n"/>
      <c r="AX150" s="414" t="n"/>
      <c r="AY150" s="414" t="n"/>
      <c r="AZ150" s="414" t="n"/>
      <c r="BA150" s="414" t="n"/>
      <c r="BB150" s="414" t="n"/>
      <c r="BC150" s="414" t="n"/>
      <c r="BD150" s="414" t="n"/>
      <c r="BE150" s="414" t="n"/>
      <c r="BF150" s="414" t="n"/>
      <c r="BG150" s="414" t="n"/>
      <c r="BH150" s="414" t="n"/>
      <c r="BI150" s="414" t="n"/>
      <c r="BJ150" s="414" t="n"/>
      <c r="BK150" s="414" t="n"/>
      <c r="BL150" s="414" t="n"/>
      <c r="BM150" s="414" t="n"/>
      <c r="BN150" s="414" t="n"/>
      <c r="BO150" s="414" t="n"/>
      <c r="BP150" s="414" t="n"/>
      <c r="BQ150" s="414" t="n"/>
      <c r="BR150" s="414" t="n"/>
      <c r="BS150" s="414" t="n"/>
      <c r="BT150" s="414" t="n"/>
      <c r="BU150" s="414" t="n"/>
      <c r="BV150" s="414" t="n"/>
      <c r="BW150" s="414" t="n"/>
      <c r="BX150" s="414" t="n"/>
      <c r="BY150" s="414" t="n"/>
      <c r="BZ150" s="414" t="n"/>
      <c r="CA150" s="414" t="n"/>
      <c r="CB150" s="414" t="n"/>
      <c r="CC150" s="414" t="n"/>
      <c r="CD150" s="414" t="n"/>
      <c r="CE150" s="414" t="n"/>
      <c r="CF150" s="414" t="n"/>
      <c r="CG150" s="414" t="n"/>
      <c r="CH150" s="414" t="n"/>
      <c r="CI150" s="414" t="n"/>
      <c r="CJ150" s="414" t="n"/>
      <c r="CK150" s="414" t="n"/>
      <c r="CL150" s="414" t="n"/>
      <c r="CM150" s="414" t="n"/>
      <c r="CN150" s="414" t="n"/>
      <c r="CO150" s="414" t="n"/>
      <c r="CP150" s="414" t="n"/>
      <c r="CQ150" s="414" t="n"/>
      <c r="CR150" s="414" t="n"/>
      <c r="CS150" s="414" t="n"/>
      <c r="CT150" s="414" t="n"/>
      <c r="CU150" s="414" t="n"/>
      <c r="CV150" s="414" t="n"/>
      <c r="CW150" s="414" t="n"/>
      <c r="CX150" s="414" t="n"/>
      <c r="CY150" s="414" t="n"/>
      <c r="CZ150" s="414" t="n"/>
      <c r="DA150" s="414" t="n"/>
      <c r="DB150" s="414" t="n"/>
      <c r="DC150" s="414" t="n"/>
      <c r="DD150" s="414" t="n"/>
      <c r="DE150" s="414" t="n"/>
    </row>
    <row r="151" ht="15" customFormat="1" customHeight="1" s="380">
      <c r="A151" s="397" t="inlineStr">
        <is>
          <t>Edgemont Management Fee</t>
        </is>
      </c>
      <c r="B151" s="392">
        <f>IF(ISBLANK(Actuals!C64),0,Actuals!C64)</f>
        <v/>
      </c>
      <c r="C151" s="392">
        <f>IF(ISBLANK(Actuals!D64),0,Actuals!D64)</f>
        <v/>
      </c>
      <c r="D151" s="392">
        <f>IF(ISBLANK(Actuals!E64),0,Actuals!E64)</f>
        <v/>
      </c>
      <c r="E151" s="392">
        <f>IF(ISBLANK(Actuals!F64),IF(1&lt;=Assumptions!$B$68,Assumptions!$B$67,0),Actuals!F64)</f>
        <v/>
      </c>
      <c r="F151" s="392">
        <f>IF(ISBLANK(Actuals!G64),IF(2&lt;=Assumptions!$B$68,Assumptions!$B$67,0),Actuals!G64)</f>
        <v/>
      </c>
      <c r="G151" s="392">
        <f>IF(ISBLANK(Actuals!H64),IF(3&lt;=Assumptions!$B$68,Assumptions!$B$67,0),Actuals!H64)</f>
        <v/>
      </c>
      <c r="H151" s="392">
        <f>IF(ISBLANK(Actuals!I64),IF(4&lt;=Assumptions!$B$68,Assumptions!$B$67,0),Actuals!I64)</f>
        <v/>
      </c>
      <c r="I151" s="392">
        <f>IF(ISBLANK(Actuals!J64),IF(5&lt;=Assumptions!$B$68,Assumptions!$B$67,0),Actuals!J64)</f>
        <v/>
      </c>
      <c r="J151" s="392">
        <f>IF(ISBLANK(Actuals!K64),IF(6&lt;=Assumptions!$B$68,Assumptions!$B$67,0),Actuals!K64)</f>
        <v/>
      </c>
      <c r="K151" s="392">
        <f>IF(ISBLANK(Actuals!L64),IF(7&lt;=Assumptions!$B$68,Assumptions!$B$67,0),Actuals!L64)</f>
        <v/>
      </c>
      <c r="L151" s="392">
        <f>IF(ISBLANK(Actuals!M64),IF(8&lt;=Assumptions!$B$68,Assumptions!$B$67,0),Actuals!M64)</f>
        <v/>
      </c>
      <c r="M151" s="392">
        <f>IF(ISBLANK(Actuals!N64),IF(9&lt;=Assumptions!$B$68,Assumptions!$B$67,0),Actuals!N64)</f>
        <v/>
      </c>
      <c r="N151" s="392">
        <f>IF(ISBLANK(Actuals!O64),IF(10&lt;=Assumptions!$B$68,Assumptions!$B$67,0),Actuals!O64)</f>
        <v/>
      </c>
      <c r="O151" s="392">
        <f>IF(ISBLANK(Actuals!P64),IF(11&lt;=Assumptions!$B$68,Assumptions!$B$67,0),Actuals!P64)</f>
        <v/>
      </c>
      <c r="P151" s="392">
        <f>IF(ISBLANK(Actuals!Q64),IF(12&lt;=Assumptions!$B$68,Assumptions!$B$67,0),Actuals!Q64)</f>
        <v/>
      </c>
      <c r="Q151" s="392">
        <f>IF(ISBLANK(Actuals!R64),IF(13&lt;=Assumptions!$B$68,Assumptions!$B$67,0),Actuals!R64)</f>
        <v/>
      </c>
      <c r="R151" s="392">
        <f>IF(ISBLANK(Actuals!S64),IF(14&lt;=Assumptions!$B$68,Assumptions!$B$67,0),Actuals!S64)</f>
        <v/>
      </c>
      <c r="S151" s="392">
        <f>IF(ISBLANK(Actuals!T64),IF(15&lt;=Assumptions!$B$68,Assumptions!$B$67,0),Actuals!T64)</f>
        <v/>
      </c>
      <c r="T151" s="392">
        <f>IF(ISBLANK(Actuals!U64),IF(16&lt;=Assumptions!$B$68,Assumptions!$B$67,0),Actuals!U64)</f>
        <v/>
      </c>
      <c r="U151" s="392">
        <f>IF(ISBLANK(Actuals!V64),IF(17&lt;=Assumptions!$B$68,Assumptions!$B$67,0),Actuals!V64)</f>
        <v/>
      </c>
      <c r="V151" s="392">
        <f>IF(ISBLANK(Actuals!W64),IF(18&lt;=Assumptions!$B$68,Assumptions!$B$67,0),Actuals!W64)</f>
        <v/>
      </c>
      <c r="W151" s="392">
        <f>IF(ISBLANK(Actuals!X64),IF(19&lt;=Assumptions!$B$68,Assumptions!$B$67,0),Actuals!X64)</f>
        <v/>
      </c>
      <c r="X151" s="392">
        <f>IF(ISBLANK(Actuals!Y64),IF(20&lt;=Assumptions!$B$68,Assumptions!$B$67,0),Actuals!Y64)</f>
        <v/>
      </c>
      <c r="Y151" s="392">
        <f>IF(ISBLANK(Actuals!Z64),IF(21&lt;=Assumptions!$B$68,Assumptions!$B$67,0),Actuals!Z64)</f>
        <v/>
      </c>
      <c r="Z151" s="392">
        <f>IF(ISBLANK(Actuals!AA64),IF(22&lt;=Assumptions!$B$68,Assumptions!$B$67,0),Actuals!AA64)</f>
        <v/>
      </c>
      <c r="AA151" s="392">
        <f>IF(ISBLANK(Actuals!AB64),IF(23&lt;=Assumptions!$B$68,Assumptions!$B$67,0),Actuals!AB64)</f>
        <v/>
      </c>
      <c r="AB151" s="392">
        <f>IF(ISBLANK(Actuals!AC64),IF(24&lt;=Assumptions!$B$68,Assumptions!$B$67,0),Actuals!AC64)</f>
        <v/>
      </c>
      <c r="AC151" s="392">
        <f>IF(ISBLANK(Actuals!AD64),IF(25&lt;=Assumptions!$B$68,Assumptions!$B$67,0),Actuals!AD64)</f>
        <v/>
      </c>
      <c r="AD151" s="392">
        <f>IF(ISBLANK(Actuals!AE64),IF(26&lt;=Assumptions!$B$68,Assumptions!$B$67,0),Actuals!AE64)</f>
        <v/>
      </c>
      <c r="AE151" s="392">
        <f>IF(ISBLANK(Actuals!AF64),IF(27&lt;=Assumptions!$B$68,Assumptions!$B$67,0),Actuals!AF64)</f>
        <v/>
      </c>
      <c r="AF151" s="392">
        <f>IF(ISBLANK(Actuals!AG64),IF(28&lt;=Assumptions!$B$68,Assumptions!$B$67,0),Actuals!AG64)</f>
        <v/>
      </c>
      <c r="AG151" s="392">
        <f>IF(ISBLANK(Actuals!AH64),IF(29&lt;=Assumptions!$B$68,Assumptions!$B$67,0),Actuals!AH64)</f>
        <v/>
      </c>
      <c r="AH151" s="392">
        <f>IF(ISBLANK(Actuals!AI64),IF(30&lt;=Assumptions!$B$68,Assumptions!$B$67,0),Actuals!AI64)</f>
        <v/>
      </c>
      <c r="AI151" s="392">
        <f>IF(ISBLANK(Actuals!AJ64),IF(31&lt;=Assumptions!$B$68,Assumptions!$B$67,0),Actuals!AJ64)</f>
        <v/>
      </c>
      <c r="AJ151" s="392">
        <f>IF(ISBLANK(Actuals!AK64),IF(32&lt;=Assumptions!$B$68,Assumptions!$B$67,0),Actuals!AK64)</f>
        <v/>
      </c>
      <c r="AK151" s="392">
        <f>IF(ISBLANK(Actuals!AL64),IF(33&lt;=Assumptions!$B$68,Assumptions!$B$67,0),Actuals!AL64)</f>
        <v/>
      </c>
      <c r="AL151" s="392">
        <f>IF(ISBLANK(Actuals!AM64),IF(34&lt;=Assumptions!$B$68,Assumptions!$B$67,0),Actuals!AM64)</f>
        <v/>
      </c>
      <c r="AM151" s="392">
        <f>IF(ISBLANK(Actuals!AN64),IF(35&lt;=Assumptions!$B$68,Assumptions!$B$67,0),Actuals!AN64)</f>
        <v/>
      </c>
      <c r="AN151" s="392">
        <f>IF(ISBLANK(Actuals!AO64),IF(36&lt;=Assumptions!$B$68,Assumptions!$B$67,0),Actuals!AO64)</f>
        <v/>
      </c>
      <c r="AO151" s="392">
        <f>IF(ISBLANK(Actuals!AP64),IF(37&lt;=Assumptions!$B$68,Assumptions!$B$67,0),Actuals!AP64)</f>
        <v/>
      </c>
      <c r="AP151" s="392">
        <f>IF(ISBLANK(Actuals!AQ64),IF(38&lt;=Assumptions!$B$68,Assumptions!$B$67,0),Actuals!AQ64)</f>
        <v/>
      </c>
      <c r="AQ151" s="392">
        <f>IF(ISBLANK(Actuals!AR64),IF(39&lt;=Assumptions!$B$68,Assumptions!$B$67,0),Actuals!AR64)</f>
        <v/>
      </c>
      <c r="AR151" s="392">
        <f>IF(ISBLANK(Actuals!AS64),IF(40&lt;=Assumptions!$B$68,Assumptions!$B$67,0),Actuals!AS64)</f>
        <v/>
      </c>
      <c r="AS151" s="392">
        <f>IF(ISBLANK(Actuals!AT64),IF(41&lt;=Assumptions!$B$68,Assumptions!$B$67,0),Actuals!AT64)</f>
        <v/>
      </c>
      <c r="AT151" s="392">
        <f>IF(ISBLANK(Actuals!AU64),IF(42&lt;=Assumptions!$B$68,Assumptions!$B$67,0),Actuals!AU64)</f>
        <v/>
      </c>
      <c r="AU151" s="392">
        <f>IF(ISBLANK(Actuals!AV64),IF(43&lt;=Assumptions!$B$68,Assumptions!$B$67,0),Actuals!AV64)</f>
        <v/>
      </c>
      <c r="AV151" s="392">
        <f>IF(ISBLANK(Actuals!AW64),IF(44&lt;=Assumptions!$B$68,Assumptions!$B$67,0),Actuals!AW64)</f>
        <v/>
      </c>
      <c r="AW151" s="392">
        <f>IF(ISBLANK(Actuals!AX64),IF(45&lt;=Assumptions!$B$68,Assumptions!$B$67,0),Actuals!AX64)</f>
        <v/>
      </c>
      <c r="AX151" s="392">
        <f>IF(ISBLANK(Actuals!AY64),IF(46&lt;=Assumptions!$B$68,Assumptions!$B$67,0),Actuals!AY64)</f>
        <v/>
      </c>
      <c r="AY151" s="392">
        <f>IF(ISBLANK(Actuals!AZ64),IF(47&lt;=Assumptions!$B$68,Assumptions!$B$67,0),Actuals!AZ64)</f>
        <v/>
      </c>
      <c r="AZ151" s="392">
        <f>IF(ISBLANK(Actuals!BA64),IF(48&lt;=Assumptions!$B$68,Assumptions!$B$67,0),Actuals!BA64)</f>
        <v/>
      </c>
      <c r="BA151" s="392">
        <f>IF(ISBLANK(Actuals!BB64),IF(49&lt;=Assumptions!$B$68,Assumptions!$B$67,0),Actuals!BB64)</f>
        <v/>
      </c>
      <c r="BB151" s="392">
        <f>IF(ISBLANK(Actuals!BC64),IF(50&lt;=Assumptions!$B$68,Assumptions!$B$67,0),Actuals!BC64)</f>
        <v/>
      </c>
      <c r="BC151" s="392">
        <f>IF(ISBLANK(Actuals!BD64),IF(51&lt;=Assumptions!$B$68,Assumptions!$B$67,0),Actuals!BD64)</f>
        <v/>
      </c>
      <c r="BD151" s="392">
        <f>IF(ISBLANK(Actuals!BE64),IF(52&lt;=Assumptions!$B$68,Assumptions!$B$67,0),Actuals!BE64)</f>
        <v/>
      </c>
      <c r="BE151" s="392">
        <f>IF(ISBLANK(Actuals!BF64),IF(53&lt;=Assumptions!$B$68,Assumptions!$B$67,0),Actuals!BF64)</f>
        <v/>
      </c>
      <c r="BF151" s="392">
        <f>IF(ISBLANK(Actuals!BG64),IF(54&lt;=Assumptions!$B$68,Assumptions!$B$67,0),Actuals!BG64)</f>
        <v/>
      </c>
      <c r="BG151" s="392">
        <f>IF(ISBLANK(Actuals!BH64),IF(55&lt;=Assumptions!$B$68,Assumptions!$B$67,0),Actuals!BH64)</f>
        <v/>
      </c>
      <c r="BH151" s="392">
        <f>IF(ISBLANK(Actuals!BI64),IF(56&lt;=Assumptions!$B$68,Assumptions!$B$67,0),Actuals!BI64)</f>
        <v/>
      </c>
      <c r="BI151" s="392">
        <f>IF(ISBLANK(Actuals!BJ64),IF(57&lt;=Assumptions!$B$68,Assumptions!$B$67,0),Actuals!BJ64)</f>
        <v/>
      </c>
      <c r="BJ151" s="392">
        <f>IF(ISBLANK(Actuals!BK64),IF(58&lt;=Assumptions!$B$68,Assumptions!$B$67,0),Actuals!BK64)</f>
        <v/>
      </c>
      <c r="BK151" s="392">
        <f>IF(ISBLANK(Actuals!BL64),IF(59&lt;=Assumptions!$B$68,Assumptions!$B$67,0),Actuals!BL64)</f>
        <v/>
      </c>
      <c r="BL151" s="392">
        <f>IF(ISBLANK(Actuals!BM64),IF(60&lt;=Assumptions!$B$68,Assumptions!$B$67,0),Actuals!BM64)</f>
        <v/>
      </c>
      <c r="BM151" s="392">
        <f>IF(ISBLANK(Actuals!BN64),IF(61&lt;=Assumptions!$B$68,Assumptions!$B$67,0),Actuals!BN64)</f>
        <v/>
      </c>
      <c r="BN151" s="392">
        <f>IF(ISBLANK(Actuals!BO64),IF(62&lt;=Assumptions!$B$68,Assumptions!$B$67,0),Actuals!BO64)</f>
        <v/>
      </c>
      <c r="BO151" s="392">
        <f>IF(ISBLANK(Actuals!BP64),IF(63&lt;=Assumptions!$B$68,Assumptions!$B$67,0),Actuals!BP64)</f>
        <v/>
      </c>
      <c r="BP151" s="392">
        <f>IF(ISBLANK(Actuals!BQ64),IF(64&lt;=Assumptions!$B$68,Assumptions!$B$67,0),Actuals!BQ64)</f>
        <v/>
      </c>
      <c r="BQ151" s="392">
        <f>IF(ISBLANK(Actuals!BR64),IF(65&lt;=Assumptions!$B$68,Assumptions!$B$67,0),Actuals!BR64)</f>
        <v/>
      </c>
      <c r="BR151" s="392">
        <f>IF(ISBLANK(Actuals!BS64),IF(66&lt;=Assumptions!$B$68,Assumptions!$B$67,0),Actuals!BS64)</f>
        <v/>
      </c>
      <c r="BS151" s="392">
        <f>IF(ISBLANK(Actuals!BT64),IF(67&lt;=Assumptions!$B$68,Assumptions!$B$67,0),Actuals!BT64)</f>
        <v/>
      </c>
      <c r="BT151" s="392">
        <f>IF(ISBLANK(Actuals!BU64),IF(68&lt;=Assumptions!$B$68,Assumptions!$B$67,0),Actuals!BU64)</f>
        <v/>
      </c>
      <c r="BU151" s="392">
        <f>IF(ISBLANK(Actuals!BV64),IF(69&lt;=Assumptions!$B$68,Assumptions!$B$67,0),Actuals!BV64)</f>
        <v/>
      </c>
      <c r="BV151" s="392">
        <f>IF(ISBLANK(Actuals!BW64),IF(70&lt;=Assumptions!$B$68,Assumptions!$B$67,0),Actuals!BW64)</f>
        <v/>
      </c>
      <c r="BW151" s="392">
        <f>IF(ISBLANK(Actuals!BX64),IF(71&lt;=Assumptions!$B$68,Assumptions!$B$67,0),Actuals!BX64)</f>
        <v/>
      </c>
      <c r="BX151" s="392">
        <f>IF(ISBLANK(Actuals!BY64),IF(72&lt;=Assumptions!$B$68,Assumptions!$B$67,0),Actuals!BY64)</f>
        <v/>
      </c>
      <c r="BY151" s="392">
        <f>IF(ISBLANK(Actuals!BZ64),IF(73&lt;=Assumptions!$B$68,Assumptions!$B$67,0),Actuals!BZ64)</f>
        <v/>
      </c>
      <c r="BZ151" s="392">
        <f>IF(ISBLANK(Actuals!CA64),IF(74&lt;=Assumptions!$B$68,Assumptions!$B$67,0),Actuals!CA64)</f>
        <v/>
      </c>
      <c r="CA151" s="392">
        <f>IF(ISBLANK(Actuals!CB64),IF(75&lt;=Assumptions!$B$68,Assumptions!$B$67,0),Actuals!CB64)</f>
        <v/>
      </c>
      <c r="CB151" s="392">
        <f>IF(ISBLANK(Actuals!CC64),IF(76&lt;=Assumptions!$B$68,Assumptions!$B$67,0),Actuals!CC64)</f>
        <v/>
      </c>
      <c r="CC151" s="392">
        <f>IF(ISBLANK(Actuals!CD64),IF(77&lt;=Assumptions!$B$68,Assumptions!$B$67,0),Actuals!CD64)</f>
        <v/>
      </c>
      <c r="CD151" s="392">
        <f>IF(ISBLANK(Actuals!CE64),IF(78&lt;=Assumptions!$B$68,Assumptions!$B$67,0),Actuals!CE64)</f>
        <v/>
      </c>
      <c r="CE151" s="392">
        <f>IF(ISBLANK(Actuals!CF64),IF(79&lt;=Assumptions!$B$68,Assumptions!$B$67,0),Actuals!CF64)</f>
        <v/>
      </c>
      <c r="CF151" s="392">
        <f>IF(ISBLANK(Actuals!CG64),IF(80&lt;=Assumptions!$B$68,Assumptions!$B$67,0),Actuals!CG64)</f>
        <v/>
      </c>
      <c r="CG151" s="392">
        <f>IF(ISBLANK(Actuals!CH64),IF(81&lt;=Assumptions!$B$68,Assumptions!$B$67,0),Actuals!CH64)</f>
        <v/>
      </c>
      <c r="CH151" s="392">
        <f>IF(ISBLANK(Actuals!CI64),IF(82&lt;=Assumptions!$B$68,Assumptions!$B$67,0),Actuals!CI64)</f>
        <v/>
      </c>
      <c r="CI151" s="392">
        <f>IF(ISBLANK(Actuals!CJ64),IF(83&lt;=Assumptions!$B$68,Assumptions!$B$67,0),Actuals!CJ64)</f>
        <v/>
      </c>
      <c r="CJ151" s="392">
        <f>IF(ISBLANK(Actuals!CK64),IF(84&lt;=Assumptions!$B$68,Assumptions!$B$67,0),Actuals!CK64)</f>
        <v/>
      </c>
      <c r="CK151" s="392">
        <f>IF(ISBLANK(Actuals!CL64),IF(85&lt;=Assumptions!$B$68,Assumptions!$B$67,0),Actuals!CL64)</f>
        <v/>
      </c>
      <c r="CL151" s="392">
        <f>IF(ISBLANK(Actuals!CM64),IF(86&lt;=Assumptions!$B$68,Assumptions!$B$67,0),Actuals!CM64)</f>
        <v/>
      </c>
      <c r="CM151" s="392">
        <f>IF(ISBLANK(Actuals!CN64),IF(87&lt;=Assumptions!$B$68,Assumptions!$B$67,0),Actuals!CN64)</f>
        <v/>
      </c>
      <c r="CN151" s="392">
        <f>IF(ISBLANK(Actuals!CO64),IF(88&lt;=Assumptions!$B$68,Assumptions!$B$67,0),Actuals!CO64)</f>
        <v/>
      </c>
      <c r="CO151" s="392">
        <f>IF(ISBLANK(Actuals!CP64),IF(89&lt;=Assumptions!$B$68,Assumptions!$B$67,0),Actuals!CP64)</f>
        <v/>
      </c>
      <c r="CP151" s="392">
        <f>IF(ISBLANK(Actuals!CQ64),IF(90&lt;=Assumptions!$B$68,Assumptions!$B$67,0),Actuals!CQ64)</f>
        <v/>
      </c>
      <c r="CQ151" s="392">
        <f>IF(ISBLANK(Actuals!CR64),IF(91&lt;=Assumptions!$B$68,Assumptions!$B$67,0),Actuals!CR64)</f>
        <v/>
      </c>
      <c r="CR151" s="392">
        <f>IF(ISBLANK(Actuals!CS64),IF(92&lt;=Assumptions!$B$68,Assumptions!$B$67,0),Actuals!CS64)</f>
        <v/>
      </c>
      <c r="CS151" s="392">
        <f>IF(ISBLANK(Actuals!CT64),IF(93&lt;=Assumptions!$B$68,Assumptions!$B$67,0),Actuals!CT64)</f>
        <v/>
      </c>
      <c r="CT151" s="392">
        <f>IF(ISBLANK(Actuals!CU64),IF(94&lt;=Assumptions!$B$68,Assumptions!$B$67,0),Actuals!CU64)</f>
        <v/>
      </c>
      <c r="CU151" s="392">
        <f>IF(ISBLANK(Actuals!CV64),IF(95&lt;=Assumptions!$B$68,Assumptions!$B$67,0),Actuals!CV64)</f>
        <v/>
      </c>
      <c r="CV151" s="392">
        <f>IF(ISBLANK(Actuals!CW64),IF(96&lt;=Assumptions!$B$68,Assumptions!$B$67,0),Actuals!CW64)</f>
        <v/>
      </c>
      <c r="CW151" s="392">
        <f>IF(ISBLANK(Actuals!CX64),IF(97&lt;=Assumptions!$B$68,Assumptions!$B$67,0),Actuals!CX64)</f>
        <v/>
      </c>
      <c r="CX151" s="392">
        <f>IF(ISBLANK(Actuals!CY64),IF(98&lt;=Assumptions!$B$68,Assumptions!$B$67,0),Actuals!CY64)</f>
        <v/>
      </c>
      <c r="CY151" s="392">
        <f>IF(ISBLANK(Actuals!CZ64),IF(99&lt;=Assumptions!$B$68,Assumptions!$B$67,0),Actuals!CZ64)</f>
        <v/>
      </c>
      <c r="CZ151" s="392">
        <f>IF(ISBLANK(Actuals!DA64),IF(100&lt;=Assumptions!$B$68,Assumptions!$B$67,0),Actuals!DA64)</f>
        <v/>
      </c>
      <c r="DA151" s="392">
        <f>IF(ISBLANK(Actuals!DB64),IF(101&lt;=Assumptions!$B$68,Assumptions!$B$67,0),Actuals!DB64)</f>
        <v/>
      </c>
      <c r="DB151" s="392">
        <f>IF(ISBLANK(Actuals!DC64),IF(102&lt;=Assumptions!$B$68,Assumptions!$B$67,0),Actuals!DC64)</f>
        <v/>
      </c>
      <c r="DC151" s="392">
        <f>IF(ISBLANK(Actuals!DD64),IF(103&lt;=Assumptions!$B$68,Assumptions!$B$67,0),Actuals!DD64)</f>
        <v/>
      </c>
      <c r="DD151" s="392">
        <f>IF(ISBLANK(Actuals!DE64),IF(104&lt;=Assumptions!$B$68,Assumptions!$B$67,0),Actuals!DE64)</f>
        <v/>
      </c>
      <c r="DE151" s="392">
        <f>IF(ISBLANK(Actuals!DF64),IF(105&lt;=Assumptions!$B$68,Assumptions!$B$67,0),Actuals!DF64)</f>
        <v/>
      </c>
    </row>
    <row r="152" ht="15" customFormat="1" customHeight="1" s="380">
      <c r="A152" s="397" t="inlineStr">
        <is>
          <t>Ramsgate Dev Fee - Construction</t>
        </is>
      </c>
      <c r="B152" s="392">
        <f>IF(ISBLANK(Actuals!C65),0,Actuals!C65)</f>
        <v/>
      </c>
      <c r="C152" s="392">
        <f>IF(ISBLANK(Actuals!D65),0,Actuals!D65)</f>
        <v/>
      </c>
      <c r="D152" s="392">
        <f>IF(ISBLANK(Actuals!E65),0,Actuals!E65)</f>
        <v/>
      </c>
      <c r="E152" s="392">
        <f>IF(ISBLANK(Actuals!F65),IF(Projects!$G$3="Yes",23906.25,0),Actuals!F65)</f>
        <v/>
      </c>
      <c r="F152" s="392">
        <f>IF(ISBLANK(Actuals!G65),IF(Projects!$G$3="Yes",23906.25,0),Actuals!G65)</f>
        <v/>
      </c>
      <c r="G152" s="392">
        <f>IF(ISBLANK(Actuals!H65),IF(Projects!$G$3="Yes",23906.25,0),Actuals!H65)</f>
        <v/>
      </c>
      <c r="H152" s="392">
        <f>IF(ISBLANK(Actuals!I65),IF(Projects!$G$3="Yes",23906.25,0),Actuals!I65)</f>
        <v/>
      </c>
      <c r="I152" s="392">
        <f>IF(ISBLANK(Actuals!J65),IF(Projects!$G$3="Yes",23906.25,0),Actuals!J65)</f>
        <v/>
      </c>
      <c r="J152" s="392">
        <f>IF(ISBLANK(Actuals!K65),IF(Projects!$G$3="Yes",23906.25,0),Actuals!K65)</f>
        <v/>
      </c>
      <c r="K152" s="392">
        <f>IF(ISBLANK(Actuals!L65),IF(Projects!$G$3="Yes",23906.25,0),Actuals!L65)</f>
        <v/>
      </c>
      <c r="L152" s="392">
        <f>IF(ISBLANK(Actuals!M65),IF(Projects!$G$3="Yes",23906.25,0),Actuals!M65)</f>
        <v/>
      </c>
      <c r="M152" s="392">
        <f>IF(ISBLANK(Actuals!N65),IF(Projects!$G$3="Yes",23906.25,0),Actuals!N65)</f>
        <v/>
      </c>
      <c r="N152" s="392">
        <f>IF(ISBLANK(Actuals!O65),IF(Projects!$G$3="Yes",23906.25,0),Actuals!O65)</f>
        <v/>
      </c>
      <c r="O152" s="392">
        <f>IF(ISBLANK(Actuals!P65),IF(Projects!$G$3="Yes",23906.25,0),Actuals!P65)</f>
        <v/>
      </c>
      <c r="P152" s="392">
        <f>IF(ISBLANK(Actuals!Q65),IF(Projects!$G$3="Yes",23906.25,0),Actuals!Q65)</f>
        <v/>
      </c>
      <c r="Q152" s="392">
        <f>IF(ISBLANK(Actuals!R65),IF(Projects!$G$3="Yes",23906.25,0),Actuals!R65)</f>
        <v/>
      </c>
      <c r="R152" s="392">
        <f>IF(ISBLANK(Actuals!S65),IF(Projects!$G$3="Yes",23906.25,0),Actuals!S65)</f>
        <v/>
      </c>
      <c r="S152" s="392">
        <f>IF(ISBLANK(Actuals!T65),IF(Projects!$G$3="Yes",23906.25,0),Actuals!T65)</f>
        <v/>
      </c>
      <c r="T152" s="392">
        <f>IF(ISBLANK(Actuals!U65),0,Actuals!U65)</f>
        <v/>
      </c>
      <c r="U152" s="392">
        <f>IF(ISBLANK(Actuals!V65),0,Actuals!V65)</f>
        <v/>
      </c>
      <c r="V152" s="392">
        <f>IF(ISBLANK(Actuals!W65),0,Actuals!W65)</f>
        <v/>
      </c>
      <c r="W152" s="392">
        <f>IF(ISBLANK(Actuals!X65),0,Actuals!X65)</f>
        <v/>
      </c>
      <c r="X152" s="392">
        <f>IF(ISBLANK(Actuals!Y65),0,Actuals!Y65)</f>
        <v/>
      </c>
      <c r="Y152" s="392">
        <f>IF(ISBLANK(Actuals!Z65),0,Actuals!Z65)</f>
        <v/>
      </c>
      <c r="Z152" s="392">
        <f>IF(ISBLANK(Actuals!AA65),0,Actuals!AA65)</f>
        <v/>
      </c>
      <c r="AA152" s="392">
        <f>IF(ISBLANK(Actuals!AB65),0,Actuals!AB65)</f>
        <v/>
      </c>
      <c r="AB152" s="392">
        <f>IF(ISBLANK(Actuals!AC65),0,Actuals!AC65)</f>
        <v/>
      </c>
      <c r="AC152" s="392">
        <f>IF(ISBLANK(Actuals!AD65),0,Actuals!AD65)</f>
        <v/>
      </c>
      <c r="AD152" s="392">
        <f>IF(ISBLANK(Actuals!AE65),0,Actuals!AE65)</f>
        <v/>
      </c>
      <c r="AE152" s="392">
        <f>IF(ISBLANK(Actuals!AF65),0,Actuals!AF65)</f>
        <v/>
      </c>
      <c r="AF152" s="392">
        <f>IF(ISBLANK(Actuals!AG65),0,Actuals!AG65)</f>
        <v/>
      </c>
      <c r="AG152" s="392">
        <f>IF(ISBLANK(Actuals!AH65),0,Actuals!AH65)</f>
        <v/>
      </c>
      <c r="AH152" s="392">
        <f>IF(ISBLANK(Actuals!AI65),0,Actuals!AI65)</f>
        <v/>
      </c>
      <c r="AI152" s="392">
        <f>IF(ISBLANK(Actuals!AJ65),0,Actuals!AJ65)</f>
        <v/>
      </c>
      <c r="AJ152" s="392">
        <f>IF(ISBLANK(Actuals!AK65),0,Actuals!AK65)</f>
        <v/>
      </c>
      <c r="AK152" s="392">
        <f>IF(ISBLANK(Actuals!AL65),0,Actuals!AL65)</f>
        <v/>
      </c>
      <c r="AL152" s="392">
        <f>IF(ISBLANK(Actuals!AM65),0,Actuals!AM65)</f>
        <v/>
      </c>
      <c r="AM152" s="392">
        <f>IF(ISBLANK(Actuals!AN65),0,Actuals!AN65)</f>
        <v/>
      </c>
      <c r="AN152" s="392">
        <f>IF(ISBLANK(Actuals!AO65),0,Actuals!AO65)</f>
        <v/>
      </c>
      <c r="AO152" s="392">
        <f>IF(ISBLANK(Actuals!AP65),0,Actuals!AP65)</f>
        <v/>
      </c>
      <c r="AP152" s="392">
        <f>IF(ISBLANK(Actuals!AQ65),0,Actuals!AQ65)</f>
        <v/>
      </c>
      <c r="AQ152" s="392">
        <f>IF(ISBLANK(Actuals!AR65),0,Actuals!AR65)</f>
        <v/>
      </c>
      <c r="AR152" s="392">
        <f>IF(ISBLANK(Actuals!AS65),0,Actuals!AS65)</f>
        <v/>
      </c>
      <c r="AS152" s="392">
        <f>IF(ISBLANK(Actuals!AT65),0,Actuals!AT65)</f>
        <v/>
      </c>
      <c r="AT152" s="392">
        <f>IF(ISBLANK(Actuals!AU65),0,Actuals!AU65)</f>
        <v/>
      </c>
      <c r="AU152" s="392">
        <f>IF(ISBLANK(Actuals!AV65),0,Actuals!AV65)</f>
        <v/>
      </c>
      <c r="AV152" s="392">
        <f>IF(ISBLANK(Actuals!AW65),0,Actuals!AW65)</f>
        <v/>
      </c>
      <c r="AW152" s="392">
        <f>IF(ISBLANK(Actuals!AX65),0,Actuals!AX65)</f>
        <v/>
      </c>
      <c r="AX152" s="392">
        <f>IF(ISBLANK(Actuals!AY65),0,Actuals!AY65)</f>
        <v/>
      </c>
      <c r="AY152" s="392">
        <f>IF(ISBLANK(Actuals!AZ65),0,Actuals!AZ65)</f>
        <v/>
      </c>
      <c r="AZ152" s="392">
        <f>IF(ISBLANK(Actuals!BA65),0,Actuals!BA65)</f>
        <v/>
      </c>
      <c r="BA152" s="392">
        <f>IF(ISBLANK(Actuals!BB65),0,Actuals!BB65)</f>
        <v/>
      </c>
      <c r="BB152" s="392">
        <f>IF(ISBLANK(Actuals!BC65),0,Actuals!BC65)</f>
        <v/>
      </c>
      <c r="BC152" s="392">
        <f>IF(ISBLANK(Actuals!BD65),0,Actuals!BD65)</f>
        <v/>
      </c>
      <c r="BD152" s="392">
        <f>IF(ISBLANK(Actuals!BE65),0,Actuals!BE65)</f>
        <v/>
      </c>
      <c r="BE152" s="392">
        <f>IF(ISBLANK(Actuals!BF65),0,Actuals!BF65)</f>
        <v/>
      </c>
      <c r="BF152" s="392">
        <f>IF(ISBLANK(Actuals!BG65),0,Actuals!BG65)</f>
        <v/>
      </c>
      <c r="BG152" s="392">
        <f>IF(ISBLANK(Actuals!BH65),0,Actuals!BH65)</f>
        <v/>
      </c>
      <c r="BH152" s="392">
        <f>IF(ISBLANK(Actuals!BI65),0,Actuals!BI65)</f>
        <v/>
      </c>
      <c r="BI152" s="392">
        <f>IF(ISBLANK(Actuals!BJ65),0,Actuals!BJ65)</f>
        <v/>
      </c>
      <c r="BJ152" s="392">
        <f>IF(ISBLANK(Actuals!BK65),0,Actuals!BK65)</f>
        <v/>
      </c>
      <c r="BK152" s="392">
        <f>IF(ISBLANK(Actuals!BL65),0,Actuals!BL65)</f>
        <v/>
      </c>
      <c r="BL152" s="392">
        <f>IF(ISBLANK(Actuals!BM65),0,Actuals!BM65)</f>
        <v/>
      </c>
      <c r="BM152" s="392">
        <f>IF(ISBLANK(Actuals!BN65),0,Actuals!BN65)</f>
        <v/>
      </c>
      <c r="BN152" s="392">
        <f>IF(ISBLANK(Actuals!BO65),0,Actuals!BO65)</f>
        <v/>
      </c>
      <c r="BO152" s="392">
        <f>IF(ISBLANK(Actuals!BP65),0,Actuals!BP65)</f>
        <v/>
      </c>
      <c r="BP152" s="392">
        <f>IF(ISBLANK(Actuals!BQ65),0,Actuals!BQ65)</f>
        <v/>
      </c>
      <c r="BQ152" s="392">
        <f>IF(ISBLANK(Actuals!BR65),0,Actuals!BR65)</f>
        <v/>
      </c>
      <c r="BR152" s="392">
        <f>IF(ISBLANK(Actuals!BS65),0,Actuals!BS65)</f>
        <v/>
      </c>
      <c r="BS152" s="392">
        <f>IF(ISBLANK(Actuals!BT65),0,Actuals!BT65)</f>
        <v/>
      </c>
      <c r="BT152" s="392">
        <f>IF(ISBLANK(Actuals!BU65),0,Actuals!BU65)</f>
        <v/>
      </c>
      <c r="BU152" s="392">
        <f>IF(ISBLANK(Actuals!BV65),0,Actuals!BV65)</f>
        <v/>
      </c>
      <c r="BV152" s="392">
        <f>IF(ISBLANK(Actuals!BW65),0,Actuals!BW65)</f>
        <v/>
      </c>
      <c r="BW152" s="392">
        <f>IF(ISBLANK(Actuals!BX65),0,Actuals!BX65)</f>
        <v/>
      </c>
      <c r="BX152" s="392">
        <f>IF(ISBLANK(Actuals!BY65),0,Actuals!BY65)</f>
        <v/>
      </c>
      <c r="BY152" s="392">
        <f>IF(ISBLANK(Actuals!BZ65),0,Actuals!BZ65)</f>
        <v/>
      </c>
      <c r="BZ152" s="392">
        <f>IF(ISBLANK(Actuals!CA65),0,Actuals!CA65)</f>
        <v/>
      </c>
      <c r="CA152" s="392">
        <f>IF(ISBLANK(Actuals!CB65),0,Actuals!CB65)</f>
        <v/>
      </c>
      <c r="CB152" s="392">
        <f>IF(ISBLANK(Actuals!CC65),0,Actuals!CC65)</f>
        <v/>
      </c>
      <c r="CC152" s="392">
        <f>IF(ISBLANK(Actuals!CD65),0,Actuals!CD65)</f>
        <v/>
      </c>
      <c r="CD152" s="392">
        <f>IF(ISBLANK(Actuals!CE65),0,Actuals!CE65)</f>
        <v/>
      </c>
      <c r="CE152" s="392">
        <f>IF(ISBLANK(Actuals!CF65),0,Actuals!CF65)</f>
        <v/>
      </c>
      <c r="CF152" s="392">
        <f>IF(ISBLANK(Actuals!CG65),0,Actuals!CG65)</f>
        <v/>
      </c>
      <c r="CG152" s="392">
        <f>IF(ISBLANK(Actuals!CH65),0,Actuals!CH65)</f>
        <v/>
      </c>
      <c r="CH152" s="392">
        <f>IF(ISBLANK(Actuals!CI65),0,Actuals!CI65)</f>
        <v/>
      </c>
      <c r="CI152" s="392">
        <f>IF(ISBLANK(Actuals!CJ65),0,Actuals!CJ65)</f>
        <v/>
      </c>
      <c r="CJ152" s="392">
        <f>IF(ISBLANK(Actuals!CK65),0,Actuals!CK65)</f>
        <v/>
      </c>
      <c r="CK152" s="392">
        <f>IF(ISBLANK(Actuals!CL65),0,Actuals!CL65)</f>
        <v/>
      </c>
      <c r="CL152" s="392">
        <f>IF(ISBLANK(Actuals!CM65),0,Actuals!CM65)</f>
        <v/>
      </c>
      <c r="CM152" s="392">
        <f>IF(ISBLANK(Actuals!CN65),0,Actuals!CN65)</f>
        <v/>
      </c>
      <c r="CN152" s="392">
        <f>IF(ISBLANK(Actuals!CO65),0,Actuals!CO65)</f>
        <v/>
      </c>
      <c r="CO152" s="392">
        <f>IF(ISBLANK(Actuals!CP65),0,Actuals!CP65)</f>
        <v/>
      </c>
      <c r="CP152" s="392">
        <f>IF(ISBLANK(Actuals!CQ65),0,Actuals!CQ65)</f>
        <v/>
      </c>
      <c r="CQ152" s="392">
        <f>IF(ISBLANK(Actuals!CR65),0,Actuals!CR65)</f>
        <v/>
      </c>
      <c r="CR152" s="392">
        <f>IF(ISBLANK(Actuals!CS65),0,Actuals!CS65)</f>
        <v/>
      </c>
      <c r="CS152" s="392">
        <f>IF(ISBLANK(Actuals!CT65),0,Actuals!CT65)</f>
        <v/>
      </c>
      <c r="CT152" s="392">
        <f>IF(ISBLANK(Actuals!CU65),0,Actuals!CU65)</f>
        <v/>
      </c>
      <c r="CU152" s="392">
        <f>IF(ISBLANK(Actuals!CV65),0,Actuals!CV65)</f>
        <v/>
      </c>
      <c r="CV152" s="392">
        <f>IF(ISBLANK(Actuals!CW65),0,Actuals!CW65)</f>
        <v/>
      </c>
      <c r="CW152" s="392">
        <f>IF(ISBLANK(Actuals!CX65),0,Actuals!CX65)</f>
        <v/>
      </c>
      <c r="CX152" s="392">
        <f>IF(ISBLANK(Actuals!CY65),0,Actuals!CY65)</f>
        <v/>
      </c>
      <c r="CY152" s="392">
        <f>IF(ISBLANK(Actuals!CZ65),0,Actuals!CZ65)</f>
        <v/>
      </c>
      <c r="CZ152" s="392">
        <f>IF(ISBLANK(Actuals!DA65),0,Actuals!DA65)</f>
        <v/>
      </c>
      <c r="DA152" s="392">
        <f>IF(ISBLANK(Actuals!DB65),0,Actuals!DB65)</f>
        <v/>
      </c>
      <c r="DB152" s="392">
        <f>IF(ISBLANK(Actuals!DC65),0,Actuals!DC65)</f>
        <v/>
      </c>
      <c r="DC152" s="392">
        <f>IF(ISBLANK(Actuals!DD65),0,Actuals!DD65)</f>
        <v/>
      </c>
      <c r="DD152" s="392">
        <f>IF(ISBLANK(Actuals!DE65),0,Actuals!DE65)</f>
        <v/>
      </c>
      <c r="DE152" s="392">
        <f>IF(ISBLANK(Actuals!DF65),0,Actuals!DF65)</f>
        <v/>
      </c>
    </row>
    <row r="153" ht="15" customFormat="1" customHeight="1" s="380">
      <c r="A153" s="397" t="inlineStr">
        <is>
          <t>Ramsgate Dev Fee - 20% Occ</t>
        </is>
      </c>
      <c r="B153" s="392">
        <f>IF(ISBLANK(Actuals!C66),0,Actuals!C66)</f>
        <v/>
      </c>
      <c r="C153" s="392">
        <f>IF(ISBLANK(Actuals!D66),0,Actuals!D66)</f>
        <v/>
      </c>
      <c r="D153" s="392">
        <f>IF(ISBLANK(Actuals!E66),0,Actuals!E66)</f>
        <v/>
      </c>
      <c r="E153" s="392">
        <f>IF(ISBLANK(Actuals!F66),0,Actuals!F66)</f>
        <v/>
      </c>
      <c r="F153" s="392">
        <f>IF(ISBLANK(Actuals!G66),0,Actuals!G66)</f>
        <v/>
      </c>
      <c r="G153" s="392">
        <f>IF(ISBLANK(Actuals!H66),0,Actuals!H66)</f>
        <v/>
      </c>
      <c r="H153" s="392">
        <f>IF(ISBLANK(Actuals!I66),0,Actuals!I66)</f>
        <v/>
      </c>
      <c r="I153" s="392">
        <f>IF(ISBLANK(Actuals!J66),0,Actuals!J66)</f>
        <v/>
      </c>
      <c r="J153" s="392">
        <f>IF(ISBLANK(Actuals!K66),0,Actuals!K66)</f>
        <v/>
      </c>
      <c r="K153" s="392">
        <f>IF(ISBLANK(Actuals!L66),0,Actuals!L66)</f>
        <v/>
      </c>
      <c r="L153" s="392">
        <f>IF(ISBLANK(Actuals!M66),0,Actuals!M66)</f>
        <v/>
      </c>
      <c r="M153" s="392">
        <f>IF(ISBLANK(Actuals!N66),0,Actuals!N66)</f>
        <v/>
      </c>
      <c r="N153" s="392">
        <f>IF(ISBLANK(Actuals!O66),0,Actuals!O66)</f>
        <v/>
      </c>
      <c r="O153" s="392">
        <f>IF(ISBLANK(Actuals!P66),0,Actuals!P66)</f>
        <v/>
      </c>
      <c r="P153" s="392">
        <f>IF(ISBLANK(Actuals!Q66),0,Actuals!Q66)</f>
        <v/>
      </c>
      <c r="Q153" s="392">
        <f>IF(ISBLANK(Actuals!R66),0,Actuals!R66)</f>
        <v/>
      </c>
      <c r="R153" s="392">
        <f>IF(ISBLANK(Actuals!S66),0,Actuals!S66)</f>
        <v/>
      </c>
      <c r="S153" s="392">
        <f>IF(ISBLANK(Actuals!T66),0,Actuals!T66)</f>
        <v/>
      </c>
      <c r="T153" s="392">
        <f>IF(ISBLANK(Actuals!U66),0,Actuals!U66)</f>
        <v/>
      </c>
      <c r="U153" s="392">
        <f>IF(ISBLANK(Actuals!V66),0,Actuals!V66)</f>
        <v/>
      </c>
      <c r="V153" s="392">
        <f>IF(ISBLANK(Actuals!W66),0,Actuals!W66)</f>
        <v/>
      </c>
      <c r="W153" s="392">
        <f>IF(ISBLANK(Actuals!X66),0,Actuals!X66)</f>
        <v/>
      </c>
      <c r="X153" s="392">
        <f>IF(ISBLANK(Actuals!Y66),0,Actuals!Y66)</f>
        <v/>
      </c>
      <c r="Y153" s="392">
        <f>IF(ISBLANK(Actuals!Z66),IF(Projects!$G$3="Yes",57375,0),Actuals!Z66)</f>
        <v/>
      </c>
      <c r="Z153" s="392">
        <f>IF(ISBLANK(Actuals!AA66),0,Actuals!AA66)</f>
        <v/>
      </c>
      <c r="AA153" s="392">
        <f>IF(ISBLANK(Actuals!AB66),0,Actuals!AB66)</f>
        <v/>
      </c>
      <c r="AB153" s="392">
        <f>IF(ISBLANK(Actuals!AC66),0,Actuals!AC66)</f>
        <v/>
      </c>
      <c r="AC153" s="392">
        <f>IF(ISBLANK(Actuals!AD66),0,Actuals!AD66)</f>
        <v/>
      </c>
      <c r="AD153" s="392">
        <f>IF(ISBLANK(Actuals!AE66),0,Actuals!AE66)</f>
        <v/>
      </c>
      <c r="AE153" s="392">
        <f>IF(ISBLANK(Actuals!AF66),0,Actuals!AF66)</f>
        <v/>
      </c>
      <c r="AF153" s="392">
        <f>IF(ISBLANK(Actuals!AG66),0,Actuals!AG66)</f>
        <v/>
      </c>
      <c r="AG153" s="392">
        <f>IF(ISBLANK(Actuals!AH66),0,Actuals!AH66)</f>
        <v/>
      </c>
      <c r="AH153" s="392">
        <f>IF(ISBLANK(Actuals!AI66),0,Actuals!AI66)</f>
        <v/>
      </c>
      <c r="AI153" s="392">
        <f>IF(ISBLANK(Actuals!AJ66),0,Actuals!AJ66)</f>
        <v/>
      </c>
      <c r="AJ153" s="392">
        <f>IF(ISBLANK(Actuals!AK66),0,Actuals!AK66)</f>
        <v/>
      </c>
      <c r="AK153" s="392">
        <f>IF(ISBLANK(Actuals!AL66),0,Actuals!AL66)</f>
        <v/>
      </c>
      <c r="AL153" s="392">
        <f>IF(ISBLANK(Actuals!AM66),0,Actuals!AM66)</f>
        <v/>
      </c>
      <c r="AM153" s="392">
        <f>IF(ISBLANK(Actuals!AN66),0,Actuals!AN66)</f>
        <v/>
      </c>
      <c r="AN153" s="392">
        <f>IF(ISBLANK(Actuals!AO66),0,Actuals!AO66)</f>
        <v/>
      </c>
      <c r="AO153" s="392">
        <f>IF(ISBLANK(Actuals!AP66),0,Actuals!AP66)</f>
        <v/>
      </c>
      <c r="AP153" s="392">
        <f>IF(ISBLANK(Actuals!AQ66),0,Actuals!AQ66)</f>
        <v/>
      </c>
      <c r="AQ153" s="392">
        <f>IF(ISBLANK(Actuals!AR66),0,Actuals!AR66)</f>
        <v/>
      </c>
      <c r="AR153" s="392">
        <f>IF(ISBLANK(Actuals!AS66),0,Actuals!AS66)</f>
        <v/>
      </c>
      <c r="AS153" s="392">
        <f>IF(ISBLANK(Actuals!AT66),0,Actuals!AT66)</f>
        <v/>
      </c>
      <c r="AT153" s="392">
        <f>IF(ISBLANK(Actuals!AU66),0,Actuals!AU66)</f>
        <v/>
      </c>
      <c r="AU153" s="392">
        <f>IF(ISBLANK(Actuals!AV66),0,Actuals!AV66)</f>
        <v/>
      </c>
      <c r="AV153" s="392">
        <f>IF(ISBLANK(Actuals!AW66),0,Actuals!AW66)</f>
        <v/>
      </c>
      <c r="AW153" s="392">
        <f>IF(ISBLANK(Actuals!AX66),0,Actuals!AX66)</f>
        <v/>
      </c>
      <c r="AX153" s="392">
        <f>IF(ISBLANK(Actuals!AY66),0,Actuals!AY66)</f>
        <v/>
      </c>
      <c r="AY153" s="392">
        <f>IF(ISBLANK(Actuals!AZ66),0,Actuals!AZ66)</f>
        <v/>
      </c>
      <c r="AZ153" s="392">
        <f>IF(ISBLANK(Actuals!BA66),0,Actuals!BA66)</f>
        <v/>
      </c>
      <c r="BA153" s="392">
        <f>IF(ISBLANK(Actuals!BB66),0,Actuals!BB66)</f>
        <v/>
      </c>
      <c r="BB153" s="392">
        <f>IF(ISBLANK(Actuals!BC66),0,Actuals!BC66)</f>
        <v/>
      </c>
      <c r="BC153" s="392">
        <f>IF(ISBLANK(Actuals!BD66),0,Actuals!BD66)</f>
        <v/>
      </c>
      <c r="BD153" s="392">
        <f>IF(ISBLANK(Actuals!BE66),0,Actuals!BE66)</f>
        <v/>
      </c>
      <c r="BE153" s="392">
        <f>IF(ISBLANK(Actuals!BF66),0,Actuals!BF66)</f>
        <v/>
      </c>
      <c r="BF153" s="392">
        <f>IF(ISBLANK(Actuals!BG66),0,Actuals!BG66)</f>
        <v/>
      </c>
      <c r="BG153" s="392">
        <f>IF(ISBLANK(Actuals!BH66),0,Actuals!BH66)</f>
        <v/>
      </c>
      <c r="BH153" s="392">
        <f>IF(ISBLANK(Actuals!BI66),0,Actuals!BI66)</f>
        <v/>
      </c>
      <c r="BI153" s="392">
        <f>IF(ISBLANK(Actuals!BJ66),0,Actuals!BJ66)</f>
        <v/>
      </c>
      <c r="BJ153" s="392">
        <f>IF(ISBLANK(Actuals!BK66),0,Actuals!BK66)</f>
        <v/>
      </c>
      <c r="BK153" s="392">
        <f>IF(ISBLANK(Actuals!BL66),0,Actuals!BL66)</f>
        <v/>
      </c>
      <c r="BL153" s="392">
        <f>IF(ISBLANK(Actuals!BM66),0,Actuals!BM66)</f>
        <v/>
      </c>
      <c r="BM153" s="392">
        <f>IF(ISBLANK(Actuals!BN66),0,Actuals!BN66)</f>
        <v/>
      </c>
      <c r="BN153" s="392">
        <f>IF(ISBLANK(Actuals!BO66),0,Actuals!BO66)</f>
        <v/>
      </c>
      <c r="BO153" s="392">
        <f>IF(ISBLANK(Actuals!BP66),0,Actuals!BP66)</f>
        <v/>
      </c>
      <c r="BP153" s="392">
        <f>IF(ISBLANK(Actuals!BQ66),0,Actuals!BQ66)</f>
        <v/>
      </c>
      <c r="BQ153" s="392">
        <f>IF(ISBLANK(Actuals!BR66),0,Actuals!BR66)</f>
        <v/>
      </c>
      <c r="BR153" s="392">
        <f>IF(ISBLANK(Actuals!BS66),0,Actuals!BS66)</f>
        <v/>
      </c>
      <c r="BS153" s="392">
        <f>IF(ISBLANK(Actuals!BT66),0,Actuals!BT66)</f>
        <v/>
      </c>
      <c r="BT153" s="392">
        <f>IF(ISBLANK(Actuals!BU66),0,Actuals!BU66)</f>
        <v/>
      </c>
      <c r="BU153" s="392">
        <f>IF(ISBLANK(Actuals!BV66),0,Actuals!BV66)</f>
        <v/>
      </c>
      <c r="BV153" s="392">
        <f>IF(ISBLANK(Actuals!BW66),0,Actuals!BW66)</f>
        <v/>
      </c>
      <c r="BW153" s="392">
        <f>IF(ISBLANK(Actuals!BX66),0,Actuals!BX66)</f>
        <v/>
      </c>
      <c r="BX153" s="392">
        <f>IF(ISBLANK(Actuals!BY66),0,Actuals!BY66)</f>
        <v/>
      </c>
      <c r="BY153" s="392">
        <f>IF(ISBLANK(Actuals!BZ66),0,Actuals!BZ66)</f>
        <v/>
      </c>
      <c r="BZ153" s="392">
        <f>IF(ISBLANK(Actuals!CA66),0,Actuals!CA66)</f>
        <v/>
      </c>
      <c r="CA153" s="392">
        <f>IF(ISBLANK(Actuals!CB66),0,Actuals!CB66)</f>
        <v/>
      </c>
      <c r="CB153" s="392">
        <f>IF(ISBLANK(Actuals!CC66),0,Actuals!CC66)</f>
        <v/>
      </c>
      <c r="CC153" s="392">
        <f>IF(ISBLANK(Actuals!CD66),0,Actuals!CD66)</f>
        <v/>
      </c>
      <c r="CD153" s="392">
        <f>IF(ISBLANK(Actuals!CE66),0,Actuals!CE66)</f>
        <v/>
      </c>
      <c r="CE153" s="392">
        <f>IF(ISBLANK(Actuals!CF66),0,Actuals!CF66)</f>
        <v/>
      </c>
      <c r="CF153" s="392">
        <f>IF(ISBLANK(Actuals!CG66),0,Actuals!CG66)</f>
        <v/>
      </c>
      <c r="CG153" s="392">
        <f>IF(ISBLANK(Actuals!CH66),0,Actuals!CH66)</f>
        <v/>
      </c>
      <c r="CH153" s="392">
        <f>IF(ISBLANK(Actuals!CI66),0,Actuals!CI66)</f>
        <v/>
      </c>
      <c r="CI153" s="392">
        <f>IF(ISBLANK(Actuals!CJ66),0,Actuals!CJ66)</f>
        <v/>
      </c>
      <c r="CJ153" s="392">
        <f>IF(ISBLANK(Actuals!CK66),0,Actuals!CK66)</f>
        <v/>
      </c>
      <c r="CK153" s="392">
        <f>IF(ISBLANK(Actuals!CL66),0,Actuals!CL66)</f>
        <v/>
      </c>
      <c r="CL153" s="392">
        <f>IF(ISBLANK(Actuals!CM66),0,Actuals!CM66)</f>
        <v/>
      </c>
      <c r="CM153" s="392">
        <f>IF(ISBLANK(Actuals!CN66),0,Actuals!CN66)</f>
        <v/>
      </c>
      <c r="CN153" s="392">
        <f>IF(ISBLANK(Actuals!CO66),0,Actuals!CO66)</f>
        <v/>
      </c>
      <c r="CO153" s="392">
        <f>IF(ISBLANK(Actuals!CP66),0,Actuals!CP66)</f>
        <v/>
      </c>
      <c r="CP153" s="392">
        <f>IF(ISBLANK(Actuals!CQ66),0,Actuals!CQ66)</f>
        <v/>
      </c>
      <c r="CQ153" s="392">
        <f>IF(ISBLANK(Actuals!CR66),0,Actuals!CR66)</f>
        <v/>
      </c>
      <c r="CR153" s="392">
        <f>IF(ISBLANK(Actuals!CS66),0,Actuals!CS66)</f>
        <v/>
      </c>
      <c r="CS153" s="392">
        <f>IF(ISBLANK(Actuals!CT66),0,Actuals!CT66)</f>
        <v/>
      </c>
      <c r="CT153" s="392">
        <f>IF(ISBLANK(Actuals!CU66),0,Actuals!CU66)</f>
        <v/>
      </c>
      <c r="CU153" s="392">
        <f>IF(ISBLANK(Actuals!CV66),0,Actuals!CV66)</f>
        <v/>
      </c>
      <c r="CV153" s="392">
        <f>IF(ISBLANK(Actuals!CW66),0,Actuals!CW66)</f>
        <v/>
      </c>
      <c r="CW153" s="392">
        <f>IF(ISBLANK(Actuals!CX66),0,Actuals!CX66)</f>
        <v/>
      </c>
      <c r="CX153" s="392">
        <f>IF(ISBLANK(Actuals!CY66),0,Actuals!CY66)</f>
        <v/>
      </c>
      <c r="CY153" s="392">
        <f>IF(ISBLANK(Actuals!CZ66),0,Actuals!CZ66)</f>
        <v/>
      </c>
      <c r="CZ153" s="392">
        <f>IF(ISBLANK(Actuals!DA66),0,Actuals!DA66)</f>
        <v/>
      </c>
      <c r="DA153" s="392">
        <f>IF(ISBLANK(Actuals!DB66),0,Actuals!DB66)</f>
        <v/>
      </c>
      <c r="DB153" s="392">
        <f>IF(ISBLANK(Actuals!DC66),0,Actuals!DC66)</f>
        <v/>
      </c>
      <c r="DC153" s="392">
        <f>IF(ISBLANK(Actuals!DD66),0,Actuals!DD66)</f>
        <v/>
      </c>
      <c r="DD153" s="392">
        <f>IF(ISBLANK(Actuals!DE66),0,Actuals!DE66)</f>
        <v/>
      </c>
      <c r="DE153" s="392">
        <f>IF(ISBLANK(Actuals!DF66),0,Actuals!DF66)</f>
        <v/>
      </c>
    </row>
    <row r="154" ht="15" customFormat="1" customHeight="1" s="380">
      <c r="A154" s="397" t="inlineStr">
        <is>
          <t>Ramsgate Dev Fee - 50% Occ</t>
        </is>
      </c>
      <c r="B154" s="392">
        <f>IF(ISBLANK(Actuals!C67),0,Actuals!C67)</f>
        <v/>
      </c>
      <c r="C154" s="392">
        <f>IF(ISBLANK(Actuals!D67),0,Actuals!D67)</f>
        <v/>
      </c>
      <c r="D154" s="392">
        <f>IF(ISBLANK(Actuals!E67),0,Actuals!E67)</f>
        <v/>
      </c>
      <c r="E154" s="392">
        <f>IF(ISBLANK(Actuals!F67),0,Actuals!F67)</f>
        <v/>
      </c>
      <c r="F154" s="392">
        <f>IF(ISBLANK(Actuals!G67),0,Actuals!G67)</f>
        <v/>
      </c>
      <c r="G154" s="392">
        <f>IF(ISBLANK(Actuals!H67),0,Actuals!H67)</f>
        <v/>
      </c>
      <c r="H154" s="392">
        <f>IF(ISBLANK(Actuals!I67),0,Actuals!I67)</f>
        <v/>
      </c>
      <c r="I154" s="392">
        <f>IF(ISBLANK(Actuals!J67),0,Actuals!J67)</f>
        <v/>
      </c>
      <c r="J154" s="392">
        <f>IF(ISBLANK(Actuals!K67),0,Actuals!K67)</f>
        <v/>
      </c>
      <c r="K154" s="392">
        <f>IF(ISBLANK(Actuals!L67),0,Actuals!L67)</f>
        <v/>
      </c>
      <c r="L154" s="392">
        <f>IF(ISBLANK(Actuals!M67),0,Actuals!M67)</f>
        <v/>
      </c>
      <c r="M154" s="392">
        <f>IF(ISBLANK(Actuals!N67),0,Actuals!N67)</f>
        <v/>
      </c>
      <c r="N154" s="392">
        <f>IF(ISBLANK(Actuals!O67),0,Actuals!O67)</f>
        <v/>
      </c>
      <c r="O154" s="392">
        <f>IF(ISBLANK(Actuals!P67),0,Actuals!P67)</f>
        <v/>
      </c>
      <c r="P154" s="392">
        <f>IF(ISBLANK(Actuals!Q67),0,Actuals!Q67)</f>
        <v/>
      </c>
      <c r="Q154" s="392">
        <f>IF(ISBLANK(Actuals!R67),0,Actuals!R67)</f>
        <v/>
      </c>
      <c r="R154" s="392">
        <f>IF(ISBLANK(Actuals!S67),0,Actuals!S67)</f>
        <v/>
      </c>
      <c r="S154" s="392">
        <f>IF(ISBLANK(Actuals!T67),0,Actuals!T67)</f>
        <v/>
      </c>
      <c r="T154" s="392">
        <f>IF(ISBLANK(Actuals!U67),0,Actuals!U67)</f>
        <v/>
      </c>
      <c r="U154" s="392">
        <f>IF(ISBLANK(Actuals!V67),0,Actuals!V67)</f>
        <v/>
      </c>
      <c r="V154" s="392">
        <f>IF(ISBLANK(Actuals!W67),0,Actuals!W67)</f>
        <v/>
      </c>
      <c r="W154" s="392">
        <f>IF(ISBLANK(Actuals!X67),0,Actuals!X67)</f>
        <v/>
      </c>
      <c r="X154" s="392">
        <f>IF(ISBLANK(Actuals!Y67),0,Actuals!Y67)</f>
        <v/>
      </c>
      <c r="Y154" s="392">
        <f>IF(ISBLANK(Actuals!Z67),0,Actuals!Z67)</f>
        <v/>
      </c>
      <c r="Z154" s="392">
        <f>IF(ISBLANK(Actuals!AA67),0,Actuals!AA67)</f>
        <v/>
      </c>
      <c r="AA154" s="392">
        <f>IF(ISBLANK(Actuals!AB67),0,Actuals!AB67)</f>
        <v/>
      </c>
      <c r="AB154" s="392">
        <f>IF(ISBLANK(Actuals!AC67),IF(Projects!$G$3="Yes",57375,0),Actuals!AC67)</f>
        <v/>
      </c>
      <c r="AC154" s="392">
        <f>IF(ISBLANK(Actuals!AD67),0,Actuals!AD67)</f>
        <v/>
      </c>
      <c r="AD154" s="392">
        <f>IF(ISBLANK(Actuals!AE67),0,Actuals!AE67)</f>
        <v/>
      </c>
      <c r="AE154" s="392">
        <f>IF(ISBLANK(Actuals!AF67),0,Actuals!AF67)</f>
        <v/>
      </c>
      <c r="AF154" s="392">
        <f>IF(ISBLANK(Actuals!AG67),0,Actuals!AG67)</f>
        <v/>
      </c>
      <c r="AG154" s="392">
        <f>IF(ISBLANK(Actuals!AH67),0,Actuals!AH67)</f>
        <v/>
      </c>
      <c r="AH154" s="392">
        <f>IF(ISBLANK(Actuals!AI67),0,Actuals!AI67)</f>
        <v/>
      </c>
      <c r="AI154" s="392">
        <f>IF(ISBLANK(Actuals!AJ67),0,Actuals!AJ67)</f>
        <v/>
      </c>
      <c r="AJ154" s="392">
        <f>IF(ISBLANK(Actuals!AK67),0,Actuals!AK67)</f>
        <v/>
      </c>
      <c r="AK154" s="392">
        <f>IF(ISBLANK(Actuals!AL67),0,Actuals!AL67)</f>
        <v/>
      </c>
      <c r="AL154" s="392">
        <f>IF(ISBLANK(Actuals!AM67),0,Actuals!AM67)</f>
        <v/>
      </c>
      <c r="AM154" s="392">
        <f>IF(ISBLANK(Actuals!AN67),0,Actuals!AN67)</f>
        <v/>
      </c>
      <c r="AN154" s="392">
        <f>IF(ISBLANK(Actuals!AO67),0,Actuals!AO67)</f>
        <v/>
      </c>
      <c r="AO154" s="392">
        <f>IF(ISBLANK(Actuals!AP67),0,Actuals!AP67)</f>
        <v/>
      </c>
      <c r="AP154" s="392">
        <f>IF(ISBLANK(Actuals!AQ67),0,Actuals!AQ67)</f>
        <v/>
      </c>
      <c r="AQ154" s="392">
        <f>IF(ISBLANK(Actuals!AR67),0,Actuals!AR67)</f>
        <v/>
      </c>
      <c r="AR154" s="392">
        <f>IF(ISBLANK(Actuals!AS67),0,Actuals!AS67)</f>
        <v/>
      </c>
      <c r="AS154" s="392">
        <f>IF(ISBLANK(Actuals!AT67),0,Actuals!AT67)</f>
        <v/>
      </c>
      <c r="AT154" s="392">
        <f>IF(ISBLANK(Actuals!AU67),0,Actuals!AU67)</f>
        <v/>
      </c>
      <c r="AU154" s="392">
        <f>IF(ISBLANK(Actuals!AV67),0,Actuals!AV67)</f>
        <v/>
      </c>
      <c r="AV154" s="392">
        <f>IF(ISBLANK(Actuals!AW67),0,Actuals!AW67)</f>
        <v/>
      </c>
      <c r="AW154" s="392">
        <f>IF(ISBLANK(Actuals!AX67),0,Actuals!AX67)</f>
        <v/>
      </c>
      <c r="AX154" s="392">
        <f>IF(ISBLANK(Actuals!AY67),0,Actuals!AY67)</f>
        <v/>
      </c>
      <c r="AY154" s="392">
        <f>IF(ISBLANK(Actuals!AZ67),0,Actuals!AZ67)</f>
        <v/>
      </c>
      <c r="AZ154" s="392">
        <f>IF(ISBLANK(Actuals!BA67),0,Actuals!BA67)</f>
        <v/>
      </c>
      <c r="BA154" s="392">
        <f>IF(ISBLANK(Actuals!BB67),0,Actuals!BB67)</f>
        <v/>
      </c>
      <c r="BB154" s="392">
        <f>IF(ISBLANK(Actuals!BC67),0,Actuals!BC67)</f>
        <v/>
      </c>
      <c r="BC154" s="392">
        <f>IF(ISBLANK(Actuals!BD67),0,Actuals!BD67)</f>
        <v/>
      </c>
      <c r="BD154" s="392">
        <f>IF(ISBLANK(Actuals!BE67),0,Actuals!BE67)</f>
        <v/>
      </c>
      <c r="BE154" s="392">
        <f>IF(ISBLANK(Actuals!BF67),0,Actuals!BF67)</f>
        <v/>
      </c>
      <c r="BF154" s="392">
        <f>IF(ISBLANK(Actuals!BG67),0,Actuals!BG67)</f>
        <v/>
      </c>
      <c r="BG154" s="392">
        <f>IF(ISBLANK(Actuals!BH67),0,Actuals!BH67)</f>
        <v/>
      </c>
      <c r="BH154" s="392">
        <f>IF(ISBLANK(Actuals!BI67),0,Actuals!BI67)</f>
        <v/>
      </c>
      <c r="BI154" s="392">
        <f>IF(ISBLANK(Actuals!BJ67),0,Actuals!BJ67)</f>
        <v/>
      </c>
      <c r="BJ154" s="392">
        <f>IF(ISBLANK(Actuals!BK67),0,Actuals!BK67)</f>
        <v/>
      </c>
      <c r="BK154" s="392">
        <f>IF(ISBLANK(Actuals!BL67),0,Actuals!BL67)</f>
        <v/>
      </c>
      <c r="BL154" s="392">
        <f>IF(ISBLANK(Actuals!BM67),0,Actuals!BM67)</f>
        <v/>
      </c>
      <c r="BM154" s="392">
        <f>IF(ISBLANK(Actuals!BN67),0,Actuals!BN67)</f>
        <v/>
      </c>
      <c r="BN154" s="392">
        <f>IF(ISBLANK(Actuals!BO67),0,Actuals!BO67)</f>
        <v/>
      </c>
      <c r="BO154" s="392">
        <f>IF(ISBLANK(Actuals!BP67),0,Actuals!BP67)</f>
        <v/>
      </c>
      <c r="BP154" s="392">
        <f>IF(ISBLANK(Actuals!BQ67),0,Actuals!BQ67)</f>
        <v/>
      </c>
      <c r="BQ154" s="392">
        <f>IF(ISBLANK(Actuals!BR67),0,Actuals!BR67)</f>
        <v/>
      </c>
      <c r="BR154" s="392">
        <f>IF(ISBLANK(Actuals!BS67),0,Actuals!BS67)</f>
        <v/>
      </c>
      <c r="BS154" s="392">
        <f>IF(ISBLANK(Actuals!BT67),0,Actuals!BT67)</f>
        <v/>
      </c>
      <c r="BT154" s="392">
        <f>IF(ISBLANK(Actuals!BU67),0,Actuals!BU67)</f>
        <v/>
      </c>
      <c r="BU154" s="392">
        <f>IF(ISBLANK(Actuals!BV67),0,Actuals!BV67)</f>
        <v/>
      </c>
      <c r="BV154" s="392">
        <f>IF(ISBLANK(Actuals!BW67),0,Actuals!BW67)</f>
        <v/>
      </c>
      <c r="BW154" s="392">
        <f>IF(ISBLANK(Actuals!BX67),0,Actuals!BX67)</f>
        <v/>
      </c>
      <c r="BX154" s="392">
        <f>IF(ISBLANK(Actuals!BY67),0,Actuals!BY67)</f>
        <v/>
      </c>
      <c r="BY154" s="392">
        <f>IF(ISBLANK(Actuals!BZ67),0,Actuals!BZ67)</f>
        <v/>
      </c>
      <c r="BZ154" s="392">
        <f>IF(ISBLANK(Actuals!CA67),0,Actuals!CA67)</f>
        <v/>
      </c>
      <c r="CA154" s="392">
        <f>IF(ISBLANK(Actuals!CB67),0,Actuals!CB67)</f>
        <v/>
      </c>
      <c r="CB154" s="392">
        <f>IF(ISBLANK(Actuals!CC67),0,Actuals!CC67)</f>
        <v/>
      </c>
      <c r="CC154" s="392">
        <f>IF(ISBLANK(Actuals!CD67),0,Actuals!CD67)</f>
        <v/>
      </c>
      <c r="CD154" s="392">
        <f>IF(ISBLANK(Actuals!CE67),0,Actuals!CE67)</f>
        <v/>
      </c>
      <c r="CE154" s="392">
        <f>IF(ISBLANK(Actuals!CF67),0,Actuals!CF67)</f>
        <v/>
      </c>
      <c r="CF154" s="392">
        <f>IF(ISBLANK(Actuals!CG67),0,Actuals!CG67)</f>
        <v/>
      </c>
      <c r="CG154" s="392">
        <f>IF(ISBLANK(Actuals!CH67),0,Actuals!CH67)</f>
        <v/>
      </c>
      <c r="CH154" s="392">
        <f>IF(ISBLANK(Actuals!CI67),0,Actuals!CI67)</f>
        <v/>
      </c>
      <c r="CI154" s="392">
        <f>IF(ISBLANK(Actuals!CJ67),0,Actuals!CJ67)</f>
        <v/>
      </c>
      <c r="CJ154" s="392">
        <f>IF(ISBLANK(Actuals!CK67),0,Actuals!CK67)</f>
        <v/>
      </c>
      <c r="CK154" s="392">
        <f>IF(ISBLANK(Actuals!CL67),0,Actuals!CL67)</f>
        <v/>
      </c>
      <c r="CL154" s="392">
        <f>IF(ISBLANK(Actuals!CM67),0,Actuals!CM67)</f>
        <v/>
      </c>
      <c r="CM154" s="392">
        <f>IF(ISBLANK(Actuals!CN67),0,Actuals!CN67)</f>
        <v/>
      </c>
      <c r="CN154" s="392">
        <f>IF(ISBLANK(Actuals!CO67),0,Actuals!CO67)</f>
        <v/>
      </c>
      <c r="CO154" s="392">
        <f>IF(ISBLANK(Actuals!CP67),0,Actuals!CP67)</f>
        <v/>
      </c>
      <c r="CP154" s="392">
        <f>IF(ISBLANK(Actuals!CQ67),0,Actuals!CQ67)</f>
        <v/>
      </c>
      <c r="CQ154" s="392">
        <f>IF(ISBLANK(Actuals!CR67),0,Actuals!CR67)</f>
        <v/>
      </c>
      <c r="CR154" s="392">
        <f>IF(ISBLANK(Actuals!CS67),0,Actuals!CS67)</f>
        <v/>
      </c>
      <c r="CS154" s="392">
        <f>IF(ISBLANK(Actuals!CT67),0,Actuals!CT67)</f>
        <v/>
      </c>
      <c r="CT154" s="392">
        <f>IF(ISBLANK(Actuals!CU67),0,Actuals!CU67)</f>
        <v/>
      </c>
      <c r="CU154" s="392">
        <f>IF(ISBLANK(Actuals!CV67),0,Actuals!CV67)</f>
        <v/>
      </c>
      <c r="CV154" s="392">
        <f>IF(ISBLANK(Actuals!CW67),0,Actuals!CW67)</f>
        <v/>
      </c>
      <c r="CW154" s="392">
        <f>IF(ISBLANK(Actuals!CX67),0,Actuals!CX67)</f>
        <v/>
      </c>
      <c r="CX154" s="392">
        <f>IF(ISBLANK(Actuals!CY67),0,Actuals!CY67)</f>
        <v/>
      </c>
      <c r="CY154" s="392">
        <f>IF(ISBLANK(Actuals!CZ67),0,Actuals!CZ67)</f>
        <v/>
      </c>
      <c r="CZ154" s="392">
        <f>IF(ISBLANK(Actuals!DA67),0,Actuals!DA67)</f>
        <v/>
      </c>
      <c r="DA154" s="392">
        <f>IF(ISBLANK(Actuals!DB67),0,Actuals!DB67)</f>
        <v/>
      </c>
      <c r="DB154" s="392">
        <f>IF(ISBLANK(Actuals!DC67),0,Actuals!DC67)</f>
        <v/>
      </c>
      <c r="DC154" s="392">
        <f>IF(ISBLANK(Actuals!DD67),0,Actuals!DD67)</f>
        <v/>
      </c>
      <c r="DD154" s="392">
        <f>IF(ISBLANK(Actuals!DE67),0,Actuals!DE67)</f>
        <v/>
      </c>
      <c r="DE154" s="392">
        <f>IF(ISBLANK(Actuals!DF67),0,Actuals!DF67)</f>
        <v/>
      </c>
    </row>
    <row r="155" ht="15" customFormat="1" customHeight="1" s="380">
      <c r="A155" s="397" t="inlineStr">
        <is>
          <t>Ramsgate Dev Fee - 90% Occ</t>
        </is>
      </c>
      <c r="B155" s="392">
        <f>IF(ISBLANK(Actuals!C68),0,Actuals!C68)</f>
        <v/>
      </c>
      <c r="C155" s="392">
        <f>IF(ISBLANK(Actuals!D68),0,Actuals!D68)</f>
        <v/>
      </c>
      <c r="D155" s="392">
        <f>IF(ISBLANK(Actuals!E68),0,Actuals!E68)</f>
        <v/>
      </c>
      <c r="E155" s="392">
        <f>IF(ISBLANK(Actuals!F68),0,Actuals!F68)</f>
        <v/>
      </c>
      <c r="F155" s="392">
        <f>IF(ISBLANK(Actuals!G68),0,Actuals!G68)</f>
        <v/>
      </c>
      <c r="G155" s="392">
        <f>IF(ISBLANK(Actuals!H68),0,Actuals!H68)</f>
        <v/>
      </c>
      <c r="H155" s="392">
        <f>IF(ISBLANK(Actuals!I68),0,Actuals!I68)</f>
        <v/>
      </c>
      <c r="I155" s="392">
        <f>IF(ISBLANK(Actuals!J68),0,Actuals!J68)</f>
        <v/>
      </c>
      <c r="J155" s="392">
        <f>IF(ISBLANK(Actuals!K68),0,Actuals!K68)</f>
        <v/>
      </c>
      <c r="K155" s="392">
        <f>IF(ISBLANK(Actuals!L68),0,Actuals!L68)</f>
        <v/>
      </c>
      <c r="L155" s="392">
        <f>IF(ISBLANK(Actuals!M68),0,Actuals!M68)</f>
        <v/>
      </c>
      <c r="M155" s="392">
        <f>IF(ISBLANK(Actuals!N68),0,Actuals!N68)</f>
        <v/>
      </c>
      <c r="N155" s="392">
        <f>IF(ISBLANK(Actuals!O68),0,Actuals!O68)</f>
        <v/>
      </c>
      <c r="O155" s="392">
        <f>IF(ISBLANK(Actuals!P68),0,Actuals!P68)</f>
        <v/>
      </c>
      <c r="P155" s="392">
        <f>IF(ISBLANK(Actuals!Q68),0,Actuals!Q68)</f>
        <v/>
      </c>
      <c r="Q155" s="392">
        <f>IF(ISBLANK(Actuals!R68),0,Actuals!R68)</f>
        <v/>
      </c>
      <c r="R155" s="392">
        <f>IF(ISBLANK(Actuals!S68),0,Actuals!S68)</f>
        <v/>
      </c>
      <c r="S155" s="392">
        <f>IF(ISBLANK(Actuals!T68),0,Actuals!T68)</f>
        <v/>
      </c>
      <c r="T155" s="392">
        <f>IF(ISBLANK(Actuals!U68),0,Actuals!U68)</f>
        <v/>
      </c>
      <c r="U155" s="392">
        <f>IF(ISBLANK(Actuals!V68),0,Actuals!V68)</f>
        <v/>
      </c>
      <c r="V155" s="392">
        <f>IF(ISBLANK(Actuals!W68),0,Actuals!W68)</f>
        <v/>
      </c>
      <c r="W155" s="392">
        <f>IF(ISBLANK(Actuals!X68),0,Actuals!X68)</f>
        <v/>
      </c>
      <c r="X155" s="392">
        <f>IF(ISBLANK(Actuals!Y68),0,Actuals!Y68)</f>
        <v/>
      </c>
      <c r="Y155" s="392">
        <f>IF(ISBLANK(Actuals!Z68),0,Actuals!Z68)</f>
        <v/>
      </c>
      <c r="Z155" s="392">
        <f>IF(ISBLANK(Actuals!AA68),0,Actuals!AA68)</f>
        <v/>
      </c>
      <c r="AA155" s="392">
        <f>IF(ISBLANK(Actuals!AB68),0,Actuals!AB68)</f>
        <v/>
      </c>
      <c r="AB155" s="392">
        <f>IF(ISBLANK(Actuals!AC68),0,Actuals!AC68)</f>
        <v/>
      </c>
      <c r="AC155" s="392">
        <f>IF(ISBLANK(Actuals!AD68),0,Actuals!AD68)</f>
        <v/>
      </c>
      <c r="AD155" s="392">
        <f>IF(ISBLANK(Actuals!AE68),0,Actuals!AE68)</f>
        <v/>
      </c>
      <c r="AE155" s="392">
        <f>IF(ISBLANK(Actuals!AF68),IF(Projects!$G$3="Yes",57375,0),Actuals!AF68)</f>
        <v/>
      </c>
      <c r="AF155" s="392">
        <f>IF(ISBLANK(Actuals!AG68),0,Actuals!AG68)</f>
        <v/>
      </c>
      <c r="AG155" s="392">
        <f>IF(ISBLANK(Actuals!AH68),0,Actuals!AH68)</f>
        <v/>
      </c>
      <c r="AH155" s="392">
        <f>IF(ISBLANK(Actuals!AI68),0,Actuals!AI68)</f>
        <v/>
      </c>
      <c r="AI155" s="392">
        <f>IF(ISBLANK(Actuals!AJ68),0,Actuals!AJ68)</f>
        <v/>
      </c>
      <c r="AJ155" s="392">
        <f>IF(ISBLANK(Actuals!AK68),0,Actuals!AK68)</f>
        <v/>
      </c>
      <c r="AK155" s="392">
        <f>IF(ISBLANK(Actuals!AL68),0,Actuals!AL68)</f>
        <v/>
      </c>
      <c r="AL155" s="392">
        <f>IF(ISBLANK(Actuals!AM68),0,Actuals!AM68)</f>
        <v/>
      </c>
      <c r="AM155" s="392">
        <f>IF(ISBLANK(Actuals!AN68),0,Actuals!AN68)</f>
        <v/>
      </c>
      <c r="AN155" s="392">
        <f>IF(ISBLANK(Actuals!AO68),0,Actuals!AO68)</f>
        <v/>
      </c>
      <c r="AO155" s="392">
        <f>IF(ISBLANK(Actuals!AP68),0,Actuals!AP68)</f>
        <v/>
      </c>
      <c r="AP155" s="392">
        <f>IF(ISBLANK(Actuals!AQ68),0,Actuals!AQ68)</f>
        <v/>
      </c>
      <c r="AQ155" s="392">
        <f>IF(ISBLANK(Actuals!AR68),0,Actuals!AR68)</f>
        <v/>
      </c>
      <c r="AR155" s="392">
        <f>IF(ISBLANK(Actuals!AS68),0,Actuals!AS68)</f>
        <v/>
      </c>
      <c r="AS155" s="392">
        <f>IF(ISBLANK(Actuals!AT68),0,Actuals!AT68)</f>
        <v/>
      </c>
      <c r="AT155" s="392">
        <f>IF(ISBLANK(Actuals!AU68),0,Actuals!AU68)</f>
        <v/>
      </c>
      <c r="AU155" s="392">
        <f>IF(ISBLANK(Actuals!AV68),0,Actuals!AV68)</f>
        <v/>
      </c>
      <c r="AV155" s="392">
        <f>IF(ISBLANK(Actuals!AW68),0,Actuals!AW68)</f>
        <v/>
      </c>
      <c r="AW155" s="392">
        <f>IF(ISBLANK(Actuals!AX68),0,Actuals!AX68)</f>
        <v/>
      </c>
      <c r="AX155" s="392">
        <f>IF(ISBLANK(Actuals!AY68),0,Actuals!AY68)</f>
        <v/>
      </c>
      <c r="AY155" s="392">
        <f>IF(ISBLANK(Actuals!AZ68),0,Actuals!AZ68)</f>
        <v/>
      </c>
      <c r="AZ155" s="392">
        <f>IF(ISBLANK(Actuals!BA68),0,Actuals!BA68)</f>
        <v/>
      </c>
      <c r="BA155" s="392">
        <f>IF(ISBLANK(Actuals!BB68),0,Actuals!BB68)</f>
        <v/>
      </c>
      <c r="BB155" s="392">
        <f>IF(ISBLANK(Actuals!BC68),0,Actuals!BC68)</f>
        <v/>
      </c>
      <c r="BC155" s="392">
        <f>IF(ISBLANK(Actuals!BD68),0,Actuals!BD68)</f>
        <v/>
      </c>
      <c r="BD155" s="392">
        <f>IF(ISBLANK(Actuals!BE68),0,Actuals!BE68)</f>
        <v/>
      </c>
      <c r="BE155" s="392">
        <f>IF(ISBLANK(Actuals!BF68),0,Actuals!BF68)</f>
        <v/>
      </c>
      <c r="BF155" s="392">
        <f>IF(ISBLANK(Actuals!BG68),0,Actuals!BG68)</f>
        <v/>
      </c>
      <c r="BG155" s="392">
        <f>IF(ISBLANK(Actuals!BH68),0,Actuals!BH68)</f>
        <v/>
      </c>
      <c r="BH155" s="392">
        <f>IF(ISBLANK(Actuals!BI68),0,Actuals!BI68)</f>
        <v/>
      </c>
      <c r="BI155" s="392">
        <f>IF(ISBLANK(Actuals!BJ68),0,Actuals!BJ68)</f>
        <v/>
      </c>
      <c r="BJ155" s="392">
        <f>IF(ISBLANK(Actuals!BK68),0,Actuals!BK68)</f>
        <v/>
      </c>
      <c r="BK155" s="392">
        <f>IF(ISBLANK(Actuals!BL68),0,Actuals!BL68)</f>
        <v/>
      </c>
      <c r="BL155" s="392">
        <f>IF(ISBLANK(Actuals!BM68),0,Actuals!BM68)</f>
        <v/>
      </c>
      <c r="BM155" s="392">
        <f>IF(ISBLANK(Actuals!BN68),0,Actuals!BN68)</f>
        <v/>
      </c>
      <c r="BN155" s="392">
        <f>IF(ISBLANK(Actuals!BO68),0,Actuals!BO68)</f>
        <v/>
      </c>
      <c r="BO155" s="392">
        <f>IF(ISBLANK(Actuals!BP68),0,Actuals!BP68)</f>
        <v/>
      </c>
      <c r="BP155" s="392">
        <f>IF(ISBLANK(Actuals!BQ68),0,Actuals!BQ68)</f>
        <v/>
      </c>
      <c r="BQ155" s="392">
        <f>IF(ISBLANK(Actuals!BR68),0,Actuals!BR68)</f>
        <v/>
      </c>
      <c r="BR155" s="392">
        <f>IF(ISBLANK(Actuals!BS68),0,Actuals!BS68)</f>
        <v/>
      </c>
      <c r="BS155" s="392">
        <f>IF(ISBLANK(Actuals!BT68),0,Actuals!BT68)</f>
        <v/>
      </c>
      <c r="BT155" s="392">
        <f>IF(ISBLANK(Actuals!BU68),0,Actuals!BU68)</f>
        <v/>
      </c>
      <c r="BU155" s="392">
        <f>IF(ISBLANK(Actuals!BV68),0,Actuals!BV68)</f>
        <v/>
      </c>
      <c r="BV155" s="392">
        <f>IF(ISBLANK(Actuals!BW68),0,Actuals!BW68)</f>
        <v/>
      </c>
      <c r="BW155" s="392">
        <f>IF(ISBLANK(Actuals!BX68),0,Actuals!BX68)</f>
        <v/>
      </c>
      <c r="BX155" s="392">
        <f>IF(ISBLANK(Actuals!BY68),0,Actuals!BY68)</f>
        <v/>
      </c>
      <c r="BY155" s="392">
        <f>IF(ISBLANK(Actuals!BZ68),0,Actuals!BZ68)</f>
        <v/>
      </c>
      <c r="BZ155" s="392">
        <f>IF(ISBLANK(Actuals!CA68),0,Actuals!CA68)</f>
        <v/>
      </c>
      <c r="CA155" s="392">
        <f>IF(ISBLANK(Actuals!CB68),0,Actuals!CB68)</f>
        <v/>
      </c>
      <c r="CB155" s="392">
        <f>IF(ISBLANK(Actuals!CC68),0,Actuals!CC68)</f>
        <v/>
      </c>
      <c r="CC155" s="392">
        <f>IF(ISBLANK(Actuals!CD68),0,Actuals!CD68)</f>
        <v/>
      </c>
      <c r="CD155" s="392">
        <f>IF(ISBLANK(Actuals!CE68),0,Actuals!CE68)</f>
        <v/>
      </c>
      <c r="CE155" s="392">
        <f>IF(ISBLANK(Actuals!CF68),0,Actuals!CF68)</f>
        <v/>
      </c>
      <c r="CF155" s="392">
        <f>IF(ISBLANK(Actuals!CG68),0,Actuals!CG68)</f>
        <v/>
      </c>
      <c r="CG155" s="392">
        <f>IF(ISBLANK(Actuals!CH68),0,Actuals!CH68)</f>
        <v/>
      </c>
      <c r="CH155" s="392">
        <f>IF(ISBLANK(Actuals!CI68),0,Actuals!CI68)</f>
        <v/>
      </c>
      <c r="CI155" s="392">
        <f>IF(ISBLANK(Actuals!CJ68),0,Actuals!CJ68)</f>
        <v/>
      </c>
      <c r="CJ155" s="392">
        <f>IF(ISBLANK(Actuals!CK68),0,Actuals!CK68)</f>
        <v/>
      </c>
      <c r="CK155" s="392">
        <f>IF(ISBLANK(Actuals!CL68),0,Actuals!CL68)</f>
        <v/>
      </c>
      <c r="CL155" s="392">
        <f>IF(ISBLANK(Actuals!CM68),0,Actuals!CM68)</f>
        <v/>
      </c>
      <c r="CM155" s="392">
        <f>IF(ISBLANK(Actuals!CN68),0,Actuals!CN68)</f>
        <v/>
      </c>
      <c r="CN155" s="392">
        <f>IF(ISBLANK(Actuals!CO68),0,Actuals!CO68)</f>
        <v/>
      </c>
      <c r="CO155" s="392">
        <f>IF(ISBLANK(Actuals!CP68),0,Actuals!CP68)</f>
        <v/>
      </c>
      <c r="CP155" s="392">
        <f>IF(ISBLANK(Actuals!CQ68),0,Actuals!CQ68)</f>
        <v/>
      </c>
      <c r="CQ155" s="392">
        <f>IF(ISBLANK(Actuals!CR68),0,Actuals!CR68)</f>
        <v/>
      </c>
      <c r="CR155" s="392">
        <f>IF(ISBLANK(Actuals!CS68),0,Actuals!CS68)</f>
        <v/>
      </c>
      <c r="CS155" s="392">
        <f>IF(ISBLANK(Actuals!CT68),0,Actuals!CT68)</f>
        <v/>
      </c>
      <c r="CT155" s="392">
        <f>IF(ISBLANK(Actuals!CU68),0,Actuals!CU68)</f>
        <v/>
      </c>
      <c r="CU155" s="392">
        <f>IF(ISBLANK(Actuals!CV68),0,Actuals!CV68)</f>
        <v/>
      </c>
      <c r="CV155" s="392">
        <f>IF(ISBLANK(Actuals!CW68),0,Actuals!CW68)</f>
        <v/>
      </c>
      <c r="CW155" s="392">
        <f>IF(ISBLANK(Actuals!CX68),0,Actuals!CX68)</f>
        <v/>
      </c>
      <c r="CX155" s="392">
        <f>IF(ISBLANK(Actuals!CY68),0,Actuals!CY68)</f>
        <v/>
      </c>
      <c r="CY155" s="392">
        <f>IF(ISBLANK(Actuals!CZ68),0,Actuals!CZ68)</f>
        <v/>
      </c>
      <c r="CZ155" s="392">
        <f>IF(ISBLANK(Actuals!DA68),0,Actuals!DA68)</f>
        <v/>
      </c>
      <c r="DA155" s="392">
        <f>IF(ISBLANK(Actuals!DB68),0,Actuals!DB68)</f>
        <v/>
      </c>
      <c r="DB155" s="392">
        <f>IF(ISBLANK(Actuals!DC68),0,Actuals!DC68)</f>
        <v/>
      </c>
      <c r="DC155" s="392">
        <f>IF(ISBLANK(Actuals!DD68),0,Actuals!DD68)</f>
        <v/>
      </c>
      <c r="DD155" s="392">
        <f>IF(ISBLANK(Actuals!DE68),0,Actuals!DE68)</f>
        <v/>
      </c>
      <c r="DE155" s="392">
        <f>IF(ISBLANK(Actuals!DF68),0,Actuals!DF68)</f>
        <v/>
      </c>
    </row>
    <row r="156" ht="15" customFormat="1" customHeight="1" s="380">
      <c r="A156" s="397" t="inlineStr">
        <is>
          <t>Crenshaw Development Fee</t>
        </is>
      </c>
      <c r="B156" s="392">
        <f>IF(ISBLANK(Actuals!C69),0,Actuals!C69)</f>
        <v/>
      </c>
      <c r="C156" s="392">
        <f>IF(ISBLANK(Actuals!D69),0,Actuals!D69)</f>
        <v/>
      </c>
      <c r="D156" s="392">
        <f>IF(ISBLANK(Actuals!E69),0,Actuals!E69)</f>
        <v/>
      </c>
      <c r="E156" s="392">
        <f>IF(ISBLANK(Actuals!F69),IF(Projects!$G$2="Yes",9375,0),Actuals!F69)</f>
        <v/>
      </c>
      <c r="F156" s="392">
        <f>IF(ISBLANK(Actuals!G69),IF(Projects!$G$2="Yes",9375,0),Actuals!G69)</f>
        <v/>
      </c>
      <c r="G156" s="392">
        <f>IF(ISBLANK(Actuals!H69),IF(Projects!$G$2="Yes",9375,0),Actuals!H69)</f>
        <v/>
      </c>
      <c r="H156" s="392">
        <f>IF(ISBLANK(Actuals!I69),IF(Projects!$G$2="Yes",9375,0),Actuals!I69)</f>
        <v/>
      </c>
      <c r="I156" s="392">
        <f>IF(ISBLANK(Actuals!J69),IF(Projects!$G$2="Yes",9375,0),Actuals!J69)</f>
        <v/>
      </c>
      <c r="J156" s="392">
        <f>IF(ISBLANK(Actuals!K69),IF(Projects!$G$2="Yes",9375,0),Actuals!K69)</f>
        <v/>
      </c>
      <c r="K156" s="392">
        <f>IF(ISBLANK(Actuals!L69),IF(Projects!$G$2="Yes",9375,0),Actuals!L69)</f>
        <v/>
      </c>
      <c r="L156" s="392">
        <f>IF(ISBLANK(Actuals!M69),0,Actuals!M69)</f>
        <v/>
      </c>
      <c r="M156" s="392">
        <f>IF(ISBLANK(Actuals!N69),0,Actuals!N69)</f>
        <v/>
      </c>
      <c r="N156" s="392">
        <f>IF(ISBLANK(Actuals!O69),0,Actuals!O69)</f>
        <v/>
      </c>
      <c r="O156" s="392">
        <f>IF(ISBLANK(Actuals!P69),0,Actuals!P69)</f>
        <v/>
      </c>
      <c r="P156" s="392">
        <f>IF(ISBLANK(Actuals!Q69),0,Actuals!Q69)</f>
        <v/>
      </c>
      <c r="Q156" s="392">
        <f>IF(ISBLANK(Actuals!R69),0,Actuals!R69)</f>
        <v/>
      </c>
      <c r="R156" s="392">
        <f>IF(ISBLANK(Actuals!S69),0,Actuals!S69)</f>
        <v/>
      </c>
      <c r="S156" s="392">
        <f>IF(ISBLANK(Actuals!T69),0,Actuals!T69)</f>
        <v/>
      </c>
      <c r="T156" s="392">
        <f>IF(ISBLANK(Actuals!U69),0,Actuals!U69)</f>
        <v/>
      </c>
      <c r="U156" s="392">
        <f>IF(ISBLANK(Actuals!V69),0,Actuals!V69)</f>
        <v/>
      </c>
      <c r="V156" s="392">
        <f>IF(ISBLANK(Actuals!W69),0,Actuals!W69)</f>
        <v/>
      </c>
      <c r="W156" s="392">
        <f>IF(ISBLANK(Actuals!X69),0,Actuals!X69)</f>
        <v/>
      </c>
      <c r="X156" s="392">
        <f>IF(ISBLANK(Actuals!Y69),0,Actuals!Y69)</f>
        <v/>
      </c>
      <c r="Y156" s="392">
        <f>IF(ISBLANK(Actuals!Z69),0,Actuals!Z69)</f>
        <v/>
      </c>
      <c r="Z156" s="392">
        <f>IF(ISBLANK(Actuals!AA69),0,Actuals!AA69)</f>
        <v/>
      </c>
      <c r="AA156" s="392">
        <f>IF(ISBLANK(Actuals!AB69),0,Actuals!AB69)</f>
        <v/>
      </c>
      <c r="AB156" s="392">
        <f>IF(ISBLANK(Actuals!AC69),0,Actuals!AC69)</f>
        <v/>
      </c>
      <c r="AC156" s="392">
        <f>IF(ISBLANK(Actuals!AD69),0,Actuals!AD69)</f>
        <v/>
      </c>
      <c r="AD156" s="392">
        <f>IF(ISBLANK(Actuals!AE69),0,Actuals!AE69)</f>
        <v/>
      </c>
      <c r="AE156" s="392">
        <f>IF(ISBLANK(Actuals!AF69),0,Actuals!AF69)</f>
        <v/>
      </c>
      <c r="AF156" s="392">
        <f>IF(ISBLANK(Actuals!AG69),0,Actuals!AG69)</f>
        <v/>
      </c>
      <c r="AG156" s="392">
        <f>IF(ISBLANK(Actuals!AH69),0,Actuals!AH69)</f>
        <v/>
      </c>
      <c r="AH156" s="392">
        <f>IF(ISBLANK(Actuals!AI69),0,Actuals!AI69)</f>
        <v/>
      </c>
      <c r="AI156" s="392">
        <f>IF(ISBLANK(Actuals!AJ69),0,Actuals!AJ69)</f>
        <v/>
      </c>
      <c r="AJ156" s="392">
        <f>IF(ISBLANK(Actuals!AK69),0,Actuals!AK69)</f>
        <v/>
      </c>
      <c r="AK156" s="392">
        <f>IF(ISBLANK(Actuals!AL69),0,Actuals!AL69)</f>
        <v/>
      </c>
      <c r="AL156" s="392">
        <f>IF(ISBLANK(Actuals!AM69),0,Actuals!AM69)</f>
        <v/>
      </c>
      <c r="AM156" s="392">
        <f>IF(ISBLANK(Actuals!AN69),0,Actuals!AN69)</f>
        <v/>
      </c>
      <c r="AN156" s="392">
        <f>IF(ISBLANK(Actuals!AO69),0,Actuals!AO69)</f>
        <v/>
      </c>
      <c r="AO156" s="392">
        <f>IF(ISBLANK(Actuals!AP69),0,Actuals!AP69)</f>
        <v/>
      </c>
      <c r="AP156" s="392">
        <f>IF(ISBLANK(Actuals!AQ69),0,Actuals!AQ69)</f>
        <v/>
      </c>
      <c r="AQ156" s="392">
        <f>IF(ISBLANK(Actuals!AR69),0,Actuals!AR69)</f>
        <v/>
      </c>
      <c r="AR156" s="392">
        <f>IF(ISBLANK(Actuals!AS69),0,Actuals!AS69)</f>
        <v/>
      </c>
      <c r="AS156" s="392">
        <f>IF(ISBLANK(Actuals!AT69),0,Actuals!AT69)</f>
        <v/>
      </c>
      <c r="AT156" s="392">
        <f>IF(ISBLANK(Actuals!AU69),0,Actuals!AU69)</f>
        <v/>
      </c>
      <c r="AU156" s="392">
        <f>IF(ISBLANK(Actuals!AV69),0,Actuals!AV69)</f>
        <v/>
      </c>
      <c r="AV156" s="392">
        <f>IF(ISBLANK(Actuals!AW69),0,Actuals!AW69)</f>
        <v/>
      </c>
      <c r="AW156" s="392">
        <f>IF(ISBLANK(Actuals!AX69),0,Actuals!AX69)</f>
        <v/>
      </c>
      <c r="AX156" s="392">
        <f>IF(ISBLANK(Actuals!AY69),0,Actuals!AY69)</f>
        <v/>
      </c>
      <c r="AY156" s="392">
        <f>IF(ISBLANK(Actuals!AZ69),0,Actuals!AZ69)</f>
        <v/>
      </c>
      <c r="AZ156" s="392">
        <f>IF(ISBLANK(Actuals!BA69),0,Actuals!BA69)</f>
        <v/>
      </c>
      <c r="BA156" s="392">
        <f>IF(ISBLANK(Actuals!BB69),0,Actuals!BB69)</f>
        <v/>
      </c>
      <c r="BB156" s="392">
        <f>IF(ISBLANK(Actuals!BC69),0,Actuals!BC69)</f>
        <v/>
      </c>
      <c r="BC156" s="392">
        <f>IF(ISBLANK(Actuals!BD69),0,Actuals!BD69)</f>
        <v/>
      </c>
      <c r="BD156" s="392">
        <f>IF(ISBLANK(Actuals!BE69),0,Actuals!BE69)</f>
        <v/>
      </c>
      <c r="BE156" s="392">
        <f>IF(ISBLANK(Actuals!BF69),0,Actuals!BF69)</f>
        <v/>
      </c>
      <c r="BF156" s="392">
        <f>IF(ISBLANK(Actuals!BG69),0,Actuals!BG69)</f>
        <v/>
      </c>
      <c r="BG156" s="392">
        <f>IF(ISBLANK(Actuals!BH69),0,Actuals!BH69)</f>
        <v/>
      </c>
      <c r="BH156" s="392">
        <f>IF(ISBLANK(Actuals!BI69),0,Actuals!BI69)</f>
        <v/>
      </c>
      <c r="BI156" s="392">
        <f>IF(ISBLANK(Actuals!BJ69),0,Actuals!BJ69)</f>
        <v/>
      </c>
      <c r="BJ156" s="392">
        <f>IF(ISBLANK(Actuals!BK69),0,Actuals!BK69)</f>
        <v/>
      </c>
      <c r="BK156" s="392">
        <f>IF(ISBLANK(Actuals!BL69),0,Actuals!BL69)</f>
        <v/>
      </c>
      <c r="BL156" s="392">
        <f>IF(ISBLANK(Actuals!BM69),0,Actuals!BM69)</f>
        <v/>
      </c>
      <c r="BM156" s="392">
        <f>IF(ISBLANK(Actuals!BN69),0,Actuals!BN69)</f>
        <v/>
      </c>
      <c r="BN156" s="392">
        <f>IF(ISBLANK(Actuals!BO69),0,Actuals!BO69)</f>
        <v/>
      </c>
      <c r="BO156" s="392">
        <f>IF(ISBLANK(Actuals!BP69),0,Actuals!BP69)</f>
        <v/>
      </c>
      <c r="BP156" s="392">
        <f>IF(ISBLANK(Actuals!BQ69),0,Actuals!BQ69)</f>
        <v/>
      </c>
      <c r="BQ156" s="392">
        <f>IF(ISBLANK(Actuals!BR69),0,Actuals!BR69)</f>
        <v/>
      </c>
      <c r="BR156" s="392">
        <f>IF(ISBLANK(Actuals!BS69),0,Actuals!BS69)</f>
        <v/>
      </c>
      <c r="BS156" s="392">
        <f>IF(ISBLANK(Actuals!BT69),0,Actuals!BT69)</f>
        <v/>
      </c>
      <c r="BT156" s="392">
        <f>IF(ISBLANK(Actuals!BU69),0,Actuals!BU69)</f>
        <v/>
      </c>
      <c r="BU156" s="392">
        <f>IF(ISBLANK(Actuals!BV69),0,Actuals!BV69)</f>
        <v/>
      </c>
      <c r="BV156" s="392">
        <f>IF(ISBLANK(Actuals!BW69),0,Actuals!BW69)</f>
        <v/>
      </c>
      <c r="BW156" s="392">
        <f>IF(ISBLANK(Actuals!BX69),0,Actuals!BX69)</f>
        <v/>
      </c>
      <c r="BX156" s="392">
        <f>IF(ISBLANK(Actuals!BY69),0,Actuals!BY69)</f>
        <v/>
      </c>
      <c r="BY156" s="392">
        <f>IF(ISBLANK(Actuals!BZ69),0,Actuals!BZ69)</f>
        <v/>
      </c>
      <c r="BZ156" s="392">
        <f>IF(ISBLANK(Actuals!CA69),0,Actuals!CA69)</f>
        <v/>
      </c>
      <c r="CA156" s="392">
        <f>IF(ISBLANK(Actuals!CB69),0,Actuals!CB69)</f>
        <v/>
      </c>
      <c r="CB156" s="392">
        <f>IF(ISBLANK(Actuals!CC69),0,Actuals!CC69)</f>
        <v/>
      </c>
      <c r="CC156" s="392">
        <f>IF(ISBLANK(Actuals!CD69),0,Actuals!CD69)</f>
        <v/>
      </c>
      <c r="CD156" s="392">
        <f>IF(ISBLANK(Actuals!CE69),0,Actuals!CE69)</f>
        <v/>
      </c>
      <c r="CE156" s="392">
        <f>IF(ISBLANK(Actuals!CF69),0,Actuals!CF69)</f>
        <v/>
      </c>
      <c r="CF156" s="392">
        <f>IF(ISBLANK(Actuals!CG69),0,Actuals!CG69)</f>
        <v/>
      </c>
      <c r="CG156" s="392">
        <f>IF(ISBLANK(Actuals!CH69),0,Actuals!CH69)</f>
        <v/>
      </c>
      <c r="CH156" s="392">
        <f>IF(ISBLANK(Actuals!CI69),0,Actuals!CI69)</f>
        <v/>
      </c>
      <c r="CI156" s="392">
        <f>IF(ISBLANK(Actuals!CJ69),0,Actuals!CJ69)</f>
        <v/>
      </c>
      <c r="CJ156" s="392">
        <f>IF(ISBLANK(Actuals!CK69),0,Actuals!CK69)</f>
        <v/>
      </c>
      <c r="CK156" s="392">
        <f>IF(ISBLANK(Actuals!CL69),0,Actuals!CL69)</f>
        <v/>
      </c>
      <c r="CL156" s="392">
        <f>IF(ISBLANK(Actuals!CM69),0,Actuals!CM69)</f>
        <v/>
      </c>
      <c r="CM156" s="392">
        <f>IF(ISBLANK(Actuals!CN69),0,Actuals!CN69)</f>
        <v/>
      </c>
      <c r="CN156" s="392">
        <f>IF(ISBLANK(Actuals!CO69),0,Actuals!CO69)</f>
        <v/>
      </c>
      <c r="CO156" s="392">
        <f>IF(ISBLANK(Actuals!CP69),0,Actuals!CP69)</f>
        <v/>
      </c>
      <c r="CP156" s="392">
        <f>IF(ISBLANK(Actuals!CQ69),0,Actuals!CQ69)</f>
        <v/>
      </c>
      <c r="CQ156" s="392">
        <f>IF(ISBLANK(Actuals!CR69),0,Actuals!CR69)</f>
        <v/>
      </c>
      <c r="CR156" s="392">
        <f>IF(ISBLANK(Actuals!CS69),0,Actuals!CS69)</f>
        <v/>
      </c>
      <c r="CS156" s="392">
        <f>IF(ISBLANK(Actuals!CT69),0,Actuals!CT69)</f>
        <v/>
      </c>
      <c r="CT156" s="392">
        <f>IF(ISBLANK(Actuals!CU69),0,Actuals!CU69)</f>
        <v/>
      </c>
      <c r="CU156" s="392">
        <f>IF(ISBLANK(Actuals!CV69),0,Actuals!CV69)</f>
        <v/>
      </c>
      <c r="CV156" s="392">
        <f>IF(ISBLANK(Actuals!CW69),0,Actuals!CW69)</f>
        <v/>
      </c>
      <c r="CW156" s="392">
        <f>IF(ISBLANK(Actuals!CX69),0,Actuals!CX69)</f>
        <v/>
      </c>
      <c r="CX156" s="392">
        <f>IF(ISBLANK(Actuals!CY69),0,Actuals!CY69)</f>
        <v/>
      </c>
      <c r="CY156" s="392">
        <f>IF(ISBLANK(Actuals!CZ69),0,Actuals!CZ69)</f>
        <v/>
      </c>
      <c r="CZ156" s="392">
        <f>IF(ISBLANK(Actuals!DA69),0,Actuals!DA69)</f>
        <v/>
      </c>
      <c r="DA156" s="392">
        <f>IF(ISBLANK(Actuals!DB69),0,Actuals!DB69)</f>
        <v/>
      </c>
      <c r="DB156" s="392">
        <f>IF(ISBLANK(Actuals!DC69),0,Actuals!DC69)</f>
        <v/>
      </c>
      <c r="DC156" s="392">
        <f>IF(ISBLANK(Actuals!DD69),0,Actuals!DD69)</f>
        <v/>
      </c>
      <c r="DD156" s="392">
        <f>IF(ISBLANK(Actuals!DE69),0,Actuals!DE69)</f>
        <v/>
      </c>
      <c r="DE156" s="392">
        <f>IF(ISBLANK(Actuals!DF69),0,Actuals!DF69)</f>
        <v/>
      </c>
    </row>
    <row r="157" ht="15" customFormat="1" customHeight="1" s="380">
      <c r="A157" s="397" t="inlineStr">
        <is>
          <t>12th &amp; Fir Developer Fee</t>
        </is>
      </c>
      <c r="B157" s="392">
        <f>IF(ISBLANK(Actuals!C70),0,Actuals!C70)</f>
        <v/>
      </c>
      <c r="C157" s="392">
        <f>IF(ISBLANK(Actuals!D70),0,Actuals!D70)</f>
        <v/>
      </c>
      <c r="D157" s="392">
        <f>IF(ISBLANK(Actuals!E70),0,Actuals!E70)</f>
        <v/>
      </c>
      <c r="E157" s="392">
        <f>IF(ISBLANK(Actuals!F70),0,Actuals!F70)</f>
        <v/>
      </c>
      <c r="F157" s="392">
        <f>IF(ISBLANK(Actuals!G70),0,Actuals!G70)</f>
        <v/>
      </c>
      <c r="G157" s="392">
        <f>IF(ISBLANK(Actuals!H70),0,Actuals!H70)</f>
        <v/>
      </c>
      <c r="H157" s="392">
        <f>IF(ISBLANK(Actuals!I70),9500,Actuals!I70)</f>
        <v/>
      </c>
      <c r="I157" s="392">
        <f>IF(ISBLANK(Actuals!J70),9500,Actuals!J70)</f>
        <v/>
      </c>
      <c r="J157" s="392">
        <f>IF(ISBLANK(Actuals!K70),9500,Actuals!K70)</f>
        <v/>
      </c>
      <c r="K157" s="392">
        <f>IF(ISBLANK(Actuals!L70),9500,Actuals!L70)</f>
        <v/>
      </c>
      <c r="L157" s="392">
        <f>IF(ISBLANK(Actuals!M70),9500,Actuals!M70)</f>
        <v/>
      </c>
      <c r="M157" s="392">
        <f>IF(ISBLANK(Actuals!N70),9500,Actuals!N70)</f>
        <v/>
      </c>
      <c r="N157" s="392">
        <f>IF(ISBLANK(Actuals!O70),9500,Actuals!O70)</f>
        <v/>
      </c>
      <c r="O157" s="392">
        <f>IF(ISBLANK(Actuals!P70),9500,Actuals!P70)</f>
        <v/>
      </c>
      <c r="P157" s="392">
        <f>IF(ISBLANK(Actuals!Q70),9500,Actuals!Q70)</f>
        <v/>
      </c>
      <c r="Q157" s="392">
        <f>IF(ISBLANK(Actuals!R70),9500,Actuals!R70)</f>
        <v/>
      </c>
      <c r="R157" s="392">
        <f>IF(ISBLANK(Actuals!S70),9500,Actuals!S70)</f>
        <v/>
      </c>
      <c r="S157" s="392">
        <f>IF(ISBLANK(Actuals!T70),9500,Actuals!T70)</f>
        <v/>
      </c>
      <c r="T157" s="392">
        <f>IF(ISBLANK(Actuals!U70),9500,Actuals!U70)</f>
        <v/>
      </c>
      <c r="U157" s="392">
        <f>IF(ISBLANK(Actuals!V70),9500,Actuals!V70)</f>
        <v/>
      </c>
      <c r="V157" s="392">
        <f>IF(ISBLANK(Actuals!W70),9500,Actuals!W70)</f>
        <v/>
      </c>
      <c r="W157" s="392">
        <f>IF(ISBLANK(Actuals!X70),9500,Actuals!X70)</f>
        <v/>
      </c>
      <c r="X157" s="392">
        <f>IF(ISBLANK(Actuals!Y70),9500,Actuals!Y70)</f>
        <v/>
      </c>
      <c r="Y157" s="392">
        <f>IF(ISBLANK(Actuals!Z70),9500,Actuals!Z70)</f>
        <v/>
      </c>
      <c r="Z157" s="392">
        <f>IF(ISBLANK(Actuals!AA70),9500,Actuals!AA70)</f>
        <v/>
      </c>
      <c r="AA157" s="392">
        <f>IF(ISBLANK(Actuals!AB70),9500,Actuals!AB70)</f>
        <v/>
      </c>
      <c r="AB157" s="392">
        <f>IF(ISBLANK(Actuals!AC70),9500,Actuals!AC70)</f>
        <v/>
      </c>
      <c r="AC157" s="392">
        <f>IF(ISBLANK(Actuals!AD70),9500,Actuals!AD70)</f>
        <v/>
      </c>
      <c r="AD157" s="392">
        <f>IF(ISBLANK(Actuals!AE70),9500,Actuals!AE70)</f>
        <v/>
      </c>
      <c r="AE157" s="392">
        <f>IF(ISBLANK(Actuals!AF70),9500,Actuals!AF70)</f>
        <v/>
      </c>
      <c r="AF157" s="392">
        <f>IF(ISBLANK(Actuals!AG70),9500,Actuals!AG70)</f>
        <v/>
      </c>
      <c r="AG157" s="392">
        <f>IF(ISBLANK(Actuals!AH70),9500,Actuals!AH70)</f>
        <v/>
      </c>
      <c r="AH157" s="392">
        <f>IF(ISBLANK(Actuals!AI70),9500,Actuals!AI70)</f>
        <v/>
      </c>
      <c r="AI157" s="392">
        <f>IF(ISBLANK(Actuals!AJ70),0,Actuals!AJ70)</f>
        <v/>
      </c>
      <c r="AJ157" s="392">
        <f>IF(ISBLANK(Actuals!AK70),0,Actuals!AK70)</f>
        <v/>
      </c>
      <c r="AK157" s="392">
        <f>IF(ISBLANK(Actuals!AL70),0,Actuals!AL70)</f>
        <v/>
      </c>
      <c r="AL157" s="392">
        <f>IF(ISBLANK(Actuals!AM70),0,Actuals!AM70)</f>
        <v/>
      </c>
      <c r="AM157" s="392">
        <f>IF(ISBLANK(Actuals!AN70),0,Actuals!AN70)</f>
        <v/>
      </c>
      <c r="AN157" s="392">
        <f>IF(ISBLANK(Actuals!AO70),0,Actuals!AO70)</f>
        <v/>
      </c>
      <c r="AO157" s="392">
        <f>IF(ISBLANK(Actuals!AP70),0,Actuals!AP70)</f>
        <v/>
      </c>
      <c r="AP157" s="392">
        <f>IF(ISBLANK(Actuals!AQ70),0,Actuals!AQ70)</f>
        <v/>
      </c>
      <c r="AQ157" s="392">
        <f>IF(ISBLANK(Actuals!AR70),0,Actuals!AR70)</f>
        <v/>
      </c>
      <c r="AR157" s="392">
        <f>IF(ISBLANK(Actuals!AS70),0,Actuals!AS70)</f>
        <v/>
      </c>
      <c r="AS157" s="392">
        <f>IF(ISBLANK(Actuals!AT70),0,Actuals!AT70)</f>
        <v/>
      </c>
      <c r="AT157" s="392">
        <f>IF(ISBLANK(Actuals!AU70),0,Actuals!AU70)</f>
        <v/>
      </c>
      <c r="AU157" s="392">
        <f>IF(ISBLANK(Actuals!AV70),0,Actuals!AV70)</f>
        <v/>
      </c>
      <c r="AV157" s="392">
        <f>IF(ISBLANK(Actuals!AW70),0,Actuals!AW70)</f>
        <v/>
      </c>
      <c r="AW157" s="392">
        <f>IF(ISBLANK(Actuals!AX70),0,Actuals!AX70)</f>
        <v/>
      </c>
      <c r="AX157" s="392">
        <f>IF(ISBLANK(Actuals!AY70),0,Actuals!AY70)</f>
        <v/>
      </c>
      <c r="AY157" s="392">
        <f>IF(ISBLANK(Actuals!AZ70),0,Actuals!AZ70)</f>
        <v/>
      </c>
      <c r="AZ157" s="392">
        <f>IF(ISBLANK(Actuals!BA70),0,Actuals!BA70)</f>
        <v/>
      </c>
      <c r="BA157" s="392">
        <f>IF(ISBLANK(Actuals!BB70),0,Actuals!BB70)</f>
        <v/>
      </c>
      <c r="BB157" s="392">
        <f>IF(ISBLANK(Actuals!BC70),0,Actuals!BC70)</f>
        <v/>
      </c>
      <c r="BC157" s="392">
        <f>IF(ISBLANK(Actuals!BD70),0,Actuals!BD70)</f>
        <v/>
      </c>
      <c r="BD157" s="392">
        <f>IF(ISBLANK(Actuals!BE70),0,Actuals!BE70)</f>
        <v/>
      </c>
      <c r="BE157" s="392">
        <f>IF(ISBLANK(Actuals!BF70),0,Actuals!BF70)</f>
        <v/>
      </c>
      <c r="BF157" s="392">
        <f>IF(ISBLANK(Actuals!BG70),0,Actuals!BG70)</f>
        <v/>
      </c>
      <c r="BG157" s="392">
        <f>IF(ISBLANK(Actuals!BH70),0,Actuals!BH70)</f>
        <v/>
      </c>
      <c r="BH157" s="392">
        <f>IF(ISBLANK(Actuals!BI70),0,Actuals!BI70)</f>
        <v/>
      </c>
      <c r="BI157" s="392">
        <f>IF(ISBLANK(Actuals!BJ70),0,Actuals!BJ70)</f>
        <v/>
      </c>
      <c r="BJ157" s="392">
        <f>IF(ISBLANK(Actuals!BK70),0,Actuals!BK70)</f>
        <v/>
      </c>
      <c r="BK157" s="392">
        <f>IF(ISBLANK(Actuals!BL70),0,Actuals!BL70)</f>
        <v/>
      </c>
      <c r="BL157" s="392">
        <f>IF(ISBLANK(Actuals!BM70),0,Actuals!BM70)</f>
        <v/>
      </c>
      <c r="BM157" s="392">
        <f>IF(ISBLANK(Actuals!BN70),0,Actuals!BN70)</f>
        <v/>
      </c>
      <c r="BN157" s="392">
        <f>IF(ISBLANK(Actuals!BO70),0,Actuals!BO70)</f>
        <v/>
      </c>
      <c r="BO157" s="392">
        <f>IF(ISBLANK(Actuals!BP70),0,Actuals!BP70)</f>
        <v/>
      </c>
      <c r="BP157" s="392">
        <f>IF(ISBLANK(Actuals!BQ70),0,Actuals!BQ70)</f>
        <v/>
      </c>
      <c r="BQ157" s="392">
        <f>IF(ISBLANK(Actuals!BR70),0,Actuals!BR70)</f>
        <v/>
      </c>
      <c r="BR157" s="392">
        <f>IF(ISBLANK(Actuals!BS70),0,Actuals!BS70)</f>
        <v/>
      </c>
      <c r="BS157" s="392">
        <f>IF(ISBLANK(Actuals!BT70),0,Actuals!BT70)</f>
        <v/>
      </c>
      <c r="BT157" s="392">
        <f>IF(ISBLANK(Actuals!BU70),0,Actuals!BU70)</f>
        <v/>
      </c>
      <c r="BU157" s="392">
        <f>IF(ISBLANK(Actuals!BV70),0,Actuals!BV70)</f>
        <v/>
      </c>
      <c r="BV157" s="392">
        <f>IF(ISBLANK(Actuals!BW70),0,Actuals!BW70)</f>
        <v/>
      </c>
      <c r="BW157" s="392">
        <f>IF(ISBLANK(Actuals!BX70),0,Actuals!BX70)</f>
        <v/>
      </c>
      <c r="BX157" s="392">
        <f>IF(ISBLANK(Actuals!BY70),0,Actuals!BY70)</f>
        <v/>
      </c>
      <c r="BY157" s="392">
        <f>IF(ISBLANK(Actuals!BZ70),0,Actuals!BZ70)</f>
        <v/>
      </c>
      <c r="BZ157" s="392">
        <f>IF(ISBLANK(Actuals!CA70),0,Actuals!CA70)</f>
        <v/>
      </c>
      <c r="CA157" s="392">
        <f>IF(ISBLANK(Actuals!CB70),0,Actuals!CB70)</f>
        <v/>
      </c>
      <c r="CB157" s="392">
        <f>IF(ISBLANK(Actuals!CC70),0,Actuals!CC70)</f>
        <v/>
      </c>
      <c r="CC157" s="392">
        <f>IF(ISBLANK(Actuals!CD70),0,Actuals!CD70)</f>
        <v/>
      </c>
      <c r="CD157" s="392">
        <f>IF(ISBLANK(Actuals!CE70),0,Actuals!CE70)</f>
        <v/>
      </c>
      <c r="CE157" s="392">
        <f>IF(ISBLANK(Actuals!CF70),0,Actuals!CF70)</f>
        <v/>
      </c>
      <c r="CF157" s="392">
        <f>IF(ISBLANK(Actuals!CG70),0,Actuals!CG70)</f>
        <v/>
      </c>
      <c r="CG157" s="392">
        <f>IF(ISBLANK(Actuals!CH70),0,Actuals!CH70)</f>
        <v/>
      </c>
      <c r="CH157" s="392">
        <f>IF(ISBLANK(Actuals!CI70),0,Actuals!CI70)</f>
        <v/>
      </c>
      <c r="CI157" s="392">
        <f>IF(ISBLANK(Actuals!CJ70),0,Actuals!CJ70)</f>
        <v/>
      </c>
      <c r="CJ157" s="392">
        <f>IF(ISBLANK(Actuals!CK70),0,Actuals!CK70)</f>
        <v/>
      </c>
      <c r="CK157" s="392">
        <f>IF(ISBLANK(Actuals!CL70),0,Actuals!CL70)</f>
        <v/>
      </c>
      <c r="CL157" s="392">
        <f>IF(ISBLANK(Actuals!CM70),0,Actuals!CM70)</f>
        <v/>
      </c>
      <c r="CM157" s="392">
        <f>IF(ISBLANK(Actuals!CN70),0,Actuals!CN70)</f>
        <v/>
      </c>
      <c r="CN157" s="392">
        <f>IF(ISBLANK(Actuals!CO70),0,Actuals!CO70)</f>
        <v/>
      </c>
      <c r="CO157" s="392">
        <f>IF(ISBLANK(Actuals!CP70),0,Actuals!CP70)</f>
        <v/>
      </c>
      <c r="CP157" s="392">
        <f>IF(ISBLANK(Actuals!CQ70),0,Actuals!CQ70)</f>
        <v/>
      </c>
      <c r="CQ157" s="392">
        <f>IF(ISBLANK(Actuals!CR70),0,Actuals!CR70)</f>
        <v/>
      </c>
      <c r="CR157" s="392">
        <f>IF(ISBLANK(Actuals!CS70),0,Actuals!CS70)</f>
        <v/>
      </c>
      <c r="CS157" s="392">
        <f>IF(ISBLANK(Actuals!CT70),0,Actuals!CT70)</f>
        <v/>
      </c>
      <c r="CT157" s="392">
        <f>IF(ISBLANK(Actuals!CU70),0,Actuals!CU70)</f>
        <v/>
      </c>
      <c r="CU157" s="392">
        <f>IF(ISBLANK(Actuals!CV70),0,Actuals!CV70)</f>
        <v/>
      </c>
      <c r="CV157" s="392">
        <f>IF(ISBLANK(Actuals!CW70),0,Actuals!CW70)</f>
        <v/>
      </c>
      <c r="CW157" s="392">
        <f>IF(ISBLANK(Actuals!CX70),0,Actuals!CX70)</f>
        <v/>
      </c>
      <c r="CX157" s="392">
        <f>IF(ISBLANK(Actuals!CY70),0,Actuals!CY70)</f>
        <v/>
      </c>
      <c r="CY157" s="392">
        <f>IF(ISBLANK(Actuals!CZ70),0,Actuals!CZ70)</f>
        <v/>
      </c>
      <c r="CZ157" s="392">
        <f>IF(ISBLANK(Actuals!DA70),0,Actuals!DA70)</f>
        <v/>
      </c>
      <c r="DA157" s="392">
        <f>IF(ISBLANK(Actuals!DB70),0,Actuals!DB70)</f>
        <v/>
      </c>
      <c r="DB157" s="392">
        <f>IF(ISBLANK(Actuals!DC70),0,Actuals!DC70)</f>
        <v/>
      </c>
      <c r="DC157" s="392">
        <f>IF(ISBLANK(Actuals!DD70),0,Actuals!DD70)</f>
        <v/>
      </c>
      <c r="DD157" s="392">
        <f>IF(ISBLANK(Actuals!DE70),0,Actuals!DE70)</f>
        <v/>
      </c>
      <c r="DE157" s="392">
        <f>IF(ISBLANK(Actuals!DF70),0,Actuals!DF70)</f>
        <v/>
      </c>
    </row>
    <row r="158" ht="15" customFormat="1" customHeight="1" s="380">
      <c r="A158" s="397" t="inlineStr">
        <is>
          <t>Klump Accounting Fee</t>
        </is>
      </c>
      <c r="B158" s="392">
        <f>IF(ISBLANK(Actuals!C71),0,Actuals!C71)</f>
        <v/>
      </c>
      <c r="C158" s="392">
        <f>IF(ISBLANK(Actuals!D71),0,Actuals!D71)</f>
        <v/>
      </c>
      <c r="D158" s="392">
        <f>IF(ISBLANK(Actuals!E71),0,Actuals!E71)</f>
        <v/>
      </c>
      <c r="E158" s="392">
        <f>IF(ISBLANK(Actuals!F71),IF(AND(Projects!$G$11="Yes",1&gt;=Projects!$C$11,1&lt;Projects!$C$11+Projects!$D$11),6315.79,0),Actuals!F71)</f>
        <v/>
      </c>
      <c r="F158" s="392">
        <f>IF(ISBLANK(Actuals!G71),IF(AND(Projects!$G$11="Yes",2&gt;=Projects!$C$11,2&lt;Projects!$C$11+Projects!$D$11),6315.79,0),Actuals!G71)</f>
        <v/>
      </c>
      <c r="G158" s="392">
        <f>IF(ISBLANK(Actuals!H71),IF(AND(Projects!$G$11="Yes",3&gt;=Projects!$C$11,3&lt;Projects!$C$11+Projects!$D$11),6315.79,0),Actuals!H71)</f>
        <v/>
      </c>
      <c r="H158" s="392">
        <f>IF(ISBLANK(Actuals!I71),IF(AND(Projects!$G$11="Yes",4&gt;=Projects!$C$11,4&lt;Projects!$C$11+Projects!$D$11),6315.79,0),Actuals!I71)</f>
        <v/>
      </c>
      <c r="I158" s="392">
        <f>IF(ISBLANK(Actuals!J71),IF(AND(Projects!$G$11="Yes",5&gt;=Projects!$C$11,5&lt;Projects!$C$11+Projects!$D$11),6315.79,0),Actuals!J71)</f>
        <v/>
      </c>
      <c r="J158" s="392">
        <f>IF(ISBLANK(Actuals!K71),IF(AND(Projects!$G$11="Yes",6&gt;=Projects!$C$11,6&lt;Projects!$C$11+Projects!$D$11),6315.79,0),Actuals!K71)</f>
        <v/>
      </c>
      <c r="K158" s="392">
        <f>IF(ISBLANK(Actuals!L71),IF(AND(Projects!$G$11="Yes",7&gt;=Projects!$C$11,7&lt;Projects!$C$11+Projects!$D$11),6315.79,0),Actuals!L71)</f>
        <v/>
      </c>
      <c r="L158" s="392">
        <f>IF(ISBLANK(Actuals!M71),IF(AND(Projects!$G$11="Yes",8&gt;=Projects!$C$11,8&lt;Projects!$C$11+Projects!$D$11),6315.79,0),Actuals!M71)</f>
        <v/>
      </c>
      <c r="M158" s="392">
        <f>IF(ISBLANK(Actuals!N71),IF(AND(Projects!$G$11="Yes",9&gt;=Projects!$C$11,9&lt;Projects!$C$11+Projects!$D$11),6315.79,0),Actuals!N71)</f>
        <v/>
      </c>
      <c r="N158" s="392">
        <f>IF(ISBLANK(Actuals!O71),IF(AND(Projects!$G$11="Yes",10&gt;=Projects!$C$11,10&lt;Projects!$C$11+Projects!$D$11),6315.79,0),Actuals!O71)</f>
        <v/>
      </c>
      <c r="O158" s="392">
        <f>IF(ISBLANK(Actuals!P71),IF(AND(Projects!$G$11="Yes",11&gt;=Projects!$C$11,11&lt;Projects!$C$11+Projects!$D$11),6315.79,0),Actuals!P71)</f>
        <v/>
      </c>
      <c r="P158" s="392">
        <f>IF(ISBLANK(Actuals!Q71),IF(AND(Projects!$G$11="Yes",12&gt;=Projects!$C$11,12&lt;Projects!$C$11+Projects!$D$11),6315.79,0),Actuals!Q71)</f>
        <v/>
      </c>
      <c r="Q158" s="392">
        <f>IF(ISBLANK(Actuals!R71),IF(AND(Projects!$G$11="Yes",13&gt;=Projects!$C$11,13&lt;Projects!$C$11+Projects!$D$11),6315.79,0),Actuals!R71)</f>
        <v/>
      </c>
      <c r="R158" s="392">
        <f>IF(ISBLANK(Actuals!S71),IF(AND(Projects!$G$11="Yes",14&gt;=Projects!$C$11,14&lt;Projects!$C$11+Projects!$D$11),6315.79,0),Actuals!S71)</f>
        <v/>
      </c>
      <c r="S158" s="392">
        <f>IF(ISBLANK(Actuals!T71),IF(AND(Projects!$G$11="Yes",15&gt;=Projects!$C$11,15&lt;Projects!$C$11+Projects!$D$11),6315.79,0),Actuals!T71)</f>
        <v/>
      </c>
      <c r="T158" s="392">
        <f>IF(ISBLANK(Actuals!U71),IF(AND(Projects!$G$11="Yes",16&gt;=Projects!$C$11,16&lt;Projects!$C$11+Projects!$D$11),6315.79,0),Actuals!U71)</f>
        <v/>
      </c>
      <c r="U158" s="392">
        <f>IF(ISBLANK(Actuals!V71),IF(AND(Projects!$G$11="Yes",17&gt;=Projects!$C$11,17&lt;Projects!$C$11+Projects!$D$11),6315.79,0),Actuals!V71)</f>
        <v/>
      </c>
      <c r="V158" s="392">
        <f>IF(ISBLANK(Actuals!W71),IF(AND(Projects!$G$11="Yes",18&gt;=Projects!$C$11,18&lt;Projects!$C$11+Projects!$D$11),6315.79,0),Actuals!W71)</f>
        <v/>
      </c>
      <c r="W158" s="392">
        <f>IF(ISBLANK(Actuals!X71),IF(AND(Projects!$G$11="Yes",19&gt;=Projects!$C$11,19&lt;Projects!$C$11+Projects!$D$11),6315.79,0),Actuals!X71)</f>
        <v/>
      </c>
      <c r="X158" s="392">
        <f>IF(ISBLANK(Actuals!Y71),IF(AND(Projects!$G$11="Yes",20&gt;=Projects!$C$11,20&lt;Projects!$C$11+Projects!$D$11),6315.79,0),Actuals!Y71)</f>
        <v/>
      </c>
      <c r="Y158" s="392">
        <f>IF(ISBLANK(Actuals!Z71),IF(AND(Projects!$G$11="Yes",21&gt;=Projects!$C$11,21&lt;Projects!$C$11+Projects!$D$11),6315.79,0),Actuals!Z71)</f>
        <v/>
      </c>
      <c r="Z158" s="392">
        <f>IF(ISBLANK(Actuals!AA71),IF(AND(Projects!$G$11="Yes",22&gt;=Projects!$C$11,22&lt;Projects!$C$11+Projects!$D$11),6315.79,0),Actuals!AA71)</f>
        <v/>
      </c>
      <c r="AA158" s="392">
        <f>IF(ISBLANK(Actuals!AB71),IF(AND(Projects!$G$11="Yes",23&gt;=Projects!$C$11,23&lt;Projects!$C$11+Projects!$D$11),6315.79,0),Actuals!AB71)</f>
        <v/>
      </c>
      <c r="AB158" s="392">
        <f>IF(ISBLANK(Actuals!AC71),IF(AND(Projects!$G$11="Yes",24&gt;=Projects!$C$11,24&lt;Projects!$C$11+Projects!$D$11),6315.79,0),Actuals!AC71)</f>
        <v/>
      </c>
      <c r="AC158" s="392">
        <f>IF(ISBLANK(Actuals!AD71),IF(AND(Projects!$G$11="Yes",25&gt;=Projects!$C$11,25&lt;Projects!$C$11+Projects!$D$11),6315.79,0),Actuals!AD71)</f>
        <v/>
      </c>
      <c r="AD158" s="392">
        <f>IF(ISBLANK(Actuals!AE71),IF(AND(Projects!$G$11="Yes",26&gt;=Projects!$C$11,26&lt;Projects!$C$11+Projects!$D$11),6315.79,0),Actuals!AE71)</f>
        <v/>
      </c>
      <c r="AE158" s="392">
        <f>IF(ISBLANK(Actuals!AF71),IF(AND(Projects!$G$11="Yes",27&gt;=Projects!$C$11,27&lt;Projects!$C$11+Projects!$D$11),6315.79,0),Actuals!AF71)</f>
        <v/>
      </c>
      <c r="AF158" s="392">
        <f>IF(ISBLANK(Actuals!AG71),IF(AND(Projects!$G$11="Yes",28&gt;=Projects!$C$11,28&lt;Projects!$C$11+Projects!$D$11),6315.79,0),Actuals!AG71)</f>
        <v/>
      </c>
      <c r="AG158" s="392">
        <f>IF(ISBLANK(Actuals!AH71),IF(AND(Projects!$G$11="Yes",29&gt;=Projects!$C$11,29&lt;Projects!$C$11+Projects!$D$11),6315.79,0),Actuals!AH71)</f>
        <v/>
      </c>
      <c r="AH158" s="392">
        <f>IF(ISBLANK(Actuals!AI71),IF(AND(Projects!$G$11="Yes",30&gt;=Projects!$C$11,30&lt;Projects!$C$11+Projects!$D$11),6315.79,0),Actuals!AI71)</f>
        <v/>
      </c>
      <c r="AI158" s="392">
        <f>IF(ISBLANK(Actuals!AJ71),IF(AND(Projects!$G$11="Yes",31&gt;=Projects!$C$11,31&lt;Projects!$C$11+Projects!$D$11),6315.79,0),Actuals!AJ71)</f>
        <v/>
      </c>
      <c r="AJ158" s="392">
        <f>IF(ISBLANK(Actuals!AK71),IF(AND(Projects!$G$11="Yes",32&gt;=Projects!$C$11,32&lt;Projects!$C$11+Projects!$D$11),6315.79,0),Actuals!AK71)</f>
        <v/>
      </c>
      <c r="AK158" s="392">
        <f>IF(ISBLANK(Actuals!AL71),IF(AND(Projects!$G$11="Yes",33&gt;=Projects!$C$11,33&lt;Projects!$C$11+Projects!$D$11),6315.79,0),Actuals!AL71)</f>
        <v/>
      </c>
      <c r="AL158" s="392">
        <f>IF(ISBLANK(Actuals!AM71),IF(AND(Projects!$G$11="Yes",34&gt;=Projects!$C$11,34&lt;Projects!$C$11+Projects!$D$11),6315.79,0),Actuals!AM71)</f>
        <v/>
      </c>
      <c r="AM158" s="392">
        <f>IF(ISBLANK(Actuals!AN71),IF(AND(Projects!$G$11="Yes",35&gt;=Projects!$C$11,35&lt;Projects!$C$11+Projects!$D$11),6315.79,0),Actuals!AN71)</f>
        <v/>
      </c>
      <c r="AN158" s="392">
        <f>IF(ISBLANK(Actuals!AO71),IF(AND(Projects!$G$11="Yes",36&gt;=Projects!$C$11,36&lt;Projects!$C$11+Projects!$D$11),6315.79,0),Actuals!AO71)</f>
        <v/>
      </c>
      <c r="AO158" s="392">
        <f>IF(ISBLANK(Actuals!AP71),IF(AND(Projects!$G$11="Yes",37&gt;=Projects!$C$11,37&lt;Projects!$C$11+Projects!$D$11),6315.79,0),Actuals!AP71)</f>
        <v/>
      </c>
      <c r="AP158" s="392">
        <f>IF(ISBLANK(Actuals!AQ71),IF(AND(Projects!$G$11="Yes",38&gt;=Projects!$C$11,38&lt;Projects!$C$11+Projects!$D$11),6315.79,0),Actuals!AQ71)</f>
        <v/>
      </c>
      <c r="AQ158" s="392">
        <f>IF(ISBLANK(Actuals!AR71),IF(AND(Projects!$G$11="Yes",39&gt;=Projects!$C$11,39&lt;Projects!$C$11+Projects!$D$11),6315.79,0),Actuals!AR71)</f>
        <v/>
      </c>
      <c r="AR158" s="392">
        <f>IF(ISBLANK(Actuals!AS71),IF(AND(Projects!$G$11="Yes",40&gt;=Projects!$C$11,40&lt;Projects!$C$11+Projects!$D$11),6315.79,0),Actuals!AS71)</f>
        <v/>
      </c>
      <c r="AS158" s="392">
        <f>IF(ISBLANK(Actuals!AT71),IF(AND(Projects!$G$11="Yes",41&gt;=Projects!$C$11,41&lt;Projects!$C$11+Projects!$D$11),6315.79,0),Actuals!AT71)</f>
        <v/>
      </c>
      <c r="AT158" s="392">
        <f>IF(ISBLANK(Actuals!AU71),IF(AND(Projects!$G$11="Yes",42&gt;=Projects!$C$11,42&lt;Projects!$C$11+Projects!$D$11),6315.79,0),Actuals!AU71)</f>
        <v/>
      </c>
      <c r="AU158" s="392">
        <f>IF(ISBLANK(Actuals!AV71),IF(AND(Projects!$G$11="Yes",43&gt;=Projects!$C$11,43&lt;Projects!$C$11+Projects!$D$11),6315.79,0),Actuals!AV71)</f>
        <v/>
      </c>
      <c r="AV158" s="392">
        <f>IF(ISBLANK(Actuals!AW71),IF(AND(Projects!$G$11="Yes",44&gt;=Projects!$C$11,44&lt;Projects!$C$11+Projects!$D$11),6315.79,0),Actuals!AW71)</f>
        <v/>
      </c>
      <c r="AW158" s="392">
        <f>IF(ISBLANK(Actuals!AX71),IF(AND(Projects!$G$11="Yes",45&gt;=Projects!$C$11,45&lt;Projects!$C$11+Projects!$D$11),6315.79,0),Actuals!AX71)</f>
        <v/>
      </c>
      <c r="AX158" s="392">
        <f>IF(ISBLANK(Actuals!AY71),IF(AND(Projects!$G$11="Yes",46&gt;=Projects!$C$11,46&lt;Projects!$C$11+Projects!$D$11),6315.79,0),Actuals!AY71)</f>
        <v/>
      </c>
      <c r="AY158" s="392">
        <f>IF(ISBLANK(Actuals!AZ71),IF(AND(Projects!$G$11="Yes",47&gt;=Projects!$C$11,47&lt;Projects!$C$11+Projects!$D$11),6315.79,0),Actuals!AZ71)</f>
        <v/>
      </c>
      <c r="AZ158" s="392">
        <f>IF(ISBLANK(Actuals!BA71),IF(AND(Projects!$G$11="Yes",48&gt;=Projects!$C$11,48&lt;Projects!$C$11+Projects!$D$11),6315.79,0),Actuals!BA71)</f>
        <v/>
      </c>
      <c r="BA158" s="392">
        <f>IF(ISBLANK(Actuals!BB71),IF(AND(Projects!$G$11="Yes",49&gt;=Projects!$C$11,49&lt;Projects!$C$11+Projects!$D$11),6315.79,0),Actuals!BB71)</f>
        <v/>
      </c>
      <c r="BB158" s="392">
        <f>IF(ISBLANK(Actuals!BC71),IF(AND(Projects!$G$11="Yes",50&gt;=Projects!$C$11,50&lt;Projects!$C$11+Projects!$D$11),6315.79,0),Actuals!BC71)</f>
        <v/>
      </c>
      <c r="BC158" s="392">
        <f>IF(ISBLANK(Actuals!BD71),IF(AND(Projects!$G$11="Yes",51&gt;=Projects!$C$11,51&lt;Projects!$C$11+Projects!$D$11),6315.79,0),Actuals!BD71)</f>
        <v/>
      </c>
      <c r="BD158" s="392">
        <f>IF(ISBLANK(Actuals!BE71),IF(AND(Projects!$G$11="Yes",52&gt;=Projects!$C$11,52&lt;Projects!$C$11+Projects!$D$11),6315.79,0),Actuals!BE71)</f>
        <v/>
      </c>
      <c r="BE158" s="392">
        <f>IF(ISBLANK(Actuals!BF71),IF(AND(Projects!$G$11="Yes",53&gt;=Projects!$C$11,53&lt;Projects!$C$11+Projects!$D$11),6315.79,0),Actuals!BF71)</f>
        <v/>
      </c>
      <c r="BF158" s="392">
        <f>IF(ISBLANK(Actuals!BG71),IF(AND(Projects!$G$11="Yes",54&gt;=Projects!$C$11,54&lt;Projects!$C$11+Projects!$D$11),6315.79,0),Actuals!BG71)</f>
        <v/>
      </c>
      <c r="BG158" s="392">
        <f>IF(ISBLANK(Actuals!BH71),IF(AND(Projects!$G$11="Yes",55&gt;=Projects!$C$11,55&lt;Projects!$C$11+Projects!$D$11),6315.79,0),Actuals!BH71)</f>
        <v/>
      </c>
      <c r="BH158" s="392">
        <f>IF(ISBLANK(Actuals!BI71),IF(AND(Projects!$G$11="Yes",56&gt;=Projects!$C$11,56&lt;Projects!$C$11+Projects!$D$11),6315.79,0),Actuals!BI71)</f>
        <v/>
      </c>
      <c r="BI158" s="392">
        <f>IF(ISBLANK(Actuals!BJ71),IF(AND(Projects!$G$11="Yes",57&gt;=Projects!$C$11,57&lt;Projects!$C$11+Projects!$D$11),6315.79,0),Actuals!BJ71)</f>
        <v/>
      </c>
      <c r="BJ158" s="392">
        <f>IF(ISBLANK(Actuals!BK71),IF(AND(Projects!$G$11="Yes",58&gt;=Projects!$C$11,58&lt;Projects!$C$11+Projects!$D$11),6315.79,0),Actuals!BK71)</f>
        <v/>
      </c>
      <c r="BK158" s="392">
        <f>IF(ISBLANK(Actuals!BL71),IF(AND(Projects!$G$11="Yes",59&gt;=Projects!$C$11,59&lt;Projects!$C$11+Projects!$D$11),6315.79,0),Actuals!BL71)</f>
        <v/>
      </c>
      <c r="BL158" s="392">
        <f>IF(ISBLANK(Actuals!BM71),IF(AND(Projects!$G$11="Yes",60&gt;=Projects!$C$11,60&lt;Projects!$C$11+Projects!$D$11),6315.79,0),Actuals!BM71)</f>
        <v/>
      </c>
      <c r="BM158" s="392">
        <f>IF(ISBLANK(Actuals!BN71),IF(AND(Projects!$G$11="Yes",61&gt;=Projects!$C$11,61&lt;Projects!$C$11+Projects!$D$11),6315.79,0),Actuals!BN71)</f>
        <v/>
      </c>
      <c r="BN158" s="392">
        <f>IF(ISBLANK(Actuals!BO71),IF(AND(Projects!$G$11="Yes",62&gt;=Projects!$C$11,62&lt;Projects!$C$11+Projects!$D$11),6315.79,0),Actuals!BO71)</f>
        <v/>
      </c>
      <c r="BO158" s="392">
        <f>IF(ISBLANK(Actuals!BP71),IF(AND(Projects!$G$11="Yes",63&gt;=Projects!$C$11,63&lt;Projects!$C$11+Projects!$D$11),6315.79,0),Actuals!BP71)</f>
        <v/>
      </c>
      <c r="BP158" s="392">
        <f>IF(ISBLANK(Actuals!BQ71),IF(AND(Projects!$G$11="Yes",64&gt;=Projects!$C$11,64&lt;Projects!$C$11+Projects!$D$11),6315.79,0),Actuals!BQ71)</f>
        <v/>
      </c>
      <c r="BQ158" s="392">
        <f>IF(ISBLANK(Actuals!BR71),IF(AND(Projects!$G$11="Yes",65&gt;=Projects!$C$11,65&lt;Projects!$C$11+Projects!$D$11),6315.79,0),Actuals!BR71)</f>
        <v/>
      </c>
      <c r="BR158" s="392">
        <f>IF(ISBLANK(Actuals!BS71),IF(AND(Projects!$G$11="Yes",66&gt;=Projects!$C$11,66&lt;Projects!$C$11+Projects!$D$11),6315.79,0),Actuals!BS71)</f>
        <v/>
      </c>
      <c r="BS158" s="392">
        <f>IF(ISBLANK(Actuals!BT71),IF(AND(Projects!$G$11="Yes",67&gt;=Projects!$C$11,67&lt;Projects!$C$11+Projects!$D$11),6315.79,0),Actuals!BT71)</f>
        <v/>
      </c>
      <c r="BT158" s="392">
        <f>IF(ISBLANK(Actuals!BU71),IF(AND(Projects!$G$11="Yes",68&gt;=Projects!$C$11,68&lt;Projects!$C$11+Projects!$D$11),6315.79,0),Actuals!BU71)</f>
        <v/>
      </c>
      <c r="BU158" s="392">
        <f>IF(ISBLANK(Actuals!BV71),IF(AND(Projects!$G$11="Yes",69&gt;=Projects!$C$11,69&lt;Projects!$C$11+Projects!$D$11),6315.79,0),Actuals!BV71)</f>
        <v/>
      </c>
      <c r="BV158" s="392">
        <f>IF(ISBLANK(Actuals!BW71),IF(AND(Projects!$G$11="Yes",70&gt;=Projects!$C$11,70&lt;Projects!$C$11+Projects!$D$11),6315.79,0),Actuals!BW71)</f>
        <v/>
      </c>
      <c r="BW158" s="392">
        <f>IF(ISBLANK(Actuals!BX71),IF(AND(Projects!$G$11="Yes",71&gt;=Projects!$C$11,71&lt;Projects!$C$11+Projects!$D$11),6315.79,0),Actuals!BX71)</f>
        <v/>
      </c>
      <c r="BX158" s="392">
        <f>IF(ISBLANK(Actuals!BY71),IF(AND(Projects!$G$11="Yes",72&gt;=Projects!$C$11,72&lt;Projects!$C$11+Projects!$D$11),6315.79,0),Actuals!BY71)</f>
        <v/>
      </c>
      <c r="BY158" s="392">
        <f>IF(ISBLANK(Actuals!BZ71),IF(AND(Projects!$G$11="Yes",73&gt;=Projects!$C$11,73&lt;Projects!$C$11+Projects!$D$11),6315.79,0),Actuals!BZ71)</f>
        <v/>
      </c>
      <c r="BZ158" s="392">
        <f>IF(ISBLANK(Actuals!CA71),IF(AND(Projects!$G$11="Yes",74&gt;=Projects!$C$11,74&lt;Projects!$C$11+Projects!$D$11),6315.79,0),Actuals!CA71)</f>
        <v/>
      </c>
      <c r="CA158" s="392">
        <f>IF(ISBLANK(Actuals!CB71),IF(AND(Projects!$G$11="Yes",75&gt;=Projects!$C$11,75&lt;Projects!$C$11+Projects!$D$11),6315.79,0),Actuals!CB71)</f>
        <v/>
      </c>
      <c r="CB158" s="392">
        <f>IF(ISBLANK(Actuals!CC71),IF(AND(Projects!$G$11="Yes",76&gt;=Projects!$C$11,76&lt;Projects!$C$11+Projects!$D$11),6315.79,0),Actuals!CC71)</f>
        <v/>
      </c>
      <c r="CC158" s="392">
        <f>IF(ISBLANK(Actuals!CD71),IF(AND(Projects!$G$11="Yes",77&gt;=Projects!$C$11,77&lt;Projects!$C$11+Projects!$D$11),6315.79,0),Actuals!CD71)</f>
        <v/>
      </c>
      <c r="CD158" s="392">
        <f>IF(ISBLANK(Actuals!CE71),IF(AND(Projects!$G$11="Yes",78&gt;=Projects!$C$11,78&lt;Projects!$C$11+Projects!$D$11),6315.79,0),Actuals!CE71)</f>
        <v/>
      </c>
      <c r="CE158" s="392">
        <f>IF(ISBLANK(Actuals!CF71),IF(AND(Projects!$G$11="Yes",79&gt;=Projects!$C$11,79&lt;Projects!$C$11+Projects!$D$11),6315.79,0),Actuals!CF71)</f>
        <v/>
      </c>
      <c r="CF158" s="392">
        <f>IF(ISBLANK(Actuals!CG71),IF(AND(Projects!$G$11="Yes",80&gt;=Projects!$C$11,80&lt;Projects!$C$11+Projects!$D$11),6315.79,0),Actuals!CG71)</f>
        <v/>
      </c>
      <c r="CG158" s="392">
        <f>IF(ISBLANK(Actuals!CH71),IF(AND(Projects!$G$11="Yes",81&gt;=Projects!$C$11,81&lt;Projects!$C$11+Projects!$D$11),6315.79,0),Actuals!CH71)</f>
        <v/>
      </c>
      <c r="CH158" s="392">
        <f>IF(ISBLANK(Actuals!CI71),IF(AND(Projects!$G$11="Yes",82&gt;=Projects!$C$11,82&lt;Projects!$C$11+Projects!$D$11),6315.79,0),Actuals!CI71)</f>
        <v/>
      </c>
      <c r="CI158" s="392">
        <f>IF(ISBLANK(Actuals!CJ71),IF(AND(Projects!$G$11="Yes",83&gt;=Projects!$C$11,83&lt;Projects!$C$11+Projects!$D$11),6315.79,0),Actuals!CJ71)</f>
        <v/>
      </c>
      <c r="CJ158" s="392">
        <f>IF(ISBLANK(Actuals!CK71),IF(AND(Projects!$G$11="Yes",84&gt;=Projects!$C$11,84&lt;Projects!$C$11+Projects!$D$11),6315.79,0),Actuals!CK71)</f>
        <v/>
      </c>
      <c r="CK158" s="392">
        <f>IF(ISBLANK(Actuals!CL71),IF(AND(Projects!$G$11="Yes",85&gt;=Projects!$C$11,85&lt;Projects!$C$11+Projects!$D$11),6315.79,0),Actuals!CL71)</f>
        <v/>
      </c>
      <c r="CL158" s="392">
        <f>IF(ISBLANK(Actuals!CM71),IF(AND(Projects!$G$11="Yes",86&gt;=Projects!$C$11,86&lt;Projects!$C$11+Projects!$D$11),6315.79,0),Actuals!CM71)</f>
        <v/>
      </c>
      <c r="CM158" s="392">
        <f>IF(ISBLANK(Actuals!CN71),IF(AND(Projects!$G$11="Yes",87&gt;=Projects!$C$11,87&lt;Projects!$C$11+Projects!$D$11),6315.79,0),Actuals!CN71)</f>
        <v/>
      </c>
      <c r="CN158" s="392">
        <f>IF(ISBLANK(Actuals!CO71),IF(AND(Projects!$G$11="Yes",88&gt;=Projects!$C$11,88&lt;Projects!$C$11+Projects!$D$11),6315.79,0),Actuals!CO71)</f>
        <v/>
      </c>
      <c r="CO158" s="392">
        <f>IF(ISBLANK(Actuals!CP71),IF(AND(Projects!$G$11="Yes",89&gt;=Projects!$C$11,89&lt;Projects!$C$11+Projects!$D$11),6315.79,0),Actuals!CP71)</f>
        <v/>
      </c>
      <c r="CP158" s="392">
        <f>IF(ISBLANK(Actuals!CQ71),IF(AND(Projects!$G$11="Yes",90&gt;=Projects!$C$11,90&lt;Projects!$C$11+Projects!$D$11),6315.79,0),Actuals!CQ71)</f>
        <v/>
      </c>
      <c r="CQ158" s="392">
        <f>IF(ISBLANK(Actuals!CR71),IF(AND(Projects!$G$11="Yes",91&gt;=Projects!$C$11,91&lt;Projects!$C$11+Projects!$D$11),6315.79,0),Actuals!CR71)</f>
        <v/>
      </c>
      <c r="CR158" s="392">
        <f>IF(ISBLANK(Actuals!CS71),IF(AND(Projects!$G$11="Yes",92&gt;=Projects!$C$11,92&lt;Projects!$C$11+Projects!$D$11),6315.79,0),Actuals!CS71)</f>
        <v/>
      </c>
      <c r="CS158" s="392">
        <f>IF(ISBLANK(Actuals!CT71),IF(AND(Projects!$G$11="Yes",93&gt;=Projects!$C$11,93&lt;Projects!$C$11+Projects!$D$11),6315.79,0),Actuals!CT71)</f>
        <v/>
      </c>
      <c r="CT158" s="392">
        <f>IF(ISBLANK(Actuals!CU71),IF(AND(Projects!$G$11="Yes",94&gt;=Projects!$C$11,94&lt;Projects!$C$11+Projects!$D$11),6315.79,0),Actuals!CU71)</f>
        <v/>
      </c>
      <c r="CU158" s="392">
        <f>IF(ISBLANK(Actuals!CV71),IF(AND(Projects!$G$11="Yes",95&gt;=Projects!$C$11,95&lt;Projects!$C$11+Projects!$D$11),6315.79,0),Actuals!CV71)</f>
        <v/>
      </c>
      <c r="CV158" s="392">
        <f>IF(ISBLANK(Actuals!CW71),IF(AND(Projects!$G$11="Yes",96&gt;=Projects!$C$11,96&lt;Projects!$C$11+Projects!$D$11),6315.79,0),Actuals!CW71)</f>
        <v/>
      </c>
      <c r="CW158" s="392">
        <f>IF(ISBLANK(Actuals!CX71),IF(AND(Projects!$G$11="Yes",97&gt;=Projects!$C$11,97&lt;Projects!$C$11+Projects!$D$11),6315.79,0),Actuals!CX71)</f>
        <v/>
      </c>
      <c r="CX158" s="392">
        <f>IF(ISBLANK(Actuals!CY71),IF(AND(Projects!$G$11="Yes",98&gt;=Projects!$C$11,98&lt;Projects!$C$11+Projects!$D$11),6315.79,0),Actuals!CY71)</f>
        <v/>
      </c>
      <c r="CY158" s="392">
        <f>IF(ISBLANK(Actuals!CZ71),IF(AND(Projects!$G$11="Yes",99&gt;=Projects!$C$11,99&lt;Projects!$C$11+Projects!$D$11),6315.79,0),Actuals!CZ71)</f>
        <v/>
      </c>
      <c r="CZ158" s="392">
        <f>IF(ISBLANK(Actuals!DA71),IF(AND(Projects!$G$11="Yes",100&gt;=Projects!$C$11,100&lt;Projects!$C$11+Projects!$D$11),6315.79,0),Actuals!DA71)</f>
        <v/>
      </c>
      <c r="DA158" s="392">
        <f>IF(ISBLANK(Actuals!DB71),IF(AND(Projects!$G$11="Yes",101&gt;=Projects!$C$11,101&lt;Projects!$C$11+Projects!$D$11),6315.79,0),Actuals!DB71)</f>
        <v/>
      </c>
      <c r="DB158" s="392">
        <f>IF(ISBLANK(Actuals!DC71),IF(AND(Projects!$G$11="Yes",102&gt;=Projects!$C$11,102&lt;Projects!$C$11+Projects!$D$11),6315.79,0),Actuals!DC71)</f>
        <v/>
      </c>
      <c r="DC158" s="392">
        <f>IF(ISBLANK(Actuals!DD71),IF(AND(Projects!$G$11="Yes",103&gt;=Projects!$C$11,103&lt;Projects!$C$11+Projects!$D$11),6315.79,0),Actuals!DD71)</f>
        <v/>
      </c>
      <c r="DD158" s="392">
        <f>IF(ISBLANK(Actuals!DE71),IF(AND(Projects!$G$11="Yes",104&gt;=Projects!$C$11,104&lt;Projects!$C$11+Projects!$D$11),6315.79,0),Actuals!DE71)</f>
        <v/>
      </c>
      <c r="DE158" s="392">
        <f>IF(ISBLANK(Actuals!DF71),IF(AND(Projects!$G$11="Yes",105&gt;=Projects!$C$11,105&lt;Projects!$C$11+Projects!$D$11),6315.79,0),Actuals!DF71)</f>
        <v/>
      </c>
    </row>
    <row r="159" ht="15" customFormat="1" customHeight="1" s="380">
      <c r="A159" s="397" t="inlineStr">
        <is>
          <t>Klump Developer Fee</t>
        </is>
      </c>
      <c r="B159" s="392">
        <f>IF(ISBLANK(Actuals!C72),0,Actuals!C72)</f>
        <v/>
      </c>
      <c r="C159" s="392">
        <f>IF(ISBLANK(Actuals!D72),0,Actuals!D72)</f>
        <v/>
      </c>
      <c r="D159" s="392">
        <f>IF(ISBLANK(Actuals!E72),0,Actuals!E72)</f>
        <v/>
      </c>
      <c r="E159" s="392">
        <f>IF(ISBLANK(Actuals!F72),IF(AND(Projects!$G$11="Yes",1&gt;=Projects!$C$11,1&lt;Projects!$C$11+Projects!$D$11),6315.79,0),Actuals!F72)</f>
        <v/>
      </c>
      <c r="F159" s="392">
        <f>IF(ISBLANK(Actuals!G72),IF(AND(Projects!$G$11="Yes",2&gt;=Projects!$C$11,2&lt;Projects!$C$11+Projects!$D$11),6315.79,0),Actuals!G72)</f>
        <v/>
      </c>
      <c r="G159" s="392">
        <f>IF(ISBLANK(Actuals!H72),IF(AND(Projects!$G$11="Yes",3&gt;=Projects!$C$11,3&lt;Projects!$C$11+Projects!$D$11),6315.79,0),Actuals!H72)</f>
        <v/>
      </c>
      <c r="H159" s="392">
        <f>IF(ISBLANK(Actuals!I72),IF(AND(Projects!$G$11="Yes",4&gt;=Projects!$C$11,4&lt;Projects!$C$11+Projects!$D$11),6315.79,0),Actuals!I72)</f>
        <v/>
      </c>
      <c r="I159" s="392">
        <f>IF(ISBLANK(Actuals!J72),IF(AND(Projects!$G$11="Yes",5&gt;=Projects!$C$11,5&lt;Projects!$C$11+Projects!$D$11),6315.79,0),Actuals!J72)</f>
        <v/>
      </c>
      <c r="J159" s="392">
        <f>IF(ISBLANK(Actuals!K72),IF(AND(Projects!$G$11="Yes",6&gt;=Projects!$C$11,6&lt;Projects!$C$11+Projects!$D$11),6315.79,0),Actuals!K72)</f>
        <v/>
      </c>
      <c r="K159" s="392">
        <f>IF(ISBLANK(Actuals!L72),IF(AND(Projects!$G$11="Yes",7&gt;=Projects!$C$11,7&lt;Projects!$C$11+Projects!$D$11),6315.79,0),Actuals!L72)</f>
        <v/>
      </c>
      <c r="L159" s="392">
        <f>IF(ISBLANK(Actuals!M72),IF(AND(Projects!$G$11="Yes",8&gt;=Projects!$C$11,8&lt;Projects!$C$11+Projects!$D$11),6315.79,0),Actuals!M72)</f>
        <v/>
      </c>
      <c r="M159" s="392">
        <f>IF(ISBLANK(Actuals!N72),IF(AND(Projects!$G$11="Yes",9&gt;=Projects!$C$11,9&lt;Projects!$C$11+Projects!$D$11),6315.79,0),Actuals!N72)</f>
        <v/>
      </c>
      <c r="N159" s="392">
        <f>IF(ISBLANK(Actuals!O72),IF(AND(Projects!$G$11="Yes",10&gt;=Projects!$C$11,10&lt;Projects!$C$11+Projects!$D$11),6315.79,0),Actuals!O72)</f>
        <v/>
      </c>
      <c r="O159" s="392">
        <f>IF(ISBLANK(Actuals!P72),IF(AND(Projects!$G$11="Yes",11&gt;=Projects!$C$11,11&lt;Projects!$C$11+Projects!$D$11),6315.79,0),Actuals!P72)</f>
        <v/>
      </c>
      <c r="P159" s="392">
        <f>IF(ISBLANK(Actuals!Q72),IF(AND(Projects!$G$11="Yes",12&gt;=Projects!$C$11,12&lt;Projects!$C$11+Projects!$D$11),6315.79,0),Actuals!Q72)</f>
        <v/>
      </c>
      <c r="Q159" s="392">
        <f>IF(ISBLANK(Actuals!R72),IF(AND(Projects!$G$11="Yes",13&gt;=Projects!$C$11,13&lt;Projects!$C$11+Projects!$D$11),6315.79,0),Actuals!R72)</f>
        <v/>
      </c>
      <c r="R159" s="392">
        <f>IF(ISBLANK(Actuals!S72),IF(AND(Projects!$G$11="Yes",14&gt;=Projects!$C$11,14&lt;Projects!$C$11+Projects!$D$11),6315.79,0),Actuals!S72)</f>
        <v/>
      </c>
      <c r="S159" s="392">
        <f>IF(ISBLANK(Actuals!T72),IF(AND(Projects!$G$11="Yes",15&gt;=Projects!$C$11,15&lt;Projects!$C$11+Projects!$D$11),6315.79,0),Actuals!T72)</f>
        <v/>
      </c>
      <c r="T159" s="392">
        <f>IF(ISBLANK(Actuals!U72),IF(AND(Projects!$G$11="Yes",16&gt;=Projects!$C$11,16&lt;Projects!$C$11+Projects!$D$11),6315.79,0),Actuals!U72)</f>
        <v/>
      </c>
      <c r="U159" s="392">
        <f>IF(ISBLANK(Actuals!V72),IF(AND(Projects!$G$11="Yes",17&gt;=Projects!$C$11,17&lt;Projects!$C$11+Projects!$D$11),6315.79,0),Actuals!V72)</f>
        <v/>
      </c>
      <c r="V159" s="392">
        <f>IF(ISBLANK(Actuals!W72),IF(AND(Projects!$G$11="Yes",18&gt;=Projects!$C$11,18&lt;Projects!$C$11+Projects!$D$11),6315.79,0),Actuals!W72)</f>
        <v/>
      </c>
      <c r="W159" s="392">
        <f>IF(ISBLANK(Actuals!X72),IF(AND(Projects!$G$11="Yes",19&gt;=Projects!$C$11,19&lt;Projects!$C$11+Projects!$D$11),6315.79,0),Actuals!X72)</f>
        <v/>
      </c>
      <c r="X159" s="392">
        <f>IF(ISBLANK(Actuals!Y72),IF(AND(Projects!$G$11="Yes",20&gt;=Projects!$C$11,20&lt;Projects!$C$11+Projects!$D$11),6315.79,0),Actuals!Y72)</f>
        <v/>
      </c>
      <c r="Y159" s="392">
        <f>IF(ISBLANK(Actuals!Z72),IF(AND(Projects!$G$11="Yes",21&gt;=Projects!$C$11,21&lt;Projects!$C$11+Projects!$D$11),6315.79,0),Actuals!Z72)</f>
        <v/>
      </c>
      <c r="Z159" s="392">
        <f>IF(ISBLANK(Actuals!AA72),IF(AND(Projects!$G$11="Yes",22&gt;=Projects!$C$11,22&lt;Projects!$C$11+Projects!$D$11),6315.79,0),Actuals!AA72)</f>
        <v/>
      </c>
      <c r="AA159" s="392">
        <f>IF(ISBLANK(Actuals!AB72),IF(AND(Projects!$G$11="Yes",23&gt;=Projects!$C$11,23&lt;Projects!$C$11+Projects!$D$11),6315.79,0),Actuals!AB72)</f>
        <v/>
      </c>
      <c r="AB159" s="392">
        <f>IF(ISBLANK(Actuals!AC72),IF(AND(Projects!$G$11="Yes",24&gt;=Projects!$C$11,24&lt;Projects!$C$11+Projects!$D$11),6315.79,0),Actuals!AC72)</f>
        <v/>
      </c>
      <c r="AC159" s="392">
        <f>IF(ISBLANK(Actuals!AD72),IF(AND(Projects!$G$11="Yes",25&gt;=Projects!$C$11,25&lt;Projects!$C$11+Projects!$D$11),6315.79,0),Actuals!AD72)</f>
        <v/>
      </c>
      <c r="AD159" s="392">
        <f>IF(ISBLANK(Actuals!AE72),IF(AND(Projects!$G$11="Yes",26&gt;=Projects!$C$11,26&lt;Projects!$C$11+Projects!$D$11),6315.79,0),Actuals!AE72)</f>
        <v/>
      </c>
      <c r="AE159" s="392">
        <f>IF(ISBLANK(Actuals!AF72),IF(AND(Projects!$G$11="Yes",27&gt;=Projects!$C$11,27&lt;Projects!$C$11+Projects!$D$11),6315.79,0),Actuals!AF72)</f>
        <v/>
      </c>
      <c r="AF159" s="392">
        <f>IF(ISBLANK(Actuals!AG72),IF(AND(Projects!$G$11="Yes",28&gt;=Projects!$C$11,28&lt;Projects!$C$11+Projects!$D$11),6315.79,0),Actuals!AG72)</f>
        <v/>
      </c>
      <c r="AG159" s="392">
        <f>IF(ISBLANK(Actuals!AH72),IF(AND(Projects!$G$11="Yes",29&gt;=Projects!$C$11,29&lt;Projects!$C$11+Projects!$D$11),6315.79,0),Actuals!AH72)</f>
        <v/>
      </c>
      <c r="AH159" s="392">
        <f>IF(ISBLANK(Actuals!AI72),IF(AND(Projects!$G$11="Yes",30&gt;=Projects!$C$11,30&lt;Projects!$C$11+Projects!$D$11),6315.79,0),Actuals!AI72)</f>
        <v/>
      </c>
      <c r="AI159" s="392">
        <f>IF(ISBLANK(Actuals!AJ72),IF(AND(Projects!$G$11="Yes",31&gt;=Projects!$C$11,31&lt;Projects!$C$11+Projects!$D$11),6315.79,0),Actuals!AJ72)</f>
        <v/>
      </c>
      <c r="AJ159" s="392">
        <f>IF(ISBLANK(Actuals!AK72),IF(AND(Projects!$G$11="Yes",32&gt;=Projects!$C$11,32&lt;Projects!$C$11+Projects!$D$11),6315.79,0),Actuals!AK72)</f>
        <v/>
      </c>
      <c r="AK159" s="392">
        <f>IF(ISBLANK(Actuals!AL72),IF(AND(Projects!$G$11="Yes",33&gt;=Projects!$C$11,33&lt;Projects!$C$11+Projects!$D$11),6315.79,0),Actuals!AL72)</f>
        <v/>
      </c>
      <c r="AL159" s="392">
        <f>IF(ISBLANK(Actuals!AM72),IF(AND(Projects!$G$11="Yes",34&gt;=Projects!$C$11,34&lt;Projects!$C$11+Projects!$D$11),6315.79,0),Actuals!AM72)</f>
        <v/>
      </c>
      <c r="AM159" s="392">
        <f>IF(ISBLANK(Actuals!AN72),IF(AND(Projects!$G$11="Yes",35&gt;=Projects!$C$11,35&lt;Projects!$C$11+Projects!$D$11),6315.79,0),Actuals!AN72)</f>
        <v/>
      </c>
      <c r="AN159" s="392">
        <f>IF(ISBLANK(Actuals!AO72),IF(AND(Projects!$G$11="Yes",36&gt;=Projects!$C$11,36&lt;Projects!$C$11+Projects!$D$11),6315.79,0),Actuals!AO72)</f>
        <v/>
      </c>
      <c r="AO159" s="392">
        <f>IF(ISBLANK(Actuals!AP72),IF(AND(Projects!$G$11="Yes",37&gt;=Projects!$C$11,37&lt;Projects!$C$11+Projects!$D$11),6315.79,0),Actuals!AP72)</f>
        <v/>
      </c>
      <c r="AP159" s="392">
        <f>IF(ISBLANK(Actuals!AQ72),IF(AND(Projects!$G$11="Yes",38&gt;=Projects!$C$11,38&lt;Projects!$C$11+Projects!$D$11),6315.79,0),Actuals!AQ72)</f>
        <v/>
      </c>
      <c r="AQ159" s="392">
        <f>IF(ISBLANK(Actuals!AR72),IF(AND(Projects!$G$11="Yes",39&gt;=Projects!$C$11,39&lt;Projects!$C$11+Projects!$D$11),6315.79,0),Actuals!AR72)</f>
        <v/>
      </c>
      <c r="AR159" s="392">
        <f>IF(ISBLANK(Actuals!AS72),IF(AND(Projects!$G$11="Yes",40&gt;=Projects!$C$11,40&lt;Projects!$C$11+Projects!$D$11),6315.79,0),Actuals!AS72)</f>
        <v/>
      </c>
      <c r="AS159" s="392">
        <f>IF(ISBLANK(Actuals!AT72),IF(AND(Projects!$G$11="Yes",41&gt;=Projects!$C$11,41&lt;Projects!$C$11+Projects!$D$11),6315.79,0),Actuals!AT72)</f>
        <v/>
      </c>
      <c r="AT159" s="392">
        <f>IF(ISBLANK(Actuals!AU72),IF(AND(Projects!$G$11="Yes",42&gt;=Projects!$C$11,42&lt;Projects!$C$11+Projects!$D$11),6315.79,0),Actuals!AU72)</f>
        <v/>
      </c>
      <c r="AU159" s="392">
        <f>IF(ISBLANK(Actuals!AV72),IF(AND(Projects!$G$11="Yes",43&gt;=Projects!$C$11,43&lt;Projects!$C$11+Projects!$D$11),6315.79,0),Actuals!AV72)</f>
        <v/>
      </c>
      <c r="AV159" s="392">
        <f>IF(ISBLANK(Actuals!AW72),IF(AND(Projects!$G$11="Yes",44&gt;=Projects!$C$11,44&lt;Projects!$C$11+Projects!$D$11),6315.79,0),Actuals!AW72)</f>
        <v/>
      </c>
      <c r="AW159" s="392">
        <f>IF(ISBLANK(Actuals!AX72),IF(AND(Projects!$G$11="Yes",45&gt;=Projects!$C$11,45&lt;Projects!$C$11+Projects!$D$11),6315.79,0),Actuals!AX72)</f>
        <v/>
      </c>
      <c r="AX159" s="392">
        <f>IF(ISBLANK(Actuals!AY72),IF(AND(Projects!$G$11="Yes",46&gt;=Projects!$C$11,46&lt;Projects!$C$11+Projects!$D$11),6315.79,0),Actuals!AY72)</f>
        <v/>
      </c>
      <c r="AY159" s="392">
        <f>IF(ISBLANK(Actuals!AZ72),IF(AND(Projects!$G$11="Yes",47&gt;=Projects!$C$11,47&lt;Projects!$C$11+Projects!$D$11),6315.79,0),Actuals!AZ72)</f>
        <v/>
      </c>
      <c r="AZ159" s="392">
        <f>IF(ISBLANK(Actuals!BA72),IF(AND(Projects!$G$11="Yes",48&gt;=Projects!$C$11,48&lt;Projects!$C$11+Projects!$D$11),6315.79,0),Actuals!BA72)</f>
        <v/>
      </c>
      <c r="BA159" s="392">
        <f>IF(ISBLANK(Actuals!BB72),IF(AND(Projects!$G$11="Yes",49&gt;=Projects!$C$11,49&lt;Projects!$C$11+Projects!$D$11),6315.79,0),Actuals!BB72)</f>
        <v/>
      </c>
      <c r="BB159" s="392">
        <f>IF(ISBLANK(Actuals!BC72),IF(AND(Projects!$G$11="Yes",50&gt;=Projects!$C$11,50&lt;Projects!$C$11+Projects!$D$11),6315.79,0),Actuals!BC72)</f>
        <v/>
      </c>
      <c r="BC159" s="392">
        <f>IF(ISBLANK(Actuals!BD72),IF(AND(Projects!$G$11="Yes",51&gt;=Projects!$C$11,51&lt;Projects!$C$11+Projects!$D$11),6315.79,0),Actuals!BD72)</f>
        <v/>
      </c>
      <c r="BD159" s="392">
        <f>IF(ISBLANK(Actuals!BE72),IF(AND(Projects!$G$11="Yes",52&gt;=Projects!$C$11,52&lt;Projects!$C$11+Projects!$D$11),6315.79,0),Actuals!BE72)</f>
        <v/>
      </c>
      <c r="BE159" s="392">
        <f>IF(ISBLANK(Actuals!BF72),IF(AND(Projects!$G$11="Yes",53&gt;=Projects!$C$11,53&lt;Projects!$C$11+Projects!$D$11),6315.79,0),Actuals!BF72)</f>
        <v/>
      </c>
      <c r="BF159" s="392">
        <f>IF(ISBLANK(Actuals!BG72),IF(AND(Projects!$G$11="Yes",54&gt;=Projects!$C$11,54&lt;Projects!$C$11+Projects!$D$11),6315.79,0),Actuals!BG72)</f>
        <v/>
      </c>
      <c r="BG159" s="392">
        <f>IF(ISBLANK(Actuals!BH72),IF(AND(Projects!$G$11="Yes",55&gt;=Projects!$C$11,55&lt;Projects!$C$11+Projects!$D$11),6315.79,0),Actuals!BH72)</f>
        <v/>
      </c>
      <c r="BH159" s="392">
        <f>IF(ISBLANK(Actuals!BI72),IF(AND(Projects!$G$11="Yes",56&gt;=Projects!$C$11,56&lt;Projects!$C$11+Projects!$D$11),6315.79,0),Actuals!BI72)</f>
        <v/>
      </c>
      <c r="BI159" s="392">
        <f>IF(ISBLANK(Actuals!BJ72),IF(AND(Projects!$G$11="Yes",57&gt;=Projects!$C$11,57&lt;Projects!$C$11+Projects!$D$11),6315.79,0),Actuals!BJ72)</f>
        <v/>
      </c>
      <c r="BJ159" s="392">
        <f>IF(ISBLANK(Actuals!BK72),IF(AND(Projects!$G$11="Yes",58&gt;=Projects!$C$11,58&lt;Projects!$C$11+Projects!$D$11),6315.79,0),Actuals!BK72)</f>
        <v/>
      </c>
      <c r="BK159" s="392">
        <f>IF(ISBLANK(Actuals!BL72),IF(AND(Projects!$G$11="Yes",59&gt;=Projects!$C$11,59&lt;Projects!$C$11+Projects!$D$11),6315.79,0),Actuals!BL72)</f>
        <v/>
      </c>
      <c r="BL159" s="392">
        <f>IF(ISBLANK(Actuals!BM72),IF(AND(Projects!$G$11="Yes",60&gt;=Projects!$C$11,60&lt;Projects!$C$11+Projects!$D$11),6315.79,0),Actuals!BM72)</f>
        <v/>
      </c>
      <c r="BM159" s="392">
        <f>IF(ISBLANK(Actuals!BN72),IF(AND(Projects!$G$11="Yes",61&gt;=Projects!$C$11,61&lt;Projects!$C$11+Projects!$D$11),6315.79,0),Actuals!BN72)</f>
        <v/>
      </c>
      <c r="BN159" s="392">
        <f>IF(ISBLANK(Actuals!BO72),IF(AND(Projects!$G$11="Yes",62&gt;=Projects!$C$11,62&lt;Projects!$C$11+Projects!$D$11),6315.79,0),Actuals!BO72)</f>
        <v/>
      </c>
      <c r="BO159" s="392">
        <f>IF(ISBLANK(Actuals!BP72),IF(AND(Projects!$G$11="Yes",63&gt;=Projects!$C$11,63&lt;Projects!$C$11+Projects!$D$11),6315.79,0),Actuals!BP72)</f>
        <v/>
      </c>
      <c r="BP159" s="392">
        <f>IF(ISBLANK(Actuals!BQ72),IF(AND(Projects!$G$11="Yes",64&gt;=Projects!$C$11,64&lt;Projects!$C$11+Projects!$D$11),6315.79,0),Actuals!BQ72)</f>
        <v/>
      </c>
      <c r="BQ159" s="392">
        <f>IF(ISBLANK(Actuals!BR72),IF(AND(Projects!$G$11="Yes",65&gt;=Projects!$C$11,65&lt;Projects!$C$11+Projects!$D$11),6315.79,0),Actuals!BR72)</f>
        <v/>
      </c>
      <c r="BR159" s="392">
        <f>IF(ISBLANK(Actuals!BS72),IF(AND(Projects!$G$11="Yes",66&gt;=Projects!$C$11,66&lt;Projects!$C$11+Projects!$D$11),6315.79,0),Actuals!BS72)</f>
        <v/>
      </c>
      <c r="BS159" s="392">
        <f>IF(ISBLANK(Actuals!BT72),IF(AND(Projects!$G$11="Yes",67&gt;=Projects!$C$11,67&lt;Projects!$C$11+Projects!$D$11),6315.79,0),Actuals!BT72)</f>
        <v/>
      </c>
      <c r="BT159" s="392">
        <f>IF(ISBLANK(Actuals!BU72),IF(AND(Projects!$G$11="Yes",68&gt;=Projects!$C$11,68&lt;Projects!$C$11+Projects!$D$11),6315.79,0),Actuals!BU72)</f>
        <v/>
      </c>
      <c r="BU159" s="392">
        <f>IF(ISBLANK(Actuals!BV72),IF(AND(Projects!$G$11="Yes",69&gt;=Projects!$C$11,69&lt;Projects!$C$11+Projects!$D$11),6315.79,0),Actuals!BV72)</f>
        <v/>
      </c>
      <c r="BV159" s="392">
        <f>IF(ISBLANK(Actuals!BW72),IF(AND(Projects!$G$11="Yes",70&gt;=Projects!$C$11,70&lt;Projects!$C$11+Projects!$D$11),6315.79,0),Actuals!BW72)</f>
        <v/>
      </c>
      <c r="BW159" s="392">
        <f>IF(ISBLANK(Actuals!BX72),IF(AND(Projects!$G$11="Yes",71&gt;=Projects!$C$11,71&lt;Projects!$C$11+Projects!$D$11),6315.79,0),Actuals!BX72)</f>
        <v/>
      </c>
      <c r="BX159" s="392">
        <f>IF(ISBLANK(Actuals!BY72),IF(AND(Projects!$G$11="Yes",72&gt;=Projects!$C$11,72&lt;Projects!$C$11+Projects!$D$11),6315.79,0),Actuals!BY72)</f>
        <v/>
      </c>
      <c r="BY159" s="392">
        <f>IF(ISBLANK(Actuals!BZ72),IF(AND(Projects!$G$11="Yes",73&gt;=Projects!$C$11,73&lt;Projects!$C$11+Projects!$D$11),6315.79,0),Actuals!BZ72)</f>
        <v/>
      </c>
      <c r="BZ159" s="392">
        <f>IF(ISBLANK(Actuals!CA72),IF(AND(Projects!$G$11="Yes",74&gt;=Projects!$C$11,74&lt;Projects!$C$11+Projects!$D$11),6315.79,0),Actuals!CA72)</f>
        <v/>
      </c>
      <c r="CA159" s="392">
        <f>IF(ISBLANK(Actuals!CB72),IF(AND(Projects!$G$11="Yes",75&gt;=Projects!$C$11,75&lt;Projects!$C$11+Projects!$D$11),6315.79,0),Actuals!CB72)</f>
        <v/>
      </c>
      <c r="CB159" s="392">
        <f>IF(ISBLANK(Actuals!CC72),IF(AND(Projects!$G$11="Yes",76&gt;=Projects!$C$11,76&lt;Projects!$C$11+Projects!$D$11),6315.79,0),Actuals!CC72)</f>
        <v/>
      </c>
      <c r="CC159" s="392">
        <f>IF(ISBLANK(Actuals!CD72),IF(AND(Projects!$G$11="Yes",77&gt;=Projects!$C$11,77&lt;Projects!$C$11+Projects!$D$11),6315.79,0),Actuals!CD72)</f>
        <v/>
      </c>
      <c r="CD159" s="392">
        <f>IF(ISBLANK(Actuals!CE72),IF(AND(Projects!$G$11="Yes",78&gt;=Projects!$C$11,78&lt;Projects!$C$11+Projects!$D$11),6315.79,0),Actuals!CE72)</f>
        <v/>
      </c>
      <c r="CE159" s="392">
        <f>IF(ISBLANK(Actuals!CF72),IF(AND(Projects!$G$11="Yes",79&gt;=Projects!$C$11,79&lt;Projects!$C$11+Projects!$D$11),6315.79,0),Actuals!CF72)</f>
        <v/>
      </c>
      <c r="CF159" s="392">
        <f>IF(ISBLANK(Actuals!CG72),IF(AND(Projects!$G$11="Yes",80&gt;=Projects!$C$11,80&lt;Projects!$C$11+Projects!$D$11),6315.79,0),Actuals!CG72)</f>
        <v/>
      </c>
      <c r="CG159" s="392">
        <f>IF(ISBLANK(Actuals!CH72),IF(AND(Projects!$G$11="Yes",81&gt;=Projects!$C$11,81&lt;Projects!$C$11+Projects!$D$11),6315.79,0),Actuals!CH72)</f>
        <v/>
      </c>
      <c r="CH159" s="392">
        <f>IF(ISBLANK(Actuals!CI72),IF(AND(Projects!$G$11="Yes",82&gt;=Projects!$C$11,82&lt;Projects!$C$11+Projects!$D$11),6315.79,0),Actuals!CI72)</f>
        <v/>
      </c>
      <c r="CI159" s="392">
        <f>IF(ISBLANK(Actuals!CJ72),IF(AND(Projects!$G$11="Yes",83&gt;=Projects!$C$11,83&lt;Projects!$C$11+Projects!$D$11),6315.79,0),Actuals!CJ72)</f>
        <v/>
      </c>
      <c r="CJ159" s="392">
        <f>IF(ISBLANK(Actuals!CK72),IF(AND(Projects!$G$11="Yes",84&gt;=Projects!$C$11,84&lt;Projects!$C$11+Projects!$D$11),6315.79,0),Actuals!CK72)</f>
        <v/>
      </c>
      <c r="CK159" s="392">
        <f>IF(ISBLANK(Actuals!CL72),IF(AND(Projects!$G$11="Yes",85&gt;=Projects!$C$11,85&lt;Projects!$C$11+Projects!$D$11),6315.79,0),Actuals!CL72)</f>
        <v/>
      </c>
      <c r="CL159" s="392">
        <f>IF(ISBLANK(Actuals!CM72),IF(AND(Projects!$G$11="Yes",86&gt;=Projects!$C$11,86&lt;Projects!$C$11+Projects!$D$11),6315.79,0),Actuals!CM72)</f>
        <v/>
      </c>
      <c r="CM159" s="392">
        <f>IF(ISBLANK(Actuals!CN72),IF(AND(Projects!$G$11="Yes",87&gt;=Projects!$C$11,87&lt;Projects!$C$11+Projects!$D$11),6315.79,0),Actuals!CN72)</f>
        <v/>
      </c>
      <c r="CN159" s="392">
        <f>IF(ISBLANK(Actuals!CO72),IF(AND(Projects!$G$11="Yes",88&gt;=Projects!$C$11,88&lt;Projects!$C$11+Projects!$D$11),6315.79,0),Actuals!CO72)</f>
        <v/>
      </c>
      <c r="CO159" s="392">
        <f>IF(ISBLANK(Actuals!CP72),IF(AND(Projects!$G$11="Yes",89&gt;=Projects!$C$11,89&lt;Projects!$C$11+Projects!$D$11),6315.79,0),Actuals!CP72)</f>
        <v/>
      </c>
      <c r="CP159" s="392">
        <f>IF(ISBLANK(Actuals!CQ72),IF(AND(Projects!$G$11="Yes",90&gt;=Projects!$C$11,90&lt;Projects!$C$11+Projects!$D$11),6315.79,0),Actuals!CQ72)</f>
        <v/>
      </c>
      <c r="CQ159" s="392">
        <f>IF(ISBLANK(Actuals!CR72),IF(AND(Projects!$G$11="Yes",91&gt;=Projects!$C$11,91&lt;Projects!$C$11+Projects!$D$11),6315.79,0),Actuals!CR72)</f>
        <v/>
      </c>
      <c r="CR159" s="392">
        <f>IF(ISBLANK(Actuals!CS72),IF(AND(Projects!$G$11="Yes",92&gt;=Projects!$C$11,92&lt;Projects!$C$11+Projects!$D$11),6315.79,0),Actuals!CS72)</f>
        <v/>
      </c>
      <c r="CS159" s="392">
        <f>IF(ISBLANK(Actuals!CT72),IF(AND(Projects!$G$11="Yes",93&gt;=Projects!$C$11,93&lt;Projects!$C$11+Projects!$D$11),6315.79,0),Actuals!CT72)</f>
        <v/>
      </c>
      <c r="CT159" s="392">
        <f>IF(ISBLANK(Actuals!CU72),IF(AND(Projects!$G$11="Yes",94&gt;=Projects!$C$11,94&lt;Projects!$C$11+Projects!$D$11),6315.79,0),Actuals!CU72)</f>
        <v/>
      </c>
      <c r="CU159" s="392">
        <f>IF(ISBLANK(Actuals!CV72),IF(AND(Projects!$G$11="Yes",95&gt;=Projects!$C$11,95&lt;Projects!$C$11+Projects!$D$11),6315.79,0),Actuals!CV72)</f>
        <v/>
      </c>
      <c r="CV159" s="392">
        <f>IF(ISBLANK(Actuals!CW72),IF(AND(Projects!$G$11="Yes",96&gt;=Projects!$C$11,96&lt;Projects!$C$11+Projects!$D$11),6315.79,0),Actuals!CW72)</f>
        <v/>
      </c>
      <c r="CW159" s="392">
        <f>IF(ISBLANK(Actuals!CX72),IF(AND(Projects!$G$11="Yes",97&gt;=Projects!$C$11,97&lt;Projects!$C$11+Projects!$D$11),6315.79,0),Actuals!CX72)</f>
        <v/>
      </c>
      <c r="CX159" s="392">
        <f>IF(ISBLANK(Actuals!CY72),IF(AND(Projects!$G$11="Yes",98&gt;=Projects!$C$11,98&lt;Projects!$C$11+Projects!$D$11),6315.79,0),Actuals!CY72)</f>
        <v/>
      </c>
      <c r="CY159" s="392">
        <f>IF(ISBLANK(Actuals!CZ72),IF(AND(Projects!$G$11="Yes",99&gt;=Projects!$C$11,99&lt;Projects!$C$11+Projects!$D$11),6315.79,0),Actuals!CZ72)</f>
        <v/>
      </c>
      <c r="CZ159" s="392">
        <f>IF(ISBLANK(Actuals!DA72),IF(AND(Projects!$G$11="Yes",100&gt;=Projects!$C$11,100&lt;Projects!$C$11+Projects!$D$11),6315.79,0),Actuals!DA72)</f>
        <v/>
      </c>
      <c r="DA159" s="392">
        <f>IF(ISBLANK(Actuals!DB72),IF(AND(Projects!$G$11="Yes",101&gt;=Projects!$C$11,101&lt;Projects!$C$11+Projects!$D$11),6315.79,0),Actuals!DB72)</f>
        <v/>
      </c>
      <c r="DB159" s="392">
        <f>IF(ISBLANK(Actuals!DC72),IF(AND(Projects!$G$11="Yes",102&gt;=Projects!$C$11,102&lt;Projects!$C$11+Projects!$D$11),6315.79,0),Actuals!DC72)</f>
        <v/>
      </c>
      <c r="DC159" s="392">
        <f>IF(ISBLANK(Actuals!DD72),IF(AND(Projects!$G$11="Yes",103&gt;=Projects!$C$11,103&lt;Projects!$C$11+Projects!$D$11),6315.79,0),Actuals!DD72)</f>
        <v/>
      </c>
      <c r="DD159" s="392">
        <f>IF(ISBLANK(Actuals!DE72),IF(AND(Projects!$G$11="Yes",104&gt;=Projects!$C$11,104&lt;Projects!$C$11+Projects!$D$11),6315.79,0),Actuals!DE72)</f>
        <v/>
      </c>
      <c r="DE159" s="392">
        <f>IF(ISBLANK(Actuals!DF72),IF(AND(Projects!$G$11="Yes",105&gt;=Projects!$C$11,105&lt;Projects!$C$11+Projects!$D$11),6315.79,0),Actuals!DF72)</f>
        <v/>
      </c>
    </row>
    <row r="160" ht="15" customFormat="1" customHeight="1" s="380">
      <c r="A160" s="397" t="inlineStr">
        <is>
          <t>Klump Guarantee Fee</t>
        </is>
      </c>
      <c r="B160" s="392">
        <f>IF(ISBLANK(Actuals!C73),IF(AND(Projects!$G$11="Yes",-2=Projects!$C$11),253980,0),Actuals!C73)</f>
        <v/>
      </c>
      <c r="C160" s="392">
        <f>IF(ISBLANK(Actuals!D73),IF(AND(Projects!$G$11="Yes",-1=Projects!$C$11),253980,0),Actuals!D73)</f>
        <v/>
      </c>
      <c r="D160" s="392">
        <f>IF(ISBLANK(Actuals!E73),IF(AND(Projects!$G$11="Yes",0=Projects!$C$11),253980,0),Actuals!E73)</f>
        <v/>
      </c>
      <c r="E160" s="392">
        <f>IF(ISBLANK(Actuals!F73),IF(AND(Projects!$G$11="Yes",1=Projects!$C$11),253980,0),Actuals!F73)</f>
        <v/>
      </c>
      <c r="F160" s="392">
        <f>IF(ISBLANK(Actuals!G73),IF(AND(Projects!$G$11="Yes",2=Projects!$C$11),253980,0),Actuals!G73)</f>
        <v/>
      </c>
      <c r="G160" s="392">
        <f>IF(ISBLANK(Actuals!H73),IF(AND(Projects!$G$11="Yes",3=Projects!$C$11),253980,0),Actuals!H73)</f>
        <v/>
      </c>
      <c r="H160" s="392">
        <f>IF(ISBLANK(Actuals!I73),IF(AND(Projects!$G$11="Yes",4=Projects!$C$11),253980,0),Actuals!I73)</f>
        <v/>
      </c>
      <c r="I160" s="392">
        <f>IF(ISBLANK(Actuals!J73),IF(AND(Projects!$G$11="Yes",5=Projects!$C$11),253980,0),Actuals!J73)</f>
        <v/>
      </c>
      <c r="J160" s="392">
        <f>IF(ISBLANK(Actuals!K73),IF(AND(Projects!$G$11="Yes",6=Projects!$C$11),253980,0),Actuals!K73)</f>
        <v/>
      </c>
      <c r="K160" s="392">
        <f>IF(ISBLANK(Actuals!L73),IF(AND(Projects!$G$11="Yes",7=Projects!$C$11),253980,0),Actuals!L73)</f>
        <v/>
      </c>
      <c r="L160" s="392">
        <f>IF(ISBLANK(Actuals!M73),IF(AND(Projects!$G$11="Yes",8=Projects!$C$11),253980,0),Actuals!M73)</f>
        <v/>
      </c>
      <c r="M160" s="392">
        <f>IF(ISBLANK(Actuals!N73),IF(AND(Projects!$G$11="Yes",9=Projects!$C$11),253980,0),Actuals!N73)</f>
        <v/>
      </c>
      <c r="N160" s="392">
        <f>IF(ISBLANK(Actuals!O73),IF(AND(Projects!$G$11="Yes",10=Projects!$C$11),253980,0),Actuals!O73)</f>
        <v/>
      </c>
      <c r="O160" s="392">
        <f>IF(ISBLANK(Actuals!P73),IF(AND(Projects!$G$11="Yes",11=Projects!$C$11),253980,0),Actuals!P73)</f>
        <v/>
      </c>
      <c r="P160" s="392">
        <f>IF(ISBLANK(Actuals!Q73),IF(AND(Projects!$G$11="Yes",12=Projects!$C$11),253980,0),Actuals!Q73)</f>
        <v/>
      </c>
      <c r="Q160" s="392">
        <f>IF(ISBLANK(Actuals!R73),IF(AND(Projects!$G$11="Yes",13=Projects!$C$11),253980,0),Actuals!R73)</f>
        <v/>
      </c>
      <c r="R160" s="392">
        <f>IF(ISBLANK(Actuals!S73),IF(AND(Projects!$G$11="Yes",14=Projects!$C$11),253980,0),Actuals!S73)</f>
        <v/>
      </c>
      <c r="S160" s="392">
        <f>IF(ISBLANK(Actuals!T73),IF(AND(Projects!$G$11="Yes",15=Projects!$C$11),253980,0),Actuals!T73)</f>
        <v/>
      </c>
      <c r="T160" s="392">
        <f>IF(ISBLANK(Actuals!U73),IF(AND(Projects!$G$11="Yes",16=Projects!$C$11),253980,0),Actuals!U73)</f>
        <v/>
      </c>
      <c r="U160" s="392">
        <f>IF(ISBLANK(Actuals!V73),IF(AND(Projects!$G$11="Yes",17=Projects!$C$11),253980,0),Actuals!V73)</f>
        <v/>
      </c>
      <c r="V160" s="392">
        <f>IF(ISBLANK(Actuals!W73),IF(AND(Projects!$G$11="Yes",18=Projects!$C$11),253980,0),Actuals!W73)</f>
        <v/>
      </c>
      <c r="W160" s="392">
        <f>IF(ISBLANK(Actuals!X73),IF(AND(Projects!$G$11="Yes",19=Projects!$C$11),253980,0),Actuals!X73)</f>
        <v/>
      </c>
      <c r="X160" s="392">
        <f>IF(ISBLANK(Actuals!Y73),IF(AND(Projects!$G$11="Yes",20=Projects!$C$11),253980,0),Actuals!Y73)</f>
        <v/>
      </c>
      <c r="Y160" s="392">
        <f>IF(ISBLANK(Actuals!Z73),IF(AND(Projects!$G$11="Yes",21=Projects!$C$11),253980,0),Actuals!Z73)</f>
        <v/>
      </c>
      <c r="Z160" s="392">
        <f>IF(ISBLANK(Actuals!AA73),IF(AND(Projects!$G$11="Yes",22=Projects!$C$11),253980,0),Actuals!AA73)</f>
        <v/>
      </c>
      <c r="AA160" s="392">
        <f>IF(ISBLANK(Actuals!AB73),IF(AND(Projects!$G$11="Yes",23=Projects!$C$11),253980,0),Actuals!AB73)</f>
        <v/>
      </c>
      <c r="AB160" s="392">
        <f>IF(ISBLANK(Actuals!AC73),IF(AND(Projects!$G$11="Yes",24=Projects!$C$11),253980,0),Actuals!AC73)</f>
        <v/>
      </c>
      <c r="AC160" s="392">
        <f>IF(ISBLANK(Actuals!AD73),IF(AND(Projects!$G$11="Yes",25=Projects!$C$11),253980,0),Actuals!AD73)</f>
        <v/>
      </c>
      <c r="AD160" s="392">
        <f>IF(ISBLANK(Actuals!AE73),IF(AND(Projects!$G$11="Yes",26=Projects!$C$11),253980,0),Actuals!AE73)</f>
        <v/>
      </c>
      <c r="AE160" s="392">
        <f>IF(ISBLANK(Actuals!AF73),IF(AND(Projects!$G$11="Yes",27=Projects!$C$11),253980,0),Actuals!AF73)</f>
        <v/>
      </c>
      <c r="AF160" s="392">
        <f>IF(ISBLANK(Actuals!AG73),IF(AND(Projects!$G$11="Yes",28=Projects!$C$11),253980,0),Actuals!AG73)</f>
        <v/>
      </c>
      <c r="AG160" s="392">
        <f>IF(ISBLANK(Actuals!AH73),IF(AND(Projects!$G$11="Yes",29=Projects!$C$11),253980,0),Actuals!AH73)</f>
        <v/>
      </c>
      <c r="AH160" s="392">
        <f>IF(ISBLANK(Actuals!AI73),IF(AND(Projects!$G$11="Yes",30=Projects!$C$11),253980,0),Actuals!AI73)</f>
        <v/>
      </c>
      <c r="AI160" s="392">
        <f>IF(ISBLANK(Actuals!AJ73),IF(AND(Projects!$G$11="Yes",31=Projects!$C$11),253980,0),Actuals!AJ73)</f>
        <v/>
      </c>
      <c r="AJ160" s="392">
        <f>IF(ISBLANK(Actuals!AK73),IF(AND(Projects!$G$11="Yes",32=Projects!$C$11),253980,0),Actuals!AK73)</f>
        <v/>
      </c>
      <c r="AK160" s="392">
        <f>IF(ISBLANK(Actuals!AL73),IF(AND(Projects!$G$11="Yes",33=Projects!$C$11),253980,0),Actuals!AL73)</f>
        <v/>
      </c>
      <c r="AL160" s="392">
        <f>IF(ISBLANK(Actuals!AM73),IF(AND(Projects!$G$11="Yes",34=Projects!$C$11),253980,0),Actuals!AM73)</f>
        <v/>
      </c>
      <c r="AM160" s="392">
        <f>IF(ISBLANK(Actuals!AN73),IF(AND(Projects!$G$11="Yes",35=Projects!$C$11),253980,0),Actuals!AN73)</f>
        <v/>
      </c>
      <c r="AN160" s="392">
        <f>IF(ISBLANK(Actuals!AO73),IF(AND(Projects!$G$11="Yes",36=Projects!$C$11),253980,0),Actuals!AO73)</f>
        <v/>
      </c>
      <c r="AO160" s="392">
        <f>IF(ISBLANK(Actuals!AP73),IF(AND(Projects!$G$11="Yes",37=Projects!$C$11),253980,0),Actuals!AP73)</f>
        <v/>
      </c>
      <c r="AP160" s="392">
        <f>IF(ISBLANK(Actuals!AQ73),IF(AND(Projects!$G$11="Yes",38=Projects!$C$11),253980,0),Actuals!AQ73)</f>
        <v/>
      </c>
      <c r="AQ160" s="392">
        <f>IF(ISBLANK(Actuals!AR73),IF(AND(Projects!$G$11="Yes",39=Projects!$C$11),253980,0),Actuals!AR73)</f>
        <v/>
      </c>
      <c r="AR160" s="392">
        <f>IF(ISBLANK(Actuals!AS73),IF(AND(Projects!$G$11="Yes",40=Projects!$C$11),253980,0),Actuals!AS73)</f>
        <v/>
      </c>
      <c r="AS160" s="392">
        <f>IF(ISBLANK(Actuals!AT73),IF(AND(Projects!$G$11="Yes",41=Projects!$C$11),253980,0),Actuals!AT73)</f>
        <v/>
      </c>
      <c r="AT160" s="392">
        <f>IF(ISBLANK(Actuals!AU73),IF(AND(Projects!$G$11="Yes",42=Projects!$C$11),253980,0),Actuals!AU73)</f>
        <v/>
      </c>
      <c r="AU160" s="392">
        <f>IF(ISBLANK(Actuals!AV73),IF(AND(Projects!$G$11="Yes",43=Projects!$C$11),253980,0),Actuals!AV73)</f>
        <v/>
      </c>
      <c r="AV160" s="392">
        <f>IF(ISBLANK(Actuals!AW73),IF(AND(Projects!$G$11="Yes",44=Projects!$C$11),253980,0),Actuals!AW73)</f>
        <v/>
      </c>
      <c r="AW160" s="392">
        <f>IF(ISBLANK(Actuals!AX73),IF(AND(Projects!$G$11="Yes",45=Projects!$C$11),253980,0),Actuals!AX73)</f>
        <v/>
      </c>
      <c r="AX160" s="392">
        <f>IF(ISBLANK(Actuals!AY73),IF(AND(Projects!$G$11="Yes",46=Projects!$C$11),253980,0),Actuals!AY73)</f>
        <v/>
      </c>
      <c r="AY160" s="392">
        <f>IF(ISBLANK(Actuals!AZ73),IF(AND(Projects!$G$11="Yes",47=Projects!$C$11),253980,0),Actuals!AZ73)</f>
        <v/>
      </c>
      <c r="AZ160" s="392">
        <f>IF(ISBLANK(Actuals!BA73),IF(AND(Projects!$G$11="Yes",48=Projects!$C$11),253980,0),Actuals!BA73)</f>
        <v/>
      </c>
      <c r="BA160" s="392">
        <f>IF(ISBLANK(Actuals!BB73),IF(AND(Projects!$G$11="Yes",49=Projects!$C$11),253980,0),Actuals!BB73)</f>
        <v/>
      </c>
      <c r="BB160" s="392">
        <f>IF(ISBLANK(Actuals!BC73),IF(AND(Projects!$G$11="Yes",50=Projects!$C$11),253980,0),Actuals!BC73)</f>
        <v/>
      </c>
      <c r="BC160" s="392">
        <f>IF(ISBLANK(Actuals!BD73),IF(AND(Projects!$G$11="Yes",51=Projects!$C$11),253980,0),Actuals!BD73)</f>
        <v/>
      </c>
      <c r="BD160" s="392">
        <f>IF(ISBLANK(Actuals!BE73),IF(AND(Projects!$G$11="Yes",52=Projects!$C$11),253980,0),Actuals!BE73)</f>
        <v/>
      </c>
      <c r="BE160" s="392">
        <f>IF(ISBLANK(Actuals!BF73),IF(AND(Projects!$G$11="Yes",53=Projects!$C$11),253980,0),Actuals!BF73)</f>
        <v/>
      </c>
      <c r="BF160" s="392">
        <f>IF(ISBLANK(Actuals!BG73),IF(AND(Projects!$G$11="Yes",54=Projects!$C$11),253980,0),Actuals!BG73)</f>
        <v/>
      </c>
      <c r="BG160" s="392">
        <f>IF(ISBLANK(Actuals!BH73),IF(AND(Projects!$G$11="Yes",55=Projects!$C$11),253980,0),Actuals!BH73)</f>
        <v/>
      </c>
      <c r="BH160" s="392">
        <f>IF(ISBLANK(Actuals!BI73),IF(AND(Projects!$G$11="Yes",56=Projects!$C$11),253980,0),Actuals!BI73)</f>
        <v/>
      </c>
      <c r="BI160" s="392">
        <f>IF(ISBLANK(Actuals!BJ73),IF(AND(Projects!$G$11="Yes",57=Projects!$C$11),253980,0),Actuals!BJ73)</f>
        <v/>
      </c>
      <c r="BJ160" s="392">
        <f>IF(ISBLANK(Actuals!BK73),IF(AND(Projects!$G$11="Yes",58=Projects!$C$11),253980,0),Actuals!BK73)</f>
        <v/>
      </c>
      <c r="BK160" s="392">
        <f>IF(ISBLANK(Actuals!BL73),IF(AND(Projects!$G$11="Yes",59=Projects!$C$11),253980,0),Actuals!BL73)</f>
        <v/>
      </c>
      <c r="BL160" s="392">
        <f>IF(ISBLANK(Actuals!BM73),IF(AND(Projects!$G$11="Yes",60=Projects!$C$11),253980,0),Actuals!BM73)</f>
        <v/>
      </c>
      <c r="BM160" s="392">
        <f>IF(ISBLANK(Actuals!BN73),IF(AND(Projects!$G$11="Yes",61=Projects!$C$11),253980,0),Actuals!BN73)</f>
        <v/>
      </c>
      <c r="BN160" s="392">
        <f>IF(ISBLANK(Actuals!BO73),IF(AND(Projects!$G$11="Yes",62=Projects!$C$11),253980,0),Actuals!BO73)</f>
        <v/>
      </c>
      <c r="BO160" s="392">
        <f>IF(ISBLANK(Actuals!BP73),IF(AND(Projects!$G$11="Yes",63=Projects!$C$11),253980,0),Actuals!BP73)</f>
        <v/>
      </c>
      <c r="BP160" s="392">
        <f>IF(ISBLANK(Actuals!BQ73),IF(AND(Projects!$G$11="Yes",64=Projects!$C$11),253980,0),Actuals!BQ73)</f>
        <v/>
      </c>
      <c r="BQ160" s="392">
        <f>IF(ISBLANK(Actuals!BR73),IF(AND(Projects!$G$11="Yes",65=Projects!$C$11),253980,0),Actuals!BR73)</f>
        <v/>
      </c>
      <c r="BR160" s="392">
        <f>IF(ISBLANK(Actuals!BS73),IF(AND(Projects!$G$11="Yes",66=Projects!$C$11),253980,0),Actuals!BS73)</f>
        <v/>
      </c>
      <c r="BS160" s="392">
        <f>IF(ISBLANK(Actuals!BT73),IF(AND(Projects!$G$11="Yes",67=Projects!$C$11),253980,0),Actuals!BT73)</f>
        <v/>
      </c>
      <c r="BT160" s="392">
        <f>IF(ISBLANK(Actuals!BU73),IF(AND(Projects!$G$11="Yes",68=Projects!$C$11),253980,0),Actuals!BU73)</f>
        <v/>
      </c>
      <c r="BU160" s="392">
        <f>IF(ISBLANK(Actuals!BV73),IF(AND(Projects!$G$11="Yes",69=Projects!$C$11),253980,0),Actuals!BV73)</f>
        <v/>
      </c>
      <c r="BV160" s="392">
        <f>IF(ISBLANK(Actuals!BW73),IF(AND(Projects!$G$11="Yes",70=Projects!$C$11),253980,0),Actuals!BW73)</f>
        <v/>
      </c>
      <c r="BW160" s="392">
        <f>IF(ISBLANK(Actuals!BX73),IF(AND(Projects!$G$11="Yes",71=Projects!$C$11),253980,0),Actuals!BX73)</f>
        <v/>
      </c>
      <c r="BX160" s="392">
        <f>IF(ISBLANK(Actuals!BY73),IF(AND(Projects!$G$11="Yes",72=Projects!$C$11),253980,0),Actuals!BY73)</f>
        <v/>
      </c>
      <c r="BY160" s="392">
        <f>IF(ISBLANK(Actuals!BZ73),IF(AND(Projects!$G$11="Yes",73=Projects!$C$11),253980,0),Actuals!BZ73)</f>
        <v/>
      </c>
      <c r="BZ160" s="392">
        <f>IF(ISBLANK(Actuals!CA73),IF(AND(Projects!$G$11="Yes",74=Projects!$C$11),253980,0),Actuals!CA73)</f>
        <v/>
      </c>
      <c r="CA160" s="392">
        <f>IF(ISBLANK(Actuals!CB73),IF(AND(Projects!$G$11="Yes",75=Projects!$C$11),253980,0),Actuals!CB73)</f>
        <v/>
      </c>
      <c r="CB160" s="392">
        <f>IF(ISBLANK(Actuals!CC73),IF(AND(Projects!$G$11="Yes",76=Projects!$C$11),253980,0),Actuals!CC73)</f>
        <v/>
      </c>
      <c r="CC160" s="392">
        <f>IF(ISBLANK(Actuals!CD73),IF(AND(Projects!$G$11="Yes",77=Projects!$C$11),253980,0),Actuals!CD73)</f>
        <v/>
      </c>
      <c r="CD160" s="392">
        <f>IF(ISBLANK(Actuals!CE73),IF(AND(Projects!$G$11="Yes",78=Projects!$C$11),253980,0),Actuals!CE73)</f>
        <v/>
      </c>
      <c r="CE160" s="392">
        <f>IF(ISBLANK(Actuals!CF73),IF(AND(Projects!$G$11="Yes",79=Projects!$C$11),253980,0),Actuals!CF73)</f>
        <v/>
      </c>
      <c r="CF160" s="392">
        <f>IF(ISBLANK(Actuals!CG73),IF(AND(Projects!$G$11="Yes",80=Projects!$C$11),253980,0),Actuals!CG73)</f>
        <v/>
      </c>
      <c r="CG160" s="392">
        <f>IF(ISBLANK(Actuals!CH73),IF(AND(Projects!$G$11="Yes",81=Projects!$C$11),253980,0),Actuals!CH73)</f>
        <v/>
      </c>
      <c r="CH160" s="392">
        <f>IF(ISBLANK(Actuals!CI73),IF(AND(Projects!$G$11="Yes",82=Projects!$C$11),253980,0),Actuals!CI73)</f>
        <v/>
      </c>
      <c r="CI160" s="392">
        <f>IF(ISBLANK(Actuals!CJ73),IF(AND(Projects!$G$11="Yes",83=Projects!$C$11),253980,0),Actuals!CJ73)</f>
        <v/>
      </c>
      <c r="CJ160" s="392">
        <f>IF(ISBLANK(Actuals!CK73),IF(AND(Projects!$G$11="Yes",84=Projects!$C$11),253980,0),Actuals!CK73)</f>
        <v/>
      </c>
      <c r="CK160" s="392">
        <f>IF(ISBLANK(Actuals!CL73),IF(AND(Projects!$G$11="Yes",85=Projects!$C$11),253980,0),Actuals!CL73)</f>
        <v/>
      </c>
      <c r="CL160" s="392">
        <f>IF(ISBLANK(Actuals!CM73),IF(AND(Projects!$G$11="Yes",86=Projects!$C$11),253980,0),Actuals!CM73)</f>
        <v/>
      </c>
      <c r="CM160" s="392">
        <f>IF(ISBLANK(Actuals!CN73),IF(AND(Projects!$G$11="Yes",87=Projects!$C$11),253980,0),Actuals!CN73)</f>
        <v/>
      </c>
      <c r="CN160" s="392">
        <f>IF(ISBLANK(Actuals!CO73),IF(AND(Projects!$G$11="Yes",88=Projects!$C$11),253980,0),Actuals!CO73)</f>
        <v/>
      </c>
      <c r="CO160" s="392">
        <f>IF(ISBLANK(Actuals!CP73),IF(AND(Projects!$G$11="Yes",89=Projects!$C$11),253980,0),Actuals!CP73)</f>
        <v/>
      </c>
      <c r="CP160" s="392">
        <f>IF(ISBLANK(Actuals!CQ73),IF(AND(Projects!$G$11="Yes",90=Projects!$C$11),253980,0),Actuals!CQ73)</f>
        <v/>
      </c>
      <c r="CQ160" s="392">
        <f>IF(ISBLANK(Actuals!CR73),IF(AND(Projects!$G$11="Yes",91=Projects!$C$11),253980,0),Actuals!CR73)</f>
        <v/>
      </c>
      <c r="CR160" s="392">
        <f>IF(ISBLANK(Actuals!CS73),IF(AND(Projects!$G$11="Yes",92=Projects!$C$11),253980,0),Actuals!CS73)</f>
        <v/>
      </c>
      <c r="CS160" s="392">
        <f>IF(ISBLANK(Actuals!CT73),IF(AND(Projects!$G$11="Yes",93=Projects!$C$11),253980,0),Actuals!CT73)</f>
        <v/>
      </c>
      <c r="CT160" s="392">
        <f>IF(ISBLANK(Actuals!CU73),IF(AND(Projects!$G$11="Yes",94=Projects!$C$11),253980,0),Actuals!CU73)</f>
        <v/>
      </c>
      <c r="CU160" s="392">
        <f>IF(ISBLANK(Actuals!CV73),IF(AND(Projects!$G$11="Yes",95=Projects!$C$11),253980,0),Actuals!CV73)</f>
        <v/>
      </c>
      <c r="CV160" s="392">
        <f>IF(ISBLANK(Actuals!CW73),IF(AND(Projects!$G$11="Yes",96=Projects!$C$11),253980,0),Actuals!CW73)</f>
        <v/>
      </c>
      <c r="CW160" s="392">
        <f>IF(ISBLANK(Actuals!CX73),IF(AND(Projects!$G$11="Yes",97=Projects!$C$11),253980,0),Actuals!CX73)</f>
        <v/>
      </c>
      <c r="CX160" s="392">
        <f>IF(ISBLANK(Actuals!CY73),IF(AND(Projects!$G$11="Yes",98=Projects!$C$11),253980,0),Actuals!CY73)</f>
        <v/>
      </c>
      <c r="CY160" s="392">
        <f>IF(ISBLANK(Actuals!CZ73),IF(AND(Projects!$G$11="Yes",99=Projects!$C$11),253980,0),Actuals!CZ73)</f>
        <v/>
      </c>
      <c r="CZ160" s="392">
        <f>IF(ISBLANK(Actuals!DA73),IF(AND(Projects!$G$11="Yes",100=Projects!$C$11),253980,0),Actuals!DA73)</f>
        <v/>
      </c>
      <c r="DA160" s="392">
        <f>IF(ISBLANK(Actuals!DB73),IF(AND(Projects!$G$11="Yes",101=Projects!$C$11),253980,0),Actuals!DB73)</f>
        <v/>
      </c>
      <c r="DB160" s="392">
        <f>IF(ISBLANK(Actuals!DC73),IF(AND(Projects!$G$11="Yes",102=Projects!$C$11),253980,0),Actuals!DC73)</f>
        <v/>
      </c>
      <c r="DC160" s="392">
        <f>IF(ISBLANK(Actuals!DD73),IF(AND(Projects!$G$11="Yes",103=Projects!$C$11),253980,0),Actuals!DD73)</f>
        <v/>
      </c>
      <c r="DD160" s="392">
        <f>IF(ISBLANK(Actuals!DE73),IF(AND(Projects!$G$11="Yes",104=Projects!$C$11),253980,0),Actuals!DE73)</f>
        <v/>
      </c>
      <c r="DE160" s="392">
        <f>IF(ISBLANK(Actuals!DF73),IF(AND(Projects!$G$11="Yes",105=Projects!$C$11),253980,0),Actuals!DF73)</f>
        <v/>
      </c>
    </row>
    <row r="161" ht="15" customFormat="1" customHeight="1" s="380">
      <c r="A161" s="397" t="inlineStr">
        <is>
          <t>Scott Accounting Fee</t>
        </is>
      </c>
      <c r="B161" s="392">
        <f>IF(ISBLANK(Actuals!C74),0,Actuals!C74)</f>
        <v/>
      </c>
      <c r="C161" s="392">
        <f>IF(ISBLANK(Actuals!D74),0,Actuals!D74)</f>
        <v/>
      </c>
      <c r="D161" s="392">
        <f>IF(ISBLANK(Actuals!E74),0,Actuals!E74)</f>
        <v/>
      </c>
      <c r="E161" s="392">
        <f>IF(ISBLANK(Actuals!F74),IF(AND(Projects!$G$12="Yes",1&gt;=Projects!$C$12,1&lt;Projects!$C$12+Projects!$D$12),6315.79,0),Actuals!F74)</f>
        <v/>
      </c>
      <c r="F161" s="392">
        <f>IF(ISBLANK(Actuals!G74),IF(AND(Projects!$G$12="Yes",2&gt;=Projects!$C$12,2&lt;Projects!$C$12+Projects!$D$12),6315.79,0),Actuals!G74)</f>
        <v/>
      </c>
      <c r="G161" s="392">
        <f>IF(ISBLANK(Actuals!H74),IF(AND(Projects!$G$12="Yes",3&gt;=Projects!$C$12,3&lt;Projects!$C$12+Projects!$D$12),6315.79,0),Actuals!H74)</f>
        <v/>
      </c>
      <c r="H161" s="392">
        <f>IF(ISBLANK(Actuals!I74),IF(AND(Projects!$G$12="Yes",4&gt;=Projects!$C$12,4&lt;Projects!$C$12+Projects!$D$12),6315.79,0),Actuals!I74)</f>
        <v/>
      </c>
      <c r="I161" s="392">
        <f>IF(ISBLANK(Actuals!J74),IF(AND(Projects!$G$12="Yes",5&gt;=Projects!$C$12,5&lt;Projects!$C$12+Projects!$D$12),6315.79,0),Actuals!J74)</f>
        <v/>
      </c>
      <c r="J161" s="392">
        <f>IF(ISBLANK(Actuals!K74),IF(AND(Projects!$G$12="Yes",6&gt;=Projects!$C$12,6&lt;Projects!$C$12+Projects!$D$12),6315.79,0),Actuals!K74)</f>
        <v/>
      </c>
      <c r="K161" s="392">
        <f>IF(ISBLANK(Actuals!L74),IF(AND(Projects!$G$12="Yes",7&gt;=Projects!$C$12,7&lt;Projects!$C$12+Projects!$D$12),6315.79,0),Actuals!L74)</f>
        <v/>
      </c>
      <c r="L161" s="392">
        <f>IF(ISBLANK(Actuals!M74),IF(AND(Projects!$G$12="Yes",8&gt;=Projects!$C$12,8&lt;Projects!$C$12+Projects!$D$12),6315.79,0),Actuals!M74)</f>
        <v/>
      </c>
      <c r="M161" s="392">
        <f>IF(ISBLANK(Actuals!N74),IF(AND(Projects!$G$12="Yes",9&gt;=Projects!$C$12,9&lt;Projects!$C$12+Projects!$D$12),6315.79,0),Actuals!N74)</f>
        <v/>
      </c>
      <c r="N161" s="392">
        <f>IF(ISBLANK(Actuals!O74),IF(AND(Projects!$G$12="Yes",10&gt;=Projects!$C$12,10&lt;Projects!$C$12+Projects!$D$12),6315.79,0),Actuals!O74)</f>
        <v/>
      </c>
      <c r="O161" s="392">
        <f>IF(ISBLANK(Actuals!P74),IF(AND(Projects!$G$12="Yes",11&gt;=Projects!$C$12,11&lt;Projects!$C$12+Projects!$D$12),6315.79,0),Actuals!P74)</f>
        <v/>
      </c>
      <c r="P161" s="392">
        <f>IF(ISBLANK(Actuals!Q74),IF(AND(Projects!$G$12="Yes",12&gt;=Projects!$C$12,12&lt;Projects!$C$12+Projects!$D$12),6315.79,0),Actuals!Q74)</f>
        <v/>
      </c>
      <c r="Q161" s="392">
        <f>IF(ISBLANK(Actuals!R74),IF(AND(Projects!$G$12="Yes",13&gt;=Projects!$C$12,13&lt;Projects!$C$12+Projects!$D$12),6315.79,0),Actuals!R74)</f>
        <v/>
      </c>
      <c r="R161" s="392">
        <f>IF(ISBLANK(Actuals!S74),IF(AND(Projects!$G$12="Yes",14&gt;=Projects!$C$12,14&lt;Projects!$C$12+Projects!$D$12),6315.79,0),Actuals!S74)</f>
        <v/>
      </c>
      <c r="S161" s="392">
        <f>IF(ISBLANK(Actuals!T74),IF(AND(Projects!$G$12="Yes",15&gt;=Projects!$C$12,15&lt;Projects!$C$12+Projects!$D$12),6315.79,0),Actuals!T74)</f>
        <v/>
      </c>
      <c r="T161" s="392">
        <f>IF(ISBLANK(Actuals!U74),IF(AND(Projects!$G$12="Yes",16&gt;=Projects!$C$12,16&lt;Projects!$C$12+Projects!$D$12),6315.79,0),Actuals!U74)</f>
        <v/>
      </c>
      <c r="U161" s="392">
        <f>IF(ISBLANK(Actuals!V74),IF(AND(Projects!$G$12="Yes",17&gt;=Projects!$C$12,17&lt;Projects!$C$12+Projects!$D$12),6315.79,0),Actuals!V74)</f>
        <v/>
      </c>
      <c r="V161" s="392">
        <f>IF(ISBLANK(Actuals!W74),IF(AND(Projects!$G$12="Yes",18&gt;=Projects!$C$12,18&lt;Projects!$C$12+Projects!$D$12),6315.79,0),Actuals!W74)</f>
        <v/>
      </c>
      <c r="W161" s="392">
        <f>IF(ISBLANK(Actuals!X74),IF(AND(Projects!$G$12="Yes",19&gt;=Projects!$C$12,19&lt;Projects!$C$12+Projects!$D$12),6315.79,0),Actuals!X74)</f>
        <v/>
      </c>
      <c r="X161" s="392">
        <f>IF(ISBLANK(Actuals!Y74),IF(AND(Projects!$G$12="Yes",20&gt;=Projects!$C$12,20&lt;Projects!$C$12+Projects!$D$12),6315.79,0),Actuals!Y74)</f>
        <v/>
      </c>
      <c r="Y161" s="392">
        <f>IF(ISBLANK(Actuals!Z74),IF(AND(Projects!$G$12="Yes",21&gt;=Projects!$C$12,21&lt;Projects!$C$12+Projects!$D$12),6315.79,0),Actuals!Z74)</f>
        <v/>
      </c>
      <c r="Z161" s="392">
        <f>IF(ISBLANK(Actuals!AA74),IF(AND(Projects!$G$12="Yes",22&gt;=Projects!$C$12,22&lt;Projects!$C$12+Projects!$D$12),6315.79,0),Actuals!AA74)</f>
        <v/>
      </c>
      <c r="AA161" s="392">
        <f>IF(ISBLANK(Actuals!AB74),IF(AND(Projects!$G$12="Yes",23&gt;=Projects!$C$12,23&lt;Projects!$C$12+Projects!$D$12),6315.79,0),Actuals!AB74)</f>
        <v/>
      </c>
      <c r="AB161" s="392">
        <f>IF(ISBLANK(Actuals!AC74),IF(AND(Projects!$G$12="Yes",24&gt;=Projects!$C$12,24&lt;Projects!$C$12+Projects!$D$12),6315.79,0),Actuals!AC74)</f>
        <v/>
      </c>
      <c r="AC161" s="392">
        <f>IF(ISBLANK(Actuals!AD74),IF(AND(Projects!$G$12="Yes",25&gt;=Projects!$C$12,25&lt;Projects!$C$12+Projects!$D$12),6315.79,0),Actuals!AD74)</f>
        <v/>
      </c>
      <c r="AD161" s="392">
        <f>IF(ISBLANK(Actuals!AE74),IF(AND(Projects!$G$12="Yes",26&gt;=Projects!$C$12,26&lt;Projects!$C$12+Projects!$D$12),6315.79,0),Actuals!AE74)</f>
        <v/>
      </c>
      <c r="AE161" s="392">
        <f>IF(ISBLANK(Actuals!AF74),IF(AND(Projects!$G$12="Yes",27&gt;=Projects!$C$12,27&lt;Projects!$C$12+Projects!$D$12),6315.79,0),Actuals!AF74)</f>
        <v/>
      </c>
      <c r="AF161" s="392">
        <f>IF(ISBLANK(Actuals!AG74),IF(AND(Projects!$G$12="Yes",28&gt;=Projects!$C$12,28&lt;Projects!$C$12+Projects!$D$12),6315.79,0),Actuals!AG74)</f>
        <v/>
      </c>
      <c r="AG161" s="392">
        <f>IF(ISBLANK(Actuals!AH74),IF(AND(Projects!$G$12="Yes",29&gt;=Projects!$C$12,29&lt;Projects!$C$12+Projects!$D$12),6315.79,0),Actuals!AH74)</f>
        <v/>
      </c>
      <c r="AH161" s="392">
        <f>IF(ISBLANK(Actuals!AI74),IF(AND(Projects!$G$12="Yes",30&gt;=Projects!$C$12,30&lt;Projects!$C$12+Projects!$D$12),6315.79,0),Actuals!AI74)</f>
        <v/>
      </c>
      <c r="AI161" s="392">
        <f>IF(ISBLANK(Actuals!AJ74),IF(AND(Projects!$G$12="Yes",31&gt;=Projects!$C$12,31&lt;Projects!$C$12+Projects!$D$12),6315.79,0),Actuals!AJ74)</f>
        <v/>
      </c>
      <c r="AJ161" s="392">
        <f>IF(ISBLANK(Actuals!AK74),IF(AND(Projects!$G$12="Yes",32&gt;=Projects!$C$12,32&lt;Projects!$C$12+Projects!$D$12),6315.79,0),Actuals!AK74)</f>
        <v/>
      </c>
      <c r="AK161" s="392">
        <f>IF(ISBLANK(Actuals!AL74),IF(AND(Projects!$G$12="Yes",33&gt;=Projects!$C$12,33&lt;Projects!$C$12+Projects!$D$12),6315.79,0),Actuals!AL74)</f>
        <v/>
      </c>
      <c r="AL161" s="392">
        <f>IF(ISBLANK(Actuals!AM74),IF(AND(Projects!$G$12="Yes",34&gt;=Projects!$C$12,34&lt;Projects!$C$12+Projects!$D$12),6315.79,0),Actuals!AM74)</f>
        <v/>
      </c>
      <c r="AM161" s="392">
        <f>IF(ISBLANK(Actuals!AN74),IF(AND(Projects!$G$12="Yes",35&gt;=Projects!$C$12,35&lt;Projects!$C$12+Projects!$D$12),6315.79,0),Actuals!AN74)</f>
        <v/>
      </c>
      <c r="AN161" s="392">
        <f>IF(ISBLANK(Actuals!AO74),IF(AND(Projects!$G$12="Yes",36&gt;=Projects!$C$12,36&lt;Projects!$C$12+Projects!$D$12),6315.79,0),Actuals!AO74)</f>
        <v/>
      </c>
      <c r="AO161" s="392">
        <f>IF(ISBLANK(Actuals!AP74),IF(AND(Projects!$G$12="Yes",37&gt;=Projects!$C$12,37&lt;Projects!$C$12+Projects!$D$12),6315.79,0),Actuals!AP74)</f>
        <v/>
      </c>
      <c r="AP161" s="392">
        <f>IF(ISBLANK(Actuals!AQ74),IF(AND(Projects!$G$12="Yes",38&gt;=Projects!$C$12,38&lt;Projects!$C$12+Projects!$D$12),6315.79,0),Actuals!AQ74)</f>
        <v/>
      </c>
      <c r="AQ161" s="392">
        <f>IF(ISBLANK(Actuals!AR74),IF(AND(Projects!$G$12="Yes",39&gt;=Projects!$C$12,39&lt;Projects!$C$12+Projects!$D$12),6315.79,0),Actuals!AR74)</f>
        <v/>
      </c>
      <c r="AR161" s="392">
        <f>IF(ISBLANK(Actuals!AS74),IF(AND(Projects!$G$12="Yes",40&gt;=Projects!$C$12,40&lt;Projects!$C$12+Projects!$D$12),6315.79,0),Actuals!AS74)</f>
        <v/>
      </c>
      <c r="AS161" s="392">
        <f>IF(ISBLANK(Actuals!AT74),IF(AND(Projects!$G$12="Yes",41&gt;=Projects!$C$12,41&lt;Projects!$C$12+Projects!$D$12),6315.79,0),Actuals!AT74)</f>
        <v/>
      </c>
      <c r="AT161" s="392">
        <f>IF(ISBLANK(Actuals!AU74),IF(AND(Projects!$G$12="Yes",42&gt;=Projects!$C$12,42&lt;Projects!$C$12+Projects!$D$12),6315.79,0),Actuals!AU74)</f>
        <v/>
      </c>
      <c r="AU161" s="392">
        <f>IF(ISBLANK(Actuals!AV74),IF(AND(Projects!$G$12="Yes",43&gt;=Projects!$C$12,43&lt;Projects!$C$12+Projects!$D$12),6315.79,0),Actuals!AV74)</f>
        <v/>
      </c>
      <c r="AV161" s="392">
        <f>IF(ISBLANK(Actuals!AW74),IF(AND(Projects!$G$12="Yes",44&gt;=Projects!$C$12,44&lt;Projects!$C$12+Projects!$D$12),6315.79,0),Actuals!AW74)</f>
        <v/>
      </c>
      <c r="AW161" s="392">
        <f>IF(ISBLANK(Actuals!AX74),IF(AND(Projects!$G$12="Yes",45&gt;=Projects!$C$12,45&lt;Projects!$C$12+Projects!$D$12),6315.79,0),Actuals!AX74)</f>
        <v/>
      </c>
      <c r="AX161" s="392">
        <f>IF(ISBLANK(Actuals!AY74),IF(AND(Projects!$G$12="Yes",46&gt;=Projects!$C$12,46&lt;Projects!$C$12+Projects!$D$12),6315.79,0),Actuals!AY74)</f>
        <v/>
      </c>
      <c r="AY161" s="392">
        <f>IF(ISBLANK(Actuals!AZ74),IF(AND(Projects!$G$12="Yes",47&gt;=Projects!$C$12,47&lt;Projects!$C$12+Projects!$D$12),6315.79,0),Actuals!AZ74)</f>
        <v/>
      </c>
      <c r="AZ161" s="392">
        <f>IF(ISBLANK(Actuals!BA74),IF(AND(Projects!$G$12="Yes",48&gt;=Projects!$C$12,48&lt;Projects!$C$12+Projects!$D$12),6315.79,0),Actuals!BA74)</f>
        <v/>
      </c>
      <c r="BA161" s="392">
        <f>IF(ISBLANK(Actuals!BB74),IF(AND(Projects!$G$12="Yes",49&gt;=Projects!$C$12,49&lt;Projects!$C$12+Projects!$D$12),6315.79,0),Actuals!BB74)</f>
        <v/>
      </c>
      <c r="BB161" s="392">
        <f>IF(ISBLANK(Actuals!BC74),IF(AND(Projects!$G$12="Yes",50&gt;=Projects!$C$12,50&lt;Projects!$C$12+Projects!$D$12),6315.79,0),Actuals!BC74)</f>
        <v/>
      </c>
      <c r="BC161" s="392">
        <f>IF(ISBLANK(Actuals!BD74),IF(AND(Projects!$G$12="Yes",51&gt;=Projects!$C$12,51&lt;Projects!$C$12+Projects!$D$12),6315.79,0),Actuals!BD74)</f>
        <v/>
      </c>
      <c r="BD161" s="392">
        <f>IF(ISBLANK(Actuals!BE74),IF(AND(Projects!$G$12="Yes",52&gt;=Projects!$C$12,52&lt;Projects!$C$12+Projects!$D$12),6315.79,0),Actuals!BE74)</f>
        <v/>
      </c>
      <c r="BE161" s="392">
        <f>IF(ISBLANK(Actuals!BF74),IF(AND(Projects!$G$12="Yes",53&gt;=Projects!$C$12,53&lt;Projects!$C$12+Projects!$D$12),6315.79,0),Actuals!BF74)</f>
        <v/>
      </c>
      <c r="BF161" s="392">
        <f>IF(ISBLANK(Actuals!BG74),IF(AND(Projects!$G$12="Yes",54&gt;=Projects!$C$12,54&lt;Projects!$C$12+Projects!$D$12),6315.79,0),Actuals!BG74)</f>
        <v/>
      </c>
      <c r="BG161" s="392">
        <f>IF(ISBLANK(Actuals!BH74),IF(AND(Projects!$G$12="Yes",55&gt;=Projects!$C$12,55&lt;Projects!$C$12+Projects!$D$12),6315.79,0),Actuals!BH74)</f>
        <v/>
      </c>
      <c r="BH161" s="392">
        <f>IF(ISBLANK(Actuals!BI74),IF(AND(Projects!$G$12="Yes",56&gt;=Projects!$C$12,56&lt;Projects!$C$12+Projects!$D$12),6315.79,0),Actuals!BI74)</f>
        <v/>
      </c>
      <c r="BI161" s="392">
        <f>IF(ISBLANK(Actuals!BJ74),IF(AND(Projects!$G$12="Yes",57&gt;=Projects!$C$12,57&lt;Projects!$C$12+Projects!$D$12),6315.79,0),Actuals!BJ74)</f>
        <v/>
      </c>
      <c r="BJ161" s="392">
        <f>IF(ISBLANK(Actuals!BK74),IF(AND(Projects!$G$12="Yes",58&gt;=Projects!$C$12,58&lt;Projects!$C$12+Projects!$D$12),6315.79,0),Actuals!BK74)</f>
        <v/>
      </c>
      <c r="BK161" s="392">
        <f>IF(ISBLANK(Actuals!BL74),IF(AND(Projects!$G$12="Yes",59&gt;=Projects!$C$12,59&lt;Projects!$C$12+Projects!$D$12),6315.79,0),Actuals!BL74)</f>
        <v/>
      </c>
      <c r="BL161" s="392">
        <f>IF(ISBLANK(Actuals!BM74),IF(AND(Projects!$G$12="Yes",60&gt;=Projects!$C$12,60&lt;Projects!$C$12+Projects!$D$12),6315.79,0),Actuals!BM74)</f>
        <v/>
      </c>
      <c r="BM161" s="392">
        <f>IF(ISBLANK(Actuals!BN74),IF(AND(Projects!$G$12="Yes",61&gt;=Projects!$C$12,61&lt;Projects!$C$12+Projects!$D$12),6315.79,0),Actuals!BN74)</f>
        <v/>
      </c>
      <c r="BN161" s="392">
        <f>IF(ISBLANK(Actuals!BO74),IF(AND(Projects!$G$12="Yes",62&gt;=Projects!$C$12,62&lt;Projects!$C$12+Projects!$D$12),6315.79,0),Actuals!BO74)</f>
        <v/>
      </c>
      <c r="BO161" s="392">
        <f>IF(ISBLANK(Actuals!BP74),IF(AND(Projects!$G$12="Yes",63&gt;=Projects!$C$12,63&lt;Projects!$C$12+Projects!$D$12),6315.79,0),Actuals!BP74)</f>
        <v/>
      </c>
      <c r="BP161" s="392">
        <f>IF(ISBLANK(Actuals!BQ74),IF(AND(Projects!$G$12="Yes",64&gt;=Projects!$C$12,64&lt;Projects!$C$12+Projects!$D$12),6315.79,0),Actuals!BQ74)</f>
        <v/>
      </c>
      <c r="BQ161" s="392">
        <f>IF(ISBLANK(Actuals!BR74),IF(AND(Projects!$G$12="Yes",65&gt;=Projects!$C$12,65&lt;Projects!$C$12+Projects!$D$12),6315.79,0),Actuals!BR74)</f>
        <v/>
      </c>
      <c r="BR161" s="392">
        <f>IF(ISBLANK(Actuals!BS74),IF(AND(Projects!$G$12="Yes",66&gt;=Projects!$C$12,66&lt;Projects!$C$12+Projects!$D$12),6315.79,0),Actuals!BS74)</f>
        <v/>
      </c>
      <c r="BS161" s="392">
        <f>IF(ISBLANK(Actuals!BT74),IF(AND(Projects!$G$12="Yes",67&gt;=Projects!$C$12,67&lt;Projects!$C$12+Projects!$D$12),6315.79,0),Actuals!BT74)</f>
        <v/>
      </c>
      <c r="BT161" s="392">
        <f>IF(ISBLANK(Actuals!BU74),IF(AND(Projects!$G$12="Yes",68&gt;=Projects!$C$12,68&lt;Projects!$C$12+Projects!$D$12),6315.79,0),Actuals!BU74)</f>
        <v/>
      </c>
      <c r="BU161" s="392">
        <f>IF(ISBLANK(Actuals!BV74),IF(AND(Projects!$G$12="Yes",69&gt;=Projects!$C$12,69&lt;Projects!$C$12+Projects!$D$12),6315.79,0),Actuals!BV74)</f>
        <v/>
      </c>
      <c r="BV161" s="392">
        <f>IF(ISBLANK(Actuals!BW74),IF(AND(Projects!$G$12="Yes",70&gt;=Projects!$C$12,70&lt;Projects!$C$12+Projects!$D$12),6315.79,0),Actuals!BW74)</f>
        <v/>
      </c>
      <c r="BW161" s="392">
        <f>IF(ISBLANK(Actuals!BX74),IF(AND(Projects!$G$12="Yes",71&gt;=Projects!$C$12,71&lt;Projects!$C$12+Projects!$D$12),6315.79,0),Actuals!BX74)</f>
        <v/>
      </c>
      <c r="BX161" s="392">
        <f>IF(ISBLANK(Actuals!BY74),IF(AND(Projects!$G$12="Yes",72&gt;=Projects!$C$12,72&lt;Projects!$C$12+Projects!$D$12),6315.79,0),Actuals!BY74)</f>
        <v/>
      </c>
      <c r="BY161" s="392">
        <f>IF(ISBLANK(Actuals!BZ74),IF(AND(Projects!$G$12="Yes",73&gt;=Projects!$C$12,73&lt;Projects!$C$12+Projects!$D$12),6315.79,0),Actuals!BZ74)</f>
        <v/>
      </c>
      <c r="BZ161" s="392">
        <f>IF(ISBLANK(Actuals!CA74),IF(AND(Projects!$G$12="Yes",74&gt;=Projects!$C$12,74&lt;Projects!$C$12+Projects!$D$12),6315.79,0),Actuals!CA74)</f>
        <v/>
      </c>
      <c r="CA161" s="392">
        <f>IF(ISBLANK(Actuals!CB74),IF(AND(Projects!$G$12="Yes",75&gt;=Projects!$C$12,75&lt;Projects!$C$12+Projects!$D$12),6315.79,0),Actuals!CB74)</f>
        <v/>
      </c>
      <c r="CB161" s="392">
        <f>IF(ISBLANK(Actuals!CC74),IF(AND(Projects!$G$12="Yes",76&gt;=Projects!$C$12,76&lt;Projects!$C$12+Projects!$D$12),6315.79,0),Actuals!CC74)</f>
        <v/>
      </c>
      <c r="CC161" s="392">
        <f>IF(ISBLANK(Actuals!CD74),IF(AND(Projects!$G$12="Yes",77&gt;=Projects!$C$12,77&lt;Projects!$C$12+Projects!$D$12),6315.79,0),Actuals!CD74)</f>
        <v/>
      </c>
      <c r="CD161" s="392">
        <f>IF(ISBLANK(Actuals!CE74),IF(AND(Projects!$G$12="Yes",78&gt;=Projects!$C$12,78&lt;Projects!$C$12+Projects!$D$12),6315.79,0),Actuals!CE74)</f>
        <v/>
      </c>
      <c r="CE161" s="392">
        <f>IF(ISBLANK(Actuals!CF74),IF(AND(Projects!$G$12="Yes",79&gt;=Projects!$C$12,79&lt;Projects!$C$12+Projects!$D$12),6315.79,0),Actuals!CF74)</f>
        <v/>
      </c>
      <c r="CF161" s="392">
        <f>IF(ISBLANK(Actuals!CG74),IF(AND(Projects!$G$12="Yes",80&gt;=Projects!$C$12,80&lt;Projects!$C$12+Projects!$D$12),6315.79,0),Actuals!CG74)</f>
        <v/>
      </c>
      <c r="CG161" s="392">
        <f>IF(ISBLANK(Actuals!CH74),IF(AND(Projects!$G$12="Yes",81&gt;=Projects!$C$12,81&lt;Projects!$C$12+Projects!$D$12),6315.79,0),Actuals!CH74)</f>
        <v/>
      </c>
      <c r="CH161" s="392">
        <f>IF(ISBLANK(Actuals!CI74),IF(AND(Projects!$G$12="Yes",82&gt;=Projects!$C$12,82&lt;Projects!$C$12+Projects!$D$12),6315.79,0),Actuals!CI74)</f>
        <v/>
      </c>
      <c r="CI161" s="392">
        <f>IF(ISBLANK(Actuals!CJ74),IF(AND(Projects!$G$12="Yes",83&gt;=Projects!$C$12,83&lt;Projects!$C$12+Projects!$D$12),6315.79,0),Actuals!CJ74)</f>
        <v/>
      </c>
      <c r="CJ161" s="392">
        <f>IF(ISBLANK(Actuals!CK74),IF(AND(Projects!$G$12="Yes",84&gt;=Projects!$C$12,84&lt;Projects!$C$12+Projects!$D$12),6315.79,0),Actuals!CK74)</f>
        <v/>
      </c>
      <c r="CK161" s="392">
        <f>IF(ISBLANK(Actuals!CL74),IF(AND(Projects!$G$12="Yes",85&gt;=Projects!$C$12,85&lt;Projects!$C$12+Projects!$D$12),6315.79,0),Actuals!CL74)</f>
        <v/>
      </c>
      <c r="CL161" s="392">
        <f>IF(ISBLANK(Actuals!CM74),IF(AND(Projects!$G$12="Yes",86&gt;=Projects!$C$12,86&lt;Projects!$C$12+Projects!$D$12),6315.79,0),Actuals!CM74)</f>
        <v/>
      </c>
      <c r="CM161" s="392">
        <f>IF(ISBLANK(Actuals!CN74),IF(AND(Projects!$G$12="Yes",87&gt;=Projects!$C$12,87&lt;Projects!$C$12+Projects!$D$12),6315.79,0),Actuals!CN74)</f>
        <v/>
      </c>
      <c r="CN161" s="392">
        <f>IF(ISBLANK(Actuals!CO74),IF(AND(Projects!$G$12="Yes",88&gt;=Projects!$C$12,88&lt;Projects!$C$12+Projects!$D$12),6315.79,0),Actuals!CO74)</f>
        <v/>
      </c>
      <c r="CO161" s="392">
        <f>IF(ISBLANK(Actuals!CP74),IF(AND(Projects!$G$12="Yes",89&gt;=Projects!$C$12,89&lt;Projects!$C$12+Projects!$D$12),6315.79,0),Actuals!CP74)</f>
        <v/>
      </c>
      <c r="CP161" s="392">
        <f>IF(ISBLANK(Actuals!CQ74),IF(AND(Projects!$G$12="Yes",90&gt;=Projects!$C$12,90&lt;Projects!$C$12+Projects!$D$12),6315.79,0),Actuals!CQ74)</f>
        <v/>
      </c>
      <c r="CQ161" s="392">
        <f>IF(ISBLANK(Actuals!CR74),IF(AND(Projects!$G$12="Yes",91&gt;=Projects!$C$12,91&lt;Projects!$C$12+Projects!$D$12),6315.79,0),Actuals!CR74)</f>
        <v/>
      </c>
      <c r="CR161" s="392">
        <f>IF(ISBLANK(Actuals!CS74),IF(AND(Projects!$G$12="Yes",92&gt;=Projects!$C$12,92&lt;Projects!$C$12+Projects!$D$12),6315.79,0),Actuals!CS74)</f>
        <v/>
      </c>
      <c r="CS161" s="392">
        <f>IF(ISBLANK(Actuals!CT74),IF(AND(Projects!$G$12="Yes",93&gt;=Projects!$C$12,93&lt;Projects!$C$12+Projects!$D$12),6315.79,0),Actuals!CT74)</f>
        <v/>
      </c>
      <c r="CT161" s="392">
        <f>IF(ISBLANK(Actuals!CU74),IF(AND(Projects!$G$12="Yes",94&gt;=Projects!$C$12,94&lt;Projects!$C$12+Projects!$D$12),6315.79,0),Actuals!CU74)</f>
        <v/>
      </c>
      <c r="CU161" s="392">
        <f>IF(ISBLANK(Actuals!CV74),IF(AND(Projects!$G$12="Yes",95&gt;=Projects!$C$12,95&lt;Projects!$C$12+Projects!$D$12),6315.79,0),Actuals!CV74)</f>
        <v/>
      </c>
      <c r="CV161" s="392">
        <f>IF(ISBLANK(Actuals!CW74),IF(AND(Projects!$G$12="Yes",96&gt;=Projects!$C$12,96&lt;Projects!$C$12+Projects!$D$12),6315.79,0),Actuals!CW74)</f>
        <v/>
      </c>
      <c r="CW161" s="392">
        <f>IF(ISBLANK(Actuals!CX74),IF(AND(Projects!$G$12="Yes",97&gt;=Projects!$C$12,97&lt;Projects!$C$12+Projects!$D$12),6315.79,0),Actuals!CX74)</f>
        <v/>
      </c>
      <c r="CX161" s="392">
        <f>IF(ISBLANK(Actuals!CY74),IF(AND(Projects!$G$12="Yes",98&gt;=Projects!$C$12,98&lt;Projects!$C$12+Projects!$D$12),6315.79,0),Actuals!CY74)</f>
        <v/>
      </c>
      <c r="CY161" s="392">
        <f>IF(ISBLANK(Actuals!CZ74),IF(AND(Projects!$G$12="Yes",99&gt;=Projects!$C$12,99&lt;Projects!$C$12+Projects!$D$12),6315.79,0),Actuals!CZ74)</f>
        <v/>
      </c>
      <c r="CZ161" s="392">
        <f>IF(ISBLANK(Actuals!DA74),IF(AND(Projects!$G$12="Yes",100&gt;=Projects!$C$12,100&lt;Projects!$C$12+Projects!$D$12),6315.79,0),Actuals!DA74)</f>
        <v/>
      </c>
      <c r="DA161" s="392">
        <f>IF(ISBLANK(Actuals!DB74),IF(AND(Projects!$G$12="Yes",101&gt;=Projects!$C$12,101&lt;Projects!$C$12+Projects!$D$12),6315.79,0),Actuals!DB74)</f>
        <v/>
      </c>
      <c r="DB161" s="392">
        <f>IF(ISBLANK(Actuals!DC74),IF(AND(Projects!$G$12="Yes",102&gt;=Projects!$C$12,102&lt;Projects!$C$12+Projects!$D$12),6315.79,0),Actuals!DC74)</f>
        <v/>
      </c>
      <c r="DC161" s="392">
        <f>IF(ISBLANK(Actuals!DD74),IF(AND(Projects!$G$12="Yes",103&gt;=Projects!$C$12,103&lt;Projects!$C$12+Projects!$D$12),6315.79,0),Actuals!DD74)</f>
        <v/>
      </c>
      <c r="DD161" s="392">
        <f>IF(ISBLANK(Actuals!DE74),IF(AND(Projects!$G$12="Yes",104&gt;=Projects!$C$12,104&lt;Projects!$C$12+Projects!$D$12),6315.79,0),Actuals!DE74)</f>
        <v/>
      </c>
      <c r="DE161" s="392">
        <f>IF(ISBLANK(Actuals!DF74),IF(AND(Projects!$G$12="Yes",105&gt;=Projects!$C$12,105&lt;Projects!$C$12+Projects!$D$12),6315.79,0),Actuals!DF74)</f>
        <v/>
      </c>
    </row>
    <row r="162" ht="15" customFormat="1" customHeight="1" s="380">
      <c r="A162" s="397" t="inlineStr">
        <is>
          <t>Scott Developer Fee</t>
        </is>
      </c>
      <c r="B162" s="392">
        <f>IF(ISBLANK(Actuals!C75),0,Actuals!C75)</f>
        <v/>
      </c>
      <c r="C162" s="392">
        <f>IF(ISBLANK(Actuals!D75),0,Actuals!D75)</f>
        <v/>
      </c>
      <c r="D162" s="392">
        <f>IF(ISBLANK(Actuals!E75),0,Actuals!E75)</f>
        <v/>
      </c>
      <c r="E162" s="392">
        <f>IF(ISBLANK(Actuals!F75),IF(AND(Projects!$G$12="Yes",1&gt;=Projects!$C$12,1&lt;Projects!$C$12+Projects!$D$12),4736.84,0),Actuals!F75)</f>
        <v/>
      </c>
      <c r="F162" s="392">
        <f>IF(ISBLANK(Actuals!G75),IF(AND(Projects!$G$12="Yes",2&gt;=Projects!$C$12,2&lt;Projects!$C$12+Projects!$D$12),4736.84,0),Actuals!G75)</f>
        <v/>
      </c>
      <c r="G162" s="392">
        <f>IF(ISBLANK(Actuals!H75),IF(AND(Projects!$G$12="Yes",3&gt;=Projects!$C$12,3&lt;Projects!$C$12+Projects!$D$12),4736.84,0),Actuals!H75)</f>
        <v/>
      </c>
      <c r="H162" s="392">
        <f>IF(ISBLANK(Actuals!I75),IF(AND(Projects!$G$12="Yes",4&gt;=Projects!$C$12,4&lt;Projects!$C$12+Projects!$D$12),4736.84,0),Actuals!I75)</f>
        <v/>
      </c>
      <c r="I162" s="392">
        <f>IF(ISBLANK(Actuals!J75),IF(AND(Projects!$G$12="Yes",5&gt;=Projects!$C$12,5&lt;Projects!$C$12+Projects!$D$12),4736.84,0),Actuals!J75)</f>
        <v/>
      </c>
      <c r="J162" s="392">
        <f>IF(ISBLANK(Actuals!K75),IF(AND(Projects!$G$12="Yes",6&gt;=Projects!$C$12,6&lt;Projects!$C$12+Projects!$D$12),4736.84,0),Actuals!K75)</f>
        <v/>
      </c>
      <c r="K162" s="392">
        <f>IF(ISBLANK(Actuals!L75),IF(AND(Projects!$G$12="Yes",7&gt;=Projects!$C$12,7&lt;Projects!$C$12+Projects!$D$12),4736.84,0),Actuals!L75)</f>
        <v/>
      </c>
      <c r="L162" s="392">
        <f>IF(ISBLANK(Actuals!M75),IF(AND(Projects!$G$12="Yes",8&gt;=Projects!$C$12,8&lt;Projects!$C$12+Projects!$D$12),4736.84,0),Actuals!M75)</f>
        <v/>
      </c>
      <c r="M162" s="392">
        <f>IF(ISBLANK(Actuals!N75),IF(AND(Projects!$G$12="Yes",9&gt;=Projects!$C$12,9&lt;Projects!$C$12+Projects!$D$12),4736.84,0),Actuals!N75)</f>
        <v/>
      </c>
      <c r="N162" s="392">
        <f>IF(ISBLANK(Actuals!O75),IF(AND(Projects!$G$12="Yes",10&gt;=Projects!$C$12,10&lt;Projects!$C$12+Projects!$D$12),4736.84,0),Actuals!O75)</f>
        <v/>
      </c>
      <c r="O162" s="392">
        <f>IF(ISBLANK(Actuals!P75),IF(AND(Projects!$G$12="Yes",11&gt;=Projects!$C$12,11&lt;Projects!$C$12+Projects!$D$12),4736.84,0),Actuals!P75)</f>
        <v/>
      </c>
      <c r="P162" s="392">
        <f>IF(ISBLANK(Actuals!Q75),IF(AND(Projects!$G$12="Yes",12&gt;=Projects!$C$12,12&lt;Projects!$C$12+Projects!$D$12),4736.84,0),Actuals!Q75)</f>
        <v/>
      </c>
      <c r="Q162" s="392">
        <f>IF(ISBLANK(Actuals!R75),IF(AND(Projects!$G$12="Yes",13&gt;=Projects!$C$12,13&lt;Projects!$C$12+Projects!$D$12),4736.84,0),Actuals!R75)</f>
        <v/>
      </c>
      <c r="R162" s="392">
        <f>IF(ISBLANK(Actuals!S75),IF(AND(Projects!$G$12="Yes",14&gt;=Projects!$C$12,14&lt;Projects!$C$12+Projects!$D$12),4736.84,0),Actuals!S75)</f>
        <v/>
      </c>
      <c r="S162" s="392">
        <f>IF(ISBLANK(Actuals!T75),IF(AND(Projects!$G$12="Yes",15&gt;=Projects!$C$12,15&lt;Projects!$C$12+Projects!$D$12),4736.84,0),Actuals!T75)</f>
        <v/>
      </c>
      <c r="T162" s="392">
        <f>IF(ISBLANK(Actuals!U75),IF(AND(Projects!$G$12="Yes",16&gt;=Projects!$C$12,16&lt;Projects!$C$12+Projects!$D$12),4736.84,0),Actuals!U75)</f>
        <v/>
      </c>
      <c r="U162" s="392">
        <f>IF(ISBLANK(Actuals!V75),IF(AND(Projects!$G$12="Yes",17&gt;=Projects!$C$12,17&lt;Projects!$C$12+Projects!$D$12),4736.84,0),Actuals!V75)</f>
        <v/>
      </c>
      <c r="V162" s="392">
        <f>IF(ISBLANK(Actuals!W75),IF(AND(Projects!$G$12="Yes",18&gt;=Projects!$C$12,18&lt;Projects!$C$12+Projects!$D$12),4736.84,0),Actuals!W75)</f>
        <v/>
      </c>
      <c r="W162" s="392">
        <f>IF(ISBLANK(Actuals!X75),IF(AND(Projects!$G$12="Yes",19&gt;=Projects!$C$12,19&lt;Projects!$C$12+Projects!$D$12),4736.84,0),Actuals!X75)</f>
        <v/>
      </c>
      <c r="X162" s="392">
        <f>IF(ISBLANK(Actuals!Y75),IF(AND(Projects!$G$12="Yes",20&gt;=Projects!$C$12,20&lt;Projects!$C$12+Projects!$D$12),4736.84,0),Actuals!Y75)</f>
        <v/>
      </c>
      <c r="Y162" s="392">
        <f>IF(ISBLANK(Actuals!Z75),IF(AND(Projects!$G$12="Yes",21&gt;=Projects!$C$12,21&lt;Projects!$C$12+Projects!$D$12),4736.84,0),Actuals!Z75)</f>
        <v/>
      </c>
      <c r="Z162" s="392">
        <f>IF(ISBLANK(Actuals!AA75),IF(AND(Projects!$G$12="Yes",22&gt;=Projects!$C$12,22&lt;Projects!$C$12+Projects!$D$12),4736.84,0),Actuals!AA75)</f>
        <v/>
      </c>
      <c r="AA162" s="392">
        <f>IF(ISBLANK(Actuals!AB75),IF(AND(Projects!$G$12="Yes",23&gt;=Projects!$C$12,23&lt;Projects!$C$12+Projects!$D$12),4736.84,0),Actuals!AB75)</f>
        <v/>
      </c>
      <c r="AB162" s="392">
        <f>IF(ISBLANK(Actuals!AC75),IF(AND(Projects!$G$12="Yes",24&gt;=Projects!$C$12,24&lt;Projects!$C$12+Projects!$D$12),4736.84,0),Actuals!AC75)</f>
        <v/>
      </c>
      <c r="AC162" s="392">
        <f>IF(ISBLANK(Actuals!AD75),IF(AND(Projects!$G$12="Yes",25&gt;=Projects!$C$12,25&lt;Projects!$C$12+Projects!$D$12),4736.84,0),Actuals!AD75)</f>
        <v/>
      </c>
      <c r="AD162" s="392">
        <f>IF(ISBLANK(Actuals!AE75),IF(AND(Projects!$G$12="Yes",26&gt;=Projects!$C$12,26&lt;Projects!$C$12+Projects!$D$12),4736.84,0),Actuals!AE75)</f>
        <v/>
      </c>
      <c r="AE162" s="392">
        <f>IF(ISBLANK(Actuals!AF75),IF(AND(Projects!$G$12="Yes",27&gt;=Projects!$C$12,27&lt;Projects!$C$12+Projects!$D$12),4736.84,0),Actuals!AF75)</f>
        <v/>
      </c>
      <c r="AF162" s="392">
        <f>IF(ISBLANK(Actuals!AG75),IF(AND(Projects!$G$12="Yes",28&gt;=Projects!$C$12,28&lt;Projects!$C$12+Projects!$D$12),4736.84,0),Actuals!AG75)</f>
        <v/>
      </c>
      <c r="AG162" s="392">
        <f>IF(ISBLANK(Actuals!AH75),IF(AND(Projects!$G$12="Yes",29&gt;=Projects!$C$12,29&lt;Projects!$C$12+Projects!$D$12),4736.84,0),Actuals!AH75)</f>
        <v/>
      </c>
      <c r="AH162" s="392">
        <f>IF(ISBLANK(Actuals!AI75),IF(AND(Projects!$G$12="Yes",30&gt;=Projects!$C$12,30&lt;Projects!$C$12+Projects!$D$12),4736.84,0),Actuals!AI75)</f>
        <v/>
      </c>
      <c r="AI162" s="392">
        <f>IF(ISBLANK(Actuals!AJ75),IF(AND(Projects!$G$12="Yes",31&gt;=Projects!$C$12,31&lt;Projects!$C$12+Projects!$D$12),4736.84,0),Actuals!AJ75)</f>
        <v/>
      </c>
      <c r="AJ162" s="392">
        <f>IF(ISBLANK(Actuals!AK75),IF(AND(Projects!$G$12="Yes",32&gt;=Projects!$C$12,32&lt;Projects!$C$12+Projects!$D$12),4736.84,0),Actuals!AK75)</f>
        <v/>
      </c>
      <c r="AK162" s="392">
        <f>IF(ISBLANK(Actuals!AL75),IF(AND(Projects!$G$12="Yes",33&gt;=Projects!$C$12,33&lt;Projects!$C$12+Projects!$D$12),4736.84,0),Actuals!AL75)</f>
        <v/>
      </c>
      <c r="AL162" s="392">
        <f>IF(ISBLANK(Actuals!AM75),IF(AND(Projects!$G$12="Yes",34&gt;=Projects!$C$12,34&lt;Projects!$C$12+Projects!$D$12),4736.84,0),Actuals!AM75)</f>
        <v/>
      </c>
      <c r="AM162" s="392">
        <f>IF(ISBLANK(Actuals!AN75),IF(AND(Projects!$G$12="Yes",35&gt;=Projects!$C$12,35&lt;Projects!$C$12+Projects!$D$12),4736.84,0),Actuals!AN75)</f>
        <v/>
      </c>
      <c r="AN162" s="392">
        <f>IF(ISBLANK(Actuals!AO75),IF(AND(Projects!$G$12="Yes",36&gt;=Projects!$C$12,36&lt;Projects!$C$12+Projects!$D$12),4736.84,0),Actuals!AO75)</f>
        <v/>
      </c>
      <c r="AO162" s="392">
        <f>IF(ISBLANK(Actuals!AP75),IF(AND(Projects!$G$12="Yes",37&gt;=Projects!$C$12,37&lt;Projects!$C$12+Projects!$D$12),4736.84,0),Actuals!AP75)</f>
        <v/>
      </c>
      <c r="AP162" s="392">
        <f>IF(ISBLANK(Actuals!AQ75),IF(AND(Projects!$G$12="Yes",38&gt;=Projects!$C$12,38&lt;Projects!$C$12+Projects!$D$12),4736.84,0),Actuals!AQ75)</f>
        <v/>
      </c>
      <c r="AQ162" s="392">
        <f>IF(ISBLANK(Actuals!AR75),IF(AND(Projects!$G$12="Yes",39&gt;=Projects!$C$12,39&lt;Projects!$C$12+Projects!$D$12),4736.84,0),Actuals!AR75)</f>
        <v/>
      </c>
      <c r="AR162" s="392">
        <f>IF(ISBLANK(Actuals!AS75),IF(AND(Projects!$G$12="Yes",40&gt;=Projects!$C$12,40&lt;Projects!$C$12+Projects!$D$12),4736.84,0),Actuals!AS75)</f>
        <v/>
      </c>
      <c r="AS162" s="392">
        <f>IF(ISBLANK(Actuals!AT75),IF(AND(Projects!$G$12="Yes",41&gt;=Projects!$C$12,41&lt;Projects!$C$12+Projects!$D$12),4736.84,0),Actuals!AT75)</f>
        <v/>
      </c>
      <c r="AT162" s="392">
        <f>IF(ISBLANK(Actuals!AU75),IF(AND(Projects!$G$12="Yes",42&gt;=Projects!$C$12,42&lt;Projects!$C$12+Projects!$D$12),4736.84,0),Actuals!AU75)</f>
        <v/>
      </c>
      <c r="AU162" s="392">
        <f>IF(ISBLANK(Actuals!AV75),IF(AND(Projects!$G$12="Yes",43&gt;=Projects!$C$12,43&lt;Projects!$C$12+Projects!$D$12),4736.84,0),Actuals!AV75)</f>
        <v/>
      </c>
      <c r="AV162" s="392">
        <f>IF(ISBLANK(Actuals!AW75),IF(AND(Projects!$G$12="Yes",44&gt;=Projects!$C$12,44&lt;Projects!$C$12+Projects!$D$12),4736.84,0),Actuals!AW75)</f>
        <v/>
      </c>
      <c r="AW162" s="392">
        <f>IF(ISBLANK(Actuals!AX75),IF(AND(Projects!$G$12="Yes",45&gt;=Projects!$C$12,45&lt;Projects!$C$12+Projects!$D$12),4736.84,0),Actuals!AX75)</f>
        <v/>
      </c>
      <c r="AX162" s="392">
        <f>IF(ISBLANK(Actuals!AY75),IF(AND(Projects!$G$12="Yes",46&gt;=Projects!$C$12,46&lt;Projects!$C$12+Projects!$D$12),4736.84,0),Actuals!AY75)</f>
        <v/>
      </c>
      <c r="AY162" s="392">
        <f>IF(ISBLANK(Actuals!AZ75),IF(AND(Projects!$G$12="Yes",47&gt;=Projects!$C$12,47&lt;Projects!$C$12+Projects!$D$12),4736.84,0),Actuals!AZ75)</f>
        <v/>
      </c>
      <c r="AZ162" s="392">
        <f>IF(ISBLANK(Actuals!BA75),IF(AND(Projects!$G$12="Yes",48&gt;=Projects!$C$12,48&lt;Projects!$C$12+Projects!$D$12),4736.84,0),Actuals!BA75)</f>
        <v/>
      </c>
      <c r="BA162" s="392">
        <f>IF(ISBLANK(Actuals!BB75),IF(AND(Projects!$G$12="Yes",49&gt;=Projects!$C$12,49&lt;Projects!$C$12+Projects!$D$12),4736.84,0),Actuals!BB75)</f>
        <v/>
      </c>
      <c r="BB162" s="392">
        <f>IF(ISBLANK(Actuals!BC75),IF(AND(Projects!$G$12="Yes",50&gt;=Projects!$C$12,50&lt;Projects!$C$12+Projects!$D$12),4736.84,0),Actuals!BC75)</f>
        <v/>
      </c>
      <c r="BC162" s="392">
        <f>IF(ISBLANK(Actuals!BD75),IF(AND(Projects!$G$12="Yes",51&gt;=Projects!$C$12,51&lt;Projects!$C$12+Projects!$D$12),4736.84,0),Actuals!BD75)</f>
        <v/>
      </c>
      <c r="BD162" s="392">
        <f>IF(ISBLANK(Actuals!BE75),IF(AND(Projects!$G$12="Yes",52&gt;=Projects!$C$12,52&lt;Projects!$C$12+Projects!$D$12),4736.84,0),Actuals!BE75)</f>
        <v/>
      </c>
      <c r="BE162" s="392">
        <f>IF(ISBLANK(Actuals!BF75),IF(AND(Projects!$G$12="Yes",53&gt;=Projects!$C$12,53&lt;Projects!$C$12+Projects!$D$12),4736.84,0),Actuals!BF75)</f>
        <v/>
      </c>
      <c r="BF162" s="392">
        <f>IF(ISBLANK(Actuals!BG75),IF(AND(Projects!$G$12="Yes",54&gt;=Projects!$C$12,54&lt;Projects!$C$12+Projects!$D$12),4736.84,0),Actuals!BG75)</f>
        <v/>
      </c>
      <c r="BG162" s="392">
        <f>IF(ISBLANK(Actuals!BH75),IF(AND(Projects!$G$12="Yes",55&gt;=Projects!$C$12,55&lt;Projects!$C$12+Projects!$D$12),4736.84,0),Actuals!BH75)</f>
        <v/>
      </c>
      <c r="BH162" s="392">
        <f>IF(ISBLANK(Actuals!BI75),IF(AND(Projects!$G$12="Yes",56&gt;=Projects!$C$12,56&lt;Projects!$C$12+Projects!$D$12),4736.84,0),Actuals!BI75)</f>
        <v/>
      </c>
      <c r="BI162" s="392">
        <f>IF(ISBLANK(Actuals!BJ75),IF(AND(Projects!$G$12="Yes",57&gt;=Projects!$C$12,57&lt;Projects!$C$12+Projects!$D$12),4736.84,0),Actuals!BJ75)</f>
        <v/>
      </c>
      <c r="BJ162" s="392">
        <f>IF(ISBLANK(Actuals!BK75),IF(AND(Projects!$G$12="Yes",58&gt;=Projects!$C$12,58&lt;Projects!$C$12+Projects!$D$12),4736.84,0),Actuals!BK75)</f>
        <v/>
      </c>
      <c r="BK162" s="392">
        <f>IF(ISBLANK(Actuals!BL75),IF(AND(Projects!$G$12="Yes",59&gt;=Projects!$C$12,59&lt;Projects!$C$12+Projects!$D$12),4736.84,0),Actuals!BL75)</f>
        <v/>
      </c>
      <c r="BL162" s="392">
        <f>IF(ISBLANK(Actuals!BM75),IF(AND(Projects!$G$12="Yes",60&gt;=Projects!$C$12,60&lt;Projects!$C$12+Projects!$D$12),4736.84,0),Actuals!BM75)</f>
        <v/>
      </c>
      <c r="BM162" s="392">
        <f>IF(ISBLANK(Actuals!BN75),IF(AND(Projects!$G$12="Yes",61&gt;=Projects!$C$12,61&lt;Projects!$C$12+Projects!$D$12),4736.84,0),Actuals!BN75)</f>
        <v/>
      </c>
      <c r="BN162" s="392">
        <f>IF(ISBLANK(Actuals!BO75),IF(AND(Projects!$G$12="Yes",62&gt;=Projects!$C$12,62&lt;Projects!$C$12+Projects!$D$12),4736.84,0),Actuals!BO75)</f>
        <v/>
      </c>
      <c r="BO162" s="392">
        <f>IF(ISBLANK(Actuals!BP75),IF(AND(Projects!$G$12="Yes",63&gt;=Projects!$C$12,63&lt;Projects!$C$12+Projects!$D$12),4736.84,0),Actuals!BP75)</f>
        <v/>
      </c>
      <c r="BP162" s="392">
        <f>IF(ISBLANK(Actuals!BQ75),IF(AND(Projects!$G$12="Yes",64&gt;=Projects!$C$12,64&lt;Projects!$C$12+Projects!$D$12),4736.84,0),Actuals!BQ75)</f>
        <v/>
      </c>
      <c r="BQ162" s="392">
        <f>IF(ISBLANK(Actuals!BR75),IF(AND(Projects!$G$12="Yes",65&gt;=Projects!$C$12,65&lt;Projects!$C$12+Projects!$D$12),4736.84,0),Actuals!BR75)</f>
        <v/>
      </c>
      <c r="BR162" s="392">
        <f>IF(ISBLANK(Actuals!BS75),IF(AND(Projects!$G$12="Yes",66&gt;=Projects!$C$12,66&lt;Projects!$C$12+Projects!$D$12),4736.84,0),Actuals!BS75)</f>
        <v/>
      </c>
      <c r="BS162" s="392">
        <f>IF(ISBLANK(Actuals!BT75),IF(AND(Projects!$G$12="Yes",67&gt;=Projects!$C$12,67&lt;Projects!$C$12+Projects!$D$12),4736.84,0),Actuals!BT75)</f>
        <v/>
      </c>
      <c r="BT162" s="392">
        <f>IF(ISBLANK(Actuals!BU75),IF(AND(Projects!$G$12="Yes",68&gt;=Projects!$C$12,68&lt;Projects!$C$12+Projects!$D$12),4736.84,0),Actuals!BU75)</f>
        <v/>
      </c>
      <c r="BU162" s="392">
        <f>IF(ISBLANK(Actuals!BV75),IF(AND(Projects!$G$12="Yes",69&gt;=Projects!$C$12,69&lt;Projects!$C$12+Projects!$D$12),4736.84,0),Actuals!BV75)</f>
        <v/>
      </c>
      <c r="BV162" s="392">
        <f>IF(ISBLANK(Actuals!BW75),IF(AND(Projects!$G$12="Yes",70&gt;=Projects!$C$12,70&lt;Projects!$C$12+Projects!$D$12),4736.84,0),Actuals!BW75)</f>
        <v/>
      </c>
      <c r="BW162" s="392">
        <f>IF(ISBLANK(Actuals!BX75),IF(AND(Projects!$G$12="Yes",71&gt;=Projects!$C$12,71&lt;Projects!$C$12+Projects!$D$12),4736.84,0),Actuals!BX75)</f>
        <v/>
      </c>
      <c r="BX162" s="392">
        <f>IF(ISBLANK(Actuals!BY75),IF(AND(Projects!$G$12="Yes",72&gt;=Projects!$C$12,72&lt;Projects!$C$12+Projects!$D$12),4736.84,0),Actuals!BY75)</f>
        <v/>
      </c>
      <c r="BY162" s="392">
        <f>IF(ISBLANK(Actuals!BZ75),IF(AND(Projects!$G$12="Yes",73&gt;=Projects!$C$12,73&lt;Projects!$C$12+Projects!$D$12),4736.84,0),Actuals!BZ75)</f>
        <v/>
      </c>
      <c r="BZ162" s="392">
        <f>IF(ISBLANK(Actuals!CA75),IF(AND(Projects!$G$12="Yes",74&gt;=Projects!$C$12,74&lt;Projects!$C$12+Projects!$D$12),4736.84,0),Actuals!CA75)</f>
        <v/>
      </c>
      <c r="CA162" s="392">
        <f>IF(ISBLANK(Actuals!CB75),IF(AND(Projects!$G$12="Yes",75&gt;=Projects!$C$12,75&lt;Projects!$C$12+Projects!$D$12),4736.84,0),Actuals!CB75)</f>
        <v/>
      </c>
      <c r="CB162" s="392">
        <f>IF(ISBLANK(Actuals!CC75),IF(AND(Projects!$G$12="Yes",76&gt;=Projects!$C$12,76&lt;Projects!$C$12+Projects!$D$12),4736.84,0),Actuals!CC75)</f>
        <v/>
      </c>
      <c r="CC162" s="392">
        <f>IF(ISBLANK(Actuals!CD75),IF(AND(Projects!$G$12="Yes",77&gt;=Projects!$C$12,77&lt;Projects!$C$12+Projects!$D$12),4736.84,0),Actuals!CD75)</f>
        <v/>
      </c>
      <c r="CD162" s="392">
        <f>IF(ISBLANK(Actuals!CE75),IF(AND(Projects!$G$12="Yes",78&gt;=Projects!$C$12,78&lt;Projects!$C$12+Projects!$D$12),4736.84,0),Actuals!CE75)</f>
        <v/>
      </c>
      <c r="CE162" s="392">
        <f>IF(ISBLANK(Actuals!CF75),IF(AND(Projects!$G$12="Yes",79&gt;=Projects!$C$12,79&lt;Projects!$C$12+Projects!$D$12),4736.84,0),Actuals!CF75)</f>
        <v/>
      </c>
      <c r="CF162" s="392">
        <f>IF(ISBLANK(Actuals!CG75),IF(AND(Projects!$G$12="Yes",80&gt;=Projects!$C$12,80&lt;Projects!$C$12+Projects!$D$12),4736.84,0),Actuals!CG75)</f>
        <v/>
      </c>
      <c r="CG162" s="392">
        <f>IF(ISBLANK(Actuals!CH75),IF(AND(Projects!$G$12="Yes",81&gt;=Projects!$C$12,81&lt;Projects!$C$12+Projects!$D$12),4736.84,0),Actuals!CH75)</f>
        <v/>
      </c>
      <c r="CH162" s="392">
        <f>IF(ISBLANK(Actuals!CI75),IF(AND(Projects!$G$12="Yes",82&gt;=Projects!$C$12,82&lt;Projects!$C$12+Projects!$D$12),4736.84,0),Actuals!CI75)</f>
        <v/>
      </c>
      <c r="CI162" s="392">
        <f>IF(ISBLANK(Actuals!CJ75),IF(AND(Projects!$G$12="Yes",83&gt;=Projects!$C$12,83&lt;Projects!$C$12+Projects!$D$12),4736.84,0),Actuals!CJ75)</f>
        <v/>
      </c>
      <c r="CJ162" s="392">
        <f>IF(ISBLANK(Actuals!CK75),IF(AND(Projects!$G$12="Yes",84&gt;=Projects!$C$12,84&lt;Projects!$C$12+Projects!$D$12),4736.84,0),Actuals!CK75)</f>
        <v/>
      </c>
      <c r="CK162" s="392">
        <f>IF(ISBLANK(Actuals!CL75),IF(AND(Projects!$G$12="Yes",85&gt;=Projects!$C$12,85&lt;Projects!$C$12+Projects!$D$12),4736.84,0),Actuals!CL75)</f>
        <v/>
      </c>
      <c r="CL162" s="392">
        <f>IF(ISBLANK(Actuals!CM75),IF(AND(Projects!$G$12="Yes",86&gt;=Projects!$C$12,86&lt;Projects!$C$12+Projects!$D$12),4736.84,0),Actuals!CM75)</f>
        <v/>
      </c>
      <c r="CM162" s="392">
        <f>IF(ISBLANK(Actuals!CN75),IF(AND(Projects!$G$12="Yes",87&gt;=Projects!$C$12,87&lt;Projects!$C$12+Projects!$D$12),4736.84,0),Actuals!CN75)</f>
        <v/>
      </c>
      <c r="CN162" s="392">
        <f>IF(ISBLANK(Actuals!CO75),IF(AND(Projects!$G$12="Yes",88&gt;=Projects!$C$12,88&lt;Projects!$C$12+Projects!$D$12),4736.84,0),Actuals!CO75)</f>
        <v/>
      </c>
      <c r="CO162" s="392">
        <f>IF(ISBLANK(Actuals!CP75),IF(AND(Projects!$G$12="Yes",89&gt;=Projects!$C$12,89&lt;Projects!$C$12+Projects!$D$12),4736.84,0),Actuals!CP75)</f>
        <v/>
      </c>
      <c r="CP162" s="392">
        <f>IF(ISBLANK(Actuals!CQ75),IF(AND(Projects!$G$12="Yes",90&gt;=Projects!$C$12,90&lt;Projects!$C$12+Projects!$D$12),4736.84,0),Actuals!CQ75)</f>
        <v/>
      </c>
      <c r="CQ162" s="392">
        <f>IF(ISBLANK(Actuals!CR75),IF(AND(Projects!$G$12="Yes",91&gt;=Projects!$C$12,91&lt;Projects!$C$12+Projects!$D$12),4736.84,0),Actuals!CR75)</f>
        <v/>
      </c>
      <c r="CR162" s="392">
        <f>IF(ISBLANK(Actuals!CS75),IF(AND(Projects!$G$12="Yes",92&gt;=Projects!$C$12,92&lt;Projects!$C$12+Projects!$D$12),4736.84,0),Actuals!CS75)</f>
        <v/>
      </c>
      <c r="CS162" s="392">
        <f>IF(ISBLANK(Actuals!CT75),IF(AND(Projects!$G$12="Yes",93&gt;=Projects!$C$12,93&lt;Projects!$C$12+Projects!$D$12),4736.84,0),Actuals!CT75)</f>
        <v/>
      </c>
      <c r="CT162" s="392">
        <f>IF(ISBLANK(Actuals!CU75),IF(AND(Projects!$G$12="Yes",94&gt;=Projects!$C$12,94&lt;Projects!$C$12+Projects!$D$12),4736.84,0),Actuals!CU75)</f>
        <v/>
      </c>
      <c r="CU162" s="392">
        <f>IF(ISBLANK(Actuals!CV75),IF(AND(Projects!$G$12="Yes",95&gt;=Projects!$C$12,95&lt;Projects!$C$12+Projects!$D$12),4736.84,0),Actuals!CV75)</f>
        <v/>
      </c>
      <c r="CV162" s="392">
        <f>IF(ISBLANK(Actuals!CW75),IF(AND(Projects!$G$12="Yes",96&gt;=Projects!$C$12,96&lt;Projects!$C$12+Projects!$D$12),4736.84,0),Actuals!CW75)</f>
        <v/>
      </c>
      <c r="CW162" s="392">
        <f>IF(ISBLANK(Actuals!CX75),IF(AND(Projects!$G$12="Yes",97&gt;=Projects!$C$12,97&lt;Projects!$C$12+Projects!$D$12),4736.84,0),Actuals!CX75)</f>
        <v/>
      </c>
      <c r="CX162" s="392">
        <f>IF(ISBLANK(Actuals!CY75),IF(AND(Projects!$G$12="Yes",98&gt;=Projects!$C$12,98&lt;Projects!$C$12+Projects!$D$12),4736.84,0),Actuals!CY75)</f>
        <v/>
      </c>
      <c r="CY162" s="392">
        <f>IF(ISBLANK(Actuals!CZ75),IF(AND(Projects!$G$12="Yes",99&gt;=Projects!$C$12,99&lt;Projects!$C$12+Projects!$D$12),4736.84,0),Actuals!CZ75)</f>
        <v/>
      </c>
      <c r="CZ162" s="392">
        <f>IF(ISBLANK(Actuals!DA75),IF(AND(Projects!$G$12="Yes",100&gt;=Projects!$C$12,100&lt;Projects!$C$12+Projects!$D$12),4736.84,0),Actuals!DA75)</f>
        <v/>
      </c>
      <c r="DA162" s="392">
        <f>IF(ISBLANK(Actuals!DB75),IF(AND(Projects!$G$12="Yes",101&gt;=Projects!$C$12,101&lt;Projects!$C$12+Projects!$D$12),4736.84,0),Actuals!DB75)</f>
        <v/>
      </c>
      <c r="DB162" s="392">
        <f>IF(ISBLANK(Actuals!DC75),IF(AND(Projects!$G$12="Yes",102&gt;=Projects!$C$12,102&lt;Projects!$C$12+Projects!$D$12),4736.84,0),Actuals!DC75)</f>
        <v/>
      </c>
      <c r="DC162" s="392">
        <f>IF(ISBLANK(Actuals!DD75),IF(AND(Projects!$G$12="Yes",103&gt;=Projects!$C$12,103&lt;Projects!$C$12+Projects!$D$12),4736.84,0),Actuals!DD75)</f>
        <v/>
      </c>
      <c r="DD162" s="392">
        <f>IF(ISBLANK(Actuals!DE75),IF(AND(Projects!$G$12="Yes",104&gt;=Projects!$C$12,104&lt;Projects!$C$12+Projects!$D$12),4736.84,0),Actuals!DE75)</f>
        <v/>
      </c>
      <c r="DE162" s="392">
        <f>IF(ISBLANK(Actuals!DF75),IF(AND(Projects!$G$12="Yes",105&gt;=Projects!$C$12,105&lt;Projects!$C$12+Projects!$D$12),4736.84,0),Actuals!DF75)</f>
        <v/>
      </c>
    </row>
    <row r="163" ht="15" customFormat="1" customHeight="1" s="380">
      <c r="A163" s="397" t="inlineStr">
        <is>
          <t>Scott Guarantee Fee</t>
        </is>
      </c>
      <c r="B163" s="392">
        <f>IF(ISBLANK(Actuals!C76),0,Actuals!C76)</f>
        <v/>
      </c>
      <c r="C163" s="392">
        <f>IF(ISBLANK(Actuals!D76),0,Actuals!D76)</f>
        <v/>
      </c>
      <c r="D163" s="392">
        <f>IF(ISBLANK(Actuals!E76),0,Actuals!E76)</f>
        <v/>
      </c>
      <c r="E163" s="392">
        <f>IF(ISBLANK(Actuals!F76),IF(AND(Projects!$G$12="Yes",1=Projects!$C$12),181745,0),Actuals!F76)</f>
        <v/>
      </c>
      <c r="F163" s="392">
        <f>IF(ISBLANK(Actuals!G76),IF(AND(Projects!$G$12="Yes",2=Projects!$C$12),181745,0),Actuals!G76)</f>
        <v/>
      </c>
      <c r="G163" s="392">
        <f>IF(ISBLANK(Actuals!H76),IF(AND(Projects!$G$12="Yes",3=Projects!$C$12),181745,0),Actuals!H76)</f>
        <v/>
      </c>
      <c r="H163" s="392">
        <f>IF(ISBLANK(Actuals!I76),IF(AND(Projects!$G$12="Yes",4=Projects!$C$12),181745,0),Actuals!I76)</f>
        <v/>
      </c>
      <c r="I163" s="392">
        <f>IF(ISBLANK(Actuals!J76),IF(AND(Projects!$G$12="Yes",5=Projects!$C$12),181745,0),Actuals!J76)</f>
        <v/>
      </c>
      <c r="J163" s="392">
        <f>IF(ISBLANK(Actuals!K76),IF(AND(Projects!$G$12="Yes",6=Projects!$C$12),181745,0),Actuals!K76)</f>
        <v/>
      </c>
      <c r="K163" s="392">
        <f>IF(ISBLANK(Actuals!L76),IF(AND(Projects!$G$12="Yes",7=Projects!$C$12),181745,0),Actuals!L76)</f>
        <v/>
      </c>
      <c r="L163" s="392">
        <f>IF(ISBLANK(Actuals!M76),IF(AND(Projects!$G$12="Yes",8=Projects!$C$12),181745,0),Actuals!M76)</f>
        <v/>
      </c>
      <c r="M163" s="392">
        <f>IF(ISBLANK(Actuals!N76),IF(AND(Projects!$G$12="Yes",9=Projects!$C$12),181745,0),Actuals!N76)</f>
        <v/>
      </c>
      <c r="N163" s="392">
        <f>IF(ISBLANK(Actuals!O76),IF(AND(Projects!$G$12="Yes",10=Projects!$C$12),181745,0),Actuals!O76)</f>
        <v/>
      </c>
      <c r="O163" s="392">
        <f>IF(ISBLANK(Actuals!P76),IF(AND(Projects!$G$12="Yes",11=Projects!$C$12),181745,0),Actuals!P76)</f>
        <v/>
      </c>
      <c r="P163" s="392">
        <f>IF(ISBLANK(Actuals!Q76),IF(AND(Projects!$G$12="Yes",12=Projects!$C$12),181745,0),Actuals!Q76)</f>
        <v/>
      </c>
      <c r="Q163" s="392">
        <f>IF(ISBLANK(Actuals!R76),IF(AND(Projects!$G$12="Yes",13=Projects!$C$12),181745,0),Actuals!R76)</f>
        <v/>
      </c>
      <c r="R163" s="392">
        <f>IF(ISBLANK(Actuals!S76),IF(AND(Projects!$G$12="Yes",14=Projects!$C$12),181745,0),Actuals!S76)</f>
        <v/>
      </c>
      <c r="S163" s="392">
        <f>IF(ISBLANK(Actuals!T76),IF(AND(Projects!$G$12="Yes",15=Projects!$C$12),181745,0),Actuals!T76)</f>
        <v/>
      </c>
      <c r="T163" s="392">
        <f>IF(ISBLANK(Actuals!U76),IF(AND(Projects!$G$12="Yes",16=Projects!$C$12),181745,0),Actuals!U76)</f>
        <v/>
      </c>
      <c r="U163" s="392">
        <f>IF(ISBLANK(Actuals!V76),IF(AND(Projects!$G$12="Yes",17=Projects!$C$12),181745,0),Actuals!V76)</f>
        <v/>
      </c>
      <c r="V163" s="392">
        <f>IF(ISBLANK(Actuals!W76),IF(AND(Projects!$G$12="Yes",18=Projects!$C$12),181745,0),Actuals!W76)</f>
        <v/>
      </c>
      <c r="W163" s="392">
        <f>IF(ISBLANK(Actuals!X76),IF(AND(Projects!$G$12="Yes",19=Projects!$C$12),181745,0),Actuals!X76)</f>
        <v/>
      </c>
      <c r="X163" s="392">
        <f>IF(ISBLANK(Actuals!Y76),IF(AND(Projects!$G$12="Yes",20=Projects!$C$12),181745,0),Actuals!Y76)</f>
        <v/>
      </c>
      <c r="Y163" s="392">
        <f>IF(ISBLANK(Actuals!Z76),IF(AND(Projects!$G$12="Yes",21=Projects!$C$12),181745,0),Actuals!Z76)</f>
        <v/>
      </c>
      <c r="Z163" s="392">
        <f>IF(ISBLANK(Actuals!AA76),IF(AND(Projects!$G$12="Yes",22=Projects!$C$12),181745,0),Actuals!AA76)</f>
        <v/>
      </c>
      <c r="AA163" s="392">
        <f>IF(ISBLANK(Actuals!AB76),IF(AND(Projects!$G$12="Yes",23=Projects!$C$12),181745,0),Actuals!AB76)</f>
        <v/>
      </c>
      <c r="AB163" s="392">
        <f>IF(ISBLANK(Actuals!AC76),IF(AND(Projects!$G$12="Yes",24=Projects!$C$12),181745,0),Actuals!AC76)</f>
        <v/>
      </c>
      <c r="AC163" s="392">
        <f>IF(ISBLANK(Actuals!AD76),IF(AND(Projects!$G$12="Yes",25=Projects!$C$12),181745,0),Actuals!AD76)</f>
        <v/>
      </c>
      <c r="AD163" s="392">
        <f>IF(ISBLANK(Actuals!AE76),IF(AND(Projects!$G$12="Yes",26=Projects!$C$12),181745,0),Actuals!AE76)</f>
        <v/>
      </c>
      <c r="AE163" s="392">
        <f>IF(ISBLANK(Actuals!AF76),IF(AND(Projects!$G$12="Yes",27=Projects!$C$12),181745,0),Actuals!AF76)</f>
        <v/>
      </c>
      <c r="AF163" s="392">
        <f>IF(ISBLANK(Actuals!AG76),IF(AND(Projects!$G$12="Yes",28=Projects!$C$12),181745,0),Actuals!AG76)</f>
        <v/>
      </c>
      <c r="AG163" s="392">
        <f>IF(ISBLANK(Actuals!AH76),IF(AND(Projects!$G$12="Yes",29=Projects!$C$12),181745,0),Actuals!AH76)</f>
        <v/>
      </c>
      <c r="AH163" s="392">
        <f>IF(ISBLANK(Actuals!AI76),IF(AND(Projects!$G$12="Yes",30=Projects!$C$12),181745,0),Actuals!AI76)</f>
        <v/>
      </c>
      <c r="AI163" s="392">
        <f>IF(ISBLANK(Actuals!AJ76),IF(AND(Projects!$G$12="Yes",31=Projects!$C$12),181745,0),Actuals!AJ76)</f>
        <v/>
      </c>
      <c r="AJ163" s="392">
        <f>IF(ISBLANK(Actuals!AK76),IF(AND(Projects!$G$12="Yes",32=Projects!$C$12),181745,0),Actuals!AK76)</f>
        <v/>
      </c>
      <c r="AK163" s="392">
        <f>IF(ISBLANK(Actuals!AL76),IF(AND(Projects!$G$12="Yes",33=Projects!$C$12),181745,0),Actuals!AL76)</f>
        <v/>
      </c>
      <c r="AL163" s="392">
        <f>IF(ISBLANK(Actuals!AM76),IF(AND(Projects!$G$12="Yes",34=Projects!$C$12),181745,0),Actuals!AM76)</f>
        <v/>
      </c>
      <c r="AM163" s="392">
        <f>IF(ISBLANK(Actuals!AN76),IF(AND(Projects!$G$12="Yes",35=Projects!$C$12),181745,0),Actuals!AN76)</f>
        <v/>
      </c>
      <c r="AN163" s="392">
        <f>IF(ISBLANK(Actuals!AO76),IF(AND(Projects!$G$12="Yes",36=Projects!$C$12),181745,0),Actuals!AO76)</f>
        <v/>
      </c>
      <c r="AO163" s="392">
        <f>IF(ISBLANK(Actuals!AP76),IF(AND(Projects!$G$12="Yes",37=Projects!$C$12),181745,0),Actuals!AP76)</f>
        <v/>
      </c>
      <c r="AP163" s="392">
        <f>IF(ISBLANK(Actuals!AQ76),IF(AND(Projects!$G$12="Yes",38=Projects!$C$12),181745,0),Actuals!AQ76)</f>
        <v/>
      </c>
      <c r="AQ163" s="392">
        <f>IF(ISBLANK(Actuals!AR76),IF(AND(Projects!$G$12="Yes",39=Projects!$C$12),181745,0),Actuals!AR76)</f>
        <v/>
      </c>
      <c r="AR163" s="392">
        <f>IF(ISBLANK(Actuals!AS76),IF(AND(Projects!$G$12="Yes",40=Projects!$C$12),181745,0),Actuals!AS76)</f>
        <v/>
      </c>
      <c r="AS163" s="392">
        <f>IF(ISBLANK(Actuals!AT76),IF(AND(Projects!$G$12="Yes",41=Projects!$C$12),181745,0),Actuals!AT76)</f>
        <v/>
      </c>
      <c r="AT163" s="392">
        <f>IF(ISBLANK(Actuals!AU76),IF(AND(Projects!$G$12="Yes",42=Projects!$C$12),181745,0),Actuals!AU76)</f>
        <v/>
      </c>
      <c r="AU163" s="392">
        <f>IF(ISBLANK(Actuals!AV76),IF(AND(Projects!$G$12="Yes",43=Projects!$C$12),181745,0),Actuals!AV76)</f>
        <v/>
      </c>
      <c r="AV163" s="392">
        <f>IF(ISBLANK(Actuals!AW76),IF(AND(Projects!$G$12="Yes",44=Projects!$C$12),181745,0),Actuals!AW76)</f>
        <v/>
      </c>
      <c r="AW163" s="392">
        <f>IF(ISBLANK(Actuals!AX76),IF(AND(Projects!$G$12="Yes",45=Projects!$C$12),181745,0),Actuals!AX76)</f>
        <v/>
      </c>
      <c r="AX163" s="392">
        <f>IF(ISBLANK(Actuals!AY76),IF(AND(Projects!$G$12="Yes",46=Projects!$C$12),181745,0),Actuals!AY76)</f>
        <v/>
      </c>
      <c r="AY163" s="392">
        <f>IF(ISBLANK(Actuals!AZ76),IF(AND(Projects!$G$12="Yes",47=Projects!$C$12),181745,0),Actuals!AZ76)</f>
        <v/>
      </c>
      <c r="AZ163" s="392">
        <f>IF(ISBLANK(Actuals!BA76),IF(AND(Projects!$G$12="Yes",48=Projects!$C$12),181745,0),Actuals!BA76)</f>
        <v/>
      </c>
      <c r="BA163" s="392">
        <f>IF(ISBLANK(Actuals!BB76),IF(AND(Projects!$G$12="Yes",49=Projects!$C$12),181745,0),Actuals!BB76)</f>
        <v/>
      </c>
      <c r="BB163" s="392">
        <f>IF(ISBLANK(Actuals!BC76),IF(AND(Projects!$G$12="Yes",50=Projects!$C$12),181745,0),Actuals!BC76)</f>
        <v/>
      </c>
      <c r="BC163" s="392">
        <f>IF(ISBLANK(Actuals!BD76),IF(AND(Projects!$G$12="Yes",51=Projects!$C$12),181745,0),Actuals!BD76)</f>
        <v/>
      </c>
      <c r="BD163" s="392">
        <f>IF(ISBLANK(Actuals!BE76),IF(AND(Projects!$G$12="Yes",52=Projects!$C$12),181745,0),Actuals!BE76)</f>
        <v/>
      </c>
      <c r="BE163" s="392">
        <f>IF(ISBLANK(Actuals!BF76),IF(AND(Projects!$G$12="Yes",53=Projects!$C$12),181745,0),Actuals!BF76)</f>
        <v/>
      </c>
      <c r="BF163" s="392">
        <f>IF(ISBLANK(Actuals!BG76),IF(AND(Projects!$G$12="Yes",54=Projects!$C$12),181745,0),Actuals!BG76)</f>
        <v/>
      </c>
      <c r="BG163" s="392">
        <f>IF(ISBLANK(Actuals!BH76),IF(AND(Projects!$G$12="Yes",55=Projects!$C$12),181745,0),Actuals!BH76)</f>
        <v/>
      </c>
      <c r="BH163" s="392">
        <f>IF(ISBLANK(Actuals!BI76),IF(AND(Projects!$G$12="Yes",56=Projects!$C$12),181745,0),Actuals!BI76)</f>
        <v/>
      </c>
      <c r="BI163" s="392">
        <f>IF(ISBLANK(Actuals!BJ76),IF(AND(Projects!$G$12="Yes",57=Projects!$C$12),181745,0),Actuals!BJ76)</f>
        <v/>
      </c>
      <c r="BJ163" s="392">
        <f>IF(ISBLANK(Actuals!BK76),IF(AND(Projects!$G$12="Yes",58=Projects!$C$12),181745,0),Actuals!BK76)</f>
        <v/>
      </c>
      <c r="BK163" s="392">
        <f>IF(ISBLANK(Actuals!BL76),IF(AND(Projects!$G$12="Yes",59=Projects!$C$12),181745,0),Actuals!BL76)</f>
        <v/>
      </c>
      <c r="BL163" s="392">
        <f>IF(ISBLANK(Actuals!BM76),IF(AND(Projects!$G$12="Yes",60=Projects!$C$12),181745,0),Actuals!BM76)</f>
        <v/>
      </c>
      <c r="BM163" s="392">
        <f>IF(ISBLANK(Actuals!BN76),IF(AND(Projects!$G$12="Yes",61=Projects!$C$12),181745,0),Actuals!BN76)</f>
        <v/>
      </c>
      <c r="BN163" s="392">
        <f>IF(ISBLANK(Actuals!BO76),IF(AND(Projects!$G$12="Yes",62=Projects!$C$12),181745,0),Actuals!BO76)</f>
        <v/>
      </c>
      <c r="BO163" s="392">
        <f>IF(ISBLANK(Actuals!BP76),IF(AND(Projects!$G$12="Yes",63=Projects!$C$12),181745,0),Actuals!BP76)</f>
        <v/>
      </c>
      <c r="BP163" s="392">
        <f>IF(ISBLANK(Actuals!BQ76),IF(AND(Projects!$G$12="Yes",64=Projects!$C$12),181745,0),Actuals!BQ76)</f>
        <v/>
      </c>
      <c r="BQ163" s="392">
        <f>IF(ISBLANK(Actuals!BR76),IF(AND(Projects!$G$12="Yes",65=Projects!$C$12),181745,0),Actuals!BR76)</f>
        <v/>
      </c>
      <c r="BR163" s="392">
        <f>IF(ISBLANK(Actuals!BS76),IF(AND(Projects!$G$12="Yes",66=Projects!$C$12),181745,0),Actuals!BS76)</f>
        <v/>
      </c>
      <c r="BS163" s="392">
        <f>IF(ISBLANK(Actuals!BT76),IF(AND(Projects!$G$12="Yes",67=Projects!$C$12),181745,0),Actuals!BT76)</f>
        <v/>
      </c>
      <c r="BT163" s="392">
        <f>IF(ISBLANK(Actuals!BU76),IF(AND(Projects!$G$12="Yes",68=Projects!$C$12),181745,0),Actuals!BU76)</f>
        <v/>
      </c>
      <c r="BU163" s="392">
        <f>IF(ISBLANK(Actuals!BV76),IF(AND(Projects!$G$12="Yes",69=Projects!$C$12),181745,0),Actuals!BV76)</f>
        <v/>
      </c>
      <c r="BV163" s="392">
        <f>IF(ISBLANK(Actuals!BW76),IF(AND(Projects!$G$12="Yes",70=Projects!$C$12),181745,0),Actuals!BW76)</f>
        <v/>
      </c>
      <c r="BW163" s="392">
        <f>IF(ISBLANK(Actuals!BX76),IF(AND(Projects!$G$12="Yes",71=Projects!$C$12),181745,0),Actuals!BX76)</f>
        <v/>
      </c>
      <c r="BX163" s="392">
        <f>IF(ISBLANK(Actuals!BY76),IF(AND(Projects!$G$12="Yes",72=Projects!$C$12),181745,0),Actuals!BY76)</f>
        <v/>
      </c>
      <c r="BY163" s="392">
        <f>IF(ISBLANK(Actuals!BZ76),IF(AND(Projects!$G$12="Yes",73=Projects!$C$12),181745,0),Actuals!BZ76)</f>
        <v/>
      </c>
      <c r="BZ163" s="392">
        <f>IF(ISBLANK(Actuals!CA76),IF(AND(Projects!$G$12="Yes",74=Projects!$C$12),181745,0),Actuals!CA76)</f>
        <v/>
      </c>
      <c r="CA163" s="392">
        <f>IF(ISBLANK(Actuals!CB76),IF(AND(Projects!$G$12="Yes",75=Projects!$C$12),181745,0),Actuals!CB76)</f>
        <v/>
      </c>
      <c r="CB163" s="392">
        <f>IF(ISBLANK(Actuals!CC76),IF(AND(Projects!$G$12="Yes",76=Projects!$C$12),181745,0),Actuals!CC76)</f>
        <v/>
      </c>
      <c r="CC163" s="392">
        <f>IF(ISBLANK(Actuals!CD76),IF(AND(Projects!$G$12="Yes",77=Projects!$C$12),181745,0),Actuals!CD76)</f>
        <v/>
      </c>
      <c r="CD163" s="392">
        <f>IF(ISBLANK(Actuals!CE76),IF(AND(Projects!$G$12="Yes",78=Projects!$C$12),181745,0),Actuals!CE76)</f>
        <v/>
      </c>
      <c r="CE163" s="392">
        <f>IF(ISBLANK(Actuals!CF76),IF(AND(Projects!$G$12="Yes",79=Projects!$C$12),181745,0),Actuals!CF76)</f>
        <v/>
      </c>
      <c r="CF163" s="392">
        <f>IF(ISBLANK(Actuals!CG76),IF(AND(Projects!$G$12="Yes",80=Projects!$C$12),181745,0),Actuals!CG76)</f>
        <v/>
      </c>
      <c r="CG163" s="392">
        <f>IF(ISBLANK(Actuals!CH76),IF(AND(Projects!$G$12="Yes",81=Projects!$C$12),181745,0),Actuals!CH76)</f>
        <v/>
      </c>
      <c r="CH163" s="392">
        <f>IF(ISBLANK(Actuals!CI76),IF(AND(Projects!$G$12="Yes",82=Projects!$C$12),181745,0),Actuals!CI76)</f>
        <v/>
      </c>
      <c r="CI163" s="392">
        <f>IF(ISBLANK(Actuals!CJ76),IF(AND(Projects!$G$12="Yes",83=Projects!$C$12),181745,0),Actuals!CJ76)</f>
        <v/>
      </c>
      <c r="CJ163" s="392">
        <f>IF(ISBLANK(Actuals!CK76),IF(AND(Projects!$G$12="Yes",84=Projects!$C$12),181745,0),Actuals!CK76)</f>
        <v/>
      </c>
      <c r="CK163" s="392">
        <f>IF(ISBLANK(Actuals!CL76),IF(AND(Projects!$G$12="Yes",85=Projects!$C$12),181745,0),Actuals!CL76)</f>
        <v/>
      </c>
      <c r="CL163" s="392">
        <f>IF(ISBLANK(Actuals!CM76),IF(AND(Projects!$G$12="Yes",86=Projects!$C$12),181745,0),Actuals!CM76)</f>
        <v/>
      </c>
      <c r="CM163" s="392">
        <f>IF(ISBLANK(Actuals!CN76),IF(AND(Projects!$G$12="Yes",87=Projects!$C$12),181745,0),Actuals!CN76)</f>
        <v/>
      </c>
      <c r="CN163" s="392">
        <f>IF(ISBLANK(Actuals!CO76),IF(AND(Projects!$G$12="Yes",88=Projects!$C$12),181745,0),Actuals!CO76)</f>
        <v/>
      </c>
      <c r="CO163" s="392">
        <f>IF(ISBLANK(Actuals!CP76),IF(AND(Projects!$G$12="Yes",89=Projects!$C$12),181745,0),Actuals!CP76)</f>
        <v/>
      </c>
      <c r="CP163" s="392">
        <f>IF(ISBLANK(Actuals!CQ76),IF(AND(Projects!$G$12="Yes",90=Projects!$C$12),181745,0),Actuals!CQ76)</f>
        <v/>
      </c>
      <c r="CQ163" s="392">
        <f>IF(ISBLANK(Actuals!CR76),IF(AND(Projects!$G$12="Yes",91=Projects!$C$12),181745,0),Actuals!CR76)</f>
        <v/>
      </c>
      <c r="CR163" s="392">
        <f>IF(ISBLANK(Actuals!CS76),IF(AND(Projects!$G$12="Yes",92=Projects!$C$12),181745,0),Actuals!CS76)</f>
        <v/>
      </c>
      <c r="CS163" s="392">
        <f>IF(ISBLANK(Actuals!CT76),IF(AND(Projects!$G$12="Yes",93=Projects!$C$12),181745,0),Actuals!CT76)</f>
        <v/>
      </c>
      <c r="CT163" s="392">
        <f>IF(ISBLANK(Actuals!CU76),IF(AND(Projects!$G$12="Yes",94=Projects!$C$12),181745,0),Actuals!CU76)</f>
        <v/>
      </c>
      <c r="CU163" s="392">
        <f>IF(ISBLANK(Actuals!CV76),IF(AND(Projects!$G$12="Yes",95=Projects!$C$12),181745,0),Actuals!CV76)</f>
        <v/>
      </c>
      <c r="CV163" s="392">
        <f>IF(ISBLANK(Actuals!CW76),IF(AND(Projects!$G$12="Yes",96=Projects!$C$12),181745,0),Actuals!CW76)</f>
        <v/>
      </c>
      <c r="CW163" s="392">
        <f>IF(ISBLANK(Actuals!CX76),IF(AND(Projects!$G$12="Yes",97=Projects!$C$12),181745,0),Actuals!CX76)</f>
        <v/>
      </c>
      <c r="CX163" s="392">
        <f>IF(ISBLANK(Actuals!CY76),IF(AND(Projects!$G$12="Yes",98=Projects!$C$12),181745,0),Actuals!CY76)</f>
        <v/>
      </c>
      <c r="CY163" s="392">
        <f>IF(ISBLANK(Actuals!CZ76),IF(AND(Projects!$G$12="Yes",99=Projects!$C$12),181745,0),Actuals!CZ76)</f>
        <v/>
      </c>
      <c r="CZ163" s="392">
        <f>IF(ISBLANK(Actuals!DA76),IF(AND(Projects!$G$12="Yes",100=Projects!$C$12),181745,0),Actuals!DA76)</f>
        <v/>
      </c>
      <c r="DA163" s="392">
        <f>IF(ISBLANK(Actuals!DB76),IF(AND(Projects!$G$12="Yes",101=Projects!$C$12),181745,0),Actuals!DB76)</f>
        <v/>
      </c>
      <c r="DB163" s="392">
        <f>IF(ISBLANK(Actuals!DC76),IF(AND(Projects!$G$12="Yes",102=Projects!$C$12),181745,0),Actuals!DC76)</f>
        <v/>
      </c>
      <c r="DC163" s="392">
        <f>IF(ISBLANK(Actuals!DD76),IF(AND(Projects!$G$12="Yes",103=Projects!$C$12),181745,0),Actuals!DD76)</f>
        <v/>
      </c>
      <c r="DD163" s="392">
        <f>IF(ISBLANK(Actuals!DE76),IF(AND(Projects!$G$12="Yes",104=Projects!$C$12),181745,0),Actuals!DE76)</f>
        <v/>
      </c>
      <c r="DE163" s="392">
        <f>IF(ISBLANK(Actuals!DF76),IF(AND(Projects!$G$12="Yes",105=Projects!$C$12),181745,0),Actuals!DF76)</f>
        <v/>
      </c>
    </row>
    <row r="164" ht="15" customFormat="1" customHeight="1" s="380">
      <c r="A164" s="397" t="inlineStr">
        <is>
          <t>Francis LIHTC Revenue (SP Share)</t>
        </is>
      </c>
      <c r="B164" s="392">
        <f>IF(ISBLANK(Actuals!C77),0,Actuals!C77)</f>
        <v/>
      </c>
      <c r="C164" s="392">
        <f>IF(ISBLANK(Actuals!D77),0,Actuals!D77)</f>
        <v/>
      </c>
      <c r="D164" s="392">
        <f>IF(ISBLANK(Actuals!E77),0,Actuals!E77)</f>
        <v/>
      </c>
      <c r="E164" s="392">
        <f>IF(ISBLANK(Actuals!F77),0,Actuals!F77)</f>
        <v/>
      </c>
      <c r="F164" s="392">
        <f>IF(ISBLANK(Actuals!G77),0,Actuals!G77)</f>
        <v/>
      </c>
      <c r="G164" s="392">
        <f>IF(ISBLANK(Actuals!H77),0,Actuals!H77)</f>
        <v/>
      </c>
      <c r="H164" s="392">
        <f>IF(ISBLANK(Actuals!I77),0,Actuals!I77)</f>
        <v/>
      </c>
      <c r="I164" s="392">
        <f>IF(ISBLANK(Actuals!J77),0,Actuals!J77)</f>
        <v/>
      </c>
      <c r="J164" s="392">
        <f>IF(ISBLANK(Actuals!K77),0,Actuals!K77)</f>
        <v/>
      </c>
      <c r="K164" s="392">
        <f>IF(ISBLANK(Actuals!L77),0,Actuals!L77)</f>
        <v/>
      </c>
      <c r="L164" s="392">
        <f>IF(ISBLANK(Actuals!M77),0,Actuals!M77)</f>
        <v/>
      </c>
      <c r="M164" s="392">
        <f>IF(ISBLANK(Actuals!N77),0,Actuals!N77)</f>
        <v/>
      </c>
      <c r="N164" s="392">
        <f>IF(ISBLANK(Actuals!O77),0,Actuals!O77)</f>
        <v/>
      </c>
      <c r="O164" s="392">
        <f>IF(ISBLANK(Actuals!P77),0,Actuals!P77)</f>
        <v/>
      </c>
      <c r="P164" s="392">
        <f>IF(ISBLANK(Actuals!Q77),0,Actuals!Q77)</f>
        <v/>
      </c>
      <c r="Q164" s="392">
        <f>IF(ISBLANK(Actuals!R77),0,Actuals!R77)</f>
        <v/>
      </c>
      <c r="R164" s="392">
        <f>IF(ISBLANK(Actuals!S77),0,Actuals!S77)</f>
        <v/>
      </c>
      <c r="S164" s="392">
        <f>IF(ISBLANK(Actuals!T77),0,Actuals!T77)</f>
        <v/>
      </c>
      <c r="T164" s="392">
        <f>IF(ISBLANK(Actuals!U77),0,Actuals!U77)</f>
        <v/>
      </c>
      <c r="U164" s="392">
        <f>IF(ISBLANK(Actuals!V77),0,Actuals!V77)</f>
        <v/>
      </c>
      <c r="V164" s="392">
        <f>IF(ISBLANK(Actuals!W77),0,Actuals!W77)</f>
        <v/>
      </c>
      <c r="W164" s="392">
        <f>IF(ISBLANK(Actuals!X77),0,Actuals!X77)</f>
        <v/>
      </c>
      <c r="X164" s="392">
        <f>IF(ISBLANK(Actuals!Y77),0,Actuals!Y77)</f>
        <v/>
      </c>
      <c r="Y164" s="392">
        <f>IF(ISBLANK(Actuals!Z77),0,Actuals!Z77)</f>
        <v/>
      </c>
      <c r="Z164" s="392">
        <f>IF(ISBLANK(Actuals!AA77),0,Actuals!AA77)</f>
        <v/>
      </c>
      <c r="AA164" s="392">
        <f>IF(ISBLANK(Actuals!AB77),0,Actuals!AB77)</f>
        <v/>
      </c>
      <c r="AB164" s="392">
        <f>IF(ISBLANK(Actuals!AC77),0,Actuals!AC77)</f>
        <v/>
      </c>
      <c r="AC164" s="392">
        <f>IF(ISBLANK(Actuals!AD77),0,Actuals!AD77)</f>
        <v/>
      </c>
      <c r="AD164" s="392">
        <f>IF(ISBLANK(Actuals!AE77),0,Actuals!AE77)</f>
        <v/>
      </c>
      <c r="AE164" s="392">
        <f>IF(ISBLANK(Actuals!AF77),0,Actuals!AF77)</f>
        <v/>
      </c>
      <c r="AF164" s="392">
        <f>IF(ISBLANK(Actuals!AG77),0,Actuals!AG77)</f>
        <v/>
      </c>
      <c r="AG164" s="392">
        <f>IF(ISBLANK(Actuals!AH77),0,Actuals!AH77)</f>
        <v/>
      </c>
      <c r="AH164" s="392">
        <f>IF(ISBLANK(Actuals!AI77),0,Actuals!AI77)</f>
        <v/>
      </c>
      <c r="AI164" s="392">
        <f>IF(ISBLANK(Actuals!AJ77),0,Actuals!AJ77)</f>
        <v/>
      </c>
      <c r="AJ164" s="392">
        <f>IF(ISBLANK(Actuals!AK77),0,Actuals!AK77)</f>
        <v/>
      </c>
      <c r="AK164" s="392">
        <f>IF(ISBLANK(Actuals!AL77),0,Actuals!AL77)</f>
        <v/>
      </c>
      <c r="AL164" s="392">
        <f>IF(ISBLANK(Actuals!AM77),0,Actuals!AM77)</f>
        <v/>
      </c>
      <c r="AM164" s="392">
        <f>IF(ISBLANK(Actuals!AN77),0,Actuals!AN77)</f>
        <v/>
      </c>
      <c r="AN164" s="392">
        <f>IF(ISBLANK(Actuals!AO77),0,Actuals!AO77)</f>
        <v/>
      </c>
      <c r="AO164" s="392">
        <f>IF(ISBLANK(Actuals!AP77),0,Actuals!AP77)</f>
        <v/>
      </c>
      <c r="AP164" s="392">
        <f>IF(ISBLANK(Actuals!AQ77),0,Actuals!AQ77)</f>
        <v/>
      </c>
      <c r="AQ164" s="392">
        <f>IF(ISBLANK(Actuals!AR77),0,Actuals!AR77)</f>
        <v/>
      </c>
      <c r="AR164" s="392">
        <f>IF(ISBLANK(Actuals!AS77),0,Actuals!AS77)</f>
        <v/>
      </c>
      <c r="AS164" s="392">
        <f>IF(ISBLANK(Actuals!AT77),0,Actuals!AT77)</f>
        <v/>
      </c>
      <c r="AT164" s="392">
        <f>IF(ISBLANK(Actuals!AU77),IF(Projects!$G$7="Yes",81683,0),Actuals!AU77)</f>
        <v/>
      </c>
      <c r="AU164" s="392">
        <f>IF(ISBLANK(Actuals!AV77),0,Actuals!AV77)</f>
        <v/>
      </c>
      <c r="AV164" s="392">
        <f>IF(ISBLANK(Actuals!AW77),0,Actuals!AW77)</f>
        <v/>
      </c>
      <c r="AW164" s="392">
        <f>IF(ISBLANK(Actuals!AX77),IF(Projects!$G$7="Yes",81682,0),Actuals!AX77)</f>
        <v/>
      </c>
      <c r="AX164" s="392">
        <f>IF(ISBLANK(Actuals!AY77),0,Actuals!AY77)</f>
        <v/>
      </c>
      <c r="AY164" s="392">
        <f>IF(ISBLANK(Actuals!AZ77),0,Actuals!AZ77)</f>
        <v/>
      </c>
      <c r="AZ164" s="392">
        <f>IF(ISBLANK(Actuals!BA77),IF(Projects!$G$7="Yes",81682,0),Actuals!BA77)</f>
        <v/>
      </c>
      <c r="BA164" s="392">
        <f>IF(ISBLANK(Actuals!BB77),0,Actuals!BB77)</f>
        <v/>
      </c>
      <c r="BB164" s="392">
        <f>IF(ISBLANK(Actuals!BC77),0,Actuals!BC77)</f>
        <v/>
      </c>
      <c r="BC164" s="392">
        <f>IF(ISBLANK(Actuals!BD77),IF(Projects!$G$7="Yes",81682,0),Actuals!BD77)</f>
        <v/>
      </c>
      <c r="BD164" s="392">
        <f>IF(ISBLANK(Actuals!BE77),0,Actuals!BE77)</f>
        <v/>
      </c>
      <c r="BE164" s="392">
        <f>IF(ISBLANK(Actuals!BF77),0,Actuals!BF77)</f>
        <v/>
      </c>
      <c r="BF164" s="392">
        <f>IF(ISBLANK(Actuals!BG77),IF(Projects!$G$7="Yes",59178,0),Actuals!BG77)</f>
        <v/>
      </c>
      <c r="BG164" s="392">
        <f>IF(ISBLANK(Actuals!BH77),0,Actuals!BH77)</f>
        <v/>
      </c>
      <c r="BH164" s="392">
        <f>IF(ISBLANK(Actuals!BI77),0,Actuals!BI77)</f>
        <v/>
      </c>
      <c r="BI164" s="392">
        <f>IF(ISBLANK(Actuals!BJ77),IF(Projects!$G$7="Yes",59176,0),Actuals!BJ77)</f>
        <v/>
      </c>
      <c r="BJ164" s="392">
        <f>IF(ISBLANK(Actuals!BK77),0,Actuals!BK77)</f>
        <v/>
      </c>
      <c r="BK164" s="392">
        <f>IF(ISBLANK(Actuals!BL77),0,Actuals!BL77)</f>
        <v/>
      </c>
      <c r="BL164" s="392">
        <f>IF(ISBLANK(Actuals!BM77),IF(Projects!$G$7="Yes",59176,0),Actuals!BM77)</f>
        <v/>
      </c>
      <c r="BM164" s="392">
        <f>IF(ISBLANK(Actuals!BN77),0,Actuals!BN77)</f>
        <v/>
      </c>
      <c r="BN164" s="392">
        <f>IF(ISBLANK(Actuals!BO77),0,Actuals!BO77)</f>
        <v/>
      </c>
      <c r="BO164" s="392">
        <f>IF(ISBLANK(Actuals!BP77),IF(Projects!$G$7="Yes",59176,0),Actuals!BP77)</f>
        <v/>
      </c>
      <c r="BP164" s="392">
        <f>IF(ISBLANK(Actuals!BQ77),0,Actuals!BQ77)</f>
        <v/>
      </c>
      <c r="BQ164" s="392">
        <f>IF(ISBLANK(Actuals!BR77),0,Actuals!BR77)</f>
        <v/>
      </c>
      <c r="BR164" s="392">
        <f>IF(ISBLANK(Actuals!BS77),IF(Projects!$G$7="Yes",67763,0),Actuals!BS77)</f>
        <v/>
      </c>
      <c r="BS164" s="392">
        <f>IF(ISBLANK(Actuals!BT77),0,Actuals!BT77)</f>
        <v/>
      </c>
      <c r="BT164" s="392">
        <f>IF(ISBLANK(Actuals!BU77),0,Actuals!BU77)</f>
        <v/>
      </c>
      <c r="BU164" s="392">
        <f>IF(ISBLANK(Actuals!BV77),IF(Projects!$G$7="Yes",67762,0),Actuals!BV77)</f>
        <v/>
      </c>
      <c r="BV164" s="392">
        <f>IF(ISBLANK(Actuals!BW77),0,Actuals!BW77)</f>
        <v/>
      </c>
      <c r="BW164" s="392">
        <f>IF(ISBLANK(Actuals!BX77),0,Actuals!BX77)</f>
        <v/>
      </c>
      <c r="BX164" s="392">
        <f>IF(ISBLANK(Actuals!BY77),IF(Projects!$G$7="Yes",67762,0),Actuals!BY77)</f>
        <v/>
      </c>
      <c r="BY164" s="392">
        <f>IF(ISBLANK(Actuals!BZ77),0,Actuals!BZ77)</f>
        <v/>
      </c>
      <c r="BZ164" s="392">
        <f>IF(ISBLANK(Actuals!CA77),0,Actuals!CA77)</f>
        <v/>
      </c>
      <c r="CA164" s="392">
        <f>IF(ISBLANK(Actuals!CB77),IF(Projects!$G$7="Yes",67762,0),Actuals!CB77)</f>
        <v/>
      </c>
      <c r="CB164" s="392">
        <f>IF(ISBLANK(Actuals!CC77),0,Actuals!CC77)</f>
        <v/>
      </c>
      <c r="CC164" s="392">
        <f>IF(ISBLANK(Actuals!CD77),0,Actuals!CD77)</f>
        <v/>
      </c>
      <c r="CD164" s="392">
        <f>IF(ISBLANK(Actuals!CE77),IF(Projects!$G$7="Yes",76499,0),Actuals!CE77)</f>
        <v/>
      </c>
      <c r="CE164" s="392">
        <f>IF(ISBLANK(Actuals!CF77),0,Actuals!CF77)</f>
        <v/>
      </c>
      <c r="CF164" s="392">
        <f>IF(ISBLANK(Actuals!CG77),0,Actuals!CG77)</f>
        <v/>
      </c>
      <c r="CG164" s="392">
        <f>IF(ISBLANK(Actuals!CH77),IF(Projects!$G$7="Yes",76499,0),Actuals!CH77)</f>
        <v/>
      </c>
      <c r="CH164" s="392">
        <f>IF(ISBLANK(Actuals!CI77),0,Actuals!CI77)</f>
        <v/>
      </c>
      <c r="CI164" s="392">
        <f>IF(ISBLANK(Actuals!CJ77),0,Actuals!CJ77)</f>
        <v/>
      </c>
      <c r="CJ164" s="392">
        <f>IF(ISBLANK(Actuals!CK77),IF(Projects!$G$7="Yes",76499,0),Actuals!CK77)</f>
        <v/>
      </c>
      <c r="CK164" s="392">
        <f>IF(ISBLANK(Actuals!CL77),IF(Projects!$G$7="Yes",76499,0),Actuals!CL77)</f>
        <v/>
      </c>
      <c r="CL164" s="392">
        <f>IF(ISBLANK(Actuals!CM77),IF(Projects!$G$7="Yes",76499,0),Actuals!CM77)</f>
        <v/>
      </c>
      <c r="CM164" s="392">
        <f>IF(ISBLANK(Actuals!CN77),IF(Projects!$G$7="Yes",76499,0),Actuals!CN77)</f>
        <v/>
      </c>
      <c r="CN164" s="392">
        <f>IF(ISBLANK(Actuals!CO77),IF(Projects!$G$7="Yes",76499,0),Actuals!CO77)</f>
        <v/>
      </c>
      <c r="CO164" s="392">
        <f>IF(ISBLANK(Actuals!CP77),IF(Projects!$G$7="Yes",76499,0),Actuals!CP77)</f>
        <v/>
      </c>
      <c r="CP164" s="392">
        <f>IF(ISBLANK(Actuals!CQ77),IF(Projects!$G$7="Yes",76499,0),Actuals!CQ77)</f>
        <v/>
      </c>
      <c r="CQ164" s="392">
        <f>IF(ISBLANK(Actuals!CR77),IF(Projects!$G$7="Yes",76499,0),Actuals!CR77)</f>
        <v/>
      </c>
      <c r="CR164" s="392">
        <f>IF(ISBLANK(Actuals!CS77),IF(Projects!$G$7="Yes",76499,0),Actuals!CS77)</f>
        <v/>
      </c>
      <c r="CS164" s="392">
        <f>IF(ISBLANK(Actuals!CT77),IF(Projects!$G$7="Yes",76499,0),Actuals!CT77)</f>
        <v/>
      </c>
      <c r="CT164" s="392">
        <f>IF(ISBLANK(Actuals!CU77),IF(Projects!$G$7="Yes",76499,0),Actuals!CU77)</f>
        <v/>
      </c>
      <c r="CU164" s="392">
        <f>IF(ISBLANK(Actuals!CV77),IF(Projects!$G$7="Yes",76499,0),Actuals!CV77)</f>
        <v/>
      </c>
      <c r="CV164" s="392">
        <f>IF(ISBLANK(Actuals!CW77),IF(Projects!$G$7="Yes",76499,0),Actuals!CW77)</f>
        <v/>
      </c>
      <c r="CW164" s="392">
        <f>IF(ISBLANK(Actuals!CX77),IF(Projects!$G$7="Yes",76499,0),Actuals!CX77)</f>
        <v/>
      </c>
      <c r="CX164" s="392">
        <f>IF(ISBLANK(Actuals!CY77),IF(Projects!$G$7="Yes",76499,0),Actuals!CY77)</f>
        <v/>
      </c>
      <c r="CY164" s="392">
        <f>IF(ISBLANK(Actuals!CZ77),IF(Projects!$G$7="Yes",76499,0),Actuals!CZ77)</f>
        <v/>
      </c>
      <c r="CZ164" s="392">
        <f>IF(ISBLANK(Actuals!DA77),IF(Projects!$G$7="Yes",76499,0),Actuals!DA77)</f>
        <v/>
      </c>
      <c r="DA164" s="392">
        <f>IF(ISBLANK(Actuals!DB77),IF(Projects!$G$7="Yes",76499,0),Actuals!DB77)</f>
        <v/>
      </c>
      <c r="DB164" s="392">
        <f>IF(ISBLANK(Actuals!DC77),IF(Projects!$G$7="Yes",76499,0),Actuals!DC77)</f>
        <v/>
      </c>
      <c r="DC164" s="392">
        <f>IF(ISBLANK(Actuals!DD77),IF(Projects!$G$7="Yes",76499,0),Actuals!DD77)</f>
        <v/>
      </c>
      <c r="DD164" s="392">
        <f>IF(ISBLANK(Actuals!DE77),IF(Projects!$G$7="Yes",76499,0),Actuals!DE77)</f>
        <v/>
      </c>
      <c r="DE164" s="392">
        <f>IF(ISBLANK(Actuals!DF77),IF(Projects!$G$7="Yes",76499,0),Actuals!DF77)</f>
        <v/>
      </c>
    </row>
    <row r="165" ht="15" customFormat="1" customHeight="1" s="380">
      <c r="A165" s="397" t="inlineStr">
        <is>
          <t>Reseda LIHTC Revenue (SP Share)</t>
        </is>
      </c>
      <c r="B165" s="392">
        <f>IF(ISBLANK(Actuals!C78),0,Actuals!C78)</f>
        <v/>
      </c>
      <c r="C165" s="392">
        <f>IF(ISBLANK(Actuals!D78),0,Actuals!D78)</f>
        <v/>
      </c>
      <c r="D165" s="392">
        <f>IF(ISBLANK(Actuals!E78),0,Actuals!E78)</f>
        <v/>
      </c>
      <c r="E165" s="392">
        <f>IF(ISBLANK(Actuals!F78),0,Actuals!F78)</f>
        <v/>
      </c>
      <c r="F165" s="392">
        <f>IF(ISBLANK(Actuals!G78),0,Actuals!G78)</f>
        <v/>
      </c>
      <c r="G165" s="392">
        <f>IF(ISBLANK(Actuals!H78),0,Actuals!H78)</f>
        <v/>
      </c>
      <c r="H165" s="392">
        <f>IF(ISBLANK(Actuals!I78),0,Actuals!I78)</f>
        <v/>
      </c>
      <c r="I165" s="392">
        <f>IF(ISBLANK(Actuals!J78),0,Actuals!J78)</f>
        <v/>
      </c>
      <c r="J165" s="392">
        <f>IF(ISBLANK(Actuals!K78),0,Actuals!K78)</f>
        <v/>
      </c>
      <c r="K165" s="392">
        <f>IF(ISBLANK(Actuals!L78),0,Actuals!L78)</f>
        <v/>
      </c>
      <c r="L165" s="392">
        <f>IF(ISBLANK(Actuals!M78),0,Actuals!M78)</f>
        <v/>
      </c>
      <c r="M165" s="392">
        <f>IF(ISBLANK(Actuals!N78),0,Actuals!N78)</f>
        <v/>
      </c>
      <c r="N165" s="392">
        <f>IF(ISBLANK(Actuals!O78),0,Actuals!O78)</f>
        <v/>
      </c>
      <c r="O165" s="392">
        <f>IF(ISBLANK(Actuals!P78),0,Actuals!P78)</f>
        <v/>
      </c>
      <c r="P165" s="392">
        <f>IF(ISBLANK(Actuals!Q78),0,Actuals!Q78)</f>
        <v/>
      </c>
      <c r="Q165" s="392">
        <f>IF(ISBLANK(Actuals!R78),0,Actuals!R78)</f>
        <v/>
      </c>
      <c r="R165" s="392">
        <f>IF(ISBLANK(Actuals!S78),0,Actuals!S78)</f>
        <v/>
      </c>
      <c r="S165" s="392">
        <f>IF(ISBLANK(Actuals!T78),0,Actuals!T78)</f>
        <v/>
      </c>
      <c r="T165" s="392">
        <f>IF(ISBLANK(Actuals!U78),0,Actuals!U78)</f>
        <v/>
      </c>
      <c r="U165" s="392">
        <f>IF(ISBLANK(Actuals!V78),0,Actuals!V78)</f>
        <v/>
      </c>
      <c r="V165" s="392">
        <f>IF(ISBLANK(Actuals!W78),0,Actuals!W78)</f>
        <v/>
      </c>
      <c r="W165" s="392">
        <f>IF(ISBLANK(Actuals!X78),0,Actuals!X78)</f>
        <v/>
      </c>
      <c r="X165" s="392">
        <f>IF(ISBLANK(Actuals!Y78),0,Actuals!Y78)</f>
        <v/>
      </c>
      <c r="Y165" s="392">
        <f>IF(ISBLANK(Actuals!Z78),0,Actuals!Z78)</f>
        <v/>
      </c>
      <c r="Z165" s="392">
        <f>IF(ISBLANK(Actuals!AA78),0,Actuals!AA78)</f>
        <v/>
      </c>
      <c r="AA165" s="392">
        <f>IF(ISBLANK(Actuals!AB78),0,Actuals!AB78)</f>
        <v/>
      </c>
      <c r="AB165" s="392">
        <f>IF(ISBLANK(Actuals!AC78),0,Actuals!AC78)</f>
        <v/>
      </c>
      <c r="AC165" s="392">
        <f>IF(ISBLANK(Actuals!AD78),0,Actuals!AD78)</f>
        <v/>
      </c>
      <c r="AD165" s="392">
        <f>IF(ISBLANK(Actuals!AE78),0,Actuals!AE78)</f>
        <v/>
      </c>
      <c r="AE165" s="392">
        <f>IF(ISBLANK(Actuals!AF78),0,Actuals!AF78)</f>
        <v/>
      </c>
      <c r="AF165" s="392">
        <f>IF(ISBLANK(Actuals!AG78),0,Actuals!AG78)</f>
        <v/>
      </c>
      <c r="AG165" s="392">
        <f>IF(ISBLANK(Actuals!AH78),0,Actuals!AH78)</f>
        <v/>
      </c>
      <c r="AH165" s="392">
        <f>IF(ISBLANK(Actuals!AI78),0,Actuals!AI78)</f>
        <v/>
      </c>
      <c r="AI165" s="392">
        <f>IF(ISBLANK(Actuals!AJ78),0,Actuals!AJ78)</f>
        <v/>
      </c>
      <c r="AJ165" s="392">
        <f>IF(ISBLANK(Actuals!AK78),0,Actuals!AK78)</f>
        <v/>
      </c>
      <c r="AK165" s="392">
        <f>IF(ISBLANK(Actuals!AL78),0,Actuals!AL78)</f>
        <v/>
      </c>
      <c r="AL165" s="392">
        <f>IF(ISBLANK(Actuals!AM78),0,Actuals!AM78)</f>
        <v/>
      </c>
      <c r="AM165" s="392">
        <f>IF(ISBLANK(Actuals!AN78),0,Actuals!AN78)</f>
        <v/>
      </c>
      <c r="AN165" s="392">
        <f>IF(ISBLANK(Actuals!AO78),0,Actuals!AO78)</f>
        <v/>
      </c>
      <c r="AO165" s="392">
        <f>IF(ISBLANK(Actuals!AP78),0,Actuals!AP78)</f>
        <v/>
      </c>
      <c r="AP165" s="392">
        <f>IF(ISBLANK(Actuals!AQ78),0,Actuals!AQ78)</f>
        <v/>
      </c>
      <c r="AQ165" s="392">
        <f>IF(ISBLANK(Actuals!AR78),0,Actuals!AR78)</f>
        <v/>
      </c>
      <c r="AR165" s="392">
        <f>IF(ISBLANK(Actuals!AS78),0,Actuals!AS78)</f>
        <v/>
      </c>
      <c r="AS165" s="392">
        <f>IF(ISBLANK(Actuals!AT78),0,Actuals!AT78)</f>
        <v/>
      </c>
      <c r="AT165" s="392">
        <f>IF(ISBLANK(Actuals!AU78),0,Actuals!AU78)</f>
        <v/>
      </c>
      <c r="AU165" s="392">
        <f>IF(ISBLANK(Actuals!AV78),0,Actuals!AV78)</f>
        <v/>
      </c>
      <c r="AV165" s="392">
        <f>IF(ISBLANK(Actuals!AW78),0,Actuals!AW78)</f>
        <v/>
      </c>
      <c r="AW165" s="392">
        <f>IF(ISBLANK(Actuals!AX78),0,Actuals!AX78)</f>
        <v/>
      </c>
      <c r="AX165" s="392">
        <f>IF(ISBLANK(Actuals!AY78),0,Actuals!AY78)</f>
        <v/>
      </c>
      <c r="AY165" s="392">
        <f>IF(ISBLANK(Actuals!AZ78),0,Actuals!AZ78)</f>
        <v/>
      </c>
      <c r="AZ165" s="392">
        <f>IF(ISBLANK(Actuals!BA78),0,Actuals!BA78)</f>
        <v/>
      </c>
      <c r="BA165" s="392">
        <f>IF(ISBLANK(Actuals!BB78),0,Actuals!BB78)</f>
        <v/>
      </c>
      <c r="BB165" s="392">
        <f>IF(ISBLANK(Actuals!BC78),0,Actuals!BC78)</f>
        <v/>
      </c>
      <c r="BC165" s="392">
        <f>IF(ISBLANK(Actuals!BD78),IF(Projects!$G$13="Yes",851839,0),Actuals!BD78)</f>
        <v/>
      </c>
      <c r="BD165" s="392">
        <f>IF(ISBLANK(Actuals!BE78),0,Actuals!BE78)</f>
        <v/>
      </c>
      <c r="BE165" s="392">
        <f>IF(ISBLANK(Actuals!BF78),0,Actuals!BF78)</f>
        <v/>
      </c>
      <c r="BF165" s="392">
        <f>IF(ISBLANK(Actuals!BG78),IF(Projects!$G$13="Yes",71700,0),Actuals!BG78)</f>
        <v/>
      </c>
      <c r="BG165" s="392">
        <f>IF(ISBLANK(Actuals!BH78),0,Actuals!BH78)</f>
        <v/>
      </c>
      <c r="BH165" s="392">
        <f>IF(ISBLANK(Actuals!BI78),0,Actuals!BI78)</f>
        <v/>
      </c>
      <c r="BI165" s="392">
        <f>IF(ISBLANK(Actuals!BJ78),IF(Projects!$G$13="Yes",71700,0),Actuals!BJ78)</f>
        <v/>
      </c>
      <c r="BJ165" s="392">
        <f>IF(ISBLANK(Actuals!BK78),0,Actuals!BK78)</f>
        <v/>
      </c>
      <c r="BK165" s="392">
        <f>IF(ISBLANK(Actuals!BL78),0,Actuals!BL78)</f>
        <v/>
      </c>
      <c r="BL165" s="392">
        <f>IF(ISBLANK(Actuals!BM78),IF(Projects!$G$13="Yes",71700,0),Actuals!BM78)</f>
        <v/>
      </c>
      <c r="BM165" s="392">
        <f>IF(ISBLANK(Actuals!BN78),0,Actuals!BN78)</f>
        <v/>
      </c>
      <c r="BN165" s="392">
        <f>IF(ISBLANK(Actuals!BO78),0,Actuals!BO78)</f>
        <v/>
      </c>
      <c r="BO165" s="392">
        <f>IF(ISBLANK(Actuals!BP78),IF(Projects!$G$13="Yes",71700,0),Actuals!BP78)</f>
        <v/>
      </c>
      <c r="BP165" s="392">
        <f>IF(ISBLANK(Actuals!BQ78),0,Actuals!BQ78)</f>
        <v/>
      </c>
      <c r="BQ165" s="392">
        <f>IF(ISBLANK(Actuals!BR78),0,Actuals!BR78)</f>
        <v/>
      </c>
      <c r="BR165" s="392">
        <f>IF(ISBLANK(Actuals!BS78),IF(Projects!$G$13="Yes",74643,0),Actuals!BS78)</f>
        <v/>
      </c>
      <c r="BS165" s="392">
        <f>IF(ISBLANK(Actuals!BT78),0,Actuals!BT78)</f>
        <v/>
      </c>
      <c r="BT165" s="392">
        <f>IF(ISBLANK(Actuals!BU78),0,Actuals!BU78)</f>
        <v/>
      </c>
      <c r="BU165" s="392">
        <f>IF(ISBLANK(Actuals!BV78),IF(Projects!$G$13="Yes",74640,0),Actuals!BV78)</f>
        <v/>
      </c>
      <c r="BV165" s="392">
        <f>IF(ISBLANK(Actuals!BW78),0,Actuals!BW78)</f>
        <v/>
      </c>
      <c r="BW165" s="392">
        <f>IF(ISBLANK(Actuals!BX78),0,Actuals!BX78)</f>
        <v/>
      </c>
      <c r="BX165" s="392">
        <f>IF(ISBLANK(Actuals!BY78),IF(Projects!$G$13="Yes",74640,0),Actuals!BY78)</f>
        <v/>
      </c>
      <c r="BY165" s="392">
        <f>IF(ISBLANK(Actuals!BZ78),0,Actuals!BZ78)</f>
        <v/>
      </c>
      <c r="BZ165" s="392">
        <f>IF(ISBLANK(Actuals!CA78),0,Actuals!CA78)</f>
        <v/>
      </c>
      <c r="CA165" s="392">
        <f>IF(ISBLANK(Actuals!CB78),IF(Projects!$G$13="Yes",74640,0),Actuals!CB78)</f>
        <v/>
      </c>
      <c r="CB165" s="392">
        <f>IF(ISBLANK(Actuals!CC78),0,Actuals!CC78)</f>
        <v/>
      </c>
      <c r="CC165" s="392">
        <f>IF(ISBLANK(Actuals!CD78),0,Actuals!CD78)</f>
        <v/>
      </c>
      <c r="CD165" s="392">
        <f>IF(ISBLANK(Actuals!CE78),IF(Projects!$G$13="Yes",81363,0),Actuals!CE78)</f>
        <v/>
      </c>
      <c r="CE165" s="392">
        <f>IF(ISBLANK(Actuals!CF78),0,Actuals!CF78)</f>
        <v/>
      </c>
      <c r="CF165" s="392">
        <f>IF(ISBLANK(Actuals!CG78),0,Actuals!CG78)</f>
        <v/>
      </c>
      <c r="CG165" s="392">
        <f>IF(ISBLANK(Actuals!CH78),IF(Projects!$G$13="Yes",81362,0),Actuals!CH78)</f>
        <v/>
      </c>
      <c r="CH165" s="392">
        <f>IF(ISBLANK(Actuals!CI78),0,Actuals!CI78)</f>
        <v/>
      </c>
      <c r="CI165" s="392">
        <f>IF(ISBLANK(Actuals!CJ78),0,Actuals!CJ78)</f>
        <v/>
      </c>
      <c r="CJ165" s="392">
        <f>IF(ISBLANK(Actuals!CK78),IF(Projects!$G$13="Yes",81362,0),Actuals!CK78)</f>
        <v/>
      </c>
      <c r="CK165" s="392">
        <f>IF(ISBLANK(Actuals!CL78),IF(Projects!$G$13="Yes",81362,0),Actuals!CL78)</f>
        <v/>
      </c>
      <c r="CL165" s="392">
        <f>IF(ISBLANK(Actuals!CM78),IF(Projects!$G$13="Yes",81362,0),Actuals!CM78)</f>
        <v/>
      </c>
      <c r="CM165" s="392">
        <f>IF(ISBLANK(Actuals!CN78),IF(Projects!$G$13="Yes",81362,0),Actuals!CN78)</f>
        <v/>
      </c>
      <c r="CN165" s="392">
        <f>IF(ISBLANK(Actuals!CO78),IF(Projects!$G$13="Yes",81362,0),Actuals!CO78)</f>
        <v/>
      </c>
      <c r="CO165" s="392">
        <f>IF(ISBLANK(Actuals!CP78),IF(Projects!$G$13="Yes",81362,0),Actuals!CP78)</f>
        <v/>
      </c>
      <c r="CP165" s="392">
        <f>IF(ISBLANK(Actuals!CQ78),IF(Projects!$G$13="Yes",81362,0),Actuals!CQ78)</f>
        <v/>
      </c>
      <c r="CQ165" s="392">
        <f>IF(ISBLANK(Actuals!CR78),IF(Projects!$G$13="Yes",81362,0),Actuals!CR78)</f>
        <v/>
      </c>
      <c r="CR165" s="392">
        <f>IF(ISBLANK(Actuals!CS78),IF(Projects!$G$13="Yes",81362,0),Actuals!CS78)</f>
        <v/>
      </c>
      <c r="CS165" s="392">
        <f>IF(ISBLANK(Actuals!CT78),IF(Projects!$G$13="Yes",81362,0),Actuals!CT78)</f>
        <v/>
      </c>
      <c r="CT165" s="392">
        <f>IF(ISBLANK(Actuals!CU78),IF(Projects!$G$13="Yes",81362,0),Actuals!CU78)</f>
        <v/>
      </c>
      <c r="CU165" s="392">
        <f>IF(ISBLANK(Actuals!CV78),IF(Projects!$G$13="Yes",81362,0),Actuals!CV78)</f>
        <v/>
      </c>
      <c r="CV165" s="392">
        <f>IF(ISBLANK(Actuals!CW78),IF(Projects!$G$13="Yes",81362,0),Actuals!CW78)</f>
        <v/>
      </c>
      <c r="CW165" s="392">
        <f>IF(ISBLANK(Actuals!CX78),IF(Projects!$G$13="Yes",81362,0),Actuals!CX78)</f>
        <v/>
      </c>
      <c r="CX165" s="392">
        <f>IF(ISBLANK(Actuals!CY78),IF(Projects!$G$13="Yes",81362,0),Actuals!CY78)</f>
        <v/>
      </c>
      <c r="CY165" s="392">
        <f>IF(ISBLANK(Actuals!CZ78),IF(Projects!$G$13="Yes",81362,0),Actuals!CZ78)</f>
        <v/>
      </c>
      <c r="CZ165" s="392">
        <f>IF(ISBLANK(Actuals!DA78),IF(Projects!$G$13="Yes",81362,0),Actuals!DA78)</f>
        <v/>
      </c>
      <c r="DA165" s="392">
        <f>IF(ISBLANK(Actuals!DB78),IF(Projects!$G$13="Yes",81362,0),Actuals!DB78)</f>
        <v/>
      </c>
      <c r="DB165" s="392">
        <f>IF(ISBLANK(Actuals!DC78),IF(Projects!$G$13="Yes",81362,0),Actuals!DC78)</f>
        <v/>
      </c>
      <c r="DC165" s="392">
        <f>IF(ISBLANK(Actuals!DD78),IF(Projects!$G$13="Yes",81362,0),Actuals!DD78)</f>
        <v/>
      </c>
      <c r="DD165" s="392">
        <f>IF(ISBLANK(Actuals!DE78),IF(Projects!$G$13="Yes",81362,0),Actuals!DE78)</f>
        <v/>
      </c>
      <c r="DE165" s="392">
        <f>IF(ISBLANK(Actuals!DF78),IF(Projects!$G$13="Yes",81362,0),Actuals!DF78)</f>
        <v/>
      </c>
    </row>
    <row r="166" ht="15" customFormat="1" customHeight="1" s="380">
      <c r="A166" s="397" t="inlineStr">
        <is>
          <t>3rd St LIHTC Revenue (SP Share)</t>
        </is>
      </c>
      <c r="B166" s="392">
        <f>IF(ISBLANK(Actuals!C79),0,Actuals!C79)</f>
        <v/>
      </c>
      <c r="C166" s="392">
        <f>IF(ISBLANK(Actuals!D79),0,Actuals!D79)</f>
        <v/>
      </c>
      <c r="D166" s="392">
        <f>IF(ISBLANK(Actuals!E79),0,Actuals!E79)</f>
        <v/>
      </c>
      <c r="E166" s="392">
        <f>IF(ISBLANK(Actuals!F79),0,Actuals!F79)</f>
        <v/>
      </c>
      <c r="F166" s="392">
        <f>IF(ISBLANK(Actuals!G79),0,Actuals!G79)</f>
        <v/>
      </c>
      <c r="G166" s="392">
        <f>IF(ISBLANK(Actuals!H79),0,Actuals!H79)</f>
        <v/>
      </c>
      <c r="H166" s="392">
        <f>IF(ISBLANK(Actuals!I79),0,Actuals!I79)</f>
        <v/>
      </c>
      <c r="I166" s="392">
        <f>IF(ISBLANK(Actuals!J79),0,Actuals!J79)</f>
        <v/>
      </c>
      <c r="J166" s="392">
        <f>IF(ISBLANK(Actuals!K79),0,Actuals!K79)</f>
        <v/>
      </c>
      <c r="K166" s="392">
        <f>IF(ISBLANK(Actuals!L79),0,Actuals!L79)</f>
        <v/>
      </c>
      <c r="L166" s="392">
        <f>IF(ISBLANK(Actuals!M79),0,Actuals!M79)</f>
        <v/>
      </c>
      <c r="M166" s="392">
        <f>IF(ISBLANK(Actuals!N79),0,Actuals!N79)</f>
        <v/>
      </c>
      <c r="N166" s="392">
        <f>IF(ISBLANK(Actuals!O79),0,Actuals!O79)</f>
        <v/>
      </c>
      <c r="O166" s="392">
        <f>IF(ISBLANK(Actuals!P79),0,Actuals!P79)</f>
        <v/>
      </c>
      <c r="P166" s="392">
        <f>IF(ISBLANK(Actuals!Q79),0,Actuals!Q79)</f>
        <v/>
      </c>
      <c r="Q166" s="392">
        <f>IF(ISBLANK(Actuals!R79),0,Actuals!R79)</f>
        <v/>
      </c>
      <c r="R166" s="392">
        <f>IF(ISBLANK(Actuals!S79),0,Actuals!S79)</f>
        <v/>
      </c>
      <c r="S166" s="392">
        <f>IF(ISBLANK(Actuals!T79),0,Actuals!T79)</f>
        <v/>
      </c>
      <c r="T166" s="392">
        <f>IF(ISBLANK(Actuals!U79),0,Actuals!U79)</f>
        <v/>
      </c>
      <c r="U166" s="392">
        <f>IF(ISBLANK(Actuals!V79),0,Actuals!V79)</f>
        <v/>
      </c>
      <c r="V166" s="392">
        <f>IF(ISBLANK(Actuals!W79),0,Actuals!W79)</f>
        <v/>
      </c>
      <c r="W166" s="392">
        <f>IF(ISBLANK(Actuals!X79),0,Actuals!X79)</f>
        <v/>
      </c>
      <c r="X166" s="392">
        <f>IF(ISBLANK(Actuals!Y79),0,Actuals!Y79)</f>
        <v/>
      </c>
      <c r="Y166" s="392">
        <f>IF(ISBLANK(Actuals!Z79),0,Actuals!Z79)</f>
        <v/>
      </c>
      <c r="Z166" s="392">
        <f>IF(ISBLANK(Actuals!AA79),0,Actuals!AA79)</f>
        <v/>
      </c>
      <c r="AA166" s="392">
        <f>IF(ISBLANK(Actuals!AB79),0,Actuals!AB79)</f>
        <v/>
      </c>
      <c r="AB166" s="392">
        <f>IF(ISBLANK(Actuals!AC79),0,Actuals!AC79)</f>
        <v/>
      </c>
      <c r="AC166" s="392">
        <f>IF(ISBLANK(Actuals!AD79),0,Actuals!AD79)</f>
        <v/>
      </c>
      <c r="AD166" s="392">
        <f>IF(ISBLANK(Actuals!AE79),0,Actuals!AE79)</f>
        <v/>
      </c>
      <c r="AE166" s="392">
        <f>IF(ISBLANK(Actuals!AF79),0,Actuals!AF79)</f>
        <v/>
      </c>
      <c r="AF166" s="392">
        <f>IF(ISBLANK(Actuals!AG79),0,Actuals!AG79)</f>
        <v/>
      </c>
      <c r="AG166" s="392">
        <f>IF(ISBLANK(Actuals!AH79),0,Actuals!AH79)</f>
        <v/>
      </c>
      <c r="AH166" s="392">
        <f>IF(ISBLANK(Actuals!AI79),0,Actuals!AI79)</f>
        <v/>
      </c>
      <c r="AI166" s="392">
        <f>IF(ISBLANK(Actuals!AJ79),0,Actuals!AJ79)</f>
        <v/>
      </c>
      <c r="AJ166" s="392">
        <f>IF(ISBLANK(Actuals!AK79),0,Actuals!AK79)</f>
        <v/>
      </c>
      <c r="AK166" s="392">
        <f>IF(ISBLANK(Actuals!AL79),0,Actuals!AL79)</f>
        <v/>
      </c>
      <c r="AL166" s="392">
        <f>IF(ISBLANK(Actuals!AM79),0,Actuals!AM79)</f>
        <v/>
      </c>
      <c r="AM166" s="392">
        <f>IF(ISBLANK(Actuals!AN79),0,Actuals!AN79)</f>
        <v/>
      </c>
      <c r="AN166" s="392">
        <f>IF(ISBLANK(Actuals!AO79),0,Actuals!AO79)</f>
        <v/>
      </c>
      <c r="AO166" s="392">
        <f>IF(ISBLANK(Actuals!AP79),0,Actuals!AP79)</f>
        <v/>
      </c>
      <c r="AP166" s="392">
        <f>IF(ISBLANK(Actuals!AQ79),0,Actuals!AQ79)</f>
        <v/>
      </c>
      <c r="AQ166" s="392">
        <f>IF(ISBLANK(Actuals!AR79),0,Actuals!AR79)</f>
        <v/>
      </c>
      <c r="AR166" s="392">
        <f>IF(ISBLANK(Actuals!AS79),0,Actuals!AS79)</f>
        <v/>
      </c>
      <c r="AS166" s="392">
        <f>IF(ISBLANK(Actuals!AT79),0,Actuals!AT79)</f>
        <v/>
      </c>
      <c r="AT166" s="392">
        <f>IF(ISBLANK(Actuals!AU79),0,Actuals!AU79)</f>
        <v/>
      </c>
      <c r="AU166" s="392">
        <f>IF(ISBLANK(Actuals!AV79),0,Actuals!AV79)</f>
        <v/>
      </c>
      <c r="AV166" s="392">
        <f>IF(ISBLANK(Actuals!AW79),0,Actuals!AW79)</f>
        <v/>
      </c>
      <c r="AW166" s="392">
        <f>IF(ISBLANK(Actuals!AX79),0,Actuals!AX79)</f>
        <v/>
      </c>
      <c r="AX166" s="392">
        <f>IF(ISBLANK(Actuals!AY79),0,Actuals!AY79)</f>
        <v/>
      </c>
      <c r="AY166" s="392">
        <f>IF(ISBLANK(Actuals!AZ79),0,Actuals!AZ79)</f>
        <v/>
      </c>
      <c r="AZ166" s="392">
        <f>IF(ISBLANK(Actuals!BA79),0,Actuals!BA79)</f>
        <v/>
      </c>
      <c r="BA166" s="392">
        <f>IF(ISBLANK(Actuals!BB79),0,Actuals!BB79)</f>
        <v/>
      </c>
      <c r="BB166" s="392">
        <f>IF(ISBLANK(Actuals!BC79),0,Actuals!BC79)</f>
        <v/>
      </c>
      <c r="BC166" s="392">
        <f>IF(ISBLANK(Actuals!BD79),0,Actuals!BD79)</f>
        <v/>
      </c>
      <c r="BD166" s="392">
        <f>IF(ISBLANK(Actuals!BE79),0,Actuals!BE79)</f>
        <v/>
      </c>
      <c r="BE166" s="392">
        <f>IF(ISBLANK(Actuals!BF79),0,Actuals!BF79)</f>
        <v/>
      </c>
      <c r="BF166" s="392">
        <f>IF(ISBLANK(Actuals!BG79),0,Actuals!BG79)</f>
        <v/>
      </c>
      <c r="BG166" s="392">
        <f>IF(ISBLANK(Actuals!BH79),0,Actuals!BH79)</f>
        <v/>
      </c>
      <c r="BH166" s="392">
        <f>IF(ISBLANK(Actuals!BI79),0,Actuals!BI79)</f>
        <v/>
      </c>
      <c r="BI166" s="392">
        <f>IF(ISBLANK(Actuals!BJ79),0,Actuals!BJ79)</f>
        <v/>
      </c>
      <c r="BJ166" s="392">
        <f>IF(ISBLANK(Actuals!BK79),0,Actuals!BK79)</f>
        <v/>
      </c>
      <c r="BK166" s="392">
        <f>IF(ISBLANK(Actuals!BL79),0,Actuals!BL79)</f>
        <v/>
      </c>
      <c r="BL166" s="392">
        <f>IF(ISBLANK(Actuals!BM79),0,Actuals!BM79)</f>
        <v/>
      </c>
      <c r="BM166" s="392">
        <f>IF(ISBLANK(Actuals!BN79),0,Actuals!BN79)</f>
        <v/>
      </c>
      <c r="BN166" s="392">
        <f>IF(ISBLANK(Actuals!BO79),0,Actuals!BO79)</f>
        <v/>
      </c>
      <c r="BO166" s="392">
        <f>IF(ISBLANK(Actuals!BP79),0,Actuals!BP79)</f>
        <v/>
      </c>
      <c r="BP166" s="392">
        <f>IF(ISBLANK(Actuals!BQ79),0,Actuals!BQ79)</f>
        <v/>
      </c>
      <c r="BQ166" s="392">
        <f>IF(ISBLANK(Actuals!BR79),0,Actuals!BR79)</f>
        <v/>
      </c>
      <c r="BR166" s="392">
        <f>IF(ISBLANK(Actuals!BS79),0,Actuals!BS79)</f>
        <v/>
      </c>
      <c r="BS166" s="392">
        <f>IF(ISBLANK(Actuals!BT79),0,Actuals!BT79)</f>
        <v/>
      </c>
      <c r="BT166" s="392">
        <f>IF(ISBLANK(Actuals!BU79),0,Actuals!BU79)</f>
        <v/>
      </c>
      <c r="BU166" s="392">
        <f>IF(ISBLANK(Actuals!BV79),0,Actuals!BV79)</f>
        <v/>
      </c>
      <c r="BV166" s="392">
        <f>IF(ISBLANK(Actuals!BW79),0,Actuals!BW79)</f>
        <v/>
      </c>
      <c r="BW166" s="392">
        <f>IF(ISBLANK(Actuals!BX79),0,Actuals!BX79)</f>
        <v/>
      </c>
      <c r="BX166" s="392">
        <f>IF(ISBLANK(Actuals!BY79),0,Actuals!BY79)</f>
        <v/>
      </c>
      <c r="BY166" s="392">
        <f>IF(ISBLANK(Actuals!BZ79),0,Actuals!BZ79)</f>
        <v/>
      </c>
      <c r="BZ166" s="392">
        <f>IF(ISBLANK(Actuals!CA79),0,Actuals!CA79)</f>
        <v/>
      </c>
      <c r="CA166" s="392">
        <f>IF(ISBLANK(Actuals!CB79),IF(Projects!$G$14="Yes",73156,0),Actuals!CB79)</f>
        <v/>
      </c>
      <c r="CB166" s="392">
        <f>IF(ISBLANK(Actuals!CC79),0,Actuals!CC79)</f>
        <v/>
      </c>
      <c r="CC166" s="392">
        <f>IF(ISBLANK(Actuals!CD79),0,Actuals!CD79)</f>
        <v/>
      </c>
      <c r="CD166" s="392">
        <f>IF(ISBLANK(Actuals!CE79),IF(Projects!$G$14="Yes",73155,0),Actuals!CE79)</f>
        <v/>
      </c>
      <c r="CE166" s="392">
        <f>IF(ISBLANK(Actuals!CF79),0,Actuals!CF79)</f>
        <v/>
      </c>
      <c r="CF166" s="392">
        <f>IF(ISBLANK(Actuals!CG79),0,Actuals!CG79)</f>
        <v/>
      </c>
      <c r="CG166" s="392">
        <f>IF(ISBLANK(Actuals!CH79),IF(Projects!$G$14="Yes",73155,0),Actuals!CH79)</f>
        <v/>
      </c>
      <c r="CH166" s="392">
        <f>IF(ISBLANK(Actuals!CI79),0,Actuals!CI79)</f>
        <v/>
      </c>
      <c r="CI166" s="392">
        <f>IF(ISBLANK(Actuals!CJ79),0,Actuals!CJ79)</f>
        <v/>
      </c>
      <c r="CJ166" s="392">
        <f>IF(ISBLANK(Actuals!CK79),IF(Projects!$G$14="Yes",73155,0),Actuals!CK79)</f>
        <v/>
      </c>
      <c r="CK166" s="392">
        <f>IF(ISBLANK(Actuals!CL79),IF(Projects!$G$14="Yes",73155,0),Actuals!CL79)</f>
        <v/>
      </c>
      <c r="CL166" s="392">
        <f>IF(ISBLANK(Actuals!CM79),IF(Projects!$G$14="Yes",73155,0),Actuals!CM79)</f>
        <v/>
      </c>
      <c r="CM166" s="392">
        <f>IF(ISBLANK(Actuals!CN79),IF(Projects!$G$14="Yes",73155,0),Actuals!CN79)</f>
        <v/>
      </c>
      <c r="CN166" s="392">
        <f>IF(ISBLANK(Actuals!CO79),IF(Projects!$G$14="Yes",73155,0),Actuals!CO79)</f>
        <v/>
      </c>
      <c r="CO166" s="392">
        <f>IF(ISBLANK(Actuals!CP79),IF(Projects!$G$14="Yes",73155,0),Actuals!CP79)</f>
        <v/>
      </c>
      <c r="CP166" s="392">
        <f>IF(ISBLANK(Actuals!CQ79),IF(Projects!$G$14="Yes",73155,0),Actuals!CQ79)</f>
        <v/>
      </c>
      <c r="CQ166" s="392">
        <f>IF(ISBLANK(Actuals!CR79),IF(Projects!$G$14="Yes",73155,0),Actuals!CR79)</f>
        <v/>
      </c>
      <c r="CR166" s="392">
        <f>IF(ISBLANK(Actuals!CS79),IF(Projects!$G$14="Yes",73155,0),Actuals!CS79)</f>
        <v/>
      </c>
      <c r="CS166" s="392">
        <f>IF(ISBLANK(Actuals!CT79),IF(Projects!$G$14="Yes",73155,0),Actuals!CT79)</f>
        <v/>
      </c>
      <c r="CT166" s="392">
        <f>IF(ISBLANK(Actuals!CU79),IF(Projects!$G$14="Yes",73155,0),Actuals!CU79)</f>
        <v/>
      </c>
      <c r="CU166" s="392">
        <f>IF(ISBLANK(Actuals!CV79),IF(Projects!$G$14="Yes",73155,0),Actuals!CV79)</f>
        <v/>
      </c>
      <c r="CV166" s="392">
        <f>IF(ISBLANK(Actuals!CW79),IF(Projects!$G$14="Yes",73155,0),Actuals!CW79)</f>
        <v/>
      </c>
      <c r="CW166" s="392">
        <f>IF(ISBLANK(Actuals!CX79),IF(Projects!$G$14="Yes",73155,0),Actuals!CX79)</f>
        <v/>
      </c>
      <c r="CX166" s="392">
        <f>IF(ISBLANK(Actuals!CY79),IF(Projects!$G$14="Yes",73155,0),Actuals!CY79)</f>
        <v/>
      </c>
      <c r="CY166" s="392">
        <f>IF(ISBLANK(Actuals!CZ79),IF(Projects!$G$14="Yes",73155,0),Actuals!CZ79)</f>
        <v/>
      </c>
      <c r="CZ166" s="392">
        <f>IF(ISBLANK(Actuals!DA79),IF(Projects!$G$14="Yes",73155,0),Actuals!DA79)</f>
        <v/>
      </c>
      <c r="DA166" s="392">
        <f>IF(ISBLANK(Actuals!DB79),IF(Projects!$G$14="Yes",73155,0),Actuals!DB79)</f>
        <v/>
      </c>
      <c r="DB166" s="392">
        <f>IF(ISBLANK(Actuals!DC79),IF(Projects!$G$14="Yes",73155,0),Actuals!DC79)</f>
        <v/>
      </c>
      <c r="DC166" s="392">
        <f>IF(ISBLANK(Actuals!DD79),IF(Projects!$G$14="Yes",73155,0),Actuals!DD79)</f>
        <v/>
      </c>
      <c r="DD166" s="392">
        <f>IF(ISBLANK(Actuals!DE79),IF(Projects!$G$14="Yes",73155,0),Actuals!DE79)</f>
        <v/>
      </c>
      <c r="DE166" s="392">
        <f>IF(ISBLANK(Actuals!DF79),IF(Projects!$G$14="Yes",73155,0),Actuals!DF79)</f>
        <v/>
      </c>
    </row>
    <row r="167" ht="15" customFormat="1" customHeight="1" s="380">
      <c r="A167" s="397" t="inlineStr">
        <is>
          <t>Uplifters Total to SP</t>
        </is>
      </c>
      <c r="B167" s="392">
        <f>IF(ISBLANK(Actuals!C80),0,Actuals!C80)</f>
        <v/>
      </c>
      <c r="C167" s="392">
        <f>IF(ISBLANK(Actuals!D80),0,Actuals!D80)</f>
        <v/>
      </c>
      <c r="D167" s="392">
        <f>IF(ISBLANK(Actuals!E80),0,Actuals!E80)</f>
        <v/>
      </c>
      <c r="E167" s="392">
        <f>IF(ISBLANK(Actuals!F80),IF(Uplifters!$B$2="Yes",Uplifters!C107,0),Actuals!F80)</f>
        <v/>
      </c>
      <c r="F167" s="392">
        <f>IF(ISBLANK(Actuals!G80),IF(Uplifters!$B$2="Yes",Uplifters!D107,0),Actuals!G80)</f>
        <v/>
      </c>
      <c r="G167" s="392">
        <f>IF(ISBLANK(Actuals!H80),IF(Uplifters!$B$2="Yes",Uplifters!E107,0),Actuals!H80)</f>
        <v/>
      </c>
      <c r="H167" s="392">
        <f>IF(ISBLANK(Actuals!I80),IF(Uplifters!$B$2="Yes",Uplifters!F107,0),Actuals!I80)</f>
        <v/>
      </c>
      <c r="I167" s="392">
        <f>IF(ISBLANK(Actuals!J80),IF(Uplifters!$B$2="Yes",Uplifters!G107,0),Actuals!J80)</f>
        <v/>
      </c>
      <c r="J167" s="392">
        <f>IF(ISBLANK(Actuals!K80),IF(Uplifters!$B$2="Yes",Uplifters!H107,0),Actuals!K80)</f>
        <v/>
      </c>
      <c r="K167" s="392">
        <f>IF(ISBLANK(Actuals!L80),IF(Uplifters!$B$2="Yes",Uplifters!I107,0),Actuals!L80)</f>
        <v/>
      </c>
      <c r="L167" s="392">
        <f>IF(ISBLANK(Actuals!M80),IF(Uplifters!$B$2="Yes",Uplifters!J107,0),Actuals!M80)</f>
        <v/>
      </c>
      <c r="M167" s="392">
        <f>IF(ISBLANK(Actuals!N80),IF(Uplifters!$B$2="Yes",Uplifters!K107,0),Actuals!N80)</f>
        <v/>
      </c>
      <c r="N167" s="392">
        <f>IF(ISBLANK(Actuals!O80),IF(Uplifters!$B$2="Yes",Uplifters!L107,0),Actuals!O80)</f>
        <v/>
      </c>
      <c r="O167" s="392">
        <f>IF(ISBLANK(Actuals!P80),IF(Uplifters!$B$2="Yes",Uplifters!M107,0),Actuals!P80)</f>
        <v/>
      </c>
      <c r="P167" s="392">
        <f>IF(ISBLANK(Actuals!Q80),IF(Uplifters!$B$2="Yes",Uplifters!N107,0),Actuals!Q80)</f>
        <v/>
      </c>
      <c r="Q167" s="392">
        <f>IF(ISBLANK(Actuals!R80),IF(Uplifters!$B$2="Yes",Uplifters!O107,0),Actuals!R80)</f>
        <v/>
      </c>
      <c r="R167" s="392">
        <f>IF(ISBLANK(Actuals!S80),IF(Uplifters!$B$2="Yes",Uplifters!P107,0),Actuals!S80)</f>
        <v/>
      </c>
      <c r="S167" s="392">
        <f>IF(ISBLANK(Actuals!T80),IF(Uplifters!$B$2="Yes",Uplifters!Q107,0),Actuals!T80)</f>
        <v/>
      </c>
      <c r="T167" s="392">
        <f>IF(ISBLANK(Actuals!U80),IF(Uplifters!$B$2="Yes",Uplifters!R107,0),Actuals!U80)</f>
        <v/>
      </c>
      <c r="U167" s="392">
        <f>IF(ISBLANK(Actuals!V80),IF(Uplifters!$B$2="Yes",Uplifters!S107,0),Actuals!V80)</f>
        <v/>
      </c>
      <c r="V167" s="392">
        <f>IF(ISBLANK(Actuals!W80),IF(Uplifters!$B$2="Yes",Uplifters!T107,0),Actuals!W80)</f>
        <v/>
      </c>
      <c r="W167" s="392">
        <f>IF(ISBLANK(Actuals!X80),IF(Uplifters!$B$2="Yes",Uplifters!U107,0),Actuals!X80)</f>
        <v/>
      </c>
      <c r="X167" s="392">
        <f>IF(ISBLANK(Actuals!Y80),IF(Uplifters!$B$2="Yes",Uplifters!V107,0),Actuals!Y80)</f>
        <v/>
      </c>
      <c r="Y167" s="392">
        <f>IF(ISBLANK(Actuals!Z80),IF(Uplifters!$B$2="Yes",Uplifters!W107,0),Actuals!Z80)</f>
        <v/>
      </c>
      <c r="Z167" s="392">
        <f>IF(ISBLANK(Actuals!AA80),IF(Uplifters!$B$2="Yes",Uplifters!X107,0),Actuals!AA80)</f>
        <v/>
      </c>
      <c r="AA167" s="392">
        <f>IF(ISBLANK(Actuals!AB80),IF(Uplifters!$B$2="Yes",Uplifters!Y107,0),Actuals!AB80)</f>
        <v/>
      </c>
      <c r="AB167" s="392">
        <f>IF(ISBLANK(Actuals!AC80),IF(Uplifters!$B$2="Yes",Uplifters!Z107,0),Actuals!AC80)</f>
        <v/>
      </c>
      <c r="AC167" s="392">
        <f>IF(ISBLANK(Actuals!AD80),IF(Uplifters!$B$2="Yes",Uplifters!AA107,0),Actuals!AD80)</f>
        <v/>
      </c>
      <c r="AD167" s="392">
        <f>IF(ISBLANK(Actuals!AE80),IF(Uplifters!$B$2="Yes",Uplifters!AB107,0),Actuals!AE80)</f>
        <v/>
      </c>
      <c r="AE167" s="392">
        <f>IF(ISBLANK(Actuals!AF80),IF(Uplifters!$B$2="Yes",Uplifters!AC107,0),Actuals!AF80)</f>
        <v/>
      </c>
      <c r="AF167" s="392">
        <f>IF(ISBLANK(Actuals!AG80),IF(Uplifters!$B$2="Yes",Uplifters!AD107,0),Actuals!AG80)</f>
        <v/>
      </c>
      <c r="AG167" s="392">
        <f>IF(ISBLANK(Actuals!AH80),IF(Uplifters!$B$2="Yes",Uplifters!AE107,0),Actuals!AH80)</f>
        <v/>
      </c>
      <c r="AH167" s="392">
        <f>IF(ISBLANK(Actuals!AI80),IF(Uplifters!$B$2="Yes",Uplifters!AF107,0),Actuals!AI80)</f>
        <v/>
      </c>
      <c r="AI167" s="392">
        <f>IF(ISBLANK(Actuals!AJ80),IF(Uplifters!$B$2="Yes",Uplifters!AG107,0),Actuals!AJ80)</f>
        <v/>
      </c>
      <c r="AJ167" s="392">
        <f>IF(ISBLANK(Actuals!AK80),IF(Uplifters!$B$2="Yes",Uplifters!AH107,0),Actuals!AK80)</f>
        <v/>
      </c>
      <c r="AK167" s="392">
        <f>IF(ISBLANK(Actuals!AL80),IF(Uplifters!$B$2="Yes",Uplifters!AI107,0),Actuals!AL80)</f>
        <v/>
      </c>
      <c r="AL167" s="392">
        <f>IF(ISBLANK(Actuals!AM80),IF(Uplifters!$B$2="Yes",Uplifters!AJ107,0),Actuals!AM80)</f>
        <v/>
      </c>
      <c r="AM167" s="392">
        <f>IF(ISBLANK(Actuals!AN80),IF(Uplifters!$B$2="Yes",Uplifters!AK107,0),Actuals!AN80)</f>
        <v/>
      </c>
      <c r="AN167" s="392">
        <f>IF(ISBLANK(Actuals!AO80),IF(Uplifters!$B$2="Yes",Uplifters!AL107,0),Actuals!AO80)</f>
        <v/>
      </c>
      <c r="AO167" s="392">
        <f>IF(ISBLANK(Actuals!AP80),IF(Uplifters!$B$2="Yes",Uplifters!AM107,0),Actuals!AP80)</f>
        <v/>
      </c>
      <c r="AP167" s="392">
        <f>IF(ISBLANK(Actuals!AQ80),IF(Uplifters!$B$2="Yes",Uplifters!AN107,0),Actuals!AQ80)</f>
        <v/>
      </c>
      <c r="AQ167" s="392">
        <f>IF(ISBLANK(Actuals!AR80),IF(Uplifters!$B$2="Yes",Uplifters!AO107,0),Actuals!AR80)</f>
        <v/>
      </c>
      <c r="AR167" s="392">
        <f>IF(ISBLANK(Actuals!AS80),IF(Uplifters!$B$2="Yes",Uplifters!AP107,0),Actuals!AS80)</f>
        <v/>
      </c>
      <c r="AS167" s="392">
        <f>IF(ISBLANK(Actuals!AT80),IF(Uplifters!$B$2="Yes",Uplifters!AQ107,0),Actuals!AT80)</f>
        <v/>
      </c>
      <c r="AT167" s="392">
        <f>IF(ISBLANK(Actuals!AU80),IF(Uplifters!$B$2="Yes",Uplifters!AR107,0),Actuals!AU80)</f>
        <v/>
      </c>
      <c r="AU167" s="392">
        <f>IF(ISBLANK(Actuals!AV80),IF(Uplifters!$B$2="Yes",Uplifters!AS107,0),Actuals!AV80)</f>
        <v/>
      </c>
      <c r="AV167" s="392">
        <f>IF(ISBLANK(Actuals!AW80),IF(Uplifters!$B$2="Yes",Uplifters!AT107,0),Actuals!AW80)</f>
        <v/>
      </c>
      <c r="AW167" s="392">
        <f>IF(ISBLANK(Actuals!AX80),IF(Uplifters!$B$2="Yes",Uplifters!AU107,0),Actuals!AX80)</f>
        <v/>
      </c>
      <c r="AX167" s="392">
        <f>IF(ISBLANK(Actuals!AY80),IF(Uplifters!$B$2="Yes",Uplifters!AV107,0),Actuals!AY80)</f>
        <v/>
      </c>
      <c r="AY167" s="392">
        <f>IF(ISBLANK(Actuals!AZ80),IF(Uplifters!$B$2="Yes",Uplifters!AW107,0),Actuals!AZ80)</f>
        <v/>
      </c>
      <c r="AZ167" s="392">
        <f>IF(ISBLANK(Actuals!BA80),IF(Uplifters!$B$2="Yes",Uplifters!AX107,0),Actuals!BA80)</f>
        <v/>
      </c>
      <c r="BA167" s="392">
        <f>IF(ISBLANK(Actuals!BB80),IF(Uplifters!$B$2="Yes",Uplifters!AY107,0),Actuals!BB80)</f>
        <v/>
      </c>
      <c r="BB167" s="392">
        <f>IF(ISBLANK(Actuals!BC80),IF(Uplifters!$B$2="Yes",Uplifters!AZ107,0),Actuals!BC80)</f>
        <v/>
      </c>
      <c r="BC167" s="392">
        <f>IF(ISBLANK(Actuals!BD80),IF(Uplifters!$B$2="Yes",Uplifters!BA107,0),Actuals!BD80)</f>
        <v/>
      </c>
      <c r="BD167" s="392">
        <f>IF(ISBLANK(Actuals!BE80),IF(Uplifters!$B$2="Yes",Uplifters!BB107,0),Actuals!BE80)</f>
        <v/>
      </c>
      <c r="BE167" s="392">
        <f>IF(ISBLANK(Actuals!BF80),IF(Uplifters!$B$2="Yes",Uplifters!BC107,0),Actuals!BF80)</f>
        <v/>
      </c>
      <c r="BF167" s="392">
        <f>IF(ISBLANK(Actuals!BG80),IF(Uplifters!$B$2="Yes",Uplifters!BD107,0),Actuals!BG80)</f>
        <v/>
      </c>
      <c r="BG167" s="392">
        <f>IF(ISBLANK(Actuals!BH80),IF(Uplifters!$B$2="Yes",Uplifters!BE107,0),Actuals!BH80)</f>
        <v/>
      </c>
      <c r="BH167" s="392">
        <f>IF(ISBLANK(Actuals!BI80),IF(Uplifters!$B$2="Yes",Uplifters!BF107,0),Actuals!BI80)</f>
        <v/>
      </c>
      <c r="BI167" s="392">
        <f>IF(ISBLANK(Actuals!BJ80),IF(Uplifters!$B$2="Yes",Uplifters!BG107,0),Actuals!BJ80)</f>
        <v/>
      </c>
      <c r="BJ167" s="392">
        <f>IF(ISBLANK(Actuals!BK80),IF(Uplifters!$B$2="Yes",Uplifters!BH107,0),Actuals!BK80)</f>
        <v/>
      </c>
      <c r="BK167" s="392">
        <f>IF(ISBLANK(Actuals!BL80),IF(Uplifters!$B$2="Yes",Uplifters!BI107,0),Actuals!BL80)</f>
        <v/>
      </c>
      <c r="BL167" s="392">
        <f>IF(ISBLANK(Actuals!BM80),IF(Uplifters!$B$2="Yes",Uplifters!BJ107,0),Actuals!BM80)</f>
        <v/>
      </c>
      <c r="BM167" s="392">
        <f>IF(ISBLANK(Actuals!BN80),IF(Uplifters!$B$2="Yes",Uplifters!BK107,0),Actuals!BN80)</f>
        <v/>
      </c>
      <c r="BN167" s="392">
        <f>IF(ISBLANK(Actuals!BO80),IF(Uplifters!$B$2="Yes",Uplifters!BL107,0),Actuals!BO80)</f>
        <v/>
      </c>
      <c r="BO167" s="392">
        <f>IF(ISBLANK(Actuals!BP80),IF(Uplifters!$B$2="Yes",Uplifters!BM107,0),Actuals!BP80)</f>
        <v/>
      </c>
      <c r="BP167" s="392">
        <f>IF(ISBLANK(Actuals!BQ80),IF(Uplifters!$B$2="Yes",Uplifters!BN107,0),Actuals!BQ80)</f>
        <v/>
      </c>
      <c r="BQ167" s="392">
        <f>IF(ISBLANK(Actuals!BR80),IF(Uplifters!$B$2="Yes",Uplifters!BO107,0),Actuals!BR80)</f>
        <v/>
      </c>
      <c r="BR167" s="392">
        <f>IF(ISBLANK(Actuals!BS80),IF(Uplifters!$B$2="Yes",Uplifters!BP107,0),Actuals!BS80)</f>
        <v/>
      </c>
      <c r="BS167" s="392">
        <f>IF(ISBLANK(Actuals!BT80),IF(Uplifters!$B$2="Yes",Uplifters!BQ107,0),Actuals!BT80)</f>
        <v/>
      </c>
      <c r="BT167" s="392">
        <f>IF(ISBLANK(Actuals!BU80),IF(Uplifters!$B$2="Yes",Uplifters!BR107,0),Actuals!BU80)</f>
        <v/>
      </c>
      <c r="BU167" s="392">
        <f>IF(ISBLANK(Actuals!BV80),IF(Uplifters!$B$2="Yes",Uplifters!BS107,0),Actuals!BV80)</f>
        <v/>
      </c>
      <c r="BV167" s="392">
        <f>IF(ISBLANK(Actuals!BW80),IF(Uplifters!$B$2="Yes",Uplifters!BT107,0),Actuals!BW80)</f>
        <v/>
      </c>
      <c r="BW167" s="392">
        <f>IF(ISBLANK(Actuals!BX80),IF(Uplifters!$B$2="Yes",Uplifters!BU107,0),Actuals!BX80)</f>
        <v/>
      </c>
      <c r="BX167" s="392">
        <f>IF(ISBLANK(Actuals!BY80),IF(Uplifters!$B$2="Yes",Uplifters!BV107,0),Actuals!BY80)</f>
        <v/>
      </c>
      <c r="BY167" s="392">
        <f>IF(ISBLANK(Actuals!BZ80),IF(Uplifters!$B$2="Yes",Uplifters!BW107,0),Actuals!BZ80)</f>
        <v/>
      </c>
      <c r="BZ167" s="392">
        <f>IF(ISBLANK(Actuals!CA80),IF(Uplifters!$B$2="Yes",Uplifters!BX107,0),Actuals!CA80)</f>
        <v/>
      </c>
      <c r="CA167" s="392">
        <f>IF(ISBLANK(Actuals!CB80),IF(Uplifters!$B$2="Yes",Uplifters!BY107,0),Actuals!CB80)</f>
        <v/>
      </c>
      <c r="CB167" s="392">
        <f>IF(ISBLANK(Actuals!CC80),IF(Uplifters!$B$2="Yes",Uplifters!BZ107,0),Actuals!CC80)</f>
        <v/>
      </c>
      <c r="CC167" s="392">
        <f>IF(ISBLANK(Actuals!CD80),IF(Uplifters!$B$2="Yes",Uplifters!CA107,0),Actuals!CD80)</f>
        <v/>
      </c>
      <c r="CD167" s="392">
        <f>IF(ISBLANK(Actuals!CE80),IF(Uplifters!$B$2="Yes",Uplifters!CB107,0),Actuals!CE80)</f>
        <v/>
      </c>
      <c r="CE167" s="392">
        <f>IF(ISBLANK(Actuals!CF80),IF(Uplifters!$B$2="Yes",Uplifters!CC107,0),Actuals!CF80)</f>
        <v/>
      </c>
      <c r="CF167" s="392">
        <f>IF(ISBLANK(Actuals!CG80),IF(Uplifters!$B$2="Yes",Uplifters!CD107,0),Actuals!CG80)</f>
        <v/>
      </c>
      <c r="CG167" s="392">
        <f>IF(ISBLANK(Actuals!CH80),IF(Uplifters!$B$2="Yes",Uplifters!CE107,0),Actuals!CH80)</f>
        <v/>
      </c>
      <c r="CH167" s="392">
        <f>IF(ISBLANK(Actuals!CI80),IF(Uplifters!$B$2="Yes",Uplifters!CF107,0),Actuals!CI80)</f>
        <v/>
      </c>
      <c r="CI167" s="392">
        <f>IF(ISBLANK(Actuals!CJ80),IF(Uplifters!$B$2="Yes",Uplifters!CG107,0),Actuals!CJ80)</f>
        <v/>
      </c>
      <c r="CJ167" s="392">
        <f>IF(ISBLANK(Actuals!CK80),IF(Uplifters!$B$2="Yes",Uplifters!CH107,0),Actuals!CK80)</f>
        <v/>
      </c>
      <c r="CK167" s="392">
        <f>IF(ISBLANK(Actuals!CL80),IF(Uplifters!$B$2="Yes",Uplifters!CI107,0),Actuals!CL80)</f>
        <v/>
      </c>
      <c r="CL167" s="392">
        <f>IF(ISBLANK(Actuals!CM80),IF(Uplifters!$B$2="Yes",Uplifters!CJ107,0),Actuals!CM80)</f>
        <v/>
      </c>
      <c r="CM167" s="392">
        <f>IF(ISBLANK(Actuals!CN80),IF(Uplifters!$B$2="Yes",Uplifters!CK107,0),Actuals!CN80)</f>
        <v/>
      </c>
      <c r="CN167" s="392">
        <f>IF(ISBLANK(Actuals!CO80),IF(Uplifters!$B$2="Yes",Uplifters!CL107,0),Actuals!CO80)</f>
        <v/>
      </c>
      <c r="CO167" s="392">
        <f>IF(ISBLANK(Actuals!CP80),IF(Uplifters!$B$2="Yes",Uplifters!CM107,0),Actuals!CP80)</f>
        <v/>
      </c>
      <c r="CP167" s="392">
        <f>IF(ISBLANK(Actuals!CQ80),IF(Uplifters!$B$2="Yes",Uplifters!CN107,0),Actuals!CQ80)</f>
        <v/>
      </c>
      <c r="CQ167" s="392">
        <f>IF(ISBLANK(Actuals!CR80),IF(Uplifters!$B$2="Yes",Uplifters!CO107,0),Actuals!CR80)</f>
        <v/>
      </c>
      <c r="CR167" s="392">
        <f>IF(ISBLANK(Actuals!CS80),IF(Uplifters!$B$2="Yes",Uplifters!CP107,0),Actuals!CS80)</f>
        <v/>
      </c>
      <c r="CS167" s="392">
        <f>IF(ISBLANK(Actuals!CT80),IF(Uplifters!$B$2="Yes",Uplifters!CQ107,0),Actuals!CT80)</f>
        <v/>
      </c>
      <c r="CT167" s="392">
        <f>IF(ISBLANK(Actuals!CU80),IF(Uplifters!$B$2="Yes",Uplifters!CR107,0),Actuals!CU80)</f>
        <v/>
      </c>
      <c r="CU167" s="392">
        <f>IF(ISBLANK(Actuals!CV80),IF(Uplifters!$B$2="Yes",Uplifters!CS107,0),Actuals!CV80)</f>
        <v/>
      </c>
      <c r="CV167" s="392">
        <f>IF(ISBLANK(Actuals!CW80),IF(Uplifters!$B$2="Yes",Uplifters!CT107,0),Actuals!CW80)</f>
        <v/>
      </c>
      <c r="CW167" s="392">
        <f>IF(ISBLANK(Actuals!CX80),IF(Uplifters!$B$2="Yes",Uplifters!CU107,0),Actuals!CX80)</f>
        <v/>
      </c>
      <c r="CX167" s="392">
        <f>IF(ISBLANK(Actuals!CY80),IF(Uplifters!$B$2="Yes",Uplifters!CV107,0),Actuals!CY80)</f>
        <v/>
      </c>
      <c r="CY167" s="392">
        <f>IF(ISBLANK(Actuals!CZ80),IF(Uplifters!$B$2="Yes",Uplifters!CW107,0),Actuals!CZ80)</f>
        <v/>
      </c>
      <c r="CZ167" s="392">
        <f>IF(ISBLANK(Actuals!DA80),IF(Uplifters!$B$2="Yes",Uplifters!CX107,0),Actuals!DA80)</f>
        <v/>
      </c>
      <c r="DA167" s="392">
        <f>IF(ISBLANK(Actuals!DB80),IF(Uplifters!$B$2="Yes",Uplifters!CY107,0),Actuals!DB80)</f>
        <v/>
      </c>
      <c r="DB167" s="392">
        <f>IF(ISBLANK(Actuals!DC80),IF(Uplifters!$B$2="Yes",Uplifters!CZ107,0),Actuals!DC80)</f>
        <v/>
      </c>
      <c r="DC167" s="392">
        <f>IF(ISBLANK(Actuals!DD80),IF(Uplifters!$B$2="Yes",Uplifters!DA107,0),Actuals!DD80)</f>
        <v/>
      </c>
      <c r="DD167" s="392">
        <f>IF(ISBLANK(Actuals!DE80),IF(Uplifters!$B$2="Yes",Uplifters!DB107,0),Actuals!DE80)</f>
        <v/>
      </c>
      <c r="DE167" s="392">
        <f>IF(ISBLANK(Actuals!DF80),IF(Uplifters!$B$2="Yes",Uplifters!DC107,0),Actuals!DF80)</f>
        <v/>
      </c>
    </row>
    <row r="168" ht="15" customFormat="1" customHeight="1" s="380">
      <c r="A168" s="397" t="inlineStr">
        <is>
          <t>Non-Cash Revenue Items</t>
        </is>
      </c>
      <c r="B168" s="392">
        <f>IF(ISBLANK(Actuals!C63),0,Actuals!C63)</f>
        <v/>
      </c>
      <c r="C168" s="392">
        <f>IF(ISBLANK(Actuals!D63),0,Actuals!D63)</f>
        <v/>
      </c>
      <c r="D168" s="392">
        <f>IF(ISBLANK(Actuals!E63),0,Actuals!E63)</f>
        <v/>
      </c>
      <c r="E168" s="392">
        <f>IF(ISBLANK(Actuals!F63),0,Actuals!F63)</f>
        <v/>
      </c>
      <c r="F168" s="392">
        <f>IF(ISBLANK(Actuals!G63),0,Actuals!G63)</f>
        <v/>
      </c>
      <c r="G168" s="392">
        <f>IF(ISBLANK(Actuals!H63),0,Actuals!H63)</f>
        <v/>
      </c>
      <c r="H168" s="392">
        <f>IF(ISBLANK(Actuals!I63),0,Actuals!I63)</f>
        <v/>
      </c>
      <c r="I168" s="392">
        <f>IF(ISBLANK(Actuals!J63),0,Actuals!J63)</f>
        <v/>
      </c>
      <c r="J168" s="392">
        <f>IF(ISBLANK(Actuals!K63),0,Actuals!K63)</f>
        <v/>
      </c>
      <c r="K168" s="392">
        <f>IF(ISBLANK(Actuals!L63),0,Actuals!L63)</f>
        <v/>
      </c>
      <c r="L168" s="392">
        <f>IF(ISBLANK(Actuals!M63),0,Actuals!M63)</f>
        <v/>
      </c>
      <c r="M168" s="392">
        <f>IF(ISBLANK(Actuals!N63),0,Actuals!N63)</f>
        <v/>
      </c>
      <c r="N168" s="392">
        <f>IF(ISBLANK(Actuals!O63),0,Actuals!O63)</f>
        <v/>
      </c>
      <c r="O168" s="392">
        <f>IF(ISBLANK(Actuals!P63),0,Actuals!P63)</f>
        <v/>
      </c>
      <c r="P168" s="392">
        <f>IF(ISBLANK(Actuals!Q63),0,Actuals!Q63)</f>
        <v/>
      </c>
      <c r="Q168" s="392">
        <f>IF(ISBLANK(Actuals!R63),0,Actuals!R63)</f>
        <v/>
      </c>
      <c r="R168" s="392">
        <f>IF(ISBLANK(Actuals!S63),0,Actuals!S63)</f>
        <v/>
      </c>
      <c r="S168" s="392">
        <f>IF(ISBLANK(Actuals!T63),0,Actuals!T63)</f>
        <v/>
      </c>
      <c r="T168" s="392">
        <f>IF(ISBLANK(Actuals!U63),0,Actuals!U63)</f>
        <v/>
      </c>
      <c r="U168" s="392">
        <f>IF(ISBLANK(Actuals!V63),0,Actuals!V63)</f>
        <v/>
      </c>
      <c r="V168" s="392">
        <f>IF(ISBLANK(Actuals!W63),0,Actuals!W63)</f>
        <v/>
      </c>
      <c r="W168" s="392">
        <f>IF(ISBLANK(Actuals!X63),0,Actuals!X63)</f>
        <v/>
      </c>
      <c r="X168" s="392">
        <f>IF(ISBLANK(Actuals!Y63),0,Actuals!Y63)</f>
        <v/>
      </c>
      <c r="Y168" s="392">
        <f>IF(ISBLANK(Actuals!Z63),0,Actuals!Z63)</f>
        <v/>
      </c>
      <c r="Z168" s="392">
        <f>IF(ISBLANK(Actuals!AA63),0,Actuals!AA63)</f>
        <v/>
      </c>
      <c r="AA168" s="392">
        <f>IF(ISBLANK(Actuals!AB63),0,Actuals!AB63)</f>
        <v/>
      </c>
      <c r="AB168" s="392">
        <f>IF(ISBLANK(Actuals!AC63),0,Actuals!AC63)</f>
        <v/>
      </c>
      <c r="AC168" s="392">
        <f>IF(ISBLANK(Actuals!AD63),0,Actuals!AD63)</f>
        <v/>
      </c>
      <c r="AD168" s="392">
        <f>IF(ISBLANK(Actuals!AE63),0,Actuals!AE63)</f>
        <v/>
      </c>
      <c r="AE168" s="392">
        <f>IF(ISBLANK(Actuals!AF63),0,Actuals!AF63)</f>
        <v/>
      </c>
      <c r="AF168" s="392">
        <f>IF(ISBLANK(Actuals!AG63),0,Actuals!AG63)</f>
        <v/>
      </c>
      <c r="AG168" s="392">
        <f>IF(ISBLANK(Actuals!AH63),0,Actuals!AH63)</f>
        <v/>
      </c>
      <c r="AH168" s="392">
        <f>IF(ISBLANK(Actuals!AI63),0,Actuals!AI63)</f>
        <v/>
      </c>
      <c r="AI168" s="392">
        <f>IF(ISBLANK(Actuals!AJ63),0,Actuals!AJ63)</f>
        <v/>
      </c>
      <c r="AJ168" s="392">
        <f>IF(ISBLANK(Actuals!AK63),0,Actuals!AK63)</f>
        <v/>
      </c>
      <c r="AK168" s="392">
        <f>IF(ISBLANK(Actuals!AL63),0,Actuals!AL63)</f>
        <v/>
      </c>
      <c r="AL168" s="392">
        <f>IF(ISBLANK(Actuals!AM63),0,Actuals!AM63)</f>
        <v/>
      </c>
      <c r="AM168" s="392">
        <f>IF(ISBLANK(Actuals!AN63),0,Actuals!AN63)</f>
        <v/>
      </c>
      <c r="AN168" s="392">
        <f>IF(ISBLANK(Actuals!AO63),0,Actuals!AO63)</f>
        <v/>
      </c>
      <c r="AO168" s="392">
        <f>IF(ISBLANK(Actuals!AP63),0,Actuals!AP63)</f>
        <v/>
      </c>
      <c r="AP168" s="392">
        <f>IF(ISBLANK(Actuals!AQ63),0,Actuals!AQ63)</f>
        <v/>
      </c>
      <c r="AQ168" s="392">
        <f>IF(ISBLANK(Actuals!AR63),0,Actuals!AR63)</f>
        <v/>
      </c>
      <c r="AR168" s="392">
        <f>IF(ISBLANK(Actuals!AS63),0,Actuals!AS63)</f>
        <v/>
      </c>
      <c r="AS168" s="392">
        <f>IF(ISBLANK(Actuals!AT63),0,Actuals!AT63)</f>
        <v/>
      </c>
      <c r="AT168" s="392">
        <f>IF(ISBLANK(Actuals!AU63),0,Actuals!AU63)</f>
        <v/>
      </c>
      <c r="AU168" s="392">
        <f>IF(ISBLANK(Actuals!AV63),0,Actuals!AV63)</f>
        <v/>
      </c>
      <c r="AV168" s="392">
        <f>IF(ISBLANK(Actuals!AW63),0,Actuals!AW63)</f>
        <v/>
      </c>
      <c r="AW168" s="392">
        <f>IF(ISBLANK(Actuals!AX63),0,Actuals!AX63)</f>
        <v/>
      </c>
      <c r="AX168" s="392">
        <f>IF(ISBLANK(Actuals!AY63),0,Actuals!AY63)</f>
        <v/>
      </c>
      <c r="AY168" s="392">
        <f>IF(ISBLANK(Actuals!AZ63),0,Actuals!AZ63)</f>
        <v/>
      </c>
      <c r="AZ168" s="392">
        <f>IF(ISBLANK(Actuals!BA63),0,Actuals!BA63)</f>
        <v/>
      </c>
      <c r="BA168" s="392">
        <f>IF(ISBLANK(Actuals!BB63),0,Actuals!BB63)</f>
        <v/>
      </c>
      <c r="BB168" s="392">
        <f>IF(ISBLANK(Actuals!BC63),0,Actuals!BC63)</f>
        <v/>
      </c>
      <c r="BC168" s="392">
        <f>IF(ISBLANK(Actuals!BD63),0,Actuals!BD63)</f>
        <v/>
      </c>
      <c r="BD168" s="392">
        <f>IF(ISBLANK(Actuals!BE63),0,Actuals!BE63)</f>
        <v/>
      </c>
      <c r="BE168" s="392">
        <f>IF(ISBLANK(Actuals!BF63),0,Actuals!BF63)</f>
        <v/>
      </c>
      <c r="BF168" s="392">
        <f>IF(ISBLANK(Actuals!BG63),0,Actuals!BG63)</f>
        <v/>
      </c>
      <c r="BG168" s="392">
        <f>IF(ISBLANK(Actuals!BH63),0,Actuals!BH63)</f>
        <v/>
      </c>
      <c r="BH168" s="392">
        <f>IF(ISBLANK(Actuals!BI63),0,Actuals!BI63)</f>
        <v/>
      </c>
      <c r="BI168" s="392">
        <f>IF(ISBLANK(Actuals!BJ63),0,Actuals!BJ63)</f>
        <v/>
      </c>
      <c r="BJ168" s="392">
        <f>IF(ISBLANK(Actuals!BK63),0,Actuals!BK63)</f>
        <v/>
      </c>
      <c r="BK168" s="392">
        <f>IF(ISBLANK(Actuals!BL63),0,Actuals!BL63)</f>
        <v/>
      </c>
      <c r="BL168" s="392">
        <f>IF(ISBLANK(Actuals!BM63),0,Actuals!BM63)</f>
        <v/>
      </c>
      <c r="BM168" s="392">
        <f>IF(ISBLANK(Actuals!BN63),0,Actuals!BN63)</f>
        <v/>
      </c>
      <c r="BN168" s="392">
        <f>IF(ISBLANK(Actuals!BO63),0,Actuals!BO63)</f>
        <v/>
      </c>
      <c r="BO168" s="392">
        <f>IF(ISBLANK(Actuals!BP63),0,Actuals!BP63)</f>
        <v/>
      </c>
      <c r="BP168" s="392">
        <f>IF(ISBLANK(Actuals!BQ63),0,Actuals!BQ63)</f>
        <v/>
      </c>
      <c r="BQ168" s="392">
        <f>IF(ISBLANK(Actuals!BR63),0,Actuals!BR63)</f>
        <v/>
      </c>
      <c r="BR168" s="392">
        <f>IF(ISBLANK(Actuals!BS63),0,Actuals!BS63)</f>
        <v/>
      </c>
      <c r="BS168" s="392">
        <f>IF(ISBLANK(Actuals!BT63),0,Actuals!BT63)</f>
        <v/>
      </c>
      <c r="BT168" s="392">
        <f>IF(ISBLANK(Actuals!BU63),0,Actuals!BU63)</f>
        <v/>
      </c>
      <c r="BU168" s="392">
        <f>IF(ISBLANK(Actuals!BV63),0,Actuals!BV63)</f>
        <v/>
      </c>
      <c r="BV168" s="392">
        <f>IF(ISBLANK(Actuals!BW63),0,Actuals!BW63)</f>
        <v/>
      </c>
      <c r="BW168" s="392">
        <f>IF(ISBLANK(Actuals!BX63),0,Actuals!BX63)</f>
        <v/>
      </c>
      <c r="BX168" s="392">
        <f>IF(ISBLANK(Actuals!BY63),0,Actuals!BY63)</f>
        <v/>
      </c>
      <c r="BY168" s="392">
        <f>IF(ISBLANK(Actuals!BZ63),0,Actuals!BZ63)</f>
        <v/>
      </c>
      <c r="BZ168" s="392">
        <f>IF(ISBLANK(Actuals!CA63),0,Actuals!CA63)</f>
        <v/>
      </c>
      <c r="CA168" s="392">
        <f>IF(ISBLANK(Actuals!CB63),0,Actuals!CB63)</f>
        <v/>
      </c>
      <c r="CB168" s="392">
        <f>IF(ISBLANK(Actuals!CC63),0,Actuals!CC63)</f>
        <v/>
      </c>
      <c r="CC168" s="392">
        <f>IF(ISBLANK(Actuals!CD63),0,Actuals!CD63)</f>
        <v/>
      </c>
      <c r="CD168" s="392">
        <f>IF(ISBLANK(Actuals!CE63),0,Actuals!CE63)</f>
        <v/>
      </c>
      <c r="CE168" s="392">
        <f>IF(ISBLANK(Actuals!CF63),0,Actuals!CF63)</f>
        <v/>
      </c>
      <c r="CF168" s="392">
        <f>IF(ISBLANK(Actuals!CG63),0,Actuals!CG63)</f>
        <v/>
      </c>
      <c r="CG168" s="392">
        <f>IF(ISBLANK(Actuals!CH63),0,Actuals!CH63)</f>
        <v/>
      </c>
      <c r="CH168" s="392">
        <f>IF(ISBLANK(Actuals!CI63),0,Actuals!CI63)</f>
        <v/>
      </c>
      <c r="CI168" s="392">
        <f>IF(ISBLANK(Actuals!CJ63),0,Actuals!CJ63)</f>
        <v/>
      </c>
      <c r="CJ168" s="392">
        <f>IF(ISBLANK(Actuals!CK63),0,Actuals!CK63)</f>
        <v/>
      </c>
      <c r="CK168" s="392">
        <f>IF(ISBLANK(Actuals!CL63),0,Actuals!CL63)</f>
        <v/>
      </c>
      <c r="CL168" s="392">
        <f>IF(ISBLANK(Actuals!CM63),0,Actuals!CM63)</f>
        <v/>
      </c>
      <c r="CM168" s="392">
        <f>IF(ISBLANK(Actuals!CN63),0,Actuals!CN63)</f>
        <v/>
      </c>
      <c r="CN168" s="392">
        <f>IF(ISBLANK(Actuals!CO63),0,Actuals!CO63)</f>
        <v/>
      </c>
      <c r="CO168" s="392">
        <f>IF(ISBLANK(Actuals!CP63),0,Actuals!CP63)</f>
        <v/>
      </c>
      <c r="CP168" s="392">
        <f>IF(ISBLANK(Actuals!CQ63),0,Actuals!CQ63)</f>
        <v/>
      </c>
      <c r="CQ168" s="392">
        <f>IF(ISBLANK(Actuals!CR63),0,Actuals!CR63)</f>
        <v/>
      </c>
      <c r="CR168" s="392">
        <f>IF(ISBLANK(Actuals!CS63),0,Actuals!CS63)</f>
        <v/>
      </c>
      <c r="CS168" s="392">
        <f>IF(ISBLANK(Actuals!CT63),0,Actuals!CT63)</f>
        <v/>
      </c>
      <c r="CT168" s="392">
        <f>IF(ISBLANK(Actuals!CU63),0,Actuals!CU63)</f>
        <v/>
      </c>
      <c r="CU168" s="392">
        <f>IF(ISBLANK(Actuals!CV63),0,Actuals!CV63)</f>
        <v/>
      </c>
      <c r="CV168" s="392">
        <f>IF(ISBLANK(Actuals!CW63),0,Actuals!CW63)</f>
        <v/>
      </c>
      <c r="CW168" s="392">
        <f>IF(ISBLANK(Actuals!CX63),0,Actuals!CX63)</f>
        <v/>
      </c>
      <c r="CX168" s="392">
        <f>IF(ISBLANK(Actuals!CY63),0,Actuals!CY63)</f>
        <v/>
      </c>
      <c r="CY168" s="392">
        <f>IF(ISBLANK(Actuals!CZ63),0,Actuals!CZ63)</f>
        <v/>
      </c>
      <c r="CZ168" s="392">
        <f>IF(ISBLANK(Actuals!DA63),0,Actuals!DA63)</f>
        <v/>
      </c>
      <c r="DA168" s="392">
        <f>IF(ISBLANK(Actuals!DB63),0,Actuals!DB63)</f>
        <v/>
      </c>
      <c r="DB168" s="392">
        <f>IF(ISBLANK(Actuals!DC63),0,Actuals!DC63)</f>
        <v/>
      </c>
      <c r="DC168" s="392">
        <f>IF(ISBLANK(Actuals!DD63),0,Actuals!DD63)</f>
        <v/>
      </c>
      <c r="DD168" s="392">
        <f>IF(ISBLANK(Actuals!DE63),0,Actuals!DE63)</f>
        <v/>
      </c>
      <c r="DE168" s="392">
        <f>IF(ISBLANK(Actuals!DF63),0,Actuals!DF63)</f>
        <v/>
      </c>
    </row>
    <row r="169" ht="15" customHeight="1" s="410">
      <c r="A169" s="397" t="inlineStr">
        <is>
          <t>Less: Non-Cash Revenue Items (not assumed)</t>
        </is>
      </c>
      <c r="B169" s="392">
        <f>-B168</f>
        <v/>
      </c>
      <c r="C169" s="392">
        <f>-C168</f>
        <v/>
      </c>
      <c r="D169" s="392">
        <f>-D168</f>
        <v/>
      </c>
      <c r="E169" s="392">
        <f>-E168</f>
        <v/>
      </c>
      <c r="F169" s="392">
        <f>-F168</f>
        <v/>
      </c>
      <c r="G169" s="392">
        <f>-G168</f>
        <v/>
      </c>
      <c r="H169" s="392">
        <f>-H168</f>
        <v/>
      </c>
      <c r="I169" s="392">
        <f>-I168</f>
        <v/>
      </c>
      <c r="J169" s="392">
        <f>-J168</f>
        <v/>
      </c>
      <c r="K169" s="392">
        <f>-K168</f>
        <v/>
      </c>
      <c r="L169" s="392">
        <f>-L168</f>
        <v/>
      </c>
      <c r="M169" s="392">
        <f>-M168</f>
        <v/>
      </c>
      <c r="N169" s="392">
        <f>-N168</f>
        <v/>
      </c>
      <c r="O169" s="392">
        <f>-O168</f>
        <v/>
      </c>
      <c r="P169" s="392">
        <f>-P168</f>
        <v/>
      </c>
      <c r="Q169" s="392">
        <f>-Q168</f>
        <v/>
      </c>
      <c r="R169" s="392">
        <f>-R168</f>
        <v/>
      </c>
      <c r="S169" s="392">
        <f>-S168</f>
        <v/>
      </c>
      <c r="T169" s="392">
        <f>-T168</f>
        <v/>
      </c>
      <c r="U169" s="392">
        <f>-U168</f>
        <v/>
      </c>
      <c r="V169" s="392">
        <f>-V168</f>
        <v/>
      </c>
      <c r="W169" s="392">
        <f>-W168</f>
        <v/>
      </c>
      <c r="X169" s="392">
        <f>-X168</f>
        <v/>
      </c>
      <c r="Y169" s="392">
        <f>-Y168</f>
        <v/>
      </c>
      <c r="Z169" s="392">
        <f>-Z168</f>
        <v/>
      </c>
      <c r="AA169" s="392">
        <f>-AA168</f>
        <v/>
      </c>
      <c r="AB169" s="392">
        <f>-AB168</f>
        <v/>
      </c>
      <c r="AC169" s="392">
        <f>-AC168</f>
        <v/>
      </c>
      <c r="AD169" s="392">
        <f>-AD168</f>
        <v/>
      </c>
      <c r="AE169" s="392">
        <f>-AE168</f>
        <v/>
      </c>
      <c r="AF169" s="392">
        <f>-AF168</f>
        <v/>
      </c>
      <c r="AG169" s="392">
        <f>-AG168</f>
        <v/>
      </c>
      <c r="AH169" s="392">
        <f>-AH168</f>
        <v/>
      </c>
      <c r="AI169" s="392">
        <f>-AI168</f>
        <v/>
      </c>
      <c r="AJ169" s="392">
        <f>-AJ168</f>
        <v/>
      </c>
      <c r="AK169" s="392">
        <f>-AK168</f>
        <v/>
      </c>
      <c r="AL169" s="392">
        <f>-AL168</f>
        <v/>
      </c>
      <c r="AM169" s="392">
        <f>-AM168</f>
        <v/>
      </c>
      <c r="AN169" s="392">
        <f>-AN168</f>
        <v/>
      </c>
      <c r="AO169" s="392">
        <f>-AO168</f>
        <v/>
      </c>
      <c r="AP169" s="392">
        <f>-AP168</f>
        <v/>
      </c>
      <c r="AQ169" s="392">
        <f>-AQ168</f>
        <v/>
      </c>
      <c r="AR169" s="392">
        <f>-AR168</f>
        <v/>
      </c>
      <c r="AS169" s="392">
        <f>-AS168</f>
        <v/>
      </c>
      <c r="AT169" s="392">
        <f>-AT168</f>
        <v/>
      </c>
      <c r="AU169" s="392">
        <f>-AU168</f>
        <v/>
      </c>
      <c r="AV169" s="392">
        <f>-AV168</f>
        <v/>
      </c>
      <c r="AW169" s="392">
        <f>-AW168</f>
        <v/>
      </c>
      <c r="AX169" s="392">
        <f>-AX168</f>
        <v/>
      </c>
      <c r="AY169" s="392">
        <f>-AY168</f>
        <v/>
      </c>
      <c r="AZ169" s="392">
        <f>-AZ168</f>
        <v/>
      </c>
      <c r="BA169" s="392">
        <f>-BA168</f>
        <v/>
      </c>
      <c r="BB169" s="392">
        <f>-BB168</f>
        <v/>
      </c>
      <c r="BC169" s="392">
        <f>-BC168</f>
        <v/>
      </c>
      <c r="BD169" s="392">
        <f>-BD168</f>
        <v/>
      </c>
      <c r="BE169" s="392">
        <f>-BE168</f>
        <v/>
      </c>
      <c r="BF169" s="392">
        <f>-BF168</f>
        <v/>
      </c>
      <c r="BG169" s="392">
        <f>-BG168</f>
        <v/>
      </c>
      <c r="BH169" s="392">
        <f>-BH168</f>
        <v/>
      </c>
      <c r="BI169" s="392">
        <f>-BI168</f>
        <v/>
      </c>
      <c r="BJ169" s="392">
        <f>-BJ168</f>
        <v/>
      </c>
      <c r="BK169" s="392">
        <f>-BK168</f>
        <v/>
      </c>
      <c r="BL169" s="392">
        <f>-BL168</f>
        <v/>
      </c>
      <c r="BM169" s="392">
        <f>-BM168</f>
        <v/>
      </c>
      <c r="BN169" s="392">
        <f>-BN168</f>
        <v/>
      </c>
      <c r="BO169" s="392">
        <f>-BO168</f>
        <v/>
      </c>
      <c r="BP169" s="392">
        <f>-BP168</f>
        <v/>
      </c>
      <c r="BQ169" s="392">
        <f>-BQ168</f>
        <v/>
      </c>
      <c r="BR169" s="392">
        <f>-BR168</f>
        <v/>
      </c>
      <c r="BS169" s="392">
        <f>-BS168</f>
        <v/>
      </c>
      <c r="BT169" s="392">
        <f>-BT168</f>
        <v/>
      </c>
      <c r="BU169" s="392">
        <f>-BU168</f>
        <v/>
      </c>
      <c r="BV169" s="392">
        <f>-BV168</f>
        <v/>
      </c>
      <c r="BW169" s="392">
        <f>-BW168</f>
        <v/>
      </c>
      <c r="BX169" s="392">
        <f>-BX168</f>
        <v/>
      </c>
      <c r="BY169" s="392">
        <f>-BY168</f>
        <v/>
      </c>
      <c r="BZ169" s="392">
        <f>-BZ168</f>
        <v/>
      </c>
      <c r="CA169" s="392">
        <f>-CA168</f>
        <v/>
      </c>
      <c r="CB169" s="392">
        <f>-CB168</f>
        <v/>
      </c>
      <c r="CC169" s="392">
        <f>-CC168</f>
        <v/>
      </c>
      <c r="CD169" s="392">
        <f>-CD168</f>
        <v/>
      </c>
      <c r="CE169" s="392">
        <f>-CE168</f>
        <v/>
      </c>
      <c r="CF169" s="392">
        <f>-CF168</f>
        <v/>
      </c>
      <c r="CG169" s="392">
        <f>-CG168</f>
        <v/>
      </c>
      <c r="CH169" s="392">
        <f>-CH168</f>
        <v/>
      </c>
      <c r="CI169" s="392">
        <f>-CI168</f>
        <v/>
      </c>
      <c r="CJ169" s="392">
        <f>-CJ168</f>
        <v/>
      </c>
      <c r="CK169" s="392">
        <f>-CK168</f>
        <v/>
      </c>
      <c r="CL169" s="392">
        <f>-CL168</f>
        <v/>
      </c>
      <c r="CM169" s="392">
        <f>-CM168</f>
        <v/>
      </c>
      <c r="CN169" s="392">
        <f>-CN168</f>
        <v/>
      </c>
      <c r="CO169" s="392">
        <f>-CO168</f>
        <v/>
      </c>
      <c r="CP169" s="392">
        <f>-CP168</f>
        <v/>
      </c>
      <c r="CQ169" s="392">
        <f>-CQ168</f>
        <v/>
      </c>
      <c r="CR169" s="392">
        <f>-CR168</f>
        <v/>
      </c>
      <c r="CS169" s="392">
        <f>-CS168</f>
        <v/>
      </c>
      <c r="CT169" s="392">
        <f>-CT168</f>
        <v/>
      </c>
      <c r="CU169" s="392">
        <f>-CU168</f>
        <v/>
      </c>
      <c r="CV169" s="392">
        <f>-CV168</f>
        <v/>
      </c>
      <c r="CW169" s="392">
        <f>-CW168</f>
        <v/>
      </c>
      <c r="CX169" s="392">
        <f>-CX168</f>
        <v/>
      </c>
      <c r="CY169" s="392">
        <f>-CY168</f>
        <v/>
      </c>
      <c r="CZ169" s="392">
        <f>-CZ168</f>
        <v/>
      </c>
      <c r="DA169" s="392">
        <f>-DA168</f>
        <v/>
      </c>
      <c r="DB169" s="392">
        <f>-DB168</f>
        <v/>
      </c>
      <c r="DC169" s="392">
        <f>-DC168</f>
        <v/>
      </c>
      <c r="DD169" s="392">
        <f>-DD168</f>
        <v/>
      </c>
      <c r="DE169" s="392">
        <f>-DE168</f>
        <v/>
      </c>
    </row>
    <row r="170" ht="15" customFormat="1" customHeight="1" s="380">
      <c r="A170" s="397" t="inlineStr">
        <is>
          <t>APA LLP Net Income (Six Peak 50% share)</t>
        </is>
      </c>
      <c r="B170" s="392" t="n"/>
      <c r="C170" s="392" t="n"/>
      <c r="D170" s="392" t="n"/>
      <c r="E170" s="392" t="n"/>
      <c r="F170" s="392" t="n"/>
      <c r="G170" s="392" t="n"/>
      <c r="H170" s="392" t="n">
        <v>0</v>
      </c>
      <c r="I170" s="392">
        <f>IF(I$3&lt;'APA Assumptions'!$B$40,0,(1-'APA Assumptions'!$B$39)*MAX(0,0.5*'APA Projection'!C$23))</f>
        <v/>
      </c>
      <c r="J170" s="392">
        <f>IF(J$3&lt;'APA Assumptions'!$B$40,0,(1-'APA Assumptions'!$B$39)*MAX(0,0.5*'APA Projection'!D$23))</f>
        <v/>
      </c>
      <c r="K170" s="392">
        <f>IF(K$3&lt;'APA Assumptions'!$B$40,0,(1-'APA Assumptions'!$B$39)*MAX(0,0.5*'APA Projection'!E$23))</f>
        <v/>
      </c>
      <c r="L170" s="392">
        <f>IF(L$3&lt;'APA Assumptions'!$B$40,0,(1-'APA Assumptions'!$B$39)*MAX(0,0.5*'APA Projection'!F$23))</f>
        <v/>
      </c>
      <c r="M170" s="392">
        <f>IF(M$3&lt;'APA Assumptions'!$B$40,0,(1-'APA Assumptions'!$B$39)*MAX(0,0.5*'APA Projection'!G$23))</f>
        <v/>
      </c>
      <c r="N170" s="392">
        <f>IF(N$3&lt;'APA Assumptions'!$B$40,0,(1-'APA Assumptions'!$B$39)*MAX(0,0.5*'APA Projection'!H$23))</f>
        <v/>
      </c>
      <c r="O170" s="392">
        <f>IF(O$3&lt;'APA Assumptions'!$B$40,0,(1-'APA Assumptions'!$B$39)*MAX(0,0.5*'APA Projection'!I$23))</f>
        <v/>
      </c>
      <c r="P170" s="392">
        <f>IF(P$3&lt;'APA Assumptions'!$B$40,0,(1-'APA Assumptions'!$B$39)*MAX(0,0.5*'APA Projection'!J$23))</f>
        <v/>
      </c>
      <c r="Q170" s="392">
        <f>IF(Q$3&lt;'APA Assumptions'!$B$40,0,(1-'APA Assumptions'!$B$39)*MAX(0,0.5*'APA Projection'!K$23))</f>
        <v/>
      </c>
      <c r="R170" s="392">
        <f>IF(R$3&lt;'APA Assumptions'!$B$40,0,(1-'APA Assumptions'!$B$39)*MAX(0,0.5*'APA Projection'!L$23))</f>
        <v/>
      </c>
      <c r="S170" s="392">
        <f>IF(S$3&lt;'APA Assumptions'!$B$40,0,(1-'APA Assumptions'!$B$39)*MAX(0,0.5*'APA Projection'!M$23))</f>
        <v/>
      </c>
      <c r="T170" s="392">
        <f>IF(T$3&lt;'APA Assumptions'!$B$40,0,(1-'APA Assumptions'!$B$39)*MAX(0,0.5*'APA Projection'!N$23))</f>
        <v/>
      </c>
      <c r="U170" s="392">
        <f>IF(U$3&lt;'APA Assumptions'!$B$40,0,(1-'APA Assumptions'!$B$39)*MAX(0,0.5*'APA Projection'!O$23))</f>
        <v/>
      </c>
      <c r="V170" s="392">
        <f>IF(V$3&lt;'APA Assumptions'!$B$40,0,(1-'APA Assumptions'!$B$39)*MAX(0,0.5*'APA Projection'!P$23))</f>
        <v/>
      </c>
      <c r="W170" s="392">
        <f>IF(W$3&lt;'APA Assumptions'!$B$40,0,(1-'APA Assumptions'!$B$39)*MAX(0,0.5*'APA Projection'!Q$23))</f>
        <v/>
      </c>
      <c r="X170" s="392">
        <f>IF(X$3&lt;'APA Assumptions'!$B$40,0,(1-'APA Assumptions'!$B$39)*MAX(0,0.5*'APA Projection'!R$23))</f>
        <v/>
      </c>
      <c r="Y170" s="392">
        <f>IF(Y$3&lt;'APA Assumptions'!$B$40,0,(1-'APA Assumptions'!$B$39)*MAX(0,0.5*'APA Projection'!S$23))</f>
        <v/>
      </c>
      <c r="Z170" s="392">
        <f>IF(Z$3&lt;'APA Assumptions'!$B$40,0,(1-'APA Assumptions'!$B$39)*MAX(0,0.5*'APA Projection'!T$23))</f>
        <v/>
      </c>
      <c r="AA170" s="392">
        <f>IF(AA$3&lt;'APA Assumptions'!$B$40,0,(1-'APA Assumptions'!$B$39)*MAX(0,0.5*'APA Projection'!U$23))</f>
        <v/>
      </c>
      <c r="AB170" s="392">
        <f>IF(AB$3&lt;'APA Assumptions'!$B$40,0,(1-'APA Assumptions'!$B$39)*MAX(0,0.5*'APA Projection'!V$23))</f>
        <v/>
      </c>
      <c r="AC170" s="392">
        <f>IF(AC$3&lt;'APA Assumptions'!$B$40,0,(1-'APA Assumptions'!$B$39)*MAX(0,0.5*'APA Projection'!W$23))</f>
        <v/>
      </c>
      <c r="AD170" s="392">
        <f>IF(AD$3&lt;'APA Assumptions'!$B$40,0,(1-'APA Assumptions'!$B$39)*MAX(0,0.5*'APA Projection'!X$23))</f>
        <v/>
      </c>
      <c r="AE170" s="392">
        <f>IF(AE$3&lt;'APA Assumptions'!$B$40,0,(1-'APA Assumptions'!$B$39)*MAX(0,0.5*'APA Projection'!Y$23))</f>
        <v/>
      </c>
      <c r="AF170" s="392">
        <f>IF(AF$3&lt;'APA Assumptions'!$B$40,0,(1-'APA Assumptions'!$B$39)*MAX(0,0.5*'APA Projection'!Z$23))</f>
        <v/>
      </c>
      <c r="AG170" s="392">
        <f>IF(AG$3&lt;'APA Assumptions'!$B$40,0,(1-'APA Assumptions'!$B$39)*MAX(0,0.5*'APA Projection'!AA$23))</f>
        <v/>
      </c>
      <c r="AH170" s="392">
        <f>IF(AH$3&lt;'APA Assumptions'!$B$40,0,(1-'APA Assumptions'!$B$39)*MAX(0,0.5*'APA Projection'!AB$23))</f>
        <v/>
      </c>
      <c r="AI170" s="392">
        <f>IF(AI$3&lt;'APA Assumptions'!$B$40,0,(1-'APA Assumptions'!$B$39)*MAX(0,0.5*'APA Projection'!AC$23))</f>
        <v/>
      </c>
      <c r="AJ170" s="392">
        <f>IF(AJ$3&lt;'APA Assumptions'!$B$40,0,(1-'APA Assumptions'!$B$39)*MAX(0,0.5*'APA Projection'!AD$23))</f>
        <v/>
      </c>
      <c r="AK170" s="392">
        <f>IF(AK$3&lt;'APA Assumptions'!$B$40,0,(1-'APA Assumptions'!$B$39)*MAX(0,0.5*'APA Projection'!AE$23))</f>
        <v/>
      </c>
      <c r="AL170" s="392">
        <f>IF(AL$3&lt;'APA Assumptions'!$B$40,0,(1-'APA Assumptions'!$B$39)*MAX(0,0.5*'APA Projection'!AF$23))</f>
        <v/>
      </c>
      <c r="AM170" s="392">
        <f>IF(AM$3&lt;'APA Assumptions'!$B$40,0,(1-'APA Assumptions'!$B$39)*MAX(0,0.5*'APA Projection'!AG$23))</f>
        <v/>
      </c>
      <c r="AN170" s="392">
        <f>IF(AN$3&lt;'APA Assumptions'!$B$40,0,(1-'APA Assumptions'!$B$39)*MAX(0,0.5*'APA Projection'!AH$23))</f>
        <v/>
      </c>
      <c r="AO170" s="392">
        <f>IF(AO$3&lt;'APA Assumptions'!$B$40,0,(1-'APA Assumptions'!$B$39)*MAX(0,0.5*'APA Projection'!AI$23))</f>
        <v/>
      </c>
      <c r="AP170" s="392">
        <f>IF(AP$3&lt;'APA Assumptions'!$B$40,0,(1-'APA Assumptions'!$B$39)*MAX(0,0.5*'APA Projection'!AJ$23))</f>
        <v/>
      </c>
      <c r="AQ170" s="392">
        <f>IF(AQ$3&lt;'APA Assumptions'!$B$40,0,(1-'APA Assumptions'!$B$39)*MAX(0,0.5*'APA Projection'!AK$23))</f>
        <v/>
      </c>
      <c r="AR170" s="392">
        <f>IF(AR$3&lt;'APA Assumptions'!$B$40,0,(1-'APA Assumptions'!$B$39)*MAX(0,0.5*'APA Projection'!AL$23))</f>
        <v/>
      </c>
      <c r="AS170" s="392">
        <f>IF(AS$3&lt;'APA Assumptions'!$B$40,0,(1-'APA Assumptions'!$B$39)*MAX(0,0.5*'APA Projection'!AM$23))</f>
        <v/>
      </c>
      <c r="AT170" s="392" t="n"/>
      <c r="AU170" s="392" t="n"/>
      <c r="AV170" s="392" t="n"/>
      <c r="AW170" s="392" t="n"/>
      <c r="AX170" s="392" t="n"/>
      <c r="AY170" s="392" t="n"/>
      <c r="AZ170" s="392" t="n"/>
      <c r="BA170" s="392" t="n"/>
      <c r="BB170" s="392" t="n"/>
      <c r="BC170" s="392" t="n"/>
      <c r="BD170" s="392" t="n"/>
      <c r="BE170" s="392" t="n"/>
      <c r="BF170" s="392" t="n"/>
      <c r="BG170" s="392" t="n"/>
      <c r="BH170" s="392" t="n"/>
      <c r="BI170" s="392" t="n"/>
      <c r="BJ170" s="392" t="n"/>
      <c r="BK170" s="392" t="n"/>
      <c r="BL170" s="392" t="n"/>
      <c r="BM170" s="392" t="n"/>
      <c r="BN170" s="392" t="n"/>
      <c r="BO170" s="392" t="n"/>
      <c r="BP170" s="392" t="n"/>
      <c r="BQ170" s="392" t="n"/>
      <c r="BR170" s="392" t="n"/>
      <c r="BS170" s="392" t="n"/>
      <c r="BT170" s="392" t="n"/>
      <c r="BU170" s="392" t="n"/>
      <c r="BV170" s="392" t="n"/>
      <c r="BW170" s="392" t="n"/>
      <c r="BX170" s="392" t="n"/>
      <c r="BY170" s="392" t="n"/>
      <c r="BZ170" s="392" t="n"/>
      <c r="CA170" s="392" t="n"/>
      <c r="CB170" s="392" t="n"/>
      <c r="CC170" s="392" t="n"/>
      <c r="CD170" s="392" t="n"/>
      <c r="CE170" s="392" t="n"/>
      <c r="CF170" s="392" t="n"/>
      <c r="CG170" s="392" t="n"/>
      <c r="CH170" s="392" t="n"/>
      <c r="CI170" s="392" t="n"/>
      <c r="CJ170" s="392" t="n"/>
      <c r="CK170" s="392" t="n"/>
      <c r="CL170" s="392" t="n"/>
      <c r="CM170" s="392" t="n"/>
      <c r="CN170" s="392" t="n"/>
      <c r="CO170" s="392" t="n"/>
      <c r="CP170" s="392" t="n"/>
      <c r="CQ170" s="392" t="n"/>
      <c r="CR170" s="392" t="n"/>
      <c r="CS170" s="392" t="n"/>
      <c r="CT170" s="392" t="n"/>
      <c r="CU170" s="392" t="n"/>
      <c r="CV170" s="392" t="n"/>
      <c r="CW170" s="392" t="n"/>
      <c r="CX170" s="392" t="n"/>
      <c r="CY170" s="392" t="n"/>
      <c r="CZ170" s="392" t="n"/>
      <c r="DA170" s="392" t="n"/>
      <c r="DB170" s="392" t="n"/>
      <c r="DC170" s="392" t="n"/>
      <c r="DD170" s="392" t="n"/>
      <c r="DE170" s="392" t="n"/>
    </row>
    <row r="171" ht="19.5" customFormat="1" customHeight="1" s="380">
      <c r="A171" s="408" t="inlineStr">
        <is>
          <t>Total Six Peak Revenue</t>
        </is>
      </c>
      <c r="B171" s="409">
        <f>SUM(B150:B170)</f>
        <v/>
      </c>
      <c r="C171" s="409">
        <f>SUM(C150:C170)</f>
        <v/>
      </c>
      <c r="D171" s="409">
        <f>SUM(D150:D170)</f>
        <v/>
      </c>
      <c r="E171" s="409">
        <f>SUM(E150:E170)</f>
        <v/>
      </c>
      <c r="F171" s="409">
        <f>SUM(F150:F170)</f>
        <v/>
      </c>
      <c r="G171" s="409">
        <f>SUM(G150:G170)</f>
        <v/>
      </c>
      <c r="H171" s="409">
        <f>SUM(H150:H170)</f>
        <v/>
      </c>
      <c r="I171" s="409">
        <f>SUM(I150:I170)</f>
        <v/>
      </c>
      <c r="J171" s="409">
        <f>SUM(J150:J170)</f>
        <v/>
      </c>
      <c r="K171" s="409">
        <f>SUM(K150:K170)</f>
        <v/>
      </c>
      <c r="L171" s="409">
        <f>SUM(L150:L170)</f>
        <v/>
      </c>
      <c r="M171" s="409">
        <f>SUM(M150:M170)</f>
        <v/>
      </c>
      <c r="N171" s="409">
        <f>SUM(N150:N170)</f>
        <v/>
      </c>
      <c r="O171" s="409">
        <f>SUM(O150:O170)</f>
        <v/>
      </c>
      <c r="P171" s="409">
        <f>SUM(P150:P170)</f>
        <v/>
      </c>
      <c r="Q171" s="409">
        <f>SUM(Q150:Q170)</f>
        <v/>
      </c>
      <c r="R171" s="409">
        <f>SUM(R150:R170)</f>
        <v/>
      </c>
      <c r="S171" s="409">
        <f>SUM(S150:S170)</f>
        <v/>
      </c>
      <c r="T171" s="409">
        <f>SUM(T150:T170)</f>
        <v/>
      </c>
      <c r="U171" s="409">
        <f>SUM(U150:U170)</f>
        <v/>
      </c>
      <c r="V171" s="409">
        <f>SUM(V150:V170)</f>
        <v/>
      </c>
      <c r="W171" s="409">
        <f>SUM(W150:W170)</f>
        <v/>
      </c>
      <c r="X171" s="409">
        <f>SUM(X150:X170)</f>
        <v/>
      </c>
      <c r="Y171" s="409">
        <f>SUM(Y150:Y170)</f>
        <v/>
      </c>
      <c r="Z171" s="409">
        <f>SUM(Z150:Z170)</f>
        <v/>
      </c>
      <c r="AA171" s="409">
        <f>SUM(AA150:AA170)</f>
        <v/>
      </c>
      <c r="AB171" s="409">
        <f>SUM(AB150:AB170)</f>
        <v/>
      </c>
      <c r="AC171" s="409">
        <f>SUM(AC150:AC170)</f>
        <v/>
      </c>
      <c r="AD171" s="409">
        <f>SUM(AD150:AD170)</f>
        <v/>
      </c>
      <c r="AE171" s="409">
        <f>SUM(AE150:AE170)</f>
        <v/>
      </c>
      <c r="AF171" s="409">
        <f>SUM(AF150:AF170)</f>
        <v/>
      </c>
      <c r="AG171" s="409">
        <f>SUM(AG150:AG170)</f>
        <v/>
      </c>
      <c r="AH171" s="409">
        <f>SUM(AH150:AH170)</f>
        <v/>
      </c>
      <c r="AI171" s="409">
        <f>SUM(AI150:AI170)</f>
        <v/>
      </c>
      <c r="AJ171" s="409">
        <f>SUM(AJ150:AJ170)</f>
        <v/>
      </c>
      <c r="AK171" s="409">
        <f>SUM(AK150:AK170)</f>
        <v/>
      </c>
      <c r="AL171" s="409">
        <f>SUM(AL150:AL170)</f>
        <v/>
      </c>
      <c r="AM171" s="409">
        <f>SUM(AM150:AM170)</f>
        <v/>
      </c>
      <c r="AN171" s="409">
        <f>SUM(AN150:AN170)</f>
        <v/>
      </c>
      <c r="AO171" s="409">
        <f>SUM(AO150:AO170)</f>
        <v/>
      </c>
      <c r="AP171" s="409">
        <f>SUM(AP150:AP170)</f>
        <v/>
      </c>
      <c r="AQ171" s="409">
        <f>SUM(AQ150:AQ170)</f>
        <v/>
      </c>
      <c r="AR171" s="409">
        <f>SUM(AR150:AR170)</f>
        <v/>
      </c>
      <c r="AS171" s="409">
        <f>SUM(AS150:AS170)</f>
        <v/>
      </c>
      <c r="AT171" s="409">
        <f>SUM(AT150:AT170)</f>
        <v/>
      </c>
      <c r="AU171" s="409">
        <f>SUM(AU150:AU170)</f>
        <v/>
      </c>
      <c r="AV171" s="409">
        <f>SUM(AV150:AV170)</f>
        <v/>
      </c>
      <c r="AW171" s="409">
        <f>SUM(AW150:AW170)</f>
        <v/>
      </c>
      <c r="AX171" s="409">
        <f>SUM(AX150:AX170)</f>
        <v/>
      </c>
      <c r="AY171" s="409">
        <f>SUM(AY150:AY170)</f>
        <v/>
      </c>
      <c r="AZ171" s="409">
        <f>SUM(AZ150:AZ170)</f>
        <v/>
      </c>
      <c r="BA171" s="409">
        <f>SUM(BA150:BA170)</f>
        <v/>
      </c>
      <c r="BB171" s="409">
        <f>SUM(BB150:BB170)</f>
        <v/>
      </c>
      <c r="BC171" s="409">
        <f>SUM(BC150:BC170)</f>
        <v/>
      </c>
      <c r="BD171" s="409">
        <f>SUM(BD150:BD170)</f>
        <v/>
      </c>
      <c r="BE171" s="409">
        <f>SUM(BE150:BE170)</f>
        <v/>
      </c>
      <c r="BF171" s="409">
        <f>SUM(BF150:BF170)</f>
        <v/>
      </c>
      <c r="BG171" s="409">
        <f>SUM(BG150:BG170)</f>
        <v/>
      </c>
      <c r="BH171" s="409">
        <f>SUM(BH150:BH170)</f>
        <v/>
      </c>
      <c r="BI171" s="409">
        <f>SUM(BI150:BI170)</f>
        <v/>
      </c>
      <c r="BJ171" s="409">
        <f>SUM(BJ150:BJ170)</f>
        <v/>
      </c>
      <c r="BK171" s="409">
        <f>SUM(BK150:BK170)</f>
        <v/>
      </c>
      <c r="BL171" s="409">
        <f>SUM(BL150:BL170)</f>
        <v/>
      </c>
      <c r="BM171" s="409">
        <f>SUM(BM150:BM170)</f>
        <v/>
      </c>
      <c r="BN171" s="409">
        <f>SUM(BN150:BN170)</f>
        <v/>
      </c>
      <c r="BO171" s="409">
        <f>SUM(BO150:BO170)</f>
        <v/>
      </c>
      <c r="BP171" s="409">
        <f>SUM(BP150:BP170)</f>
        <v/>
      </c>
      <c r="BQ171" s="409">
        <f>SUM(BQ150:BQ170)</f>
        <v/>
      </c>
      <c r="BR171" s="409">
        <f>SUM(BR150:BR170)</f>
        <v/>
      </c>
      <c r="BS171" s="409">
        <f>SUM(BS150:BS170)</f>
        <v/>
      </c>
      <c r="BT171" s="409">
        <f>SUM(BT150:BT170)</f>
        <v/>
      </c>
      <c r="BU171" s="409">
        <f>SUM(BU150:BU170)</f>
        <v/>
      </c>
      <c r="BV171" s="409">
        <f>SUM(BV150:BV170)</f>
        <v/>
      </c>
      <c r="BW171" s="409">
        <f>SUM(BW150:BW170)</f>
        <v/>
      </c>
      <c r="BX171" s="409">
        <f>SUM(BX150:BX170)</f>
        <v/>
      </c>
      <c r="BY171" s="409">
        <f>SUM(BY150:BY170)</f>
        <v/>
      </c>
      <c r="BZ171" s="409">
        <f>SUM(BZ150:BZ170)</f>
        <v/>
      </c>
      <c r="CA171" s="409">
        <f>SUM(CA150:CA170)</f>
        <v/>
      </c>
      <c r="CB171" s="409">
        <f>SUM(CB150:CB170)</f>
        <v/>
      </c>
      <c r="CC171" s="409">
        <f>SUM(CC150:CC170)</f>
        <v/>
      </c>
      <c r="CD171" s="409">
        <f>SUM(CD150:CD170)</f>
        <v/>
      </c>
      <c r="CE171" s="409">
        <f>SUM(CE150:CE170)</f>
        <v/>
      </c>
      <c r="CF171" s="409">
        <f>SUM(CF150:CF170)</f>
        <v/>
      </c>
      <c r="CG171" s="409">
        <f>SUM(CG150:CG170)</f>
        <v/>
      </c>
      <c r="CH171" s="409">
        <f>SUM(CH150:CH170)</f>
        <v/>
      </c>
      <c r="CI171" s="409">
        <f>SUM(CI150:CI170)</f>
        <v/>
      </c>
      <c r="CJ171" s="409">
        <f>SUM(CJ150:CJ170)</f>
        <v/>
      </c>
      <c r="CK171" s="409">
        <f>SUM(CK150:CK170)</f>
        <v/>
      </c>
      <c r="CL171" s="409">
        <f>SUM(CL150:CL170)</f>
        <v/>
      </c>
      <c r="CM171" s="409">
        <f>SUM(CM150:CM170)</f>
        <v/>
      </c>
      <c r="CN171" s="409">
        <f>SUM(CN150:CN170)</f>
        <v/>
      </c>
      <c r="CO171" s="409">
        <f>SUM(CO150:CO170)</f>
        <v/>
      </c>
      <c r="CP171" s="409">
        <f>SUM(CP150:CP170)</f>
        <v/>
      </c>
      <c r="CQ171" s="409">
        <f>SUM(CQ150:CQ170)</f>
        <v/>
      </c>
      <c r="CR171" s="409">
        <f>SUM(CR150:CR170)</f>
        <v/>
      </c>
      <c r="CS171" s="409">
        <f>SUM(CS150:CS170)</f>
        <v/>
      </c>
      <c r="CT171" s="409">
        <f>SUM(CT150:CT170)</f>
        <v/>
      </c>
      <c r="CU171" s="409">
        <f>SUM(CU150:CU170)</f>
        <v/>
      </c>
      <c r="CV171" s="409">
        <f>SUM(CV150:CV170)</f>
        <v/>
      </c>
      <c r="CW171" s="409">
        <f>SUM(CW150:CW170)</f>
        <v/>
      </c>
      <c r="CX171" s="409">
        <f>SUM(CX150:CX170)</f>
        <v/>
      </c>
      <c r="CY171" s="409">
        <f>SUM(CY150:CY170)</f>
        <v/>
      </c>
      <c r="CZ171" s="409">
        <f>SUM(CZ150:CZ170)</f>
        <v/>
      </c>
      <c r="DA171" s="409">
        <f>SUM(DA150:DA170)</f>
        <v/>
      </c>
      <c r="DB171" s="409">
        <f>SUM(DB150:DB170)</f>
        <v/>
      </c>
      <c r="DC171" s="409">
        <f>SUM(DC150:DC170)</f>
        <v/>
      </c>
      <c r="DD171" s="409">
        <f>SUM(DD150:DD170)</f>
        <v/>
      </c>
      <c r="DE171" s="409">
        <f>SUM(DE150:DE170)</f>
        <v/>
      </c>
    </row>
    <row r="172" ht="15" customFormat="1" customHeight="1" s="380">
      <c r="A172" s="402" t="inlineStr">
        <is>
          <t>Six Peak Expenses</t>
        </is>
      </c>
      <c r="B172" s="414" t="n"/>
      <c r="C172" s="414" t="n"/>
      <c r="D172" s="414" t="n"/>
      <c r="E172" s="414" t="n"/>
      <c r="F172" s="414" t="n"/>
      <c r="G172" s="414" t="n"/>
      <c r="H172" s="414" t="n"/>
      <c r="I172" s="414" t="n"/>
      <c r="J172" s="414" t="n"/>
      <c r="K172" s="414" t="n"/>
      <c r="L172" s="414" t="n"/>
      <c r="M172" s="414" t="n"/>
      <c r="N172" s="414" t="n"/>
      <c r="O172" s="414" t="n"/>
      <c r="P172" s="414" t="n"/>
      <c r="Q172" s="414" t="n"/>
      <c r="R172" s="414" t="n"/>
      <c r="S172" s="414" t="n"/>
      <c r="T172" s="414" t="n"/>
      <c r="U172" s="414" t="n"/>
      <c r="V172" s="414" t="n"/>
      <c r="W172" s="414" t="n"/>
      <c r="X172" s="414" t="n"/>
      <c r="Y172" s="414" t="n"/>
      <c r="Z172" s="414" t="n"/>
      <c r="AA172" s="414" t="n"/>
      <c r="AB172" s="414" t="n"/>
      <c r="AC172" s="414" t="n"/>
      <c r="AD172" s="414" t="n"/>
      <c r="AE172" s="414" t="n"/>
      <c r="AF172" s="414" t="n"/>
      <c r="AG172" s="414" t="n"/>
      <c r="AH172" s="414" t="n"/>
      <c r="AI172" s="414" t="n"/>
      <c r="AJ172" s="414" t="n"/>
      <c r="AK172" s="414" t="n"/>
      <c r="AL172" s="414" t="n"/>
      <c r="AM172" s="414" t="n"/>
      <c r="AN172" s="414" t="n"/>
      <c r="AO172" s="414" t="n"/>
      <c r="AP172" s="414" t="n"/>
      <c r="AQ172" s="414" t="n"/>
      <c r="AR172" s="414" t="n"/>
      <c r="AS172" s="414" t="n"/>
      <c r="AT172" s="414" t="n"/>
      <c r="AU172" s="414" t="n"/>
      <c r="AV172" s="414" t="n"/>
      <c r="AW172" s="414" t="n"/>
      <c r="AX172" s="414" t="n"/>
      <c r="AY172" s="414" t="n"/>
      <c r="AZ172" s="414" t="n"/>
      <c r="BA172" s="414" t="n"/>
      <c r="BB172" s="414" t="n"/>
      <c r="BC172" s="414" t="n"/>
      <c r="BD172" s="414" t="n"/>
      <c r="BE172" s="414" t="n"/>
      <c r="BF172" s="414" t="n"/>
      <c r="BG172" s="414" t="n"/>
      <c r="BH172" s="414" t="n"/>
      <c r="BI172" s="414" t="n"/>
      <c r="BJ172" s="414" t="n"/>
      <c r="BK172" s="414" t="n"/>
      <c r="BL172" s="414" t="n"/>
      <c r="BM172" s="414" t="n"/>
      <c r="BN172" s="414" t="n"/>
      <c r="BO172" s="414" t="n"/>
      <c r="BP172" s="414" t="n"/>
      <c r="BQ172" s="414" t="n"/>
      <c r="BR172" s="414" t="n"/>
      <c r="BS172" s="414" t="n"/>
      <c r="BT172" s="414" t="n"/>
      <c r="BU172" s="414" t="n"/>
      <c r="BV172" s="414" t="n"/>
      <c r="BW172" s="414" t="n"/>
      <c r="BX172" s="414" t="n"/>
      <c r="BY172" s="414" t="n"/>
      <c r="BZ172" s="414" t="n"/>
      <c r="CA172" s="414" t="n"/>
      <c r="CB172" s="414" t="n"/>
      <c r="CC172" s="414" t="n"/>
      <c r="CD172" s="414" t="n"/>
      <c r="CE172" s="414" t="n"/>
      <c r="CF172" s="414" t="n"/>
      <c r="CG172" s="414" t="n"/>
      <c r="CH172" s="414" t="n"/>
      <c r="CI172" s="414" t="n"/>
      <c r="CJ172" s="414" t="n"/>
      <c r="CK172" s="414" t="n"/>
      <c r="CL172" s="414" t="n"/>
      <c r="CM172" s="414" t="n"/>
      <c r="CN172" s="414" t="n"/>
      <c r="CO172" s="414" t="n"/>
      <c r="CP172" s="414" t="n"/>
      <c r="CQ172" s="414" t="n"/>
      <c r="CR172" s="414" t="n"/>
      <c r="CS172" s="414" t="n"/>
      <c r="CT172" s="414" t="n"/>
      <c r="CU172" s="414" t="n"/>
      <c r="CV172" s="414" t="n"/>
      <c r="CW172" s="414" t="n"/>
      <c r="CX172" s="414" t="n"/>
      <c r="CY172" s="414" t="n"/>
      <c r="CZ172" s="414" t="n"/>
      <c r="DA172" s="414" t="n"/>
      <c r="DB172" s="414" t="n"/>
      <c r="DC172" s="414" t="n"/>
      <c r="DD172" s="414" t="n"/>
      <c r="DE172" s="414" t="n"/>
    </row>
    <row r="173" ht="15" customFormat="1" customHeight="1" s="380">
      <c r="A173" s="415" t="inlineStr">
        <is>
          <t>5000-1000 Payroll</t>
        </is>
      </c>
      <c r="B173" s="401">
        <f>IF(ISBLANK(Actuals!C83),0,Actuals!C83)</f>
        <v/>
      </c>
      <c r="C173" s="401">
        <f>IF(ISBLANK(Actuals!D83),0,Actuals!D83)</f>
        <v/>
      </c>
      <c r="D173" s="401">
        <f>IF(ISBLANK(Actuals!E83),0,Actuals!E83)</f>
        <v/>
      </c>
      <c r="E173" s="401">
        <f>IF(ISBLANK(Actuals!F83),(-(SUMPRODUCT((Personnel!$O$9:$O$100="SP-Payroll")*(Personnel!$G$9:$G$100="Yes")*(1&gt;=Personnel!$E$9:$E$100)*((Personnel!$K$9:$K$100="")+(1&lt;=Personnel!$K$9:$K$100)&gt;0)*Personnel!$D$9:$D$100*(1-Personnel!$I$9:$I$100))))*Escalation!$B$2,Actuals!F83)</f>
        <v/>
      </c>
      <c r="F173" s="401">
        <f>IF(ISBLANK(Actuals!G83),(-(SUMPRODUCT((Personnel!$O$9:$O$100="SP-Payroll")*(Personnel!$G$9:$G$100="Yes")*(2&gt;=Personnel!$E$9:$E$100)*((Personnel!$K$9:$K$100="")+(2&lt;=Personnel!$K$9:$K$100)&gt;0)*Personnel!$D$9:$D$100*(1-Personnel!$I$9:$I$100))))*Escalation!$B$3,Actuals!G83)</f>
        <v/>
      </c>
      <c r="G173" s="401">
        <f>IF(ISBLANK(Actuals!H83),(-(SUMPRODUCT((Personnel!$O$9:$O$100="SP-Payroll")*(Personnel!$G$9:$G$100="Yes")*(3&gt;=Personnel!$E$9:$E$100)*((Personnel!$K$9:$K$100="")+(3&lt;=Personnel!$K$9:$K$100)&gt;0)*Personnel!$D$9:$D$100*(1-Personnel!$I$9:$I$100))))*Escalation!$B$4,Actuals!H83)</f>
        <v/>
      </c>
      <c r="H173" s="401">
        <f>IF(ISBLANK(Actuals!I83),(-(SUMPRODUCT((Personnel!$O$9:$O$100="SP-Payroll")*(Personnel!$G$9:$G$100="Yes")*(4&gt;=Personnel!$E$9:$E$100)*((Personnel!$K$9:$K$100="")+(4&lt;=Personnel!$K$9:$K$100)&gt;0)*Personnel!$D$9:$D$100*(1-Personnel!$I$9:$I$100))))*Escalation!$B$5,Actuals!I83)</f>
        <v/>
      </c>
      <c r="I173" s="401">
        <f>IF(ISBLANK(Actuals!J83),(-(SUMPRODUCT((Personnel!$O$9:$O$100="SP-Payroll")*(Personnel!$G$9:$G$100="Yes")*(5&gt;=Personnel!$E$9:$E$100)*((Personnel!$K$9:$K$100="")+(5&lt;=Personnel!$K$9:$K$100)&gt;0)*Personnel!$D$9:$D$100*(1-Personnel!$I$9:$I$100))))*Escalation!$B$6,Actuals!J83)</f>
        <v/>
      </c>
      <c r="J173" s="401">
        <f>IF(ISBLANK(Actuals!K83),(-(SUMPRODUCT((Personnel!$O$9:$O$100="SP-Payroll")*(Personnel!$G$9:$G$100="Yes")*(6&gt;=Personnel!$E$9:$E$100)*((Personnel!$K$9:$K$100="")+(6&lt;=Personnel!$K$9:$K$100)&gt;0)*Personnel!$D$9:$D$100*(1-Personnel!$I$9:$I$100))))*Escalation!$B$7,Actuals!K83)</f>
        <v/>
      </c>
      <c r="K173" s="401">
        <f>IF(ISBLANK(Actuals!L83),(-(SUMPRODUCT((Personnel!$O$9:$O$100="SP-Payroll")*(Personnel!$G$9:$G$100="Yes")*(7&gt;=Personnel!$E$9:$E$100)*((Personnel!$K$9:$K$100="")+(7&lt;=Personnel!$K$9:$K$100)&gt;0)*Personnel!$D$9:$D$100*(1-Personnel!$I$9:$I$100))))*Escalation!$B$8,Actuals!L83)</f>
        <v/>
      </c>
      <c r="L173" s="401">
        <f>IF(ISBLANK(Actuals!M83),(-(SUMPRODUCT((Personnel!$O$9:$O$100="SP-Payroll")*(Personnel!$G$9:$G$100="Yes")*(8&gt;=Personnel!$E$9:$E$100)*((Personnel!$K$9:$K$100="")+(8&lt;=Personnel!$K$9:$K$100)&gt;0)*Personnel!$D$9:$D$100*(1-Personnel!$I$9:$I$100))))*Escalation!$B$9,Actuals!M83)</f>
        <v/>
      </c>
      <c r="M173" s="401">
        <f>IF(ISBLANK(Actuals!N83),(-(SUMPRODUCT((Personnel!$O$9:$O$100="SP-Payroll")*(Personnel!$G$9:$G$100="Yes")*(9&gt;=Personnel!$E$9:$E$100)*((Personnel!$K$9:$K$100="")+(9&lt;=Personnel!$K$9:$K$100)&gt;0)*Personnel!$D$9:$D$100*(1-Personnel!$I$9:$I$100))))*Escalation!$B$10,Actuals!N83)</f>
        <v/>
      </c>
      <c r="N173" s="401">
        <f>IF(ISBLANK(Actuals!O83),(-(SUMPRODUCT((Personnel!$O$9:$O$100="SP-Payroll")*(Personnel!$G$9:$G$100="Yes")*(10&gt;=Personnel!$E$9:$E$100)*((Personnel!$K$9:$K$100="")+(10&lt;=Personnel!$K$9:$K$100)&gt;0)*Personnel!$D$9:$D$100*(1-Personnel!$I$9:$I$100))))*Escalation!$B$11,Actuals!O83)</f>
        <v/>
      </c>
      <c r="O173" s="401">
        <f>IF(ISBLANK(Actuals!P83),(-(SUMPRODUCT((Personnel!$O$9:$O$100="SP-Payroll")*(Personnel!$G$9:$G$100="Yes")*(11&gt;=Personnel!$E$9:$E$100)*((Personnel!$K$9:$K$100="")+(11&lt;=Personnel!$K$9:$K$100)&gt;0)*Personnel!$D$9:$D$100*(1-Personnel!$I$9:$I$100))))*Escalation!$B$12,Actuals!P83)</f>
        <v/>
      </c>
      <c r="P173" s="401">
        <f>IF(ISBLANK(Actuals!Q83),(-(SUMPRODUCT((Personnel!$O$9:$O$100="SP-Payroll")*(Personnel!$G$9:$G$100="Yes")*(12&gt;=Personnel!$E$9:$E$100)*((Personnel!$K$9:$K$100="")+(12&lt;=Personnel!$K$9:$K$100)&gt;0)*Personnel!$D$9:$D$100*(1-Personnel!$I$9:$I$100))))*Escalation!$B$13,Actuals!Q83)</f>
        <v/>
      </c>
      <c r="Q173" s="401">
        <f>IF(ISBLANK(Actuals!R83),(-(SUMPRODUCT((Personnel!$O$9:$O$100="SP-Payroll")*(Personnel!$G$9:$G$100="Yes")*(13&gt;=Personnel!$E$9:$E$100)*((Personnel!$K$9:$K$100="")+(13&lt;=Personnel!$K$9:$K$100)&gt;0)*Personnel!$D$9:$D$100*(1-Personnel!$I$9:$I$100))))*Escalation!$B$14,Actuals!R83)</f>
        <v/>
      </c>
      <c r="R173" s="401">
        <f>IF(ISBLANK(Actuals!S83),(-(SUMPRODUCT((Personnel!$O$9:$O$100="SP-Payroll")*(Personnel!$G$9:$G$100="Yes")*(14&gt;=Personnel!$E$9:$E$100)*((Personnel!$K$9:$K$100="")+(14&lt;=Personnel!$K$9:$K$100)&gt;0)*Personnel!$D$9:$D$100*(1-Personnel!$I$9:$I$100))))*Escalation!$B$15,Actuals!S83)</f>
        <v/>
      </c>
      <c r="S173" s="401">
        <f>IF(ISBLANK(Actuals!T83),(-(SUMPRODUCT((Personnel!$O$9:$O$100="SP-Payroll")*(Personnel!$G$9:$G$100="Yes")*(15&gt;=Personnel!$E$9:$E$100)*((Personnel!$K$9:$K$100="")+(15&lt;=Personnel!$K$9:$K$100)&gt;0)*Personnel!$D$9:$D$100*(1-Personnel!$I$9:$I$100))))*Escalation!$B$16,Actuals!T83)</f>
        <v/>
      </c>
      <c r="T173" s="401">
        <f>IF(ISBLANK(Actuals!U83),(-(SUMPRODUCT((Personnel!$O$9:$O$100="SP-Payroll")*(Personnel!$G$9:$G$100="Yes")*(16&gt;=Personnel!$E$9:$E$100)*((Personnel!$K$9:$K$100="")+(16&lt;=Personnel!$K$9:$K$100)&gt;0)*Personnel!$D$9:$D$100*(1-Personnel!$I$9:$I$100))))*Escalation!$B$17,Actuals!U83)</f>
        <v/>
      </c>
      <c r="U173" s="401">
        <f>IF(ISBLANK(Actuals!V83),(-(SUMPRODUCT((Personnel!$O$9:$O$100="SP-Payroll")*(Personnel!$G$9:$G$100="Yes")*(17&gt;=Personnel!$E$9:$E$100)*((Personnel!$K$9:$K$100="")+(17&lt;=Personnel!$K$9:$K$100)&gt;0)*Personnel!$D$9:$D$100*(1-Personnel!$I$9:$I$100))))*Escalation!$B$18,Actuals!V83)</f>
        <v/>
      </c>
      <c r="V173" s="401">
        <f>IF(ISBLANK(Actuals!W83),(-(SUMPRODUCT((Personnel!$O$9:$O$100="SP-Payroll")*(Personnel!$G$9:$G$100="Yes")*(18&gt;=Personnel!$E$9:$E$100)*((Personnel!$K$9:$K$100="")+(18&lt;=Personnel!$K$9:$K$100)&gt;0)*Personnel!$D$9:$D$100*(1-Personnel!$I$9:$I$100))))*Escalation!$B$19,Actuals!W83)</f>
        <v/>
      </c>
      <c r="W173" s="401">
        <f>IF(ISBLANK(Actuals!X83),(-(SUMPRODUCT((Personnel!$O$9:$O$100="SP-Payroll")*(Personnel!$G$9:$G$100="Yes")*(19&gt;=Personnel!$E$9:$E$100)*((Personnel!$K$9:$K$100="")+(19&lt;=Personnel!$K$9:$K$100)&gt;0)*Personnel!$D$9:$D$100*(1-Personnel!$I$9:$I$100))))*Escalation!$B$20,Actuals!X83)</f>
        <v/>
      </c>
      <c r="X173" s="401">
        <f>IF(ISBLANK(Actuals!Y83),(-(SUMPRODUCT((Personnel!$O$9:$O$100="SP-Payroll")*(Personnel!$G$9:$G$100="Yes")*(20&gt;=Personnel!$E$9:$E$100)*((Personnel!$K$9:$K$100="")+(20&lt;=Personnel!$K$9:$K$100)&gt;0)*Personnel!$D$9:$D$100*(1-Personnel!$I$9:$I$100))))*Escalation!$B$21,Actuals!Y83)</f>
        <v/>
      </c>
      <c r="Y173" s="401">
        <f>IF(ISBLANK(Actuals!Z83),(-(SUMPRODUCT((Personnel!$O$9:$O$100="SP-Payroll")*(Personnel!$G$9:$G$100="Yes")*(21&gt;=Personnel!$E$9:$E$100)*((Personnel!$K$9:$K$100="")+(21&lt;=Personnel!$K$9:$K$100)&gt;0)*Personnel!$D$9:$D$100*(1-Personnel!$I$9:$I$100))))*Escalation!$B$22,Actuals!Z83)</f>
        <v/>
      </c>
      <c r="Z173" s="401">
        <f>IF(ISBLANK(Actuals!AA83),(-(SUMPRODUCT((Personnel!$O$9:$O$100="SP-Payroll")*(Personnel!$G$9:$G$100="Yes")*(22&gt;=Personnel!$E$9:$E$100)*((Personnel!$K$9:$K$100="")+(22&lt;=Personnel!$K$9:$K$100)&gt;0)*Personnel!$D$9:$D$100*(1-Personnel!$I$9:$I$100))))*Escalation!$B$23,Actuals!AA83)</f>
        <v/>
      </c>
      <c r="AA173" s="401">
        <f>IF(ISBLANK(Actuals!AB83),(-(SUMPRODUCT((Personnel!$O$9:$O$100="SP-Payroll")*(Personnel!$G$9:$G$100="Yes")*(23&gt;=Personnel!$E$9:$E$100)*((Personnel!$K$9:$K$100="")+(23&lt;=Personnel!$K$9:$K$100)&gt;0)*Personnel!$D$9:$D$100*(1-Personnel!$I$9:$I$100))))*Escalation!$B$24,Actuals!AB83)</f>
        <v/>
      </c>
      <c r="AB173" s="401">
        <f>IF(ISBLANK(Actuals!AC83),(-(SUMPRODUCT((Personnel!$O$9:$O$100="SP-Payroll")*(Personnel!$G$9:$G$100="Yes")*(24&gt;=Personnel!$E$9:$E$100)*((Personnel!$K$9:$K$100="")+(24&lt;=Personnel!$K$9:$K$100)&gt;0)*Personnel!$D$9:$D$100*(1-Personnel!$I$9:$I$100))))*Escalation!$B$25,Actuals!AC83)</f>
        <v/>
      </c>
      <c r="AC173" s="401">
        <f>IF(ISBLANK(Actuals!AD83),(-(SUMPRODUCT((Personnel!$O$9:$O$100="SP-Payroll")*(Personnel!$G$9:$G$100="Yes")*(25&gt;=Personnel!$E$9:$E$100)*((Personnel!$K$9:$K$100="")+(25&lt;=Personnel!$K$9:$K$100)&gt;0)*Personnel!$D$9:$D$100*(1-Personnel!$I$9:$I$100))))*Escalation!$B$26,Actuals!AD83)</f>
        <v/>
      </c>
      <c r="AD173" s="401">
        <f>IF(ISBLANK(Actuals!AE83),(-(SUMPRODUCT((Personnel!$O$9:$O$100="SP-Payroll")*(Personnel!$G$9:$G$100="Yes")*(26&gt;=Personnel!$E$9:$E$100)*((Personnel!$K$9:$K$100="")+(26&lt;=Personnel!$K$9:$K$100)&gt;0)*Personnel!$D$9:$D$100*(1-Personnel!$I$9:$I$100))))*Escalation!$B$27,Actuals!AE83)</f>
        <v/>
      </c>
      <c r="AE173" s="401">
        <f>IF(ISBLANK(Actuals!AF83),(-(SUMPRODUCT((Personnel!$O$9:$O$100="SP-Payroll")*(Personnel!$G$9:$G$100="Yes")*(27&gt;=Personnel!$E$9:$E$100)*((Personnel!$K$9:$K$100="")+(27&lt;=Personnel!$K$9:$K$100)&gt;0)*Personnel!$D$9:$D$100*(1-Personnel!$I$9:$I$100))))*Escalation!$B$28,Actuals!AF83)</f>
        <v/>
      </c>
      <c r="AF173" s="401">
        <f>IF(ISBLANK(Actuals!AG83),(-(SUMPRODUCT((Personnel!$O$9:$O$100="SP-Payroll")*(Personnel!$G$9:$G$100="Yes")*(28&gt;=Personnel!$E$9:$E$100)*((Personnel!$K$9:$K$100="")+(28&lt;=Personnel!$K$9:$K$100)&gt;0)*Personnel!$D$9:$D$100*(1-Personnel!$I$9:$I$100))))*Escalation!$B$29,Actuals!AG83)</f>
        <v/>
      </c>
      <c r="AG173" s="401">
        <f>IF(ISBLANK(Actuals!AH83),(-(SUMPRODUCT((Personnel!$O$9:$O$100="SP-Payroll")*(Personnel!$G$9:$G$100="Yes")*(29&gt;=Personnel!$E$9:$E$100)*((Personnel!$K$9:$K$100="")+(29&lt;=Personnel!$K$9:$K$100)&gt;0)*Personnel!$D$9:$D$100*(1-Personnel!$I$9:$I$100))))*Escalation!$B$30,Actuals!AH83)</f>
        <v/>
      </c>
      <c r="AH173" s="401">
        <f>IF(ISBLANK(Actuals!AI83),(-(SUMPRODUCT((Personnel!$O$9:$O$100="SP-Payroll")*(Personnel!$G$9:$G$100="Yes")*(30&gt;=Personnel!$E$9:$E$100)*((Personnel!$K$9:$K$100="")+(30&lt;=Personnel!$K$9:$K$100)&gt;0)*Personnel!$D$9:$D$100*(1-Personnel!$I$9:$I$100))))*Escalation!$B$31,Actuals!AI83)</f>
        <v/>
      </c>
      <c r="AI173" s="401">
        <f>IF(ISBLANK(Actuals!AJ83),(-(SUMPRODUCT((Personnel!$O$9:$O$100="SP-Payroll")*(Personnel!$G$9:$G$100="Yes")*(31&gt;=Personnel!$E$9:$E$100)*((Personnel!$K$9:$K$100="")+(31&lt;=Personnel!$K$9:$K$100)&gt;0)*Personnel!$D$9:$D$100*(1-Personnel!$I$9:$I$100))))*Escalation!$B$32,Actuals!AJ83)</f>
        <v/>
      </c>
      <c r="AJ173" s="401">
        <f>IF(ISBLANK(Actuals!AK83),(-(SUMPRODUCT((Personnel!$O$9:$O$100="SP-Payroll")*(Personnel!$G$9:$G$100="Yes")*(32&gt;=Personnel!$E$9:$E$100)*((Personnel!$K$9:$K$100="")+(32&lt;=Personnel!$K$9:$K$100)&gt;0)*Personnel!$D$9:$D$100*(1-Personnel!$I$9:$I$100))))*Escalation!$B$33,Actuals!AK83)</f>
        <v/>
      </c>
      <c r="AK173" s="401">
        <f>IF(ISBLANK(Actuals!AL83),(-(SUMPRODUCT((Personnel!$O$9:$O$100="SP-Payroll")*(Personnel!$G$9:$G$100="Yes")*(33&gt;=Personnel!$E$9:$E$100)*((Personnel!$K$9:$K$100="")+(33&lt;=Personnel!$K$9:$K$100)&gt;0)*Personnel!$D$9:$D$100*(1-Personnel!$I$9:$I$100))))*Escalation!$B$34,Actuals!AL83)</f>
        <v/>
      </c>
      <c r="AL173" s="401">
        <f>IF(ISBLANK(Actuals!AM83),(-(SUMPRODUCT((Personnel!$O$9:$O$100="SP-Payroll")*(Personnel!$G$9:$G$100="Yes")*(34&gt;=Personnel!$E$9:$E$100)*((Personnel!$K$9:$K$100="")+(34&lt;=Personnel!$K$9:$K$100)&gt;0)*Personnel!$D$9:$D$100*(1-Personnel!$I$9:$I$100))))*Escalation!$B$35,Actuals!AM83)</f>
        <v/>
      </c>
      <c r="AM173" s="401">
        <f>IF(ISBLANK(Actuals!AN83),(-(SUMPRODUCT((Personnel!$O$9:$O$100="SP-Payroll")*(Personnel!$G$9:$G$100="Yes")*(35&gt;=Personnel!$E$9:$E$100)*((Personnel!$K$9:$K$100="")+(35&lt;=Personnel!$K$9:$K$100)&gt;0)*Personnel!$D$9:$D$100*(1-Personnel!$I$9:$I$100))))*Escalation!$B$36,Actuals!AN83)</f>
        <v/>
      </c>
      <c r="AN173" s="401">
        <f>IF(ISBLANK(Actuals!AO83),(-(SUMPRODUCT((Personnel!$O$9:$O$100="SP-Payroll")*(Personnel!$G$9:$G$100="Yes")*(36&gt;=Personnel!$E$9:$E$100)*((Personnel!$K$9:$K$100="")+(36&lt;=Personnel!$K$9:$K$100)&gt;0)*Personnel!$D$9:$D$100*(1-Personnel!$I$9:$I$100))))*Escalation!$B$37,Actuals!AO83)</f>
        <v/>
      </c>
      <c r="AO173" s="401">
        <f>IF(ISBLANK(Actuals!AP83),(-(SUMPRODUCT((Personnel!$O$9:$O$100="SP-Payroll")*(Personnel!$G$9:$G$100="Yes")*(37&gt;=Personnel!$E$9:$E$100)*((Personnel!$K$9:$K$100="")+(37&lt;=Personnel!$K$9:$K$100)&gt;0)*Personnel!$D$9:$D$100*(1-Personnel!$I$9:$I$100))))*Escalation!$B$38,Actuals!AP83)</f>
        <v/>
      </c>
      <c r="AP173" s="401">
        <f>IF(ISBLANK(Actuals!AQ83),(-(SUMPRODUCT((Personnel!$O$9:$O$100="SP-Payroll")*(Personnel!$G$9:$G$100="Yes")*(38&gt;=Personnel!$E$9:$E$100)*((Personnel!$K$9:$K$100="")+(38&lt;=Personnel!$K$9:$K$100)&gt;0)*Personnel!$D$9:$D$100*(1-Personnel!$I$9:$I$100))))*Escalation!$B$39,Actuals!AQ83)</f>
        <v/>
      </c>
      <c r="AQ173" s="401">
        <f>IF(ISBLANK(Actuals!AR83),(-(SUMPRODUCT((Personnel!$O$9:$O$100="SP-Payroll")*(Personnel!$G$9:$G$100="Yes")*(39&gt;=Personnel!$E$9:$E$100)*((Personnel!$K$9:$K$100="")+(39&lt;=Personnel!$K$9:$K$100)&gt;0)*Personnel!$D$9:$D$100*(1-Personnel!$I$9:$I$100))))*Escalation!$B$40,Actuals!AR83)</f>
        <v/>
      </c>
      <c r="AR173" s="401">
        <f>IF(ISBLANK(Actuals!AS83),(-(SUMPRODUCT((Personnel!$O$9:$O$100="SP-Payroll")*(Personnel!$G$9:$G$100="Yes")*(40&gt;=Personnel!$E$9:$E$100)*((Personnel!$K$9:$K$100="")+(40&lt;=Personnel!$K$9:$K$100)&gt;0)*Personnel!$D$9:$D$100*(1-Personnel!$I$9:$I$100))))*Escalation!$B$41,Actuals!AS83)</f>
        <v/>
      </c>
      <c r="AS173" s="401">
        <f>IF(ISBLANK(Actuals!AT83),(-(SUMPRODUCT((Personnel!$O$9:$O$100="SP-Payroll")*(Personnel!$G$9:$G$100="Yes")*(41&gt;=Personnel!$E$9:$E$100)*((Personnel!$K$9:$K$100="")+(41&lt;=Personnel!$K$9:$K$100)&gt;0)*Personnel!$D$9:$D$100*(1-Personnel!$I$9:$I$100))))*Escalation!$B$42,Actuals!AT83)</f>
        <v/>
      </c>
      <c r="AT173" s="401">
        <f>IF(ISBLANK(Actuals!AU83),(-(SUMPRODUCT((Personnel!$O$9:$O$100="SP-Payroll")*(Personnel!$G$9:$G$100="Yes")*(42&gt;=Personnel!$E$9:$E$100)*((Personnel!$K$9:$K$100="")+(42&lt;=Personnel!$K$9:$K$100)&gt;0)*Personnel!$D$9:$D$100*(1-Personnel!$I$9:$I$100))))*Escalation!$B$43,Actuals!AU83)</f>
        <v/>
      </c>
      <c r="AU173" s="401">
        <f>IF(ISBLANK(Actuals!AV83),(-(SUMPRODUCT((Personnel!$O$9:$O$100="SP-Payroll")*(Personnel!$G$9:$G$100="Yes")*(43&gt;=Personnel!$E$9:$E$100)*((Personnel!$K$9:$K$100="")+(43&lt;=Personnel!$K$9:$K$100)&gt;0)*Personnel!$D$9:$D$100*(1-Personnel!$I$9:$I$100))))*Escalation!$B$44,Actuals!AV83)</f>
        <v/>
      </c>
      <c r="AV173" s="401">
        <f>IF(ISBLANK(Actuals!AW83),(-(SUMPRODUCT((Personnel!$O$9:$O$100="SP-Payroll")*(Personnel!$G$9:$G$100="Yes")*(44&gt;=Personnel!$E$9:$E$100)*((Personnel!$K$9:$K$100="")+(44&lt;=Personnel!$K$9:$K$100)&gt;0)*Personnel!$D$9:$D$100*(1-Personnel!$I$9:$I$100))))*Escalation!$B$45,Actuals!AW83)</f>
        <v/>
      </c>
      <c r="AW173" s="401">
        <f>IF(ISBLANK(Actuals!AX83),(-(SUMPRODUCT((Personnel!$O$9:$O$100="SP-Payroll")*(Personnel!$G$9:$G$100="Yes")*(45&gt;=Personnel!$E$9:$E$100)*((Personnel!$K$9:$K$100="")+(45&lt;=Personnel!$K$9:$K$100)&gt;0)*Personnel!$D$9:$D$100*(1-Personnel!$I$9:$I$100))))*Escalation!$B$46,Actuals!AX83)</f>
        <v/>
      </c>
      <c r="AX173" s="401">
        <f>IF(ISBLANK(Actuals!AY83),(-(SUMPRODUCT((Personnel!$O$9:$O$100="SP-Payroll")*(Personnel!$G$9:$G$100="Yes")*(46&gt;=Personnel!$E$9:$E$100)*((Personnel!$K$9:$K$100="")+(46&lt;=Personnel!$K$9:$K$100)&gt;0)*Personnel!$D$9:$D$100*(1-Personnel!$I$9:$I$100))))*Escalation!$B$47,Actuals!AY83)</f>
        <v/>
      </c>
      <c r="AY173" s="401">
        <f>IF(ISBLANK(Actuals!AZ83),(-(SUMPRODUCT((Personnel!$O$9:$O$100="SP-Payroll")*(Personnel!$G$9:$G$100="Yes")*(47&gt;=Personnel!$E$9:$E$100)*((Personnel!$K$9:$K$100="")+(47&lt;=Personnel!$K$9:$K$100)&gt;0)*Personnel!$D$9:$D$100*(1-Personnel!$I$9:$I$100))))*Escalation!$B$48,Actuals!AZ83)</f>
        <v/>
      </c>
      <c r="AZ173" s="401">
        <f>IF(ISBLANK(Actuals!BA83),(-(SUMPRODUCT((Personnel!$O$9:$O$100="SP-Payroll")*(Personnel!$G$9:$G$100="Yes")*(48&gt;=Personnel!$E$9:$E$100)*((Personnel!$K$9:$K$100="")+(48&lt;=Personnel!$K$9:$K$100)&gt;0)*Personnel!$D$9:$D$100*(1-Personnel!$I$9:$I$100))))*Escalation!$B$49,Actuals!BA83)</f>
        <v/>
      </c>
      <c r="BA173" s="401">
        <f>IF(ISBLANK(Actuals!BB83),(-(SUMPRODUCT((Personnel!$O$9:$O$100="SP-Payroll")*(Personnel!$G$9:$G$100="Yes")*(49&gt;=Personnel!$E$9:$E$100)*((Personnel!$K$9:$K$100="")+(49&lt;=Personnel!$K$9:$K$100)&gt;0)*Personnel!$D$9:$D$100*(1-Personnel!$I$9:$I$100))))*Escalation!$B$50,Actuals!BB83)</f>
        <v/>
      </c>
      <c r="BB173" s="401">
        <f>IF(ISBLANK(Actuals!BC83),(-(SUMPRODUCT((Personnel!$O$9:$O$100="SP-Payroll")*(Personnel!$G$9:$G$100="Yes")*(50&gt;=Personnel!$E$9:$E$100)*((Personnel!$K$9:$K$100="")+(50&lt;=Personnel!$K$9:$K$100)&gt;0)*Personnel!$D$9:$D$100*(1-Personnel!$I$9:$I$100))))*Escalation!$B$51,Actuals!BC83)</f>
        <v/>
      </c>
      <c r="BC173" s="401">
        <f>IF(ISBLANK(Actuals!BD83),(-(SUMPRODUCT((Personnel!$O$9:$O$100="SP-Payroll")*(Personnel!$G$9:$G$100="Yes")*(51&gt;=Personnel!$E$9:$E$100)*((Personnel!$K$9:$K$100="")+(51&lt;=Personnel!$K$9:$K$100)&gt;0)*Personnel!$D$9:$D$100*(1-Personnel!$I$9:$I$100))))*Escalation!$B$52,Actuals!BD83)</f>
        <v/>
      </c>
      <c r="BD173" s="401">
        <f>IF(ISBLANK(Actuals!BE83),(-(SUMPRODUCT((Personnel!$O$9:$O$100="SP-Payroll")*(Personnel!$G$9:$G$100="Yes")*(52&gt;=Personnel!$E$9:$E$100)*((Personnel!$K$9:$K$100="")+(52&lt;=Personnel!$K$9:$K$100)&gt;0)*Personnel!$D$9:$D$100*(1-Personnel!$I$9:$I$100))))*Escalation!$B$53,Actuals!BE83)</f>
        <v/>
      </c>
      <c r="BE173" s="401">
        <f>IF(ISBLANK(Actuals!BF83),(-(SUMPRODUCT((Personnel!$O$9:$O$100="SP-Payroll")*(Personnel!$G$9:$G$100="Yes")*(53&gt;=Personnel!$E$9:$E$100)*((Personnel!$K$9:$K$100="")+(53&lt;=Personnel!$K$9:$K$100)&gt;0)*Personnel!$D$9:$D$100*(1-Personnel!$I$9:$I$100))))*Escalation!$B$54,Actuals!BF83)</f>
        <v/>
      </c>
      <c r="BF173" s="401">
        <f>IF(ISBLANK(Actuals!BG83),(-(SUMPRODUCT((Personnel!$O$9:$O$100="SP-Payroll")*(Personnel!$G$9:$G$100="Yes")*(54&gt;=Personnel!$E$9:$E$100)*((Personnel!$K$9:$K$100="")+(54&lt;=Personnel!$K$9:$K$100)&gt;0)*Personnel!$D$9:$D$100*(1-Personnel!$I$9:$I$100))))*Escalation!$B$55,Actuals!BG83)</f>
        <v/>
      </c>
      <c r="BG173" s="401">
        <f>IF(ISBLANK(Actuals!BH83),(-(SUMPRODUCT((Personnel!$O$9:$O$100="SP-Payroll")*(Personnel!$G$9:$G$100="Yes")*(55&gt;=Personnel!$E$9:$E$100)*((Personnel!$K$9:$K$100="")+(55&lt;=Personnel!$K$9:$K$100)&gt;0)*Personnel!$D$9:$D$100*(1-Personnel!$I$9:$I$100))))*Escalation!$B$56,Actuals!BH83)</f>
        <v/>
      </c>
      <c r="BH173" s="401">
        <f>IF(ISBLANK(Actuals!BI83),(-(SUMPRODUCT((Personnel!$O$9:$O$100="SP-Payroll")*(Personnel!$G$9:$G$100="Yes")*(56&gt;=Personnel!$E$9:$E$100)*((Personnel!$K$9:$K$100="")+(56&lt;=Personnel!$K$9:$K$100)&gt;0)*Personnel!$D$9:$D$100*(1-Personnel!$I$9:$I$100))))*Escalation!$B$57,Actuals!BI83)</f>
        <v/>
      </c>
      <c r="BI173" s="401">
        <f>IF(ISBLANK(Actuals!BJ83),(-(SUMPRODUCT((Personnel!$O$9:$O$100="SP-Payroll")*(Personnel!$G$9:$G$100="Yes")*(57&gt;=Personnel!$E$9:$E$100)*((Personnel!$K$9:$K$100="")+(57&lt;=Personnel!$K$9:$K$100)&gt;0)*Personnel!$D$9:$D$100*(1-Personnel!$I$9:$I$100))))*Escalation!$B$58,Actuals!BJ83)</f>
        <v/>
      </c>
      <c r="BJ173" s="401">
        <f>IF(ISBLANK(Actuals!BK83),(-(SUMPRODUCT((Personnel!$O$9:$O$100="SP-Payroll")*(Personnel!$G$9:$G$100="Yes")*(58&gt;=Personnel!$E$9:$E$100)*((Personnel!$K$9:$K$100="")+(58&lt;=Personnel!$K$9:$K$100)&gt;0)*Personnel!$D$9:$D$100*(1-Personnel!$I$9:$I$100))))*Escalation!$B$59,Actuals!BK83)</f>
        <v/>
      </c>
      <c r="BK173" s="401">
        <f>IF(ISBLANK(Actuals!BL83),(-(SUMPRODUCT((Personnel!$O$9:$O$100="SP-Payroll")*(Personnel!$G$9:$G$100="Yes")*(59&gt;=Personnel!$E$9:$E$100)*((Personnel!$K$9:$K$100="")+(59&lt;=Personnel!$K$9:$K$100)&gt;0)*Personnel!$D$9:$D$100*(1-Personnel!$I$9:$I$100))))*Escalation!$B$60,Actuals!BL83)</f>
        <v/>
      </c>
      <c r="BL173" s="401">
        <f>IF(ISBLANK(Actuals!BM83),(-(SUMPRODUCT((Personnel!$O$9:$O$100="SP-Payroll")*(Personnel!$G$9:$G$100="Yes")*(60&gt;=Personnel!$E$9:$E$100)*((Personnel!$K$9:$K$100="")+(60&lt;=Personnel!$K$9:$K$100)&gt;0)*Personnel!$D$9:$D$100*(1-Personnel!$I$9:$I$100))))*Escalation!$B$61,Actuals!BM83)</f>
        <v/>
      </c>
      <c r="BM173" s="401">
        <f>IF(ISBLANK(Actuals!BN83),(-(SUMPRODUCT((Personnel!$O$9:$O$100="SP-Payroll")*(Personnel!$G$9:$G$100="Yes")*(61&gt;=Personnel!$E$9:$E$100)*((Personnel!$K$9:$K$100="")+(61&lt;=Personnel!$K$9:$K$100)&gt;0)*Personnel!$D$9:$D$100*(1-Personnel!$I$9:$I$100))))*Escalation!$B$62,Actuals!BN83)</f>
        <v/>
      </c>
      <c r="BN173" s="401">
        <f>IF(ISBLANK(Actuals!BO83),(-(SUMPRODUCT((Personnel!$O$9:$O$100="SP-Payroll")*(Personnel!$G$9:$G$100="Yes")*(62&gt;=Personnel!$E$9:$E$100)*((Personnel!$K$9:$K$100="")+(62&lt;=Personnel!$K$9:$K$100)&gt;0)*Personnel!$D$9:$D$100*(1-Personnel!$I$9:$I$100))))*Escalation!$B$63,Actuals!BO83)</f>
        <v/>
      </c>
      <c r="BO173" s="401">
        <f>IF(ISBLANK(Actuals!BP83),(-(SUMPRODUCT((Personnel!$O$9:$O$100="SP-Payroll")*(Personnel!$G$9:$G$100="Yes")*(63&gt;=Personnel!$E$9:$E$100)*((Personnel!$K$9:$K$100="")+(63&lt;=Personnel!$K$9:$K$100)&gt;0)*Personnel!$D$9:$D$100*(1-Personnel!$I$9:$I$100))))*Escalation!$B$64,Actuals!BP83)</f>
        <v/>
      </c>
      <c r="BP173" s="401">
        <f>IF(ISBLANK(Actuals!BQ83),(-(SUMPRODUCT((Personnel!$O$9:$O$100="SP-Payroll")*(Personnel!$G$9:$G$100="Yes")*(64&gt;=Personnel!$E$9:$E$100)*((Personnel!$K$9:$K$100="")+(64&lt;=Personnel!$K$9:$K$100)&gt;0)*Personnel!$D$9:$D$100*(1-Personnel!$I$9:$I$100))))*Escalation!$B$65,Actuals!BQ83)</f>
        <v/>
      </c>
      <c r="BQ173" s="401">
        <f>IF(ISBLANK(Actuals!BR83),(-(SUMPRODUCT((Personnel!$O$9:$O$100="SP-Payroll")*(Personnel!$G$9:$G$100="Yes")*(65&gt;=Personnel!$E$9:$E$100)*((Personnel!$K$9:$K$100="")+(65&lt;=Personnel!$K$9:$K$100)&gt;0)*Personnel!$D$9:$D$100*(1-Personnel!$I$9:$I$100))))*Escalation!$B$66,Actuals!BR83)</f>
        <v/>
      </c>
      <c r="BR173" s="401">
        <f>IF(ISBLANK(Actuals!BS83),(-(SUMPRODUCT((Personnel!$O$9:$O$100="SP-Payroll")*(Personnel!$G$9:$G$100="Yes")*(66&gt;=Personnel!$E$9:$E$100)*((Personnel!$K$9:$K$100="")+(66&lt;=Personnel!$K$9:$K$100)&gt;0)*Personnel!$D$9:$D$100*(1-Personnel!$I$9:$I$100))))*Escalation!$B$67,Actuals!BS83)</f>
        <v/>
      </c>
      <c r="BS173" s="401">
        <f>IF(ISBLANK(Actuals!BT83),(-(SUMPRODUCT((Personnel!$O$9:$O$100="SP-Payroll")*(Personnel!$G$9:$G$100="Yes")*(67&gt;=Personnel!$E$9:$E$100)*((Personnel!$K$9:$K$100="")+(67&lt;=Personnel!$K$9:$K$100)&gt;0)*Personnel!$D$9:$D$100*(1-Personnel!$I$9:$I$100))))*Escalation!$B$68,Actuals!BT83)</f>
        <v/>
      </c>
      <c r="BT173" s="401">
        <f>IF(ISBLANK(Actuals!BU83),(-(SUMPRODUCT((Personnel!$O$9:$O$100="SP-Payroll")*(Personnel!$G$9:$G$100="Yes")*(68&gt;=Personnel!$E$9:$E$100)*((Personnel!$K$9:$K$100="")+(68&lt;=Personnel!$K$9:$K$100)&gt;0)*Personnel!$D$9:$D$100*(1-Personnel!$I$9:$I$100))))*Escalation!$B$69,Actuals!BU83)</f>
        <v/>
      </c>
      <c r="BU173" s="401">
        <f>IF(ISBLANK(Actuals!BV83),(-(SUMPRODUCT((Personnel!$O$9:$O$100="SP-Payroll")*(Personnel!$G$9:$G$100="Yes")*(69&gt;=Personnel!$E$9:$E$100)*((Personnel!$K$9:$K$100="")+(69&lt;=Personnel!$K$9:$K$100)&gt;0)*Personnel!$D$9:$D$100*(1-Personnel!$I$9:$I$100))))*Escalation!$B$70,Actuals!BV83)</f>
        <v/>
      </c>
      <c r="BV173" s="401">
        <f>IF(ISBLANK(Actuals!BW83),(-(SUMPRODUCT((Personnel!$O$9:$O$100="SP-Payroll")*(Personnel!$G$9:$G$100="Yes")*(70&gt;=Personnel!$E$9:$E$100)*((Personnel!$K$9:$K$100="")+(70&lt;=Personnel!$K$9:$K$100)&gt;0)*Personnel!$D$9:$D$100*(1-Personnel!$I$9:$I$100))))*Escalation!$B$71,Actuals!BW83)</f>
        <v/>
      </c>
      <c r="BW173" s="401">
        <f>IF(ISBLANK(Actuals!BX83),(-(SUMPRODUCT((Personnel!$O$9:$O$100="SP-Payroll")*(Personnel!$G$9:$G$100="Yes")*(71&gt;=Personnel!$E$9:$E$100)*((Personnel!$K$9:$K$100="")+(71&lt;=Personnel!$K$9:$K$100)&gt;0)*Personnel!$D$9:$D$100*(1-Personnel!$I$9:$I$100))))*Escalation!$B$72,Actuals!BX83)</f>
        <v/>
      </c>
      <c r="BX173" s="401">
        <f>IF(ISBLANK(Actuals!BY83),(-(SUMPRODUCT((Personnel!$O$9:$O$100="SP-Payroll")*(Personnel!$G$9:$G$100="Yes")*(72&gt;=Personnel!$E$9:$E$100)*((Personnel!$K$9:$K$100="")+(72&lt;=Personnel!$K$9:$K$100)&gt;0)*Personnel!$D$9:$D$100*(1-Personnel!$I$9:$I$100))))*Escalation!$B$73,Actuals!BY83)</f>
        <v/>
      </c>
      <c r="BY173" s="401">
        <f>IF(ISBLANK(Actuals!BZ83),(-(SUMPRODUCT((Personnel!$O$9:$O$100="SP-Payroll")*(Personnel!$G$9:$G$100="Yes")*(73&gt;=Personnel!$E$9:$E$100)*((Personnel!$K$9:$K$100="")+(73&lt;=Personnel!$K$9:$K$100)&gt;0)*Personnel!$D$9:$D$100*(1-Personnel!$I$9:$I$100))))*Escalation!$B$74,Actuals!BZ83)</f>
        <v/>
      </c>
      <c r="BZ173" s="401">
        <f>IF(ISBLANK(Actuals!CA83),(-(SUMPRODUCT((Personnel!$O$9:$O$100="SP-Payroll")*(Personnel!$G$9:$G$100="Yes")*(74&gt;=Personnel!$E$9:$E$100)*((Personnel!$K$9:$K$100="")+(74&lt;=Personnel!$K$9:$K$100)&gt;0)*Personnel!$D$9:$D$100*(1-Personnel!$I$9:$I$100))))*Escalation!$B$75,Actuals!CA83)</f>
        <v/>
      </c>
      <c r="CA173" s="401">
        <f>IF(ISBLANK(Actuals!CB83),(-(SUMPRODUCT((Personnel!$O$9:$O$100="SP-Payroll")*(Personnel!$G$9:$G$100="Yes")*(75&gt;=Personnel!$E$9:$E$100)*((Personnel!$K$9:$K$100="")+(75&lt;=Personnel!$K$9:$K$100)&gt;0)*Personnel!$D$9:$D$100*(1-Personnel!$I$9:$I$100))))*Escalation!$B$76,Actuals!CB83)</f>
        <v/>
      </c>
      <c r="CB173" s="401">
        <f>IF(ISBLANK(Actuals!CC83),(-(SUMPRODUCT((Personnel!$O$9:$O$100="SP-Payroll")*(Personnel!$G$9:$G$100="Yes")*(76&gt;=Personnel!$E$9:$E$100)*((Personnel!$K$9:$K$100="")+(76&lt;=Personnel!$K$9:$K$100)&gt;0)*Personnel!$D$9:$D$100*(1-Personnel!$I$9:$I$100))))*Escalation!$B$77,Actuals!CC83)</f>
        <v/>
      </c>
      <c r="CC173" s="401">
        <f>IF(ISBLANK(Actuals!CD83),(-(SUMPRODUCT((Personnel!$O$9:$O$100="SP-Payroll")*(Personnel!$G$9:$G$100="Yes")*(77&gt;=Personnel!$E$9:$E$100)*((Personnel!$K$9:$K$100="")+(77&lt;=Personnel!$K$9:$K$100)&gt;0)*Personnel!$D$9:$D$100*(1-Personnel!$I$9:$I$100))))*Escalation!$B$78,Actuals!CD83)</f>
        <v/>
      </c>
      <c r="CD173" s="401">
        <f>IF(ISBLANK(Actuals!CE83),(-(SUMPRODUCT((Personnel!$O$9:$O$100="SP-Payroll")*(Personnel!$G$9:$G$100="Yes")*(78&gt;=Personnel!$E$9:$E$100)*((Personnel!$K$9:$K$100="")+(78&lt;=Personnel!$K$9:$K$100)&gt;0)*Personnel!$D$9:$D$100*(1-Personnel!$I$9:$I$100))))*Escalation!$B$79,Actuals!CE83)</f>
        <v/>
      </c>
      <c r="CE173" s="401">
        <f>IF(ISBLANK(Actuals!CF83),(-(SUMPRODUCT((Personnel!$O$9:$O$100="SP-Payroll")*(Personnel!$G$9:$G$100="Yes")*(79&gt;=Personnel!$E$9:$E$100)*((Personnel!$K$9:$K$100="")+(79&lt;=Personnel!$K$9:$K$100)&gt;0)*Personnel!$D$9:$D$100*(1-Personnel!$I$9:$I$100))))*Escalation!$B$80,Actuals!CF83)</f>
        <v/>
      </c>
      <c r="CF173" s="401">
        <f>IF(ISBLANK(Actuals!CG83),(-(SUMPRODUCT((Personnel!$O$9:$O$100="SP-Payroll")*(Personnel!$G$9:$G$100="Yes")*(80&gt;=Personnel!$E$9:$E$100)*((Personnel!$K$9:$K$100="")+(80&lt;=Personnel!$K$9:$K$100)&gt;0)*Personnel!$D$9:$D$100*(1-Personnel!$I$9:$I$100))))*Escalation!$B$81,Actuals!CG83)</f>
        <v/>
      </c>
      <c r="CG173" s="401">
        <f>IF(ISBLANK(Actuals!CH83),(-(SUMPRODUCT((Personnel!$O$9:$O$100="SP-Payroll")*(Personnel!$G$9:$G$100="Yes")*(81&gt;=Personnel!$E$9:$E$100)*((Personnel!$K$9:$K$100="")+(81&lt;=Personnel!$K$9:$K$100)&gt;0)*Personnel!$D$9:$D$100*(1-Personnel!$I$9:$I$100))))*Escalation!$B$82,Actuals!CH83)</f>
        <v/>
      </c>
      <c r="CH173" s="401">
        <f>IF(ISBLANK(Actuals!CI83),(-(SUMPRODUCT((Personnel!$O$9:$O$100="SP-Payroll")*(Personnel!$G$9:$G$100="Yes")*(82&gt;=Personnel!$E$9:$E$100)*((Personnel!$K$9:$K$100="")+(82&lt;=Personnel!$K$9:$K$100)&gt;0)*Personnel!$D$9:$D$100*(1-Personnel!$I$9:$I$100))))*Escalation!$B$83,Actuals!CI83)</f>
        <v/>
      </c>
      <c r="CI173" s="401">
        <f>IF(ISBLANK(Actuals!CJ83),(-(SUMPRODUCT((Personnel!$O$9:$O$100="SP-Payroll")*(Personnel!$G$9:$G$100="Yes")*(83&gt;=Personnel!$E$9:$E$100)*((Personnel!$K$9:$K$100="")+(83&lt;=Personnel!$K$9:$K$100)&gt;0)*Personnel!$D$9:$D$100*(1-Personnel!$I$9:$I$100))))*Escalation!$B$84,Actuals!CJ83)</f>
        <v/>
      </c>
      <c r="CJ173" s="401">
        <f>IF(ISBLANK(Actuals!CK83),(-(SUMPRODUCT((Personnel!$O$9:$O$100="SP-Payroll")*(Personnel!$G$9:$G$100="Yes")*(84&gt;=Personnel!$E$9:$E$100)*((Personnel!$K$9:$K$100="")+(84&lt;=Personnel!$K$9:$K$100)&gt;0)*Personnel!$D$9:$D$100*(1-Personnel!$I$9:$I$100))))*Escalation!$B$85,Actuals!CK83)</f>
        <v/>
      </c>
      <c r="CK173" s="401">
        <f>IF(ISBLANK(Actuals!CL83),(-(SUMPRODUCT((Personnel!$O$9:$O$100="SP-Payroll")*(Personnel!$G$9:$G$100="Yes")*(85&gt;=Personnel!$E$9:$E$100)*((Personnel!$K$9:$K$100="")+(85&lt;=Personnel!$K$9:$K$100)&gt;0)*Personnel!$D$9:$D$100*(1-Personnel!$I$9:$I$100))))*Escalation!$B$86,Actuals!CL83)</f>
        <v/>
      </c>
      <c r="CL173" s="401">
        <f>IF(ISBLANK(Actuals!CM83),(-(SUMPRODUCT((Personnel!$O$9:$O$100="SP-Payroll")*(Personnel!$G$9:$G$100="Yes")*(86&gt;=Personnel!$E$9:$E$100)*((Personnel!$K$9:$K$100="")+(86&lt;=Personnel!$K$9:$K$100)&gt;0)*Personnel!$D$9:$D$100*(1-Personnel!$I$9:$I$100))))*Escalation!$B$87,Actuals!CM83)</f>
        <v/>
      </c>
      <c r="CM173" s="401">
        <f>IF(ISBLANK(Actuals!CN83),(-(SUMPRODUCT((Personnel!$O$9:$O$100="SP-Payroll")*(Personnel!$G$9:$G$100="Yes")*(87&gt;=Personnel!$E$9:$E$100)*((Personnel!$K$9:$K$100="")+(87&lt;=Personnel!$K$9:$K$100)&gt;0)*Personnel!$D$9:$D$100*(1-Personnel!$I$9:$I$100))))*Escalation!$B$88,Actuals!CN83)</f>
        <v/>
      </c>
      <c r="CN173" s="401">
        <f>IF(ISBLANK(Actuals!CO83),(-(SUMPRODUCT((Personnel!$O$9:$O$100="SP-Payroll")*(Personnel!$G$9:$G$100="Yes")*(88&gt;=Personnel!$E$9:$E$100)*((Personnel!$K$9:$K$100="")+(88&lt;=Personnel!$K$9:$K$100)&gt;0)*Personnel!$D$9:$D$100*(1-Personnel!$I$9:$I$100))))*Escalation!$B$89,Actuals!CO83)</f>
        <v/>
      </c>
      <c r="CO173" s="401">
        <f>IF(ISBLANK(Actuals!CP83),(-(SUMPRODUCT((Personnel!$O$9:$O$100="SP-Payroll")*(Personnel!$G$9:$G$100="Yes")*(89&gt;=Personnel!$E$9:$E$100)*((Personnel!$K$9:$K$100="")+(89&lt;=Personnel!$K$9:$K$100)&gt;0)*Personnel!$D$9:$D$100*(1-Personnel!$I$9:$I$100))))*Escalation!$B$90,Actuals!CP83)</f>
        <v/>
      </c>
      <c r="CP173" s="401">
        <f>IF(ISBLANK(Actuals!CQ83),(-(SUMPRODUCT((Personnel!$O$9:$O$100="SP-Payroll")*(Personnel!$G$9:$G$100="Yes")*(90&gt;=Personnel!$E$9:$E$100)*((Personnel!$K$9:$K$100="")+(90&lt;=Personnel!$K$9:$K$100)&gt;0)*Personnel!$D$9:$D$100*(1-Personnel!$I$9:$I$100))))*Escalation!$B$91,Actuals!CQ83)</f>
        <v/>
      </c>
      <c r="CQ173" s="401">
        <f>IF(ISBLANK(Actuals!CR83),(-(SUMPRODUCT((Personnel!$O$9:$O$100="SP-Payroll")*(Personnel!$G$9:$G$100="Yes")*(91&gt;=Personnel!$E$9:$E$100)*((Personnel!$K$9:$K$100="")+(91&lt;=Personnel!$K$9:$K$100)&gt;0)*Personnel!$D$9:$D$100*(1-Personnel!$I$9:$I$100))))*Escalation!$B$92,Actuals!CR83)</f>
        <v/>
      </c>
      <c r="CR173" s="401">
        <f>IF(ISBLANK(Actuals!CS83),(-(SUMPRODUCT((Personnel!$O$9:$O$100="SP-Payroll")*(Personnel!$G$9:$G$100="Yes")*(92&gt;=Personnel!$E$9:$E$100)*((Personnel!$K$9:$K$100="")+(92&lt;=Personnel!$K$9:$K$100)&gt;0)*Personnel!$D$9:$D$100*(1-Personnel!$I$9:$I$100))))*Escalation!$B$93,Actuals!CS83)</f>
        <v/>
      </c>
      <c r="CS173" s="401">
        <f>IF(ISBLANK(Actuals!CT83),(-(SUMPRODUCT((Personnel!$O$9:$O$100="SP-Payroll")*(Personnel!$G$9:$G$100="Yes")*(93&gt;=Personnel!$E$9:$E$100)*((Personnel!$K$9:$K$100="")+(93&lt;=Personnel!$K$9:$K$100)&gt;0)*Personnel!$D$9:$D$100*(1-Personnel!$I$9:$I$100))))*Escalation!$B$94,Actuals!CT83)</f>
        <v/>
      </c>
      <c r="CT173" s="401">
        <f>IF(ISBLANK(Actuals!CU83),(-(SUMPRODUCT((Personnel!$O$9:$O$100="SP-Payroll")*(Personnel!$G$9:$G$100="Yes")*(94&gt;=Personnel!$E$9:$E$100)*((Personnel!$K$9:$K$100="")+(94&lt;=Personnel!$K$9:$K$100)&gt;0)*Personnel!$D$9:$D$100*(1-Personnel!$I$9:$I$100))))*Escalation!$B$95,Actuals!CU83)</f>
        <v/>
      </c>
      <c r="CU173" s="401">
        <f>IF(ISBLANK(Actuals!CV83),(-(SUMPRODUCT((Personnel!$O$9:$O$100="SP-Payroll")*(Personnel!$G$9:$G$100="Yes")*(95&gt;=Personnel!$E$9:$E$100)*((Personnel!$K$9:$K$100="")+(95&lt;=Personnel!$K$9:$K$100)&gt;0)*Personnel!$D$9:$D$100*(1-Personnel!$I$9:$I$100))))*Escalation!$B$96,Actuals!CV83)</f>
        <v/>
      </c>
      <c r="CV173" s="401">
        <f>IF(ISBLANK(Actuals!CW83),(-(SUMPRODUCT((Personnel!$O$9:$O$100="SP-Payroll")*(Personnel!$G$9:$G$100="Yes")*(96&gt;=Personnel!$E$9:$E$100)*((Personnel!$K$9:$K$100="")+(96&lt;=Personnel!$K$9:$K$100)&gt;0)*Personnel!$D$9:$D$100*(1-Personnel!$I$9:$I$100))))*Escalation!$B$97,Actuals!CW83)</f>
        <v/>
      </c>
      <c r="CW173" s="401">
        <f>IF(ISBLANK(Actuals!CX83),(-(SUMPRODUCT((Personnel!$O$9:$O$100="SP-Payroll")*(Personnel!$G$9:$G$100="Yes")*(97&gt;=Personnel!$E$9:$E$100)*((Personnel!$K$9:$K$100="")+(97&lt;=Personnel!$K$9:$K$100)&gt;0)*Personnel!$D$9:$D$100*(1-Personnel!$I$9:$I$100))))*Escalation!$B$98,Actuals!CX83)</f>
        <v/>
      </c>
      <c r="CX173" s="401">
        <f>IF(ISBLANK(Actuals!CY83),(-(SUMPRODUCT((Personnel!$O$9:$O$100="SP-Payroll")*(Personnel!$G$9:$G$100="Yes")*(98&gt;=Personnel!$E$9:$E$100)*((Personnel!$K$9:$K$100="")+(98&lt;=Personnel!$K$9:$K$100)&gt;0)*Personnel!$D$9:$D$100*(1-Personnel!$I$9:$I$100))))*Escalation!$B$99,Actuals!CY83)</f>
        <v/>
      </c>
      <c r="CY173" s="401">
        <f>IF(ISBLANK(Actuals!CZ83),(-(SUMPRODUCT((Personnel!$O$9:$O$100="SP-Payroll")*(Personnel!$G$9:$G$100="Yes")*(99&gt;=Personnel!$E$9:$E$100)*((Personnel!$K$9:$K$100="")+(99&lt;=Personnel!$K$9:$K$100)&gt;0)*Personnel!$D$9:$D$100*(1-Personnel!$I$9:$I$100))))*Escalation!$B$100,Actuals!CZ83)</f>
        <v/>
      </c>
      <c r="CZ173" s="401">
        <f>IF(ISBLANK(Actuals!DA83),(-(SUMPRODUCT((Personnel!$O$9:$O$100="SP-Payroll")*(Personnel!$G$9:$G$100="Yes")*(100&gt;=Personnel!$E$9:$E$100)*((Personnel!$K$9:$K$100="")+(100&lt;=Personnel!$K$9:$K$100)&gt;0)*Personnel!$D$9:$D$100*(1-Personnel!$I$9:$I$100))))*Escalation!$B$101,Actuals!DA83)</f>
        <v/>
      </c>
      <c r="DA173" s="401">
        <f>IF(ISBLANK(Actuals!DB83),(-(SUMPRODUCT((Personnel!$O$9:$O$100="SP-Payroll")*(Personnel!$G$9:$G$100="Yes")*(101&gt;=Personnel!$E$9:$E$100)*((Personnel!$K$9:$K$100="")+(101&lt;=Personnel!$K$9:$K$100)&gt;0)*Personnel!$D$9:$D$100*(1-Personnel!$I$9:$I$100))))*Escalation!$B$102,Actuals!DB83)</f>
        <v/>
      </c>
      <c r="DB173" s="401">
        <f>IF(ISBLANK(Actuals!DC83),(-(SUMPRODUCT((Personnel!$O$9:$O$100="SP-Payroll")*(Personnel!$G$9:$G$100="Yes")*(102&gt;=Personnel!$E$9:$E$100)*((Personnel!$K$9:$K$100="")+(102&lt;=Personnel!$K$9:$K$100)&gt;0)*Personnel!$D$9:$D$100*(1-Personnel!$I$9:$I$100))))*Escalation!$B$103,Actuals!DC83)</f>
        <v/>
      </c>
      <c r="DC173" s="401">
        <f>IF(ISBLANK(Actuals!DD83),(-(SUMPRODUCT((Personnel!$O$9:$O$100="SP-Payroll")*(Personnel!$G$9:$G$100="Yes")*(103&gt;=Personnel!$E$9:$E$100)*((Personnel!$K$9:$K$100="")+(103&lt;=Personnel!$K$9:$K$100)&gt;0)*Personnel!$D$9:$D$100*(1-Personnel!$I$9:$I$100))))*Escalation!$B$104,Actuals!DD83)</f>
        <v/>
      </c>
      <c r="DD173" s="401">
        <f>IF(ISBLANK(Actuals!DE83),(-(SUMPRODUCT((Personnel!$O$9:$O$100="SP-Payroll")*(Personnel!$G$9:$G$100="Yes")*(104&gt;=Personnel!$E$9:$E$100)*((Personnel!$K$9:$K$100="")+(104&lt;=Personnel!$K$9:$K$100)&gt;0)*Personnel!$D$9:$D$100*(1-Personnel!$I$9:$I$100))))*Escalation!$B$105,Actuals!DE83)</f>
        <v/>
      </c>
      <c r="DE173" s="401">
        <f>IF(ISBLANK(Actuals!DF83),(-(SUMPRODUCT((Personnel!$O$9:$O$100="SP-Payroll")*(Personnel!$G$9:$G$100="Yes")*(105&gt;=Personnel!$E$9:$E$100)*((Personnel!$K$9:$K$100="")+(105&lt;=Personnel!$K$9:$K$100)&gt;0)*Personnel!$D$9:$D$100*(1-Personnel!$I$9:$I$100))))*Escalation!$B$106,Actuals!DF83)</f>
        <v/>
      </c>
    </row>
    <row r="174" ht="15" customFormat="1" customHeight="1" s="380">
      <c r="A174" s="415" t="inlineStr">
        <is>
          <t>5000-1001 Payroll Taxes</t>
        </is>
      </c>
      <c r="B174" s="401">
        <f>IF(ISBLANK(Actuals!C84),0,Actuals!C84)</f>
        <v/>
      </c>
      <c r="C174" s="401">
        <f>IF(ISBLANK(Actuals!D84),0,Actuals!D84)</f>
        <v/>
      </c>
      <c r="D174" s="401">
        <f>IF(ISBLANK(Actuals!E84),0,Actuals!E84)</f>
        <v/>
      </c>
      <c r="E174" s="401">
        <f>IF(ISBLANK(Actuals!F84),-Helpers!C5*Assumptions!$B$20,Actuals!F84)</f>
        <v/>
      </c>
      <c r="F174" s="401">
        <f>IF(ISBLANK(Actuals!G84),-Helpers!D5*Assumptions!$B$20,Actuals!G84)</f>
        <v/>
      </c>
      <c r="G174" s="401">
        <f>IF(ISBLANK(Actuals!H84),-Helpers!E5*Assumptions!$B$20,Actuals!H84)</f>
        <v/>
      </c>
      <c r="H174" s="401">
        <f>IF(ISBLANK(Actuals!I84),-Helpers!F5*Assumptions!$B$20,Actuals!I84)</f>
        <v/>
      </c>
      <c r="I174" s="401">
        <f>IF(ISBLANK(Actuals!J84),-Helpers!G5*Assumptions!$B$20,Actuals!J84)</f>
        <v/>
      </c>
      <c r="J174" s="401">
        <f>IF(ISBLANK(Actuals!K84),-Helpers!H5*Assumptions!$B$20,Actuals!K84)</f>
        <v/>
      </c>
      <c r="K174" s="401">
        <f>IF(ISBLANK(Actuals!L84),-Helpers!I5*Assumptions!$B$20,Actuals!L84)</f>
        <v/>
      </c>
      <c r="L174" s="401">
        <f>IF(ISBLANK(Actuals!M84),-Helpers!J5*Assumptions!$B$20,Actuals!M84)</f>
        <v/>
      </c>
      <c r="M174" s="401">
        <f>IF(ISBLANK(Actuals!N84),-Helpers!K5*Assumptions!$B$20,Actuals!N84)</f>
        <v/>
      </c>
      <c r="N174" s="401">
        <f>IF(ISBLANK(Actuals!O84),-Helpers!L5*Assumptions!$B$20,Actuals!O84)</f>
        <v/>
      </c>
      <c r="O174" s="401">
        <f>IF(ISBLANK(Actuals!P84),-Helpers!M5*Assumptions!$B$20,Actuals!P84)</f>
        <v/>
      </c>
      <c r="P174" s="401">
        <f>IF(ISBLANK(Actuals!Q84),-Helpers!N5*Assumptions!$B$20,Actuals!Q84)</f>
        <v/>
      </c>
      <c r="Q174" s="401">
        <f>IF(ISBLANK(Actuals!R84),-Helpers!O5*Assumptions!$B$20,Actuals!R84)</f>
        <v/>
      </c>
      <c r="R174" s="401">
        <f>IF(ISBLANK(Actuals!S84),-Helpers!P5*Assumptions!$B$20,Actuals!S84)</f>
        <v/>
      </c>
      <c r="S174" s="401">
        <f>IF(ISBLANK(Actuals!T84),-Helpers!Q5*Assumptions!$B$20,Actuals!T84)</f>
        <v/>
      </c>
      <c r="T174" s="401">
        <f>IF(ISBLANK(Actuals!U84),-Helpers!R5*Assumptions!$B$20,Actuals!U84)</f>
        <v/>
      </c>
      <c r="U174" s="401">
        <f>IF(ISBLANK(Actuals!V84),-Helpers!S5*Assumptions!$B$20,Actuals!V84)</f>
        <v/>
      </c>
      <c r="V174" s="401">
        <f>IF(ISBLANK(Actuals!W84),-Helpers!T5*Assumptions!$B$20,Actuals!W84)</f>
        <v/>
      </c>
      <c r="W174" s="401">
        <f>IF(ISBLANK(Actuals!X84),-Helpers!U5*Assumptions!$B$20,Actuals!X84)</f>
        <v/>
      </c>
      <c r="X174" s="401">
        <f>IF(ISBLANK(Actuals!Y84),-Helpers!V5*Assumptions!$B$20,Actuals!Y84)</f>
        <v/>
      </c>
      <c r="Y174" s="401">
        <f>IF(ISBLANK(Actuals!Z84),-Helpers!W5*Assumptions!$B$20,Actuals!Z84)</f>
        <v/>
      </c>
      <c r="Z174" s="401">
        <f>IF(ISBLANK(Actuals!AA84),-Helpers!X5*Assumptions!$B$20,Actuals!AA84)</f>
        <v/>
      </c>
      <c r="AA174" s="401">
        <f>IF(ISBLANK(Actuals!AB84),-Helpers!Y5*Assumptions!$B$20,Actuals!AB84)</f>
        <v/>
      </c>
      <c r="AB174" s="401">
        <f>IF(ISBLANK(Actuals!AC84),-Helpers!Z5*Assumptions!$B$20,Actuals!AC84)</f>
        <v/>
      </c>
      <c r="AC174" s="401">
        <f>IF(ISBLANK(Actuals!AD84),-Helpers!AA5*Assumptions!$B$20,Actuals!AD84)</f>
        <v/>
      </c>
      <c r="AD174" s="401">
        <f>IF(ISBLANK(Actuals!AE84),-Helpers!AB5*Assumptions!$B$20,Actuals!AE84)</f>
        <v/>
      </c>
      <c r="AE174" s="401">
        <f>IF(ISBLANK(Actuals!AF84),-Helpers!AC5*Assumptions!$B$20,Actuals!AF84)</f>
        <v/>
      </c>
      <c r="AF174" s="401">
        <f>IF(ISBLANK(Actuals!AG84),-Helpers!AD5*Assumptions!$B$20,Actuals!AG84)</f>
        <v/>
      </c>
      <c r="AG174" s="401">
        <f>IF(ISBLANK(Actuals!AH84),-Helpers!AE5*Assumptions!$B$20,Actuals!AH84)</f>
        <v/>
      </c>
      <c r="AH174" s="401">
        <f>IF(ISBLANK(Actuals!AI84),-Helpers!AF5*Assumptions!$B$20,Actuals!AI84)</f>
        <v/>
      </c>
      <c r="AI174" s="401">
        <f>IF(ISBLANK(Actuals!AJ84),-Helpers!AG5*Assumptions!$B$20,Actuals!AJ84)</f>
        <v/>
      </c>
      <c r="AJ174" s="401">
        <f>IF(ISBLANK(Actuals!AK84),-Helpers!AH5*Assumptions!$B$20,Actuals!AK84)</f>
        <v/>
      </c>
      <c r="AK174" s="401">
        <f>IF(ISBLANK(Actuals!AL84),-Helpers!AI5*Assumptions!$B$20,Actuals!AL84)</f>
        <v/>
      </c>
      <c r="AL174" s="401">
        <f>IF(ISBLANK(Actuals!AM84),-Helpers!AJ5*Assumptions!$B$20,Actuals!AM84)</f>
        <v/>
      </c>
      <c r="AM174" s="401">
        <f>IF(ISBLANK(Actuals!AN84),-Helpers!AK5*Assumptions!$B$20,Actuals!AN84)</f>
        <v/>
      </c>
      <c r="AN174" s="401">
        <f>IF(ISBLANK(Actuals!AO84),-Helpers!AL5*Assumptions!$B$20,Actuals!AO84)</f>
        <v/>
      </c>
      <c r="AO174" s="401">
        <f>IF(ISBLANK(Actuals!AP84),-Helpers!AM5*Assumptions!$B$20,Actuals!AP84)</f>
        <v/>
      </c>
      <c r="AP174" s="401">
        <f>IF(ISBLANK(Actuals!AQ84),-Helpers!AN5*Assumptions!$B$20,Actuals!AQ84)</f>
        <v/>
      </c>
      <c r="AQ174" s="401">
        <f>IF(ISBLANK(Actuals!AR84),-Helpers!AO5*Assumptions!$B$20,Actuals!AR84)</f>
        <v/>
      </c>
      <c r="AR174" s="401">
        <f>IF(ISBLANK(Actuals!AS84),-Helpers!AP5*Assumptions!$B$20,Actuals!AS84)</f>
        <v/>
      </c>
      <c r="AS174" s="401">
        <f>IF(ISBLANK(Actuals!AT84),-Helpers!AQ5*Assumptions!$B$20,Actuals!AT84)</f>
        <v/>
      </c>
      <c r="AT174" s="401">
        <f>IF(ISBLANK(Actuals!AU84),-Helpers!AR5*Assumptions!$B$20,Actuals!AU84)</f>
        <v/>
      </c>
      <c r="AU174" s="401">
        <f>IF(ISBLANK(Actuals!AV84),-Helpers!AS5*Assumptions!$B$20,Actuals!AV84)</f>
        <v/>
      </c>
      <c r="AV174" s="401">
        <f>IF(ISBLANK(Actuals!AW84),-Helpers!AT5*Assumptions!$B$20,Actuals!AW84)</f>
        <v/>
      </c>
      <c r="AW174" s="401">
        <f>IF(ISBLANK(Actuals!AX84),-Helpers!AU5*Assumptions!$B$20,Actuals!AX84)</f>
        <v/>
      </c>
      <c r="AX174" s="401">
        <f>IF(ISBLANK(Actuals!AY84),-Helpers!AV5*Assumptions!$B$20,Actuals!AY84)</f>
        <v/>
      </c>
      <c r="AY174" s="401">
        <f>IF(ISBLANK(Actuals!AZ84),-Helpers!AW5*Assumptions!$B$20,Actuals!AZ84)</f>
        <v/>
      </c>
      <c r="AZ174" s="401">
        <f>IF(ISBLANK(Actuals!BA84),-Helpers!AX5*Assumptions!$B$20,Actuals!BA84)</f>
        <v/>
      </c>
      <c r="BA174" s="401">
        <f>IF(ISBLANK(Actuals!BB84),-Helpers!AY5*Assumptions!$B$20,Actuals!BB84)</f>
        <v/>
      </c>
      <c r="BB174" s="401">
        <f>IF(ISBLANK(Actuals!BC84),-Helpers!AZ5*Assumptions!$B$20,Actuals!BC84)</f>
        <v/>
      </c>
      <c r="BC174" s="401">
        <f>IF(ISBLANK(Actuals!BD84),-Helpers!BA5*Assumptions!$B$20,Actuals!BD84)</f>
        <v/>
      </c>
      <c r="BD174" s="401">
        <f>IF(ISBLANK(Actuals!BE84),-Helpers!BB5*Assumptions!$B$20,Actuals!BE84)</f>
        <v/>
      </c>
      <c r="BE174" s="401">
        <f>IF(ISBLANK(Actuals!BF84),-Helpers!BC5*Assumptions!$B$20,Actuals!BF84)</f>
        <v/>
      </c>
      <c r="BF174" s="401">
        <f>IF(ISBLANK(Actuals!BG84),-Helpers!BD5*Assumptions!$B$20,Actuals!BG84)</f>
        <v/>
      </c>
      <c r="BG174" s="401">
        <f>IF(ISBLANK(Actuals!BH84),-Helpers!BE5*Assumptions!$B$20,Actuals!BH84)</f>
        <v/>
      </c>
      <c r="BH174" s="401">
        <f>IF(ISBLANK(Actuals!BI84),-Helpers!BF5*Assumptions!$B$20,Actuals!BI84)</f>
        <v/>
      </c>
      <c r="BI174" s="401">
        <f>IF(ISBLANK(Actuals!BJ84),-Helpers!BG5*Assumptions!$B$20,Actuals!BJ84)</f>
        <v/>
      </c>
      <c r="BJ174" s="401">
        <f>IF(ISBLANK(Actuals!BK84),-Helpers!BH5*Assumptions!$B$20,Actuals!BK84)</f>
        <v/>
      </c>
      <c r="BK174" s="401">
        <f>IF(ISBLANK(Actuals!BL84),-Helpers!BI5*Assumptions!$B$20,Actuals!BL84)</f>
        <v/>
      </c>
      <c r="BL174" s="401">
        <f>IF(ISBLANK(Actuals!BM84),-Helpers!BJ5*Assumptions!$B$20,Actuals!BM84)</f>
        <v/>
      </c>
      <c r="BM174" s="401">
        <f>IF(ISBLANK(Actuals!BN84),-Helpers!BK5*Assumptions!$B$20,Actuals!BN84)</f>
        <v/>
      </c>
      <c r="BN174" s="401">
        <f>IF(ISBLANK(Actuals!BO84),-Helpers!BL5*Assumptions!$B$20,Actuals!BO84)</f>
        <v/>
      </c>
      <c r="BO174" s="401">
        <f>IF(ISBLANK(Actuals!BP84),-Helpers!BM5*Assumptions!$B$20,Actuals!BP84)</f>
        <v/>
      </c>
      <c r="BP174" s="401">
        <f>IF(ISBLANK(Actuals!BQ84),-Helpers!BN5*Assumptions!$B$20,Actuals!BQ84)</f>
        <v/>
      </c>
      <c r="BQ174" s="401">
        <f>IF(ISBLANK(Actuals!BR84),-Helpers!BO5*Assumptions!$B$20,Actuals!BR84)</f>
        <v/>
      </c>
      <c r="BR174" s="401">
        <f>IF(ISBLANK(Actuals!BS84),-Helpers!BP5*Assumptions!$B$20,Actuals!BS84)</f>
        <v/>
      </c>
      <c r="BS174" s="401">
        <f>IF(ISBLANK(Actuals!BT84),-Helpers!BQ5*Assumptions!$B$20,Actuals!BT84)</f>
        <v/>
      </c>
      <c r="BT174" s="401">
        <f>IF(ISBLANK(Actuals!BU84),-Helpers!BR5*Assumptions!$B$20,Actuals!BU84)</f>
        <v/>
      </c>
      <c r="BU174" s="401">
        <f>IF(ISBLANK(Actuals!BV84),-Helpers!BS5*Assumptions!$B$20,Actuals!BV84)</f>
        <v/>
      </c>
      <c r="BV174" s="401">
        <f>IF(ISBLANK(Actuals!BW84),-Helpers!BT5*Assumptions!$B$20,Actuals!BW84)</f>
        <v/>
      </c>
      <c r="BW174" s="401">
        <f>IF(ISBLANK(Actuals!BX84),-Helpers!BU5*Assumptions!$B$20,Actuals!BX84)</f>
        <v/>
      </c>
      <c r="BX174" s="401">
        <f>IF(ISBLANK(Actuals!BY84),-Helpers!BV5*Assumptions!$B$20,Actuals!BY84)</f>
        <v/>
      </c>
      <c r="BY174" s="401">
        <f>IF(ISBLANK(Actuals!BZ84),-Helpers!BW5*Assumptions!$B$20,Actuals!BZ84)</f>
        <v/>
      </c>
      <c r="BZ174" s="401">
        <f>IF(ISBLANK(Actuals!CA84),-Helpers!BX5*Assumptions!$B$20,Actuals!CA84)</f>
        <v/>
      </c>
      <c r="CA174" s="401">
        <f>IF(ISBLANK(Actuals!CB84),-Helpers!BY5*Assumptions!$B$20,Actuals!CB84)</f>
        <v/>
      </c>
      <c r="CB174" s="401">
        <f>IF(ISBLANK(Actuals!CC84),-Helpers!BZ5*Assumptions!$B$20,Actuals!CC84)</f>
        <v/>
      </c>
      <c r="CC174" s="401">
        <f>IF(ISBLANK(Actuals!CD84),-Helpers!CA5*Assumptions!$B$20,Actuals!CD84)</f>
        <v/>
      </c>
      <c r="CD174" s="401">
        <f>IF(ISBLANK(Actuals!CE84),-Helpers!CB5*Assumptions!$B$20,Actuals!CE84)</f>
        <v/>
      </c>
      <c r="CE174" s="401">
        <f>IF(ISBLANK(Actuals!CF84),-Helpers!CC5*Assumptions!$B$20,Actuals!CF84)</f>
        <v/>
      </c>
      <c r="CF174" s="401">
        <f>IF(ISBLANK(Actuals!CG84),-Helpers!CD5*Assumptions!$B$20,Actuals!CG84)</f>
        <v/>
      </c>
      <c r="CG174" s="401">
        <f>IF(ISBLANK(Actuals!CH84),-Helpers!CE5*Assumptions!$B$20,Actuals!CH84)</f>
        <v/>
      </c>
      <c r="CH174" s="401">
        <f>IF(ISBLANK(Actuals!CI84),-Helpers!CF5*Assumptions!$B$20,Actuals!CI84)</f>
        <v/>
      </c>
      <c r="CI174" s="401">
        <f>IF(ISBLANK(Actuals!CJ84),-Helpers!CG5*Assumptions!$B$20,Actuals!CJ84)</f>
        <v/>
      </c>
      <c r="CJ174" s="401">
        <f>IF(ISBLANK(Actuals!CK84),-Helpers!CH5*Assumptions!$B$20,Actuals!CK84)</f>
        <v/>
      </c>
      <c r="CK174" s="401">
        <f>IF(ISBLANK(Actuals!CL84),-Helpers!CI5*Assumptions!$B$20,Actuals!CL84)</f>
        <v/>
      </c>
      <c r="CL174" s="401">
        <f>IF(ISBLANK(Actuals!CM84),-Helpers!CJ5*Assumptions!$B$20,Actuals!CM84)</f>
        <v/>
      </c>
      <c r="CM174" s="401">
        <f>IF(ISBLANK(Actuals!CN84),-Helpers!CK5*Assumptions!$B$20,Actuals!CN84)</f>
        <v/>
      </c>
      <c r="CN174" s="401">
        <f>IF(ISBLANK(Actuals!CO84),-Helpers!CL5*Assumptions!$B$20,Actuals!CO84)</f>
        <v/>
      </c>
      <c r="CO174" s="401">
        <f>IF(ISBLANK(Actuals!CP84),-Helpers!CM5*Assumptions!$B$20,Actuals!CP84)</f>
        <v/>
      </c>
      <c r="CP174" s="401">
        <f>IF(ISBLANK(Actuals!CQ84),-Helpers!CN5*Assumptions!$B$20,Actuals!CQ84)</f>
        <v/>
      </c>
      <c r="CQ174" s="401">
        <f>IF(ISBLANK(Actuals!CR84),-Helpers!CO5*Assumptions!$B$20,Actuals!CR84)</f>
        <v/>
      </c>
      <c r="CR174" s="401">
        <f>IF(ISBLANK(Actuals!CS84),-Helpers!CP5*Assumptions!$B$20,Actuals!CS84)</f>
        <v/>
      </c>
      <c r="CS174" s="401">
        <f>IF(ISBLANK(Actuals!CT84),-Helpers!CQ5*Assumptions!$B$20,Actuals!CT84)</f>
        <v/>
      </c>
      <c r="CT174" s="401">
        <f>IF(ISBLANK(Actuals!CU84),-Helpers!CR5*Assumptions!$B$20,Actuals!CU84)</f>
        <v/>
      </c>
      <c r="CU174" s="401">
        <f>IF(ISBLANK(Actuals!CV84),-Helpers!CS5*Assumptions!$B$20,Actuals!CV84)</f>
        <v/>
      </c>
      <c r="CV174" s="401">
        <f>IF(ISBLANK(Actuals!CW84),-Helpers!CT5*Assumptions!$B$20,Actuals!CW84)</f>
        <v/>
      </c>
      <c r="CW174" s="401">
        <f>IF(ISBLANK(Actuals!CX84),-Helpers!CU5*Assumptions!$B$20,Actuals!CX84)</f>
        <v/>
      </c>
      <c r="CX174" s="401">
        <f>IF(ISBLANK(Actuals!CY84),-Helpers!CV5*Assumptions!$B$20,Actuals!CY84)</f>
        <v/>
      </c>
      <c r="CY174" s="401">
        <f>IF(ISBLANK(Actuals!CZ84),-Helpers!CW5*Assumptions!$B$20,Actuals!CZ84)</f>
        <v/>
      </c>
      <c r="CZ174" s="401">
        <f>IF(ISBLANK(Actuals!DA84),-Helpers!CX5*Assumptions!$B$20,Actuals!DA84)</f>
        <v/>
      </c>
      <c r="DA174" s="401">
        <f>IF(ISBLANK(Actuals!DB84),-Helpers!CY5*Assumptions!$B$20,Actuals!DB84)</f>
        <v/>
      </c>
      <c r="DB174" s="401">
        <f>IF(ISBLANK(Actuals!DC84),-Helpers!CZ5*Assumptions!$B$20,Actuals!DC84)</f>
        <v/>
      </c>
      <c r="DC174" s="401">
        <f>IF(ISBLANK(Actuals!DD84),-Helpers!DA5*Assumptions!$B$20,Actuals!DD84)</f>
        <v/>
      </c>
      <c r="DD174" s="401">
        <f>IF(ISBLANK(Actuals!DE84),-Helpers!DB5*Assumptions!$B$20,Actuals!DE84)</f>
        <v/>
      </c>
      <c r="DE174" s="401">
        <f>IF(ISBLANK(Actuals!DF84),-Helpers!DC5*Assumptions!$B$20,Actuals!DF84)</f>
        <v/>
      </c>
    </row>
    <row r="175" ht="15" customFormat="1" customHeight="1" s="380">
      <c r="A175" s="415" t="inlineStr">
        <is>
          <t>5000-1002 Employee Benefits</t>
        </is>
      </c>
      <c r="B175" s="401">
        <f>IF(ISBLANK(Actuals!C85),0,Actuals!C85)</f>
        <v/>
      </c>
      <c r="C175" s="401">
        <f>IF(ISBLANK(Actuals!D85),0,Actuals!D85)</f>
        <v/>
      </c>
      <c r="D175" s="401">
        <f>IF(ISBLANK(Actuals!E85),0,Actuals!E85)</f>
        <v/>
      </c>
      <c r="E175" s="401">
        <f>IF(ISBLANK(Actuals!F85),-Helpers!C5*Assumptions!$B$22,Actuals!F85)</f>
        <v/>
      </c>
      <c r="F175" s="401">
        <f>IF(ISBLANK(Actuals!G85),-Helpers!D5*Assumptions!$B$22,Actuals!G85)</f>
        <v/>
      </c>
      <c r="G175" s="401">
        <f>IF(ISBLANK(Actuals!H85),-Helpers!E5*Assumptions!$B$22,Actuals!H85)</f>
        <v/>
      </c>
      <c r="H175" s="401">
        <f>IF(ISBLANK(Actuals!I85),-Helpers!F5*Assumptions!$B$22,Actuals!I85)</f>
        <v/>
      </c>
      <c r="I175" s="401">
        <f>IF(ISBLANK(Actuals!J85),-Helpers!G5*Assumptions!$B$22,Actuals!J85)</f>
        <v/>
      </c>
      <c r="J175" s="401">
        <f>IF(ISBLANK(Actuals!K85),-Helpers!H5*Assumptions!$B$22,Actuals!K85)</f>
        <v/>
      </c>
      <c r="K175" s="401">
        <f>IF(ISBLANK(Actuals!L85),-Helpers!I5*Assumptions!$B$22,Actuals!L85)</f>
        <v/>
      </c>
      <c r="L175" s="401">
        <f>IF(ISBLANK(Actuals!M85),-Helpers!J5*Assumptions!$B$22,Actuals!M85)</f>
        <v/>
      </c>
      <c r="M175" s="401">
        <f>IF(ISBLANK(Actuals!N85),-Helpers!K5*Assumptions!$B$22,Actuals!N85)</f>
        <v/>
      </c>
      <c r="N175" s="401">
        <f>IF(ISBLANK(Actuals!O85),-Helpers!L5*Assumptions!$B$22,Actuals!O85)</f>
        <v/>
      </c>
      <c r="O175" s="401">
        <f>IF(ISBLANK(Actuals!P85),-Helpers!M5*Assumptions!$B$22,Actuals!P85)</f>
        <v/>
      </c>
      <c r="P175" s="401">
        <f>IF(ISBLANK(Actuals!Q85),-Helpers!N5*Assumptions!$B$22,Actuals!Q85)</f>
        <v/>
      </c>
      <c r="Q175" s="401">
        <f>IF(ISBLANK(Actuals!R85),-Helpers!O5*Assumptions!$B$22,Actuals!R85)</f>
        <v/>
      </c>
      <c r="R175" s="401">
        <f>IF(ISBLANK(Actuals!S85),-Helpers!P5*Assumptions!$B$22,Actuals!S85)</f>
        <v/>
      </c>
      <c r="S175" s="401">
        <f>IF(ISBLANK(Actuals!T85),-Helpers!Q5*Assumptions!$B$22,Actuals!T85)</f>
        <v/>
      </c>
      <c r="T175" s="401">
        <f>IF(ISBLANK(Actuals!U85),-Helpers!R5*Assumptions!$B$22,Actuals!U85)</f>
        <v/>
      </c>
      <c r="U175" s="401">
        <f>IF(ISBLANK(Actuals!V85),-Helpers!S5*Assumptions!$B$22,Actuals!V85)</f>
        <v/>
      </c>
      <c r="V175" s="401">
        <f>IF(ISBLANK(Actuals!W85),-Helpers!T5*Assumptions!$B$22,Actuals!W85)</f>
        <v/>
      </c>
      <c r="W175" s="401">
        <f>IF(ISBLANK(Actuals!X85),-Helpers!U5*Assumptions!$B$22,Actuals!X85)</f>
        <v/>
      </c>
      <c r="X175" s="401">
        <f>IF(ISBLANK(Actuals!Y85),-Helpers!V5*Assumptions!$B$22,Actuals!Y85)</f>
        <v/>
      </c>
      <c r="Y175" s="401">
        <f>IF(ISBLANK(Actuals!Z85),-Helpers!W5*Assumptions!$B$22,Actuals!Z85)</f>
        <v/>
      </c>
      <c r="Z175" s="401">
        <f>IF(ISBLANK(Actuals!AA85),-Helpers!X5*Assumptions!$B$22,Actuals!AA85)</f>
        <v/>
      </c>
      <c r="AA175" s="401">
        <f>IF(ISBLANK(Actuals!AB85),-Helpers!Y5*Assumptions!$B$22,Actuals!AB85)</f>
        <v/>
      </c>
      <c r="AB175" s="401">
        <f>IF(ISBLANK(Actuals!AC85),-Helpers!Z5*Assumptions!$B$22,Actuals!AC85)</f>
        <v/>
      </c>
      <c r="AC175" s="401">
        <f>IF(ISBLANK(Actuals!AD85),-Helpers!AA5*Assumptions!$B$22,Actuals!AD85)</f>
        <v/>
      </c>
      <c r="AD175" s="401">
        <f>IF(ISBLANK(Actuals!AE85),-Helpers!AB5*Assumptions!$B$22,Actuals!AE85)</f>
        <v/>
      </c>
      <c r="AE175" s="401">
        <f>IF(ISBLANK(Actuals!AF85),-Helpers!AC5*Assumptions!$B$22,Actuals!AF85)</f>
        <v/>
      </c>
      <c r="AF175" s="401">
        <f>IF(ISBLANK(Actuals!AG85),-Helpers!AD5*Assumptions!$B$22,Actuals!AG85)</f>
        <v/>
      </c>
      <c r="AG175" s="401">
        <f>IF(ISBLANK(Actuals!AH85),-Helpers!AE5*Assumptions!$B$22,Actuals!AH85)</f>
        <v/>
      </c>
      <c r="AH175" s="401">
        <f>IF(ISBLANK(Actuals!AI85),-Helpers!AF5*Assumptions!$B$22,Actuals!AI85)</f>
        <v/>
      </c>
      <c r="AI175" s="401">
        <f>IF(ISBLANK(Actuals!AJ85),-Helpers!AG5*Assumptions!$B$22,Actuals!AJ85)</f>
        <v/>
      </c>
      <c r="AJ175" s="401">
        <f>IF(ISBLANK(Actuals!AK85),-Helpers!AH5*Assumptions!$B$22,Actuals!AK85)</f>
        <v/>
      </c>
      <c r="AK175" s="401">
        <f>IF(ISBLANK(Actuals!AL85),-Helpers!AI5*Assumptions!$B$22,Actuals!AL85)</f>
        <v/>
      </c>
      <c r="AL175" s="401">
        <f>IF(ISBLANK(Actuals!AM85),-Helpers!AJ5*Assumptions!$B$22,Actuals!AM85)</f>
        <v/>
      </c>
      <c r="AM175" s="401">
        <f>IF(ISBLANK(Actuals!AN85),-Helpers!AK5*Assumptions!$B$22,Actuals!AN85)</f>
        <v/>
      </c>
      <c r="AN175" s="401">
        <f>IF(ISBLANK(Actuals!AO85),-Helpers!AL5*Assumptions!$B$22,Actuals!AO85)</f>
        <v/>
      </c>
      <c r="AO175" s="401">
        <f>IF(ISBLANK(Actuals!AP85),-Helpers!AM5*Assumptions!$B$22,Actuals!AP85)</f>
        <v/>
      </c>
      <c r="AP175" s="401">
        <f>IF(ISBLANK(Actuals!AQ85),-Helpers!AN5*Assumptions!$B$22,Actuals!AQ85)</f>
        <v/>
      </c>
      <c r="AQ175" s="401">
        <f>IF(ISBLANK(Actuals!AR85),-Helpers!AO5*Assumptions!$B$22,Actuals!AR85)</f>
        <v/>
      </c>
      <c r="AR175" s="401">
        <f>IF(ISBLANK(Actuals!AS85),-Helpers!AP5*Assumptions!$B$22,Actuals!AS85)</f>
        <v/>
      </c>
      <c r="AS175" s="401">
        <f>IF(ISBLANK(Actuals!AT85),-Helpers!AQ5*Assumptions!$B$22,Actuals!AT85)</f>
        <v/>
      </c>
      <c r="AT175" s="401">
        <f>IF(ISBLANK(Actuals!AU85),-Helpers!AR5*Assumptions!$B$22,Actuals!AU85)</f>
        <v/>
      </c>
      <c r="AU175" s="401">
        <f>IF(ISBLANK(Actuals!AV85),-Helpers!AS5*Assumptions!$B$22,Actuals!AV85)</f>
        <v/>
      </c>
      <c r="AV175" s="401">
        <f>IF(ISBLANK(Actuals!AW85),-Helpers!AT5*Assumptions!$B$22,Actuals!AW85)</f>
        <v/>
      </c>
      <c r="AW175" s="401">
        <f>IF(ISBLANK(Actuals!AX85),-Helpers!AU5*Assumptions!$B$22,Actuals!AX85)</f>
        <v/>
      </c>
      <c r="AX175" s="401">
        <f>IF(ISBLANK(Actuals!AY85),-Helpers!AV5*Assumptions!$B$22,Actuals!AY85)</f>
        <v/>
      </c>
      <c r="AY175" s="401">
        <f>IF(ISBLANK(Actuals!AZ85),-Helpers!AW5*Assumptions!$B$22,Actuals!AZ85)</f>
        <v/>
      </c>
      <c r="AZ175" s="401">
        <f>IF(ISBLANK(Actuals!BA85),-Helpers!AX5*Assumptions!$B$22,Actuals!BA85)</f>
        <v/>
      </c>
      <c r="BA175" s="401">
        <f>IF(ISBLANK(Actuals!BB85),-Helpers!AY5*Assumptions!$B$22,Actuals!BB85)</f>
        <v/>
      </c>
      <c r="BB175" s="401">
        <f>IF(ISBLANK(Actuals!BC85),-Helpers!AZ5*Assumptions!$B$22,Actuals!BC85)</f>
        <v/>
      </c>
      <c r="BC175" s="401">
        <f>IF(ISBLANK(Actuals!BD85),-Helpers!BA5*Assumptions!$B$22,Actuals!BD85)</f>
        <v/>
      </c>
      <c r="BD175" s="401">
        <f>IF(ISBLANK(Actuals!BE85),-Helpers!BB5*Assumptions!$B$22,Actuals!BE85)</f>
        <v/>
      </c>
      <c r="BE175" s="401">
        <f>IF(ISBLANK(Actuals!BF85),-Helpers!BC5*Assumptions!$B$22,Actuals!BF85)</f>
        <v/>
      </c>
      <c r="BF175" s="401">
        <f>IF(ISBLANK(Actuals!BG85),-Helpers!BD5*Assumptions!$B$22,Actuals!BG85)</f>
        <v/>
      </c>
      <c r="BG175" s="401">
        <f>IF(ISBLANK(Actuals!BH85),-Helpers!BE5*Assumptions!$B$22,Actuals!BH85)</f>
        <v/>
      </c>
      <c r="BH175" s="401">
        <f>IF(ISBLANK(Actuals!BI85),-Helpers!BF5*Assumptions!$B$22,Actuals!BI85)</f>
        <v/>
      </c>
      <c r="BI175" s="401">
        <f>IF(ISBLANK(Actuals!BJ85),-Helpers!BG5*Assumptions!$B$22,Actuals!BJ85)</f>
        <v/>
      </c>
      <c r="BJ175" s="401">
        <f>IF(ISBLANK(Actuals!BK85),-Helpers!BH5*Assumptions!$B$22,Actuals!BK85)</f>
        <v/>
      </c>
      <c r="BK175" s="401">
        <f>IF(ISBLANK(Actuals!BL85),-Helpers!BI5*Assumptions!$B$22,Actuals!BL85)</f>
        <v/>
      </c>
      <c r="BL175" s="401">
        <f>IF(ISBLANK(Actuals!BM85),-Helpers!BJ5*Assumptions!$B$22,Actuals!BM85)</f>
        <v/>
      </c>
      <c r="BM175" s="401">
        <f>IF(ISBLANK(Actuals!BN85),-Helpers!BK5*Assumptions!$B$22,Actuals!BN85)</f>
        <v/>
      </c>
      <c r="BN175" s="401">
        <f>IF(ISBLANK(Actuals!BO85),-Helpers!BL5*Assumptions!$B$22,Actuals!BO85)</f>
        <v/>
      </c>
      <c r="BO175" s="401">
        <f>IF(ISBLANK(Actuals!BP85),-Helpers!BM5*Assumptions!$B$22,Actuals!BP85)</f>
        <v/>
      </c>
      <c r="BP175" s="401">
        <f>IF(ISBLANK(Actuals!BQ85),-Helpers!BN5*Assumptions!$B$22,Actuals!BQ85)</f>
        <v/>
      </c>
      <c r="BQ175" s="401">
        <f>IF(ISBLANK(Actuals!BR85),-Helpers!BO5*Assumptions!$B$22,Actuals!BR85)</f>
        <v/>
      </c>
      <c r="BR175" s="401">
        <f>IF(ISBLANK(Actuals!BS85),-Helpers!BP5*Assumptions!$B$22,Actuals!BS85)</f>
        <v/>
      </c>
      <c r="BS175" s="401">
        <f>IF(ISBLANK(Actuals!BT85),-Helpers!BQ5*Assumptions!$B$22,Actuals!BT85)</f>
        <v/>
      </c>
      <c r="BT175" s="401">
        <f>IF(ISBLANK(Actuals!BU85),-Helpers!BR5*Assumptions!$B$22,Actuals!BU85)</f>
        <v/>
      </c>
      <c r="BU175" s="401">
        <f>IF(ISBLANK(Actuals!BV85),-Helpers!BS5*Assumptions!$B$22,Actuals!BV85)</f>
        <v/>
      </c>
      <c r="BV175" s="401">
        <f>IF(ISBLANK(Actuals!BW85),-Helpers!BT5*Assumptions!$B$22,Actuals!BW85)</f>
        <v/>
      </c>
      <c r="BW175" s="401">
        <f>IF(ISBLANK(Actuals!BX85),-Helpers!BU5*Assumptions!$B$22,Actuals!BX85)</f>
        <v/>
      </c>
      <c r="BX175" s="401">
        <f>IF(ISBLANK(Actuals!BY85),-Helpers!BV5*Assumptions!$B$22,Actuals!BY85)</f>
        <v/>
      </c>
      <c r="BY175" s="401">
        <f>IF(ISBLANK(Actuals!BZ85),-Helpers!BW5*Assumptions!$B$22,Actuals!BZ85)</f>
        <v/>
      </c>
      <c r="BZ175" s="401">
        <f>IF(ISBLANK(Actuals!CA85),-Helpers!BX5*Assumptions!$B$22,Actuals!CA85)</f>
        <v/>
      </c>
      <c r="CA175" s="401">
        <f>IF(ISBLANK(Actuals!CB85),-Helpers!BY5*Assumptions!$B$22,Actuals!CB85)</f>
        <v/>
      </c>
      <c r="CB175" s="401">
        <f>IF(ISBLANK(Actuals!CC85),-Helpers!BZ5*Assumptions!$B$22,Actuals!CC85)</f>
        <v/>
      </c>
      <c r="CC175" s="401">
        <f>IF(ISBLANK(Actuals!CD85),-Helpers!CA5*Assumptions!$B$22,Actuals!CD85)</f>
        <v/>
      </c>
      <c r="CD175" s="401">
        <f>IF(ISBLANK(Actuals!CE85),-Helpers!CB5*Assumptions!$B$22,Actuals!CE85)</f>
        <v/>
      </c>
      <c r="CE175" s="401">
        <f>IF(ISBLANK(Actuals!CF85),-Helpers!CC5*Assumptions!$B$22,Actuals!CF85)</f>
        <v/>
      </c>
      <c r="CF175" s="401">
        <f>IF(ISBLANK(Actuals!CG85),-Helpers!CD5*Assumptions!$B$22,Actuals!CG85)</f>
        <v/>
      </c>
      <c r="CG175" s="401">
        <f>IF(ISBLANK(Actuals!CH85),-Helpers!CE5*Assumptions!$B$22,Actuals!CH85)</f>
        <v/>
      </c>
      <c r="CH175" s="401">
        <f>IF(ISBLANK(Actuals!CI85),-Helpers!CF5*Assumptions!$B$22,Actuals!CI85)</f>
        <v/>
      </c>
      <c r="CI175" s="401">
        <f>IF(ISBLANK(Actuals!CJ85),-Helpers!CG5*Assumptions!$B$22,Actuals!CJ85)</f>
        <v/>
      </c>
      <c r="CJ175" s="401">
        <f>IF(ISBLANK(Actuals!CK85),-Helpers!CH5*Assumptions!$B$22,Actuals!CK85)</f>
        <v/>
      </c>
      <c r="CK175" s="401">
        <f>IF(ISBLANK(Actuals!CL85),-Helpers!CI5*Assumptions!$B$22,Actuals!CL85)</f>
        <v/>
      </c>
      <c r="CL175" s="401">
        <f>IF(ISBLANK(Actuals!CM85),-Helpers!CJ5*Assumptions!$B$22,Actuals!CM85)</f>
        <v/>
      </c>
      <c r="CM175" s="401">
        <f>IF(ISBLANK(Actuals!CN85),-Helpers!CK5*Assumptions!$B$22,Actuals!CN85)</f>
        <v/>
      </c>
      <c r="CN175" s="401">
        <f>IF(ISBLANK(Actuals!CO85),-Helpers!CL5*Assumptions!$B$22,Actuals!CO85)</f>
        <v/>
      </c>
      <c r="CO175" s="401">
        <f>IF(ISBLANK(Actuals!CP85),-Helpers!CM5*Assumptions!$B$22,Actuals!CP85)</f>
        <v/>
      </c>
      <c r="CP175" s="401">
        <f>IF(ISBLANK(Actuals!CQ85),-Helpers!CN5*Assumptions!$B$22,Actuals!CQ85)</f>
        <v/>
      </c>
      <c r="CQ175" s="401">
        <f>IF(ISBLANK(Actuals!CR85),-Helpers!CO5*Assumptions!$B$22,Actuals!CR85)</f>
        <v/>
      </c>
      <c r="CR175" s="401">
        <f>IF(ISBLANK(Actuals!CS85),-Helpers!CP5*Assumptions!$B$22,Actuals!CS85)</f>
        <v/>
      </c>
      <c r="CS175" s="401">
        <f>IF(ISBLANK(Actuals!CT85),-Helpers!CQ5*Assumptions!$B$22,Actuals!CT85)</f>
        <v/>
      </c>
      <c r="CT175" s="401">
        <f>IF(ISBLANK(Actuals!CU85),-Helpers!CR5*Assumptions!$B$22,Actuals!CU85)</f>
        <v/>
      </c>
      <c r="CU175" s="401">
        <f>IF(ISBLANK(Actuals!CV85),-Helpers!CS5*Assumptions!$B$22,Actuals!CV85)</f>
        <v/>
      </c>
      <c r="CV175" s="401">
        <f>IF(ISBLANK(Actuals!CW85),-Helpers!CT5*Assumptions!$B$22,Actuals!CW85)</f>
        <v/>
      </c>
      <c r="CW175" s="401">
        <f>IF(ISBLANK(Actuals!CX85),-Helpers!CU5*Assumptions!$B$22,Actuals!CX85)</f>
        <v/>
      </c>
      <c r="CX175" s="401">
        <f>IF(ISBLANK(Actuals!CY85),-Helpers!CV5*Assumptions!$B$22,Actuals!CY85)</f>
        <v/>
      </c>
      <c r="CY175" s="401">
        <f>IF(ISBLANK(Actuals!CZ85),-Helpers!CW5*Assumptions!$B$22,Actuals!CZ85)</f>
        <v/>
      </c>
      <c r="CZ175" s="401">
        <f>IF(ISBLANK(Actuals!DA85),-Helpers!CX5*Assumptions!$B$22,Actuals!DA85)</f>
        <v/>
      </c>
      <c r="DA175" s="401">
        <f>IF(ISBLANK(Actuals!DB85),-Helpers!CY5*Assumptions!$B$22,Actuals!DB85)</f>
        <v/>
      </c>
      <c r="DB175" s="401">
        <f>IF(ISBLANK(Actuals!DC85),-Helpers!CZ5*Assumptions!$B$22,Actuals!DC85)</f>
        <v/>
      </c>
      <c r="DC175" s="401">
        <f>IF(ISBLANK(Actuals!DD85),-Helpers!DA5*Assumptions!$B$22,Actuals!DD85)</f>
        <v/>
      </c>
      <c r="DD175" s="401">
        <f>IF(ISBLANK(Actuals!DE85),-Helpers!DB5*Assumptions!$B$22,Actuals!DE85)</f>
        <v/>
      </c>
      <c r="DE175" s="401">
        <f>IF(ISBLANK(Actuals!DF85),-Helpers!DC5*Assumptions!$B$22,Actuals!DF85)</f>
        <v/>
      </c>
    </row>
    <row r="176" ht="15" customFormat="1" customHeight="1" s="380">
      <c r="A176" s="415" t="inlineStr">
        <is>
          <t>5000-1003 Workers Comp</t>
        </is>
      </c>
      <c r="B176" s="401">
        <f>IF(ISBLANK(Actuals!C86),0,Actuals!C86)</f>
        <v/>
      </c>
      <c r="C176" s="401">
        <f>IF(ISBLANK(Actuals!D86),0,Actuals!D86)</f>
        <v/>
      </c>
      <c r="D176" s="401">
        <f>IF(ISBLANK(Actuals!E86),0,Actuals!E86)</f>
        <v/>
      </c>
      <c r="E176" s="401">
        <f>IF(ISBLANK(Actuals!F86),-Helpers!C5*Assumptions!$B$23,Actuals!F86)</f>
        <v/>
      </c>
      <c r="F176" s="401">
        <f>IF(ISBLANK(Actuals!G86),-Helpers!D5*Assumptions!$B$23,Actuals!G86)</f>
        <v/>
      </c>
      <c r="G176" s="401">
        <f>IF(ISBLANK(Actuals!H86),-Helpers!E5*Assumptions!$B$23,Actuals!H86)</f>
        <v/>
      </c>
      <c r="H176" s="401">
        <f>IF(ISBLANK(Actuals!I86),-Helpers!F5*Assumptions!$B$23,Actuals!I86)</f>
        <v/>
      </c>
      <c r="I176" s="401">
        <f>IF(ISBLANK(Actuals!J86),-Helpers!G5*Assumptions!$B$23,Actuals!J86)</f>
        <v/>
      </c>
      <c r="J176" s="401">
        <f>IF(ISBLANK(Actuals!K86),-Helpers!H5*Assumptions!$B$23,Actuals!K86)</f>
        <v/>
      </c>
      <c r="K176" s="401">
        <f>IF(ISBLANK(Actuals!L86),-Helpers!I5*Assumptions!$B$23,Actuals!L86)</f>
        <v/>
      </c>
      <c r="L176" s="401">
        <f>IF(ISBLANK(Actuals!M86),-Helpers!J5*Assumptions!$B$23,Actuals!M86)</f>
        <v/>
      </c>
      <c r="M176" s="401">
        <f>IF(ISBLANK(Actuals!N86),-Helpers!K5*Assumptions!$B$23,Actuals!N86)</f>
        <v/>
      </c>
      <c r="N176" s="401">
        <f>IF(ISBLANK(Actuals!O86),-Helpers!L5*Assumptions!$B$23,Actuals!O86)</f>
        <v/>
      </c>
      <c r="O176" s="401">
        <f>IF(ISBLANK(Actuals!P86),-Helpers!M5*Assumptions!$B$23,Actuals!P86)</f>
        <v/>
      </c>
      <c r="P176" s="401">
        <f>IF(ISBLANK(Actuals!Q86),-Helpers!N5*Assumptions!$B$23,Actuals!Q86)</f>
        <v/>
      </c>
      <c r="Q176" s="401">
        <f>IF(ISBLANK(Actuals!R86),-Helpers!O5*Assumptions!$B$23,Actuals!R86)</f>
        <v/>
      </c>
      <c r="R176" s="401">
        <f>IF(ISBLANK(Actuals!S86),-Helpers!P5*Assumptions!$B$23,Actuals!S86)</f>
        <v/>
      </c>
      <c r="S176" s="401">
        <f>IF(ISBLANK(Actuals!T86),-Helpers!Q5*Assumptions!$B$23,Actuals!T86)</f>
        <v/>
      </c>
      <c r="T176" s="401">
        <f>IF(ISBLANK(Actuals!U86),-Helpers!R5*Assumptions!$B$23,Actuals!U86)</f>
        <v/>
      </c>
      <c r="U176" s="401">
        <f>IF(ISBLANK(Actuals!V86),-Helpers!S5*Assumptions!$B$23,Actuals!V86)</f>
        <v/>
      </c>
      <c r="V176" s="401">
        <f>IF(ISBLANK(Actuals!W86),-Helpers!T5*Assumptions!$B$23,Actuals!W86)</f>
        <v/>
      </c>
      <c r="W176" s="401">
        <f>IF(ISBLANK(Actuals!X86),-Helpers!U5*Assumptions!$B$23,Actuals!X86)</f>
        <v/>
      </c>
      <c r="X176" s="401">
        <f>IF(ISBLANK(Actuals!Y86),-Helpers!V5*Assumptions!$B$23,Actuals!Y86)</f>
        <v/>
      </c>
      <c r="Y176" s="401">
        <f>IF(ISBLANK(Actuals!Z86),-Helpers!W5*Assumptions!$B$23,Actuals!Z86)</f>
        <v/>
      </c>
      <c r="Z176" s="401">
        <f>IF(ISBLANK(Actuals!AA86),-Helpers!X5*Assumptions!$B$23,Actuals!AA86)</f>
        <v/>
      </c>
      <c r="AA176" s="401">
        <f>IF(ISBLANK(Actuals!AB86),-Helpers!Y5*Assumptions!$B$23,Actuals!AB86)</f>
        <v/>
      </c>
      <c r="AB176" s="401">
        <f>IF(ISBLANK(Actuals!AC86),-Helpers!Z5*Assumptions!$B$23,Actuals!AC86)</f>
        <v/>
      </c>
      <c r="AC176" s="401">
        <f>IF(ISBLANK(Actuals!AD86),-Helpers!AA5*Assumptions!$B$23,Actuals!AD86)</f>
        <v/>
      </c>
      <c r="AD176" s="401">
        <f>IF(ISBLANK(Actuals!AE86),-Helpers!AB5*Assumptions!$B$23,Actuals!AE86)</f>
        <v/>
      </c>
      <c r="AE176" s="401">
        <f>IF(ISBLANK(Actuals!AF86),-Helpers!AC5*Assumptions!$B$23,Actuals!AF86)</f>
        <v/>
      </c>
      <c r="AF176" s="401">
        <f>IF(ISBLANK(Actuals!AG86),-Helpers!AD5*Assumptions!$B$23,Actuals!AG86)</f>
        <v/>
      </c>
      <c r="AG176" s="401">
        <f>IF(ISBLANK(Actuals!AH86),-Helpers!AE5*Assumptions!$B$23,Actuals!AH86)</f>
        <v/>
      </c>
      <c r="AH176" s="401">
        <f>IF(ISBLANK(Actuals!AI86),-Helpers!AF5*Assumptions!$B$23,Actuals!AI86)</f>
        <v/>
      </c>
      <c r="AI176" s="401">
        <f>IF(ISBLANK(Actuals!AJ86),-Helpers!AG5*Assumptions!$B$23,Actuals!AJ86)</f>
        <v/>
      </c>
      <c r="AJ176" s="401">
        <f>IF(ISBLANK(Actuals!AK86),-Helpers!AH5*Assumptions!$B$23,Actuals!AK86)</f>
        <v/>
      </c>
      <c r="AK176" s="401">
        <f>IF(ISBLANK(Actuals!AL86),-Helpers!AI5*Assumptions!$B$23,Actuals!AL86)</f>
        <v/>
      </c>
      <c r="AL176" s="401">
        <f>IF(ISBLANK(Actuals!AM86),-Helpers!AJ5*Assumptions!$B$23,Actuals!AM86)</f>
        <v/>
      </c>
      <c r="AM176" s="401">
        <f>IF(ISBLANK(Actuals!AN86),-Helpers!AK5*Assumptions!$B$23,Actuals!AN86)</f>
        <v/>
      </c>
      <c r="AN176" s="401">
        <f>IF(ISBLANK(Actuals!AO86),-Helpers!AL5*Assumptions!$B$23,Actuals!AO86)</f>
        <v/>
      </c>
      <c r="AO176" s="401">
        <f>IF(ISBLANK(Actuals!AP86),-Helpers!AM5*Assumptions!$B$23,Actuals!AP86)</f>
        <v/>
      </c>
      <c r="AP176" s="401">
        <f>IF(ISBLANK(Actuals!AQ86),-Helpers!AN5*Assumptions!$B$23,Actuals!AQ86)</f>
        <v/>
      </c>
      <c r="AQ176" s="401">
        <f>IF(ISBLANK(Actuals!AR86),-Helpers!AO5*Assumptions!$B$23,Actuals!AR86)</f>
        <v/>
      </c>
      <c r="AR176" s="401">
        <f>IF(ISBLANK(Actuals!AS86),-Helpers!AP5*Assumptions!$B$23,Actuals!AS86)</f>
        <v/>
      </c>
      <c r="AS176" s="401">
        <f>IF(ISBLANK(Actuals!AT86),-Helpers!AQ5*Assumptions!$B$23,Actuals!AT86)</f>
        <v/>
      </c>
      <c r="AT176" s="401">
        <f>IF(ISBLANK(Actuals!AU86),-Helpers!AR5*Assumptions!$B$23,Actuals!AU86)</f>
        <v/>
      </c>
      <c r="AU176" s="401">
        <f>IF(ISBLANK(Actuals!AV86),-Helpers!AS5*Assumptions!$B$23,Actuals!AV86)</f>
        <v/>
      </c>
      <c r="AV176" s="401">
        <f>IF(ISBLANK(Actuals!AW86),-Helpers!AT5*Assumptions!$B$23,Actuals!AW86)</f>
        <v/>
      </c>
      <c r="AW176" s="401">
        <f>IF(ISBLANK(Actuals!AX86),-Helpers!AU5*Assumptions!$B$23,Actuals!AX86)</f>
        <v/>
      </c>
      <c r="AX176" s="401">
        <f>IF(ISBLANK(Actuals!AY86),-Helpers!AV5*Assumptions!$B$23,Actuals!AY86)</f>
        <v/>
      </c>
      <c r="AY176" s="401">
        <f>IF(ISBLANK(Actuals!AZ86),-Helpers!AW5*Assumptions!$B$23,Actuals!AZ86)</f>
        <v/>
      </c>
      <c r="AZ176" s="401">
        <f>IF(ISBLANK(Actuals!BA86),-Helpers!AX5*Assumptions!$B$23,Actuals!BA86)</f>
        <v/>
      </c>
      <c r="BA176" s="401">
        <f>IF(ISBLANK(Actuals!BB86),-Helpers!AY5*Assumptions!$B$23,Actuals!BB86)</f>
        <v/>
      </c>
      <c r="BB176" s="401">
        <f>IF(ISBLANK(Actuals!BC86),-Helpers!AZ5*Assumptions!$B$23,Actuals!BC86)</f>
        <v/>
      </c>
      <c r="BC176" s="401">
        <f>IF(ISBLANK(Actuals!BD86),-Helpers!BA5*Assumptions!$B$23,Actuals!BD86)</f>
        <v/>
      </c>
      <c r="BD176" s="401">
        <f>IF(ISBLANK(Actuals!BE86),-Helpers!BB5*Assumptions!$B$23,Actuals!BE86)</f>
        <v/>
      </c>
      <c r="BE176" s="401">
        <f>IF(ISBLANK(Actuals!BF86),-Helpers!BC5*Assumptions!$B$23,Actuals!BF86)</f>
        <v/>
      </c>
      <c r="BF176" s="401">
        <f>IF(ISBLANK(Actuals!BG86),-Helpers!BD5*Assumptions!$B$23,Actuals!BG86)</f>
        <v/>
      </c>
      <c r="BG176" s="401">
        <f>IF(ISBLANK(Actuals!BH86),-Helpers!BE5*Assumptions!$B$23,Actuals!BH86)</f>
        <v/>
      </c>
      <c r="BH176" s="401">
        <f>IF(ISBLANK(Actuals!BI86),-Helpers!BF5*Assumptions!$B$23,Actuals!BI86)</f>
        <v/>
      </c>
      <c r="BI176" s="401">
        <f>IF(ISBLANK(Actuals!BJ86),-Helpers!BG5*Assumptions!$B$23,Actuals!BJ86)</f>
        <v/>
      </c>
      <c r="BJ176" s="401">
        <f>IF(ISBLANK(Actuals!BK86),-Helpers!BH5*Assumptions!$B$23,Actuals!BK86)</f>
        <v/>
      </c>
      <c r="BK176" s="401">
        <f>IF(ISBLANK(Actuals!BL86),-Helpers!BI5*Assumptions!$B$23,Actuals!BL86)</f>
        <v/>
      </c>
      <c r="BL176" s="401">
        <f>IF(ISBLANK(Actuals!BM86),-Helpers!BJ5*Assumptions!$B$23,Actuals!BM86)</f>
        <v/>
      </c>
      <c r="BM176" s="401">
        <f>IF(ISBLANK(Actuals!BN86),-Helpers!BK5*Assumptions!$B$23,Actuals!BN86)</f>
        <v/>
      </c>
      <c r="BN176" s="401">
        <f>IF(ISBLANK(Actuals!BO86),-Helpers!BL5*Assumptions!$B$23,Actuals!BO86)</f>
        <v/>
      </c>
      <c r="BO176" s="401">
        <f>IF(ISBLANK(Actuals!BP86),-Helpers!BM5*Assumptions!$B$23,Actuals!BP86)</f>
        <v/>
      </c>
      <c r="BP176" s="401">
        <f>IF(ISBLANK(Actuals!BQ86),-Helpers!BN5*Assumptions!$B$23,Actuals!BQ86)</f>
        <v/>
      </c>
      <c r="BQ176" s="401">
        <f>IF(ISBLANK(Actuals!BR86),-Helpers!BO5*Assumptions!$B$23,Actuals!BR86)</f>
        <v/>
      </c>
      <c r="BR176" s="401">
        <f>IF(ISBLANK(Actuals!BS86),-Helpers!BP5*Assumptions!$B$23,Actuals!BS86)</f>
        <v/>
      </c>
      <c r="BS176" s="401">
        <f>IF(ISBLANK(Actuals!BT86),-Helpers!BQ5*Assumptions!$B$23,Actuals!BT86)</f>
        <v/>
      </c>
      <c r="BT176" s="401">
        <f>IF(ISBLANK(Actuals!BU86),-Helpers!BR5*Assumptions!$B$23,Actuals!BU86)</f>
        <v/>
      </c>
      <c r="BU176" s="401">
        <f>IF(ISBLANK(Actuals!BV86),-Helpers!BS5*Assumptions!$B$23,Actuals!BV86)</f>
        <v/>
      </c>
      <c r="BV176" s="401">
        <f>IF(ISBLANK(Actuals!BW86),-Helpers!BT5*Assumptions!$B$23,Actuals!BW86)</f>
        <v/>
      </c>
      <c r="BW176" s="401">
        <f>IF(ISBLANK(Actuals!BX86),-Helpers!BU5*Assumptions!$B$23,Actuals!BX86)</f>
        <v/>
      </c>
      <c r="BX176" s="401">
        <f>IF(ISBLANK(Actuals!BY86),-Helpers!BV5*Assumptions!$B$23,Actuals!BY86)</f>
        <v/>
      </c>
      <c r="BY176" s="401">
        <f>IF(ISBLANK(Actuals!BZ86),-Helpers!BW5*Assumptions!$B$23,Actuals!BZ86)</f>
        <v/>
      </c>
      <c r="BZ176" s="401">
        <f>IF(ISBLANK(Actuals!CA86),-Helpers!BX5*Assumptions!$B$23,Actuals!CA86)</f>
        <v/>
      </c>
      <c r="CA176" s="401">
        <f>IF(ISBLANK(Actuals!CB86),-Helpers!BY5*Assumptions!$B$23,Actuals!CB86)</f>
        <v/>
      </c>
      <c r="CB176" s="401">
        <f>IF(ISBLANK(Actuals!CC86),-Helpers!BZ5*Assumptions!$B$23,Actuals!CC86)</f>
        <v/>
      </c>
      <c r="CC176" s="401">
        <f>IF(ISBLANK(Actuals!CD86),-Helpers!CA5*Assumptions!$B$23,Actuals!CD86)</f>
        <v/>
      </c>
      <c r="CD176" s="401">
        <f>IF(ISBLANK(Actuals!CE86),-Helpers!CB5*Assumptions!$B$23,Actuals!CE86)</f>
        <v/>
      </c>
      <c r="CE176" s="401">
        <f>IF(ISBLANK(Actuals!CF86),-Helpers!CC5*Assumptions!$B$23,Actuals!CF86)</f>
        <v/>
      </c>
      <c r="CF176" s="401">
        <f>IF(ISBLANK(Actuals!CG86),-Helpers!CD5*Assumptions!$B$23,Actuals!CG86)</f>
        <v/>
      </c>
      <c r="CG176" s="401">
        <f>IF(ISBLANK(Actuals!CH86),-Helpers!CE5*Assumptions!$B$23,Actuals!CH86)</f>
        <v/>
      </c>
      <c r="CH176" s="401">
        <f>IF(ISBLANK(Actuals!CI86),-Helpers!CF5*Assumptions!$B$23,Actuals!CI86)</f>
        <v/>
      </c>
      <c r="CI176" s="401">
        <f>IF(ISBLANK(Actuals!CJ86),-Helpers!CG5*Assumptions!$B$23,Actuals!CJ86)</f>
        <v/>
      </c>
      <c r="CJ176" s="401">
        <f>IF(ISBLANK(Actuals!CK86),-Helpers!CH5*Assumptions!$B$23,Actuals!CK86)</f>
        <v/>
      </c>
      <c r="CK176" s="401">
        <f>IF(ISBLANK(Actuals!CL86),-Helpers!CI5*Assumptions!$B$23,Actuals!CL86)</f>
        <v/>
      </c>
      <c r="CL176" s="401">
        <f>IF(ISBLANK(Actuals!CM86),-Helpers!CJ5*Assumptions!$B$23,Actuals!CM86)</f>
        <v/>
      </c>
      <c r="CM176" s="401">
        <f>IF(ISBLANK(Actuals!CN86),-Helpers!CK5*Assumptions!$B$23,Actuals!CN86)</f>
        <v/>
      </c>
      <c r="CN176" s="401">
        <f>IF(ISBLANK(Actuals!CO86),-Helpers!CL5*Assumptions!$B$23,Actuals!CO86)</f>
        <v/>
      </c>
      <c r="CO176" s="401">
        <f>IF(ISBLANK(Actuals!CP86),-Helpers!CM5*Assumptions!$B$23,Actuals!CP86)</f>
        <v/>
      </c>
      <c r="CP176" s="401">
        <f>IF(ISBLANK(Actuals!CQ86),-Helpers!CN5*Assumptions!$B$23,Actuals!CQ86)</f>
        <v/>
      </c>
      <c r="CQ176" s="401">
        <f>IF(ISBLANK(Actuals!CR86),-Helpers!CO5*Assumptions!$B$23,Actuals!CR86)</f>
        <v/>
      </c>
      <c r="CR176" s="401">
        <f>IF(ISBLANK(Actuals!CS86),-Helpers!CP5*Assumptions!$B$23,Actuals!CS86)</f>
        <v/>
      </c>
      <c r="CS176" s="401">
        <f>IF(ISBLANK(Actuals!CT86),-Helpers!CQ5*Assumptions!$B$23,Actuals!CT86)</f>
        <v/>
      </c>
      <c r="CT176" s="401">
        <f>IF(ISBLANK(Actuals!CU86),-Helpers!CR5*Assumptions!$B$23,Actuals!CU86)</f>
        <v/>
      </c>
      <c r="CU176" s="401">
        <f>IF(ISBLANK(Actuals!CV86),-Helpers!CS5*Assumptions!$B$23,Actuals!CV86)</f>
        <v/>
      </c>
      <c r="CV176" s="401">
        <f>IF(ISBLANK(Actuals!CW86),-Helpers!CT5*Assumptions!$B$23,Actuals!CW86)</f>
        <v/>
      </c>
      <c r="CW176" s="401">
        <f>IF(ISBLANK(Actuals!CX86),-Helpers!CU5*Assumptions!$B$23,Actuals!CX86)</f>
        <v/>
      </c>
      <c r="CX176" s="401">
        <f>IF(ISBLANK(Actuals!CY86),-Helpers!CV5*Assumptions!$B$23,Actuals!CY86)</f>
        <v/>
      </c>
      <c r="CY176" s="401">
        <f>IF(ISBLANK(Actuals!CZ86),-Helpers!CW5*Assumptions!$B$23,Actuals!CZ86)</f>
        <v/>
      </c>
      <c r="CZ176" s="401">
        <f>IF(ISBLANK(Actuals!DA86),-Helpers!CX5*Assumptions!$B$23,Actuals!DA86)</f>
        <v/>
      </c>
      <c r="DA176" s="401">
        <f>IF(ISBLANK(Actuals!DB86),-Helpers!CY5*Assumptions!$B$23,Actuals!DB86)</f>
        <v/>
      </c>
      <c r="DB176" s="401">
        <f>IF(ISBLANK(Actuals!DC86),-Helpers!CZ5*Assumptions!$B$23,Actuals!DC86)</f>
        <v/>
      </c>
      <c r="DC176" s="401">
        <f>IF(ISBLANK(Actuals!DD86),-Helpers!DA5*Assumptions!$B$23,Actuals!DD86)</f>
        <v/>
      </c>
      <c r="DD176" s="401">
        <f>IF(ISBLANK(Actuals!DE86),-Helpers!DB5*Assumptions!$B$23,Actuals!DE86)</f>
        <v/>
      </c>
      <c r="DE176" s="401">
        <f>IF(ISBLANK(Actuals!DF86),-Helpers!DC5*Assumptions!$B$23,Actuals!DF86)</f>
        <v/>
      </c>
    </row>
    <row r="177" ht="15" customFormat="1" customHeight="1" s="380">
      <c r="A177" s="415" t="inlineStr">
        <is>
          <t>5000-1005 Payroll Servicing Fees</t>
        </is>
      </c>
      <c r="B177" s="401">
        <f>IF(ISBLANK(Actuals!C87),0,Actuals!C87)</f>
        <v/>
      </c>
      <c r="C177" s="401">
        <f>IF(ISBLANK(Actuals!D87),0,Actuals!D87)</f>
        <v/>
      </c>
      <c r="D177" s="401">
        <f>IF(ISBLANK(Actuals!E87),0,Actuals!E87)</f>
        <v/>
      </c>
      <c r="E177" s="401">
        <f>IF(ISBLANK(Actuals!F87),-Helpers!C5*Assumptions!$B$21,Actuals!F87)</f>
        <v/>
      </c>
      <c r="F177" s="401">
        <f>IF(ISBLANK(Actuals!G87),-Helpers!D5*Assumptions!$B$21,Actuals!G87)</f>
        <v/>
      </c>
      <c r="G177" s="401">
        <f>IF(ISBLANK(Actuals!H87),-Helpers!E5*Assumptions!$B$21,Actuals!H87)</f>
        <v/>
      </c>
      <c r="H177" s="401">
        <f>IF(ISBLANK(Actuals!I87),-Helpers!F5*Assumptions!$B$21,Actuals!I87)</f>
        <v/>
      </c>
      <c r="I177" s="401">
        <f>IF(ISBLANK(Actuals!J87),-Helpers!G5*Assumptions!$B$21,Actuals!J87)</f>
        <v/>
      </c>
      <c r="J177" s="401">
        <f>IF(ISBLANK(Actuals!K87),-Helpers!H5*Assumptions!$B$21,Actuals!K87)</f>
        <v/>
      </c>
      <c r="K177" s="401">
        <f>IF(ISBLANK(Actuals!L87),-Helpers!I5*Assumptions!$B$21,Actuals!L87)</f>
        <v/>
      </c>
      <c r="L177" s="401">
        <f>IF(ISBLANK(Actuals!M87),-Helpers!J5*Assumptions!$B$21,Actuals!M87)</f>
        <v/>
      </c>
      <c r="M177" s="401">
        <f>IF(ISBLANK(Actuals!N87),-Helpers!K5*Assumptions!$B$21,Actuals!N87)</f>
        <v/>
      </c>
      <c r="N177" s="401">
        <f>IF(ISBLANK(Actuals!O87),-Helpers!L5*Assumptions!$B$21,Actuals!O87)</f>
        <v/>
      </c>
      <c r="O177" s="401">
        <f>IF(ISBLANK(Actuals!P87),-Helpers!M5*Assumptions!$B$21,Actuals!P87)</f>
        <v/>
      </c>
      <c r="P177" s="401">
        <f>IF(ISBLANK(Actuals!Q87),-Helpers!N5*Assumptions!$B$21,Actuals!Q87)</f>
        <v/>
      </c>
      <c r="Q177" s="401">
        <f>IF(ISBLANK(Actuals!R87),-Helpers!O5*Assumptions!$B$21,Actuals!R87)</f>
        <v/>
      </c>
      <c r="R177" s="401">
        <f>IF(ISBLANK(Actuals!S87),-Helpers!P5*Assumptions!$B$21,Actuals!S87)</f>
        <v/>
      </c>
      <c r="S177" s="401">
        <f>IF(ISBLANK(Actuals!T87),-Helpers!Q5*Assumptions!$B$21,Actuals!T87)</f>
        <v/>
      </c>
      <c r="T177" s="401">
        <f>IF(ISBLANK(Actuals!U87),-Helpers!R5*Assumptions!$B$21,Actuals!U87)</f>
        <v/>
      </c>
      <c r="U177" s="401">
        <f>IF(ISBLANK(Actuals!V87),-Helpers!S5*Assumptions!$B$21,Actuals!V87)</f>
        <v/>
      </c>
      <c r="V177" s="401">
        <f>IF(ISBLANK(Actuals!W87),-Helpers!T5*Assumptions!$B$21,Actuals!W87)</f>
        <v/>
      </c>
      <c r="W177" s="401">
        <f>IF(ISBLANK(Actuals!X87),-Helpers!U5*Assumptions!$B$21,Actuals!X87)</f>
        <v/>
      </c>
      <c r="X177" s="401">
        <f>IF(ISBLANK(Actuals!Y87),-Helpers!V5*Assumptions!$B$21,Actuals!Y87)</f>
        <v/>
      </c>
      <c r="Y177" s="401">
        <f>IF(ISBLANK(Actuals!Z87),-Helpers!W5*Assumptions!$B$21,Actuals!Z87)</f>
        <v/>
      </c>
      <c r="Z177" s="401">
        <f>IF(ISBLANK(Actuals!AA87),-Helpers!X5*Assumptions!$B$21,Actuals!AA87)</f>
        <v/>
      </c>
      <c r="AA177" s="401">
        <f>IF(ISBLANK(Actuals!AB87),-Helpers!Y5*Assumptions!$B$21,Actuals!AB87)</f>
        <v/>
      </c>
      <c r="AB177" s="401">
        <f>IF(ISBLANK(Actuals!AC87),-Helpers!Z5*Assumptions!$B$21,Actuals!AC87)</f>
        <v/>
      </c>
      <c r="AC177" s="401">
        <f>IF(ISBLANK(Actuals!AD87),-Helpers!AA5*Assumptions!$B$21,Actuals!AD87)</f>
        <v/>
      </c>
      <c r="AD177" s="401">
        <f>IF(ISBLANK(Actuals!AE87),-Helpers!AB5*Assumptions!$B$21,Actuals!AE87)</f>
        <v/>
      </c>
      <c r="AE177" s="401">
        <f>IF(ISBLANK(Actuals!AF87),-Helpers!AC5*Assumptions!$B$21,Actuals!AF87)</f>
        <v/>
      </c>
      <c r="AF177" s="401">
        <f>IF(ISBLANK(Actuals!AG87),-Helpers!AD5*Assumptions!$B$21,Actuals!AG87)</f>
        <v/>
      </c>
      <c r="AG177" s="401">
        <f>IF(ISBLANK(Actuals!AH87),-Helpers!AE5*Assumptions!$B$21,Actuals!AH87)</f>
        <v/>
      </c>
      <c r="AH177" s="401">
        <f>IF(ISBLANK(Actuals!AI87),-Helpers!AF5*Assumptions!$B$21,Actuals!AI87)</f>
        <v/>
      </c>
      <c r="AI177" s="401">
        <f>IF(ISBLANK(Actuals!AJ87),-Helpers!AG5*Assumptions!$B$21,Actuals!AJ87)</f>
        <v/>
      </c>
      <c r="AJ177" s="401">
        <f>IF(ISBLANK(Actuals!AK87),-Helpers!AH5*Assumptions!$B$21,Actuals!AK87)</f>
        <v/>
      </c>
      <c r="AK177" s="401">
        <f>IF(ISBLANK(Actuals!AL87),-Helpers!AI5*Assumptions!$B$21,Actuals!AL87)</f>
        <v/>
      </c>
      <c r="AL177" s="401">
        <f>IF(ISBLANK(Actuals!AM87),-Helpers!AJ5*Assumptions!$B$21,Actuals!AM87)</f>
        <v/>
      </c>
      <c r="AM177" s="401">
        <f>IF(ISBLANK(Actuals!AN87),-Helpers!AK5*Assumptions!$B$21,Actuals!AN87)</f>
        <v/>
      </c>
      <c r="AN177" s="401">
        <f>IF(ISBLANK(Actuals!AO87),-Helpers!AL5*Assumptions!$B$21,Actuals!AO87)</f>
        <v/>
      </c>
      <c r="AO177" s="401">
        <f>IF(ISBLANK(Actuals!AP87),-Helpers!AM5*Assumptions!$B$21,Actuals!AP87)</f>
        <v/>
      </c>
      <c r="AP177" s="401">
        <f>IF(ISBLANK(Actuals!AQ87),-Helpers!AN5*Assumptions!$B$21,Actuals!AQ87)</f>
        <v/>
      </c>
      <c r="AQ177" s="401">
        <f>IF(ISBLANK(Actuals!AR87),-Helpers!AO5*Assumptions!$B$21,Actuals!AR87)</f>
        <v/>
      </c>
      <c r="AR177" s="401">
        <f>IF(ISBLANK(Actuals!AS87),-Helpers!AP5*Assumptions!$B$21,Actuals!AS87)</f>
        <v/>
      </c>
      <c r="AS177" s="401">
        <f>IF(ISBLANK(Actuals!AT87),-Helpers!AQ5*Assumptions!$B$21,Actuals!AT87)</f>
        <v/>
      </c>
      <c r="AT177" s="401">
        <f>IF(ISBLANK(Actuals!AU87),-Helpers!AR5*Assumptions!$B$21,Actuals!AU87)</f>
        <v/>
      </c>
      <c r="AU177" s="401">
        <f>IF(ISBLANK(Actuals!AV87),-Helpers!AS5*Assumptions!$B$21,Actuals!AV87)</f>
        <v/>
      </c>
      <c r="AV177" s="401">
        <f>IF(ISBLANK(Actuals!AW87),-Helpers!AT5*Assumptions!$B$21,Actuals!AW87)</f>
        <v/>
      </c>
      <c r="AW177" s="401">
        <f>IF(ISBLANK(Actuals!AX87),-Helpers!AU5*Assumptions!$B$21,Actuals!AX87)</f>
        <v/>
      </c>
      <c r="AX177" s="401">
        <f>IF(ISBLANK(Actuals!AY87),-Helpers!AV5*Assumptions!$B$21,Actuals!AY87)</f>
        <v/>
      </c>
      <c r="AY177" s="401">
        <f>IF(ISBLANK(Actuals!AZ87),-Helpers!AW5*Assumptions!$B$21,Actuals!AZ87)</f>
        <v/>
      </c>
      <c r="AZ177" s="401">
        <f>IF(ISBLANK(Actuals!BA87),-Helpers!AX5*Assumptions!$B$21,Actuals!BA87)</f>
        <v/>
      </c>
      <c r="BA177" s="401">
        <f>IF(ISBLANK(Actuals!BB87),-Helpers!AY5*Assumptions!$B$21,Actuals!BB87)</f>
        <v/>
      </c>
      <c r="BB177" s="401">
        <f>IF(ISBLANK(Actuals!BC87),-Helpers!AZ5*Assumptions!$B$21,Actuals!BC87)</f>
        <v/>
      </c>
      <c r="BC177" s="401">
        <f>IF(ISBLANK(Actuals!BD87),-Helpers!BA5*Assumptions!$B$21,Actuals!BD87)</f>
        <v/>
      </c>
      <c r="BD177" s="401">
        <f>IF(ISBLANK(Actuals!BE87),-Helpers!BB5*Assumptions!$B$21,Actuals!BE87)</f>
        <v/>
      </c>
      <c r="BE177" s="401">
        <f>IF(ISBLANK(Actuals!BF87),-Helpers!BC5*Assumptions!$B$21,Actuals!BF87)</f>
        <v/>
      </c>
      <c r="BF177" s="401">
        <f>IF(ISBLANK(Actuals!BG87),-Helpers!BD5*Assumptions!$B$21,Actuals!BG87)</f>
        <v/>
      </c>
      <c r="BG177" s="401">
        <f>IF(ISBLANK(Actuals!BH87),-Helpers!BE5*Assumptions!$B$21,Actuals!BH87)</f>
        <v/>
      </c>
      <c r="BH177" s="401">
        <f>IF(ISBLANK(Actuals!BI87),-Helpers!BF5*Assumptions!$B$21,Actuals!BI87)</f>
        <v/>
      </c>
      <c r="BI177" s="401">
        <f>IF(ISBLANK(Actuals!BJ87),-Helpers!BG5*Assumptions!$B$21,Actuals!BJ87)</f>
        <v/>
      </c>
      <c r="BJ177" s="401">
        <f>IF(ISBLANK(Actuals!BK87),-Helpers!BH5*Assumptions!$B$21,Actuals!BK87)</f>
        <v/>
      </c>
      <c r="BK177" s="401">
        <f>IF(ISBLANK(Actuals!BL87),-Helpers!BI5*Assumptions!$B$21,Actuals!BL87)</f>
        <v/>
      </c>
      <c r="BL177" s="401">
        <f>IF(ISBLANK(Actuals!BM87),-Helpers!BJ5*Assumptions!$B$21,Actuals!BM87)</f>
        <v/>
      </c>
      <c r="BM177" s="401">
        <f>IF(ISBLANK(Actuals!BN87),-Helpers!BK5*Assumptions!$B$21,Actuals!BN87)</f>
        <v/>
      </c>
      <c r="BN177" s="401">
        <f>IF(ISBLANK(Actuals!BO87),-Helpers!BL5*Assumptions!$B$21,Actuals!BO87)</f>
        <v/>
      </c>
      <c r="BO177" s="401">
        <f>IF(ISBLANK(Actuals!BP87),-Helpers!BM5*Assumptions!$B$21,Actuals!BP87)</f>
        <v/>
      </c>
      <c r="BP177" s="401">
        <f>IF(ISBLANK(Actuals!BQ87),-Helpers!BN5*Assumptions!$B$21,Actuals!BQ87)</f>
        <v/>
      </c>
      <c r="BQ177" s="401">
        <f>IF(ISBLANK(Actuals!BR87),-Helpers!BO5*Assumptions!$B$21,Actuals!BR87)</f>
        <v/>
      </c>
      <c r="BR177" s="401">
        <f>IF(ISBLANK(Actuals!BS87),-Helpers!BP5*Assumptions!$B$21,Actuals!BS87)</f>
        <v/>
      </c>
      <c r="BS177" s="401">
        <f>IF(ISBLANK(Actuals!BT87),-Helpers!BQ5*Assumptions!$B$21,Actuals!BT87)</f>
        <v/>
      </c>
      <c r="BT177" s="401">
        <f>IF(ISBLANK(Actuals!BU87),-Helpers!BR5*Assumptions!$B$21,Actuals!BU87)</f>
        <v/>
      </c>
      <c r="BU177" s="401">
        <f>IF(ISBLANK(Actuals!BV87),-Helpers!BS5*Assumptions!$B$21,Actuals!BV87)</f>
        <v/>
      </c>
      <c r="BV177" s="401">
        <f>IF(ISBLANK(Actuals!BW87),-Helpers!BT5*Assumptions!$B$21,Actuals!BW87)</f>
        <v/>
      </c>
      <c r="BW177" s="401">
        <f>IF(ISBLANK(Actuals!BX87),-Helpers!BU5*Assumptions!$B$21,Actuals!BX87)</f>
        <v/>
      </c>
      <c r="BX177" s="401">
        <f>IF(ISBLANK(Actuals!BY87),-Helpers!BV5*Assumptions!$B$21,Actuals!BY87)</f>
        <v/>
      </c>
      <c r="BY177" s="401">
        <f>IF(ISBLANK(Actuals!BZ87),-Helpers!BW5*Assumptions!$B$21,Actuals!BZ87)</f>
        <v/>
      </c>
      <c r="BZ177" s="401">
        <f>IF(ISBLANK(Actuals!CA87),-Helpers!BX5*Assumptions!$B$21,Actuals!CA87)</f>
        <v/>
      </c>
      <c r="CA177" s="401">
        <f>IF(ISBLANK(Actuals!CB87),-Helpers!BY5*Assumptions!$B$21,Actuals!CB87)</f>
        <v/>
      </c>
      <c r="CB177" s="401">
        <f>IF(ISBLANK(Actuals!CC87),-Helpers!BZ5*Assumptions!$B$21,Actuals!CC87)</f>
        <v/>
      </c>
      <c r="CC177" s="401">
        <f>IF(ISBLANK(Actuals!CD87),-Helpers!CA5*Assumptions!$B$21,Actuals!CD87)</f>
        <v/>
      </c>
      <c r="CD177" s="401">
        <f>IF(ISBLANK(Actuals!CE87),-Helpers!CB5*Assumptions!$B$21,Actuals!CE87)</f>
        <v/>
      </c>
      <c r="CE177" s="401">
        <f>IF(ISBLANK(Actuals!CF87),-Helpers!CC5*Assumptions!$B$21,Actuals!CF87)</f>
        <v/>
      </c>
      <c r="CF177" s="401">
        <f>IF(ISBLANK(Actuals!CG87),-Helpers!CD5*Assumptions!$B$21,Actuals!CG87)</f>
        <v/>
      </c>
      <c r="CG177" s="401">
        <f>IF(ISBLANK(Actuals!CH87),-Helpers!CE5*Assumptions!$B$21,Actuals!CH87)</f>
        <v/>
      </c>
      <c r="CH177" s="401">
        <f>IF(ISBLANK(Actuals!CI87),-Helpers!CF5*Assumptions!$B$21,Actuals!CI87)</f>
        <v/>
      </c>
      <c r="CI177" s="401">
        <f>IF(ISBLANK(Actuals!CJ87),-Helpers!CG5*Assumptions!$B$21,Actuals!CJ87)</f>
        <v/>
      </c>
      <c r="CJ177" s="401">
        <f>IF(ISBLANK(Actuals!CK87),-Helpers!CH5*Assumptions!$B$21,Actuals!CK87)</f>
        <v/>
      </c>
      <c r="CK177" s="401">
        <f>IF(ISBLANK(Actuals!CL87),-Helpers!CI5*Assumptions!$B$21,Actuals!CL87)</f>
        <v/>
      </c>
      <c r="CL177" s="401">
        <f>IF(ISBLANK(Actuals!CM87),-Helpers!CJ5*Assumptions!$B$21,Actuals!CM87)</f>
        <v/>
      </c>
      <c r="CM177" s="401">
        <f>IF(ISBLANK(Actuals!CN87),-Helpers!CK5*Assumptions!$B$21,Actuals!CN87)</f>
        <v/>
      </c>
      <c r="CN177" s="401">
        <f>IF(ISBLANK(Actuals!CO87),-Helpers!CL5*Assumptions!$B$21,Actuals!CO87)</f>
        <v/>
      </c>
      <c r="CO177" s="401">
        <f>IF(ISBLANK(Actuals!CP87),-Helpers!CM5*Assumptions!$B$21,Actuals!CP87)</f>
        <v/>
      </c>
      <c r="CP177" s="401">
        <f>IF(ISBLANK(Actuals!CQ87),-Helpers!CN5*Assumptions!$B$21,Actuals!CQ87)</f>
        <v/>
      </c>
      <c r="CQ177" s="401">
        <f>IF(ISBLANK(Actuals!CR87),-Helpers!CO5*Assumptions!$B$21,Actuals!CR87)</f>
        <v/>
      </c>
      <c r="CR177" s="401">
        <f>IF(ISBLANK(Actuals!CS87),-Helpers!CP5*Assumptions!$B$21,Actuals!CS87)</f>
        <v/>
      </c>
      <c r="CS177" s="401">
        <f>IF(ISBLANK(Actuals!CT87),-Helpers!CQ5*Assumptions!$B$21,Actuals!CT87)</f>
        <v/>
      </c>
      <c r="CT177" s="401">
        <f>IF(ISBLANK(Actuals!CU87),-Helpers!CR5*Assumptions!$B$21,Actuals!CU87)</f>
        <v/>
      </c>
      <c r="CU177" s="401">
        <f>IF(ISBLANK(Actuals!CV87),-Helpers!CS5*Assumptions!$B$21,Actuals!CV87)</f>
        <v/>
      </c>
      <c r="CV177" s="401">
        <f>IF(ISBLANK(Actuals!CW87),-Helpers!CT5*Assumptions!$B$21,Actuals!CW87)</f>
        <v/>
      </c>
      <c r="CW177" s="401">
        <f>IF(ISBLANK(Actuals!CX87),-Helpers!CU5*Assumptions!$B$21,Actuals!CX87)</f>
        <v/>
      </c>
      <c r="CX177" s="401">
        <f>IF(ISBLANK(Actuals!CY87),-Helpers!CV5*Assumptions!$B$21,Actuals!CY87)</f>
        <v/>
      </c>
      <c r="CY177" s="401">
        <f>IF(ISBLANK(Actuals!CZ87),-Helpers!CW5*Assumptions!$B$21,Actuals!CZ87)</f>
        <v/>
      </c>
      <c r="CZ177" s="401">
        <f>IF(ISBLANK(Actuals!DA87),-Helpers!CX5*Assumptions!$B$21,Actuals!DA87)</f>
        <v/>
      </c>
      <c r="DA177" s="401">
        <f>IF(ISBLANK(Actuals!DB87),-Helpers!CY5*Assumptions!$B$21,Actuals!DB87)</f>
        <v/>
      </c>
      <c r="DB177" s="401">
        <f>IF(ISBLANK(Actuals!DC87),-Helpers!CZ5*Assumptions!$B$21,Actuals!DC87)</f>
        <v/>
      </c>
      <c r="DC177" s="401">
        <f>IF(ISBLANK(Actuals!DD87),-Helpers!DA5*Assumptions!$B$21,Actuals!DD87)</f>
        <v/>
      </c>
      <c r="DD177" s="401">
        <f>IF(ISBLANK(Actuals!DE87),-Helpers!DB5*Assumptions!$B$21,Actuals!DE87)</f>
        <v/>
      </c>
      <c r="DE177" s="401">
        <f>IF(ISBLANK(Actuals!DF87),-Helpers!DC5*Assumptions!$B$21,Actuals!DF87)</f>
        <v/>
      </c>
    </row>
    <row r="178" ht="15" customFormat="1" customHeight="1" s="380">
      <c r="A178" s="415" t="inlineStr">
        <is>
          <t>5100-1000 Rent Expense</t>
        </is>
      </c>
      <c r="B178" s="401">
        <f>IF(ISBLANK(Actuals!C88),0,Actuals!C88)</f>
        <v/>
      </c>
      <c r="C178" s="401">
        <f>IF(ISBLANK(Actuals!D88),0,Actuals!D88)</f>
        <v/>
      </c>
      <c r="D178" s="401">
        <f>IF(ISBLANK(Actuals!E88),0,Actuals!E88)</f>
        <v/>
      </c>
      <c r="E178" s="401">
        <f>IF(ISBLANK(Actuals!F88),-8500*Escalation!$B$2,Actuals!F88)</f>
        <v/>
      </c>
      <c r="F178" s="401">
        <f>IF(ISBLANK(Actuals!G88),-8500*Escalation!$B$3,Actuals!G88)</f>
        <v/>
      </c>
      <c r="G178" s="401">
        <f>IF(ISBLANK(Actuals!H88),-8500*Escalation!$B$4,Actuals!H88)</f>
        <v/>
      </c>
      <c r="H178" s="401">
        <f>IF(ISBLANK(Actuals!I88),-8500*Escalation!$B$5,Actuals!I88)</f>
        <v/>
      </c>
      <c r="I178" s="401">
        <f>IF(ISBLANK(Actuals!J88),-8500*Escalation!$B$6,Actuals!J88)</f>
        <v/>
      </c>
      <c r="J178" s="401">
        <f>IF(ISBLANK(Actuals!K88),-8500*Escalation!$B$7,Actuals!K88)</f>
        <v/>
      </c>
      <c r="K178" s="401">
        <f>IF(ISBLANK(Actuals!L88),-8500*Escalation!$B$8,Actuals!L88)</f>
        <v/>
      </c>
      <c r="L178" s="401">
        <f>IF(ISBLANK(Actuals!M88),-8500*Escalation!$B$9,Actuals!M88)</f>
        <v/>
      </c>
      <c r="M178" s="401">
        <f>IF(ISBLANK(Actuals!N88),-5000,Actuals!N88)</f>
        <v/>
      </c>
      <c r="N178" s="401">
        <f>IF(ISBLANK(Actuals!O88),-5000,Actuals!O88)</f>
        <v/>
      </c>
      <c r="O178" s="401">
        <f>IF(ISBLANK(Actuals!P88),-5000,Actuals!P88)</f>
        <v/>
      </c>
      <c r="P178" s="401">
        <f>IF(ISBLANK(Actuals!Q88),-5000,Actuals!Q88)</f>
        <v/>
      </c>
      <c r="Q178" s="401">
        <f>IF(ISBLANK(Actuals!R88),-5000,Actuals!R88)</f>
        <v/>
      </c>
      <c r="R178" s="401">
        <f>IF(ISBLANK(Actuals!S88),-5000,Actuals!S88)</f>
        <v/>
      </c>
      <c r="S178" s="401">
        <f>IF(ISBLANK(Actuals!T88),-5000,Actuals!T88)</f>
        <v/>
      </c>
      <c r="T178" s="401">
        <f>IF(ISBLANK(Actuals!U88),-5000,Actuals!U88)</f>
        <v/>
      </c>
      <c r="U178" s="401">
        <f>IF(ISBLANK(Actuals!V88),-5000,Actuals!V88)</f>
        <v/>
      </c>
      <c r="V178" s="401">
        <f>IF(ISBLANK(Actuals!W88),-5000,Actuals!W88)</f>
        <v/>
      </c>
      <c r="W178" s="401">
        <f>IF(ISBLANK(Actuals!X88),-5000,Actuals!X88)</f>
        <v/>
      </c>
      <c r="X178" s="401">
        <f>IF(ISBLANK(Actuals!Y88),-5000,Actuals!Y88)</f>
        <v/>
      </c>
      <c r="Y178" s="401">
        <f>IF(ISBLANK(Actuals!Z88),-5000,Actuals!Z88)</f>
        <v/>
      </c>
      <c r="Z178" s="401">
        <f>IF(ISBLANK(Actuals!AA88),-5000,Actuals!AA88)</f>
        <v/>
      </c>
      <c r="AA178" s="401">
        <f>IF(ISBLANK(Actuals!AB88),-5000,Actuals!AB88)</f>
        <v/>
      </c>
      <c r="AB178" s="401">
        <f>IF(ISBLANK(Actuals!AC88),-5000,Actuals!AC88)</f>
        <v/>
      </c>
      <c r="AC178" s="401">
        <f>IF(ISBLANK(Actuals!AD88),-5000,Actuals!AD88)</f>
        <v/>
      </c>
      <c r="AD178" s="401">
        <f>IF(ISBLANK(Actuals!AE88),-5000,Actuals!AE88)</f>
        <v/>
      </c>
      <c r="AE178" s="401">
        <f>IF(ISBLANK(Actuals!AF88),-5000,Actuals!AF88)</f>
        <v/>
      </c>
      <c r="AF178" s="401">
        <f>IF(ISBLANK(Actuals!AG88),-5000,Actuals!AG88)</f>
        <v/>
      </c>
      <c r="AG178" s="401">
        <f>IF(ISBLANK(Actuals!AH88),-5000,Actuals!AH88)</f>
        <v/>
      </c>
      <c r="AH178" s="401">
        <f>IF(ISBLANK(Actuals!AI88),-5000,Actuals!AI88)</f>
        <v/>
      </c>
      <c r="AI178" s="401">
        <f>IF(ISBLANK(Actuals!AJ88),-5000,Actuals!AJ88)</f>
        <v/>
      </c>
      <c r="AJ178" s="401">
        <f>IF(ISBLANK(Actuals!AK88),-5000,Actuals!AK88)</f>
        <v/>
      </c>
      <c r="AK178" s="401">
        <f>IF(ISBLANK(Actuals!AL88),-5000,Actuals!AL88)</f>
        <v/>
      </c>
      <c r="AL178" s="401">
        <f>IF(ISBLANK(Actuals!AM88),-5000,Actuals!AM88)</f>
        <v/>
      </c>
      <c r="AM178" s="401">
        <f>IF(ISBLANK(Actuals!AN88),-5000,Actuals!AN88)</f>
        <v/>
      </c>
      <c r="AN178" s="401">
        <f>IF(ISBLANK(Actuals!AO88),-5000,Actuals!AO88)</f>
        <v/>
      </c>
      <c r="AO178" s="401">
        <f>IF(ISBLANK(Actuals!AP88),-5000,Actuals!AP88)</f>
        <v/>
      </c>
      <c r="AP178" s="401">
        <f>IF(ISBLANK(Actuals!AQ88),-5000,Actuals!AQ88)</f>
        <v/>
      </c>
      <c r="AQ178" s="401">
        <f>IF(ISBLANK(Actuals!AR88),-5000,Actuals!AR88)</f>
        <v/>
      </c>
      <c r="AR178" s="401">
        <f>IF(ISBLANK(Actuals!AS88),-5000,Actuals!AS88)</f>
        <v/>
      </c>
      <c r="AS178" s="401">
        <f>IF(ISBLANK(Actuals!AT88),-5000,Actuals!AT88)</f>
        <v/>
      </c>
      <c r="AT178" s="401">
        <f>IF(ISBLANK(Actuals!AU88),-5000,Actuals!AU88)</f>
        <v/>
      </c>
      <c r="AU178" s="401">
        <f>IF(ISBLANK(Actuals!AV88),-5000,Actuals!AV88)</f>
        <v/>
      </c>
      <c r="AV178" s="401">
        <f>IF(ISBLANK(Actuals!AW88),-5000,Actuals!AW88)</f>
        <v/>
      </c>
      <c r="AW178" s="401">
        <f>IF(ISBLANK(Actuals!AX88),-5000,Actuals!AX88)</f>
        <v/>
      </c>
      <c r="AX178" s="401">
        <f>IF(ISBLANK(Actuals!AY88),-5000,Actuals!AY88)</f>
        <v/>
      </c>
      <c r="AY178" s="401">
        <f>IF(ISBLANK(Actuals!AZ88),-5000,Actuals!AZ88)</f>
        <v/>
      </c>
      <c r="AZ178" s="401">
        <f>IF(ISBLANK(Actuals!BA88),-5000,Actuals!BA88)</f>
        <v/>
      </c>
      <c r="BA178" s="401">
        <f>IF(ISBLANK(Actuals!BB88),-5000,Actuals!BB88)</f>
        <v/>
      </c>
      <c r="BB178" s="401">
        <f>IF(ISBLANK(Actuals!BC88),-5000,Actuals!BC88)</f>
        <v/>
      </c>
      <c r="BC178" s="401">
        <f>IF(ISBLANK(Actuals!BD88),-5000,Actuals!BD88)</f>
        <v/>
      </c>
      <c r="BD178" s="401">
        <f>IF(ISBLANK(Actuals!BE88),-5000,Actuals!BE88)</f>
        <v/>
      </c>
      <c r="BE178" s="401">
        <f>IF(ISBLANK(Actuals!BF88),-5000,Actuals!BF88)</f>
        <v/>
      </c>
      <c r="BF178" s="401">
        <f>IF(ISBLANK(Actuals!BG88),-5000,Actuals!BG88)</f>
        <v/>
      </c>
      <c r="BG178" s="401">
        <f>IF(ISBLANK(Actuals!BH88),-5000,Actuals!BH88)</f>
        <v/>
      </c>
      <c r="BH178" s="401">
        <f>IF(ISBLANK(Actuals!BI88),-5000,Actuals!BI88)</f>
        <v/>
      </c>
      <c r="BI178" s="401">
        <f>IF(ISBLANK(Actuals!BJ88),-5000,Actuals!BJ88)</f>
        <v/>
      </c>
      <c r="BJ178" s="401">
        <f>IF(ISBLANK(Actuals!BK88),-5000,Actuals!BK88)</f>
        <v/>
      </c>
      <c r="BK178" s="401">
        <f>IF(ISBLANK(Actuals!BL88),-5000,Actuals!BL88)</f>
        <v/>
      </c>
      <c r="BL178" s="401">
        <f>IF(ISBLANK(Actuals!BM88),-5000,Actuals!BM88)</f>
        <v/>
      </c>
      <c r="BM178" s="401">
        <f>IF(ISBLANK(Actuals!BN88),-5000,Actuals!BN88)</f>
        <v/>
      </c>
      <c r="BN178" s="401">
        <f>IF(ISBLANK(Actuals!BO88),-5000,Actuals!BO88)</f>
        <v/>
      </c>
      <c r="BO178" s="401">
        <f>IF(ISBLANK(Actuals!BP88),-5000,Actuals!BP88)</f>
        <v/>
      </c>
      <c r="BP178" s="401">
        <f>IF(ISBLANK(Actuals!BQ88),-5000,Actuals!BQ88)</f>
        <v/>
      </c>
      <c r="BQ178" s="401">
        <f>IF(ISBLANK(Actuals!BR88),-5000,Actuals!BR88)</f>
        <v/>
      </c>
      <c r="BR178" s="401">
        <f>IF(ISBLANK(Actuals!BS88),-5000,Actuals!BS88)</f>
        <v/>
      </c>
      <c r="BS178" s="401">
        <f>IF(ISBLANK(Actuals!BT88),-5000,Actuals!BT88)</f>
        <v/>
      </c>
      <c r="BT178" s="401">
        <f>IF(ISBLANK(Actuals!BU88),-5000,Actuals!BU88)</f>
        <v/>
      </c>
      <c r="BU178" s="401">
        <f>IF(ISBLANK(Actuals!BV88),-5000,Actuals!BV88)</f>
        <v/>
      </c>
      <c r="BV178" s="401">
        <f>IF(ISBLANK(Actuals!BW88),-5000,Actuals!BW88)</f>
        <v/>
      </c>
      <c r="BW178" s="401">
        <f>IF(ISBLANK(Actuals!BX88),-5000,Actuals!BX88)</f>
        <v/>
      </c>
      <c r="BX178" s="401">
        <f>IF(ISBLANK(Actuals!BY88),-5000,Actuals!BY88)</f>
        <v/>
      </c>
      <c r="BY178" s="401">
        <f>IF(ISBLANK(Actuals!BZ88),-5000,Actuals!BZ88)</f>
        <v/>
      </c>
      <c r="BZ178" s="401">
        <f>IF(ISBLANK(Actuals!CA88),-5000,Actuals!CA88)</f>
        <v/>
      </c>
      <c r="CA178" s="401">
        <f>IF(ISBLANK(Actuals!CB88),-5000,Actuals!CB88)</f>
        <v/>
      </c>
      <c r="CB178" s="401">
        <f>IF(ISBLANK(Actuals!CC88),-5000,Actuals!CC88)</f>
        <v/>
      </c>
      <c r="CC178" s="401">
        <f>IF(ISBLANK(Actuals!CD88),-5000,Actuals!CD88)</f>
        <v/>
      </c>
      <c r="CD178" s="401">
        <f>IF(ISBLANK(Actuals!CE88),-5000,Actuals!CE88)</f>
        <v/>
      </c>
      <c r="CE178" s="401">
        <f>IF(ISBLANK(Actuals!CF88),-5000,Actuals!CF88)</f>
        <v/>
      </c>
      <c r="CF178" s="401">
        <f>IF(ISBLANK(Actuals!CG88),-5000,Actuals!CG88)</f>
        <v/>
      </c>
      <c r="CG178" s="401">
        <f>IF(ISBLANK(Actuals!CH88),-5000,Actuals!CH88)</f>
        <v/>
      </c>
      <c r="CH178" s="401">
        <f>IF(ISBLANK(Actuals!CI88),-5000,Actuals!CI88)</f>
        <v/>
      </c>
      <c r="CI178" s="401">
        <f>IF(ISBLANK(Actuals!CJ88),-5000,Actuals!CJ88)</f>
        <v/>
      </c>
      <c r="CJ178" s="401">
        <f>IF(ISBLANK(Actuals!CK88),-5000,Actuals!CK88)</f>
        <v/>
      </c>
      <c r="CK178" s="401">
        <f>IF(ISBLANK(Actuals!CL88),-5000,Actuals!CL88)</f>
        <v/>
      </c>
      <c r="CL178" s="401">
        <f>IF(ISBLANK(Actuals!CM88),-5000,Actuals!CM88)</f>
        <v/>
      </c>
      <c r="CM178" s="401">
        <f>IF(ISBLANK(Actuals!CN88),-5000,Actuals!CN88)</f>
        <v/>
      </c>
      <c r="CN178" s="401">
        <f>IF(ISBLANK(Actuals!CO88),-5000,Actuals!CO88)</f>
        <v/>
      </c>
      <c r="CO178" s="401">
        <f>IF(ISBLANK(Actuals!CP88),-5000,Actuals!CP88)</f>
        <v/>
      </c>
      <c r="CP178" s="401">
        <f>IF(ISBLANK(Actuals!CQ88),-5000,Actuals!CQ88)</f>
        <v/>
      </c>
      <c r="CQ178" s="401">
        <f>IF(ISBLANK(Actuals!CR88),-5000,Actuals!CR88)</f>
        <v/>
      </c>
      <c r="CR178" s="401">
        <f>IF(ISBLANK(Actuals!CS88),-5000,Actuals!CS88)</f>
        <v/>
      </c>
      <c r="CS178" s="401">
        <f>IF(ISBLANK(Actuals!CT88),-5000,Actuals!CT88)</f>
        <v/>
      </c>
      <c r="CT178" s="401">
        <f>IF(ISBLANK(Actuals!CU88),-5000,Actuals!CU88)</f>
        <v/>
      </c>
      <c r="CU178" s="401">
        <f>IF(ISBLANK(Actuals!CV88),-5000,Actuals!CV88)</f>
        <v/>
      </c>
      <c r="CV178" s="401">
        <f>IF(ISBLANK(Actuals!CW88),-5000,Actuals!CW88)</f>
        <v/>
      </c>
      <c r="CW178" s="401">
        <f>IF(ISBLANK(Actuals!CX88),-5000,Actuals!CX88)</f>
        <v/>
      </c>
      <c r="CX178" s="401">
        <f>IF(ISBLANK(Actuals!CY88),-5000,Actuals!CY88)</f>
        <v/>
      </c>
      <c r="CY178" s="401">
        <f>IF(ISBLANK(Actuals!CZ88),-5000,Actuals!CZ88)</f>
        <v/>
      </c>
      <c r="CZ178" s="401">
        <f>IF(ISBLANK(Actuals!DA88),-5000,Actuals!DA88)</f>
        <v/>
      </c>
      <c r="DA178" s="401">
        <f>IF(ISBLANK(Actuals!DB88),-5000,Actuals!DB88)</f>
        <v/>
      </c>
      <c r="DB178" s="401">
        <f>IF(ISBLANK(Actuals!DC88),-5000,Actuals!DC88)</f>
        <v/>
      </c>
      <c r="DC178" s="401">
        <f>IF(ISBLANK(Actuals!DD88),-5000,Actuals!DD88)</f>
        <v/>
      </c>
      <c r="DD178" s="401">
        <f>IF(ISBLANK(Actuals!DE88),-5000,Actuals!DE88)</f>
        <v/>
      </c>
      <c r="DE178" s="401">
        <f>IF(ISBLANK(Actuals!DF88),-5000,Actuals!DF88)</f>
        <v/>
      </c>
    </row>
    <row r="179" ht="15" customFormat="1" customHeight="1" s="380">
      <c r="A179" s="415" t="inlineStr">
        <is>
          <t>5200-1000 Office Supplies and Expenses</t>
        </is>
      </c>
      <c r="B179" s="401">
        <f>IF(ISBLANK(Actuals!C89),0,Actuals!C89)</f>
        <v/>
      </c>
      <c r="C179" s="401">
        <f>IF(ISBLANK(Actuals!D89),0,Actuals!D89)</f>
        <v/>
      </c>
      <c r="D179" s="401">
        <f>IF(ISBLANK(Actuals!E89),0,Actuals!E89)</f>
        <v/>
      </c>
      <c r="E179" s="401">
        <f>IF(ISBLANK(Actuals!F89),-583.8*Escalation!$B$2,Actuals!F89)</f>
        <v/>
      </c>
      <c r="F179" s="401">
        <f>IF(ISBLANK(Actuals!G89),-583.8*Escalation!$B$3,Actuals!G89)</f>
        <v/>
      </c>
      <c r="G179" s="401">
        <f>IF(ISBLANK(Actuals!H89),-583.8*Escalation!$B$4,Actuals!H89)</f>
        <v/>
      </c>
      <c r="H179" s="401">
        <f>IF(ISBLANK(Actuals!I89),-583.8*Escalation!$B$5,Actuals!I89)</f>
        <v/>
      </c>
      <c r="I179" s="401">
        <f>IF(ISBLANK(Actuals!J89),-583.8*Escalation!$B$6,Actuals!J89)</f>
        <v/>
      </c>
      <c r="J179" s="401">
        <f>IF(ISBLANK(Actuals!K89),-583.8*Escalation!$B$7,Actuals!K89)</f>
        <v/>
      </c>
      <c r="K179" s="401">
        <f>IF(ISBLANK(Actuals!L89),-583.8*Escalation!$B$8,Actuals!L89)</f>
        <v/>
      </c>
      <c r="L179" s="401">
        <f>IF(ISBLANK(Actuals!M89),-583.8*Escalation!$B$9,Actuals!M89)</f>
        <v/>
      </c>
      <c r="M179" s="401">
        <f>IF(ISBLANK(Actuals!N89),-583.8*Escalation!$B$10,Actuals!N89)</f>
        <v/>
      </c>
      <c r="N179" s="401">
        <f>IF(ISBLANK(Actuals!O89),-583.8*Escalation!$B$11,Actuals!O89)</f>
        <v/>
      </c>
      <c r="O179" s="401">
        <f>IF(ISBLANK(Actuals!P89),-583.8*Escalation!$B$12,Actuals!P89)</f>
        <v/>
      </c>
      <c r="P179" s="401">
        <f>IF(ISBLANK(Actuals!Q89),-583.8*Escalation!$B$13,Actuals!Q89)</f>
        <v/>
      </c>
      <c r="Q179" s="401">
        <f>IF(ISBLANK(Actuals!R89),-583.8*Escalation!$B$14,Actuals!R89)</f>
        <v/>
      </c>
      <c r="R179" s="401">
        <f>IF(ISBLANK(Actuals!S89),-583.8*Escalation!$B$15,Actuals!S89)</f>
        <v/>
      </c>
      <c r="S179" s="401">
        <f>IF(ISBLANK(Actuals!T89),-583.8*Escalation!$B$16,Actuals!T89)</f>
        <v/>
      </c>
      <c r="T179" s="401">
        <f>IF(ISBLANK(Actuals!U89),-583.8*Escalation!$B$17,Actuals!U89)</f>
        <v/>
      </c>
      <c r="U179" s="401">
        <f>IF(ISBLANK(Actuals!V89),-583.8*Escalation!$B$18,Actuals!V89)</f>
        <v/>
      </c>
      <c r="V179" s="401">
        <f>IF(ISBLANK(Actuals!W89),-583.8*Escalation!$B$19,Actuals!W89)</f>
        <v/>
      </c>
      <c r="W179" s="401">
        <f>IF(ISBLANK(Actuals!X89),-583.8*Escalation!$B$20,Actuals!X89)</f>
        <v/>
      </c>
      <c r="X179" s="401">
        <f>IF(ISBLANK(Actuals!Y89),-583.8*Escalation!$B$21,Actuals!Y89)</f>
        <v/>
      </c>
      <c r="Y179" s="401">
        <f>IF(ISBLANK(Actuals!Z89),-583.8*Escalation!$B$22,Actuals!Z89)</f>
        <v/>
      </c>
      <c r="Z179" s="401">
        <f>IF(ISBLANK(Actuals!AA89),-583.8*Escalation!$B$23,Actuals!AA89)</f>
        <v/>
      </c>
      <c r="AA179" s="401">
        <f>IF(ISBLANK(Actuals!AB89),-583.8*Escalation!$B$24,Actuals!AB89)</f>
        <v/>
      </c>
      <c r="AB179" s="401">
        <f>IF(ISBLANK(Actuals!AC89),-583.8*Escalation!$B$25,Actuals!AC89)</f>
        <v/>
      </c>
      <c r="AC179" s="401">
        <f>IF(ISBLANK(Actuals!AD89),-583.8*Escalation!$B$26,Actuals!AD89)</f>
        <v/>
      </c>
      <c r="AD179" s="401">
        <f>IF(ISBLANK(Actuals!AE89),-583.8*Escalation!$B$27,Actuals!AE89)</f>
        <v/>
      </c>
      <c r="AE179" s="401">
        <f>IF(ISBLANK(Actuals!AF89),-583.8*Escalation!$B$28,Actuals!AF89)</f>
        <v/>
      </c>
      <c r="AF179" s="401">
        <f>IF(ISBLANK(Actuals!AG89),-583.8*Escalation!$B$29,Actuals!AG89)</f>
        <v/>
      </c>
      <c r="AG179" s="401">
        <f>IF(ISBLANK(Actuals!AH89),-583.8*Escalation!$B$30,Actuals!AH89)</f>
        <v/>
      </c>
      <c r="AH179" s="401">
        <f>IF(ISBLANK(Actuals!AI89),-583.8*Escalation!$B$31,Actuals!AI89)</f>
        <v/>
      </c>
      <c r="AI179" s="401">
        <f>IF(ISBLANK(Actuals!AJ89),-583.8*Escalation!$B$32,Actuals!AJ89)</f>
        <v/>
      </c>
      <c r="AJ179" s="401">
        <f>IF(ISBLANK(Actuals!AK89),-583.8*Escalation!$B$33,Actuals!AK89)</f>
        <v/>
      </c>
      <c r="AK179" s="401">
        <f>IF(ISBLANK(Actuals!AL89),-583.8*Escalation!$B$34,Actuals!AL89)</f>
        <v/>
      </c>
      <c r="AL179" s="401">
        <f>IF(ISBLANK(Actuals!AM89),-583.8*Escalation!$B$35,Actuals!AM89)</f>
        <v/>
      </c>
      <c r="AM179" s="401">
        <f>IF(ISBLANK(Actuals!AN89),-583.8*Escalation!$B$36,Actuals!AN89)</f>
        <v/>
      </c>
      <c r="AN179" s="401">
        <f>IF(ISBLANK(Actuals!AO89),-583.8*Escalation!$B$37,Actuals!AO89)</f>
        <v/>
      </c>
      <c r="AO179" s="401">
        <f>IF(ISBLANK(Actuals!AP89),-583.8*Escalation!$B$38,Actuals!AP89)</f>
        <v/>
      </c>
      <c r="AP179" s="401">
        <f>IF(ISBLANK(Actuals!AQ89),-583.8*Escalation!$B$39,Actuals!AQ89)</f>
        <v/>
      </c>
      <c r="AQ179" s="401">
        <f>IF(ISBLANK(Actuals!AR89),-583.8*Escalation!$B$40,Actuals!AR89)</f>
        <v/>
      </c>
      <c r="AR179" s="401">
        <f>IF(ISBLANK(Actuals!AS89),-583.8*Escalation!$B$41,Actuals!AS89)</f>
        <v/>
      </c>
      <c r="AS179" s="401">
        <f>IF(ISBLANK(Actuals!AT89),-583.8*Escalation!$B$42,Actuals!AT89)</f>
        <v/>
      </c>
      <c r="AT179" s="401">
        <f>IF(ISBLANK(Actuals!AU89),-583.8*Escalation!$B$43,Actuals!AU89)</f>
        <v/>
      </c>
      <c r="AU179" s="401">
        <f>IF(ISBLANK(Actuals!AV89),-583.8*Escalation!$B$44,Actuals!AV89)</f>
        <v/>
      </c>
      <c r="AV179" s="401">
        <f>IF(ISBLANK(Actuals!AW89),-583.8*Escalation!$B$45,Actuals!AW89)</f>
        <v/>
      </c>
      <c r="AW179" s="401">
        <f>IF(ISBLANK(Actuals!AX89),-583.8*Escalation!$B$46,Actuals!AX89)</f>
        <v/>
      </c>
      <c r="AX179" s="401">
        <f>IF(ISBLANK(Actuals!AY89),-583.8*Escalation!$B$47,Actuals!AY89)</f>
        <v/>
      </c>
      <c r="AY179" s="401">
        <f>IF(ISBLANK(Actuals!AZ89),-583.8*Escalation!$B$48,Actuals!AZ89)</f>
        <v/>
      </c>
      <c r="AZ179" s="401">
        <f>IF(ISBLANK(Actuals!BA89),-583.8*Escalation!$B$49,Actuals!BA89)</f>
        <v/>
      </c>
      <c r="BA179" s="401">
        <f>IF(ISBLANK(Actuals!BB89),-583.8*Escalation!$B$50,Actuals!BB89)</f>
        <v/>
      </c>
      <c r="BB179" s="401">
        <f>IF(ISBLANK(Actuals!BC89),-583.8*Escalation!$B$51,Actuals!BC89)</f>
        <v/>
      </c>
      <c r="BC179" s="401">
        <f>IF(ISBLANK(Actuals!BD89),-583.8*Escalation!$B$52,Actuals!BD89)</f>
        <v/>
      </c>
      <c r="BD179" s="401">
        <f>IF(ISBLANK(Actuals!BE89),-583.8*Escalation!$B$53,Actuals!BE89)</f>
        <v/>
      </c>
      <c r="BE179" s="401">
        <f>IF(ISBLANK(Actuals!BF89),-583.8*Escalation!$B$54,Actuals!BF89)</f>
        <v/>
      </c>
      <c r="BF179" s="401">
        <f>IF(ISBLANK(Actuals!BG89),-583.8*Escalation!$B$55,Actuals!BG89)</f>
        <v/>
      </c>
      <c r="BG179" s="401">
        <f>IF(ISBLANK(Actuals!BH89),-583.8*Escalation!$B$56,Actuals!BH89)</f>
        <v/>
      </c>
      <c r="BH179" s="401">
        <f>IF(ISBLANK(Actuals!BI89),-583.8*Escalation!$B$57,Actuals!BI89)</f>
        <v/>
      </c>
      <c r="BI179" s="401">
        <f>IF(ISBLANK(Actuals!BJ89),-583.8*Escalation!$B$58,Actuals!BJ89)</f>
        <v/>
      </c>
      <c r="BJ179" s="401">
        <f>IF(ISBLANK(Actuals!BK89),-583.8*Escalation!$B$59,Actuals!BK89)</f>
        <v/>
      </c>
      <c r="BK179" s="401">
        <f>IF(ISBLANK(Actuals!BL89),-583.8*Escalation!$B$60,Actuals!BL89)</f>
        <v/>
      </c>
      <c r="BL179" s="401">
        <f>IF(ISBLANK(Actuals!BM89),-583.8*Escalation!$B$61,Actuals!BM89)</f>
        <v/>
      </c>
      <c r="BM179" s="401">
        <f>IF(ISBLANK(Actuals!BN89),-583.8*Escalation!$B$62,Actuals!BN89)</f>
        <v/>
      </c>
      <c r="BN179" s="401">
        <f>IF(ISBLANK(Actuals!BO89),-583.8*Escalation!$B$63,Actuals!BO89)</f>
        <v/>
      </c>
      <c r="BO179" s="401">
        <f>IF(ISBLANK(Actuals!BP89),-583.8*Escalation!$B$64,Actuals!BP89)</f>
        <v/>
      </c>
      <c r="BP179" s="401">
        <f>IF(ISBLANK(Actuals!BQ89),-583.8*Escalation!$B$65,Actuals!BQ89)</f>
        <v/>
      </c>
      <c r="BQ179" s="401">
        <f>IF(ISBLANK(Actuals!BR89),-583.8*Escalation!$B$66,Actuals!BR89)</f>
        <v/>
      </c>
      <c r="BR179" s="401">
        <f>IF(ISBLANK(Actuals!BS89),-583.8*Escalation!$B$67,Actuals!BS89)</f>
        <v/>
      </c>
      <c r="BS179" s="401">
        <f>IF(ISBLANK(Actuals!BT89),-583.8*Escalation!$B$68,Actuals!BT89)</f>
        <v/>
      </c>
      <c r="BT179" s="401">
        <f>IF(ISBLANK(Actuals!BU89),-583.8*Escalation!$B$69,Actuals!BU89)</f>
        <v/>
      </c>
      <c r="BU179" s="401">
        <f>IF(ISBLANK(Actuals!BV89),-583.8*Escalation!$B$70,Actuals!BV89)</f>
        <v/>
      </c>
      <c r="BV179" s="401">
        <f>IF(ISBLANK(Actuals!BW89),-583.8*Escalation!$B$71,Actuals!BW89)</f>
        <v/>
      </c>
      <c r="BW179" s="401">
        <f>IF(ISBLANK(Actuals!BX89),-583.8*Escalation!$B$72,Actuals!BX89)</f>
        <v/>
      </c>
      <c r="BX179" s="401">
        <f>IF(ISBLANK(Actuals!BY89),-583.8*Escalation!$B$73,Actuals!BY89)</f>
        <v/>
      </c>
      <c r="BY179" s="401">
        <f>IF(ISBLANK(Actuals!BZ89),-583.8*Escalation!$B$74,Actuals!BZ89)</f>
        <v/>
      </c>
      <c r="BZ179" s="401">
        <f>IF(ISBLANK(Actuals!CA89),-583.8*Escalation!$B$75,Actuals!CA89)</f>
        <v/>
      </c>
      <c r="CA179" s="401">
        <f>IF(ISBLANK(Actuals!CB89),-583.8*Escalation!$B$76,Actuals!CB89)</f>
        <v/>
      </c>
      <c r="CB179" s="401">
        <f>IF(ISBLANK(Actuals!CC89),-583.8*Escalation!$B$77,Actuals!CC89)</f>
        <v/>
      </c>
      <c r="CC179" s="401">
        <f>IF(ISBLANK(Actuals!CD89),-583.8*Escalation!$B$78,Actuals!CD89)</f>
        <v/>
      </c>
      <c r="CD179" s="401">
        <f>IF(ISBLANK(Actuals!CE89),-583.8*Escalation!$B$79,Actuals!CE89)</f>
        <v/>
      </c>
      <c r="CE179" s="401">
        <f>IF(ISBLANK(Actuals!CF89),-583.8*Escalation!$B$80,Actuals!CF89)</f>
        <v/>
      </c>
      <c r="CF179" s="401">
        <f>IF(ISBLANK(Actuals!CG89),-583.8*Escalation!$B$81,Actuals!CG89)</f>
        <v/>
      </c>
      <c r="CG179" s="401">
        <f>IF(ISBLANK(Actuals!CH89),-583.8*Escalation!$B$82,Actuals!CH89)</f>
        <v/>
      </c>
      <c r="CH179" s="401">
        <f>IF(ISBLANK(Actuals!CI89),-583.8*Escalation!$B$83,Actuals!CI89)</f>
        <v/>
      </c>
      <c r="CI179" s="401">
        <f>IF(ISBLANK(Actuals!CJ89),-583.8*Escalation!$B$84,Actuals!CJ89)</f>
        <v/>
      </c>
      <c r="CJ179" s="401">
        <f>IF(ISBLANK(Actuals!CK89),-583.8*Escalation!$B$85,Actuals!CK89)</f>
        <v/>
      </c>
      <c r="CK179" s="401">
        <f>IF(ISBLANK(Actuals!CL89),-583.8*Escalation!$B$86,Actuals!CL89)</f>
        <v/>
      </c>
      <c r="CL179" s="401">
        <f>IF(ISBLANK(Actuals!CM89),-583.8*Escalation!$B$87,Actuals!CM89)</f>
        <v/>
      </c>
      <c r="CM179" s="401">
        <f>IF(ISBLANK(Actuals!CN89),-583.8*Escalation!$B$88,Actuals!CN89)</f>
        <v/>
      </c>
      <c r="CN179" s="401">
        <f>IF(ISBLANK(Actuals!CO89),-583.8*Escalation!$B$89,Actuals!CO89)</f>
        <v/>
      </c>
      <c r="CO179" s="401">
        <f>IF(ISBLANK(Actuals!CP89),-583.8*Escalation!$B$90,Actuals!CP89)</f>
        <v/>
      </c>
      <c r="CP179" s="401">
        <f>IF(ISBLANK(Actuals!CQ89),-583.8*Escalation!$B$91,Actuals!CQ89)</f>
        <v/>
      </c>
      <c r="CQ179" s="401">
        <f>IF(ISBLANK(Actuals!CR89),-583.8*Escalation!$B$92,Actuals!CR89)</f>
        <v/>
      </c>
      <c r="CR179" s="401">
        <f>IF(ISBLANK(Actuals!CS89),-583.8*Escalation!$B$93,Actuals!CS89)</f>
        <v/>
      </c>
      <c r="CS179" s="401">
        <f>IF(ISBLANK(Actuals!CT89),-583.8*Escalation!$B$94,Actuals!CT89)</f>
        <v/>
      </c>
      <c r="CT179" s="401">
        <f>IF(ISBLANK(Actuals!CU89),-583.8*Escalation!$B$95,Actuals!CU89)</f>
        <v/>
      </c>
      <c r="CU179" s="401">
        <f>IF(ISBLANK(Actuals!CV89),-583.8*Escalation!$B$96,Actuals!CV89)</f>
        <v/>
      </c>
      <c r="CV179" s="401">
        <f>IF(ISBLANK(Actuals!CW89),-583.8*Escalation!$B$97,Actuals!CW89)</f>
        <v/>
      </c>
      <c r="CW179" s="401">
        <f>IF(ISBLANK(Actuals!CX89),-583.8*Escalation!$B$98,Actuals!CX89)</f>
        <v/>
      </c>
      <c r="CX179" s="401">
        <f>IF(ISBLANK(Actuals!CY89),-583.8*Escalation!$B$99,Actuals!CY89)</f>
        <v/>
      </c>
      <c r="CY179" s="401">
        <f>IF(ISBLANK(Actuals!CZ89),-583.8*Escalation!$B$100,Actuals!CZ89)</f>
        <v/>
      </c>
      <c r="CZ179" s="401">
        <f>IF(ISBLANK(Actuals!DA89),-583.8*Escalation!$B$101,Actuals!DA89)</f>
        <v/>
      </c>
      <c r="DA179" s="401">
        <f>IF(ISBLANK(Actuals!DB89),-583.8*Escalation!$B$102,Actuals!DB89)</f>
        <v/>
      </c>
      <c r="DB179" s="401">
        <f>IF(ISBLANK(Actuals!DC89),-583.8*Escalation!$B$103,Actuals!DC89)</f>
        <v/>
      </c>
      <c r="DC179" s="401">
        <f>IF(ISBLANK(Actuals!DD89),-583.8*Escalation!$B$104,Actuals!DD89)</f>
        <v/>
      </c>
      <c r="DD179" s="401">
        <f>IF(ISBLANK(Actuals!DE89),-583.8*Escalation!$B$105,Actuals!DE89)</f>
        <v/>
      </c>
      <c r="DE179" s="401">
        <f>IF(ISBLANK(Actuals!DF89),-583.8*Escalation!$B$106,Actuals!DF89)</f>
        <v/>
      </c>
    </row>
    <row r="180" ht="15" customFormat="1" customHeight="1" s="380">
      <c r="A180" s="415" t="inlineStr">
        <is>
          <t>5200-1053 IT Software and Subscriptions</t>
        </is>
      </c>
      <c r="B180" s="401">
        <f>IF(ISBLANK(Actuals!C90),0,Actuals!C90)</f>
        <v/>
      </c>
      <c r="C180" s="401">
        <f>IF(ISBLANK(Actuals!D90),0,Actuals!D90)</f>
        <v/>
      </c>
      <c r="D180" s="401">
        <f>IF(ISBLANK(Actuals!E90),0,Actuals!E90)</f>
        <v/>
      </c>
      <c r="E180" s="401">
        <f>IF(ISBLANK(Actuals!F90),-1497.86*Escalation!$B$2,Actuals!F90)</f>
        <v/>
      </c>
      <c r="F180" s="401">
        <f>IF(ISBLANK(Actuals!G90),-1497.86*Escalation!$B$3,Actuals!G90)</f>
        <v/>
      </c>
      <c r="G180" s="401">
        <f>IF(ISBLANK(Actuals!H90),-1497.86*Escalation!$B$4,Actuals!H90)</f>
        <v/>
      </c>
      <c r="H180" s="401">
        <f>IF(ISBLANK(Actuals!I90),-1497.86*Escalation!$B$5,Actuals!I90)</f>
        <v/>
      </c>
      <c r="I180" s="401">
        <f>IF(ISBLANK(Actuals!J90),-1497.86*Escalation!$B$6,Actuals!J90)</f>
        <v/>
      </c>
      <c r="J180" s="401">
        <f>IF(ISBLANK(Actuals!K90),-1497.86*Escalation!$B$7,Actuals!K90)</f>
        <v/>
      </c>
      <c r="K180" s="401">
        <f>IF(ISBLANK(Actuals!L90),-1497.86*Escalation!$B$8,Actuals!L90)</f>
        <v/>
      </c>
      <c r="L180" s="401">
        <f>IF(ISBLANK(Actuals!M90),-1497.86*Escalation!$B$9,Actuals!M90)</f>
        <v/>
      </c>
      <c r="M180" s="401">
        <f>IF(ISBLANK(Actuals!N90),-1497.86*Escalation!$B$10,Actuals!N90)</f>
        <v/>
      </c>
      <c r="N180" s="401">
        <f>IF(ISBLANK(Actuals!O90),-1497.86*Escalation!$B$11,Actuals!O90)</f>
        <v/>
      </c>
      <c r="O180" s="401">
        <f>IF(ISBLANK(Actuals!P90),-1497.86*Escalation!$B$12,Actuals!P90)</f>
        <v/>
      </c>
      <c r="P180" s="401">
        <f>IF(ISBLANK(Actuals!Q90),-1497.86*Escalation!$B$13,Actuals!Q90)</f>
        <v/>
      </c>
      <c r="Q180" s="401">
        <f>IF(ISBLANK(Actuals!R90),-1497.86*Escalation!$B$14,Actuals!R90)</f>
        <v/>
      </c>
      <c r="R180" s="401">
        <f>IF(ISBLANK(Actuals!S90),-1497.86*Escalation!$B$15,Actuals!S90)</f>
        <v/>
      </c>
      <c r="S180" s="401">
        <f>IF(ISBLANK(Actuals!T90),-1497.86*Escalation!$B$16,Actuals!T90)</f>
        <v/>
      </c>
      <c r="T180" s="401">
        <f>IF(ISBLANK(Actuals!U90),-1497.86*Escalation!$B$17,Actuals!U90)</f>
        <v/>
      </c>
      <c r="U180" s="401">
        <f>IF(ISBLANK(Actuals!V90),-1497.86*Escalation!$B$18,Actuals!V90)</f>
        <v/>
      </c>
      <c r="V180" s="401">
        <f>IF(ISBLANK(Actuals!W90),-1497.86*Escalation!$B$19,Actuals!W90)</f>
        <v/>
      </c>
      <c r="W180" s="401">
        <f>IF(ISBLANK(Actuals!X90),-1497.86*Escalation!$B$20,Actuals!X90)</f>
        <v/>
      </c>
      <c r="X180" s="401">
        <f>IF(ISBLANK(Actuals!Y90),-1497.86*Escalation!$B$21,Actuals!Y90)</f>
        <v/>
      </c>
      <c r="Y180" s="401">
        <f>IF(ISBLANK(Actuals!Z90),-1497.86*Escalation!$B$22,Actuals!Z90)</f>
        <v/>
      </c>
      <c r="Z180" s="401">
        <f>IF(ISBLANK(Actuals!AA90),-1497.86*Escalation!$B$23,Actuals!AA90)</f>
        <v/>
      </c>
      <c r="AA180" s="401">
        <f>IF(ISBLANK(Actuals!AB90),-1497.86*Escalation!$B$24,Actuals!AB90)</f>
        <v/>
      </c>
      <c r="AB180" s="401">
        <f>IF(ISBLANK(Actuals!AC90),-1497.86*Escalation!$B$25,Actuals!AC90)</f>
        <v/>
      </c>
      <c r="AC180" s="401">
        <f>IF(ISBLANK(Actuals!AD90),-1497.86*Escalation!$B$26,Actuals!AD90)</f>
        <v/>
      </c>
      <c r="AD180" s="401">
        <f>IF(ISBLANK(Actuals!AE90),-1497.86*Escalation!$B$27,Actuals!AE90)</f>
        <v/>
      </c>
      <c r="AE180" s="401">
        <f>IF(ISBLANK(Actuals!AF90),-1497.86*Escalation!$B$28,Actuals!AF90)</f>
        <v/>
      </c>
      <c r="AF180" s="401">
        <f>IF(ISBLANK(Actuals!AG90),-1497.86*Escalation!$B$29,Actuals!AG90)</f>
        <v/>
      </c>
      <c r="AG180" s="401">
        <f>IF(ISBLANK(Actuals!AH90),-1497.86*Escalation!$B$30,Actuals!AH90)</f>
        <v/>
      </c>
      <c r="AH180" s="401">
        <f>IF(ISBLANK(Actuals!AI90),-1497.86*Escalation!$B$31,Actuals!AI90)</f>
        <v/>
      </c>
      <c r="AI180" s="401">
        <f>IF(ISBLANK(Actuals!AJ90),-1497.86*Escalation!$B$32,Actuals!AJ90)</f>
        <v/>
      </c>
      <c r="AJ180" s="401">
        <f>IF(ISBLANK(Actuals!AK90),-1497.86*Escalation!$B$33,Actuals!AK90)</f>
        <v/>
      </c>
      <c r="AK180" s="401">
        <f>IF(ISBLANK(Actuals!AL90),-1497.86*Escalation!$B$34,Actuals!AL90)</f>
        <v/>
      </c>
      <c r="AL180" s="401">
        <f>IF(ISBLANK(Actuals!AM90),-1497.86*Escalation!$B$35,Actuals!AM90)</f>
        <v/>
      </c>
      <c r="AM180" s="401">
        <f>IF(ISBLANK(Actuals!AN90),-1497.86*Escalation!$B$36,Actuals!AN90)</f>
        <v/>
      </c>
      <c r="AN180" s="401">
        <f>IF(ISBLANK(Actuals!AO90),-1497.86*Escalation!$B$37,Actuals!AO90)</f>
        <v/>
      </c>
      <c r="AO180" s="401">
        <f>IF(ISBLANK(Actuals!AP90),-1497.86*Escalation!$B$38,Actuals!AP90)</f>
        <v/>
      </c>
      <c r="AP180" s="401">
        <f>IF(ISBLANK(Actuals!AQ90),-1497.86*Escalation!$B$39,Actuals!AQ90)</f>
        <v/>
      </c>
      <c r="AQ180" s="401">
        <f>IF(ISBLANK(Actuals!AR90),-1497.86*Escalation!$B$40,Actuals!AR90)</f>
        <v/>
      </c>
      <c r="AR180" s="401">
        <f>IF(ISBLANK(Actuals!AS90),-1497.86*Escalation!$B$41,Actuals!AS90)</f>
        <v/>
      </c>
      <c r="AS180" s="401">
        <f>IF(ISBLANK(Actuals!AT90),-1497.86*Escalation!$B$42,Actuals!AT90)</f>
        <v/>
      </c>
      <c r="AT180" s="401">
        <f>IF(ISBLANK(Actuals!AU90),-1497.86*Escalation!$B$43,Actuals!AU90)</f>
        <v/>
      </c>
      <c r="AU180" s="401">
        <f>IF(ISBLANK(Actuals!AV90),-1497.86*Escalation!$B$44,Actuals!AV90)</f>
        <v/>
      </c>
      <c r="AV180" s="401">
        <f>IF(ISBLANK(Actuals!AW90),-1497.86*Escalation!$B$45,Actuals!AW90)</f>
        <v/>
      </c>
      <c r="AW180" s="401">
        <f>IF(ISBLANK(Actuals!AX90),-1497.86*Escalation!$B$46,Actuals!AX90)</f>
        <v/>
      </c>
      <c r="AX180" s="401">
        <f>IF(ISBLANK(Actuals!AY90),-1497.86*Escalation!$B$47,Actuals!AY90)</f>
        <v/>
      </c>
      <c r="AY180" s="401">
        <f>IF(ISBLANK(Actuals!AZ90),-1497.86*Escalation!$B$48,Actuals!AZ90)</f>
        <v/>
      </c>
      <c r="AZ180" s="401">
        <f>IF(ISBLANK(Actuals!BA90),-1497.86*Escalation!$B$49,Actuals!BA90)</f>
        <v/>
      </c>
      <c r="BA180" s="401">
        <f>IF(ISBLANK(Actuals!BB90),-1497.86*Escalation!$B$50,Actuals!BB90)</f>
        <v/>
      </c>
      <c r="BB180" s="401">
        <f>IF(ISBLANK(Actuals!BC90),-1497.86*Escalation!$B$51,Actuals!BC90)</f>
        <v/>
      </c>
      <c r="BC180" s="401">
        <f>IF(ISBLANK(Actuals!BD90),-1497.86*Escalation!$B$52,Actuals!BD90)</f>
        <v/>
      </c>
      <c r="BD180" s="401">
        <f>IF(ISBLANK(Actuals!BE90),-1497.86*Escalation!$B$53,Actuals!BE90)</f>
        <v/>
      </c>
      <c r="BE180" s="401">
        <f>IF(ISBLANK(Actuals!BF90),-1497.86*Escalation!$B$54,Actuals!BF90)</f>
        <v/>
      </c>
      <c r="BF180" s="401">
        <f>IF(ISBLANK(Actuals!BG90),-1497.86*Escalation!$B$55,Actuals!BG90)</f>
        <v/>
      </c>
      <c r="BG180" s="401">
        <f>IF(ISBLANK(Actuals!BH90),-1497.86*Escalation!$B$56,Actuals!BH90)</f>
        <v/>
      </c>
      <c r="BH180" s="401">
        <f>IF(ISBLANK(Actuals!BI90),-1497.86*Escalation!$B$57,Actuals!BI90)</f>
        <v/>
      </c>
      <c r="BI180" s="401">
        <f>IF(ISBLANK(Actuals!BJ90),-1497.86*Escalation!$B$58,Actuals!BJ90)</f>
        <v/>
      </c>
      <c r="BJ180" s="401">
        <f>IF(ISBLANK(Actuals!BK90),-1497.86*Escalation!$B$59,Actuals!BK90)</f>
        <v/>
      </c>
      <c r="BK180" s="401">
        <f>IF(ISBLANK(Actuals!BL90),-1497.86*Escalation!$B$60,Actuals!BL90)</f>
        <v/>
      </c>
      <c r="BL180" s="401">
        <f>IF(ISBLANK(Actuals!BM90),-1497.86*Escalation!$B$61,Actuals!BM90)</f>
        <v/>
      </c>
      <c r="BM180" s="401">
        <f>IF(ISBLANK(Actuals!BN90),-1497.86*Escalation!$B$62,Actuals!BN90)</f>
        <v/>
      </c>
      <c r="BN180" s="401">
        <f>IF(ISBLANK(Actuals!BO90),-1497.86*Escalation!$B$63,Actuals!BO90)</f>
        <v/>
      </c>
      <c r="BO180" s="401">
        <f>IF(ISBLANK(Actuals!BP90),-1497.86*Escalation!$B$64,Actuals!BP90)</f>
        <v/>
      </c>
      <c r="BP180" s="401">
        <f>IF(ISBLANK(Actuals!BQ90),-1497.86*Escalation!$B$65,Actuals!BQ90)</f>
        <v/>
      </c>
      <c r="BQ180" s="401">
        <f>IF(ISBLANK(Actuals!BR90),-1497.86*Escalation!$B$66,Actuals!BR90)</f>
        <v/>
      </c>
      <c r="BR180" s="401">
        <f>IF(ISBLANK(Actuals!BS90),-1497.86*Escalation!$B$67,Actuals!BS90)</f>
        <v/>
      </c>
      <c r="BS180" s="401">
        <f>IF(ISBLANK(Actuals!BT90),-1497.86*Escalation!$B$68,Actuals!BT90)</f>
        <v/>
      </c>
      <c r="BT180" s="401">
        <f>IF(ISBLANK(Actuals!BU90),-1497.86*Escalation!$B$69,Actuals!BU90)</f>
        <v/>
      </c>
      <c r="BU180" s="401">
        <f>IF(ISBLANK(Actuals!BV90),-1497.86*Escalation!$B$70,Actuals!BV90)</f>
        <v/>
      </c>
      <c r="BV180" s="401">
        <f>IF(ISBLANK(Actuals!BW90),-1497.86*Escalation!$B$71,Actuals!BW90)</f>
        <v/>
      </c>
      <c r="BW180" s="401">
        <f>IF(ISBLANK(Actuals!BX90),-1497.86*Escalation!$B$72,Actuals!BX90)</f>
        <v/>
      </c>
      <c r="BX180" s="401">
        <f>IF(ISBLANK(Actuals!BY90),-1497.86*Escalation!$B$73,Actuals!BY90)</f>
        <v/>
      </c>
      <c r="BY180" s="401">
        <f>IF(ISBLANK(Actuals!BZ90),-1497.86*Escalation!$B$74,Actuals!BZ90)</f>
        <v/>
      </c>
      <c r="BZ180" s="401">
        <f>IF(ISBLANK(Actuals!CA90),-1497.86*Escalation!$B$75,Actuals!CA90)</f>
        <v/>
      </c>
      <c r="CA180" s="401">
        <f>IF(ISBLANK(Actuals!CB90),-1497.86*Escalation!$B$76,Actuals!CB90)</f>
        <v/>
      </c>
      <c r="CB180" s="401">
        <f>IF(ISBLANK(Actuals!CC90),-1497.86*Escalation!$B$77,Actuals!CC90)</f>
        <v/>
      </c>
      <c r="CC180" s="401">
        <f>IF(ISBLANK(Actuals!CD90),-1497.86*Escalation!$B$78,Actuals!CD90)</f>
        <v/>
      </c>
      <c r="CD180" s="401">
        <f>IF(ISBLANK(Actuals!CE90),-1497.86*Escalation!$B$79,Actuals!CE90)</f>
        <v/>
      </c>
      <c r="CE180" s="401">
        <f>IF(ISBLANK(Actuals!CF90),-1497.86*Escalation!$B$80,Actuals!CF90)</f>
        <v/>
      </c>
      <c r="CF180" s="401">
        <f>IF(ISBLANK(Actuals!CG90),-1497.86*Escalation!$B$81,Actuals!CG90)</f>
        <v/>
      </c>
      <c r="CG180" s="401">
        <f>IF(ISBLANK(Actuals!CH90),-1497.86*Escalation!$B$82,Actuals!CH90)</f>
        <v/>
      </c>
      <c r="CH180" s="401">
        <f>IF(ISBLANK(Actuals!CI90),-1497.86*Escalation!$B$83,Actuals!CI90)</f>
        <v/>
      </c>
      <c r="CI180" s="401">
        <f>IF(ISBLANK(Actuals!CJ90),-1497.86*Escalation!$B$84,Actuals!CJ90)</f>
        <v/>
      </c>
      <c r="CJ180" s="401">
        <f>IF(ISBLANK(Actuals!CK90),-1497.86*Escalation!$B$85,Actuals!CK90)</f>
        <v/>
      </c>
      <c r="CK180" s="401">
        <f>IF(ISBLANK(Actuals!CL90),-1497.86*Escalation!$B$86,Actuals!CL90)</f>
        <v/>
      </c>
      <c r="CL180" s="401">
        <f>IF(ISBLANK(Actuals!CM90),-1497.86*Escalation!$B$87,Actuals!CM90)</f>
        <v/>
      </c>
      <c r="CM180" s="401">
        <f>IF(ISBLANK(Actuals!CN90),-1497.86*Escalation!$B$88,Actuals!CN90)</f>
        <v/>
      </c>
      <c r="CN180" s="401">
        <f>IF(ISBLANK(Actuals!CO90),-1497.86*Escalation!$B$89,Actuals!CO90)</f>
        <v/>
      </c>
      <c r="CO180" s="401">
        <f>IF(ISBLANK(Actuals!CP90),-1497.86*Escalation!$B$90,Actuals!CP90)</f>
        <v/>
      </c>
      <c r="CP180" s="401">
        <f>IF(ISBLANK(Actuals!CQ90),-1497.86*Escalation!$B$91,Actuals!CQ90)</f>
        <v/>
      </c>
      <c r="CQ180" s="401">
        <f>IF(ISBLANK(Actuals!CR90),-1497.86*Escalation!$B$92,Actuals!CR90)</f>
        <v/>
      </c>
      <c r="CR180" s="401">
        <f>IF(ISBLANK(Actuals!CS90),-1497.86*Escalation!$B$93,Actuals!CS90)</f>
        <v/>
      </c>
      <c r="CS180" s="401">
        <f>IF(ISBLANK(Actuals!CT90),-1497.86*Escalation!$B$94,Actuals!CT90)</f>
        <v/>
      </c>
      <c r="CT180" s="401">
        <f>IF(ISBLANK(Actuals!CU90),-1497.86*Escalation!$B$95,Actuals!CU90)</f>
        <v/>
      </c>
      <c r="CU180" s="401">
        <f>IF(ISBLANK(Actuals!CV90),-1497.86*Escalation!$B$96,Actuals!CV90)</f>
        <v/>
      </c>
      <c r="CV180" s="401">
        <f>IF(ISBLANK(Actuals!CW90),-1497.86*Escalation!$B$97,Actuals!CW90)</f>
        <v/>
      </c>
      <c r="CW180" s="401">
        <f>IF(ISBLANK(Actuals!CX90),-1497.86*Escalation!$B$98,Actuals!CX90)</f>
        <v/>
      </c>
      <c r="CX180" s="401">
        <f>IF(ISBLANK(Actuals!CY90),-1497.86*Escalation!$B$99,Actuals!CY90)</f>
        <v/>
      </c>
      <c r="CY180" s="401">
        <f>IF(ISBLANK(Actuals!CZ90),-1497.86*Escalation!$B$100,Actuals!CZ90)</f>
        <v/>
      </c>
      <c r="CZ180" s="401">
        <f>IF(ISBLANK(Actuals!DA90),-1497.86*Escalation!$B$101,Actuals!DA90)</f>
        <v/>
      </c>
      <c r="DA180" s="401">
        <f>IF(ISBLANK(Actuals!DB90),-1497.86*Escalation!$B$102,Actuals!DB90)</f>
        <v/>
      </c>
      <c r="DB180" s="401">
        <f>IF(ISBLANK(Actuals!DC90),-1497.86*Escalation!$B$103,Actuals!DC90)</f>
        <v/>
      </c>
      <c r="DC180" s="401">
        <f>IF(ISBLANK(Actuals!DD90),-1497.86*Escalation!$B$104,Actuals!DD90)</f>
        <v/>
      </c>
      <c r="DD180" s="401">
        <f>IF(ISBLANK(Actuals!DE90),-1497.86*Escalation!$B$105,Actuals!DE90)</f>
        <v/>
      </c>
      <c r="DE180" s="401">
        <f>IF(ISBLANK(Actuals!DF90),-1497.86*Escalation!$B$106,Actuals!DF90)</f>
        <v/>
      </c>
    </row>
    <row r="181" ht="15" customFormat="1" customHeight="1" s="380">
      <c r="A181" s="415" t="inlineStr">
        <is>
          <t>5200-1060 Website Design</t>
        </is>
      </c>
      <c r="B181" s="401">
        <f>IF(ISBLANK(Actuals!C91),0,Actuals!C91)</f>
        <v/>
      </c>
      <c r="C181" s="401">
        <f>IF(ISBLANK(Actuals!D91),0,Actuals!D91)</f>
        <v/>
      </c>
      <c r="D181" s="401">
        <f>IF(ISBLANK(Actuals!E91),0,Actuals!E91)</f>
        <v/>
      </c>
      <c r="E181" s="401">
        <f>IF(ISBLANK(Actuals!F91),-290*Escalation!$B$2,Actuals!F91)</f>
        <v/>
      </c>
      <c r="F181" s="401">
        <f>IF(ISBLANK(Actuals!G91),-290*Escalation!$B$3,Actuals!G91)</f>
        <v/>
      </c>
      <c r="G181" s="401">
        <f>IF(ISBLANK(Actuals!H91),-290*Escalation!$B$4,Actuals!H91)</f>
        <v/>
      </c>
      <c r="H181" s="401">
        <f>IF(ISBLANK(Actuals!I91),-290*Escalation!$B$5,Actuals!I91)</f>
        <v/>
      </c>
      <c r="I181" s="401">
        <f>IF(ISBLANK(Actuals!J91),-290*Escalation!$B$6,Actuals!J91)</f>
        <v/>
      </c>
      <c r="J181" s="401">
        <f>IF(ISBLANK(Actuals!K91),-290*Escalation!$B$7,Actuals!K91)</f>
        <v/>
      </c>
      <c r="K181" s="401">
        <f>IF(ISBLANK(Actuals!L91),-290*Escalation!$B$8,Actuals!L91)</f>
        <v/>
      </c>
      <c r="L181" s="401">
        <f>IF(ISBLANK(Actuals!M91),-290*Escalation!$B$9,Actuals!M91)</f>
        <v/>
      </c>
      <c r="M181" s="401">
        <f>IF(ISBLANK(Actuals!N91),-290*Escalation!$B$10,Actuals!N91)</f>
        <v/>
      </c>
      <c r="N181" s="401">
        <f>IF(ISBLANK(Actuals!O91),-290*Escalation!$B$11,Actuals!O91)</f>
        <v/>
      </c>
      <c r="O181" s="401">
        <f>IF(ISBLANK(Actuals!P91),-290*Escalation!$B$12,Actuals!P91)</f>
        <v/>
      </c>
      <c r="P181" s="401">
        <f>IF(ISBLANK(Actuals!Q91),-290*Escalation!$B$13,Actuals!Q91)</f>
        <v/>
      </c>
      <c r="Q181" s="401">
        <f>IF(ISBLANK(Actuals!R91),-290*Escalation!$B$14,Actuals!R91)</f>
        <v/>
      </c>
      <c r="R181" s="401">
        <f>IF(ISBLANK(Actuals!S91),-290*Escalation!$B$15,Actuals!S91)</f>
        <v/>
      </c>
      <c r="S181" s="401">
        <f>IF(ISBLANK(Actuals!T91),-290*Escalation!$B$16,Actuals!T91)</f>
        <v/>
      </c>
      <c r="T181" s="401">
        <f>IF(ISBLANK(Actuals!U91),-290*Escalation!$B$17,Actuals!U91)</f>
        <v/>
      </c>
      <c r="U181" s="401">
        <f>IF(ISBLANK(Actuals!V91),-290*Escalation!$B$18,Actuals!V91)</f>
        <v/>
      </c>
      <c r="V181" s="401">
        <f>IF(ISBLANK(Actuals!W91),-290*Escalation!$B$19,Actuals!W91)</f>
        <v/>
      </c>
      <c r="W181" s="401">
        <f>IF(ISBLANK(Actuals!X91),-290*Escalation!$B$20,Actuals!X91)</f>
        <v/>
      </c>
      <c r="X181" s="401">
        <f>IF(ISBLANK(Actuals!Y91),-290*Escalation!$B$21,Actuals!Y91)</f>
        <v/>
      </c>
      <c r="Y181" s="401">
        <f>IF(ISBLANK(Actuals!Z91),-290*Escalation!$B$22,Actuals!Z91)</f>
        <v/>
      </c>
      <c r="Z181" s="401">
        <f>IF(ISBLANK(Actuals!AA91),-290*Escalation!$B$23,Actuals!AA91)</f>
        <v/>
      </c>
      <c r="AA181" s="401">
        <f>IF(ISBLANK(Actuals!AB91),-290*Escalation!$B$24,Actuals!AB91)</f>
        <v/>
      </c>
      <c r="AB181" s="401">
        <f>IF(ISBLANK(Actuals!AC91),-290*Escalation!$B$25,Actuals!AC91)</f>
        <v/>
      </c>
      <c r="AC181" s="401">
        <f>IF(ISBLANK(Actuals!AD91),-290*Escalation!$B$26,Actuals!AD91)</f>
        <v/>
      </c>
      <c r="AD181" s="401">
        <f>IF(ISBLANK(Actuals!AE91),-290*Escalation!$B$27,Actuals!AE91)</f>
        <v/>
      </c>
      <c r="AE181" s="401">
        <f>IF(ISBLANK(Actuals!AF91),-290*Escalation!$B$28,Actuals!AF91)</f>
        <v/>
      </c>
      <c r="AF181" s="401">
        <f>IF(ISBLANK(Actuals!AG91),-290*Escalation!$B$29,Actuals!AG91)</f>
        <v/>
      </c>
      <c r="AG181" s="401">
        <f>IF(ISBLANK(Actuals!AH91),-290*Escalation!$B$30,Actuals!AH91)</f>
        <v/>
      </c>
      <c r="AH181" s="401">
        <f>IF(ISBLANK(Actuals!AI91),-290*Escalation!$B$31,Actuals!AI91)</f>
        <v/>
      </c>
      <c r="AI181" s="401">
        <f>IF(ISBLANK(Actuals!AJ91),-290*Escalation!$B$32,Actuals!AJ91)</f>
        <v/>
      </c>
      <c r="AJ181" s="401">
        <f>IF(ISBLANK(Actuals!AK91),-290*Escalation!$B$33,Actuals!AK91)</f>
        <v/>
      </c>
      <c r="AK181" s="401">
        <f>IF(ISBLANK(Actuals!AL91),-290*Escalation!$B$34,Actuals!AL91)</f>
        <v/>
      </c>
      <c r="AL181" s="401">
        <f>IF(ISBLANK(Actuals!AM91),-290*Escalation!$B$35,Actuals!AM91)</f>
        <v/>
      </c>
      <c r="AM181" s="401">
        <f>IF(ISBLANK(Actuals!AN91),-290*Escalation!$B$36,Actuals!AN91)</f>
        <v/>
      </c>
      <c r="AN181" s="401">
        <f>IF(ISBLANK(Actuals!AO91),-290*Escalation!$B$37,Actuals!AO91)</f>
        <v/>
      </c>
      <c r="AO181" s="401">
        <f>IF(ISBLANK(Actuals!AP91),-290*Escalation!$B$38,Actuals!AP91)</f>
        <v/>
      </c>
      <c r="AP181" s="401">
        <f>IF(ISBLANK(Actuals!AQ91),-290*Escalation!$B$39,Actuals!AQ91)</f>
        <v/>
      </c>
      <c r="AQ181" s="401">
        <f>IF(ISBLANK(Actuals!AR91),-290*Escalation!$B$40,Actuals!AR91)</f>
        <v/>
      </c>
      <c r="AR181" s="401">
        <f>IF(ISBLANK(Actuals!AS91),-290*Escalation!$B$41,Actuals!AS91)</f>
        <v/>
      </c>
      <c r="AS181" s="401">
        <f>IF(ISBLANK(Actuals!AT91),-290*Escalation!$B$42,Actuals!AT91)</f>
        <v/>
      </c>
      <c r="AT181" s="401">
        <f>IF(ISBLANK(Actuals!AU91),-290*Escalation!$B$43,Actuals!AU91)</f>
        <v/>
      </c>
      <c r="AU181" s="401">
        <f>IF(ISBLANK(Actuals!AV91),-290*Escalation!$B$44,Actuals!AV91)</f>
        <v/>
      </c>
      <c r="AV181" s="401">
        <f>IF(ISBLANK(Actuals!AW91),-290*Escalation!$B$45,Actuals!AW91)</f>
        <v/>
      </c>
      <c r="AW181" s="401">
        <f>IF(ISBLANK(Actuals!AX91),-290*Escalation!$B$46,Actuals!AX91)</f>
        <v/>
      </c>
      <c r="AX181" s="401">
        <f>IF(ISBLANK(Actuals!AY91),-290*Escalation!$B$47,Actuals!AY91)</f>
        <v/>
      </c>
      <c r="AY181" s="401">
        <f>IF(ISBLANK(Actuals!AZ91),-290*Escalation!$B$48,Actuals!AZ91)</f>
        <v/>
      </c>
      <c r="AZ181" s="401">
        <f>IF(ISBLANK(Actuals!BA91),-290*Escalation!$B$49,Actuals!BA91)</f>
        <v/>
      </c>
      <c r="BA181" s="401">
        <f>IF(ISBLANK(Actuals!BB91),-290*Escalation!$B$50,Actuals!BB91)</f>
        <v/>
      </c>
      <c r="BB181" s="401">
        <f>IF(ISBLANK(Actuals!BC91),-290*Escalation!$B$51,Actuals!BC91)</f>
        <v/>
      </c>
      <c r="BC181" s="401">
        <f>IF(ISBLANK(Actuals!BD91),-290*Escalation!$B$52,Actuals!BD91)</f>
        <v/>
      </c>
      <c r="BD181" s="401">
        <f>IF(ISBLANK(Actuals!BE91),-290*Escalation!$B$53,Actuals!BE91)</f>
        <v/>
      </c>
      <c r="BE181" s="401">
        <f>IF(ISBLANK(Actuals!BF91),-290*Escalation!$B$54,Actuals!BF91)</f>
        <v/>
      </c>
      <c r="BF181" s="401">
        <f>IF(ISBLANK(Actuals!BG91),-290*Escalation!$B$55,Actuals!BG91)</f>
        <v/>
      </c>
      <c r="BG181" s="401">
        <f>IF(ISBLANK(Actuals!BH91),-290*Escalation!$B$56,Actuals!BH91)</f>
        <v/>
      </c>
      <c r="BH181" s="401">
        <f>IF(ISBLANK(Actuals!BI91),-290*Escalation!$B$57,Actuals!BI91)</f>
        <v/>
      </c>
      <c r="BI181" s="401">
        <f>IF(ISBLANK(Actuals!BJ91),-290*Escalation!$B$58,Actuals!BJ91)</f>
        <v/>
      </c>
      <c r="BJ181" s="401">
        <f>IF(ISBLANK(Actuals!BK91),-290*Escalation!$B$59,Actuals!BK91)</f>
        <v/>
      </c>
      <c r="BK181" s="401">
        <f>IF(ISBLANK(Actuals!BL91),-290*Escalation!$B$60,Actuals!BL91)</f>
        <v/>
      </c>
      <c r="BL181" s="401">
        <f>IF(ISBLANK(Actuals!BM91),-290*Escalation!$B$61,Actuals!BM91)</f>
        <v/>
      </c>
      <c r="BM181" s="401">
        <f>IF(ISBLANK(Actuals!BN91),-290*Escalation!$B$62,Actuals!BN91)</f>
        <v/>
      </c>
      <c r="BN181" s="401">
        <f>IF(ISBLANK(Actuals!BO91),-290*Escalation!$B$63,Actuals!BO91)</f>
        <v/>
      </c>
      <c r="BO181" s="401">
        <f>IF(ISBLANK(Actuals!BP91),-290*Escalation!$B$64,Actuals!BP91)</f>
        <v/>
      </c>
      <c r="BP181" s="401">
        <f>IF(ISBLANK(Actuals!BQ91),-290*Escalation!$B$65,Actuals!BQ91)</f>
        <v/>
      </c>
      <c r="BQ181" s="401">
        <f>IF(ISBLANK(Actuals!BR91),-290*Escalation!$B$66,Actuals!BR91)</f>
        <v/>
      </c>
      <c r="BR181" s="401">
        <f>IF(ISBLANK(Actuals!BS91),-290*Escalation!$B$67,Actuals!BS91)</f>
        <v/>
      </c>
      <c r="BS181" s="401">
        <f>IF(ISBLANK(Actuals!BT91),-290*Escalation!$B$68,Actuals!BT91)</f>
        <v/>
      </c>
      <c r="BT181" s="401">
        <f>IF(ISBLANK(Actuals!BU91),-290*Escalation!$B$69,Actuals!BU91)</f>
        <v/>
      </c>
      <c r="BU181" s="401">
        <f>IF(ISBLANK(Actuals!BV91),-290*Escalation!$B$70,Actuals!BV91)</f>
        <v/>
      </c>
      <c r="BV181" s="401">
        <f>IF(ISBLANK(Actuals!BW91),-290*Escalation!$B$71,Actuals!BW91)</f>
        <v/>
      </c>
      <c r="BW181" s="401">
        <f>IF(ISBLANK(Actuals!BX91),-290*Escalation!$B$72,Actuals!BX91)</f>
        <v/>
      </c>
      <c r="BX181" s="401">
        <f>IF(ISBLANK(Actuals!BY91),-290*Escalation!$B$73,Actuals!BY91)</f>
        <v/>
      </c>
      <c r="BY181" s="401">
        <f>IF(ISBLANK(Actuals!BZ91),-290*Escalation!$B$74,Actuals!BZ91)</f>
        <v/>
      </c>
      <c r="BZ181" s="401">
        <f>IF(ISBLANK(Actuals!CA91),-290*Escalation!$B$75,Actuals!CA91)</f>
        <v/>
      </c>
      <c r="CA181" s="401">
        <f>IF(ISBLANK(Actuals!CB91),-290*Escalation!$B$76,Actuals!CB91)</f>
        <v/>
      </c>
      <c r="CB181" s="401">
        <f>IF(ISBLANK(Actuals!CC91),-290*Escalation!$B$77,Actuals!CC91)</f>
        <v/>
      </c>
      <c r="CC181" s="401">
        <f>IF(ISBLANK(Actuals!CD91),-290*Escalation!$B$78,Actuals!CD91)</f>
        <v/>
      </c>
      <c r="CD181" s="401">
        <f>IF(ISBLANK(Actuals!CE91),-290*Escalation!$B$79,Actuals!CE91)</f>
        <v/>
      </c>
      <c r="CE181" s="401">
        <f>IF(ISBLANK(Actuals!CF91),-290*Escalation!$B$80,Actuals!CF91)</f>
        <v/>
      </c>
      <c r="CF181" s="401">
        <f>IF(ISBLANK(Actuals!CG91),-290*Escalation!$B$81,Actuals!CG91)</f>
        <v/>
      </c>
      <c r="CG181" s="401">
        <f>IF(ISBLANK(Actuals!CH91),-290*Escalation!$B$82,Actuals!CH91)</f>
        <v/>
      </c>
      <c r="CH181" s="401">
        <f>IF(ISBLANK(Actuals!CI91),-290*Escalation!$B$83,Actuals!CI91)</f>
        <v/>
      </c>
      <c r="CI181" s="401">
        <f>IF(ISBLANK(Actuals!CJ91),-290*Escalation!$B$84,Actuals!CJ91)</f>
        <v/>
      </c>
      <c r="CJ181" s="401">
        <f>IF(ISBLANK(Actuals!CK91),-290*Escalation!$B$85,Actuals!CK91)</f>
        <v/>
      </c>
      <c r="CK181" s="401">
        <f>IF(ISBLANK(Actuals!CL91),-290*Escalation!$B$86,Actuals!CL91)</f>
        <v/>
      </c>
      <c r="CL181" s="401">
        <f>IF(ISBLANK(Actuals!CM91),-290*Escalation!$B$87,Actuals!CM91)</f>
        <v/>
      </c>
      <c r="CM181" s="401">
        <f>IF(ISBLANK(Actuals!CN91),-290*Escalation!$B$88,Actuals!CN91)</f>
        <v/>
      </c>
      <c r="CN181" s="401">
        <f>IF(ISBLANK(Actuals!CO91),-290*Escalation!$B$89,Actuals!CO91)</f>
        <v/>
      </c>
      <c r="CO181" s="401">
        <f>IF(ISBLANK(Actuals!CP91),-290*Escalation!$B$90,Actuals!CP91)</f>
        <v/>
      </c>
      <c r="CP181" s="401">
        <f>IF(ISBLANK(Actuals!CQ91),-290*Escalation!$B$91,Actuals!CQ91)</f>
        <v/>
      </c>
      <c r="CQ181" s="401">
        <f>IF(ISBLANK(Actuals!CR91),-290*Escalation!$B$92,Actuals!CR91)</f>
        <v/>
      </c>
      <c r="CR181" s="401">
        <f>IF(ISBLANK(Actuals!CS91),-290*Escalation!$B$93,Actuals!CS91)</f>
        <v/>
      </c>
      <c r="CS181" s="401">
        <f>IF(ISBLANK(Actuals!CT91),-290*Escalation!$B$94,Actuals!CT91)</f>
        <v/>
      </c>
      <c r="CT181" s="401">
        <f>IF(ISBLANK(Actuals!CU91),-290*Escalation!$B$95,Actuals!CU91)</f>
        <v/>
      </c>
      <c r="CU181" s="401">
        <f>IF(ISBLANK(Actuals!CV91),-290*Escalation!$B$96,Actuals!CV91)</f>
        <v/>
      </c>
      <c r="CV181" s="401">
        <f>IF(ISBLANK(Actuals!CW91),-290*Escalation!$B$97,Actuals!CW91)</f>
        <v/>
      </c>
      <c r="CW181" s="401">
        <f>IF(ISBLANK(Actuals!CX91),-290*Escalation!$B$98,Actuals!CX91)</f>
        <v/>
      </c>
      <c r="CX181" s="401">
        <f>IF(ISBLANK(Actuals!CY91),-290*Escalation!$B$99,Actuals!CY91)</f>
        <v/>
      </c>
      <c r="CY181" s="401">
        <f>IF(ISBLANK(Actuals!CZ91),-290*Escalation!$B$100,Actuals!CZ91)</f>
        <v/>
      </c>
      <c r="CZ181" s="401">
        <f>IF(ISBLANK(Actuals!DA91),-290*Escalation!$B$101,Actuals!DA91)</f>
        <v/>
      </c>
      <c r="DA181" s="401">
        <f>IF(ISBLANK(Actuals!DB91),-290*Escalation!$B$102,Actuals!DB91)</f>
        <v/>
      </c>
      <c r="DB181" s="401">
        <f>IF(ISBLANK(Actuals!DC91),-290*Escalation!$B$103,Actuals!DC91)</f>
        <v/>
      </c>
      <c r="DC181" s="401">
        <f>IF(ISBLANK(Actuals!DD91),-290*Escalation!$B$104,Actuals!DD91)</f>
        <v/>
      </c>
      <c r="DD181" s="401">
        <f>IF(ISBLANK(Actuals!DE91),-290*Escalation!$B$105,Actuals!DE91)</f>
        <v/>
      </c>
      <c r="DE181" s="401">
        <f>IF(ISBLANK(Actuals!DF91),-290*Escalation!$B$106,Actuals!DF91)</f>
        <v/>
      </c>
    </row>
    <row r="182" ht="15" customFormat="1" customHeight="1" s="380">
      <c r="A182" s="415" t="inlineStr">
        <is>
          <t>5200-1061 Website Hosting</t>
        </is>
      </c>
      <c r="B182" s="401">
        <f>IF(ISBLANK(Actuals!C92),0,Actuals!C92)</f>
        <v/>
      </c>
      <c r="C182" s="401">
        <f>IF(ISBLANK(Actuals!D92),0,Actuals!D92)</f>
        <v/>
      </c>
      <c r="D182" s="401">
        <f>IF(ISBLANK(Actuals!E92),0,Actuals!E92)</f>
        <v/>
      </c>
      <c r="E182" s="401">
        <f>IF(ISBLANK(Actuals!F92),-245*Escalation!$B$2,Actuals!F92)</f>
        <v/>
      </c>
      <c r="F182" s="401">
        <f>IF(ISBLANK(Actuals!G92),-245*Escalation!$B$3,Actuals!G92)</f>
        <v/>
      </c>
      <c r="G182" s="401">
        <f>IF(ISBLANK(Actuals!H92),-245*Escalation!$B$4,Actuals!H92)</f>
        <v/>
      </c>
      <c r="H182" s="401">
        <f>IF(ISBLANK(Actuals!I92),-245*Escalation!$B$5,Actuals!I92)</f>
        <v/>
      </c>
      <c r="I182" s="401">
        <f>IF(ISBLANK(Actuals!J92),-245*Escalation!$B$6,Actuals!J92)</f>
        <v/>
      </c>
      <c r="J182" s="401">
        <f>IF(ISBLANK(Actuals!K92),-245*Escalation!$B$7,Actuals!K92)</f>
        <v/>
      </c>
      <c r="K182" s="401">
        <f>IF(ISBLANK(Actuals!L92),-245*Escalation!$B$8,Actuals!L92)</f>
        <v/>
      </c>
      <c r="L182" s="401">
        <f>IF(ISBLANK(Actuals!M92),-245*Escalation!$B$9,Actuals!M92)</f>
        <v/>
      </c>
      <c r="M182" s="401">
        <f>IF(ISBLANK(Actuals!N92),-245*Escalation!$B$10,Actuals!N92)</f>
        <v/>
      </c>
      <c r="N182" s="401">
        <f>IF(ISBLANK(Actuals!O92),-245*Escalation!$B$11,Actuals!O92)</f>
        <v/>
      </c>
      <c r="O182" s="401">
        <f>IF(ISBLANK(Actuals!P92),-245*Escalation!$B$12,Actuals!P92)</f>
        <v/>
      </c>
      <c r="P182" s="401">
        <f>IF(ISBLANK(Actuals!Q92),-245*Escalation!$B$13,Actuals!Q92)</f>
        <v/>
      </c>
      <c r="Q182" s="401">
        <f>IF(ISBLANK(Actuals!R92),-245*Escalation!$B$14,Actuals!R92)</f>
        <v/>
      </c>
      <c r="R182" s="401">
        <f>IF(ISBLANK(Actuals!S92),-245*Escalation!$B$15,Actuals!S92)</f>
        <v/>
      </c>
      <c r="S182" s="401">
        <f>IF(ISBLANK(Actuals!T92),-245*Escalation!$B$16,Actuals!T92)</f>
        <v/>
      </c>
      <c r="T182" s="401">
        <f>IF(ISBLANK(Actuals!U92),-245*Escalation!$B$17,Actuals!U92)</f>
        <v/>
      </c>
      <c r="U182" s="401">
        <f>IF(ISBLANK(Actuals!V92),-245*Escalation!$B$18,Actuals!V92)</f>
        <v/>
      </c>
      <c r="V182" s="401">
        <f>IF(ISBLANK(Actuals!W92),-245*Escalation!$B$19,Actuals!W92)</f>
        <v/>
      </c>
      <c r="W182" s="401">
        <f>IF(ISBLANK(Actuals!X92),-245*Escalation!$B$20,Actuals!X92)</f>
        <v/>
      </c>
      <c r="X182" s="401">
        <f>IF(ISBLANK(Actuals!Y92),-245*Escalation!$B$21,Actuals!Y92)</f>
        <v/>
      </c>
      <c r="Y182" s="401">
        <f>IF(ISBLANK(Actuals!Z92),-245*Escalation!$B$22,Actuals!Z92)</f>
        <v/>
      </c>
      <c r="Z182" s="401">
        <f>IF(ISBLANK(Actuals!AA92),-245*Escalation!$B$23,Actuals!AA92)</f>
        <v/>
      </c>
      <c r="AA182" s="401">
        <f>IF(ISBLANK(Actuals!AB92),-245*Escalation!$B$24,Actuals!AB92)</f>
        <v/>
      </c>
      <c r="AB182" s="401">
        <f>IF(ISBLANK(Actuals!AC92),-245*Escalation!$B$25,Actuals!AC92)</f>
        <v/>
      </c>
      <c r="AC182" s="401">
        <f>IF(ISBLANK(Actuals!AD92),-245*Escalation!$B$26,Actuals!AD92)</f>
        <v/>
      </c>
      <c r="AD182" s="401">
        <f>IF(ISBLANK(Actuals!AE92),-245*Escalation!$B$27,Actuals!AE92)</f>
        <v/>
      </c>
      <c r="AE182" s="401">
        <f>IF(ISBLANK(Actuals!AF92),-245*Escalation!$B$28,Actuals!AF92)</f>
        <v/>
      </c>
      <c r="AF182" s="401">
        <f>IF(ISBLANK(Actuals!AG92),-245*Escalation!$B$29,Actuals!AG92)</f>
        <v/>
      </c>
      <c r="AG182" s="401">
        <f>IF(ISBLANK(Actuals!AH92),-245*Escalation!$B$30,Actuals!AH92)</f>
        <v/>
      </c>
      <c r="AH182" s="401">
        <f>IF(ISBLANK(Actuals!AI92),-245*Escalation!$B$31,Actuals!AI92)</f>
        <v/>
      </c>
      <c r="AI182" s="401">
        <f>IF(ISBLANK(Actuals!AJ92),-245*Escalation!$B$32,Actuals!AJ92)</f>
        <v/>
      </c>
      <c r="AJ182" s="401">
        <f>IF(ISBLANK(Actuals!AK92),-245*Escalation!$B$33,Actuals!AK92)</f>
        <v/>
      </c>
      <c r="AK182" s="401">
        <f>IF(ISBLANK(Actuals!AL92),-245*Escalation!$B$34,Actuals!AL92)</f>
        <v/>
      </c>
      <c r="AL182" s="401">
        <f>IF(ISBLANK(Actuals!AM92),-245*Escalation!$B$35,Actuals!AM92)</f>
        <v/>
      </c>
      <c r="AM182" s="401">
        <f>IF(ISBLANK(Actuals!AN92),-245*Escalation!$B$36,Actuals!AN92)</f>
        <v/>
      </c>
      <c r="AN182" s="401">
        <f>IF(ISBLANK(Actuals!AO92),-245*Escalation!$B$37,Actuals!AO92)</f>
        <v/>
      </c>
      <c r="AO182" s="401">
        <f>IF(ISBLANK(Actuals!AP92),-245*Escalation!$B$38,Actuals!AP92)</f>
        <v/>
      </c>
      <c r="AP182" s="401">
        <f>IF(ISBLANK(Actuals!AQ92),-245*Escalation!$B$39,Actuals!AQ92)</f>
        <v/>
      </c>
      <c r="AQ182" s="401">
        <f>IF(ISBLANK(Actuals!AR92),-245*Escalation!$B$40,Actuals!AR92)</f>
        <v/>
      </c>
      <c r="AR182" s="401">
        <f>IF(ISBLANK(Actuals!AS92),-245*Escalation!$B$41,Actuals!AS92)</f>
        <v/>
      </c>
      <c r="AS182" s="401">
        <f>IF(ISBLANK(Actuals!AT92),-245*Escalation!$B$42,Actuals!AT92)</f>
        <v/>
      </c>
      <c r="AT182" s="401">
        <f>IF(ISBLANK(Actuals!AU92),-245*Escalation!$B$43,Actuals!AU92)</f>
        <v/>
      </c>
      <c r="AU182" s="401">
        <f>IF(ISBLANK(Actuals!AV92),-245*Escalation!$B$44,Actuals!AV92)</f>
        <v/>
      </c>
      <c r="AV182" s="401">
        <f>IF(ISBLANK(Actuals!AW92),-245*Escalation!$B$45,Actuals!AW92)</f>
        <v/>
      </c>
      <c r="AW182" s="401">
        <f>IF(ISBLANK(Actuals!AX92),-245*Escalation!$B$46,Actuals!AX92)</f>
        <v/>
      </c>
      <c r="AX182" s="401">
        <f>IF(ISBLANK(Actuals!AY92),-245*Escalation!$B$47,Actuals!AY92)</f>
        <v/>
      </c>
      <c r="AY182" s="401">
        <f>IF(ISBLANK(Actuals!AZ92),-245*Escalation!$B$48,Actuals!AZ92)</f>
        <v/>
      </c>
      <c r="AZ182" s="401">
        <f>IF(ISBLANK(Actuals!BA92),-245*Escalation!$B$49,Actuals!BA92)</f>
        <v/>
      </c>
      <c r="BA182" s="401">
        <f>IF(ISBLANK(Actuals!BB92),-245*Escalation!$B$50,Actuals!BB92)</f>
        <v/>
      </c>
      <c r="BB182" s="401">
        <f>IF(ISBLANK(Actuals!BC92),-245*Escalation!$B$51,Actuals!BC92)</f>
        <v/>
      </c>
      <c r="BC182" s="401">
        <f>IF(ISBLANK(Actuals!BD92),-245*Escalation!$B$52,Actuals!BD92)</f>
        <v/>
      </c>
      <c r="BD182" s="401">
        <f>IF(ISBLANK(Actuals!BE92),-245*Escalation!$B$53,Actuals!BE92)</f>
        <v/>
      </c>
      <c r="BE182" s="401">
        <f>IF(ISBLANK(Actuals!BF92),-245*Escalation!$B$54,Actuals!BF92)</f>
        <v/>
      </c>
      <c r="BF182" s="401">
        <f>IF(ISBLANK(Actuals!BG92),-245*Escalation!$B$55,Actuals!BG92)</f>
        <v/>
      </c>
      <c r="BG182" s="401">
        <f>IF(ISBLANK(Actuals!BH92),-245*Escalation!$B$56,Actuals!BH92)</f>
        <v/>
      </c>
      <c r="BH182" s="401">
        <f>IF(ISBLANK(Actuals!BI92),-245*Escalation!$B$57,Actuals!BI92)</f>
        <v/>
      </c>
      <c r="BI182" s="401">
        <f>IF(ISBLANK(Actuals!BJ92),-245*Escalation!$B$58,Actuals!BJ92)</f>
        <v/>
      </c>
      <c r="BJ182" s="401">
        <f>IF(ISBLANK(Actuals!BK92),-245*Escalation!$B$59,Actuals!BK92)</f>
        <v/>
      </c>
      <c r="BK182" s="401">
        <f>IF(ISBLANK(Actuals!BL92),-245*Escalation!$B$60,Actuals!BL92)</f>
        <v/>
      </c>
      <c r="BL182" s="401">
        <f>IF(ISBLANK(Actuals!BM92),-245*Escalation!$B$61,Actuals!BM92)</f>
        <v/>
      </c>
      <c r="BM182" s="401">
        <f>IF(ISBLANK(Actuals!BN92),-245*Escalation!$B$62,Actuals!BN92)</f>
        <v/>
      </c>
      <c r="BN182" s="401">
        <f>IF(ISBLANK(Actuals!BO92),-245*Escalation!$B$63,Actuals!BO92)</f>
        <v/>
      </c>
      <c r="BO182" s="401">
        <f>IF(ISBLANK(Actuals!BP92),-245*Escalation!$B$64,Actuals!BP92)</f>
        <v/>
      </c>
      <c r="BP182" s="401">
        <f>IF(ISBLANK(Actuals!BQ92),-245*Escalation!$B$65,Actuals!BQ92)</f>
        <v/>
      </c>
      <c r="BQ182" s="401">
        <f>IF(ISBLANK(Actuals!BR92),-245*Escalation!$B$66,Actuals!BR92)</f>
        <v/>
      </c>
      <c r="BR182" s="401">
        <f>IF(ISBLANK(Actuals!BS92),-245*Escalation!$B$67,Actuals!BS92)</f>
        <v/>
      </c>
      <c r="BS182" s="401">
        <f>IF(ISBLANK(Actuals!BT92),-245*Escalation!$B$68,Actuals!BT92)</f>
        <v/>
      </c>
      <c r="BT182" s="401">
        <f>IF(ISBLANK(Actuals!BU92),-245*Escalation!$B$69,Actuals!BU92)</f>
        <v/>
      </c>
      <c r="BU182" s="401">
        <f>IF(ISBLANK(Actuals!BV92),-245*Escalation!$B$70,Actuals!BV92)</f>
        <v/>
      </c>
      <c r="BV182" s="401">
        <f>IF(ISBLANK(Actuals!BW92),-245*Escalation!$B$71,Actuals!BW92)</f>
        <v/>
      </c>
      <c r="BW182" s="401">
        <f>IF(ISBLANK(Actuals!BX92),-245*Escalation!$B$72,Actuals!BX92)</f>
        <v/>
      </c>
      <c r="BX182" s="401">
        <f>IF(ISBLANK(Actuals!BY92),-245*Escalation!$B$73,Actuals!BY92)</f>
        <v/>
      </c>
      <c r="BY182" s="401">
        <f>IF(ISBLANK(Actuals!BZ92),-245*Escalation!$B$74,Actuals!BZ92)</f>
        <v/>
      </c>
      <c r="BZ182" s="401">
        <f>IF(ISBLANK(Actuals!CA92),-245*Escalation!$B$75,Actuals!CA92)</f>
        <v/>
      </c>
      <c r="CA182" s="401">
        <f>IF(ISBLANK(Actuals!CB92),-245*Escalation!$B$76,Actuals!CB92)</f>
        <v/>
      </c>
      <c r="CB182" s="401">
        <f>IF(ISBLANK(Actuals!CC92),-245*Escalation!$B$77,Actuals!CC92)</f>
        <v/>
      </c>
      <c r="CC182" s="401">
        <f>IF(ISBLANK(Actuals!CD92),-245*Escalation!$B$78,Actuals!CD92)</f>
        <v/>
      </c>
      <c r="CD182" s="401">
        <f>IF(ISBLANK(Actuals!CE92),-245*Escalation!$B$79,Actuals!CE92)</f>
        <v/>
      </c>
      <c r="CE182" s="401">
        <f>IF(ISBLANK(Actuals!CF92),-245*Escalation!$B$80,Actuals!CF92)</f>
        <v/>
      </c>
      <c r="CF182" s="401">
        <f>IF(ISBLANK(Actuals!CG92),-245*Escalation!$B$81,Actuals!CG92)</f>
        <v/>
      </c>
      <c r="CG182" s="401">
        <f>IF(ISBLANK(Actuals!CH92),-245*Escalation!$B$82,Actuals!CH92)</f>
        <v/>
      </c>
      <c r="CH182" s="401">
        <f>IF(ISBLANK(Actuals!CI92),-245*Escalation!$B$83,Actuals!CI92)</f>
        <v/>
      </c>
      <c r="CI182" s="401">
        <f>IF(ISBLANK(Actuals!CJ92),-245*Escalation!$B$84,Actuals!CJ92)</f>
        <v/>
      </c>
      <c r="CJ182" s="401">
        <f>IF(ISBLANK(Actuals!CK92),-245*Escalation!$B$85,Actuals!CK92)</f>
        <v/>
      </c>
      <c r="CK182" s="401">
        <f>IF(ISBLANK(Actuals!CL92),-245*Escalation!$B$86,Actuals!CL92)</f>
        <v/>
      </c>
      <c r="CL182" s="401">
        <f>IF(ISBLANK(Actuals!CM92),-245*Escalation!$B$87,Actuals!CM92)</f>
        <v/>
      </c>
      <c r="CM182" s="401">
        <f>IF(ISBLANK(Actuals!CN92),-245*Escalation!$B$88,Actuals!CN92)</f>
        <v/>
      </c>
      <c r="CN182" s="401">
        <f>IF(ISBLANK(Actuals!CO92),-245*Escalation!$B$89,Actuals!CO92)</f>
        <v/>
      </c>
      <c r="CO182" s="401">
        <f>IF(ISBLANK(Actuals!CP92),-245*Escalation!$B$90,Actuals!CP92)</f>
        <v/>
      </c>
      <c r="CP182" s="401">
        <f>IF(ISBLANK(Actuals!CQ92),-245*Escalation!$B$91,Actuals!CQ92)</f>
        <v/>
      </c>
      <c r="CQ182" s="401">
        <f>IF(ISBLANK(Actuals!CR92),-245*Escalation!$B$92,Actuals!CR92)</f>
        <v/>
      </c>
      <c r="CR182" s="401">
        <f>IF(ISBLANK(Actuals!CS92),-245*Escalation!$B$93,Actuals!CS92)</f>
        <v/>
      </c>
      <c r="CS182" s="401">
        <f>IF(ISBLANK(Actuals!CT92),-245*Escalation!$B$94,Actuals!CT92)</f>
        <v/>
      </c>
      <c r="CT182" s="401">
        <f>IF(ISBLANK(Actuals!CU92),-245*Escalation!$B$95,Actuals!CU92)</f>
        <v/>
      </c>
      <c r="CU182" s="401">
        <f>IF(ISBLANK(Actuals!CV92),-245*Escalation!$B$96,Actuals!CV92)</f>
        <v/>
      </c>
      <c r="CV182" s="401">
        <f>IF(ISBLANK(Actuals!CW92),-245*Escalation!$B$97,Actuals!CW92)</f>
        <v/>
      </c>
      <c r="CW182" s="401">
        <f>IF(ISBLANK(Actuals!CX92),-245*Escalation!$B$98,Actuals!CX92)</f>
        <v/>
      </c>
      <c r="CX182" s="401">
        <f>IF(ISBLANK(Actuals!CY92),-245*Escalation!$B$99,Actuals!CY92)</f>
        <v/>
      </c>
      <c r="CY182" s="401">
        <f>IF(ISBLANK(Actuals!CZ92),-245*Escalation!$B$100,Actuals!CZ92)</f>
        <v/>
      </c>
      <c r="CZ182" s="401">
        <f>IF(ISBLANK(Actuals!DA92),-245*Escalation!$B$101,Actuals!DA92)</f>
        <v/>
      </c>
      <c r="DA182" s="401">
        <f>IF(ISBLANK(Actuals!DB92),-245*Escalation!$B$102,Actuals!DB92)</f>
        <v/>
      </c>
      <c r="DB182" s="401">
        <f>IF(ISBLANK(Actuals!DC92),-245*Escalation!$B$103,Actuals!DC92)</f>
        <v/>
      </c>
      <c r="DC182" s="401">
        <f>IF(ISBLANK(Actuals!DD92),-245*Escalation!$B$104,Actuals!DD92)</f>
        <v/>
      </c>
      <c r="DD182" s="401">
        <f>IF(ISBLANK(Actuals!DE92),-245*Escalation!$B$105,Actuals!DE92)</f>
        <v/>
      </c>
      <c r="DE182" s="401">
        <f>IF(ISBLANK(Actuals!DF92),-245*Escalation!$B$106,Actuals!DF92)</f>
        <v/>
      </c>
    </row>
    <row r="183" ht="15" customFormat="1" customHeight="1" s="380">
      <c r="A183" s="415" t="inlineStr">
        <is>
          <t>5300-1000 Travel and Lodging</t>
        </is>
      </c>
      <c r="B183" s="401">
        <f>IF(ISBLANK(Actuals!C93),0,Actuals!C93)</f>
        <v/>
      </c>
      <c r="C183" s="401">
        <f>IF(ISBLANK(Actuals!D93),0,Actuals!D93)</f>
        <v/>
      </c>
      <c r="D183" s="401">
        <f>IF(ISBLANK(Actuals!E93),0,Actuals!E93)</f>
        <v/>
      </c>
      <c r="E183" s="401">
        <f>IF(ISBLANK(Actuals!F93),-1179.5*Escalation!$B$2,Actuals!F93)</f>
        <v/>
      </c>
      <c r="F183" s="401">
        <f>IF(ISBLANK(Actuals!G93),-1179.5*Escalation!$B$3,Actuals!G93)</f>
        <v/>
      </c>
      <c r="G183" s="401">
        <f>IF(ISBLANK(Actuals!H93),-1179.5*Escalation!$B$4,Actuals!H93)</f>
        <v/>
      </c>
      <c r="H183" s="401">
        <f>IF(ISBLANK(Actuals!I93),-1179.5*Escalation!$B$5,Actuals!I93)</f>
        <v/>
      </c>
      <c r="I183" s="401">
        <f>IF(ISBLANK(Actuals!J93),-1179.5*Escalation!$B$6,Actuals!J93)</f>
        <v/>
      </c>
      <c r="J183" s="401">
        <f>IF(ISBLANK(Actuals!K93),-1179.5*Escalation!$B$7,Actuals!K93)</f>
        <v/>
      </c>
      <c r="K183" s="401">
        <f>IF(ISBLANK(Actuals!L93),-1179.5*Escalation!$B$8,Actuals!L93)</f>
        <v/>
      </c>
      <c r="L183" s="401">
        <f>IF(ISBLANK(Actuals!M93),-1179.5*Escalation!$B$9,Actuals!M93)</f>
        <v/>
      </c>
      <c r="M183" s="401">
        <f>IF(ISBLANK(Actuals!N93),-1179.5*Escalation!$B$10,Actuals!N93)</f>
        <v/>
      </c>
      <c r="N183" s="401">
        <f>IF(ISBLANK(Actuals!O93),-1179.5*Escalation!$B$11,Actuals!O93)</f>
        <v/>
      </c>
      <c r="O183" s="401">
        <f>IF(ISBLANK(Actuals!P93),-1179.5*Escalation!$B$12,Actuals!P93)</f>
        <v/>
      </c>
      <c r="P183" s="401">
        <f>IF(ISBLANK(Actuals!Q93),-1179.5*Escalation!$B$13,Actuals!Q93)</f>
        <v/>
      </c>
      <c r="Q183" s="401">
        <f>IF(ISBLANK(Actuals!R93),-1179.5*Escalation!$B$14,Actuals!R93)</f>
        <v/>
      </c>
      <c r="R183" s="401">
        <f>IF(ISBLANK(Actuals!S93),-1179.5*Escalation!$B$15,Actuals!S93)</f>
        <v/>
      </c>
      <c r="S183" s="401">
        <f>IF(ISBLANK(Actuals!T93),-1179.5*Escalation!$B$16,Actuals!T93)</f>
        <v/>
      </c>
      <c r="T183" s="401">
        <f>IF(ISBLANK(Actuals!U93),-1179.5*Escalation!$B$17,Actuals!U93)</f>
        <v/>
      </c>
      <c r="U183" s="401">
        <f>IF(ISBLANK(Actuals!V93),-1179.5*Escalation!$B$18,Actuals!V93)</f>
        <v/>
      </c>
      <c r="V183" s="401">
        <f>IF(ISBLANK(Actuals!W93),-1179.5*Escalation!$B$19,Actuals!W93)</f>
        <v/>
      </c>
      <c r="W183" s="401">
        <f>IF(ISBLANK(Actuals!X93),-1179.5*Escalation!$B$20,Actuals!X93)</f>
        <v/>
      </c>
      <c r="X183" s="401">
        <f>IF(ISBLANK(Actuals!Y93),-1179.5*Escalation!$B$21,Actuals!Y93)</f>
        <v/>
      </c>
      <c r="Y183" s="401">
        <f>IF(ISBLANK(Actuals!Z93),-1179.5*Escalation!$B$22,Actuals!Z93)</f>
        <v/>
      </c>
      <c r="Z183" s="401">
        <f>IF(ISBLANK(Actuals!AA93),-1179.5*Escalation!$B$23,Actuals!AA93)</f>
        <v/>
      </c>
      <c r="AA183" s="401">
        <f>IF(ISBLANK(Actuals!AB93),-1179.5*Escalation!$B$24,Actuals!AB93)</f>
        <v/>
      </c>
      <c r="AB183" s="401">
        <f>IF(ISBLANK(Actuals!AC93),-1179.5*Escalation!$B$25,Actuals!AC93)</f>
        <v/>
      </c>
      <c r="AC183" s="401">
        <f>IF(ISBLANK(Actuals!AD93),-1179.5*Escalation!$B$26,Actuals!AD93)</f>
        <v/>
      </c>
      <c r="AD183" s="401">
        <f>IF(ISBLANK(Actuals!AE93),-1179.5*Escalation!$B$27,Actuals!AE93)</f>
        <v/>
      </c>
      <c r="AE183" s="401">
        <f>IF(ISBLANK(Actuals!AF93),-1179.5*Escalation!$B$28,Actuals!AF93)</f>
        <v/>
      </c>
      <c r="AF183" s="401">
        <f>IF(ISBLANK(Actuals!AG93),-1179.5*Escalation!$B$29,Actuals!AG93)</f>
        <v/>
      </c>
      <c r="AG183" s="401">
        <f>IF(ISBLANK(Actuals!AH93),-1179.5*Escalation!$B$30,Actuals!AH93)</f>
        <v/>
      </c>
      <c r="AH183" s="401">
        <f>IF(ISBLANK(Actuals!AI93),-1179.5*Escalation!$B$31,Actuals!AI93)</f>
        <v/>
      </c>
      <c r="AI183" s="401">
        <f>IF(ISBLANK(Actuals!AJ93),-1179.5*Escalation!$B$32,Actuals!AJ93)</f>
        <v/>
      </c>
      <c r="AJ183" s="401">
        <f>IF(ISBLANK(Actuals!AK93),-1179.5*Escalation!$B$33,Actuals!AK93)</f>
        <v/>
      </c>
      <c r="AK183" s="401">
        <f>IF(ISBLANK(Actuals!AL93),-1179.5*Escalation!$B$34,Actuals!AL93)</f>
        <v/>
      </c>
      <c r="AL183" s="401">
        <f>IF(ISBLANK(Actuals!AM93),-1179.5*Escalation!$B$35,Actuals!AM93)</f>
        <v/>
      </c>
      <c r="AM183" s="401">
        <f>IF(ISBLANK(Actuals!AN93),-1179.5*Escalation!$B$36,Actuals!AN93)</f>
        <v/>
      </c>
      <c r="AN183" s="401">
        <f>IF(ISBLANK(Actuals!AO93),-1179.5*Escalation!$B$37,Actuals!AO93)</f>
        <v/>
      </c>
      <c r="AO183" s="401">
        <f>IF(ISBLANK(Actuals!AP93),-1179.5*Escalation!$B$38,Actuals!AP93)</f>
        <v/>
      </c>
      <c r="AP183" s="401">
        <f>IF(ISBLANK(Actuals!AQ93),-1179.5*Escalation!$B$39,Actuals!AQ93)</f>
        <v/>
      </c>
      <c r="AQ183" s="401">
        <f>IF(ISBLANK(Actuals!AR93),-1179.5*Escalation!$B$40,Actuals!AR93)</f>
        <v/>
      </c>
      <c r="AR183" s="401">
        <f>IF(ISBLANK(Actuals!AS93),-1179.5*Escalation!$B$41,Actuals!AS93)</f>
        <v/>
      </c>
      <c r="AS183" s="401">
        <f>IF(ISBLANK(Actuals!AT93),-1179.5*Escalation!$B$42,Actuals!AT93)</f>
        <v/>
      </c>
      <c r="AT183" s="401">
        <f>IF(ISBLANK(Actuals!AU93),-1179.5*Escalation!$B$43,Actuals!AU93)</f>
        <v/>
      </c>
      <c r="AU183" s="401">
        <f>IF(ISBLANK(Actuals!AV93),-1179.5*Escalation!$B$44,Actuals!AV93)</f>
        <v/>
      </c>
      <c r="AV183" s="401">
        <f>IF(ISBLANK(Actuals!AW93),-1179.5*Escalation!$B$45,Actuals!AW93)</f>
        <v/>
      </c>
      <c r="AW183" s="401">
        <f>IF(ISBLANK(Actuals!AX93),-1179.5*Escalation!$B$46,Actuals!AX93)</f>
        <v/>
      </c>
      <c r="AX183" s="401">
        <f>IF(ISBLANK(Actuals!AY93),-1179.5*Escalation!$B$47,Actuals!AY93)</f>
        <v/>
      </c>
      <c r="AY183" s="401">
        <f>IF(ISBLANK(Actuals!AZ93),-1179.5*Escalation!$B$48,Actuals!AZ93)</f>
        <v/>
      </c>
      <c r="AZ183" s="401">
        <f>IF(ISBLANK(Actuals!BA93),-1179.5*Escalation!$B$49,Actuals!BA93)</f>
        <v/>
      </c>
      <c r="BA183" s="401">
        <f>IF(ISBLANK(Actuals!BB93),-1179.5*Escalation!$B$50,Actuals!BB93)</f>
        <v/>
      </c>
      <c r="BB183" s="401">
        <f>IF(ISBLANK(Actuals!BC93),-1179.5*Escalation!$B$51,Actuals!BC93)</f>
        <v/>
      </c>
      <c r="BC183" s="401">
        <f>IF(ISBLANK(Actuals!BD93),-1179.5*Escalation!$B$52,Actuals!BD93)</f>
        <v/>
      </c>
      <c r="BD183" s="401">
        <f>IF(ISBLANK(Actuals!BE93),-1179.5*Escalation!$B$53,Actuals!BE93)</f>
        <v/>
      </c>
      <c r="BE183" s="401">
        <f>IF(ISBLANK(Actuals!BF93),-1179.5*Escalation!$B$54,Actuals!BF93)</f>
        <v/>
      </c>
      <c r="BF183" s="401">
        <f>IF(ISBLANK(Actuals!BG93),-1179.5*Escalation!$B$55,Actuals!BG93)</f>
        <v/>
      </c>
      <c r="BG183" s="401">
        <f>IF(ISBLANK(Actuals!BH93),-1179.5*Escalation!$B$56,Actuals!BH93)</f>
        <v/>
      </c>
      <c r="BH183" s="401">
        <f>IF(ISBLANK(Actuals!BI93),-1179.5*Escalation!$B$57,Actuals!BI93)</f>
        <v/>
      </c>
      <c r="BI183" s="401">
        <f>IF(ISBLANK(Actuals!BJ93),-1179.5*Escalation!$B$58,Actuals!BJ93)</f>
        <v/>
      </c>
      <c r="BJ183" s="401">
        <f>IF(ISBLANK(Actuals!BK93),-1179.5*Escalation!$B$59,Actuals!BK93)</f>
        <v/>
      </c>
      <c r="BK183" s="401">
        <f>IF(ISBLANK(Actuals!BL93),-1179.5*Escalation!$B$60,Actuals!BL93)</f>
        <v/>
      </c>
      <c r="BL183" s="401">
        <f>IF(ISBLANK(Actuals!BM93),-1179.5*Escalation!$B$61,Actuals!BM93)</f>
        <v/>
      </c>
      <c r="BM183" s="401">
        <f>IF(ISBLANK(Actuals!BN93),-1179.5*Escalation!$B$62,Actuals!BN93)</f>
        <v/>
      </c>
      <c r="BN183" s="401">
        <f>IF(ISBLANK(Actuals!BO93),-1179.5*Escalation!$B$63,Actuals!BO93)</f>
        <v/>
      </c>
      <c r="BO183" s="401">
        <f>IF(ISBLANK(Actuals!BP93),-1179.5*Escalation!$B$64,Actuals!BP93)</f>
        <v/>
      </c>
      <c r="BP183" s="401">
        <f>IF(ISBLANK(Actuals!BQ93),-1179.5*Escalation!$B$65,Actuals!BQ93)</f>
        <v/>
      </c>
      <c r="BQ183" s="401">
        <f>IF(ISBLANK(Actuals!BR93),-1179.5*Escalation!$B$66,Actuals!BR93)</f>
        <v/>
      </c>
      <c r="BR183" s="401">
        <f>IF(ISBLANK(Actuals!BS93),-1179.5*Escalation!$B$67,Actuals!BS93)</f>
        <v/>
      </c>
      <c r="BS183" s="401">
        <f>IF(ISBLANK(Actuals!BT93),-1179.5*Escalation!$B$68,Actuals!BT93)</f>
        <v/>
      </c>
      <c r="BT183" s="401">
        <f>IF(ISBLANK(Actuals!BU93),-1179.5*Escalation!$B$69,Actuals!BU93)</f>
        <v/>
      </c>
      <c r="BU183" s="401">
        <f>IF(ISBLANK(Actuals!BV93),-1179.5*Escalation!$B$70,Actuals!BV93)</f>
        <v/>
      </c>
      <c r="BV183" s="401">
        <f>IF(ISBLANK(Actuals!BW93),-1179.5*Escalation!$B$71,Actuals!BW93)</f>
        <v/>
      </c>
      <c r="BW183" s="401">
        <f>IF(ISBLANK(Actuals!BX93),-1179.5*Escalation!$B$72,Actuals!BX93)</f>
        <v/>
      </c>
      <c r="BX183" s="401">
        <f>IF(ISBLANK(Actuals!BY93),-1179.5*Escalation!$B$73,Actuals!BY93)</f>
        <v/>
      </c>
      <c r="BY183" s="401">
        <f>IF(ISBLANK(Actuals!BZ93),-1179.5*Escalation!$B$74,Actuals!BZ93)</f>
        <v/>
      </c>
      <c r="BZ183" s="401">
        <f>IF(ISBLANK(Actuals!CA93),-1179.5*Escalation!$B$75,Actuals!CA93)</f>
        <v/>
      </c>
      <c r="CA183" s="401">
        <f>IF(ISBLANK(Actuals!CB93),-1179.5*Escalation!$B$76,Actuals!CB93)</f>
        <v/>
      </c>
      <c r="CB183" s="401">
        <f>IF(ISBLANK(Actuals!CC93),-1179.5*Escalation!$B$77,Actuals!CC93)</f>
        <v/>
      </c>
      <c r="CC183" s="401">
        <f>IF(ISBLANK(Actuals!CD93),-1179.5*Escalation!$B$78,Actuals!CD93)</f>
        <v/>
      </c>
      <c r="CD183" s="401">
        <f>IF(ISBLANK(Actuals!CE93),-1179.5*Escalation!$B$79,Actuals!CE93)</f>
        <v/>
      </c>
      <c r="CE183" s="401">
        <f>IF(ISBLANK(Actuals!CF93),-1179.5*Escalation!$B$80,Actuals!CF93)</f>
        <v/>
      </c>
      <c r="CF183" s="401">
        <f>IF(ISBLANK(Actuals!CG93),-1179.5*Escalation!$B$81,Actuals!CG93)</f>
        <v/>
      </c>
      <c r="CG183" s="401">
        <f>IF(ISBLANK(Actuals!CH93),-1179.5*Escalation!$B$82,Actuals!CH93)</f>
        <v/>
      </c>
      <c r="CH183" s="401">
        <f>IF(ISBLANK(Actuals!CI93),-1179.5*Escalation!$B$83,Actuals!CI93)</f>
        <v/>
      </c>
      <c r="CI183" s="401">
        <f>IF(ISBLANK(Actuals!CJ93),-1179.5*Escalation!$B$84,Actuals!CJ93)</f>
        <v/>
      </c>
      <c r="CJ183" s="401">
        <f>IF(ISBLANK(Actuals!CK93),-1179.5*Escalation!$B$85,Actuals!CK93)</f>
        <v/>
      </c>
      <c r="CK183" s="401">
        <f>IF(ISBLANK(Actuals!CL93),-1179.5*Escalation!$B$86,Actuals!CL93)</f>
        <v/>
      </c>
      <c r="CL183" s="401">
        <f>IF(ISBLANK(Actuals!CM93),-1179.5*Escalation!$B$87,Actuals!CM93)</f>
        <v/>
      </c>
      <c r="CM183" s="401">
        <f>IF(ISBLANK(Actuals!CN93),-1179.5*Escalation!$B$88,Actuals!CN93)</f>
        <v/>
      </c>
      <c r="CN183" s="401">
        <f>IF(ISBLANK(Actuals!CO93),-1179.5*Escalation!$B$89,Actuals!CO93)</f>
        <v/>
      </c>
      <c r="CO183" s="401">
        <f>IF(ISBLANK(Actuals!CP93),-1179.5*Escalation!$B$90,Actuals!CP93)</f>
        <v/>
      </c>
      <c r="CP183" s="401">
        <f>IF(ISBLANK(Actuals!CQ93),-1179.5*Escalation!$B$91,Actuals!CQ93)</f>
        <v/>
      </c>
      <c r="CQ183" s="401">
        <f>IF(ISBLANK(Actuals!CR93),-1179.5*Escalation!$B$92,Actuals!CR93)</f>
        <v/>
      </c>
      <c r="CR183" s="401">
        <f>IF(ISBLANK(Actuals!CS93),-1179.5*Escalation!$B$93,Actuals!CS93)</f>
        <v/>
      </c>
      <c r="CS183" s="401">
        <f>IF(ISBLANK(Actuals!CT93),-1179.5*Escalation!$B$94,Actuals!CT93)</f>
        <v/>
      </c>
      <c r="CT183" s="401">
        <f>IF(ISBLANK(Actuals!CU93),-1179.5*Escalation!$B$95,Actuals!CU93)</f>
        <v/>
      </c>
      <c r="CU183" s="401">
        <f>IF(ISBLANK(Actuals!CV93),-1179.5*Escalation!$B$96,Actuals!CV93)</f>
        <v/>
      </c>
      <c r="CV183" s="401">
        <f>IF(ISBLANK(Actuals!CW93),-1179.5*Escalation!$B$97,Actuals!CW93)</f>
        <v/>
      </c>
      <c r="CW183" s="401">
        <f>IF(ISBLANK(Actuals!CX93),-1179.5*Escalation!$B$98,Actuals!CX93)</f>
        <v/>
      </c>
      <c r="CX183" s="401">
        <f>IF(ISBLANK(Actuals!CY93),-1179.5*Escalation!$B$99,Actuals!CY93)</f>
        <v/>
      </c>
      <c r="CY183" s="401">
        <f>IF(ISBLANK(Actuals!CZ93),-1179.5*Escalation!$B$100,Actuals!CZ93)</f>
        <v/>
      </c>
      <c r="CZ183" s="401">
        <f>IF(ISBLANK(Actuals!DA93),-1179.5*Escalation!$B$101,Actuals!DA93)</f>
        <v/>
      </c>
      <c r="DA183" s="401">
        <f>IF(ISBLANK(Actuals!DB93),-1179.5*Escalation!$B$102,Actuals!DB93)</f>
        <v/>
      </c>
      <c r="DB183" s="401">
        <f>IF(ISBLANK(Actuals!DC93),-1179.5*Escalation!$B$103,Actuals!DC93)</f>
        <v/>
      </c>
      <c r="DC183" s="401">
        <f>IF(ISBLANK(Actuals!DD93),-1179.5*Escalation!$B$104,Actuals!DD93)</f>
        <v/>
      </c>
      <c r="DD183" s="401">
        <f>IF(ISBLANK(Actuals!DE93),-1179.5*Escalation!$B$105,Actuals!DE93)</f>
        <v/>
      </c>
      <c r="DE183" s="401">
        <f>IF(ISBLANK(Actuals!DF93),-1179.5*Escalation!$B$106,Actuals!DF93)</f>
        <v/>
      </c>
    </row>
    <row r="184" ht="15" customFormat="1" customHeight="1" s="380">
      <c r="A184" s="415" t="inlineStr">
        <is>
          <t>5300-1001 Public Transportation</t>
        </is>
      </c>
      <c r="B184" s="401">
        <f>IF(ISBLANK(Actuals!C94),0,Actuals!C94)</f>
        <v/>
      </c>
      <c r="C184" s="401">
        <f>IF(ISBLANK(Actuals!D94),0,Actuals!D94)</f>
        <v/>
      </c>
      <c r="D184" s="401">
        <f>IF(ISBLANK(Actuals!E94),0,Actuals!E94)</f>
        <v/>
      </c>
      <c r="E184" s="401">
        <f>IF(ISBLANK(Actuals!F94),-366.3*Escalation!$B$2,Actuals!F94)</f>
        <v/>
      </c>
      <c r="F184" s="401">
        <f>IF(ISBLANK(Actuals!G94),-366.3*Escalation!$B$3,Actuals!G94)</f>
        <v/>
      </c>
      <c r="G184" s="401">
        <f>IF(ISBLANK(Actuals!H94),-366.3*Escalation!$B$4,Actuals!H94)</f>
        <v/>
      </c>
      <c r="H184" s="401">
        <f>IF(ISBLANK(Actuals!I94),-366.3*Escalation!$B$5,Actuals!I94)</f>
        <v/>
      </c>
      <c r="I184" s="401">
        <f>IF(ISBLANK(Actuals!J94),-366.3*Escalation!$B$6,Actuals!J94)</f>
        <v/>
      </c>
      <c r="J184" s="401">
        <f>IF(ISBLANK(Actuals!K94),-366.3*Escalation!$B$7,Actuals!K94)</f>
        <v/>
      </c>
      <c r="K184" s="401">
        <f>IF(ISBLANK(Actuals!L94),-366.3*Escalation!$B$8,Actuals!L94)</f>
        <v/>
      </c>
      <c r="L184" s="401">
        <f>IF(ISBLANK(Actuals!M94),-366.3*Escalation!$B$9,Actuals!M94)</f>
        <v/>
      </c>
      <c r="M184" s="401">
        <f>IF(ISBLANK(Actuals!N94),-366.3*Escalation!$B$10,Actuals!N94)</f>
        <v/>
      </c>
      <c r="N184" s="401">
        <f>IF(ISBLANK(Actuals!O94),-366.3*Escalation!$B$11,Actuals!O94)</f>
        <v/>
      </c>
      <c r="O184" s="401">
        <f>IF(ISBLANK(Actuals!P94),-366.3*Escalation!$B$12,Actuals!P94)</f>
        <v/>
      </c>
      <c r="P184" s="401">
        <f>IF(ISBLANK(Actuals!Q94),-366.3*Escalation!$B$13,Actuals!Q94)</f>
        <v/>
      </c>
      <c r="Q184" s="401">
        <f>IF(ISBLANK(Actuals!R94),-366.3*Escalation!$B$14,Actuals!R94)</f>
        <v/>
      </c>
      <c r="R184" s="401">
        <f>IF(ISBLANK(Actuals!S94),-366.3*Escalation!$B$15,Actuals!S94)</f>
        <v/>
      </c>
      <c r="S184" s="401">
        <f>IF(ISBLANK(Actuals!T94),-366.3*Escalation!$B$16,Actuals!T94)</f>
        <v/>
      </c>
      <c r="T184" s="401">
        <f>IF(ISBLANK(Actuals!U94),-366.3*Escalation!$B$17,Actuals!U94)</f>
        <v/>
      </c>
      <c r="U184" s="401">
        <f>IF(ISBLANK(Actuals!V94),-366.3*Escalation!$B$18,Actuals!V94)</f>
        <v/>
      </c>
      <c r="V184" s="401">
        <f>IF(ISBLANK(Actuals!W94),-366.3*Escalation!$B$19,Actuals!W94)</f>
        <v/>
      </c>
      <c r="W184" s="401">
        <f>IF(ISBLANK(Actuals!X94),-366.3*Escalation!$B$20,Actuals!X94)</f>
        <v/>
      </c>
      <c r="X184" s="401">
        <f>IF(ISBLANK(Actuals!Y94),-366.3*Escalation!$B$21,Actuals!Y94)</f>
        <v/>
      </c>
      <c r="Y184" s="401">
        <f>IF(ISBLANK(Actuals!Z94),-366.3*Escalation!$B$22,Actuals!Z94)</f>
        <v/>
      </c>
      <c r="Z184" s="401">
        <f>IF(ISBLANK(Actuals!AA94),-366.3*Escalation!$B$23,Actuals!AA94)</f>
        <v/>
      </c>
      <c r="AA184" s="401">
        <f>IF(ISBLANK(Actuals!AB94),-366.3*Escalation!$B$24,Actuals!AB94)</f>
        <v/>
      </c>
      <c r="AB184" s="401">
        <f>IF(ISBLANK(Actuals!AC94),-366.3*Escalation!$B$25,Actuals!AC94)</f>
        <v/>
      </c>
      <c r="AC184" s="401">
        <f>IF(ISBLANK(Actuals!AD94),-366.3*Escalation!$B$26,Actuals!AD94)</f>
        <v/>
      </c>
      <c r="AD184" s="401">
        <f>IF(ISBLANK(Actuals!AE94),-366.3*Escalation!$B$27,Actuals!AE94)</f>
        <v/>
      </c>
      <c r="AE184" s="401">
        <f>IF(ISBLANK(Actuals!AF94),-366.3*Escalation!$B$28,Actuals!AF94)</f>
        <v/>
      </c>
      <c r="AF184" s="401">
        <f>IF(ISBLANK(Actuals!AG94),-366.3*Escalation!$B$29,Actuals!AG94)</f>
        <v/>
      </c>
      <c r="AG184" s="401">
        <f>IF(ISBLANK(Actuals!AH94),-366.3*Escalation!$B$30,Actuals!AH94)</f>
        <v/>
      </c>
      <c r="AH184" s="401">
        <f>IF(ISBLANK(Actuals!AI94),-366.3*Escalation!$B$31,Actuals!AI94)</f>
        <v/>
      </c>
      <c r="AI184" s="401">
        <f>IF(ISBLANK(Actuals!AJ94),-366.3*Escalation!$B$32,Actuals!AJ94)</f>
        <v/>
      </c>
      <c r="AJ184" s="401">
        <f>IF(ISBLANK(Actuals!AK94),-366.3*Escalation!$B$33,Actuals!AK94)</f>
        <v/>
      </c>
      <c r="AK184" s="401">
        <f>IF(ISBLANK(Actuals!AL94),-366.3*Escalation!$B$34,Actuals!AL94)</f>
        <v/>
      </c>
      <c r="AL184" s="401">
        <f>IF(ISBLANK(Actuals!AM94),-366.3*Escalation!$B$35,Actuals!AM94)</f>
        <v/>
      </c>
      <c r="AM184" s="401">
        <f>IF(ISBLANK(Actuals!AN94),-366.3*Escalation!$B$36,Actuals!AN94)</f>
        <v/>
      </c>
      <c r="AN184" s="401">
        <f>IF(ISBLANK(Actuals!AO94),-366.3*Escalation!$B$37,Actuals!AO94)</f>
        <v/>
      </c>
      <c r="AO184" s="401">
        <f>IF(ISBLANK(Actuals!AP94),-366.3*Escalation!$B$38,Actuals!AP94)</f>
        <v/>
      </c>
      <c r="AP184" s="401">
        <f>IF(ISBLANK(Actuals!AQ94),-366.3*Escalation!$B$39,Actuals!AQ94)</f>
        <v/>
      </c>
      <c r="AQ184" s="401">
        <f>IF(ISBLANK(Actuals!AR94),-366.3*Escalation!$B$40,Actuals!AR94)</f>
        <v/>
      </c>
      <c r="AR184" s="401">
        <f>IF(ISBLANK(Actuals!AS94),-366.3*Escalation!$B$41,Actuals!AS94)</f>
        <v/>
      </c>
      <c r="AS184" s="401">
        <f>IF(ISBLANK(Actuals!AT94),-366.3*Escalation!$B$42,Actuals!AT94)</f>
        <v/>
      </c>
      <c r="AT184" s="401">
        <f>IF(ISBLANK(Actuals!AU94),-366.3*Escalation!$B$43,Actuals!AU94)</f>
        <v/>
      </c>
      <c r="AU184" s="401">
        <f>IF(ISBLANK(Actuals!AV94),-366.3*Escalation!$B$44,Actuals!AV94)</f>
        <v/>
      </c>
      <c r="AV184" s="401">
        <f>IF(ISBLANK(Actuals!AW94),-366.3*Escalation!$B$45,Actuals!AW94)</f>
        <v/>
      </c>
      <c r="AW184" s="401">
        <f>IF(ISBLANK(Actuals!AX94),-366.3*Escalation!$B$46,Actuals!AX94)</f>
        <v/>
      </c>
      <c r="AX184" s="401">
        <f>IF(ISBLANK(Actuals!AY94),-366.3*Escalation!$B$47,Actuals!AY94)</f>
        <v/>
      </c>
      <c r="AY184" s="401">
        <f>IF(ISBLANK(Actuals!AZ94),-366.3*Escalation!$B$48,Actuals!AZ94)</f>
        <v/>
      </c>
      <c r="AZ184" s="401">
        <f>IF(ISBLANK(Actuals!BA94),-366.3*Escalation!$B$49,Actuals!BA94)</f>
        <v/>
      </c>
      <c r="BA184" s="401">
        <f>IF(ISBLANK(Actuals!BB94),-366.3*Escalation!$B$50,Actuals!BB94)</f>
        <v/>
      </c>
      <c r="BB184" s="401">
        <f>IF(ISBLANK(Actuals!BC94),-366.3*Escalation!$B$51,Actuals!BC94)</f>
        <v/>
      </c>
      <c r="BC184" s="401">
        <f>IF(ISBLANK(Actuals!BD94),-366.3*Escalation!$B$52,Actuals!BD94)</f>
        <v/>
      </c>
      <c r="BD184" s="401">
        <f>IF(ISBLANK(Actuals!BE94),-366.3*Escalation!$B$53,Actuals!BE94)</f>
        <v/>
      </c>
      <c r="BE184" s="401">
        <f>IF(ISBLANK(Actuals!BF94),-366.3*Escalation!$B$54,Actuals!BF94)</f>
        <v/>
      </c>
      <c r="BF184" s="401">
        <f>IF(ISBLANK(Actuals!BG94),-366.3*Escalation!$B$55,Actuals!BG94)</f>
        <v/>
      </c>
      <c r="BG184" s="401">
        <f>IF(ISBLANK(Actuals!BH94),-366.3*Escalation!$B$56,Actuals!BH94)</f>
        <v/>
      </c>
      <c r="BH184" s="401">
        <f>IF(ISBLANK(Actuals!BI94),-366.3*Escalation!$B$57,Actuals!BI94)</f>
        <v/>
      </c>
      <c r="BI184" s="401">
        <f>IF(ISBLANK(Actuals!BJ94),-366.3*Escalation!$B$58,Actuals!BJ94)</f>
        <v/>
      </c>
      <c r="BJ184" s="401">
        <f>IF(ISBLANK(Actuals!BK94),-366.3*Escalation!$B$59,Actuals!BK94)</f>
        <v/>
      </c>
      <c r="BK184" s="401">
        <f>IF(ISBLANK(Actuals!BL94),-366.3*Escalation!$B$60,Actuals!BL94)</f>
        <v/>
      </c>
      <c r="BL184" s="401">
        <f>IF(ISBLANK(Actuals!BM94),-366.3*Escalation!$B$61,Actuals!BM94)</f>
        <v/>
      </c>
      <c r="BM184" s="401">
        <f>IF(ISBLANK(Actuals!BN94),-366.3*Escalation!$B$62,Actuals!BN94)</f>
        <v/>
      </c>
      <c r="BN184" s="401">
        <f>IF(ISBLANK(Actuals!BO94),-366.3*Escalation!$B$63,Actuals!BO94)</f>
        <v/>
      </c>
      <c r="BO184" s="401">
        <f>IF(ISBLANK(Actuals!BP94),-366.3*Escalation!$B$64,Actuals!BP94)</f>
        <v/>
      </c>
      <c r="BP184" s="401">
        <f>IF(ISBLANK(Actuals!BQ94),-366.3*Escalation!$B$65,Actuals!BQ94)</f>
        <v/>
      </c>
      <c r="BQ184" s="401">
        <f>IF(ISBLANK(Actuals!BR94),-366.3*Escalation!$B$66,Actuals!BR94)</f>
        <v/>
      </c>
      <c r="BR184" s="401">
        <f>IF(ISBLANK(Actuals!BS94),-366.3*Escalation!$B$67,Actuals!BS94)</f>
        <v/>
      </c>
      <c r="BS184" s="401">
        <f>IF(ISBLANK(Actuals!BT94),-366.3*Escalation!$B$68,Actuals!BT94)</f>
        <v/>
      </c>
      <c r="BT184" s="401">
        <f>IF(ISBLANK(Actuals!BU94),-366.3*Escalation!$B$69,Actuals!BU94)</f>
        <v/>
      </c>
      <c r="BU184" s="401">
        <f>IF(ISBLANK(Actuals!BV94),-366.3*Escalation!$B$70,Actuals!BV94)</f>
        <v/>
      </c>
      <c r="BV184" s="401">
        <f>IF(ISBLANK(Actuals!BW94),-366.3*Escalation!$B$71,Actuals!BW94)</f>
        <v/>
      </c>
      <c r="BW184" s="401">
        <f>IF(ISBLANK(Actuals!BX94),-366.3*Escalation!$B$72,Actuals!BX94)</f>
        <v/>
      </c>
      <c r="BX184" s="401">
        <f>IF(ISBLANK(Actuals!BY94),-366.3*Escalation!$B$73,Actuals!BY94)</f>
        <v/>
      </c>
      <c r="BY184" s="401">
        <f>IF(ISBLANK(Actuals!BZ94),-366.3*Escalation!$B$74,Actuals!BZ94)</f>
        <v/>
      </c>
      <c r="BZ184" s="401">
        <f>IF(ISBLANK(Actuals!CA94),-366.3*Escalation!$B$75,Actuals!CA94)</f>
        <v/>
      </c>
      <c r="CA184" s="401">
        <f>IF(ISBLANK(Actuals!CB94),-366.3*Escalation!$B$76,Actuals!CB94)</f>
        <v/>
      </c>
      <c r="CB184" s="401">
        <f>IF(ISBLANK(Actuals!CC94),-366.3*Escalation!$B$77,Actuals!CC94)</f>
        <v/>
      </c>
      <c r="CC184" s="401">
        <f>IF(ISBLANK(Actuals!CD94),-366.3*Escalation!$B$78,Actuals!CD94)</f>
        <v/>
      </c>
      <c r="CD184" s="401">
        <f>IF(ISBLANK(Actuals!CE94),-366.3*Escalation!$B$79,Actuals!CE94)</f>
        <v/>
      </c>
      <c r="CE184" s="401">
        <f>IF(ISBLANK(Actuals!CF94),-366.3*Escalation!$B$80,Actuals!CF94)</f>
        <v/>
      </c>
      <c r="CF184" s="401">
        <f>IF(ISBLANK(Actuals!CG94),-366.3*Escalation!$B$81,Actuals!CG94)</f>
        <v/>
      </c>
      <c r="CG184" s="401">
        <f>IF(ISBLANK(Actuals!CH94),-366.3*Escalation!$B$82,Actuals!CH94)</f>
        <v/>
      </c>
      <c r="CH184" s="401">
        <f>IF(ISBLANK(Actuals!CI94),-366.3*Escalation!$B$83,Actuals!CI94)</f>
        <v/>
      </c>
      <c r="CI184" s="401">
        <f>IF(ISBLANK(Actuals!CJ94),-366.3*Escalation!$B$84,Actuals!CJ94)</f>
        <v/>
      </c>
      <c r="CJ184" s="401">
        <f>IF(ISBLANK(Actuals!CK94),-366.3*Escalation!$B$85,Actuals!CK94)</f>
        <v/>
      </c>
      <c r="CK184" s="401">
        <f>IF(ISBLANK(Actuals!CL94),-366.3*Escalation!$B$86,Actuals!CL94)</f>
        <v/>
      </c>
      <c r="CL184" s="401">
        <f>IF(ISBLANK(Actuals!CM94),-366.3*Escalation!$B$87,Actuals!CM94)</f>
        <v/>
      </c>
      <c r="CM184" s="401">
        <f>IF(ISBLANK(Actuals!CN94),-366.3*Escalation!$B$88,Actuals!CN94)</f>
        <v/>
      </c>
      <c r="CN184" s="401">
        <f>IF(ISBLANK(Actuals!CO94),-366.3*Escalation!$B$89,Actuals!CO94)</f>
        <v/>
      </c>
      <c r="CO184" s="401">
        <f>IF(ISBLANK(Actuals!CP94),-366.3*Escalation!$B$90,Actuals!CP94)</f>
        <v/>
      </c>
      <c r="CP184" s="401">
        <f>IF(ISBLANK(Actuals!CQ94),-366.3*Escalation!$B$91,Actuals!CQ94)</f>
        <v/>
      </c>
      <c r="CQ184" s="401">
        <f>IF(ISBLANK(Actuals!CR94),-366.3*Escalation!$B$92,Actuals!CR94)</f>
        <v/>
      </c>
      <c r="CR184" s="401">
        <f>IF(ISBLANK(Actuals!CS94),-366.3*Escalation!$B$93,Actuals!CS94)</f>
        <v/>
      </c>
      <c r="CS184" s="401">
        <f>IF(ISBLANK(Actuals!CT94),-366.3*Escalation!$B$94,Actuals!CT94)</f>
        <v/>
      </c>
      <c r="CT184" s="401">
        <f>IF(ISBLANK(Actuals!CU94),-366.3*Escalation!$B$95,Actuals!CU94)</f>
        <v/>
      </c>
      <c r="CU184" s="401">
        <f>IF(ISBLANK(Actuals!CV94),-366.3*Escalation!$B$96,Actuals!CV94)</f>
        <v/>
      </c>
      <c r="CV184" s="401">
        <f>IF(ISBLANK(Actuals!CW94),-366.3*Escalation!$B$97,Actuals!CW94)</f>
        <v/>
      </c>
      <c r="CW184" s="401">
        <f>IF(ISBLANK(Actuals!CX94),-366.3*Escalation!$B$98,Actuals!CX94)</f>
        <v/>
      </c>
      <c r="CX184" s="401">
        <f>IF(ISBLANK(Actuals!CY94),-366.3*Escalation!$B$99,Actuals!CY94)</f>
        <v/>
      </c>
      <c r="CY184" s="401">
        <f>IF(ISBLANK(Actuals!CZ94),-366.3*Escalation!$B$100,Actuals!CZ94)</f>
        <v/>
      </c>
      <c r="CZ184" s="401">
        <f>IF(ISBLANK(Actuals!DA94),-366.3*Escalation!$B$101,Actuals!DA94)</f>
        <v/>
      </c>
      <c r="DA184" s="401">
        <f>IF(ISBLANK(Actuals!DB94),-366.3*Escalation!$B$102,Actuals!DB94)</f>
        <v/>
      </c>
      <c r="DB184" s="401">
        <f>IF(ISBLANK(Actuals!DC94),-366.3*Escalation!$B$103,Actuals!DC94)</f>
        <v/>
      </c>
      <c r="DC184" s="401">
        <f>IF(ISBLANK(Actuals!DD94),-366.3*Escalation!$B$104,Actuals!DD94)</f>
        <v/>
      </c>
      <c r="DD184" s="401">
        <f>IF(ISBLANK(Actuals!DE94),-366.3*Escalation!$B$105,Actuals!DE94)</f>
        <v/>
      </c>
      <c r="DE184" s="401">
        <f>IF(ISBLANK(Actuals!DF94),-366.3*Escalation!$B$106,Actuals!DF94)</f>
        <v/>
      </c>
    </row>
    <row r="185" ht="15" customFormat="1" customHeight="1" s="380">
      <c r="A185" s="415" t="inlineStr">
        <is>
          <t>5300-1002 Parking</t>
        </is>
      </c>
      <c r="B185" s="401">
        <f>IF(ISBLANK(Actuals!C95),0,Actuals!C95)</f>
        <v/>
      </c>
      <c r="C185" s="401">
        <f>IF(ISBLANK(Actuals!D95),0,Actuals!D95)</f>
        <v/>
      </c>
      <c r="D185" s="401">
        <f>IF(ISBLANK(Actuals!E95),0,Actuals!E95)</f>
        <v/>
      </c>
      <c r="E185" s="401">
        <f>IF(ISBLANK(Actuals!F95),-50.07*Escalation!$B$2,Actuals!F95)</f>
        <v/>
      </c>
      <c r="F185" s="401">
        <f>IF(ISBLANK(Actuals!G95),-50.07*Escalation!$B$3,Actuals!G95)</f>
        <v/>
      </c>
      <c r="G185" s="401">
        <f>IF(ISBLANK(Actuals!H95),-50.07*Escalation!$B$4,Actuals!H95)</f>
        <v/>
      </c>
      <c r="H185" s="401">
        <f>IF(ISBLANK(Actuals!I95),-50.07*Escalation!$B$5,Actuals!I95)</f>
        <v/>
      </c>
      <c r="I185" s="401">
        <f>IF(ISBLANK(Actuals!J95),-50.07*Escalation!$B$6,Actuals!J95)</f>
        <v/>
      </c>
      <c r="J185" s="401">
        <f>IF(ISBLANK(Actuals!K95),-50.07*Escalation!$B$7,Actuals!K95)</f>
        <v/>
      </c>
      <c r="K185" s="401">
        <f>IF(ISBLANK(Actuals!L95),-50.07*Escalation!$B$8,Actuals!L95)</f>
        <v/>
      </c>
      <c r="L185" s="401">
        <f>IF(ISBLANK(Actuals!M95),-50.07*Escalation!$B$9,Actuals!M95)</f>
        <v/>
      </c>
      <c r="M185" s="401">
        <f>IF(ISBLANK(Actuals!N95),-50.07*Escalation!$B$10,Actuals!N95)</f>
        <v/>
      </c>
      <c r="N185" s="401">
        <f>IF(ISBLANK(Actuals!O95),-50.07*Escalation!$B$11,Actuals!O95)</f>
        <v/>
      </c>
      <c r="O185" s="401">
        <f>IF(ISBLANK(Actuals!P95),-50.07*Escalation!$B$12,Actuals!P95)</f>
        <v/>
      </c>
      <c r="P185" s="401">
        <f>IF(ISBLANK(Actuals!Q95),-50.07*Escalation!$B$13,Actuals!Q95)</f>
        <v/>
      </c>
      <c r="Q185" s="401">
        <f>IF(ISBLANK(Actuals!R95),-50.07*Escalation!$B$14,Actuals!R95)</f>
        <v/>
      </c>
      <c r="R185" s="401">
        <f>IF(ISBLANK(Actuals!S95),-50.07*Escalation!$B$15,Actuals!S95)</f>
        <v/>
      </c>
      <c r="S185" s="401">
        <f>IF(ISBLANK(Actuals!T95),-50.07*Escalation!$B$16,Actuals!T95)</f>
        <v/>
      </c>
      <c r="T185" s="401">
        <f>IF(ISBLANK(Actuals!U95),-50.07*Escalation!$B$17,Actuals!U95)</f>
        <v/>
      </c>
      <c r="U185" s="401">
        <f>IF(ISBLANK(Actuals!V95),-50.07*Escalation!$B$18,Actuals!V95)</f>
        <v/>
      </c>
      <c r="V185" s="401">
        <f>IF(ISBLANK(Actuals!W95),-50.07*Escalation!$B$19,Actuals!W95)</f>
        <v/>
      </c>
      <c r="W185" s="401">
        <f>IF(ISBLANK(Actuals!X95),-50.07*Escalation!$B$20,Actuals!X95)</f>
        <v/>
      </c>
      <c r="X185" s="401">
        <f>IF(ISBLANK(Actuals!Y95),-50.07*Escalation!$B$21,Actuals!Y95)</f>
        <v/>
      </c>
      <c r="Y185" s="401">
        <f>IF(ISBLANK(Actuals!Z95),-50.07*Escalation!$B$22,Actuals!Z95)</f>
        <v/>
      </c>
      <c r="Z185" s="401">
        <f>IF(ISBLANK(Actuals!AA95),-50.07*Escalation!$B$23,Actuals!AA95)</f>
        <v/>
      </c>
      <c r="AA185" s="401">
        <f>IF(ISBLANK(Actuals!AB95),-50.07*Escalation!$B$24,Actuals!AB95)</f>
        <v/>
      </c>
      <c r="AB185" s="401">
        <f>IF(ISBLANK(Actuals!AC95),-50.07*Escalation!$B$25,Actuals!AC95)</f>
        <v/>
      </c>
      <c r="AC185" s="401">
        <f>IF(ISBLANK(Actuals!AD95),-50.07*Escalation!$B$26,Actuals!AD95)</f>
        <v/>
      </c>
      <c r="AD185" s="401">
        <f>IF(ISBLANK(Actuals!AE95),-50.07*Escalation!$B$27,Actuals!AE95)</f>
        <v/>
      </c>
      <c r="AE185" s="401">
        <f>IF(ISBLANK(Actuals!AF95),-50.07*Escalation!$B$28,Actuals!AF95)</f>
        <v/>
      </c>
      <c r="AF185" s="401">
        <f>IF(ISBLANK(Actuals!AG95),-50.07*Escalation!$B$29,Actuals!AG95)</f>
        <v/>
      </c>
      <c r="AG185" s="401">
        <f>IF(ISBLANK(Actuals!AH95),-50.07*Escalation!$B$30,Actuals!AH95)</f>
        <v/>
      </c>
      <c r="AH185" s="401">
        <f>IF(ISBLANK(Actuals!AI95),-50.07*Escalation!$B$31,Actuals!AI95)</f>
        <v/>
      </c>
      <c r="AI185" s="401">
        <f>IF(ISBLANK(Actuals!AJ95),-50.07*Escalation!$B$32,Actuals!AJ95)</f>
        <v/>
      </c>
      <c r="AJ185" s="401">
        <f>IF(ISBLANK(Actuals!AK95),-50.07*Escalation!$B$33,Actuals!AK95)</f>
        <v/>
      </c>
      <c r="AK185" s="401">
        <f>IF(ISBLANK(Actuals!AL95),-50.07*Escalation!$B$34,Actuals!AL95)</f>
        <v/>
      </c>
      <c r="AL185" s="401">
        <f>IF(ISBLANK(Actuals!AM95),-50.07*Escalation!$B$35,Actuals!AM95)</f>
        <v/>
      </c>
      <c r="AM185" s="401">
        <f>IF(ISBLANK(Actuals!AN95),-50.07*Escalation!$B$36,Actuals!AN95)</f>
        <v/>
      </c>
      <c r="AN185" s="401">
        <f>IF(ISBLANK(Actuals!AO95),-50.07*Escalation!$B$37,Actuals!AO95)</f>
        <v/>
      </c>
      <c r="AO185" s="401">
        <f>IF(ISBLANK(Actuals!AP95),-50.07*Escalation!$B$38,Actuals!AP95)</f>
        <v/>
      </c>
      <c r="AP185" s="401">
        <f>IF(ISBLANK(Actuals!AQ95),-50.07*Escalation!$B$39,Actuals!AQ95)</f>
        <v/>
      </c>
      <c r="AQ185" s="401">
        <f>IF(ISBLANK(Actuals!AR95),-50.07*Escalation!$B$40,Actuals!AR95)</f>
        <v/>
      </c>
      <c r="AR185" s="401">
        <f>IF(ISBLANK(Actuals!AS95),-50.07*Escalation!$B$41,Actuals!AS95)</f>
        <v/>
      </c>
      <c r="AS185" s="401">
        <f>IF(ISBLANK(Actuals!AT95),-50.07*Escalation!$B$42,Actuals!AT95)</f>
        <v/>
      </c>
      <c r="AT185" s="401">
        <f>IF(ISBLANK(Actuals!AU95),-50.07*Escalation!$B$43,Actuals!AU95)</f>
        <v/>
      </c>
      <c r="AU185" s="401">
        <f>IF(ISBLANK(Actuals!AV95),-50.07*Escalation!$B$44,Actuals!AV95)</f>
        <v/>
      </c>
      <c r="AV185" s="401">
        <f>IF(ISBLANK(Actuals!AW95),-50.07*Escalation!$B$45,Actuals!AW95)</f>
        <v/>
      </c>
      <c r="AW185" s="401">
        <f>IF(ISBLANK(Actuals!AX95),-50.07*Escalation!$B$46,Actuals!AX95)</f>
        <v/>
      </c>
      <c r="AX185" s="401">
        <f>IF(ISBLANK(Actuals!AY95),-50.07*Escalation!$B$47,Actuals!AY95)</f>
        <v/>
      </c>
      <c r="AY185" s="401">
        <f>IF(ISBLANK(Actuals!AZ95),-50.07*Escalation!$B$48,Actuals!AZ95)</f>
        <v/>
      </c>
      <c r="AZ185" s="401">
        <f>IF(ISBLANK(Actuals!BA95),-50.07*Escalation!$B$49,Actuals!BA95)</f>
        <v/>
      </c>
      <c r="BA185" s="401">
        <f>IF(ISBLANK(Actuals!BB95),-50.07*Escalation!$B$50,Actuals!BB95)</f>
        <v/>
      </c>
      <c r="BB185" s="401">
        <f>IF(ISBLANK(Actuals!BC95),-50.07*Escalation!$B$51,Actuals!BC95)</f>
        <v/>
      </c>
      <c r="BC185" s="401">
        <f>IF(ISBLANK(Actuals!BD95),-50.07*Escalation!$B$52,Actuals!BD95)</f>
        <v/>
      </c>
      <c r="BD185" s="401">
        <f>IF(ISBLANK(Actuals!BE95),-50.07*Escalation!$B$53,Actuals!BE95)</f>
        <v/>
      </c>
      <c r="BE185" s="401">
        <f>IF(ISBLANK(Actuals!BF95),-50.07*Escalation!$B$54,Actuals!BF95)</f>
        <v/>
      </c>
      <c r="BF185" s="401">
        <f>IF(ISBLANK(Actuals!BG95),-50.07*Escalation!$B$55,Actuals!BG95)</f>
        <v/>
      </c>
      <c r="BG185" s="401">
        <f>IF(ISBLANK(Actuals!BH95),-50.07*Escalation!$B$56,Actuals!BH95)</f>
        <v/>
      </c>
      <c r="BH185" s="401">
        <f>IF(ISBLANK(Actuals!BI95),-50.07*Escalation!$B$57,Actuals!BI95)</f>
        <v/>
      </c>
      <c r="BI185" s="401">
        <f>IF(ISBLANK(Actuals!BJ95),-50.07*Escalation!$B$58,Actuals!BJ95)</f>
        <v/>
      </c>
      <c r="BJ185" s="401">
        <f>IF(ISBLANK(Actuals!BK95),-50.07*Escalation!$B$59,Actuals!BK95)</f>
        <v/>
      </c>
      <c r="BK185" s="401">
        <f>IF(ISBLANK(Actuals!BL95),-50.07*Escalation!$B$60,Actuals!BL95)</f>
        <v/>
      </c>
      <c r="BL185" s="401">
        <f>IF(ISBLANK(Actuals!BM95),-50.07*Escalation!$B$61,Actuals!BM95)</f>
        <v/>
      </c>
      <c r="BM185" s="401">
        <f>IF(ISBLANK(Actuals!BN95),-50.07*Escalation!$B$62,Actuals!BN95)</f>
        <v/>
      </c>
      <c r="BN185" s="401">
        <f>IF(ISBLANK(Actuals!BO95),-50.07*Escalation!$B$63,Actuals!BO95)</f>
        <v/>
      </c>
      <c r="BO185" s="401">
        <f>IF(ISBLANK(Actuals!BP95),-50.07*Escalation!$B$64,Actuals!BP95)</f>
        <v/>
      </c>
      <c r="BP185" s="401">
        <f>IF(ISBLANK(Actuals!BQ95),-50.07*Escalation!$B$65,Actuals!BQ95)</f>
        <v/>
      </c>
      <c r="BQ185" s="401">
        <f>IF(ISBLANK(Actuals!BR95),-50.07*Escalation!$B$66,Actuals!BR95)</f>
        <v/>
      </c>
      <c r="BR185" s="401">
        <f>IF(ISBLANK(Actuals!BS95),-50.07*Escalation!$B$67,Actuals!BS95)</f>
        <v/>
      </c>
      <c r="BS185" s="401">
        <f>IF(ISBLANK(Actuals!BT95),-50.07*Escalation!$B$68,Actuals!BT95)</f>
        <v/>
      </c>
      <c r="BT185" s="401">
        <f>IF(ISBLANK(Actuals!BU95),-50.07*Escalation!$B$69,Actuals!BU95)</f>
        <v/>
      </c>
      <c r="BU185" s="401">
        <f>IF(ISBLANK(Actuals!BV95),-50.07*Escalation!$B$70,Actuals!BV95)</f>
        <v/>
      </c>
      <c r="BV185" s="401">
        <f>IF(ISBLANK(Actuals!BW95),-50.07*Escalation!$B$71,Actuals!BW95)</f>
        <v/>
      </c>
      <c r="BW185" s="401">
        <f>IF(ISBLANK(Actuals!BX95),-50.07*Escalation!$B$72,Actuals!BX95)</f>
        <v/>
      </c>
      <c r="BX185" s="401">
        <f>IF(ISBLANK(Actuals!BY95),-50.07*Escalation!$B$73,Actuals!BY95)</f>
        <v/>
      </c>
      <c r="BY185" s="401">
        <f>IF(ISBLANK(Actuals!BZ95),-50.07*Escalation!$B$74,Actuals!BZ95)</f>
        <v/>
      </c>
      <c r="BZ185" s="401">
        <f>IF(ISBLANK(Actuals!CA95),-50.07*Escalation!$B$75,Actuals!CA95)</f>
        <v/>
      </c>
      <c r="CA185" s="401">
        <f>IF(ISBLANK(Actuals!CB95),-50.07*Escalation!$B$76,Actuals!CB95)</f>
        <v/>
      </c>
      <c r="CB185" s="401">
        <f>IF(ISBLANK(Actuals!CC95),-50.07*Escalation!$B$77,Actuals!CC95)</f>
        <v/>
      </c>
      <c r="CC185" s="401">
        <f>IF(ISBLANK(Actuals!CD95),-50.07*Escalation!$B$78,Actuals!CD95)</f>
        <v/>
      </c>
      <c r="CD185" s="401">
        <f>IF(ISBLANK(Actuals!CE95),-50.07*Escalation!$B$79,Actuals!CE95)</f>
        <v/>
      </c>
      <c r="CE185" s="401">
        <f>IF(ISBLANK(Actuals!CF95),-50.07*Escalation!$B$80,Actuals!CF95)</f>
        <v/>
      </c>
      <c r="CF185" s="401">
        <f>IF(ISBLANK(Actuals!CG95),-50.07*Escalation!$B$81,Actuals!CG95)</f>
        <v/>
      </c>
      <c r="CG185" s="401">
        <f>IF(ISBLANK(Actuals!CH95),-50.07*Escalation!$B$82,Actuals!CH95)</f>
        <v/>
      </c>
      <c r="CH185" s="401">
        <f>IF(ISBLANK(Actuals!CI95),-50.07*Escalation!$B$83,Actuals!CI95)</f>
        <v/>
      </c>
      <c r="CI185" s="401">
        <f>IF(ISBLANK(Actuals!CJ95),-50.07*Escalation!$B$84,Actuals!CJ95)</f>
        <v/>
      </c>
      <c r="CJ185" s="401">
        <f>IF(ISBLANK(Actuals!CK95),-50.07*Escalation!$B$85,Actuals!CK95)</f>
        <v/>
      </c>
      <c r="CK185" s="401">
        <f>IF(ISBLANK(Actuals!CL95),-50.07*Escalation!$B$86,Actuals!CL95)</f>
        <v/>
      </c>
      <c r="CL185" s="401">
        <f>IF(ISBLANK(Actuals!CM95),-50.07*Escalation!$B$87,Actuals!CM95)</f>
        <v/>
      </c>
      <c r="CM185" s="401">
        <f>IF(ISBLANK(Actuals!CN95),-50.07*Escalation!$B$88,Actuals!CN95)</f>
        <v/>
      </c>
      <c r="CN185" s="401">
        <f>IF(ISBLANK(Actuals!CO95),-50.07*Escalation!$B$89,Actuals!CO95)</f>
        <v/>
      </c>
      <c r="CO185" s="401">
        <f>IF(ISBLANK(Actuals!CP95),-50.07*Escalation!$B$90,Actuals!CP95)</f>
        <v/>
      </c>
      <c r="CP185" s="401">
        <f>IF(ISBLANK(Actuals!CQ95),-50.07*Escalation!$B$91,Actuals!CQ95)</f>
        <v/>
      </c>
      <c r="CQ185" s="401">
        <f>IF(ISBLANK(Actuals!CR95),-50.07*Escalation!$B$92,Actuals!CR95)</f>
        <v/>
      </c>
      <c r="CR185" s="401">
        <f>IF(ISBLANK(Actuals!CS95),-50.07*Escalation!$B$93,Actuals!CS95)</f>
        <v/>
      </c>
      <c r="CS185" s="401">
        <f>IF(ISBLANK(Actuals!CT95),-50.07*Escalation!$B$94,Actuals!CT95)</f>
        <v/>
      </c>
      <c r="CT185" s="401">
        <f>IF(ISBLANK(Actuals!CU95),-50.07*Escalation!$B$95,Actuals!CU95)</f>
        <v/>
      </c>
      <c r="CU185" s="401">
        <f>IF(ISBLANK(Actuals!CV95),-50.07*Escalation!$B$96,Actuals!CV95)</f>
        <v/>
      </c>
      <c r="CV185" s="401">
        <f>IF(ISBLANK(Actuals!CW95),-50.07*Escalation!$B$97,Actuals!CW95)</f>
        <v/>
      </c>
      <c r="CW185" s="401">
        <f>IF(ISBLANK(Actuals!CX95),-50.07*Escalation!$B$98,Actuals!CX95)</f>
        <v/>
      </c>
      <c r="CX185" s="401">
        <f>IF(ISBLANK(Actuals!CY95),-50.07*Escalation!$B$99,Actuals!CY95)</f>
        <v/>
      </c>
      <c r="CY185" s="401">
        <f>IF(ISBLANK(Actuals!CZ95),-50.07*Escalation!$B$100,Actuals!CZ95)</f>
        <v/>
      </c>
      <c r="CZ185" s="401">
        <f>IF(ISBLANK(Actuals!DA95),-50.07*Escalation!$B$101,Actuals!DA95)</f>
        <v/>
      </c>
      <c r="DA185" s="401">
        <f>IF(ISBLANK(Actuals!DB95),-50.07*Escalation!$B$102,Actuals!DB95)</f>
        <v/>
      </c>
      <c r="DB185" s="401">
        <f>IF(ISBLANK(Actuals!DC95),-50.07*Escalation!$B$103,Actuals!DC95)</f>
        <v/>
      </c>
      <c r="DC185" s="401">
        <f>IF(ISBLANK(Actuals!DD95),-50.07*Escalation!$B$104,Actuals!DD95)</f>
        <v/>
      </c>
      <c r="DD185" s="401">
        <f>IF(ISBLANK(Actuals!DE95),-50.07*Escalation!$B$105,Actuals!DE95)</f>
        <v/>
      </c>
      <c r="DE185" s="401">
        <f>IF(ISBLANK(Actuals!DF95),-50.07*Escalation!$B$106,Actuals!DF95)</f>
        <v/>
      </c>
    </row>
    <row r="186" ht="15" customFormat="1" customHeight="1" s="380">
      <c r="A186" s="415" t="inlineStr">
        <is>
          <t>5300-1050 Meals and Entertainment</t>
        </is>
      </c>
      <c r="B186" s="401">
        <f>IF(ISBLANK(Actuals!C96),0,Actuals!C96)</f>
        <v/>
      </c>
      <c r="C186" s="401">
        <f>IF(ISBLANK(Actuals!D96),0,Actuals!D96)</f>
        <v/>
      </c>
      <c r="D186" s="401">
        <f>IF(ISBLANK(Actuals!E96),0,Actuals!E96)</f>
        <v/>
      </c>
      <c r="E186" s="401">
        <f>IF(ISBLANK(Actuals!F96),-896.43*Escalation!$B$2,Actuals!F96)</f>
        <v/>
      </c>
      <c r="F186" s="401">
        <f>IF(ISBLANK(Actuals!G96),-896.43*Escalation!$B$3,Actuals!G96)</f>
        <v/>
      </c>
      <c r="G186" s="401">
        <f>IF(ISBLANK(Actuals!H96),-896.43*Escalation!$B$4,Actuals!H96)</f>
        <v/>
      </c>
      <c r="H186" s="401">
        <f>IF(ISBLANK(Actuals!I96),-896.43*Escalation!$B$5,Actuals!I96)</f>
        <v/>
      </c>
      <c r="I186" s="401">
        <f>IF(ISBLANK(Actuals!J96),-896.43*Escalation!$B$6,Actuals!J96)</f>
        <v/>
      </c>
      <c r="J186" s="401">
        <f>IF(ISBLANK(Actuals!K96),-896.43*Escalation!$B$7,Actuals!K96)</f>
        <v/>
      </c>
      <c r="K186" s="401">
        <f>IF(ISBLANK(Actuals!L96),-896.43*Escalation!$B$8,Actuals!L96)</f>
        <v/>
      </c>
      <c r="L186" s="401">
        <f>IF(ISBLANK(Actuals!M96),-896.43*Escalation!$B$9,Actuals!M96)</f>
        <v/>
      </c>
      <c r="M186" s="401">
        <f>IF(ISBLANK(Actuals!N96),-896.43*Escalation!$B$10,Actuals!N96)</f>
        <v/>
      </c>
      <c r="N186" s="401">
        <f>IF(ISBLANK(Actuals!O96),-896.43*Escalation!$B$11,Actuals!O96)</f>
        <v/>
      </c>
      <c r="O186" s="401">
        <f>IF(ISBLANK(Actuals!P96),-896.43*Escalation!$B$12,Actuals!P96)</f>
        <v/>
      </c>
      <c r="P186" s="401">
        <f>IF(ISBLANK(Actuals!Q96),-896.43*Escalation!$B$13,Actuals!Q96)</f>
        <v/>
      </c>
      <c r="Q186" s="401">
        <f>IF(ISBLANK(Actuals!R96),-896.43*Escalation!$B$14,Actuals!R96)</f>
        <v/>
      </c>
      <c r="R186" s="401">
        <f>IF(ISBLANK(Actuals!S96),-896.43*Escalation!$B$15,Actuals!S96)</f>
        <v/>
      </c>
      <c r="S186" s="401">
        <f>IF(ISBLANK(Actuals!T96),-896.43*Escalation!$B$16,Actuals!T96)</f>
        <v/>
      </c>
      <c r="T186" s="401">
        <f>IF(ISBLANK(Actuals!U96),-896.43*Escalation!$B$17,Actuals!U96)</f>
        <v/>
      </c>
      <c r="U186" s="401">
        <f>IF(ISBLANK(Actuals!V96),-896.43*Escalation!$B$18,Actuals!V96)</f>
        <v/>
      </c>
      <c r="V186" s="401">
        <f>IF(ISBLANK(Actuals!W96),-896.43*Escalation!$B$19,Actuals!W96)</f>
        <v/>
      </c>
      <c r="W186" s="401">
        <f>IF(ISBLANK(Actuals!X96),-896.43*Escalation!$B$20,Actuals!X96)</f>
        <v/>
      </c>
      <c r="X186" s="401">
        <f>IF(ISBLANK(Actuals!Y96),-896.43*Escalation!$B$21,Actuals!Y96)</f>
        <v/>
      </c>
      <c r="Y186" s="401">
        <f>IF(ISBLANK(Actuals!Z96),-896.43*Escalation!$B$22,Actuals!Z96)</f>
        <v/>
      </c>
      <c r="Z186" s="401">
        <f>IF(ISBLANK(Actuals!AA96),-896.43*Escalation!$B$23,Actuals!AA96)</f>
        <v/>
      </c>
      <c r="AA186" s="401">
        <f>IF(ISBLANK(Actuals!AB96),-896.43*Escalation!$B$24,Actuals!AB96)</f>
        <v/>
      </c>
      <c r="AB186" s="401">
        <f>IF(ISBLANK(Actuals!AC96),-896.43*Escalation!$B$25,Actuals!AC96)</f>
        <v/>
      </c>
      <c r="AC186" s="401">
        <f>IF(ISBLANK(Actuals!AD96),-896.43*Escalation!$B$26,Actuals!AD96)</f>
        <v/>
      </c>
      <c r="AD186" s="401">
        <f>IF(ISBLANK(Actuals!AE96),-896.43*Escalation!$B$27,Actuals!AE96)</f>
        <v/>
      </c>
      <c r="AE186" s="401">
        <f>IF(ISBLANK(Actuals!AF96),-896.43*Escalation!$B$28,Actuals!AF96)</f>
        <v/>
      </c>
      <c r="AF186" s="401">
        <f>IF(ISBLANK(Actuals!AG96),-896.43*Escalation!$B$29,Actuals!AG96)</f>
        <v/>
      </c>
      <c r="AG186" s="401">
        <f>IF(ISBLANK(Actuals!AH96),-896.43*Escalation!$B$30,Actuals!AH96)</f>
        <v/>
      </c>
      <c r="AH186" s="401">
        <f>IF(ISBLANK(Actuals!AI96),-896.43*Escalation!$B$31,Actuals!AI96)</f>
        <v/>
      </c>
      <c r="AI186" s="401">
        <f>IF(ISBLANK(Actuals!AJ96),-896.43*Escalation!$B$32,Actuals!AJ96)</f>
        <v/>
      </c>
      <c r="AJ186" s="401">
        <f>IF(ISBLANK(Actuals!AK96),-896.43*Escalation!$B$33,Actuals!AK96)</f>
        <v/>
      </c>
      <c r="AK186" s="401">
        <f>IF(ISBLANK(Actuals!AL96),-896.43*Escalation!$B$34,Actuals!AL96)</f>
        <v/>
      </c>
      <c r="AL186" s="401">
        <f>IF(ISBLANK(Actuals!AM96),-896.43*Escalation!$B$35,Actuals!AM96)</f>
        <v/>
      </c>
      <c r="AM186" s="401">
        <f>IF(ISBLANK(Actuals!AN96),-896.43*Escalation!$B$36,Actuals!AN96)</f>
        <v/>
      </c>
      <c r="AN186" s="401">
        <f>IF(ISBLANK(Actuals!AO96),-896.43*Escalation!$B$37,Actuals!AO96)</f>
        <v/>
      </c>
      <c r="AO186" s="401">
        <f>IF(ISBLANK(Actuals!AP96),-896.43*Escalation!$B$38,Actuals!AP96)</f>
        <v/>
      </c>
      <c r="AP186" s="401">
        <f>IF(ISBLANK(Actuals!AQ96),-896.43*Escalation!$B$39,Actuals!AQ96)</f>
        <v/>
      </c>
      <c r="AQ186" s="401">
        <f>IF(ISBLANK(Actuals!AR96),-896.43*Escalation!$B$40,Actuals!AR96)</f>
        <v/>
      </c>
      <c r="AR186" s="401">
        <f>IF(ISBLANK(Actuals!AS96),-896.43*Escalation!$B$41,Actuals!AS96)</f>
        <v/>
      </c>
      <c r="AS186" s="401">
        <f>IF(ISBLANK(Actuals!AT96),-896.43*Escalation!$B$42,Actuals!AT96)</f>
        <v/>
      </c>
      <c r="AT186" s="401">
        <f>IF(ISBLANK(Actuals!AU96),-896.43*Escalation!$B$43,Actuals!AU96)</f>
        <v/>
      </c>
      <c r="AU186" s="401">
        <f>IF(ISBLANK(Actuals!AV96),-896.43*Escalation!$B$44,Actuals!AV96)</f>
        <v/>
      </c>
      <c r="AV186" s="401">
        <f>IF(ISBLANK(Actuals!AW96),-896.43*Escalation!$B$45,Actuals!AW96)</f>
        <v/>
      </c>
      <c r="AW186" s="401">
        <f>IF(ISBLANK(Actuals!AX96),-896.43*Escalation!$B$46,Actuals!AX96)</f>
        <v/>
      </c>
      <c r="AX186" s="401">
        <f>IF(ISBLANK(Actuals!AY96),-896.43*Escalation!$B$47,Actuals!AY96)</f>
        <v/>
      </c>
      <c r="AY186" s="401">
        <f>IF(ISBLANK(Actuals!AZ96),-896.43*Escalation!$B$48,Actuals!AZ96)</f>
        <v/>
      </c>
      <c r="AZ186" s="401">
        <f>IF(ISBLANK(Actuals!BA96),-896.43*Escalation!$B$49,Actuals!BA96)</f>
        <v/>
      </c>
      <c r="BA186" s="401">
        <f>IF(ISBLANK(Actuals!BB96),-896.43*Escalation!$B$50,Actuals!BB96)</f>
        <v/>
      </c>
      <c r="BB186" s="401">
        <f>IF(ISBLANK(Actuals!BC96),-896.43*Escalation!$B$51,Actuals!BC96)</f>
        <v/>
      </c>
      <c r="BC186" s="401">
        <f>IF(ISBLANK(Actuals!BD96),-896.43*Escalation!$B$52,Actuals!BD96)</f>
        <v/>
      </c>
      <c r="BD186" s="401">
        <f>IF(ISBLANK(Actuals!BE96),-896.43*Escalation!$B$53,Actuals!BE96)</f>
        <v/>
      </c>
      <c r="BE186" s="401">
        <f>IF(ISBLANK(Actuals!BF96),-896.43*Escalation!$B$54,Actuals!BF96)</f>
        <v/>
      </c>
      <c r="BF186" s="401">
        <f>IF(ISBLANK(Actuals!BG96),-896.43*Escalation!$B$55,Actuals!BG96)</f>
        <v/>
      </c>
      <c r="BG186" s="401">
        <f>IF(ISBLANK(Actuals!BH96),-896.43*Escalation!$B$56,Actuals!BH96)</f>
        <v/>
      </c>
      <c r="BH186" s="401">
        <f>IF(ISBLANK(Actuals!BI96),-896.43*Escalation!$B$57,Actuals!BI96)</f>
        <v/>
      </c>
      <c r="BI186" s="401">
        <f>IF(ISBLANK(Actuals!BJ96),-896.43*Escalation!$B$58,Actuals!BJ96)</f>
        <v/>
      </c>
      <c r="BJ186" s="401">
        <f>IF(ISBLANK(Actuals!BK96),-896.43*Escalation!$B$59,Actuals!BK96)</f>
        <v/>
      </c>
      <c r="BK186" s="401">
        <f>IF(ISBLANK(Actuals!BL96),-896.43*Escalation!$B$60,Actuals!BL96)</f>
        <v/>
      </c>
      <c r="BL186" s="401">
        <f>IF(ISBLANK(Actuals!BM96),-896.43*Escalation!$B$61,Actuals!BM96)</f>
        <v/>
      </c>
      <c r="BM186" s="401">
        <f>IF(ISBLANK(Actuals!BN96),-896.43*Escalation!$B$62,Actuals!BN96)</f>
        <v/>
      </c>
      <c r="BN186" s="401">
        <f>IF(ISBLANK(Actuals!BO96),-896.43*Escalation!$B$63,Actuals!BO96)</f>
        <v/>
      </c>
      <c r="BO186" s="401">
        <f>IF(ISBLANK(Actuals!BP96),-896.43*Escalation!$B$64,Actuals!BP96)</f>
        <v/>
      </c>
      <c r="BP186" s="401">
        <f>IF(ISBLANK(Actuals!BQ96),-896.43*Escalation!$B$65,Actuals!BQ96)</f>
        <v/>
      </c>
      <c r="BQ186" s="401">
        <f>IF(ISBLANK(Actuals!BR96),-896.43*Escalation!$B$66,Actuals!BR96)</f>
        <v/>
      </c>
      <c r="BR186" s="401">
        <f>IF(ISBLANK(Actuals!BS96),-896.43*Escalation!$B$67,Actuals!BS96)</f>
        <v/>
      </c>
      <c r="BS186" s="401">
        <f>IF(ISBLANK(Actuals!BT96),-896.43*Escalation!$B$68,Actuals!BT96)</f>
        <v/>
      </c>
      <c r="BT186" s="401">
        <f>IF(ISBLANK(Actuals!BU96),-896.43*Escalation!$B$69,Actuals!BU96)</f>
        <v/>
      </c>
      <c r="BU186" s="401">
        <f>IF(ISBLANK(Actuals!BV96),-896.43*Escalation!$B$70,Actuals!BV96)</f>
        <v/>
      </c>
      <c r="BV186" s="401">
        <f>IF(ISBLANK(Actuals!BW96),-896.43*Escalation!$B$71,Actuals!BW96)</f>
        <v/>
      </c>
      <c r="BW186" s="401">
        <f>IF(ISBLANK(Actuals!BX96),-896.43*Escalation!$B$72,Actuals!BX96)</f>
        <v/>
      </c>
      <c r="BX186" s="401">
        <f>IF(ISBLANK(Actuals!BY96),-896.43*Escalation!$B$73,Actuals!BY96)</f>
        <v/>
      </c>
      <c r="BY186" s="401">
        <f>IF(ISBLANK(Actuals!BZ96),-896.43*Escalation!$B$74,Actuals!BZ96)</f>
        <v/>
      </c>
      <c r="BZ186" s="401">
        <f>IF(ISBLANK(Actuals!CA96),-896.43*Escalation!$B$75,Actuals!CA96)</f>
        <v/>
      </c>
      <c r="CA186" s="401">
        <f>IF(ISBLANK(Actuals!CB96),-896.43*Escalation!$B$76,Actuals!CB96)</f>
        <v/>
      </c>
      <c r="CB186" s="401">
        <f>IF(ISBLANK(Actuals!CC96),-896.43*Escalation!$B$77,Actuals!CC96)</f>
        <v/>
      </c>
      <c r="CC186" s="401">
        <f>IF(ISBLANK(Actuals!CD96),-896.43*Escalation!$B$78,Actuals!CD96)</f>
        <v/>
      </c>
      <c r="CD186" s="401">
        <f>IF(ISBLANK(Actuals!CE96),-896.43*Escalation!$B$79,Actuals!CE96)</f>
        <v/>
      </c>
      <c r="CE186" s="401">
        <f>IF(ISBLANK(Actuals!CF96),-896.43*Escalation!$B$80,Actuals!CF96)</f>
        <v/>
      </c>
      <c r="CF186" s="401">
        <f>IF(ISBLANK(Actuals!CG96),-896.43*Escalation!$B$81,Actuals!CG96)</f>
        <v/>
      </c>
      <c r="CG186" s="401">
        <f>IF(ISBLANK(Actuals!CH96),-896.43*Escalation!$B$82,Actuals!CH96)</f>
        <v/>
      </c>
      <c r="CH186" s="401">
        <f>IF(ISBLANK(Actuals!CI96),-896.43*Escalation!$B$83,Actuals!CI96)</f>
        <v/>
      </c>
      <c r="CI186" s="401">
        <f>IF(ISBLANK(Actuals!CJ96),-896.43*Escalation!$B$84,Actuals!CJ96)</f>
        <v/>
      </c>
      <c r="CJ186" s="401">
        <f>IF(ISBLANK(Actuals!CK96),-896.43*Escalation!$B$85,Actuals!CK96)</f>
        <v/>
      </c>
      <c r="CK186" s="401">
        <f>IF(ISBLANK(Actuals!CL96),-896.43*Escalation!$B$86,Actuals!CL96)</f>
        <v/>
      </c>
      <c r="CL186" s="401">
        <f>IF(ISBLANK(Actuals!CM96),-896.43*Escalation!$B$87,Actuals!CM96)</f>
        <v/>
      </c>
      <c r="CM186" s="401">
        <f>IF(ISBLANK(Actuals!CN96),-896.43*Escalation!$B$88,Actuals!CN96)</f>
        <v/>
      </c>
      <c r="CN186" s="401">
        <f>IF(ISBLANK(Actuals!CO96),-896.43*Escalation!$B$89,Actuals!CO96)</f>
        <v/>
      </c>
      <c r="CO186" s="401">
        <f>IF(ISBLANK(Actuals!CP96),-896.43*Escalation!$B$90,Actuals!CP96)</f>
        <v/>
      </c>
      <c r="CP186" s="401">
        <f>IF(ISBLANK(Actuals!CQ96),-896.43*Escalation!$B$91,Actuals!CQ96)</f>
        <v/>
      </c>
      <c r="CQ186" s="401">
        <f>IF(ISBLANK(Actuals!CR96),-896.43*Escalation!$B$92,Actuals!CR96)</f>
        <v/>
      </c>
      <c r="CR186" s="401">
        <f>IF(ISBLANK(Actuals!CS96),-896.43*Escalation!$B$93,Actuals!CS96)</f>
        <v/>
      </c>
      <c r="CS186" s="401">
        <f>IF(ISBLANK(Actuals!CT96),-896.43*Escalation!$B$94,Actuals!CT96)</f>
        <v/>
      </c>
      <c r="CT186" s="401">
        <f>IF(ISBLANK(Actuals!CU96),-896.43*Escalation!$B$95,Actuals!CU96)</f>
        <v/>
      </c>
      <c r="CU186" s="401">
        <f>IF(ISBLANK(Actuals!CV96),-896.43*Escalation!$B$96,Actuals!CV96)</f>
        <v/>
      </c>
      <c r="CV186" s="401">
        <f>IF(ISBLANK(Actuals!CW96),-896.43*Escalation!$B$97,Actuals!CW96)</f>
        <v/>
      </c>
      <c r="CW186" s="401">
        <f>IF(ISBLANK(Actuals!CX96),-896.43*Escalation!$B$98,Actuals!CX96)</f>
        <v/>
      </c>
      <c r="CX186" s="401">
        <f>IF(ISBLANK(Actuals!CY96),-896.43*Escalation!$B$99,Actuals!CY96)</f>
        <v/>
      </c>
      <c r="CY186" s="401">
        <f>IF(ISBLANK(Actuals!CZ96),-896.43*Escalation!$B$100,Actuals!CZ96)</f>
        <v/>
      </c>
      <c r="CZ186" s="401">
        <f>IF(ISBLANK(Actuals!DA96),-896.43*Escalation!$B$101,Actuals!DA96)</f>
        <v/>
      </c>
      <c r="DA186" s="401">
        <f>IF(ISBLANK(Actuals!DB96),-896.43*Escalation!$B$102,Actuals!DB96)</f>
        <v/>
      </c>
      <c r="DB186" s="401">
        <f>IF(ISBLANK(Actuals!DC96),-896.43*Escalation!$B$103,Actuals!DC96)</f>
        <v/>
      </c>
      <c r="DC186" s="401">
        <f>IF(ISBLANK(Actuals!DD96),-896.43*Escalation!$B$104,Actuals!DD96)</f>
        <v/>
      </c>
      <c r="DD186" s="401">
        <f>IF(ISBLANK(Actuals!DE96),-896.43*Escalation!$B$105,Actuals!DE96)</f>
        <v/>
      </c>
      <c r="DE186" s="401">
        <f>IF(ISBLANK(Actuals!DF96),-896.43*Escalation!$B$106,Actuals!DF96)</f>
        <v/>
      </c>
    </row>
    <row r="187" ht="15" customFormat="1" customHeight="1" s="380">
      <c r="A187" s="415" t="inlineStr">
        <is>
          <t>5500-1000 Legal and Professional Fees</t>
        </is>
      </c>
      <c r="B187" s="401">
        <f>IF(ISBLANK(Actuals!C97),0,Actuals!C97)</f>
        <v/>
      </c>
      <c r="C187" s="401">
        <f>IF(ISBLANK(Actuals!D97),0,Actuals!D97)</f>
        <v/>
      </c>
      <c r="D187" s="401">
        <f>IF(ISBLANK(Actuals!E97),0,Actuals!E97)</f>
        <v/>
      </c>
      <c r="E187" s="401">
        <f>IF(ISBLANK(Actuals!F97),-2000*Escalation!$B$2,Actuals!F97)</f>
        <v/>
      </c>
      <c r="F187" s="401">
        <f>IF(ISBLANK(Actuals!G97),-2000*Escalation!$B$3,Actuals!G97)</f>
        <v/>
      </c>
      <c r="G187" s="401">
        <f>IF(ISBLANK(Actuals!H97),-2000*Escalation!$B$4,Actuals!H97)</f>
        <v/>
      </c>
      <c r="H187" s="401">
        <f>IF(ISBLANK(Actuals!I97),-2000*Escalation!$B$5,Actuals!I97)</f>
        <v/>
      </c>
      <c r="I187" s="401">
        <f>IF(ISBLANK(Actuals!J97),-2000*Escalation!$B$6,Actuals!J97)</f>
        <v/>
      </c>
      <c r="J187" s="401">
        <f>IF(ISBLANK(Actuals!K97),-2000*Escalation!$B$7,Actuals!K97)</f>
        <v/>
      </c>
      <c r="K187" s="401">
        <f>IF(ISBLANK(Actuals!L97),-2000*Escalation!$B$8,Actuals!L97)</f>
        <v/>
      </c>
      <c r="L187" s="401">
        <f>IF(ISBLANK(Actuals!M97),-2000*Escalation!$B$9,Actuals!M97)</f>
        <v/>
      </c>
      <c r="M187" s="401">
        <f>IF(ISBLANK(Actuals!N97),-2000*Escalation!$B$10,Actuals!N97)</f>
        <v/>
      </c>
      <c r="N187" s="401">
        <f>IF(ISBLANK(Actuals!O97),-2000*Escalation!$B$11,Actuals!O97)</f>
        <v/>
      </c>
      <c r="O187" s="401">
        <f>IF(ISBLANK(Actuals!P97),-2000*Escalation!$B$12,Actuals!P97)</f>
        <v/>
      </c>
      <c r="P187" s="401">
        <f>IF(ISBLANK(Actuals!Q97),-2000*Escalation!$B$13,Actuals!Q97)</f>
        <v/>
      </c>
      <c r="Q187" s="401">
        <f>IF(ISBLANK(Actuals!R97),-2000*Escalation!$B$14,Actuals!R97)</f>
        <v/>
      </c>
      <c r="R187" s="401">
        <f>IF(ISBLANK(Actuals!S97),-2000*Escalation!$B$15,Actuals!S97)</f>
        <v/>
      </c>
      <c r="S187" s="401">
        <f>IF(ISBLANK(Actuals!T97),-2000*Escalation!$B$16,Actuals!T97)</f>
        <v/>
      </c>
      <c r="T187" s="401">
        <f>IF(ISBLANK(Actuals!U97),-2000*Escalation!$B$17,Actuals!U97)</f>
        <v/>
      </c>
      <c r="U187" s="401">
        <f>IF(ISBLANK(Actuals!V97),-2000*Escalation!$B$18,Actuals!V97)</f>
        <v/>
      </c>
      <c r="V187" s="401">
        <f>IF(ISBLANK(Actuals!W97),-2000*Escalation!$B$19,Actuals!W97)</f>
        <v/>
      </c>
      <c r="W187" s="401">
        <f>IF(ISBLANK(Actuals!X97),-2000*Escalation!$B$20,Actuals!X97)</f>
        <v/>
      </c>
      <c r="X187" s="401">
        <f>IF(ISBLANK(Actuals!Y97),-2000*Escalation!$B$21,Actuals!Y97)</f>
        <v/>
      </c>
      <c r="Y187" s="401">
        <f>IF(ISBLANK(Actuals!Z97),-2000*Escalation!$B$22,Actuals!Z97)</f>
        <v/>
      </c>
      <c r="Z187" s="401">
        <f>IF(ISBLANK(Actuals!AA97),-2000*Escalation!$B$23,Actuals!AA97)</f>
        <v/>
      </c>
      <c r="AA187" s="401">
        <f>IF(ISBLANK(Actuals!AB97),-2000*Escalation!$B$24,Actuals!AB97)</f>
        <v/>
      </c>
      <c r="AB187" s="401">
        <f>IF(ISBLANK(Actuals!AC97),-2000*Escalation!$B$25,Actuals!AC97)</f>
        <v/>
      </c>
      <c r="AC187" s="401">
        <f>IF(ISBLANK(Actuals!AD97),-2000*Escalation!$B$26,Actuals!AD97)</f>
        <v/>
      </c>
      <c r="AD187" s="401">
        <f>IF(ISBLANK(Actuals!AE97),-2000*Escalation!$B$27,Actuals!AE97)</f>
        <v/>
      </c>
      <c r="AE187" s="401">
        <f>IF(ISBLANK(Actuals!AF97),-2000*Escalation!$B$28,Actuals!AF97)</f>
        <v/>
      </c>
      <c r="AF187" s="401">
        <f>IF(ISBLANK(Actuals!AG97),-2000*Escalation!$B$29,Actuals!AG97)</f>
        <v/>
      </c>
      <c r="AG187" s="401">
        <f>IF(ISBLANK(Actuals!AH97),-2000*Escalation!$B$30,Actuals!AH97)</f>
        <v/>
      </c>
      <c r="AH187" s="401">
        <f>IF(ISBLANK(Actuals!AI97),-2000*Escalation!$B$31,Actuals!AI97)</f>
        <v/>
      </c>
      <c r="AI187" s="401">
        <f>IF(ISBLANK(Actuals!AJ97),-2000*Escalation!$B$32,Actuals!AJ97)</f>
        <v/>
      </c>
      <c r="AJ187" s="401">
        <f>IF(ISBLANK(Actuals!AK97),-2000*Escalation!$B$33,Actuals!AK97)</f>
        <v/>
      </c>
      <c r="AK187" s="401">
        <f>IF(ISBLANK(Actuals!AL97),-2000*Escalation!$B$34,Actuals!AL97)</f>
        <v/>
      </c>
      <c r="AL187" s="401">
        <f>IF(ISBLANK(Actuals!AM97),-2000*Escalation!$B$35,Actuals!AM97)</f>
        <v/>
      </c>
      <c r="AM187" s="401">
        <f>IF(ISBLANK(Actuals!AN97),-2000*Escalation!$B$36,Actuals!AN97)</f>
        <v/>
      </c>
      <c r="AN187" s="401">
        <f>IF(ISBLANK(Actuals!AO97),-2000*Escalation!$B$37,Actuals!AO97)</f>
        <v/>
      </c>
      <c r="AO187" s="401">
        <f>IF(ISBLANK(Actuals!AP97),-2000*Escalation!$B$38,Actuals!AP97)</f>
        <v/>
      </c>
      <c r="AP187" s="401">
        <f>IF(ISBLANK(Actuals!AQ97),-2000*Escalation!$B$39,Actuals!AQ97)</f>
        <v/>
      </c>
      <c r="AQ187" s="401">
        <f>IF(ISBLANK(Actuals!AR97),-2000*Escalation!$B$40,Actuals!AR97)</f>
        <v/>
      </c>
      <c r="AR187" s="401">
        <f>IF(ISBLANK(Actuals!AS97),-2000*Escalation!$B$41,Actuals!AS97)</f>
        <v/>
      </c>
      <c r="AS187" s="401">
        <f>IF(ISBLANK(Actuals!AT97),-2000*Escalation!$B$42,Actuals!AT97)</f>
        <v/>
      </c>
      <c r="AT187" s="401">
        <f>IF(ISBLANK(Actuals!AU97),-2000*Escalation!$B$43,Actuals!AU97)</f>
        <v/>
      </c>
      <c r="AU187" s="401">
        <f>IF(ISBLANK(Actuals!AV97),-2000*Escalation!$B$44,Actuals!AV97)</f>
        <v/>
      </c>
      <c r="AV187" s="401">
        <f>IF(ISBLANK(Actuals!AW97),-2000*Escalation!$B$45,Actuals!AW97)</f>
        <v/>
      </c>
      <c r="AW187" s="401">
        <f>IF(ISBLANK(Actuals!AX97),-2000*Escalation!$B$46,Actuals!AX97)</f>
        <v/>
      </c>
      <c r="AX187" s="401">
        <f>IF(ISBLANK(Actuals!AY97),-2000*Escalation!$B$47,Actuals!AY97)</f>
        <v/>
      </c>
      <c r="AY187" s="401">
        <f>IF(ISBLANK(Actuals!AZ97),-2000*Escalation!$B$48,Actuals!AZ97)</f>
        <v/>
      </c>
      <c r="AZ187" s="401">
        <f>IF(ISBLANK(Actuals!BA97),-2000*Escalation!$B$49,Actuals!BA97)</f>
        <v/>
      </c>
      <c r="BA187" s="401">
        <f>IF(ISBLANK(Actuals!BB97),-2000*Escalation!$B$50,Actuals!BB97)</f>
        <v/>
      </c>
      <c r="BB187" s="401">
        <f>IF(ISBLANK(Actuals!BC97),-2000*Escalation!$B$51,Actuals!BC97)</f>
        <v/>
      </c>
      <c r="BC187" s="401">
        <f>IF(ISBLANK(Actuals!BD97),-2000*Escalation!$B$52,Actuals!BD97)</f>
        <v/>
      </c>
      <c r="BD187" s="401">
        <f>IF(ISBLANK(Actuals!BE97),-2000*Escalation!$B$53,Actuals!BE97)</f>
        <v/>
      </c>
      <c r="BE187" s="401">
        <f>IF(ISBLANK(Actuals!BF97),-2000*Escalation!$B$54,Actuals!BF97)</f>
        <v/>
      </c>
      <c r="BF187" s="401">
        <f>IF(ISBLANK(Actuals!BG97),-2000*Escalation!$B$55,Actuals!BG97)</f>
        <v/>
      </c>
      <c r="BG187" s="401">
        <f>IF(ISBLANK(Actuals!BH97),-2000*Escalation!$B$56,Actuals!BH97)</f>
        <v/>
      </c>
      <c r="BH187" s="401">
        <f>IF(ISBLANK(Actuals!BI97),-2000*Escalation!$B$57,Actuals!BI97)</f>
        <v/>
      </c>
      <c r="BI187" s="401">
        <f>IF(ISBLANK(Actuals!BJ97),-2000*Escalation!$B$58,Actuals!BJ97)</f>
        <v/>
      </c>
      <c r="BJ187" s="401">
        <f>IF(ISBLANK(Actuals!BK97),-2000*Escalation!$B$59,Actuals!BK97)</f>
        <v/>
      </c>
      <c r="BK187" s="401">
        <f>IF(ISBLANK(Actuals!BL97),-2000*Escalation!$B$60,Actuals!BL97)</f>
        <v/>
      </c>
      <c r="BL187" s="401">
        <f>IF(ISBLANK(Actuals!BM97),-2000*Escalation!$B$61,Actuals!BM97)</f>
        <v/>
      </c>
      <c r="BM187" s="401">
        <f>IF(ISBLANK(Actuals!BN97),-2000*Escalation!$B$62,Actuals!BN97)</f>
        <v/>
      </c>
      <c r="BN187" s="401">
        <f>IF(ISBLANK(Actuals!BO97),-2000*Escalation!$B$63,Actuals!BO97)</f>
        <v/>
      </c>
      <c r="BO187" s="401">
        <f>IF(ISBLANK(Actuals!BP97),-2000*Escalation!$B$64,Actuals!BP97)</f>
        <v/>
      </c>
      <c r="BP187" s="401">
        <f>IF(ISBLANK(Actuals!BQ97),-2000*Escalation!$B$65,Actuals!BQ97)</f>
        <v/>
      </c>
      <c r="BQ187" s="401">
        <f>IF(ISBLANK(Actuals!BR97),-2000*Escalation!$B$66,Actuals!BR97)</f>
        <v/>
      </c>
      <c r="BR187" s="401">
        <f>IF(ISBLANK(Actuals!BS97),-2000*Escalation!$B$67,Actuals!BS97)</f>
        <v/>
      </c>
      <c r="BS187" s="401">
        <f>IF(ISBLANK(Actuals!BT97),-2000*Escalation!$B$68,Actuals!BT97)</f>
        <v/>
      </c>
      <c r="BT187" s="401">
        <f>IF(ISBLANK(Actuals!BU97),-2000*Escalation!$B$69,Actuals!BU97)</f>
        <v/>
      </c>
      <c r="BU187" s="401">
        <f>IF(ISBLANK(Actuals!BV97),-2000*Escalation!$B$70,Actuals!BV97)</f>
        <v/>
      </c>
      <c r="BV187" s="401">
        <f>IF(ISBLANK(Actuals!BW97),-2000*Escalation!$B$71,Actuals!BW97)</f>
        <v/>
      </c>
      <c r="BW187" s="401">
        <f>IF(ISBLANK(Actuals!BX97),-2000*Escalation!$B$72,Actuals!BX97)</f>
        <v/>
      </c>
      <c r="BX187" s="401">
        <f>IF(ISBLANK(Actuals!BY97),-2000*Escalation!$B$73,Actuals!BY97)</f>
        <v/>
      </c>
      <c r="BY187" s="401">
        <f>IF(ISBLANK(Actuals!BZ97),-2000*Escalation!$B$74,Actuals!BZ97)</f>
        <v/>
      </c>
      <c r="BZ187" s="401">
        <f>IF(ISBLANK(Actuals!CA97),-2000*Escalation!$B$75,Actuals!CA97)</f>
        <v/>
      </c>
      <c r="CA187" s="401">
        <f>IF(ISBLANK(Actuals!CB97),-2000*Escalation!$B$76,Actuals!CB97)</f>
        <v/>
      </c>
      <c r="CB187" s="401">
        <f>IF(ISBLANK(Actuals!CC97),-2000*Escalation!$B$77,Actuals!CC97)</f>
        <v/>
      </c>
      <c r="CC187" s="401">
        <f>IF(ISBLANK(Actuals!CD97),-2000*Escalation!$B$78,Actuals!CD97)</f>
        <v/>
      </c>
      <c r="CD187" s="401">
        <f>IF(ISBLANK(Actuals!CE97),-2000*Escalation!$B$79,Actuals!CE97)</f>
        <v/>
      </c>
      <c r="CE187" s="401">
        <f>IF(ISBLANK(Actuals!CF97),-2000*Escalation!$B$80,Actuals!CF97)</f>
        <v/>
      </c>
      <c r="CF187" s="401">
        <f>IF(ISBLANK(Actuals!CG97),-2000*Escalation!$B$81,Actuals!CG97)</f>
        <v/>
      </c>
      <c r="CG187" s="401">
        <f>IF(ISBLANK(Actuals!CH97),-2000*Escalation!$B$82,Actuals!CH97)</f>
        <v/>
      </c>
      <c r="CH187" s="401">
        <f>IF(ISBLANK(Actuals!CI97),-2000*Escalation!$B$83,Actuals!CI97)</f>
        <v/>
      </c>
      <c r="CI187" s="401">
        <f>IF(ISBLANK(Actuals!CJ97),-2000*Escalation!$B$84,Actuals!CJ97)</f>
        <v/>
      </c>
      <c r="CJ187" s="401">
        <f>IF(ISBLANK(Actuals!CK97),-2000*Escalation!$B$85,Actuals!CK97)</f>
        <v/>
      </c>
      <c r="CK187" s="401">
        <f>IF(ISBLANK(Actuals!CL97),-2000*Escalation!$B$86,Actuals!CL97)</f>
        <v/>
      </c>
      <c r="CL187" s="401">
        <f>IF(ISBLANK(Actuals!CM97),-2000*Escalation!$B$87,Actuals!CM97)</f>
        <v/>
      </c>
      <c r="CM187" s="401">
        <f>IF(ISBLANK(Actuals!CN97),-2000*Escalation!$B$88,Actuals!CN97)</f>
        <v/>
      </c>
      <c r="CN187" s="401">
        <f>IF(ISBLANK(Actuals!CO97),-2000*Escalation!$B$89,Actuals!CO97)</f>
        <v/>
      </c>
      <c r="CO187" s="401">
        <f>IF(ISBLANK(Actuals!CP97),-2000*Escalation!$B$90,Actuals!CP97)</f>
        <v/>
      </c>
      <c r="CP187" s="401">
        <f>IF(ISBLANK(Actuals!CQ97),-2000*Escalation!$B$91,Actuals!CQ97)</f>
        <v/>
      </c>
      <c r="CQ187" s="401">
        <f>IF(ISBLANK(Actuals!CR97),-2000*Escalation!$B$92,Actuals!CR97)</f>
        <v/>
      </c>
      <c r="CR187" s="401">
        <f>IF(ISBLANK(Actuals!CS97),-2000*Escalation!$B$93,Actuals!CS97)</f>
        <v/>
      </c>
      <c r="CS187" s="401">
        <f>IF(ISBLANK(Actuals!CT97),-2000*Escalation!$B$94,Actuals!CT97)</f>
        <v/>
      </c>
      <c r="CT187" s="401">
        <f>IF(ISBLANK(Actuals!CU97),-2000*Escalation!$B$95,Actuals!CU97)</f>
        <v/>
      </c>
      <c r="CU187" s="401">
        <f>IF(ISBLANK(Actuals!CV97),-2000*Escalation!$B$96,Actuals!CV97)</f>
        <v/>
      </c>
      <c r="CV187" s="401">
        <f>IF(ISBLANK(Actuals!CW97),-2000*Escalation!$B$97,Actuals!CW97)</f>
        <v/>
      </c>
      <c r="CW187" s="401">
        <f>IF(ISBLANK(Actuals!CX97),-2000*Escalation!$B$98,Actuals!CX97)</f>
        <v/>
      </c>
      <c r="CX187" s="401">
        <f>IF(ISBLANK(Actuals!CY97),-2000*Escalation!$B$99,Actuals!CY97)</f>
        <v/>
      </c>
      <c r="CY187" s="401">
        <f>IF(ISBLANK(Actuals!CZ97),-2000*Escalation!$B$100,Actuals!CZ97)</f>
        <v/>
      </c>
      <c r="CZ187" s="401">
        <f>IF(ISBLANK(Actuals!DA97),-2000*Escalation!$B$101,Actuals!DA97)</f>
        <v/>
      </c>
      <c r="DA187" s="401">
        <f>IF(ISBLANK(Actuals!DB97),-2000*Escalation!$B$102,Actuals!DB97)</f>
        <v/>
      </c>
      <c r="DB187" s="401">
        <f>IF(ISBLANK(Actuals!DC97),-2000*Escalation!$B$103,Actuals!DC97)</f>
        <v/>
      </c>
      <c r="DC187" s="401">
        <f>IF(ISBLANK(Actuals!DD97),-2000*Escalation!$B$104,Actuals!DD97)</f>
        <v/>
      </c>
      <c r="DD187" s="401">
        <f>IF(ISBLANK(Actuals!DE97),-2000*Escalation!$B$105,Actuals!DE97)</f>
        <v/>
      </c>
      <c r="DE187" s="401">
        <f>IF(ISBLANK(Actuals!DF97),-2000*Escalation!$B$106,Actuals!DF97)</f>
        <v/>
      </c>
    </row>
    <row r="188" ht="15" customFormat="1" customHeight="1" s="380">
      <c r="A188" s="415" t="inlineStr">
        <is>
          <t>5500-1002 Accounting Consulting and Overhead</t>
        </is>
      </c>
      <c r="B188" s="401">
        <f>IF(ISBLANK(Actuals!C98),0,Actuals!C98)</f>
        <v/>
      </c>
      <c r="C188" s="401">
        <f>IF(ISBLANK(Actuals!D98),0,Actuals!D98)</f>
        <v/>
      </c>
      <c r="D188" s="401">
        <f>IF(ISBLANK(Actuals!E98),0,Actuals!E98)</f>
        <v/>
      </c>
      <c r="E188" s="401">
        <f>IF(ISBLANK(Actuals!F98),-2675.39*Escalation!$B$2,Actuals!F98)</f>
        <v/>
      </c>
      <c r="F188" s="401">
        <f>IF(ISBLANK(Actuals!G98),-2675.39*Escalation!$B$3,Actuals!G98)</f>
        <v/>
      </c>
      <c r="G188" s="401">
        <f>IF(ISBLANK(Actuals!H98),-2675.39*Escalation!$B$4,Actuals!H98)</f>
        <v/>
      </c>
      <c r="H188" s="401">
        <f>IF(ISBLANK(Actuals!I98),-2675.39*Escalation!$B$5,Actuals!I98)</f>
        <v/>
      </c>
      <c r="I188" s="401">
        <f>IF(ISBLANK(Actuals!J98),-2675.39*Escalation!$B$6,Actuals!J98)</f>
        <v/>
      </c>
      <c r="J188" s="401">
        <f>IF(ISBLANK(Actuals!K98),-2675.39*Escalation!$B$7,Actuals!K98)</f>
        <v/>
      </c>
      <c r="K188" s="401">
        <f>IF(ISBLANK(Actuals!L98),-2675.39*Escalation!$B$8,Actuals!L98)</f>
        <v/>
      </c>
      <c r="L188" s="401">
        <f>IF(ISBLANK(Actuals!M98),-2675.39*Escalation!$B$9,Actuals!M98)</f>
        <v/>
      </c>
      <c r="M188" s="401">
        <f>IF(ISBLANK(Actuals!N98),-2675.39*Escalation!$B$10,Actuals!N98)</f>
        <v/>
      </c>
      <c r="N188" s="401">
        <f>IF(ISBLANK(Actuals!O98),-2675.39*Escalation!$B$11,Actuals!O98)</f>
        <v/>
      </c>
      <c r="O188" s="401">
        <f>IF(ISBLANK(Actuals!P98),-2675.39*Escalation!$B$12,Actuals!P98)</f>
        <v/>
      </c>
      <c r="P188" s="401">
        <f>IF(ISBLANK(Actuals!Q98),-2675.39*Escalation!$B$13,Actuals!Q98)</f>
        <v/>
      </c>
      <c r="Q188" s="401">
        <f>IF(ISBLANK(Actuals!R98),-2675.39*Escalation!$B$14,Actuals!R98)</f>
        <v/>
      </c>
      <c r="R188" s="401">
        <f>IF(ISBLANK(Actuals!S98),-2675.39*Escalation!$B$15,Actuals!S98)</f>
        <v/>
      </c>
      <c r="S188" s="401">
        <f>IF(ISBLANK(Actuals!T98),-2675.39*Escalation!$B$16,Actuals!T98)</f>
        <v/>
      </c>
      <c r="T188" s="401">
        <f>IF(ISBLANK(Actuals!U98),-2675.39*Escalation!$B$17,Actuals!U98)</f>
        <v/>
      </c>
      <c r="U188" s="401">
        <f>IF(ISBLANK(Actuals!V98),-2675.39*Escalation!$B$18,Actuals!V98)</f>
        <v/>
      </c>
      <c r="V188" s="401">
        <f>IF(ISBLANK(Actuals!W98),-2675.39*Escalation!$B$19,Actuals!W98)</f>
        <v/>
      </c>
      <c r="W188" s="401">
        <f>IF(ISBLANK(Actuals!X98),-2675.39*Escalation!$B$20,Actuals!X98)</f>
        <v/>
      </c>
      <c r="X188" s="401">
        <f>IF(ISBLANK(Actuals!Y98),-2675.39*Escalation!$B$21,Actuals!Y98)</f>
        <v/>
      </c>
      <c r="Y188" s="401">
        <f>IF(ISBLANK(Actuals!Z98),-2675.39*Escalation!$B$22,Actuals!Z98)</f>
        <v/>
      </c>
      <c r="Z188" s="401">
        <f>IF(ISBLANK(Actuals!AA98),-2675.39*Escalation!$B$23,Actuals!AA98)</f>
        <v/>
      </c>
      <c r="AA188" s="401">
        <f>IF(ISBLANK(Actuals!AB98),-2675.39*Escalation!$B$24,Actuals!AB98)</f>
        <v/>
      </c>
      <c r="AB188" s="401">
        <f>IF(ISBLANK(Actuals!AC98),-2675.39*Escalation!$B$25,Actuals!AC98)</f>
        <v/>
      </c>
      <c r="AC188" s="401">
        <f>IF(ISBLANK(Actuals!AD98),-2675.39*Escalation!$B$26,Actuals!AD98)</f>
        <v/>
      </c>
      <c r="AD188" s="401">
        <f>IF(ISBLANK(Actuals!AE98),-2675.39*Escalation!$B$27,Actuals!AE98)</f>
        <v/>
      </c>
      <c r="AE188" s="401">
        <f>IF(ISBLANK(Actuals!AF98),-2675.39*Escalation!$B$28,Actuals!AF98)</f>
        <v/>
      </c>
      <c r="AF188" s="401">
        <f>IF(ISBLANK(Actuals!AG98),-2675.39*Escalation!$B$29,Actuals!AG98)</f>
        <v/>
      </c>
      <c r="AG188" s="401">
        <f>IF(ISBLANK(Actuals!AH98),-2675.39*Escalation!$B$30,Actuals!AH98)</f>
        <v/>
      </c>
      <c r="AH188" s="401">
        <f>IF(ISBLANK(Actuals!AI98),-2675.39*Escalation!$B$31,Actuals!AI98)</f>
        <v/>
      </c>
      <c r="AI188" s="401">
        <f>IF(ISBLANK(Actuals!AJ98),-2675.39*Escalation!$B$32,Actuals!AJ98)</f>
        <v/>
      </c>
      <c r="AJ188" s="401">
        <f>IF(ISBLANK(Actuals!AK98),-2675.39*Escalation!$B$33,Actuals!AK98)</f>
        <v/>
      </c>
      <c r="AK188" s="401">
        <f>IF(ISBLANK(Actuals!AL98),-2675.39*Escalation!$B$34,Actuals!AL98)</f>
        <v/>
      </c>
      <c r="AL188" s="401">
        <f>IF(ISBLANK(Actuals!AM98),-2675.39*Escalation!$B$35,Actuals!AM98)</f>
        <v/>
      </c>
      <c r="AM188" s="401">
        <f>IF(ISBLANK(Actuals!AN98),-2675.39*Escalation!$B$36,Actuals!AN98)</f>
        <v/>
      </c>
      <c r="AN188" s="401">
        <f>IF(ISBLANK(Actuals!AO98),-2675.39*Escalation!$B$37,Actuals!AO98)</f>
        <v/>
      </c>
      <c r="AO188" s="401">
        <f>IF(ISBLANK(Actuals!AP98),-2675.39*Escalation!$B$38,Actuals!AP98)</f>
        <v/>
      </c>
      <c r="AP188" s="401">
        <f>IF(ISBLANK(Actuals!AQ98),-2675.39*Escalation!$B$39,Actuals!AQ98)</f>
        <v/>
      </c>
      <c r="AQ188" s="401">
        <f>IF(ISBLANK(Actuals!AR98),-2675.39*Escalation!$B$40,Actuals!AR98)</f>
        <v/>
      </c>
      <c r="AR188" s="401">
        <f>IF(ISBLANK(Actuals!AS98),-2675.39*Escalation!$B$41,Actuals!AS98)</f>
        <v/>
      </c>
      <c r="AS188" s="401">
        <f>IF(ISBLANK(Actuals!AT98),-2675.39*Escalation!$B$42,Actuals!AT98)</f>
        <v/>
      </c>
      <c r="AT188" s="401">
        <f>IF(ISBLANK(Actuals!AU98),-2675.39*Escalation!$B$43,Actuals!AU98)</f>
        <v/>
      </c>
      <c r="AU188" s="401">
        <f>IF(ISBLANK(Actuals!AV98),-2675.39*Escalation!$B$44,Actuals!AV98)</f>
        <v/>
      </c>
      <c r="AV188" s="401">
        <f>IF(ISBLANK(Actuals!AW98),-2675.39*Escalation!$B$45,Actuals!AW98)</f>
        <v/>
      </c>
      <c r="AW188" s="401">
        <f>IF(ISBLANK(Actuals!AX98),-2675.39*Escalation!$B$46,Actuals!AX98)</f>
        <v/>
      </c>
      <c r="AX188" s="401">
        <f>IF(ISBLANK(Actuals!AY98),-2675.39*Escalation!$B$47,Actuals!AY98)</f>
        <v/>
      </c>
      <c r="AY188" s="401">
        <f>IF(ISBLANK(Actuals!AZ98),-2675.39*Escalation!$B$48,Actuals!AZ98)</f>
        <v/>
      </c>
      <c r="AZ188" s="401">
        <f>IF(ISBLANK(Actuals!BA98),-2675.39*Escalation!$B$49,Actuals!BA98)</f>
        <v/>
      </c>
      <c r="BA188" s="401">
        <f>IF(ISBLANK(Actuals!BB98),-2675.39*Escalation!$B$50,Actuals!BB98)</f>
        <v/>
      </c>
      <c r="BB188" s="401">
        <f>IF(ISBLANK(Actuals!BC98),-2675.39*Escalation!$B$51,Actuals!BC98)</f>
        <v/>
      </c>
      <c r="BC188" s="401">
        <f>IF(ISBLANK(Actuals!BD98),-2675.39*Escalation!$B$52,Actuals!BD98)</f>
        <v/>
      </c>
      <c r="BD188" s="401">
        <f>IF(ISBLANK(Actuals!BE98),-2675.39*Escalation!$B$53,Actuals!BE98)</f>
        <v/>
      </c>
      <c r="BE188" s="401">
        <f>IF(ISBLANK(Actuals!BF98),-2675.39*Escalation!$B$54,Actuals!BF98)</f>
        <v/>
      </c>
      <c r="BF188" s="401">
        <f>IF(ISBLANK(Actuals!BG98),-2675.39*Escalation!$B$55,Actuals!BG98)</f>
        <v/>
      </c>
      <c r="BG188" s="401">
        <f>IF(ISBLANK(Actuals!BH98),-2675.39*Escalation!$B$56,Actuals!BH98)</f>
        <v/>
      </c>
      <c r="BH188" s="401">
        <f>IF(ISBLANK(Actuals!BI98),-2675.39*Escalation!$B$57,Actuals!BI98)</f>
        <v/>
      </c>
      <c r="BI188" s="401">
        <f>IF(ISBLANK(Actuals!BJ98),-2675.39*Escalation!$B$58,Actuals!BJ98)</f>
        <v/>
      </c>
      <c r="BJ188" s="401">
        <f>IF(ISBLANK(Actuals!BK98),-2675.39*Escalation!$B$59,Actuals!BK98)</f>
        <v/>
      </c>
      <c r="BK188" s="401">
        <f>IF(ISBLANK(Actuals!BL98),-2675.39*Escalation!$B$60,Actuals!BL98)</f>
        <v/>
      </c>
      <c r="BL188" s="401">
        <f>IF(ISBLANK(Actuals!BM98),-2675.39*Escalation!$B$61,Actuals!BM98)</f>
        <v/>
      </c>
      <c r="BM188" s="401">
        <f>IF(ISBLANK(Actuals!BN98),-2675.39*Escalation!$B$62,Actuals!BN98)</f>
        <v/>
      </c>
      <c r="BN188" s="401">
        <f>IF(ISBLANK(Actuals!BO98),-2675.39*Escalation!$B$63,Actuals!BO98)</f>
        <v/>
      </c>
      <c r="BO188" s="401">
        <f>IF(ISBLANK(Actuals!BP98),-2675.39*Escalation!$B$64,Actuals!BP98)</f>
        <v/>
      </c>
      <c r="BP188" s="401">
        <f>IF(ISBLANK(Actuals!BQ98),-2675.39*Escalation!$B$65,Actuals!BQ98)</f>
        <v/>
      </c>
      <c r="BQ188" s="401">
        <f>IF(ISBLANK(Actuals!BR98),-2675.39*Escalation!$B$66,Actuals!BR98)</f>
        <v/>
      </c>
      <c r="BR188" s="401">
        <f>IF(ISBLANK(Actuals!BS98),-2675.39*Escalation!$B$67,Actuals!BS98)</f>
        <v/>
      </c>
      <c r="BS188" s="401">
        <f>IF(ISBLANK(Actuals!BT98),-2675.39*Escalation!$B$68,Actuals!BT98)</f>
        <v/>
      </c>
      <c r="BT188" s="401">
        <f>IF(ISBLANK(Actuals!BU98),-2675.39*Escalation!$B$69,Actuals!BU98)</f>
        <v/>
      </c>
      <c r="BU188" s="401">
        <f>IF(ISBLANK(Actuals!BV98),-2675.39*Escalation!$B$70,Actuals!BV98)</f>
        <v/>
      </c>
      <c r="BV188" s="401">
        <f>IF(ISBLANK(Actuals!BW98),-2675.39*Escalation!$B$71,Actuals!BW98)</f>
        <v/>
      </c>
      <c r="BW188" s="401">
        <f>IF(ISBLANK(Actuals!BX98),-2675.39*Escalation!$B$72,Actuals!BX98)</f>
        <v/>
      </c>
      <c r="BX188" s="401">
        <f>IF(ISBLANK(Actuals!BY98),-2675.39*Escalation!$B$73,Actuals!BY98)</f>
        <v/>
      </c>
      <c r="BY188" s="401">
        <f>IF(ISBLANK(Actuals!BZ98),-2675.39*Escalation!$B$74,Actuals!BZ98)</f>
        <v/>
      </c>
      <c r="BZ188" s="401">
        <f>IF(ISBLANK(Actuals!CA98),-2675.39*Escalation!$B$75,Actuals!CA98)</f>
        <v/>
      </c>
      <c r="CA188" s="401">
        <f>IF(ISBLANK(Actuals!CB98),-2675.39*Escalation!$B$76,Actuals!CB98)</f>
        <v/>
      </c>
      <c r="CB188" s="401">
        <f>IF(ISBLANK(Actuals!CC98),-2675.39*Escalation!$B$77,Actuals!CC98)</f>
        <v/>
      </c>
      <c r="CC188" s="401">
        <f>IF(ISBLANK(Actuals!CD98),-2675.39*Escalation!$B$78,Actuals!CD98)</f>
        <v/>
      </c>
      <c r="CD188" s="401">
        <f>IF(ISBLANK(Actuals!CE98),-2675.39*Escalation!$B$79,Actuals!CE98)</f>
        <v/>
      </c>
      <c r="CE188" s="401">
        <f>IF(ISBLANK(Actuals!CF98),-2675.39*Escalation!$B$80,Actuals!CF98)</f>
        <v/>
      </c>
      <c r="CF188" s="401">
        <f>IF(ISBLANK(Actuals!CG98),-2675.39*Escalation!$B$81,Actuals!CG98)</f>
        <v/>
      </c>
      <c r="CG188" s="401">
        <f>IF(ISBLANK(Actuals!CH98),-2675.39*Escalation!$B$82,Actuals!CH98)</f>
        <v/>
      </c>
      <c r="CH188" s="401">
        <f>IF(ISBLANK(Actuals!CI98),-2675.39*Escalation!$B$83,Actuals!CI98)</f>
        <v/>
      </c>
      <c r="CI188" s="401">
        <f>IF(ISBLANK(Actuals!CJ98),-2675.39*Escalation!$B$84,Actuals!CJ98)</f>
        <v/>
      </c>
      <c r="CJ188" s="401">
        <f>IF(ISBLANK(Actuals!CK98),-2675.39*Escalation!$B$85,Actuals!CK98)</f>
        <v/>
      </c>
      <c r="CK188" s="401">
        <f>IF(ISBLANK(Actuals!CL98),-2675.39*Escalation!$B$86,Actuals!CL98)</f>
        <v/>
      </c>
      <c r="CL188" s="401">
        <f>IF(ISBLANK(Actuals!CM98),-2675.39*Escalation!$B$87,Actuals!CM98)</f>
        <v/>
      </c>
      <c r="CM188" s="401">
        <f>IF(ISBLANK(Actuals!CN98),-2675.39*Escalation!$B$88,Actuals!CN98)</f>
        <v/>
      </c>
      <c r="CN188" s="401">
        <f>IF(ISBLANK(Actuals!CO98),-2675.39*Escalation!$B$89,Actuals!CO98)</f>
        <v/>
      </c>
      <c r="CO188" s="401">
        <f>IF(ISBLANK(Actuals!CP98),-2675.39*Escalation!$B$90,Actuals!CP98)</f>
        <v/>
      </c>
      <c r="CP188" s="401">
        <f>IF(ISBLANK(Actuals!CQ98),-2675.39*Escalation!$B$91,Actuals!CQ98)</f>
        <v/>
      </c>
      <c r="CQ188" s="401">
        <f>IF(ISBLANK(Actuals!CR98),-2675.39*Escalation!$B$92,Actuals!CR98)</f>
        <v/>
      </c>
      <c r="CR188" s="401">
        <f>IF(ISBLANK(Actuals!CS98),-2675.39*Escalation!$B$93,Actuals!CS98)</f>
        <v/>
      </c>
      <c r="CS188" s="401">
        <f>IF(ISBLANK(Actuals!CT98),-2675.39*Escalation!$B$94,Actuals!CT98)</f>
        <v/>
      </c>
      <c r="CT188" s="401">
        <f>IF(ISBLANK(Actuals!CU98),-2675.39*Escalation!$B$95,Actuals!CU98)</f>
        <v/>
      </c>
      <c r="CU188" s="401">
        <f>IF(ISBLANK(Actuals!CV98),-2675.39*Escalation!$B$96,Actuals!CV98)</f>
        <v/>
      </c>
      <c r="CV188" s="401">
        <f>IF(ISBLANK(Actuals!CW98),-2675.39*Escalation!$B$97,Actuals!CW98)</f>
        <v/>
      </c>
      <c r="CW188" s="401">
        <f>IF(ISBLANK(Actuals!CX98),-2675.39*Escalation!$B$98,Actuals!CX98)</f>
        <v/>
      </c>
      <c r="CX188" s="401">
        <f>IF(ISBLANK(Actuals!CY98),-2675.39*Escalation!$B$99,Actuals!CY98)</f>
        <v/>
      </c>
      <c r="CY188" s="401">
        <f>IF(ISBLANK(Actuals!CZ98),-2675.39*Escalation!$B$100,Actuals!CZ98)</f>
        <v/>
      </c>
      <c r="CZ188" s="401">
        <f>IF(ISBLANK(Actuals!DA98),-2675.39*Escalation!$B$101,Actuals!DA98)</f>
        <v/>
      </c>
      <c r="DA188" s="401">
        <f>IF(ISBLANK(Actuals!DB98),-2675.39*Escalation!$B$102,Actuals!DB98)</f>
        <v/>
      </c>
      <c r="DB188" s="401">
        <f>IF(ISBLANK(Actuals!DC98),-2675.39*Escalation!$B$103,Actuals!DC98)</f>
        <v/>
      </c>
      <c r="DC188" s="401">
        <f>IF(ISBLANK(Actuals!DD98),-2675.39*Escalation!$B$104,Actuals!DD98)</f>
        <v/>
      </c>
      <c r="DD188" s="401">
        <f>IF(ISBLANK(Actuals!DE98),-2675.39*Escalation!$B$105,Actuals!DE98)</f>
        <v/>
      </c>
      <c r="DE188" s="401">
        <f>IF(ISBLANK(Actuals!DF98),-2675.39*Escalation!$B$106,Actuals!DF98)</f>
        <v/>
      </c>
    </row>
    <row r="189" ht="15" customFormat="1" customHeight="1" s="380">
      <c r="A189" s="415" t="inlineStr">
        <is>
          <t>5500-1004 Consultants and Other Professional Expenses</t>
        </is>
      </c>
      <c r="B189" s="401">
        <f>IF(ISBLANK(Actuals!C99),0,Actuals!C99)</f>
        <v/>
      </c>
      <c r="C189" s="401">
        <f>IF(ISBLANK(Actuals!D99),0,Actuals!D99)</f>
        <v/>
      </c>
      <c r="D189" s="401">
        <f>IF(ISBLANK(Actuals!E99),0,Actuals!E99)</f>
        <v/>
      </c>
      <c r="E189" s="401">
        <f>IF(ISBLANK(Actuals!F99),(-(SUMPRODUCT((Personnel!$O$9:$O$100="SP-Prof")*(Personnel!$G$9:$G$100="Yes")*(1&gt;=Personnel!$E$9:$E$100)*((Personnel!$K$9:$K$100="")+(1&lt;=Personnel!$K$9:$K$100)&gt;0)*Personnel!$D$9:$D$100*(1-Personnel!$I$9:$I$100))))*Escalation!$B$2,Actuals!F99)</f>
        <v/>
      </c>
      <c r="F189" s="401">
        <f>IF(ISBLANK(Actuals!G99),(-(SUMPRODUCT((Personnel!$O$9:$O$100="SP-Prof")*(Personnel!$G$9:$G$100="Yes")*(2&gt;=Personnel!$E$9:$E$100)*((Personnel!$K$9:$K$100="")+(2&lt;=Personnel!$K$9:$K$100)&gt;0)*Personnel!$D$9:$D$100*(1-Personnel!$I$9:$I$100))))*Escalation!$B$3,Actuals!G99)</f>
        <v/>
      </c>
      <c r="G189" s="401">
        <f>IF(ISBLANK(Actuals!H99),(-(SUMPRODUCT((Personnel!$O$9:$O$100="SP-Prof")*(Personnel!$G$9:$G$100="Yes")*(3&gt;=Personnel!$E$9:$E$100)*((Personnel!$K$9:$K$100="")+(3&lt;=Personnel!$K$9:$K$100)&gt;0)*Personnel!$D$9:$D$100*(1-Personnel!$I$9:$I$100))))*Escalation!$B$4,Actuals!H99)</f>
        <v/>
      </c>
      <c r="H189" s="401">
        <f>IF(ISBLANK(Actuals!I99),(-(SUMPRODUCT((Personnel!$O$9:$O$100="SP-Prof")*(Personnel!$G$9:$G$100="Yes")*(4&gt;=Personnel!$E$9:$E$100)*((Personnel!$K$9:$K$100="")+(4&lt;=Personnel!$K$9:$K$100)&gt;0)*Personnel!$D$9:$D$100*(1-Personnel!$I$9:$I$100))))*Escalation!$B$5,Actuals!I99)</f>
        <v/>
      </c>
      <c r="I189" s="401">
        <f>IF(ISBLANK(Actuals!J99),(-(SUMPRODUCT((Personnel!$O$9:$O$100="SP-Prof")*(Personnel!$G$9:$G$100="Yes")*(5&gt;=Personnel!$E$9:$E$100)*((Personnel!$K$9:$K$100="")+(5&lt;=Personnel!$K$9:$K$100)&gt;0)*Personnel!$D$9:$D$100*(1-Personnel!$I$9:$I$100))))*Escalation!$B$6,Actuals!J99)</f>
        <v/>
      </c>
      <c r="J189" s="401">
        <f>IF(ISBLANK(Actuals!K99),(-(SUMPRODUCT((Personnel!$O$9:$O$100="SP-Prof")*(Personnel!$G$9:$G$100="Yes")*(6&gt;=Personnel!$E$9:$E$100)*((Personnel!$K$9:$K$100="")+(6&lt;=Personnel!$K$9:$K$100)&gt;0)*Personnel!$D$9:$D$100*(1-Personnel!$I$9:$I$100))))*Escalation!$B$7,Actuals!K99)</f>
        <v/>
      </c>
      <c r="K189" s="401">
        <f>IF(ISBLANK(Actuals!L99),(-(SUMPRODUCT((Personnel!$O$9:$O$100="SP-Prof")*(Personnel!$G$9:$G$100="Yes")*(7&gt;=Personnel!$E$9:$E$100)*((Personnel!$K$9:$K$100="")+(7&lt;=Personnel!$K$9:$K$100)&gt;0)*Personnel!$D$9:$D$100*(1-Personnel!$I$9:$I$100))))*Escalation!$B$8,Actuals!L99)</f>
        <v/>
      </c>
      <c r="L189" s="401">
        <f>IF(ISBLANK(Actuals!M99),(-(SUMPRODUCT((Personnel!$O$9:$O$100="SP-Prof")*(Personnel!$G$9:$G$100="Yes")*(8&gt;=Personnel!$E$9:$E$100)*((Personnel!$K$9:$K$100="")+(8&lt;=Personnel!$K$9:$K$100)&gt;0)*Personnel!$D$9:$D$100*(1-Personnel!$I$9:$I$100))))*Escalation!$B$9,Actuals!M99)</f>
        <v/>
      </c>
      <c r="M189" s="401">
        <f>IF(ISBLANK(Actuals!N99),(-(SUMPRODUCT((Personnel!$O$9:$O$100="SP-Prof")*(Personnel!$G$9:$G$100="Yes")*(9&gt;=Personnel!$E$9:$E$100)*((Personnel!$K$9:$K$100="")+(9&lt;=Personnel!$K$9:$K$100)&gt;0)*Personnel!$D$9:$D$100*(1-Personnel!$I$9:$I$100))))*Escalation!$B$10,Actuals!N99)</f>
        <v/>
      </c>
      <c r="N189" s="401">
        <f>IF(ISBLANK(Actuals!O99),(-(SUMPRODUCT((Personnel!$O$9:$O$100="SP-Prof")*(Personnel!$G$9:$G$100="Yes")*(10&gt;=Personnel!$E$9:$E$100)*((Personnel!$K$9:$K$100="")+(10&lt;=Personnel!$K$9:$K$100)&gt;0)*Personnel!$D$9:$D$100*(1-Personnel!$I$9:$I$100))))*Escalation!$B$11,Actuals!O99)</f>
        <v/>
      </c>
      <c r="O189" s="401">
        <f>IF(ISBLANK(Actuals!P99),(-(SUMPRODUCT((Personnel!$O$9:$O$100="SP-Prof")*(Personnel!$G$9:$G$100="Yes")*(11&gt;=Personnel!$E$9:$E$100)*((Personnel!$K$9:$K$100="")+(11&lt;=Personnel!$K$9:$K$100)&gt;0)*Personnel!$D$9:$D$100*(1-Personnel!$I$9:$I$100))))*Escalation!$B$12,Actuals!P99)</f>
        <v/>
      </c>
      <c r="P189" s="401">
        <f>IF(ISBLANK(Actuals!Q99),(-(SUMPRODUCT((Personnel!$O$9:$O$100="SP-Prof")*(Personnel!$G$9:$G$100="Yes")*(12&gt;=Personnel!$E$9:$E$100)*((Personnel!$K$9:$K$100="")+(12&lt;=Personnel!$K$9:$K$100)&gt;0)*Personnel!$D$9:$D$100*(1-Personnel!$I$9:$I$100))))*Escalation!$B$13,Actuals!Q99)</f>
        <v/>
      </c>
      <c r="Q189" s="401">
        <f>IF(ISBLANK(Actuals!R99),(-(SUMPRODUCT((Personnel!$O$9:$O$100="SP-Prof")*(Personnel!$G$9:$G$100="Yes")*(13&gt;=Personnel!$E$9:$E$100)*((Personnel!$K$9:$K$100="")+(13&lt;=Personnel!$K$9:$K$100)&gt;0)*Personnel!$D$9:$D$100*(1-Personnel!$I$9:$I$100))))*Escalation!$B$14,Actuals!R99)</f>
        <v/>
      </c>
      <c r="R189" s="401">
        <f>IF(ISBLANK(Actuals!S99),(-(SUMPRODUCT((Personnel!$O$9:$O$100="SP-Prof")*(Personnel!$G$9:$G$100="Yes")*(14&gt;=Personnel!$E$9:$E$100)*((Personnel!$K$9:$K$100="")+(14&lt;=Personnel!$K$9:$K$100)&gt;0)*Personnel!$D$9:$D$100*(1-Personnel!$I$9:$I$100))))*Escalation!$B$15,Actuals!S99)</f>
        <v/>
      </c>
      <c r="S189" s="401">
        <f>IF(ISBLANK(Actuals!T99),(-(SUMPRODUCT((Personnel!$O$9:$O$100="SP-Prof")*(Personnel!$G$9:$G$100="Yes")*(15&gt;=Personnel!$E$9:$E$100)*((Personnel!$K$9:$K$100="")+(15&lt;=Personnel!$K$9:$K$100)&gt;0)*Personnel!$D$9:$D$100*(1-Personnel!$I$9:$I$100))))*Escalation!$B$16,Actuals!T99)</f>
        <v/>
      </c>
      <c r="T189" s="401">
        <f>IF(ISBLANK(Actuals!U99),(-(SUMPRODUCT((Personnel!$O$9:$O$100="SP-Prof")*(Personnel!$G$9:$G$100="Yes")*(16&gt;=Personnel!$E$9:$E$100)*((Personnel!$K$9:$K$100="")+(16&lt;=Personnel!$K$9:$K$100)&gt;0)*Personnel!$D$9:$D$100*(1-Personnel!$I$9:$I$100))))*Escalation!$B$17,Actuals!U99)</f>
        <v/>
      </c>
      <c r="U189" s="401">
        <f>IF(ISBLANK(Actuals!V99),(-(SUMPRODUCT((Personnel!$O$9:$O$100="SP-Prof")*(Personnel!$G$9:$G$100="Yes")*(17&gt;=Personnel!$E$9:$E$100)*((Personnel!$K$9:$K$100="")+(17&lt;=Personnel!$K$9:$K$100)&gt;0)*Personnel!$D$9:$D$100*(1-Personnel!$I$9:$I$100))))*Escalation!$B$18,Actuals!V99)</f>
        <v/>
      </c>
      <c r="V189" s="401">
        <f>IF(ISBLANK(Actuals!W99),(-(SUMPRODUCT((Personnel!$O$9:$O$100="SP-Prof")*(Personnel!$G$9:$G$100="Yes")*(18&gt;=Personnel!$E$9:$E$100)*((Personnel!$K$9:$K$100="")+(18&lt;=Personnel!$K$9:$K$100)&gt;0)*Personnel!$D$9:$D$100*(1-Personnel!$I$9:$I$100))))*Escalation!$B$19,Actuals!W99)</f>
        <v/>
      </c>
      <c r="W189" s="401">
        <f>IF(ISBLANK(Actuals!X99),(-(SUMPRODUCT((Personnel!$O$9:$O$100="SP-Prof")*(Personnel!$G$9:$G$100="Yes")*(19&gt;=Personnel!$E$9:$E$100)*((Personnel!$K$9:$K$100="")+(19&lt;=Personnel!$K$9:$K$100)&gt;0)*Personnel!$D$9:$D$100*(1-Personnel!$I$9:$I$100))))*Escalation!$B$20,Actuals!X99)</f>
        <v/>
      </c>
      <c r="X189" s="401">
        <f>IF(ISBLANK(Actuals!Y99),(-(SUMPRODUCT((Personnel!$O$9:$O$100="SP-Prof")*(Personnel!$G$9:$G$100="Yes")*(20&gt;=Personnel!$E$9:$E$100)*((Personnel!$K$9:$K$100="")+(20&lt;=Personnel!$K$9:$K$100)&gt;0)*Personnel!$D$9:$D$100*(1-Personnel!$I$9:$I$100))))*Escalation!$B$21,Actuals!Y99)</f>
        <v/>
      </c>
      <c r="Y189" s="401">
        <f>IF(ISBLANK(Actuals!Z99),(-(SUMPRODUCT((Personnel!$O$9:$O$100="SP-Prof")*(Personnel!$G$9:$G$100="Yes")*(21&gt;=Personnel!$E$9:$E$100)*((Personnel!$K$9:$K$100="")+(21&lt;=Personnel!$K$9:$K$100)&gt;0)*Personnel!$D$9:$D$100*(1-Personnel!$I$9:$I$100))))*Escalation!$B$22,Actuals!Z99)</f>
        <v/>
      </c>
      <c r="Z189" s="401">
        <f>IF(ISBLANK(Actuals!AA99),(-(SUMPRODUCT((Personnel!$O$9:$O$100="SP-Prof")*(Personnel!$G$9:$G$100="Yes")*(22&gt;=Personnel!$E$9:$E$100)*((Personnel!$K$9:$K$100="")+(22&lt;=Personnel!$K$9:$K$100)&gt;0)*Personnel!$D$9:$D$100*(1-Personnel!$I$9:$I$100))))*Escalation!$B$23,Actuals!AA99)</f>
        <v/>
      </c>
      <c r="AA189" s="401">
        <f>IF(ISBLANK(Actuals!AB99),(-(SUMPRODUCT((Personnel!$O$9:$O$100="SP-Prof")*(Personnel!$G$9:$G$100="Yes")*(23&gt;=Personnel!$E$9:$E$100)*((Personnel!$K$9:$K$100="")+(23&lt;=Personnel!$K$9:$K$100)&gt;0)*Personnel!$D$9:$D$100*(1-Personnel!$I$9:$I$100))))*Escalation!$B$24,Actuals!AB99)</f>
        <v/>
      </c>
      <c r="AB189" s="401">
        <f>IF(ISBLANK(Actuals!AC99),(-(SUMPRODUCT((Personnel!$O$9:$O$100="SP-Prof")*(Personnel!$G$9:$G$100="Yes")*(24&gt;=Personnel!$E$9:$E$100)*((Personnel!$K$9:$K$100="")+(24&lt;=Personnel!$K$9:$K$100)&gt;0)*Personnel!$D$9:$D$100*(1-Personnel!$I$9:$I$100))))*Escalation!$B$25,Actuals!AC99)</f>
        <v/>
      </c>
      <c r="AC189" s="401">
        <f>IF(ISBLANK(Actuals!AD99),(-(SUMPRODUCT((Personnel!$O$9:$O$100="SP-Prof")*(Personnel!$G$9:$G$100="Yes")*(25&gt;=Personnel!$E$9:$E$100)*((Personnel!$K$9:$K$100="")+(25&lt;=Personnel!$K$9:$K$100)&gt;0)*Personnel!$D$9:$D$100*(1-Personnel!$I$9:$I$100))))*Escalation!$B$26,Actuals!AD99)</f>
        <v/>
      </c>
      <c r="AD189" s="401">
        <f>IF(ISBLANK(Actuals!AE99),(-(SUMPRODUCT((Personnel!$O$9:$O$100="SP-Prof")*(Personnel!$G$9:$G$100="Yes")*(26&gt;=Personnel!$E$9:$E$100)*((Personnel!$K$9:$K$100="")+(26&lt;=Personnel!$K$9:$K$100)&gt;0)*Personnel!$D$9:$D$100*(1-Personnel!$I$9:$I$100))))*Escalation!$B$27,Actuals!AE99)</f>
        <v/>
      </c>
      <c r="AE189" s="401">
        <f>IF(ISBLANK(Actuals!AF99),(-(SUMPRODUCT((Personnel!$O$9:$O$100="SP-Prof")*(Personnel!$G$9:$G$100="Yes")*(27&gt;=Personnel!$E$9:$E$100)*((Personnel!$K$9:$K$100="")+(27&lt;=Personnel!$K$9:$K$100)&gt;0)*Personnel!$D$9:$D$100*(1-Personnel!$I$9:$I$100))))*Escalation!$B$28,Actuals!AF99)</f>
        <v/>
      </c>
      <c r="AF189" s="401">
        <f>IF(ISBLANK(Actuals!AG99),(-(SUMPRODUCT((Personnel!$O$9:$O$100="SP-Prof")*(Personnel!$G$9:$G$100="Yes")*(28&gt;=Personnel!$E$9:$E$100)*((Personnel!$K$9:$K$100="")+(28&lt;=Personnel!$K$9:$K$100)&gt;0)*Personnel!$D$9:$D$100*(1-Personnel!$I$9:$I$100))))*Escalation!$B$29,Actuals!AG99)</f>
        <v/>
      </c>
      <c r="AG189" s="401">
        <f>IF(ISBLANK(Actuals!AH99),(-(SUMPRODUCT((Personnel!$O$9:$O$100="SP-Prof")*(Personnel!$G$9:$G$100="Yes")*(29&gt;=Personnel!$E$9:$E$100)*((Personnel!$K$9:$K$100="")+(29&lt;=Personnel!$K$9:$K$100)&gt;0)*Personnel!$D$9:$D$100*(1-Personnel!$I$9:$I$100))))*Escalation!$B$30,Actuals!AH99)</f>
        <v/>
      </c>
      <c r="AH189" s="401">
        <f>IF(ISBLANK(Actuals!AI99),(-(SUMPRODUCT((Personnel!$O$9:$O$100="SP-Prof")*(Personnel!$G$9:$G$100="Yes")*(30&gt;=Personnel!$E$9:$E$100)*((Personnel!$K$9:$K$100="")+(30&lt;=Personnel!$K$9:$K$100)&gt;0)*Personnel!$D$9:$D$100*(1-Personnel!$I$9:$I$100))))*Escalation!$B$31,Actuals!AI99)</f>
        <v/>
      </c>
      <c r="AI189" s="401">
        <f>IF(ISBLANK(Actuals!AJ99),(-(SUMPRODUCT((Personnel!$O$9:$O$100="SP-Prof")*(Personnel!$G$9:$G$100="Yes")*(31&gt;=Personnel!$E$9:$E$100)*((Personnel!$K$9:$K$100="")+(31&lt;=Personnel!$K$9:$K$100)&gt;0)*Personnel!$D$9:$D$100*(1-Personnel!$I$9:$I$100))))*Escalation!$B$32,Actuals!AJ99)</f>
        <v/>
      </c>
      <c r="AJ189" s="401">
        <f>IF(ISBLANK(Actuals!AK99),(-(SUMPRODUCT((Personnel!$O$9:$O$100="SP-Prof")*(Personnel!$G$9:$G$100="Yes")*(32&gt;=Personnel!$E$9:$E$100)*((Personnel!$K$9:$K$100="")+(32&lt;=Personnel!$K$9:$K$100)&gt;0)*Personnel!$D$9:$D$100*(1-Personnel!$I$9:$I$100))))*Escalation!$B$33,Actuals!AK99)</f>
        <v/>
      </c>
      <c r="AK189" s="401">
        <f>IF(ISBLANK(Actuals!AL99),(-(SUMPRODUCT((Personnel!$O$9:$O$100="SP-Prof")*(Personnel!$G$9:$G$100="Yes")*(33&gt;=Personnel!$E$9:$E$100)*((Personnel!$K$9:$K$100="")+(33&lt;=Personnel!$K$9:$K$100)&gt;0)*Personnel!$D$9:$D$100*(1-Personnel!$I$9:$I$100))))*Escalation!$B$34,Actuals!AL99)</f>
        <v/>
      </c>
      <c r="AL189" s="401">
        <f>IF(ISBLANK(Actuals!AM99),(-(SUMPRODUCT((Personnel!$O$9:$O$100="SP-Prof")*(Personnel!$G$9:$G$100="Yes")*(34&gt;=Personnel!$E$9:$E$100)*((Personnel!$K$9:$K$100="")+(34&lt;=Personnel!$K$9:$K$100)&gt;0)*Personnel!$D$9:$D$100*(1-Personnel!$I$9:$I$100))))*Escalation!$B$35,Actuals!AM99)</f>
        <v/>
      </c>
      <c r="AM189" s="401">
        <f>IF(ISBLANK(Actuals!AN99),(-(SUMPRODUCT((Personnel!$O$9:$O$100="SP-Prof")*(Personnel!$G$9:$G$100="Yes")*(35&gt;=Personnel!$E$9:$E$100)*((Personnel!$K$9:$K$100="")+(35&lt;=Personnel!$K$9:$K$100)&gt;0)*Personnel!$D$9:$D$100*(1-Personnel!$I$9:$I$100))))*Escalation!$B$36,Actuals!AN99)</f>
        <v/>
      </c>
      <c r="AN189" s="401">
        <f>IF(ISBLANK(Actuals!AO99),(-(SUMPRODUCT((Personnel!$O$9:$O$100="SP-Prof")*(Personnel!$G$9:$G$100="Yes")*(36&gt;=Personnel!$E$9:$E$100)*((Personnel!$K$9:$K$100="")+(36&lt;=Personnel!$K$9:$K$100)&gt;0)*Personnel!$D$9:$D$100*(1-Personnel!$I$9:$I$100))))*Escalation!$B$37,Actuals!AO99)</f>
        <v/>
      </c>
      <c r="AO189" s="401">
        <f>IF(ISBLANK(Actuals!AP99),(-(SUMPRODUCT((Personnel!$O$9:$O$100="SP-Prof")*(Personnel!$G$9:$G$100="Yes")*(37&gt;=Personnel!$E$9:$E$100)*((Personnel!$K$9:$K$100="")+(37&lt;=Personnel!$K$9:$K$100)&gt;0)*Personnel!$D$9:$D$100*(1-Personnel!$I$9:$I$100))))*Escalation!$B$38,Actuals!AP99)</f>
        <v/>
      </c>
      <c r="AP189" s="401">
        <f>IF(ISBLANK(Actuals!AQ99),(-(SUMPRODUCT((Personnel!$O$9:$O$100="SP-Prof")*(Personnel!$G$9:$G$100="Yes")*(38&gt;=Personnel!$E$9:$E$100)*((Personnel!$K$9:$K$100="")+(38&lt;=Personnel!$K$9:$K$100)&gt;0)*Personnel!$D$9:$D$100*(1-Personnel!$I$9:$I$100))))*Escalation!$B$39,Actuals!AQ99)</f>
        <v/>
      </c>
      <c r="AQ189" s="401">
        <f>IF(ISBLANK(Actuals!AR99),(-(SUMPRODUCT((Personnel!$O$9:$O$100="SP-Prof")*(Personnel!$G$9:$G$100="Yes")*(39&gt;=Personnel!$E$9:$E$100)*((Personnel!$K$9:$K$100="")+(39&lt;=Personnel!$K$9:$K$100)&gt;0)*Personnel!$D$9:$D$100*(1-Personnel!$I$9:$I$100))))*Escalation!$B$40,Actuals!AR99)</f>
        <v/>
      </c>
      <c r="AR189" s="401">
        <f>IF(ISBLANK(Actuals!AS99),(-(SUMPRODUCT((Personnel!$O$9:$O$100="SP-Prof")*(Personnel!$G$9:$G$100="Yes")*(40&gt;=Personnel!$E$9:$E$100)*((Personnel!$K$9:$K$100="")+(40&lt;=Personnel!$K$9:$K$100)&gt;0)*Personnel!$D$9:$D$100*(1-Personnel!$I$9:$I$100))))*Escalation!$B$41,Actuals!AS99)</f>
        <v/>
      </c>
      <c r="AS189" s="401">
        <f>IF(ISBLANK(Actuals!AT99),(-(SUMPRODUCT((Personnel!$O$9:$O$100="SP-Prof")*(Personnel!$G$9:$G$100="Yes")*(41&gt;=Personnel!$E$9:$E$100)*((Personnel!$K$9:$K$100="")+(41&lt;=Personnel!$K$9:$K$100)&gt;0)*Personnel!$D$9:$D$100*(1-Personnel!$I$9:$I$100))))*Escalation!$B$42,Actuals!AT99)</f>
        <v/>
      </c>
      <c r="AT189" s="401">
        <f>IF(ISBLANK(Actuals!AU99),(-(SUMPRODUCT((Personnel!$O$9:$O$100="SP-Prof")*(Personnel!$G$9:$G$100="Yes")*(42&gt;=Personnel!$E$9:$E$100)*((Personnel!$K$9:$K$100="")+(42&lt;=Personnel!$K$9:$K$100)&gt;0)*Personnel!$D$9:$D$100*(1-Personnel!$I$9:$I$100))))*Escalation!$B$43,Actuals!AU99)</f>
        <v/>
      </c>
      <c r="AU189" s="401">
        <f>IF(ISBLANK(Actuals!AV99),(-(SUMPRODUCT((Personnel!$O$9:$O$100="SP-Prof")*(Personnel!$G$9:$G$100="Yes")*(43&gt;=Personnel!$E$9:$E$100)*((Personnel!$K$9:$K$100="")+(43&lt;=Personnel!$K$9:$K$100)&gt;0)*Personnel!$D$9:$D$100*(1-Personnel!$I$9:$I$100))))*Escalation!$B$44,Actuals!AV99)</f>
        <v/>
      </c>
      <c r="AV189" s="401">
        <f>IF(ISBLANK(Actuals!AW99),(-(SUMPRODUCT((Personnel!$O$9:$O$100="SP-Prof")*(Personnel!$G$9:$G$100="Yes")*(44&gt;=Personnel!$E$9:$E$100)*((Personnel!$K$9:$K$100="")+(44&lt;=Personnel!$K$9:$K$100)&gt;0)*Personnel!$D$9:$D$100*(1-Personnel!$I$9:$I$100))))*Escalation!$B$45,Actuals!AW99)</f>
        <v/>
      </c>
      <c r="AW189" s="401">
        <f>IF(ISBLANK(Actuals!AX99),(-(SUMPRODUCT((Personnel!$O$9:$O$100="SP-Prof")*(Personnel!$G$9:$G$100="Yes")*(45&gt;=Personnel!$E$9:$E$100)*((Personnel!$K$9:$K$100="")+(45&lt;=Personnel!$K$9:$K$100)&gt;0)*Personnel!$D$9:$D$100*(1-Personnel!$I$9:$I$100))))*Escalation!$B$46,Actuals!AX99)</f>
        <v/>
      </c>
      <c r="AX189" s="401">
        <f>IF(ISBLANK(Actuals!AY99),(-(SUMPRODUCT((Personnel!$O$9:$O$100="SP-Prof")*(Personnel!$G$9:$G$100="Yes")*(46&gt;=Personnel!$E$9:$E$100)*((Personnel!$K$9:$K$100="")+(46&lt;=Personnel!$K$9:$K$100)&gt;0)*Personnel!$D$9:$D$100*(1-Personnel!$I$9:$I$100))))*Escalation!$B$47,Actuals!AY99)</f>
        <v/>
      </c>
      <c r="AY189" s="401">
        <f>IF(ISBLANK(Actuals!AZ99),(-(SUMPRODUCT((Personnel!$O$9:$O$100="SP-Prof")*(Personnel!$G$9:$G$100="Yes")*(47&gt;=Personnel!$E$9:$E$100)*((Personnel!$K$9:$K$100="")+(47&lt;=Personnel!$K$9:$K$100)&gt;0)*Personnel!$D$9:$D$100*(1-Personnel!$I$9:$I$100))))*Escalation!$B$48,Actuals!AZ99)</f>
        <v/>
      </c>
      <c r="AZ189" s="401">
        <f>IF(ISBLANK(Actuals!BA99),(-(SUMPRODUCT((Personnel!$O$9:$O$100="SP-Prof")*(Personnel!$G$9:$G$100="Yes")*(48&gt;=Personnel!$E$9:$E$100)*((Personnel!$K$9:$K$100="")+(48&lt;=Personnel!$K$9:$K$100)&gt;0)*Personnel!$D$9:$D$100*(1-Personnel!$I$9:$I$100))))*Escalation!$B$49,Actuals!BA99)</f>
        <v/>
      </c>
      <c r="BA189" s="401">
        <f>IF(ISBLANK(Actuals!BB99),(-(SUMPRODUCT((Personnel!$O$9:$O$100="SP-Prof")*(Personnel!$G$9:$G$100="Yes")*(49&gt;=Personnel!$E$9:$E$100)*((Personnel!$K$9:$K$100="")+(49&lt;=Personnel!$K$9:$K$100)&gt;0)*Personnel!$D$9:$D$100*(1-Personnel!$I$9:$I$100))))*Escalation!$B$50,Actuals!BB99)</f>
        <v/>
      </c>
      <c r="BB189" s="401">
        <f>IF(ISBLANK(Actuals!BC99),(-(SUMPRODUCT((Personnel!$O$9:$O$100="SP-Prof")*(Personnel!$G$9:$G$100="Yes")*(50&gt;=Personnel!$E$9:$E$100)*((Personnel!$K$9:$K$100="")+(50&lt;=Personnel!$K$9:$K$100)&gt;0)*Personnel!$D$9:$D$100*(1-Personnel!$I$9:$I$100))))*Escalation!$B$51,Actuals!BC99)</f>
        <v/>
      </c>
      <c r="BC189" s="401">
        <f>IF(ISBLANK(Actuals!BD99),(-(SUMPRODUCT((Personnel!$O$9:$O$100="SP-Prof")*(Personnel!$G$9:$G$100="Yes")*(51&gt;=Personnel!$E$9:$E$100)*((Personnel!$K$9:$K$100="")+(51&lt;=Personnel!$K$9:$K$100)&gt;0)*Personnel!$D$9:$D$100*(1-Personnel!$I$9:$I$100))))*Escalation!$B$52,Actuals!BD99)</f>
        <v/>
      </c>
      <c r="BD189" s="401">
        <f>IF(ISBLANK(Actuals!BE99),(-(SUMPRODUCT((Personnel!$O$9:$O$100="SP-Prof")*(Personnel!$G$9:$G$100="Yes")*(52&gt;=Personnel!$E$9:$E$100)*((Personnel!$K$9:$K$100="")+(52&lt;=Personnel!$K$9:$K$100)&gt;0)*Personnel!$D$9:$D$100*(1-Personnel!$I$9:$I$100))))*Escalation!$B$53,Actuals!BE99)</f>
        <v/>
      </c>
      <c r="BE189" s="401">
        <f>IF(ISBLANK(Actuals!BF99),(-(SUMPRODUCT((Personnel!$O$9:$O$100="SP-Prof")*(Personnel!$G$9:$G$100="Yes")*(53&gt;=Personnel!$E$9:$E$100)*((Personnel!$K$9:$K$100="")+(53&lt;=Personnel!$K$9:$K$100)&gt;0)*Personnel!$D$9:$D$100*(1-Personnel!$I$9:$I$100))))*Escalation!$B$54,Actuals!BF99)</f>
        <v/>
      </c>
      <c r="BF189" s="401">
        <f>IF(ISBLANK(Actuals!BG99),(-(SUMPRODUCT((Personnel!$O$9:$O$100="SP-Prof")*(Personnel!$G$9:$G$100="Yes")*(54&gt;=Personnel!$E$9:$E$100)*((Personnel!$K$9:$K$100="")+(54&lt;=Personnel!$K$9:$K$100)&gt;0)*Personnel!$D$9:$D$100*(1-Personnel!$I$9:$I$100))))*Escalation!$B$55,Actuals!BG99)</f>
        <v/>
      </c>
      <c r="BG189" s="401">
        <f>IF(ISBLANK(Actuals!BH99),(-(SUMPRODUCT((Personnel!$O$9:$O$100="SP-Prof")*(Personnel!$G$9:$G$100="Yes")*(55&gt;=Personnel!$E$9:$E$100)*((Personnel!$K$9:$K$100="")+(55&lt;=Personnel!$K$9:$K$100)&gt;0)*Personnel!$D$9:$D$100*(1-Personnel!$I$9:$I$100))))*Escalation!$B$56,Actuals!BH99)</f>
        <v/>
      </c>
      <c r="BH189" s="401">
        <f>IF(ISBLANK(Actuals!BI99),(-(SUMPRODUCT((Personnel!$O$9:$O$100="SP-Prof")*(Personnel!$G$9:$G$100="Yes")*(56&gt;=Personnel!$E$9:$E$100)*((Personnel!$K$9:$K$100="")+(56&lt;=Personnel!$K$9:$K$100)&gt;0)*Personnel!$D$9:$D$100*(1-Personnel!$I$9:$I$100))))*Escalation!$B$57,Actuals!BI99)</f>
        <v/>
      </c>
      <c r="BI189" s="401">
        <f>IF(ISBLANK(Actuals!BJ99),(-(SUMPRODUCT((Personnel!$O$9:$O$100="SP-Prof")*(Personnel!$G$9:$G$100="Yes")*(57&gt;=Personnel!$E$9:$E$100)*((Personnel!$K$9:$K$100="")+(57&lt;=Personnel!$K$9:$K$100)&gt;0)*Personnel!$D$9:$D$100*(1-Personnel!$I$9:$I$100))))*Escalation!$B$58,Actuals!BJ99)</f>
        <v/>
      </c>
      <c r="BJ189" s="401">
        <f>IF(ISBLANK(Actuals!BK99),(-(SUMPRODUCT((Personnel!$O$9:$O$100="SP-Prof")*(Personnel!$G$9:$G$100="Yes")*(58&gt;=Personnel!$E$9:$E$100)*((Personnel!$K$9:$K$100="")+(58&lt;=Personnel!$K$9:$K$100)&gt;0)*Personnel!$D$9:$D$100*(1-Personnel!$I$9:$I$100))))*Escalation!$B$59,Actuals!BK99)</f>
        <v/>
      </c>
      <c r="BK189" s="401">
        <f>IF(ISBLANK(Actuals!BL99),(-(SUMPRODUCT((Personnel!$O$9:$O$100="SP-Prof")*(Personnel!$G$9:$G$100="Yes")*(59&gt;=Personnel!$E$9:$E$100)*((Personnel!$K$9:$K$100="")+(59&lt;=Personnel!$K$9:$K$100)&gt;0)*Personnel!$D$9:$D$100*(1-Personnel!$I$9:$I$100))))*Escalation!$B$60,Actuals!BL99)</f>
        <v/>
      </c>
      <c r="BL189" s="401">
        <f>IF(ISBLANK(Actuals!BM99),(-(SUMPRODUCT((Personnel!$O$9:$O$100="SP-Prof")*(Personnel!$G$9:$G$100="Yes")*(60&gt;=Personnel!$E$9:$E$100)*((Personnel!$K$9:$K$100="")+(60&lt;=Personnel!$K$9:$K$100)&gt;0)*Personnel!$D$9:$D$100*(1-Personnel!$I$9:$I$100))))*Escalation!$B$61,Actuals!BM99)</f>
        <v/>
      </c>
      <c r="BM189" s="401">
        <f>IF(ISBLANK(Actuals!BN99),(-(SUMPRODUCT((Personnel!$O$9:$O$100="SP-Prof")*(Personnel!$G$9:$G$100="Yes")*(61&gt;=Personnel!$E$9:$E$100)*((Personnel!$K$9:$K$100="")+(61&lt;=Personnel!$K$9:$K$100)&gt;0)*Personnel!$D$9:$D$100*(1-Personnel!$I$9:$I$100))))*Escalation!$B$62,Actuals!BN99)</f>
        <v/>
      </c>
      <c r="BN189" s="401">
        <f>IF(ISBLANK(Actuals!BO99),(-(SUMPRODUCT((Personnel!$O$9:$O$100="SP-Prof")*(Personnel!$G$9:$G$100="Yes")*(62&gt;=Personnel!$E$9:$E$100)*((Personnel!$K$9:$K$100="")+(62&lt;=Personnel!$K$9:$K$100)&gt;0)*Personnel!$D$9:$D$100*(1-Personnel!$I$9:$I$100))))*Escalation!$B$63,Actuals!BO99)</f>
        <v/>
      </c>
      <c r="BO189" s="401">
        <f>IF(ISBLANK(Actuals!BP99),(-(SUMPRODUCT((Personnel!$O$9:$O$100="SP-Prof")*(Personnel!$G$9:$G$100="Yes")*(63&gt;=Personnel!$E$9:$E$100)*((Personnel!$K$9:$K$100="")+(63&lt;=Personnel!$K$9:$K$100)&gt;0)*Personnel!$D$9:$D$100*(1-Personnel!$I$9:$I$100))))*Escalation!$B$64,Actuals!BP99)</f>
        <v/>
      </c>
      <c r="BP189" s="401">
        <f>IF(ISBLANK(Actuals!BQ99),(-(SUMPRODUCT((Personnel!$O$9:$O$100="SP-Prof")*(Personnel!$G$9:$G$100="Yes")*(64&gt;=Personnel!$E$9:$E$100)*((Personnel!$K$9:$K$100="")+(64&lt;=Personnel!$K$9:$K$100)&gt;0)*Personnel!$D$9:$D$100*(1-Personnel!$I$9:$I$100))))*Escalation!$B$65,Actuals!BQ99)</f>
        <v/>
      </c>
      <c r="BQ189" s="401">
        <f>IF(ISBLANK(Actuals!BR99),(-(SUMPRODUCT((Personnel!$O$9:$O$100="SP-Prof")*(Personnel!$G$9:$G$100="Yes")*(65&gt;=Personnel!$E$9:$E$100)*((Personnel!$K$9:$K$100="")+(65&lt;=Personnel!$K$9:$K$100)&gt;0)*Personnel!$D$9:$D$100*(1-Personnel!$I$9:$I$100))))*Escalation!$B$66,Actuals!BR99)</f>
        <v/>
      </c>
      <c r="BR189" s="401">
        <f>IF(ISBLANK(Actuals!BS99),(-(SUMPRODUCT((Personnel!$O$9:$O$100="SP-Prof")*(Personnel!$G$9:$G$100="Yes")*(66&gt;=Personnel!$E$9:$E$100)*((Personnel!$K$9:$K$100="")+(66&lt;=Personnel!$K$9:$K$100)&gt;0)*Personnel!$D$9:$D$100*(1-Personnel!$I$9:$I$100))))*Escalation!$B$67,Actuals!BS99)</f>
        <v/>
      </c>
      <c r="BS189" s="401">
        <f>IF(ISBLANK(Actuals!BT99),(-(SUMPRODUCT((Personnel!$O$9:$O$100="SP-Prof")*(Personnel!$G$9:$G$100="Yes")*(67&gt;=Personnel!$E$9:$E$100)*((Personnel!$K$9:$K$100="")+(67&lt;=Personnel!$K$9:$K$100)&gt;0)*Personnel!$D$9:$D$100*(1-Personnel!$I$9:$I$100))))*Escalation!$B$68,Actuals!BT99)</f>
        <v/>
      </c>
      <c r="BT189" s="401">
        <f>IF(ISBLANK(Actuals!BU99),(-(SUMPRODUCT((Personnel!$O$9:$O$100="SP-Prof")*(Personnel!$G$9:$G$100="Yes")*(68&gt;=Personnel!$E$9:$E$100)*((Personnel!$K$9:$K$100="")+(68&lt;=Personnel!$K$9:$K$100)&gt;0)*Personnel!$D$9:$D$100*(1-Personnel!$I$9:$I$100))))*Escalation!$B$69,Actuals!BU99)</f>
        <v/>
      </c>
      <c r="BU189" s="401">
        <f>IF(ISBLANK(Actuals!BV99),(-(SUMPRODUCT((Personnel!$O$9:$O$100="SP-Prof")*(Personnel!$G$9:$G$100="Yes")*(69&gt;=Personnel!$E$9:$E$100)*((Personnel!$K$9:$K$100="")+(69&lt;=Personnel!$K$9:$K$100)&gt;0)*Personnel!$D$9:$D$100*(1-Personnel!$I$9:$I$100))))*Escalation!$B$70,Actuals!BV99)</f>
        <v/>
      </c>
      <c r="BV189" s="401">
        <f>IF(ISBLANK(Actuals!BW99),(-(SUMPRODUCT((Personnel!$O$9:$O$100="SP-Prof")*(Personnel!$G$9:$G$100="Yes")*(70&gt;=Personnel!$E$9:$E$100)*((Personnel!$K$9:$K$100="")+(70&lt;=Personnel!$K$9:$K$100)&gt;0)*Personnel!$D$9:$D$100*(1-Personnel!$I$9:$I$100))))*Escalation!$B$71,Actuals!BW99)</f>
        <v/>
      </c>
      <c r="BW189" s="401">
        <f>IF(ISBLANK(Actuals!BX99),(-(SUMPRODUCT((Personnel!$O$9:$O$100="SP-Prof")*(Personnel!$G$9:$G$100="Yes")*(71&gt;=Personnel!$E$9:$E$100)*((Personnel!$K$9:$K$100="")+(71&lt;=Personnel!$K$9:$K$100)&gt;0)*Personnel!$D$9:$D$100*(1-Personnel!$I$9:$I$100))))*Escalation!$B$72,Actuals!BX99)</f>
        <v/>
      </c>
      <c r="BX189" s="401">
        <f>IF(ISBLANK(Actuals!BY99),(-(SUMPRODUCT((Personnel!$O$9:$O$100="SP-Prof")*(Personnel!$G$9:$G$100="Yes")*(72&gt;=Personnel!$E$9:$E$100)*((Personnel!$K$9:$K$100="")+(72&lt;=Personnel!$K$9:$K$100)&gt;0)*Personnel!$D$9:$D$100*(1-Personnel!$I$9:$I$100))))*Escalation!$B$73,Actuals!BY99)</f>
        <v/>
      </c>
      <c r="BY189" s="401">
        <f>IF(ISBLANK(Actuals!BZ99),(-(SUMPRODUCT((Personnel!$O$9:$O$100="SP-Prof")*(Personnel!$G$9:$G$100="Yes")*(73&gt;=Personnel!$E$9:$E$100)*((Personnel!$K$9:$K$100="")+(73&lt;=Personnel!$K$9:$K$100)&gt;0)*Personnel!$D$9:$D$100*(1-Personnel!$I$9:$I$100))))*Escalation!$B$74,Actuals!BZ99)</f>
        <v/>
      </c>
      <c r="BZ189" s="401">
        <f>IF(ISBLANK(Actuals!CA99),(-(SUMPRODUCT((Personnel!$O$9:$O$100="SP-Prof")*(Personnel!$G$9:$G$100="Yes")*(74&gt;=Personnel!$E$9:$E$100)*((Personnel!$K$9:$K$100="")+(74&lt;=Personnel!$K$9:$K$100)&gt;0)*Personnel!$D$9:$D$100*(1-Personnel!$I$9:$I$100))))*Escalation!$B$75,Actuals!CA99)</f>
        <v/>
      </c>
      <c r="CA189" s="401">
        <f>IF(ISBLANK(Actuals!CB99),(-(SUMPRODUCT((Personnel!$O$9:$O$100="SP-Prof")*(Personnel!$G$9:$G$100="Yes")*(75&gt;=Personnel!$E$9:$E$100)*((Personnel!$K$9:$K$100="")+(75&lt;=Personnel!$K$9:$K$100)&gt;0)*Personnel!$D$9:$D$100*(1-Personnel!$I$9:$I$100))))*Escalation!$B$76,Actuals!CB99)</f>
        <v/>
      </c>
      <c r="CB189" s="401">
        <f>IF(ISBLANK(Actuals!CC99),(-(SUMPRODUCT((Personnel!$O$9:$O$100="SP-Prof")*(Personnel!$G$9:$G$100="Yes")*(76&gt;=Personnel!$E$9:$E$100)*((Personnel!$K$9:$K$100="")+(76&lt;=Personnel!$K$9:$K$100)&gt;0)*Personnel!$D$9:$D$100*(1-Personnel!$I$9:$I$100))))*Escalation!$B$77,Actuals!CC99)</f>
        <v/>
      </c>
      <c r="CC189" s="401">
        <f>IF(ISBLANK(Actuals!CD99),(-(SUMPRODUCT((Personnel!$O$9:$O$100="SP-Prof")*(Personnel!$G$9:$G$100="Yes")*(77&gt;=Personnel!$E$9:$E$100)*((Personnel!$K$9:$K$100="")+(77&lt;=Personnel!$K$9:$K$100)&gt;0)*Personnel!$D$9:$D$100*(1-Personnel!$I$9:$I$100))))*Escalation!$B$78,Actuals!CD99)</f>
        <v/>
      </c>
      <c r="CD189" s="401">
        <f>IF(ISBLANK(Actuals!CE99),(-(SUMPRODUCT((Personnel!$O$9:$O$100="SP-Prof")*(Personnel!$G$9:$G$100="Yes")*(78&gt;=Personnel!$E$9:$E$100)*((Personnel!$K$9:$K$100="")+(78&lt;=Personnel!$K$9:$K$100)&gt;0)*Personnel!$D$9:$D$100*(1-Personnel!$I$9:$I$100))))*Escalation!$B$79,Actuals!CE99)</f>
        <v/>
      </c>
      <c r="CE189" s="401">
        <f>IF(ISBLANK(Actuals!CF99),(-(SUMPRODUCT((Personnel!$O$9:$O$100="SP-Prof")*(Personnel!$G$9:$G$100="Yes")*(79&gt;=Personnel!$E$9:$E$100)*((Personnel!$K$9:$K$100="")+(79&lt;=Personnel!$K$9:$K$100)&gt;0)*Personnel!$D$9:$D$100*(1-Personnel!$I$9:$I$100))))*Escalation!$B$80,Actuals!CF99)</f>
        <v/>
      </c>
      <c r="CF189" s="401">
        <f>IF(ISBLANK(Actuals!CG99),(-(SUMPRODUCT((Personnel!$O$9:$O$100="SP-Prof")*(Personnel!$G$9:$G$100="Yes")*(80&gt;=Personnel!$E$9:$E$100)*((Personnel!$K$9:$K$100="")+(80&lt;=Personnel!$K$9:$K$100)&gt;0)*Personnel!$D$9:$D$100*(1-Personnel!$I$9:$I$100))))*Escalation!$B$81,Actuals!CG99)</f>
        <v/>
      </c>
      <c r="CG189" s="401">
        <f>IF(ISBLANK(Actuals!CH99),(-(SUMPRODUCT((Personnel!$O$9:$O$100="SP-Prof")*(Personnel!$G$9:$G$100="Yes")*(81&gt;=Personnel!$E$9:$E$100)*((Personnel!$K$9:$K$100="")+(81&lt;=Personnel!$K$9:$K$100)&gt;0)*Personnel!$D$9:$D$100*(1-Personnel!$I$9:$I$100))))*Escalation!$B$82,Actuals!CH99)</f>
        <v/>
      </c>
      <c r="CH189" s="401">
        <f>IF(ISBLANK(Actuals!CI99),(-(SUMPRODUCT((Personnel!$O$9:$O$100="SP-Prof")*(Personnel!$G$9:$G$100="Yes")*(82&gt;=Personnel!$E$9:$E$100)*((Personnel!$K$9:$K$100="")+(82&lt;=Personnel!$K$9:$K$100)&gt;0)*Personnel!$D$9:$D$100*(1-Personnel!$I$9:$I$100))))*Escalation!$B$83,Actuals!CI99)</f>
        <v/>
      </c>
      <c r="CI189" s="401">
        <f>IF(ISBLANK(Actuals!CJ99),(-(SUMPRODUCT((Personnel!$O$9:$O$100="SP-Prof")*(Personnel!$G$9:$G$100="Yes")*(83&gt;=Personnel!$E$9:$E$100)*((Personnel!$K$9:$K$100="")+(83&lt;=Personnel!$K$9:$K$100)&gt;0)*Personnel!$D$9:$D$100*(1-Personnel!$I$9:$I$100))))*Escalation!$B$84,Actuals!CJ99)</f>
        <v/>
      </c>
      <c r="CJ189" s="401">
        <f>IF(ISBLANK(Actuals!CK99),(-(SUMPRODUCT((Personnel!$O$9:$O$100="SP-Prof")*(Personnel!$G$9:$G$100="Yes")*(84&gt;=Personnel!$E$9:$E$100)*((Personnel!$K$9:$K$100="")+(84&lt;=Personnel!$K$9:$K$100)&gt;0)*Personnel!$D$9:$D$100*(1-Personnel!$I$9:$I$100))))*Escalation!$B$85,Actuals!CK99)</f>
        <v/>
      </c>
      <c r="CK189" s="401">
        <f>IF(ISBLANK(Actuals!CL99),(-(SUMPRODUCT((Personnel!$O$9:$O$100="SP-Prof")*(Personnel!$G$9:$G$100="Yes")*(85&gt;=Personnel!$E$9:$E$100)*((Personnel!$K$9:$K$100="")+(85&lt;=Personnel!$K$9:$K$100)&gt;0)*Personnel!$D$9:$D$100*(1-Personnel!$I$9:$I$100))))*Escalation!$B$86,Actuals!CL99)</f>
        <v/>
      </c>
      <c r="CL189" s="401">
        <f>IF(ISBLANK(Actuals!CM99),(-(SUMPRODUCT((Personnel!$O$9:$O$100="SP-Prof")*(Personnel!$G$9:$G$100="Yes")*(86&gt;=Personnel!$E$9:$E$100)*((Personnel!$K$9:$K$100="")+(86&lt;=Personnel!$K$9:$K$100)&gt;0)*Personnel!$D$9:$D$100*(1-Personnel!$I$9:$I$100))))*Escalation!$B$87,Actuals!CM99)</f>
        <v/>
      </c>
      <c r="CM189" s="401">
        <f>IF(ISBLANK(Actuals!CN99),(-(SUMPRODUCT((Personnel!$O$9:$O$100="SP-Prof")*(Personnel!$G$9:$G$100="Yes")*(87&gt;=Personnel!$E$9:$E$100)*((Personnel!$K$9:$K$100="")+(87&lt;=Personnel!$K$9:$K$100)&gt;0)*Personnel!$D$9:$D$100*(1-Personnel!$I$9:$I$100))))*Escalation!$B$88,Actuals!CN99)</f>
        <v/>
      </c>
      <c r="CN189" s="401">
        <f>IF(ISBLANK(Actuals!CO99),(-(SUMPRODUCT((Personnel!$O$9:$O$100="SP-Prof")*(Personnel!$G$9:$G$100="Yes")*(88&gt;=Personnel!$E$9:$E$100)*((Personnel!$K$9:$K$100="")+(88&lt;=Personnel!$K$9:$K$100)&gt;0)*Personnel!$D$9:$D$100*(1-Personnel!$I$9:$I$100))))*Escalation!$B$89,Actuals!CO99)</f>
        <v/>
      </c>
      <c r="CO189" s="401">
        <f>IF(ISBLANK(Actuals!CP99),(-(SUMPRODUCT((Personnel!$O$9:$O$100="SP-Prof")*(Personnel!$G$9:$G$100="Yes")*(89&gt;=Personnel!$E$9:$E$100)*((Personnel!$K$9:$K$100="")+(89&lt;=Personnel!$K$9:$K$100)&gt;0)*Personnel!$D$9:$D$100*(1-Personnel!$I$9:$I$100))))*Escalation!$B$90,Actuals!CP99)</f>
        <v/>
      </c>
      <c r="CP189" s="401">
        <f>IF(ISBLANK(Actuals!CQ99),(-(SUMPRODUCT((Personnel!$O$9:$O$100="SP-Prof")*(Personnel!$G$9:$G$100="Yes")*(90&gt;=Personnel!$E$9:$E$100)*((Personnel!$K$9:$K$100="")+(90&lt;=Personnel!$K$9:$K$100)&gt;0)*Personnel!$D$9:$D$100*(1-Personnel!$I$9:$I$100))))*Escalation!$B$91,Actuals!CQ99)</f>
        <v/>
      </c>
      <c r="CQ189" s="401">
        <f>IF(ISBLANK(Actuals!CR99),(-(SUMPRODUCT((Personnel!$O$9:$O$100="SP-Prof")*(Personnel!$G$9:$G$100="Yes")*(91&gt;=Personnel!$E$9:$E$100)*((Personnel!$K$9:$K$100="")+(91&lt;=Personnel!$K$9:$K$100)&gt;0)*Personnel!$D$9:$D$100*(1-Personnel!$I$9:$I$100))))*Escalation!$B$92,Actuals!CR99)</f>
        <v/>
      </c>
      <c r="CR189" s="401">
        <f>IF(ISBLANK(Actuals!CS99),(-(SUMPRODUCT((Personnel!$O$9:$O$100="SP-Prof")*(Personnel!$G$9:$G$100="Yes")*(92&gt;=Personnel!$E$9:$E$100)*((Personnel!$K$9:$K$100="")+(92&lt;=Personnel!$K$9:$K$100)&gt;0)*Personnel!$D$9:$D$100*(1-Personnel!$I$9:$I$100))))*Escalation!$B$93,Actuals!CS99)</f>
        <v/>
      </c>
      <c r="CS189" s="401">
        <f>IF(ISBLANK(Actuals!CT99),(-(SUMPRODUCT((Personnel!$O$9:$O$100="SP-Prof")*(Personnel!$G$9:$G$100="Yes")*(93&gt;=Personnel!$E$9:$E$100)*((Personnel!$K$9:$K$100="")+(93&lt;=Personnel!$K$9:$K$100)&gt;0)*Personnel!$D$9:$D$100*(1-Personnel!$I$9:$I$100))))*Escalation!$B$94,Actuals!CT99)</f>
        <v/>
      </c>
      <c r="CT189" s="401">
        <f>IF(ISBLANK(Actuals!CU99),(-(SUMPRODUCT((Personnel!$O$9:$O$100="SP-Prof")*(Personnel!$G$9:$G$100="Yes")*(94&gt;=Personnel!$E$9:$E$100)*((Personnel!$K$9:$K$100="")+(94&lt;=Personnel!$K$9:$K$100)&gt;0)*Personnel!$D$9:$D$100*(1-Personnel!$I$9:$I$100))))*Escalation!$B$95,Actuals!CU99)</f>
        <v/>
      </c>
      <c r="CU189" s="401">
        <f>IF(ISBLANK(Actuals!CV99),(-(SUMPRODUCT((Personnel!$O$9:$O$100="SP-Prof")*(Personnel!$G$9:$G$100="Yes")*(95&gt;=Personnel!$E$9:$E$100)*((Personnel!$K$9:$K$100="")+(95&lt;=Personnel!$K$9:$K$100)&gt;0)*Personnel!$D$9:$D$100*(1-Personnel!$I$9:$I$100))))*Escalation!$B$96,Actuals!CV99)</f>
        <v/>
      </c>
      <c r="CV189" s="401">
        <f>IF(ISBLANK(Actuals!CW99),(-(SUMPRODUCT((Personnel!$O$9:$O$100="SP-Prof")*(Personnel!$G$9:$G$100="Yes")*(96&gt;=Personnel!$E$9:$E$100)*((Personnel!$K$9:$K$100="")+(96&lt;=Personnel!$K$9:$K$100)&gt;0)*Personnel!$D$9:$D$100*(1-Personnel!$I$9:$I$100))))*Escalation!$B$97,Actuals!CW99)</f>
        <v/>
      </c>
      <c r="CW189" s="401">
        <f>IF(ISBLANK(Actuals!CX99),(-(SUMPRODUCT((Personnel!$O$9:$O$100="SP-Prof")*(Personnel!$G$9:$G$100="Yes")*(97&gt;=Personnel!$E$9:$E$100)*((Personnel!$K$9:$K$100="")+(97&lt;=Personnel!$K$9:$K$100)&gt;0)*Personnel!$D$9:$D$100*(1-Personnel!$I$9:$I$100))))*Escalation!$B$98,Actuals!CX99)</f>
        <v/>
      </c>
      <c r="CX189" s="401">
        <f>IF(ISBLANK(Actuals!CY99),(-(SUMPRODUCT((Personnel!$O$9:$O$100="SP-Prof")*(Personnel!$G$9:$G$100="Yes")*(98&gt;=Personnel!$E$9:$E$100)*((Personnel!$K$9:$K$100="")+(98&lt;=Personnel!$K$9:$K$100)&gt;0)*Personnel!$D$9:$D$100*(1-Personnel!$I$9:$I$100))))*Escalation!$B$99,Actuals!CY99)</f>
        <v/>
      </c>
      <c r="CY189" s="401">
        <f>IF(ISBLANK(Actuals!CZ99),(-(SUMPRODUCT((Personnel!$O$9:$O$100="SP-Prof")*(Personnel!$G$9:$G$100="Yes")*(99&gt;=Personnel!$E$9:$E$100)*((Personnel!$K$9:$K$100="")+(99&lt;=Personnel!$K$9:$K$100)&gt;0)*Personnel!$D$9:$D$100*(1-Personnel!$I$9:$I$100))))*Escalation!$B$100,Actuals!CZ99)</f>
        <v/>
      </c>
      <c r="CZ189" s="401">
        <f>IF(ISBLANK(Actuals!DA99),(-(SUMPRODUCT((Personnel!$O$9:$O$100="SP-Prof")*(Personnel!$G$9:$G$100="Yes")*(100&gt;=Personnel!$E$9:$E$100)*((Personnel!$K$9:$K$100="")+(100&lt;=Personnel!$K$9:$K$100)&gt;0)*Personnel!$D$9:$D$100*(1-Personnel!$I$9:$I$100))))*Escalation!$B$101,Actuals!DA99)</f>
        <v/>
      </c>
      <c r="DA189" s="401">
        <f>IF(ISBLANK(Actuals!DB99),(-(SUMPRODUCT((Personnel!$O$9:$O$100="SP-Prof")*(Personnel!$G$9:$G$100="Yes")*(101&gt;=Personnel!$E$9:$E$100)*((Personnel!$K$9:$K$100="")+(101&lt;=Personnel!$K$9:$K$100)&gt;0)*Personnel!$D$9:$D$100*(1-Personnel!$I$9:$I$100))))*Escalation!$B$102,Actuals!DB99)</f>
        <v/>
      </c>
      <c r="DB189" s="401">
        <f>IF(ISBLANK(Actuals!DC99),(-(SUMPRODUCT((Personnel!$O$9:$O$100="SP-Prof")*(Personnel!$G$9:$G$100="Yes")*(102&gt;=Personnel!$E$9:$E$100)*((Personnel!$K$9:$K$100="")+(102&lt;=Personnel!$K$9:$K$100)&gt;0)*Personnel!$D$9:$D$100*(1-Personnel!$I$9:$I$100))))*Escalation!$B$103,Actuals!DC99)</f>
        <v/>
      </c>
      <c r="DC189" s="401">
        <f>IF(ISBLANK(Actuals!DD99),(-(SUMPRODUCT((Personnel!$O$9:$O$100="SP-Prof")*(Personnel!$G$9:$G$100="Yes")*(103&gt;=Personnel!$E$9:$E$100)*((Personnel!$K$9:$K$100="")+(103&lt;=Personnel!$K$9:$K$100)&gt;0)*Personnel!$D$9:$D$100*(1-Personnel!$I$9:$I$100))))*Escalation!$B$104,Actuals!DD99)</f>
        <v/>
      </c>
      <c r="DD189" s="401">
        <f>IF(ISBLANK(Actuals!DE99),(-(SUMPRODUCT((Personnel!$O$9:$O$100="SP-Prof")*(Personnel!$G$9:$G$100="Yes")*(104&gt;=Personnel!$E$9:$E$100)*((Personnel!$K$9:$K$100="")+(104&lt;=Personnel!$K$9:$K$100)&gt;0)*Personnel!$D$9:$D$100*(1-Personnel!$I$9:$I$100))))*Escalation!$B$105,Actuals!DE99)</f>
        <v/>
      </c>
      <c r="DE189" s="401">
        <f>IF(ISBLANK(Actuals!DF99),(-(SUMPRODUCT((Personnel!$O$9:$O$100="SP-Prof")*(Personnel!$G$9:$G$100="Yes")*(105&gt;=Personnel!$E$9:$E$100)*((Personnel!$K$9:$K$100="")+(105&lt;=Personnel!$K$9:$K$100)&gt;0)*Personnel!$D$9:$D$100*(1-Personnel!$I$9:$I$100))))*Escalation!$B$106,Actuals!DF99)</f>
        <v/>
      </c>
    </row>
    <row r="190" ht="15" customFormat="1" customHeight="1" s="380">
      <c r="A190" s="415" t="inlineStr">
        <is>
          <t>5500-1007 Dues and Subscriptions</t>
        </is>
      </c>
      <c r="B190" s="401">
        <f>IF(ISBLANK(Actuals!C100),0,Actuals!C100)</f>
        <v/>
      </c>
      <c r="C190" s="401">
        <f>IF(ISBLANK(Actuals!D100),0,Actuals!D100)</f>
        <v/>
      </c>
      <c r="D190" s="401">
        <f>IF(ISBLANK(Actuals!E100),0,Actuals!E100)</f>
        <v/>
      </c>
      <c r="E190" s="401">
        <f>IF(ISBLANK(Actuals!F100),-1586.17*Escalation!$B$2,Actuals!F100)</f>
        <v/>
      </c>
      <c r="F190" s="401">
        <f>IF(ISBLANK(Actuals!G100),-1586.17*Escalation!$B$3,Actuals!G100)</f>
        <v/>
      </c>
      <c r="G190" s="401">
        <f>IF(ISBLANK(Actuals!H100),-1586.17*Escalation!$B$4,Actuals!H100)</f>
        <v/>
      </c>
      <c r="H190" s="401">
        <f>IF(ISBLANK(Actuals!I100),-1586.17*Escalation!$B$5,Actuals!I100)</f>
        <v/>
      </c>
      <c r="I190" s="401">
        <f>IF(ISBLANK(Actuals!J100),-1586.17*Escalation!$B$6,Actuals!J100)</f>
        <v/>
      </c>
      <c r="J190" s="401">
        <f>IF(ISBLANK(Actuals!K100),-1586.17*Escalation!$B$7,Actuals!K100)</f>
        <v/>
      </c>
      <c r="K190" s="401">
        <f>IF(ISBLANK(Actuals!L100),-1586.17*Escalation!$B$8,Actuals!L100)</f>
        <v/>
      </c>
      <c r="L190" s="401">
        <f>IF(ISBLANK(Actuals!M100),-1586.17*Escalation!$B$9,Actuals!M100)</f>
        <v/>
      </c>
      <c r="M190" s="401">
        <f>IF(ISBLANK(Actuals!N100),-1586.17*Escalation!$B$10,Actuals!N100)</f>
        <v/>
      </c>
      <c r="N190" s="401">
        <f>IF(ISBLANK(Actuals!O100),-1586.17*Escalation!$B$11,Actuals!O100)</f>
        <v/>
      </c>
      <c r="O190" s="401">
        <f>IF(ISBLANK(Actuals!P100),-1586.17*Escalation!$B$12,Actuals!P100)</f>
        <v/>
      </c>
      <c r="P190" s="401">
        <f>IF(ISBLANK(Actuals!Q100),-1586.17*Escalation!$B$13,Actuals!Q100)</f>
        <v/>
      </c>
      <c r="Q190" s="401">
        <f>IF(ISBLANK(Actuals!R100),-1586.17*Escalation!$B$14,Actuals!R100)</f>
        <v/>
      </c>
      <c r="R190" s="401">
        <f>IF(ISBLANK(Actuals!S100),-1586.17*Escalation!$B$15,Actuals!S100)</f>
        <v/>
      </c>
      <c r="S190" s="401">
        <f>IF(ISBLANK(Actuals!T100),-1586.17*Escalation!$B$16,Actuals!T100)</f>
        <v/>
      </c>
      <c r="T190" s="401">
        <f>IF(ISBLANK(Actuals!U100),-1586.17*Escalation!$B$17,Actuals!U100)</f>
        <v/>
      </c>
      <c r="U190" s="401">
        <f>IF(ISBLANK(Actuals!V100),-1586.17*Escalation!$B$18,Actuals!V100)</f>
        <v/>
      </c>
      <c r="V190" s="401">
        <f>IF(ISBLANK(Actuals!W100),-1586.17*Escalation!$B$19,Actuals!W100)</f>
        <v/>
      </c>
      <c r="W190" s="401">
        <f>IF(ISBLANK(Actuals!X100),-1586.17*Escalation!$B$20,Actuals!X100)</f>
        <v/>
      </c>
      <c r="X190" s="401">
        <f>IF(ISBLANK(Actuals!Y100),-1586.17*Escalation!$B$21,Actuals!Y100)</f>
        <v/>
      </c>
      <c r="Y190" s="401">
        <f>IF(ISBLANK(Actuals!Z100),-1586.17*Escalation!$B$22,Actuals!Z100)</f>
        <v/>
      </c>
      <c r="Z190" s="401">
        <f>IF(ISBLANK(Actuals!AA100),-1586.17*Escalation!$B$23,Actuals!AA100)</f>
        <v/>
      </c>
      <c r="AA190" s="401">
        <f>IF(ISBLANK(Actuals!AB100),-1586.17*Escalation!$B$24,Actuals!AB100)</f>
        <v/>
      </c>
      <c r="AB190" s="401">
        <f>IF(ISBLANK(Actuals!AC100),-1586.17*Escalation!$B$25,Actuals!AC100)</f>
        <v/>
      </c>
      <c r="AC190" s="401">
        <f>IF(ISBLANK(Actuals!AD100),-1586.17*Escalation!$B$26,Actuals!AD100)</f>
        <v/>
      </c>
      <c r="AD190" s="401">
        <f>IF(ISBLANK(Actuals!AE100),-1586.17*Escalation!$B$27,Actuals!AE100)</f>
        <v/>
      </c>
      <c r="AE190" s="401">
        <f>IF(ISBLANK(Actuals!AF100),-1586.17*Escalation!$B$28,Actuals!AF100)</f>
        <v/>
      </c>
      <c r="AF190" s="401">
        <f>IF(ISBLANK(Actuals!AG100),-1586.17*Escalation!$B$29,Actuals!AG100)</f>
        <v/>
      </c>
      <c r="AG190" s="401">
        <f>IF(ISBLANK(Actuals!AH100),-1586.17*Escalation!$B$30,Actuals!AH100)</f>
        <v/>
      </c>
      <c r="AH190" s="401">
        <f>IF(ISBLANK(Actuals!AI100),-1586.17*Escalation!$B$31,Actuals!AI100)</f>
        <v/>
      </c>
      <c r="AI190" s="401">
        <f>IF(ISBLANK(Actuals!AJ100),-1586.17*Escalation!$B$32,Actuals!AJ100)</f>
        <v/>
      </c>
      <c r="AJ190" s="401">
        <f>IF(ISBLANK(Actuals!AK100),-1586.17*Escalation!$B$33,Actuals!AK100)</f>
        <v/>
      </c>
      <c r="AK190" s="401">
        <f>IF(ISBLANK(Actuals!AL100),-1586.17*Escalation!$B$34,Actuals!AL100)</f>
        <v/>
      </c>
      <c r="AL190" s="401">
        <f>IF(ISBLANK(Actuals!AM100),-1586.17*Escalation!$B$35,Actuals!AM100)</f>
        <v/>
      </c>
      <c r="AM190" s="401">
        <f>IF(ISBLANK(Actuals!AN100),-1586.17*Escalation!$B$36,Actuals!AN100)</f>
        <v/>
      </c>
      <c r="AN190" s="401">
        <f>IF(ISBLANK(Actuals!AO100),-1586.17*Escalation!$B$37,Actuals!AO100)</f>
        <v/>
      </c>
      <c r="AO190" s="401">
        <f>IF(ISBLANK(Actuals!AP100),-1586.17*Escalation!$B$38,Actuals!AP100)</f>
        <v/>
      </c>
      <c r="AP190" s="401">
        <f>IF(ISBLANK(Actuals!AQ100),-1586.17*Escalation!$B$39,Actuals!AQ100)</f>
        <v/>
      </c>
      <c r="AQ190" s="401">
        <f>IF(ISBLANK(Actuals!AR100),-1586.17*Escalation!$B$40,Actuals!AR100)</f>
        <v/>
      </c>
      <c r="AR190" s="401">
        <f>IF(ISBLANK(Actuals!AS100),-1586.17*Escalation!$B$41,Actuals!AS100)</f>
        <v/>
      </c>
      <c r="AS190" s="401">
        <f>IF(ISBLANK(Actuals!AT100),-1586.17*Escalation!$B$42,Actuals!AT100)</f>
        <v/>
      </c>
      <c r="AT190" s="401">
        <f>IF(ISBLANK(Actuals!AU100),-1586.17*Escalation!$B$43,Actuals!AU100)</f>
        <v/>
      </c>
      <c r="AU190" s="401">
        <f>IF(ISBLANK(Actuals!AV100),-1586.17*Escalation!$B$44,Actuals!AV100)</f>
        <v/>
      </c>
      <c r="AV190" s="401">
        <f>IF(ISBLANK(Actuals!AW100),-1586.17*Escalation!$B$45,Actuals!AW100)</f>
        <v/>
      </c>
      <c r="AW190" s="401">
        <f>IF(ISBLANK(Actuals!AX100),-1586.17*Escalation!$B$46,Actuals!AX100)</f>
        <v/>
      </c>
      <c r="AX190" s="401">
        <f>IF(ISBLANK(Actuals!AY100),-1586.17*Escalation!$B$47,Actuals!AY100)</f>
        <v/>
      </c>
      <c r="AY190" s="401">
        <f>IF(ISBLANK(Actuals!AZ100),-1586.17*Escalation!$B$48,Actuals!AZ100)</f>
        <v/>
      </c>
      <c r="AZ190" s="401">
        <f>IF(ISBLANK(Actuals!BA100),-1586.17*Escalation!$B$49,Actuals!BA100)</f>
        <v/>
      </c>
      <c r="BA190" s="401">
        <f>IF(ISBLANK(Actuals!BB100),-1586.17*Escalation!$B$50,Actuals!BB100)</f>
        <v/>
      </c>
      <c r="BB190" s="401">
        <f>IF(ISBLANK(Actuals!BC100),-1586.17*Escalation!$B$51,Actuals!BC100)</f>
        <v/>
      </c>
      <c r="BC190" s="401">
        <f>IF(ISBLANK(Actuals!BD100),-1586.17*Escalation!$B$52,Actuals!BD100)</f>
        <v/>
      </c>
      <c r="BD190" s="401">
        <f>IF(ISBLANK(Actuals!BE100),-1586.17*Escalation!$B$53,Actuals!BE100)</f>
        <v/>
      </c>
      <c r="BE190" s="401">
        <f>IF(ISBLANK(Actuals!BF100),-1586.17*Escalation!$B$54,Actuals!BF100)</f>
        <v/>
      </c>
      <c r="BF190" s="401">
        <f>IF(ISBLANK(Actuals!BG100),-1586.17*Escalation!$B$55,Actuals!BG100)</f>
        <v/>
      </c>
      <c r="BG190" s="401">
        <f>IF(ISBLANK(Actuals!BH100),-1586.17*Escalation!$B$56,Actuals!BH100)</f>
        <v/>
      </c>
      <c r="BH190" s="401">
        <f>IF(ISBLANK(Actuals!BI100),-1586.17*Escalation!$B$57,Actuals!BI100)</f>
        <v/>
      </c>
      <c r="BI190" s="401">
        <f>IF(ISBLANK(Actuals!BJ100),-1586.17*Escalation!$B$58,Actuals!BJ100)</f>
        <v/>
      </c>
      <c r="BJ190" s="401">
        <f>IF(ISBLANK(Actuals!BK100),-1586.17*Escalation!$B$59,Actuals!BK100)</f>
        <v/>
      </c>
      <c r="BK190" s="401">
        <f>IF(ISBLANK(Actuals!BL100),-1586.17*Escalation!$B$60,Actuals!BL100)</f>
        <v/>
      </c>
      <c r="BL190" s="401">
        <f>IF(ISBLANK(Actuals!BM100),-1586.17*Escalation!$B$61,Actuals!BM100)</f>
        <v/>
      </c>
      <c r="BM190" s="401">
        <f>IF(ISBLANK(Actuals!BN100),-1586.17*Escalation!$B$62,Actuals!BN100)</f>
        <v/>
      </c>
      <c r="BN190" s="401">
        <f>IF(ISBLANK(Actuals!BO100),-1586.17*Escalation!$B$63,Actuals!BO100)</f>
        <v/>
      </c>
      <c r="BO190" s="401">
        <f>IF(ISBLANK(Actuals!BP100),-1586.17*Escalation!$B$64,Actuals!BP100)</f>
        <v/>
      </c>
      <c r="BP190" s="401">
        <f>IF(ISBLANK(Actuals!BQ100),-1586.17*Escalation!$B$65,Actuals!BQ100)</f>
        <v/>
      </c>
      <c r="BQ190" s="401">
        <f>IF(ISBLANK(Actuals!BR100),-1586.17*Escalation!$B$66,Actuals!BR100)</f>
        <v/>
      </c>
      <c r="BR190" s="401">
        <f>IF(ISBLANK(Actuals!BS100),-1586.17*Escalation!$B$67,Actuals!BS100)</f>
        <v/>
      </c>
      <c r="BS190" s="401">
        <f>IF(ISBLANK(Actuals!BT100),-1586.17*Escalation!$B$68,Actuals!BT100)</f>
        <v/>
      </c>
      <c r="BT190" s="401">
        <f>IF(ISBLANK(Actuals!BU100),-1586.17*Escalation!$B$69,Actuals!BU100)</f>
        <v/>
      </c>
      <c r="BU190" s="401">
        <f>IF(ISBLANK(Actuals!BV100),-1586.17*Escalation!$B$70,Actuals!BV100)</f>
        <v/>
      </c>
      <c r="BV190" s="401">
        <f>IF(ISBLANK(Actuals!BW100),-1586.17*Escalation!$B$71,Actuals!BW100)</f>
        <v/>
      </c>
      <c r="BW190" s="401">
        <f>IF(ISBLANK(Actuals!BX100),-1586.17*Escalation!$B$72,Actuals!BX100)</f>
        <v/>
      </c>
      <c r="BX190" s="401">
        <f>IF(ISBLANK(Actuals!BY100),-1586.17*Escalation!$B$73,Actuals!BY100)</f>
        <v/>
      </c>
      <c r="BY190" s="401">
        <f>IF(ISBLANK(Actuals!BZ100),-1586.17*Escalation!$B$74,Actuals!BZ100)</f>
        <v/>
      </c>
      <c r="BZ190" s="401">
        <f>IF(ISBLANK(Actuals!CA100),-1586.17*Escalation!$B$75,Actuals!CA100)</f>
        <v/>
      </c>
      <c r="CA190" s="401">
        <f>IF(ISBLANK(Actuals!CB100),-1586.17*Escalation!$B$76,Actuals!CB100)</f>
        <v/>
      </c>
      <c r="CB190" s="401">
        <f>IF(ISBLANK(Actuals!CC100),-1586.17*Escalation!$B$77,Actuals!CC100)</f>
        <v/>
      </c>
      <c r="CC190" s="401">
        <f>IF(ISBLANK(Actuals!CD100),-1586.17*Escalation!$B$78,Actuals!CD100)</f>
        <v/>
      </c>
      <c r="CD190" s="401">
        <f>IF(ISBLANK(Actuals!CE100),-1586.17*Escalation!$B$79,Actuals!CE100)</f>
        <v/>
      </c>
      <c r="CE190" s="401">
        <f>IF(ISBLANK(Actuals!CF100),-1586.17*Escalation!$B$80,Actuals!CF100)</f>
        <v/>
      </c>
      <c r="CF190" s="401">
        <f>IF(ISBLANK(Actuals!CG100),-1586.17*Escalation!$B$81,Actuals!CG100)</f>
        <v/>
      </c>
      <c r="CG190" s="401">
        <f>IF(ISBLANK(Actuals!CH100),-1586.17*Escalation!$B$82,Actuals!CH100)</f>
        <v/>
      </c>
      <c r="CH190" s="401">
        <f>IF(ISBLANK(Actuals!CI100),-1586.17*Escalation!$B$83,Actuals!CI100)</f>
        <v/>
      </c>
      <c r="CI190" s="401">
        <f>IF(ISBLANK(Actuals!CJ100),-1586.17*Escalation!$B$84,Actuals!CJ100)</f>
        <v/>
      </c>
      <c r="CJ190" s="401">
        <f>IF(ISBLANK(Actuals!CK100),-1586.17*Escalation!$B$85,Actuals!CK100)</f>
        <v/>
      </c>
      <c r="CK190" s="401">
        <f>IF(ISBLANK(Actuals!CL100),-1586.17*Escalation!$B$86,Actuals!CL100)</f>
        <v/>
      </c>
      <c r="CL190" s="401">
        <f>IF(ISBLANK(Actuals!CM100),-1586.17*Escalation!$B$87,Actuals!CM100)</f>
        <v/>
      </c>
      <c r="CM190" s="401">
        <f>IF(ISBLANK(Actuals!CN100),-1586.17*Escalation!$B$88,Actuals!CN100)</f>
        <v/>
      </c>
      <c r="CN190" s="401">
        <f>IF(ISBLANK(Actuals!CO100),-1586.17*Escalation!$B$89,Actuals!CO100)</f>
        <v/>
      </c>
      <c r="CO190" s="401">
        <f>IF(ISBLANK(Actuals!CP100),-1586.17*Escalation!$B$90,Actuals!CP100)</f>
        <v/>
      </c>
      <c r="CP190" s="401">
        <f>IF(ISBLANK(Actuals!CQ100),-1586.17*Escalation!$B$91,Actuals!CQ100)</f>
        <v/>
      </c>
      <c r="CQ190" s="401">
        <f>IF(ISBLANK(Actuals!CR100),-1586.17*Escalation!$B$92,Actuals!CR100)</f>
        <v/>
      </c>
      <c r="CR190" s="401">
        <f>IF(ISBLANK(Actuals!CS100),-1586.17*Escalation!$B$93,Actuals!CS100)</f>
        <v/>
      </c>
      <c r="CS190" s="401">
        <f>IF(ISBLANK(Actuals!CT100),-1586.17*Escalation!$B$94,Actuals!CT100)</f>
        <v/>
      </c>
      <c r="CT190" s="401">
        <f>IF(ISBLANK(Actuals!CU100),-1586.17*Escalation!$B$95,Actuals!CU100)</f>
        <v/>
      </c>
      <c r="CU190" s="401">
        <f>IF(ISBLANK(Actuals!CV100),-1586.17*Escalation!$B$96,Actuals!CV100)</f>
        <v/>
      </c>
      <c r="CV190" s="401">
        <f>IF(ISBLANK(Actuals!CW100),-1586.17*Escalation!$B$97,Actuals!CW100)</f>
        <v/>
      </c>
      <c r="CW190" s="401">
        <f>IF(ISBLANK(Actuals!CX100),-1586.17*Escalation!$B$98,Actuals!CX100)</f>
        <v/>
      </c>
      <c r="CX190" s="401">
        <f>IF(ISBLANK(Actuals!CY100),-1586.17*Escalation!$B$99,Actuals!CY100)</f>
        <v/>
      </c>
      <c r="CY190" s="401">
        <f>IF(ISBLANK(Actuals!CZ100),-1586.17*Escalation!$B$100,Actuals!CZ100)</f>
        <v/>
      </c>
      <c r="CZ190" s="401">
        <f>IF(ISBLANK(Actuals!DA100),-1586.17*Escalation!$B$101,Actuals!DA100)</f>
        <v/>
      </c>
      <c r="DA190" s="401">
        <f>IF(ISBLANK(Actuals!DB100),-1586.17*Escalation!$B$102,Actuals!DB100)</f>
        <v/>
      </c>
      <c r="DB190" s="401">
        <f>IF(ISBLANK(Actuals!DC100),-1586.17*Escalation!$B$103,Actuals!DC100)</f>
        <v/>
      </c>
      <c r="DC190" s="401">
        <f>IF(ISBLANK(Actuals!DD100),-1586.17*Escalation!$B$104,Actuals!DD100)</f>
        <v/>
      </c>
      <c r="DD190" s="401">
        <f>IF(ISBLANK(Actuals!DE100),-1586.17*Escalation!$B$105,Actuals!DE100)</f>
        <v/>
      </c>
      <c r="DE190" s="401">
        <f>IF(ISBLANK(Actuals!DF100),-1586.17*Escalation!$B$106,Actuals!DF100)</f>
        <v/>
      </c>
    </row>
    <row r="191" ht="15" customFormat="1" customHeight="1" s="380">
      <c r="A191" s="415" t="inlineStr">
        <is>
          <t>5500-1009 Entity Filing and Formation Fees</t>
        </is>
      </c>
      <c r="B191" s="401">
        <f>IF(ISBLANK(Actuals!C101),0,Actuals!C101)</f>
        <v/>
      </c>
      <c r="C191" s="401">
        <f>IF(ISBLANK(Actuals!D101),0,Actuals!D101)</f>
        <v/>
      </c>
      <c r="D191" s="401">
        <f>IF(ISBLANK(Actuals!E101),0,Actuals!E101)</f>
        <v/>
      </c>
      <c r="E191" s="401">
        <f>IF(ISBLANK(Actuals!F101),-5442.19*Escalation!$B$2,Actuals!F101)</f>
        <v/>
      </c>
      <c r="F191" s="401">
        <f>IF(ISBLANK(Actuals!G101),-5442.19*Escalation!$B$3,Actuals!G101)</f>
        <v/>
      </c>
      <c r="G191" s="401">
        <f>IF(ISBLANK(Actuals!H101),-5442.19*Escalation!$B$4,Actuals!H101)</f>
        <v/>
      </c>
      <c r="H191" s="401">
        <f>IF(ISBLANK(Actuals!I101),-5442.19*Escalation!$B$5,Actuals!I101)</f>
        <v/>
      </c>
      <c r="I191" s="401">
        <f>IF(ISBLANK(Actuals!J101),-5442.19*Escalation!$B$6,Actuals!J101)</f>
        <v/>
      </c>
      <c r="J191" s="401">
        <f>IF(ISBLANK(Actuals!K101),-5442.19*Escalation!$B$7,Actuals!K101)</f>
        <v/>
      </c>
      <c r="K191" s="401">
        <f>IF(ISBLANK(Actuals!L101),-5442.19*Escalation!$B$8,Actuals!L101)</f>
        <v/>
      </c>
      <c r="L191" s="401">
        <f>IF(ISBLANK(Actuals!M101),-5442.19*Escalation!$B$9,Actuals!M101)</f>
        <v/>
      </c>
      <c r="M191" s="401">
        <f>IF(ISBLANK(Actuals!N101),-5442.19*Escalation!$B$10,Actuals!N101)</f>
        <v/>
      </c>
      <c r="N191" s="401">
        <f>IF(ISBLANK(Actuals!O101),-5442.19*Escalation!$B$11,Actuals!O101)</f>
        <v/>
      </c>
      <c r="O191" s="401">
        <f>IF(ISBLANK(Actuals!P101),-5442.19*Escalation!$B$12,Actuals!P101)</f>
        <v/>
      </c>
      <c r="P191" s="401">
        <f>IF(ISBLANK(Actuals!Q101),-5442.19*Escalation!$B$13,Actuals!Q101)</f>
        <v/>
      </c>
      <c r="Q191" s="401">
        <f>IF(ISBLANK(Actuals!R101),-5442.19*Escalation!$B$14,Actuals!R101)</f>
        <v/>
      </c>
      <c r="R191" s="401">
        <f>IF(ISBLANK(Actuals!S101),-5442.19*Escalation!$B$15,Actuals!S101)</f>
        <v/>
      </c>
      <c r="S191" s="401">
        <f>IF(ISBLANK(Actuals!T101),-5442.19*Escalation!$B$16,Actuals!T101)</f>
        <v/>
      </c>
      <c r="T191" s="401">
        <f>IF(ISBLANK(Actuals!U101),-5442.19*Escalation!$B$17,Actuals!U101)</f>
        <v/>
      </c>
      <c r="U191" s="401">
        <f>IF(ISBLANK(Actuals!V101),-5442.19*Escalation!$B$18,Actuals!V101)</f>
        <v/>
      </c>
      <c r="V191" s="401">
        <f>IF(ISBLANK(Actuals!W101),-5442.19*Escalation!$B$19,Actuals!W101)</f>
        <v/>
      </c>
      <c r="W191" s="401">
        <f>IF(ISBLANK(Actuals!X101),-5442.19*Escalation!$B$20,Actuals!X101)</f>
        <v/>
      </c>
      <c r="X191" s="401">
        <f>IF(ISBLANK(Actuals!Y101),-5442.19*Escalation!$B$21,Actuals!Y101)</f>
        <v/>
      </c>
      <c r="Y191" s="401">
        <f>IF(ISBLANK(Actuals!Z101),-5442.19*Escalation!$B$22,Actuals!Z101)</f>
        <v/>
      </c>
      <c r="Z191" s="401">
        <f>IF(ISBLANK(Actuals!AA101),-5442.19*Escalation!$B$23,Actuals!AA101)</f>
        <v/>
      </c>
      <c r="AA191" s="401">
        <f>IF(ISBLANK(Actuals!AB101),-5442.19*Escalation!$B$24,Actuals!AB101)</f>
        <v/>
      </c>
      <c r="AB191" s="401">
        <f>IF(ISBLANK(Actuals!AC101),-5442.19*Escalation!$B$25,Actuals!AC101)</f>
        <v/>
      </c>
      <c r="AC191" s="401">
        <f>IF(ISBLANK(Actuals!AD101),-5442.19*Escalation!$B$26,Actuals!AD101)</f>
        <v/>
      </c>
      <c r="AD191" s="401">
        <f>IF(ISBLANK(Actuals!AE101),-5442.19*Escalation!$B$27,Actuals!AE101)</f>
        <v/>
      </c>
      <c r="AE191" s="401">
        <f>IF(ISBLANK(Actuals!AF101),-5442.19*Escalation!$B$28,Actuals!AF101)</f>
        <v/>
      </c>
      <c r="AF191" s="401">
        <f>IF(ISBLANK(Actuals!AG101),-5442.19*Escalation!$B$29,Actuals!AG101)</f>
        <v/>
      </c>
      <c r="AG191" s="401">
        <f>IF(ISBLANK(Actuals!AH101),-5442.19*Escalation!$B$30,Actuals!AH101)</f>
        <v/>
      </c>
      <c r="AH191" s="401">
        <f>IF(ISBLANK(Actuals!AI101),-5442.19*Escalation!$B$31,Actuals!AI101)</f>
        <v/>
      </c>
      <c r="AI191" s="401">
        <f>IF(ISBLANK(Actuals!AJ101),-5442.19*Escalation!$B$32,Actuals!AJ101)</f>
        <v/>
      </c>
      <c r="AJ191" s="401">
        <f>IF(ISBLANK(Actuals!AK101),-5442.19*Escalation!$B$33,Actuals!AK101)</f>
        <v/>
      </c>
      <c r="AK191" s="401">
        <f>IF(ISBLANK(Actuals!AL101),-5442.19*Escalation!$B$34,Actuals!AL101)</f>
        <v/>
      </c>
      <c r="AL191" s="401">
        <f>IF(ISBLANK(Actuals!AM101),-5442.19*Escalation!$B$35,Actuals!AM101)</f>
        <v/>
      </c>
      <c r="AM191" s="401">
        <f>IF(ISBLANK(Actuals!AN101),-5442.19*Escalation!$B$36,Actuals!AN101)</f>
        <v/>
      </c>
      <c r="AN191" s="401">
        <f>IF(ISBLANK(Actuals!AO101),-5442.19*Escalation!$B$37,Actuals!AO101)</f>
        <v/>
      </c>
      <c r="AO191" s="401">
        <f>IF(ISBLANK(Actuals!AP101),-5442.19*Escalation!$B$38,Actuals!AP101)</f>
        <v/>
      </c>
      <c r="AP191" s="401">
        <f>IF(ISBLANK(Actuals!AQ101),-5442.19*Escalation!$B$39,Actuals!AQ101)</f>
        <v/>
      </c>
      <c r="AQ191" s="401">
        <f>IF(ISBLANK(Actuals!AR101),-5442.19*Escalation!$B$40,Actuals!AR101)</f>
        <v/>
      </c>
      <c r="AR191" s="401">
        <f>IF(ISBLANK(Actuals!AS101),-5442.19*Escalation!$B$41,Actuals!AS101)</f>
        <v/>
      </c>
      <c r="AS191" s="401">
        <f>IF(ISBLANK(Actuals!AT101),-5442.19*Escalation!$B$42,Actuals!AT101)</f>
        <v/>
      </c>
      <c r="AT191" s="401">
        <f>IF(ISBLANK(Actuals!AU101),-5442.19*Escalation!$B$43,Actuals!AU101)</f>
        <v/>
      </c>
      <c r="AU191" s="401">
        <f>IF(ISBLANK(Actuals!AV101),-5442.19*Escalation!$B$44,Actuals!AV101)</f>
        <v/>
      </c>
      <c r="AV191" s="401">
        <f>IF(ISBLANK(Actuals!AW101),-5442.19*Escalation!$B$45,Actuals!AW101)</f>
        <v/>
      </c>
      <c r="AW191" s="401">
        <f>IF(ISBLANK(Actuals!AX101),-5442.19*Escalation!$B$46,Actuals!AX101)</f>
        <v/>
      </c>
      <c r="AX191" s="401">
        <f>IF(ISBLANK(Actuals!AY101),-5442.19*Escalation!$B$47,Actuals!AY101)</f>
        <v/>
      </c>
      <c r="AY191" s="401">
        <f>IF(ISBLANK(Actuals!AZ101),-5442.19*Escalation!$B$48,Actuals!AZ101)</f>
        <v/>
      </c>
      <c r="AZ191" s="401">
        <f>IF(ISBLANK(Actuals!BA101),-5442.19*Escalation!$B$49,Actuals!BA101)</f>
        <v/>
      </c>
      <c r="BA191" s="401">
        <f>IF(ISBLANK(Actuals!BB101),-5442.19*Escalation!$B$50,Actuals!BB101)</f>
        <v/>
      </c>
      <c r="BB191" s="401">
        <f>IF(ISBLANK(Actuals!BC101),-5442.19*Escalation!$B$51,Actuals!BC101)</f>
        <v/>
      </c>
      <c r="BC191" s="401">
        <f>IF(ISBLANK(Actuals!BD101),-5442.19*Escalation!$B$52,Actuals!BD101)</f>
        <v/>
      </c>
      <c r="BD191" s="401">
        <f>IF(ISBLANK(Actuals!BE101),-5442.19*Escalation!$B$53,Actuals!BE101)</f>
        <v/>
      </c>
      <c r="BE191" s="401">
        <f>IF(ISBLANK(Actuals!BF101),-5442.19*Escalation!$B$54,Actuals!BF101)</f>
        <v/>
      </c>
      <c r="BF191" s="401">
        <f>IF(ISBLANK(Actuals!BG101),-5442.19*Escalation!$B$55,Actuals!BG101)</f>
        <v/>
      </c>
      <c r="BG191" s="401">
        <f>IF(ISBLANK(Actuals!BH101),-5442.19*Escalation!$B$56,Actuals!BH101)</f>
        <v/>
      </c>
      <c r="BH191" s="401">
        <f>IF(ISBLANK(Actuals!BI101),-5442.19*Escalation!$B$57,Actuals!BI101)</f>
        <v/>
      </c>
      <c r="BI191" s="401">
        <f>IF(ISBLANK(Actuals!BJ101),-5442.19*Escalation!$B$58,Actuals!BJ101)</f>
        <v/>
      </c>
      <c r="BJ191" s="401">
        <f>IF(ISBLANK(Actuals!BK101),-5442.19*Escalation!$B$59,Actuals!BK101)</f>
        <v/>
      </c>
      <c r="BK191" s="401">
        <f>IF(ISBLANK(Actuals!BL101),-5442.19*Escalation!$B$60,Actuals!BL101)</f>
        <v/>
      </c>
      <c r="BL191" s="401">
        <f>IF(ISBLANK(Actuals!BM101),-5442.19*Escalation!$B$61,Actuals!BM101)</f>
        <v/>
      </c>
      <c r="BM191" s="401">
        <f>IF(ISBLANK(Actuals!BN101),-5442.19*Escalation!$B$62,Actuals!BN101)</f>
        <v/>
      </c>
      <c r="BN191" s="401">
        <f>IF(ISBLANK(Actuals!BO101),-5442.19*Escalation!$B$63,Actuals!BO101)</f>
        <v/>
      </c>
      <c r="BO191" s="401">
        <f>IF(ISBLANK(Actuals!BP101),-5442.19*Escalation!$B$64,Actuals!BP101)</f>
        <v/>
      </c>
      <c r="BP191" s="401">
        <f>IF(ISBLANK(Actuals!BQ101),-5442.19*Escalation!$B$65,Actuals!BQ101)</f>
        <v/>
      </c>
      <c r="BQ191" s="401">
        <f>IF(ISBLANK(Actuals!BR101),-5442.19*Escalation!$B$66,Actuals!BR101)</f>
        <v/>
      </c>
      <c r="BR191" s="401">
        <f>IF(ISBLANK(Actuals!BS101),-5442.19*Escalation!$B$67,Actuals!BS101)</f>
        <v/>
      </c>
      <c r="BS191" s="401">
        <f>IF(ISBLANK(Actuals!BT101),-5442.19*Escalation!$B$68,Actuals!BT101)</f>
        <v/>
      </c>
      <c r="BT191" s="401">
        <f>IF(ISBLANK(Actuals!BU101),-5442.19*Escalation!$B$69,Actuals!BU101)</f>
        <v/>
      </c>
      <c r="BU191" s="401">
        <f>IF(ISBLANK(Actuals!BV101),-5442.19*Escalation!$B$70,Actuals!BV101)</f>
        <v/>
      </c>
      <c r="BV191" s="401">
        <f>IF(ISBLANK(Actuals!BW101),-5442.19*Escalation!$B$71,Actuals!BW101)</f>
        <v/>
      </c>
      <c r="BW191" s="401">
        <f>IF(ISBLANK(Actuals!BX101),-5442.19*Escalation!$B$72,Actuals!BX101)</f>
        <v/>
      </c>
      <c r="BX191" s="401">
        <f>IF(ISBLANK(Actuals!BY101),-5442.19*Escalation!$B$73,Actuals!BY101)</f>
        <v/>
      </c>
      <c r="BY191" s="401">
        <f>IF(ISBLANK(Actuals!BZ101),-5442.19*Escalation!$B$74,Actuals!BZ101)</f>
        <v/>
      </c>
      <c r="BZ191" s="401">
        <f>IF(ISBLANK(Actuals!CA101),-5442.19*Escalation!$B$75,Actuals!CA101)</f>
        <v/>
      </c>
      <c r="CA191" s="401">
        <f>IF(ISBLANK(Actuals!CB101),-5442.19*Escalation!$B$76,Actuals!CB101)</f>
        <v/>
      </c>
      <c r="CB191" s="401">
        <f>IF(ISBLANK(Actuals!CC101),-5442.19*Escalation!$B$77,Actuals!CC101)</f>
        <v/>
      </c>
      <c r="CC191" s="401">
        <f>IF(ISBLANK(Actuals!CD101),-5442.19*Escalation!$B$78,Actuals!CD101)</f>
        <v/>
      </c>
      <c r="CD191" s="401">
        <f>IF(ISBLANK(Actuals!CE101),-5442.19*Escalation!$B$79,Actuals!CE101)</f>
        <v/>
      </c>
      <c r="CE191" s="401">
        <f>IF(ISBLANK(Actuals!CF101),-5442.19*Escalation!$B$80,Actuals!CF101)</f>
        <v/>
      </c>
      <c r="CF191" s="401">
        <f>IF(ISBLANK(Actuals!CG101),-5442.19*Escalation!$B$81,Actuals!CG101)</f>
        <v/>
      </c>
      <c r="CG191" s="401">
        <f>IF(ISBLANK(Actuals!CH101),-5442.19*Escalation!$B$82,Actuals!CH101)</f>
        <v/>
      </c>
      <c r="CH191" s="401">
        <f>IF(ISBLANK(Actuals!CI101),-5442.19*Escalation!$B$83,Actuals!CI101)</f>
        <v/>
      </c>
      <c r="CI191" s="401">
        <f>IF(ISBLANK(Actuals!CJ101),-5442.19*Escalation!$B$84,Actuals!CJ101)</f>
        <v/>
      </c>
      <c r="CJ191" s="401">
        <f>IF(ISBLANK(Actuals!CK101),-5442.19*Escalation!$B$85,Actuals!CK101)</f>
        <v/>
      </c>
      <c r="CK191" s="401">
        <f>IF(ISBLANK(Actuals!CL101),-5442.19*Escalation!$B$86,Actuals!CL101)</f>
        <v/>
      </c>
      <c r="CL191" s="401">
        <f>IF(ISBLANK(Actuals!CM101),-5442.19*Escalation!$B$87,Actuals!CM101)</f>
        <v/>
      </c>
      <c r="CM191" s="401">
        <f>IF(ISBLANK(Actuals!CN101),-5442.19*Escalation!$B$88,Actuals!CN101)</f>
        <v/>
      </c>
      <c r="CN191" s="401">
        <f>IF(ISBLANK(Actuals!CO101),-5442.19*Escalation!$B$89,Actuals!CO101)</f>
        <v/>
      </c>
      <c r="CO191" s="401">
        <f>IF(ISBLANK(Actuals!CP101),-5442.19*Escalation!$B$90,Actuals!CP101)</f>
        <v/>
      </c>
      <c r="CP191" s="401">
        <f>IF(ISBLANK(Actuals!CQ101),-5442.19*Escalation!$B$91,Actuals!CQ101)</f>
        <v/>
      </c>
      <c r="CQ191" s="401">
        <f>IF(ISBLANK(Actuals!CR101),-5442.19*Escalation!$B$92,Actuals!CR101)</f>
        <v/>
      </c>
      <c r="CR191" s="401">
        <f>IF(ISBLANK(Actuals!CS101),-5442.19*Escalation!$B$93,Actuals!CS101)</f>
        <v/>
      </c>
      <c r="CS191" s="401">
        <f>IF(ISBLANK(Actuals!CT101),-5442.19*Escalation!$B$94,Actuals!CT101)</f>
        <v/>
      </c>
      <c r="CT191" s="401">
        <f>IF(ISBLANK(Actuals!CU101),-5442.19*Escalation!$B$95,Actuals!CU101)</f>
        <v/>
      </c>
      <c r="CU191" s="401">
        <f>IF(ISBLANK(Actuals!CV101),-5442.19*Escalation!$B$96,Actuals!CV101)</f>
        <v/>
      </c>
      <c r="CV191" s="401">
        <f>IF(ISBLANK(Actuals!CW101),-5442.19*Escalation!$B$97,Actuals!CW101)</f>
        <v/>
      </c>
      <c r="CW191" s="401">
        <f>IF(ISBLANK(Actuals!CX101),-5442.19*Escalation!$B$98,Actuals!CX101)</f>
        <v/>
      </c>
      <c r="CX191" s="401">
        <f>IF(ISBLANK(Actuals!CY101),-5442.19*Escalation!$B$99,Actuals!CY101)</f>
        <v/>
      </c>
      <c r="CY191" s="401">
        <f>IF(ISBLANK(Actuals!CZ101),-5442.19*Escalation!$B$100,Actuals!CZ101)</f>
        <v/>
      </c>
      <c r="CZ191" s="401">
        <f>IF(ISBLANK(Actuals!DA101),-5442.19*Escalation!$B$101,Actuals!DA101)</f>
        <v/>
      </c>
      <c r="DA191" s="401">
        <f>IF(ISBLANK(Actuals!DB101),-5442.19*Escalation!$B$102,Actuals!DB101)</f>
        <v/>
      </c>
      <c r="DB191" s="401">
        <f>IF(ISBLANK(Actuals!DC101),-5442.19*Escalation!$B$103,Actuals!DC101)</f>
        <v/>
      </c>
      <c r="DC191" s="401">
        <f>IF(ISBLANK(Actuals!DD101),-5442.19*Escalation!$B$104,Actuals!DD101)</f>
        <v/>
      </c>
      <c r="DD191" s="401">
        <f>IF(ISBLANK(Actuals!DE101),-5442.19*Escalation!$B$105,Actuals!DE101)</f>
        <v/>
      </c>
      <c r="DE191" s="401">
        <f>IF(ISBLANK(Actuals!DF101),-5442.19*Escalation!$B$106,Actuals!DF101)</f>
        <v/>
      </c>
    </row>
    <row r="192" ht="15" customFormat="1" customHeight="1" s="380">
      <c r="A192" s="415" t="inlineStr">
        <is>
          <t>5500-1010 Investment Management Software</t>
        </is>
      </c>
      <c r="B192" s="401">
        <f>IF(ISBLANK(Actuals!C102),0,Actuals!C102)</f>
        <v/>
      </c>
      <c r="C192" s="401">
        <f>IF(ISBLANK(Actuals!D102),0,Actuals!D102)</f>
        <v/>
      </c>
      <c r="D192" s="401">
        <f>IF(ISBLANK(Actuals!E102),0,Actuals!E102)</f>
        <v/>
      </c>
      <c r="E192" s="401">
        <f>IF(ISBLANK(Actuals!F102),-1905.31*Escalation!$B$2,Actuals!F102)</f>
        <v/>
      </c>
      <c r="F192" s="401">
        <f>IF(ISBLANK(Actuals!G102),-1905.31*Escalation!$B$3,Actuals!G102)</f>
        <v/>
      </c>
      <c r="G192" s="401">
        <f>IF(ISBLANK(Actuals!H102),-1905.31*Escalation!$B$4,Actuals!H102)</f>
        <v/>
      </c>
      <c r="H192" s="401">
        <f>IF(ISBLANK(Actuals!I102),-1905.31*Escalation!$B$5,Actuals!I102)</f>
        <v/>
      </c>
      <c r="I192" s="401">
        <f>IF(ISBLANK(Actuals!J102),-1905.31*Escalation!$B$6,Actuals!J102)</f>
        <v/>
      </c>
      <c r="J192" s="401">
        <f>IF(ISBLANK(Actuals!K102),-1905.31*Escalation!$B$7,Actuals!K102)</f>
        <v/>
      </c>
      <c r="K192" s="401">
        <f>IF(ISBLANK(Actuals!L102),-1905.31*Escalation!$B$8,Actuals!L102)</f>
        <v/>
      </c>
      <c r="L192" s="401">
        <f>IF(ISBLANK(Actuals!M102),-1905.31*Escalation!$B$9,Actuals!M102)</f>
        <v/>
      </c>
      <c r="M192" s="401">
        <f>IF(ISBLANK(Actuals!N102),-1905.31*Escalation!$B$10,Actuals!N102)</f>
        <v/>
      </c>
      <c r="N192" s="401">
        <f>IF(ISBLANK(Actuals!O102),-1905.31*Escalation!$B$11,Actuals!O102)</f>
        <v/>
      </c>
      <c r="O192" s="401">
        <f>IF(ISBLANK(Actuals!P102),-1905.31*Escalation!$B$12,Actuals!P102)</f>
        <v/>
      </c>
      <c r="P192" s="401">
        <f>IF(ISBLANK(Actuals!Q102),-1905.31*Escalation!$B$13,Actuals!Q102)</f>
        <v/>
      </c>
      <c r="Q192" s="401">
        <f>IF(ISBLANK(Actuals!R102),-1905.31*Escalation!$B$14,Actuals!R102)</f>
        <v/>
      </c>
      <c r="R192" s="401">
        <f>IF(ISBLANK(Actuals!S102),-1905.31*Escalation!$B$15,Actuals!S102)</f>
        <v/>
      </c>
      <c r="S192" s="401">
        <f>IF(ISBLANK(Actuals!T102),-1905.31*Escalation!$B$16,Actuals!T102)</f>
        <v/>
      </c>
      <c r="T192" s="401">
        <f>IF(ISBLANK(Actuals!U102),-1905.31*Escalation!$B$17,Actuals!U102)</f>
        <v/>
      </c>
      <c r="U192" s="401">
        <f>IF(ISBLANK(Actuals!V102),-1905.31*Escalation!$B$18,Actuals!V102)</f>
        <v/>
      </c>
      <c r="V192" s="401">
        <f>IF(ISBLANK(Actuals!W102),-1905.31*Escalation!$B$19,Actuals!W102)</f>
        <v/>
      </c>
      <c r="W192" s="401">
        <f>IF(ISBLANK(Actuals!X102),-1905.31*Escalation!$B$20,Actuals!X102)</f>
        <v/>
      </c>
      <c r="X192" s="401">
        <f>IF(ISBLANK(Actuals!Y102),-1905.31*Escalation!$B$21,Actuals!Y102)</f>
        <v/>
      </c>
      <c r="Y192" s="401">
        <f>IF(ISBLANK(Actuals!Z102),-1905.31*Escalation!$B$22,Actuals!Z102)</f>
        <v/>
      </c>
      <c r="Z192" s="401">
        <f>IF(ISBLANK(Actuals!AA102),-1905.31*Escalation!$B$23,Actuals!AA102)</f>
        <v/>
      </c>
      <c r="AA192" s="401">
        <f>IF(ISBLANK(Actuals!AB102),-1905.31*Escalation!$B$24,Actuals!AB102)</f>
        <v/>
      </c>
      <c r="AB192" s="401">
        <f>IF(ISBLANK(Actuals!AC102),-1905.31*Escalation!$B$25,Actuals!AC102)</f>
        <v/>
      </c>
      <c r="AC192" s="401">
        <f>IF(ISBLANK(Actuals!AD102),-1905.31*Escalation!$B$26,Actuals!AD102)</f>
        <v/>
      </c>
      <c r="AD192" s="401">
        <f>IF(ISBLANK(Actuals!AE102),-1905.31*Escalation!$B$27,Actuals!AE102)</f>
        <v/>
      </c>
      <c r="AE192" s="401">
        <f>IF(ISBLANK(Actuals!AF102),-1905.31*Escalation!$B$28,Actuals!AF102)</f>
        <v/>
      </c>
      <c r="AF192" s="401">
        <f>IF(ISBLANK(Actuals!AG102),-1905.31*Escalation!$B$29,Actuals!AG102)</f>
        <v/>
      </c>
      <c r="AG192" s="401">
        <f>IF(ISBLANK(Actuals!AH102),-1905.31*Escalation!$B$30,Actuals!AH102)</f>
        <v/>
      </c>
      <c r="AH192" s="401">
        <f>IF(ISBLANK(Actuals!AI102),-1905.31*Escalation!$B$31,Actuals!AI102)</f>
        <v/>
      </c>
      <c r="AI192" s="401">
        <f>IF(ISBLANK(Actuals!AJ102),-1905.31*Escalation!$B$32,Actuals!AJ102)</f>
        <v/>
      </c>
      <c r="AJ192" s="401">
        <f>IF(ISBLANK(Actuals!AK102),-1905.31*Escalation!$B$33,Actuals!AK102)</f>
        <v/>
      </c>
      <c r="AK192" s="401">
        <f>IF(ISBLANK(Actuals!AL102),-1905.31*Escalation!$B$34,Actuals!AL102)</f>
        <v/>
      </c>
      <c r="AL192" s="401">
        <f>IF(ISBLANK(Actuals!AM102),-1905.31*Escalation!$B$35,Actuals!AM102)</f>
        <v/>
      </c>
      <c r="AM192" s="401">
        <f>IF(ISBLANK(Actuals!AN102),-1905.31*Escalation!$B$36,Actuals!AN102)</f>
        <v/>
      </c>
      <c r="AN192" s="401">
        <f>IF(ISBLANK(Actuals!AO102),-1905.31*Escalation!$B$37,Actuals!AO102)</f>
        <v/>
      </c>
      <c r="AO192" s="401">
        <f>IF(ISBLANK(Actuals!AP102),-1905.31*Escalation!$B$38,Actuals!AP102)</f>
        <v/>
      </c>
      <c r="AP192" s="401">
        <f>IF(ISBLANK(Actuals!AQ102),-1905.31*Escalation!$B$39,Actuals!AQ102)</f>
        <v/>
      </c>
      <c r="AQ192" s="401">
        <f>IF(ISBLANK(Actuals!AR102),-1905.31*Escalation!$B$40,Actuals!AR102)</f>
        <v/>
      </c>
      <c r="AR192" s="401">
        <f>IF(ISBLANK(Actuals!AS102),-1905.31*Escalation!$B$41,Actuals!AS102)</f>
        <v/>
      </c>
      <c r="AS192" s="401">
        <f>IF(ISBLANK(Actuals!AT102),-1905.31*Escalation!$B$42,Actuals!AT102)</f>
        <v/>
      </c>
      <c r="AT192" s="401">
        <f>IF(ISBLANK(Actuals!AU102),-1905.31*Escalation!$B$43,Actuals!AU102)</f>
        <v/>
      </c>
      <c r="AU192" s="401">
        <f>IF(ISBLANK(Actuals!AV102),-1905.31*Escalation!$B$44,Actuals!AV102)</f>
        <v/>
      </c>
      <c r="AV192" s="401">
        <f>IF(ISBLANK(Actuals!AW102),-1905.31*Escalation!$B$45,Actuals!AW102)</f>
        <v/>
      </c>
      <c r="AW192" s="401">
        <f>IF(ISBLANK(Actuals!AX102),-1905.31*Escalation!$B$46,Actuals!AX102)</f>
        <v/>
      </c>
      <c r="AX192" s="401">
        <f>IF(ISBLANK(Actuals!AY102),-1905.31*Escalation!$B$47,Actuals!AY102)</f>
        <v/>
      </c>
      <c r="AY192" s="401">
        <f>IF(ISBLANK(Actuals!AZ102),-1905.31*Escalation!$B$48,Actuals!AZ102)</f>
        <v/>
      </c>
      <c r="AZ192" s="401">
        <f>IF(ISBLANK(Actuals!BA102),-1905.31*Escalation!$B$49,Actuals!BA102)</f>
        <v/>
      </c>
      <c r="BA192" s="401">
        <f>IF(ISBLANK(Actuals!BB102),-1905.31*Escalation!$B$50,Actuals!BB102)</f>
        <v/>
      </c>
      <c r="BB192" s="401">
        <f>IF(ISBLANK(Actuals!BC102),-1905.31*Escalation!$B$51,Actuals!BC102)</f>
        <v/>
      </c>
      <c r="BC192" s="401">
        <f>IF(ISBLANK(Actuals!BD102),-1905.31*Escalation!$B$52,Actuals!BD102)</f>
        <v/>
      </c>
      <c r="BD192" s="401">
        <f>IF(ISBLANK(Actuals!BE102),-1905.31*Escalation!$B$53,Actuals!BE102)</f>
        <v/>
      </c>
      <c r="BE192" s="401">
        <f>IF(ISBLANK(Actuals!BF102),-1905.31*Escalation!$B$54,Actuals!BF102)</f>
        <v/>
      </c>
      <c r="BF192" s="401">
        <f>IF(ISBLANK(Actuals!BG102),-1905.31*Escalation!$B$55,Actuals!BG102)</f>
        <v/>
      </c>
      <c r="BG192" s="401">
        <f>IF(ISBLANK(Actuals!BH102),-1905.31*Escalation!$B$56,Actuals!BH102)</f>
        <v/>
      </c>
      <c r="BH192" s="401">
        <f>IF(ISBLANK(Actuals!BI102),-1905.31*Escalation!$B$57,Actuals!BI102)</f>
        <v/>
      </c>
      <c r="BI192" s="401">
        <f>IF(ISBLANK(Actuals!BJ102),-1905.31*Escalation!$B$58,Actuals!BJ102)</f>
        <v/>
      </c>
      <c r="BJ192" s="401">
        <f>IF(ISBLANK(Actuals!BK102),-1905.31*Escalation!$B$59,Actuals!BK102)</f>
        <v/>
      </c>
      <c r="BK192" s="401">
        <f>IF(ISBLANK(Actuals!BL102),-1905.31*Escalation!$B$60,Actuals!BL102)</f>
        <v/>
      </c>
      <c r="BL192" s="401">
        <f>IF(ISBLANK(Actuals!BM102),-1905.31*Escalation!$B$61,Actuals!BM102)</f>
        <v/>
      </c>
      <c r="BM192" s="401">
        <f>IF(ISBLANK(Actuals!BN102),-1905.31*Escalation!$B$62,Actuals!BN102)</f>
        <v/>
      </c>
      <c r="BN192" s="401">
        <f>IF(ISBLANK(Actuals!BO102),-1905.31*Escalation!$B$63,Actuals!BO102)</f>
        <v/>
      </c>
      <c r="BO192" s="401">
        <f>IF(ISBLANK(Actuals!BP102),-1905.31*Escalation!$B$64,Actuals!BP102)</f>
        <v/>
      </c>
      <c r="BP192" s="401">
        <f>IF(ISBLANK(Actuals!BQ102),-1905.31*Escalation!$B$65,Actuals!BQ102)</f>
        <v/>
      </c>
      <c r="BQ192" s="401">
        <f>IF(ISBLANK(Actuals!BR102),-1905.31*Escalation!$B$66,Actuals!BR102)</f>
        <v/>
      </c>
      <c r="BR192" s="401">
        <f>IF(ISBLANK(Actuals!BS102),-1905.31*Escalation!$B$67,Actuals!BS102)</f>
        <v/>
      </c>
      <c r="BS192" s="401">
        <f>IF(ISBLANK(Actuals!BT102),-1905.31*Escalation!$B$68,Actuals!BT102)</f>
        <v/>
      </c>
      <c r="BT192" s="401">
        <f>IF(ISBLANK(Actuals!BU102),-1905.31*Escalation!$B$69,Actuals!BU102)</f>
        <v/>
      </c>
      <c r="BU192" s="401">
        <f>IF(ISBLANK(Actuals!BV102),-1905.31*Escalation!$B$70,Actuals!BV102)</f>
        <v/>
      </c>
      <c r="BV192" s="401">
        <f>IF(ISBLANK(Actuals!BW102),-1905.31*Escalation!$B$71,Actuals!BW102)</f>
        <v/>
      </c>
      <c r="BW192" s="401">
        <f>IF(ISBLANK(Actuals!BX102),-1905.31*Escalation!$B$72,Actuals!BX102)</f>
        <v/>
      </c>
      <c r="BX192" s="401">
        <f>IF(ISBLANK(Actuals!BY102),-1905.31*Escalation!$B$73,Actuals!BY102)</f>
        <v/>
      </c>
      <c r="BY192" s="401">
        <f>IF(ISBLANK(Actuals!BZ102),-1905.31*Escalation!$B$74,Actuals!BZ102)</f>
        <v/>
      </c>
      <c r="BZ192" s="401">
        <f>IF(ISBLANK(Actuals!CA102),-1905.31*Escalation!$B$75,Actuals!CA102)</f>
        <v/>
      </c>
      <c r="CA192" s="401">
        <f>IF(ISBLANK(Actuals!CB102),-1905.31*Escalation!$B$76,Actuals!CB102)</f>
        <v/>
      </c>
      <c r="CB192" s="401">
        <f>IF(ISBLANK(Actuals!CC102),-1905.31*Escalation!$B$77,Actuals!CC102)</f>
        <v/>
      </c>
      <c r="CC192" s="401">
        <f>IF(ISBLANK(Actuals!CD102),-1905.31*Escalation!$B$78,Actuals!CD102)</f>
        <v/>
      </c>
      <c r="CD192" s="401">
        <f>IF(ISBLANK(Actuals!CE102),-1905.31*Escalation!$B$79,Actuals!CE102)</f>
        <v/>
      </c>
      <c r="CE192" s="401">
        <f>IF(ISBLANK(Actuals!CF102),-1905.31*Escalation!$B$80,Actuals!CF102)</f>
        <v/>
      </c>
      <c r="CF192" s="401">
        <f>IF(ISBLANK(Actuals!CG102),-1905.31*Escalation!$B$81,Actuals!CG102)</f>
        <v/>
      </c>
      <c r="CG192" s="401">
        <f>IF(ISBLANK(Actuals!CH102),-1905.31*Escalation!$B$82,Actuals!CH102)</f>
        <v/>
      </c>
      <c r="CH192" s="401">
        <f>IF(ISBLANK(Actuals!CI102),-1905.31*Escalation!$B$83,Actuals!CI102)</f>
        <v/>
      </c>
      <c r="CI192" s="401">
        <f>IF(ISBLANK(Actuals!CJ102),-1905.31*Escalation!$B$84,Actuals!CJ102)</f>
        <v/>
      </c>
      <c r="CJ192" s="401">
        <f>IF(ISBLANK(Actuals!CK102),-1905.31*Escalation!$B$85,Actuals!CK102)</f>
        <v/>
      </c>
      <c r="CK192" s="401">
        <f>IF(ISBLANK(Actuals!CL102),-1905.31*Escalation!$B$86,Actuals!CL102)</f>
        <v/>
      </c>
      <c r="CL192" s="401">
        <f>IF(ISBLANK(Actuals!CM102),-1905.31*Escalation!$B$87,Actuals!CM102)</f>
        <v/>
      </c>
      <c r="CM192" s="401">
        <f>IF(ISBLANK(Actuals!CN102),-1905.31*Escalation!$B$88,Actuals!CN102)</f>
        <v/>
      </c>
      <c r="CN192" s="401">
        <f>IF(ISBLANK(Actuals!CO102),-1905.31*Escalation!$B$89,Actuals!CO102)</f>
        <v/>
      </c>
      <c r="CO192" s="401">
        <f>IF(ISBLANK(Actuals!CP102),-1905.31*Escalation!$B$90,Actuals!CP102)</f>
        <v/>
      </c>
      <c r="CP192" s="401">
        <f>IF(ISBLANK(Actuals!CQ102),-1905.31*Escalation!$B$91,Actuals!CQ102)</f>
        <v/>
      </c>
      <c r="CQ192" s="401">
        <f>IF(ISBLANK(Actuals!CR102),-1905.31*Escalation!$B$92,Actuals!CR102)</f>
        <v/>
      </c>
      <c r="CR192" s="401">
        <f>IF(ISBLANK(Actuals!CS102),-1905.31*Escalation!$B$93,Actuals!CS102)</f>
        <v/>
      </c>
      <c r="CS192" s="401">
        <f>IF(ISBLANK(Actuals!CT102),-1905.31*Escalation!$B$94,Actuals!CT102)</f>
        <v/>
      </c>
      <c r="CT192" s="401">
        <f>IF(ISBLANK(Actuals!CU102),-1905.31*Escalation!$B$95,Actuals!CU102)</f>
        <v/>
      </c>
      <c r="CU192" s="401">
        <f>IF(ISBLANK(Actuals!CV102),-1905.31*Escalation!$B$96,Actuals!CV102)</f>
        <v/>
      </c>
      <c r="CV192" s="401">
        <f>IF(ISBLANK(Actuals!CW102),-1905.31*Escalation!$B$97,Actuals!CW102)</f>
        <v/>
      </c>
      <c r="CW192" s="401">
        <f>IF(ISBLANK(Actuals!CX102),-1905.31*Escalation!$B$98,Actuals!CX102)</f>
        <v/>
      </c>
      <c r="CX192" s="401">
        <f>IF(ISBLANK(Actuals!CY102),-1905.31*Escalation!$B$99,Actuals!CY102)</f>
        <v/>
      </c>
      <c r="CY192" s="401">
        <f>IF(ISBLANK(Actuals!CZ102),-1905.31*Escalation!$B$100,Actuals!CZ102)</f>
        <v/>
      </c>
      <c r="CZ192" s="401">
        <f>IF(ISBLANK(Actuals!DA102),-1905.31*Escalation!$B$101,Actuals!DA102)</f>
        <v/>
      </c>
      <c r="DA192" s="401">
        <f>IF(ISBLANK(Actuals!DB102),-1905.31*Escalation!$B$102,Actuals!DB102)</f>
        <v/>
      </c>
      <c r="DB192" s="401">
        <f>IF(ISBLANK(Actuals!DC102),-1905.31*Escalation!$B$103,Actuals!DC102)</f>
        <v/>
      </c>
      <c r="DC192" s="401">
        <f>IF(ISBLANK(Actuals!DD102),-1905.31*Escalation!$B$104,Actuals!DD102)</f>
        <v/>
      </c>
      <c r="DD192" s="401">
        <f>IF(ISBLANK(Actuals!DE102),-1905.31*Escalation!$B$105,Actuals!DE102)</f>
        <v/>
      </c>
      <c r="DE192" s="401">
        <f>IF(ISBLANK(Actuals!DF102),-1905.31*Escalation!$B$106,Actuals!DF102)</f>
        <v/>
      </c>
    </row>
    <row r="193" ht="15" customFormat="1" customHeight="1" s="380">
      <c r="A193" s="415" t="inlineStr">
        <is>
          <t>5500-1053 E&amp;O/D&amp;O Insurance</t>
        </is>
      </c>
      <c r="B193" s="401">
        <f>IF(ISBLANK(Actuals!C103),0,Actuals!C103)</f>
        <v/>
      </c>
      <c r="C193" s="401">
        <f>IF(ISBLANK(Actuals!D103),0,Actuals!D103)</f>
        <v/>
      </c>
      <c r="D193" s="401">
        <f>IF(ISBLANK(Actuals!E103),0,Actuals!E103)</f>
        <v/>
      </c>
      <c r="E193" s="401">
        <f>IF(ISBLANK(Actuals!F103),-2100*Escalation!$B$2,Actuals!F103)</f>
        <v/>
      </c>
      <c r="F193" s="401">
        <f>IF(ISBLANK(Actuals!G103),-2100*Escalation!$B$3,Actuals!G103)</f>
        <v/>
      </c>
      <c r="G193" s="401">
        <f>IF(ISBLANK(Actuals!H103),-2100*Escalation!$B$4,Actuals!H103)</f>
        <v/>
      </c>
      <c r="H193" s="401">
        <f>IF(ISBLANK(Actuals!I103),-2100*Escalation!$B$5,Actuals!I103)</f>
        <v/>
      </c>
      <c r="I193" s="401">
        <f>IF(ISBLANK(Actuals!J103),-2100*Escalation!$B$6,Actuals!J103)</f>
        <v/>
      </c>
      <c r="J193" s="401">
        <f>IF(ISBLANK(Actuals!K103),-2100*Escalation!$B$7,Actuals!K103)</f>
        <v/>
      </c>
      <c r="K193" s="401">
        <f>IF(ISBLANK(Actuals!L103),-2100*Escalation!$B$8,Actuals!L103)</f>
        <v/>
      </c>
      <c r="L193" s="401">
        <f>IF(ISBLANK(Actuals!M103),-2100*Escalation!$B$9,Actuals!M103)</f>
        <v/>
      </c>
      <c r="M193" s="401">
        <f>IF(ISBLANK(Actuals!N103),-2100*Escalation!$B$10,Actuals!N103)</f>
        <v/>
      </c>
      <c r="N193" s="401">
        <f>IF(ISBLANK(Actuals!O103),-2100*Escalation!$B$11,Actuals!O103)</f>
        <v/>
      </c>
      <c r="O193" s="401">
        <f>IF(ISBLANK(Actuals!P103),-2100*Escalation!$B$12,Actuals!P103)</f>
        <v/>
      </c>
      <c r="P193" s="401">
        <f>IF(ISBLANK(Actuals!Q103),-2100*Escalation!$B$13,Actuals!Q103)</f>
        <v/>
      </c>
      <c r="Q193" s="401">
        <f>IF(ISBLANK(Actuals!R103),-2100*Escalation!$B$14,Actuals!R103)</f>
        <v/>
      </c>
      <c r="R193" s="401">
        <f>IF(ISBLANK(Actuals!S103),-2100*Escalation!$B$15,Actuals!S103)</f>
        <v/>
      </c>
      <c r="S193" s="401">
        <f>IF(ISBLANK(Actuals!T103),-2100*Escalation!$B$16,Actuals!T103)</f>
        <v/>
      </c>
      <c r="T193" s="401">
        <f>IF(ISBLANK(Actuals!U103),-2100*Escalation!$B$17,Actuals!U103)</f>
        <v/>
      </c>
      <c r="U193" s="401">
        <f>IF(ISBLANK(Actuals!V103),-2100*Escalation!$B$18,Actuals!V103)</f>
        <v/>
      </c>
      <c r="V193" s="401">
        <f>IF(ISBLANK(Actuals!W103),-2100*Escalation!$B$19,Actuals!W103)</f>
        <v/>
      </c>
      <c r="W193" s="401">
        <f>IF(ISBLANK(Actuals!X103),-2100*Escalation!$B$20,Actuals!X103)</f>
        <v/>
      </c>
      <c r="X193" s="401">
        <f>IF(ISBLANK(Actuals!Y103),-2100*Escalation!$B$21,Actuals!Y103)</f>
        <v/>
      </c>
      <c r="Y193" s="401">
        <f>IF(ISBLANK(Actuals!Z103),-2100*Escalation!$B$22,Actuals!Z103)</f>
        <v/>
      </c>
      <c r="Z193" s="401">
        <f>IF(ISBLANK(Actuals!AA103),-2100*Escalation!$B$23,Actuals!AA103)</f>
        <v/>
      </c>
      <c r="AA193" s="401">
        <f>IF(ISBLANK(Actuals!AB103),-2100*Escalation!$B$24,Actuals!AB103)</f>
        <v/>
      </c>
      <c r="AB193" s="401">
        <f>IF(ISBLANK(Actuals!AC103),-2100*Escalation!$B$25,Actuals!AC103)</f>
        <v/>
      </c>
      <c r="AC193" s="401">
        <f>IF(ISBLANK(Actuals!AD103),-2100*Escalation!$B$26,Actuals!AD103)</f>
        <v/>
      </c>
      <c r="AD193" s="401">
        <f>IF(ISBLANK(Actuals!AE103),-2100*Escalation!$B$27,Actuals!AE103)</f>
        <v/>
      </c>
      <c r="AE193" s="401">
        <f>IF(ISBLANK(Actuals!AF103),-2100*Escalation!$B$28,Actuals!AF103)</f>
        <v/>
      </c>
      <c r="AF193" s="401">
        <f>IF(ISBLANK(Actuals!AG103),-2100*Escalation!$B$29,Actuals!AG103)</f>
        <v/>
      </c>
      <c r="AG193" s="401">
        <f>IF(ISBLANK(Actuals!AH103),-2100*Escalation!$B$30,Actuals!AH103)</f>
        <v/>
      </c>
      <c r="AH193" s="401">
        <f>IF(ISBLANK(Actuals!AI103),-2100*Escalation!$B$31,Actuals!AI103)</f>
        <v/>
      </c>
      <c r="AI193" s="401">
        <f>IF(ISBLANK(Actuals!AJ103),-2100*Escalation!$B$32,Actuals!AJ103)</f>
        <v/>
      </c>
      <c r="AJ193" s="401">
        <f>IF(ISBLANK(Actuals!AK103),-2100*Escalation!$B$33,Actuals!AK103)</f>
        <v/>
      </c>
      <c r="AK193" s="401">
        <f>IF(ISBLANK(Actuals!AL103),-2100*Escalation!$B$34,Actuals!AL103)</f>
        <v/>
      </c>
      <c r="AL193" s="401">
        <f>IF(ISBLANK(Actuals!AM103),-2100*Escalation!$B$35,Actuals!AM103)</f>
        <v/>
      </c>
      <c r="AM193" s="401">
        <f>IF(ISBLANK(Actuals!AN103),-2100*Escalation!$B$36,Actuals!AN103)</f>
        <v/>
      </c>
      <c r="AN193" s="401">
        <f>IF(ISBLANK(Actuals!AO103),-2100*Escalation!$B$37,Actuals!AO103)</f>
        <v/>
      </c>
      <c r="AO193" s="401">
        <f>IF(ISBLANK(Actuals!AP103),-2100*Escalation!$B$38,Actuals!AP103)</f>
        <v/>
      </c>
      <c r="AP193" s="401">
        <f>IF(ISBLANK(Actuals!AQ103),-2100*Escalation!$B$39,Actuals!AQ103)</f>
        <v/>
      </c>
      <c r="AQ193" s="401">
        <f>IF(ISBLANK(Actuals!AR103),-2100*Escalation!$B$40,Actuals!AR103)</f>
        <v/>
      </c>
      <c r="AR193" s="401">
        <f>IF(ISBLANK(Actuals!AS103),-2100*Escalation!$B$41,Actuals!AS103)</f>
        <v/>
      </c>
      <c r="AS193" s="401">
        <f>IF(ISBLANK(Actuals!AT103),-2100*Escalation!$B$42,Actuals!AT103)</f>
        <v/>
      </c>
      <c r="AT193" s="401">
        <f>IF(ISBLANK(Actuals!AU103),-2100*Escalation!$B$43,Actuals!AU103)</f>
        <v/>
      </c>
      <c r="AU193" s="401">
        <f>IF(ISBLANK(Actuals!AV103),-2100*Escalation!$B$44,Actuals!AV103)</f>
        <v/>
      </c>
      <c r="AV193" s="401">
        <f>IF(ISBLANK(Actuals!AW103),-2100*Escalation!$B$45,Actuals!AW103)</f>
        <v/>
      </c>
      <c r="AW193" s="401">
        <f>IF(ISBLANK(Actuals!AX103),-2100*Escalation!$B$46,Actuals!AX103)</f>
        <v/>
      </c>
      <c r="AX193" s="401">
        <f>IF(ISBLANK(Actuals!AY103),-2100*Escalation!$B$47,Actuals!AY103)</f>
        <v/>
      </c>
      <c r="AY193" s="401">
        <f>IF(ISBLANK(Actuals!AZ103),-2100*Escalation!$B$48,Actuals!AZ103)</f>
        <v/>
      </c>
      <c r="AZ193" s="401">
        <f>IF(ISBLANK(Actuals!BA103),-2100*Escalation!$B$49,Actuals!BA103)</f>
        <v/>
      </c>
      <c r="BA193" s="401">
        <f>IF(ISBLANK(Actuals!BB103),-2100*Escalation!$B$50,Actuals!BB103)</f>
        <v/>
      </c>
      <c r="BB193" s="401">
        <f>IF(ISBLANK(Actuals!BC103),-2100*Escalation!$B$51,Actuals!BC103)</f>
        <v/>
      </c>
      <c r="BC193" s="401">
        <f>IF(ISBLANK(Actuals!BD103),-2100*Escalation!$B$52,Actuals!BD103)</f>
        <v/>
      </c>
      <c r="BD193" s="401">
        <f>IF(ISBLANK(Actuals!BE103),-2100*Escalation!$B$53,Actuals!BE103)</f>
        <v/>
      </c>
      <c r="BE193" s="401">
        <f>IF(ISBLANK(Actuals!BF103),-2100*Escalation!$B$54,Actuals!BF103)</f>
        <v/>
      </c>
      <c r="BF193" s="401">
        <f>IF(ISBLANK(Actuals!BG103),-2100*Escalation!$B$55,Actuals!BG103)</f>
        <v/>
      </c>
      <c r="BG193" s="401">
        <f>IF(ISBLANK(Actuals!BH103),-2100*Escalation!$B$56,Actuals!BH103)</f>
        <v/>
      </c>
      <c r="BH193" s="401">
        <f>IF(ISBLANK(Actuals!BI103),-2100*Escalation!$B$57,Actuals!BI103)</f>
        <v/>
      </c>
      <c r="BI193" s="401">
        <f>IF(ISBLANK(Actuals!BJ103),-2100*Escalation!$B$58,Actuals!BJ103)</f>
        <v/>
      </c>
      <c r="BJ193" s="401">
        <f>IF(ISBLANK(Actuals!BK103),-2100*Escalation!$B$59,Actuals!BK103)</f>
        <v/>
      </c>
      <c r="BK193" s="401">
        <f>IF(ISBLANK(Actuals!BL103),-2100*Escalation!$B$60,Actuals!BL103)</f>
        <v/>
      </c>
      <c r="BL193" s="401">
        <f>IF(ISBLANK(Actuals!BM103),-2100*Escalation!$B$61,Actuals!BM103)</f>
        <v/>
      </c>
      <c r="BM193" s="401">
        <f>IF(ISBLANK(Actuals!BN103),-2100*Escalation!$B$62,Actuals!BN103)</f>
        <v/>
      </c>
      <c r="BN193" s="401">
        <f>IF(ISBLANK(Actuals!BO103),-2100*Escalation!$B$63,Actuals!BO103)</f>
        <v/>
      </c>
      <c r="BO193" s="401">
        <f>IF(ISBLANK(Actuals!BP103),-2100*Escalation!$B$64,Actuals!BP103)</f>
        <v/>
      </c>
      <c r="BP193" s="401">
        <f>IF(ISBLANK(Actuals!BQ103),-2100*Escalation!$B$65,Actuals!BQ103)</f>
        <v/>
      </c>
      <c r="BQ193" s="401">
        <f>IF(ISBLANK(Actuals!BR103),-2100*Escalation!$B$66,Actuals!BR103)</f>
        <v/>
      </c>
      <c r="BR193" s="401">
        <f>IF(ISBLANK(Actuals!BS103),-2100*Escalation!$B$67,Actuals!BS103)</f>
        <v/>
      </c>
      <c r="BS193" s="401">
        <f>IF(ISBLANK(Actuals!BT103),-2100*Escalation!$B$68,Actuals!BT103)</f>
        <v/>
      </c>
      <c r="BT193" s="401">
        <f>IF(ISBLANK(Actuals!BU103),-2100*Escalation!$B$69,Actuals!BU103)</f>
        <v/>
      </c>
      <c r="BU193" s="401">
        <f>IF(ISBLANK(Actuals!BV103),-2100*Escalation!$B$70,Actuals!BV103)</f>
        <v/>
      </c>
      <c r="BV193" s="401">
        <f>IF(ISBLANK(Actuals!BW103),-2100*Escalation!$B$71,Actuals!BW103)</f>
        <v/>
      </c>
      <c r="BW193" s="401">
        <f>IF(ISBLANK(Actuals!BX103),-2100*Escalation!$B$72,Actuals!BX103)</f>
        <v/>
      </c>
      <c r="BX193" s="401">
        <f>IF(ISBLANK(Actuals!BY103),-2100*Escalation!$B$73,Actuals!BY103)</f>
        <v/>
      </c>
      <c r="BY193" s="401">
        <f>IF(ISBLANK(Actuals!BZ103),-2100*Escalation!$B$74,Actuals!BZ103)</f>
        <v/>
      </c>
      <c r="BZ193" s="401">
        <f>IF(ISBLANK(Actuals!CA103),-2100*Escalation!$B$75,Actuals!CA103)</f>
        <v/>
      </c>
      <c r="CA193" s="401">
        <f>IF(ISBLANK(Actuals!CB103),-2100*Escalation!$B$76,Actuals!CB103)</f>
        <v/>
      </c>
      <c r="CB193" s="401">
        <f>IF(ISBLANK(Actuals!CC103),-2100*Escalation!$B$77,Actuals!CC103)</f>
        <v/>
      </c>
      <c r="CC193" s="401">
        <f>IF(ISBLANK(Actuals!CD103),-2100*Escalation!$B$78,Actuals!CD103)</f>
        <v/>
      </c>
      <c r="CD193" s="401">
        <f>IF(ISBLANK(Actuals!CE103),-2100*Escalation!$B$79,Actuals!CE103)</f>
        <v/>
      </c>
      <c r="CE193" s="401">
        <f>IF(ISBLANK(Actuals!CF103),-2100*Escalation!$B$80,Actuals!CF103)</f>
        <v/>
      </c>
      <c r="CF193" s="401">
        <f>IF(ISBLANK(Actuals!CG103),-2100*Escalation!$B$81,Actuals!CG103)</f>
        <v/>
      </c>
      <c r="CG193" s="401">
        <f>IF(ISBLANK(Actuals!CH103),-2100*Escalation!$B$82,Actuals!CH103)</f>
        <v/>
      </c>
      <c r="CH193" s="401">
        <f>IF(ISBLANK(Actuals!CI103),-2100*Escalation!$B$83,Actuals!CI103)</f>
        <v/>
      </c>
      <c r="CI193" s="401">
        <f>IF(ISBLANK(Actuals!CJ103),-2100*Escalation!$B$84,Actuals!CJ103)</f>
        <v/>
      </c>
      <c r="CJ193" s="401">
        <f>IF(ISBLANK(Actuals!CK103),-2100*Escalation!$B$85,Actuals!CK103)</f>
        <v/>
      </c>
      <c r="CK193" s="401">
        <f>IF(ISBLANK(Actuals!CL103),-2100*Escalation!$B$86,Actuals!CL103)</f>
        <v/>
      </c>
      <c r="CL193" s="401">
        <f>IF(ISBLANK(Actuals!CM103),-2100*Escalation!$B$87,Actuals!CM103)</f>
        <v/>
      </c>
      <c r="CM193" s="401">
        <f>IF(ISBLANK(Actuals!CN103),-2100*Escalation!$B$88,Actuals!CN103)</f>
        <v/>
      </c>
      <c r="CN193" s="401">
        <f>IF(ISBLANK(Actuals!CO103),-2100*Escalation!$B$89,Actuals!CO103)</f>
        <v/>
      </c>
      <c r="CO193" s="401">
        <f>IF(ISBLANK(Actuals!CP103),-2100*Escalation!$B$90,Actuals!CP103)</f>
        <v/>
      </c>
      <c r="CP193" s="401">
        <f>IF(ISBLANK(Actuals!CQ103),-2100*Escalation!$B$91,Actuals!CQ103)</f>
        <v/>
      </c>
      <c r="CQ193" s="401">
        <f>IF(ISBLANK(Actuals!CR103),-2100*Escalation!$B$92,Actuals!CR103)</f>
        <v/>
      </c>
      <c r="CR193" s="401">
        <f>IF(ISBLANK(Actuals!CS103),-2100*Escalation!$B$93,Actuals!CS103)</f>
        <v/>
      </c>
      <c r="CS193" s="401">
        <f>IF(ISBLANK(Actuals!CT103),-2100*Escalation!$B$94,Actuals!CT103)</f>
        <v/>
      </c>
      <c r="CT193" s="401">
        <f>IF(ISBLANK(Actuals!CU103),-2100*Escalation!$B$95,Actuals!CU103)</f>
        <v/>
      </c>
      <c r="CU193" s="401">
        <f>IF(ISBLANK(Actuals!CV103),-2100*Escalation!$B$96,Actuals!CV103)</f>
        <v/>
      </c>
      <c r="CV193" s="401">
        <f>IF(ISBLANK(Actuals!CW103),-2100*Escalation!$B$97,Actuals!CW103)</f>
        <v/>
      </c>
      <c r="CW193" s="401">
        <f>IF(ISBLANK(Actuals!CX103),-2100*Escalation!$B$98,Actuals!CX103)</f>
        <v/>
      </c>
      <c r="CX193" s="401">
        <f>IF(ISBLANK(Actuals!CY103),-2100*Escalation!$B$99,Actuals!CY103)</f>
        <v/>
      </c>
      <c r="CY193" s="401">
        <f>IF(ISBLANK(Actuals!CZ103),-2100*Escalation!$B$100,Actuals!CZ103)</f>
        <v/>
      </c>
      <c r="CZ193" s="401">
        <f>IF(ISBLANK(Actuals!DA103),-2100*Escalation!$B$101,Actuals!DA103)</f>
        <v/>
      </c>
      <c r="DA193" s="401">
        <f>IF(ISBLANK(Actuals!DB103),-2100*Escalation!$B$102,Actuals!DB103)</f>
        <v/>
      </c>
      <c r="DB193" s="401">
        <f>IF(ISBLANK(Actuals!DC103),-2100*Escalation!$B$103,Actuals!DC103)</f>
        <v/>
      </c>
      <c r="DC193" s="401">
        <f>IF(ISBLANK(Actuals!DD103),-2100*Escalation!$B$104,Actuals!DD103)</f>
        <v/>
      </c>
      <c r="DD193" s="401">
        <f>IF(ISBLANK(Actuals!DE103),-2100*Escalation!$B$105,Actuals!DE103)</f>
        <v/>
      </c>
      <c r="DE193" s="401">
        <f>IF(ISBLANK(Actuals!DF103),-2100*Escalation!$B$106,Actuals!DF103)</f>
        <v/>
      </c>
    </row>
    <row r="194" ht="15" customFormat="1" customHeight="1" s="380">
      <c r="A194" s="415" t="inlineStr">
        <is>
          <t>5800-1003 Consulting Fee</t>
        </is>
      </c>
      <c r="B194" s="401">
        <f>IF(ISBLANK(Actuals!C104),0,Actuals!C104)</f>
        <v/>
      </c>
      <c r="C194" s="401">
        <f>IF(ISBLANK(Actuals!D104),0,Actuals!D104)</f>
        <v/>
      </c>
      <c r="D194" s="401">
        <f>IF(ISBLANK(Actuals!E104),0,Actuals!E104)</f>
        <v/>
      </c>
      <c r="E194" s="401">
        <f>IF(ISBLANK(Actuals!F104),(-(SUMPRODUCT((Personnel!$O$9:$O$100="SP-Fee")*(Personnel!$G$9:$G$100="Yes")*(1&gt;=Personnel!$E$9:$E$100)*((Personnel!$K$9:$K$100="")+(1&lt;=Personnel!$K$9:$K$100)&gt;0)*Personnel!$D$9:$D$100*(1-Personnel!$I$9:$I$100))))*Escalation!$B$2,Actuals!F104)</f>
        <v/>
      </c>
      <c r="F194" s="401">
        <f>IF(ISBLANK(Actuals!G104),(-(SUMPRODUCT((Personnel!$O$9:$O$100="SP-Fee")*(Personnel!$G$9:$G$100="Yes")*(2&gt;=Personnel!$E$9:$E$100)*((Personnel!$K$9:$K$100="")+(2&lt;=Personnel!$K$9:$K$100)&gt;0)*Personnel!$D$9:$D$100*(1-Personnel!$I$9:$I$100))))*Escalation!$B$3,Actuals!G104)</f>
        <v/>
      </c>
      <c r="G194" s="401">
        <f>IF(ISBLANK(Actuals!H104),(-(SUMPRODUCT((Personnel!$O$9:$O$100="SP-Fee")*(Personnel!$G$9:$G$100="Yes")*(3&gt;=Personnel!$E$9:$E$100)*((Personnel!$K$9:$K$100="")+(3&lt;=Personnel!$K$9:$K$100)&gt;0)*Personnel!$D$9:$D$100*(1-Personnel!$I$9:$I$100))))*Escalation!$B$4,Actuals!H104)</f>
        <v/>
      </c>
      <c r="H194" s="401">
        <f>IF(ISBLANK(Actuals!I104),(-(SUMPRODUCT((Personnel!$O$9:$O$100="SP-Fee")*(Personnel!$G$9:$G$100="Yes")*(4&gt;=Personnel!$E$9:$E$100)*((Personnel!$K$9:$K$100="")+(4&lt;=Personnel!$K$9:$K$100)&gt;0)*Personnel!$D$9:$D$100*(1-Personnel!$I$9:$I$100))))*Escalation!$B$5,Actuals!I104)</f>
        <v/>
      </c>
      <c r="I194" s="401">
        <f>IF(ISBLANK(Actuals!J104),(-(SUMPRODUCT((Personnel!$O$9:$O$100="SP-Fee")*(Personnel!$G$9:$G$100="Yes")*(5&gt;=Personnel!$E$9:$E$100)*((Personnel!$K$9:$K$100="")+(5&lt;=Personnel!$K$9:$K$100)&gt;0)*Personnel!$D$9:$D$100*(1-Personnel!$I$9:$I$100))))*Escalation!$B$6,Actuals!J104)</f>
        <v/>
      </c>
      <c r="J194" s="401">
        <f>IF(ISBLANK(Actuals!K104),(-(SUMPRODUCT((Personnel!$O$9:$O$100="SP-Fee")*(Personnel!$G$9:$G$100="Yes")*(6&gt;=Personnel!$E$9:$E$100)*((Personnel!$K$9:$K$100="")+(6&lt;=Personnel!$K$9:$K$100)&gt;0)*Personnel!$D$9:$D$100*(1-Personnel!$I$9:$I$100))))*Escalation!$B$7,Actuals!K104)</f>
        <v/>
      </c>
      <c r="K194" s="401">
        <f>IF(ISBLANK(Actuals!L104),(-(SUMPRODUCT((Personnel!$O$9:$O$100="SP-Fee")*(Personnel!$G$9:$G$100="Yes")*(7&gt;=Personnel!$E$9:$E$100)*((Personnel!$K$9:$K$100="")+(7&lt;=Personnel!$K$9:$K$100)&gt;0)*Personnel!$D$9:$D$100*(1-Personnel!$I$9:$I$100))))*Escalation!$B$8,Actuals!L104)</f>
        <v/>
      </c>
      <c r="L194" s="401">
        <f>IF(ISBLANK(Actuals!M104),(-(SUMPRODUCT((Personnel!$O$9:$O$100="SP-Fee")*(Personnel!$G$9:$G$100="Yes")*(8&gt;=Personnel!$E$9:$E$100)*((Personnel!$K$9:$K$100="")+(8&lt;=Personnel!$K$9:$K$100)&gt;0)*Personnel!$D$9:$D$100*(1-Personnel!$I$9:$I$100))))*Escalation!$B$9,Actuals!M104)</f>
        <v/>
      </c>
      <c r="M194" s="401">
        <f>IF(ISBLANK(Actuals!N104),(-(SUMPRODUCT((Personnel!$O$9:$O$100="SP-Fee")*(Personnel!$G$9:$G$100="Yes")*(9&gt;=Personnel!$E$9:$E$100)*((Personnel!$K$9:$K$100="")+(9&lt;=Personnel!$K$9:$K$100)&gt;0)*Personnel!$D$9:$D$100*(1-Personnel!$I$9:$I$100))))*Escalation!$B$10,Actuals!N104)</f>
        <v/>
      </c>
      <c r="N194" s="401">
        <f>IF(ISBLANK(Actuals!O104),(-(SUMPRODUCT((Personnel!$O$9:$O$100="SP-Fee")*(Personnel!$G$9:$G$100="Yes")*(10&gt;=Personnel!$E$9:$E$100)*((Personnel!$K$9:$K$100="")+(10&lt;=Personnel!$K$9:$K$100)&gt;0)*Personnel!$D$9:$D$100*(1-Personnel!$I$9:$I$100))))*Escalation!$B$11,Actuals!O104)</f>
        <v/>
      </c>
      <c r="O194" s="401">
        <f>IF(ISBLANK(Actuals!P104),(-(SUMPRODUCT((Personnel!$O$9:$O$100="SP-Fee")*(Personnel!$G$9:$G$100="Yes")*(11&gt;=Personnel!$E$9:$E$100)*((Personnel!$K$9:$K$100="")+(11&lt;=Personnel!$K$9:$K$100)&gt;0)*Personnel!$D$9:$D$100*(1-Personnel!$I$9:$I$100))))*Escalation!$B$12,Actuals!P104)</f>
        <v/>
      </c>
      <c r="P194" s="401">
        <f>IF(ISBLANK(Actuals!Q104),(-(SUMPRODUCT((Personnel!$O$9:$O$100="SP-Fee")*(Personnel!$G$9:$G$100="Yes")*(12&gt;=Personnel!$E$9:$E$100)*((Personnel!$K$9:$K$100="")+(12&lt;=Personnel!$K$9:$K$100)&gt;0)*Personnel!$D$9:$D$100*(1-Personnel!$I$9:$I$100))))*Escalation!$B$13,Actuals!Q104)</f>
        <v/>
      </c>
      <c r="Q194" s="401">
        <f>IF(ISBLANK(Actuals!R104),(-(SUMPRODUCT((Personnel!$O$9:$O$100="SP-Fee")*(Personnel!$G$9:$G$100="Yes")*(13&gt;=Personnel!$E$9:$E$100)*((Personnel!$K$9:$K$100="")+(13&lt;=Personnel!$K$9:$K$100)&gt;0)*Personnel!$D$9:$D$100*(1-Personnel!$I$9:$I$100))))*Escalation!$B$14,Actuals!R104)</f>
        <v/>
      </c>
      <c r="R194" s="401">
        <f>IF(ISBLANK(Actuals!S104),(-(SUMPRODUCT((Personnel!$O$9:$O$100="SP-Fee")*(Personnel!$G$9:$G$100="Yes")*(14&gt;=Personnel!$E$9:$E$100)*((Personnel!$K$9:$K$100="")+(14&lt;=Personnel!$K$9:$K$100)&gt;0)*Personnel!$D$9:$D$100*(1-Personnel!$I$9:$I$100))))*Escalation!$B$15,Actuals!S104)</f>
        <v/>
      </c>
      <c r="S194" s="401">
        <f>IF(ISBLANK(Actuals!T104),(-(SUMPRODUCT((Personnel!$O$9:$O$100="SP-Fee")*(Personnel!$G$9:$G$100="Yes")*(15&gt;=Personnel!$E$9:$E$100)*((Personnel!$K$9:$K$100="")+(15&lt;=Personnel!$K$9:$K$100)&gt;0)*Personnel!$D$9:$D$100*(1-Personnel!$I$9:$I$100))))*Escalation!$B$16,Actuals!T104)</f>
        <v/>
      </c>
      <c r="T194" s="401">
        <f>IF(ISBLANK(Actuals!U104),(-(SUMPRODUCT((Personnel!$O$9:$O$100="SP-Fee")*(Personnel!$G$9:$G$100="Yes")*(16&gt;=Personnel!$E$9:$E$100)*((Personnel!$K$9:$K$100="")+(16&lt;=Personnel!$K$9:$K$100)&gt;0)*Personnel!$D$9:$D$100*(1-Personnel!$I$9:$I$100))))*Escalation!$B$17,Actuals!U104)</f>
        <v/>
      </c>
      <c r="U194" s="401">
        <f>IF(ISBLANK(Actuals!V104),(-(SUMPRODUCT((Personnel!$O$9:$O$100="SP-Fee")*(Personnel!$G$9:$G$100="Yes")*(17&gt;=Personnel!$E$9:$E$100)*((Personnel!$K$9:$K$100="")+(17&lt;=Personnel!$K$9:$K$100)&gt;0)*Personnel!$D$9:$D$100*(1-Personnel!$I$9:$I$100))))*Escalation!$B$18,Actuals!V104)</f>
        <v/>
      </c>
      <c r="V194" s="401">
        <f>IF(ISBLANK(Actuals!W104),(-(SUMPRODUCT((Personnel!$O$9:$O$100="SP-Fee")*(Personnel!$G$9:$G$100="Yes")*(18&gt;=Personnel!$E$9:$E$100)*((Personnel!$K$9:$K$100="")+(18&lt;=Personnel!$K$9:$K$100)&gt;0)*Personnel!$D$9:$D$100*(1-Personnel!$I$9:$I$100))))*Escalation!$B$19,Actuals!W104)</f>
        <v/>
      </c>
      <c r="W194" s="401">
        <f>IF(ISBLANK(Actuals!X104),(-(SUMPRODUCT((Personnel!$O$9:$O$100="SP-Fee")*(Personnel!$G$9:$G$100="Yes")*(19&gt;=Personnel!$E$9:$E$100)*((Personnel!$K$9:$K$100="")+(19&lt;=Personnel!$K$9:$K$100)&gt;0)*Personnel!$D$9:$D$100*(1-Personnel!$I$9:$I$100))))*Escalation!$B$20,Actuals!X104)</f>
        <v/>
      </c>
      <c r="X194" s="401">
        <f>IF(ISBLANK(Actuals!Y104),(-(SUMPRODUCT((Personnel!$O$9:$O$100="SP-Fee")*(Personnel!$G$9:$G$100="Yes")*(20&gt;=Personnel!$E$9:$E$100)*((Personnel!$K$9:$K$100="")+(20&lt;=Personnel!$K$9:$K$100)&gt;0)*Personnel!$D$9:$D$100*(1-Personnel!$I$9:$I$100))))*Escalation!$B$21,Actuals!Y104)</f>
        <v/>
      </c>
      <c r="Y194" s="401">
        <f>IF(ISBLANK(Actuals!Z104),(-(SUMPRODUCT((Personnel!$O$9:$O$100="SP-Fee")*(Personnel!$G$9:$G$100="Yes")*(21&gt;=Personnel!$E$9:$E$100)*((Personnel!$K$9:$K$100="")+(21&lt;=Personnel!$K$9:$K$100)&gt;0)*Personnel!$D$9:$D$100*(1-Personnel!$I$9:$I$100))))*Escalation!$B$22,Actuals!Z104)</f>
        <v/>
      </c>
      <c r="Z194" s="401">
        <f>IF(ISBLANK(Actuals!AA104),(-(SUMPRODUCT((Personnel!$O$9:$O$100="SP-Fee")*(Personnel!$G$9:$G$100="Yes")*(22&gt;=Personnel!$E$9:$E$100)*((Personnel!$K$9:$K$100="")+(22&lt;=Personnel!$K$9:$K$100)&gt;0)*Personnel!$D$9:$D$100*(1-Personnel!$I$9:$I$100))))*Escalation!$B$23,Actuals!AA104)</f>
        <v/>
      </c>
      <c r="AA194" s="401">
        <f>IF(ISBLANK(Actuals!AB104),(-(SUMPRODUCT((Personnel!$O$9:$O$100="SP-Fee")*(Personnel!$G$9:$G$100="Yes")*(23&gt;=Personnel!$E$9:$E$100)*((Personnel!$K$9:$K$100="")+(23&lt;=Personnel!$K$9:$K$100)&gt;0)*Personnel!$D$9:$D$100*(1-Personnel!$I$9:$I$100))))*Escalation!$B$24,Actuals!AB104)</f>
        <v/>
      </c>
      <c r="AB194" s="401">
        <f>IF(ISBLANK(Actuals!AC104),(-(SUMPRODUCT((Personnel!$O$9:$O$100="SP-Fee")*(Personnel!$G$9:$G$100="Yes")*(24&gt;=Personnel!$E$9:$E$100)*((Personnel!$K$9:$K$100="")+(24&lt;=Personnel!$K$9:$K$100)&gt;0)*Personnel!$D$9:$D$100*(1-Personnel!$I$9:$I$100))))*Escalation!$B$25,Actuals!AC104)</f>
        <v/>
      </c>
      <c r="AC194" s="401">
        <f>IF(ISBLANK(Actuals!AD104),(-(SUMPRODUCT((Personnel!$O$9:$O$100="SP-Fee")*(Personnel!$G$9:$G$100="Yes")*(25&gt;=Personnel!$E$9:$E$100)*((Personnel!$K$9:$K$100="")+(25&lt;=Personnel!$K$9:$K$100)&gt;0)*Personnel!$D$9:$D$100*(1-Personnel!$I$9:$I$100))))*Escalation!$B$26,Actuals!AD104)</f>
        <v/>
      </c>
      <c r="AD194" s="401">
        <f>IF(ISBLANK(Actuals!AE104),(-(SUMPRODUCT((Personnel!$O$9:$O$100="SP-Fee")*(Personnel!$G$9:$G$100="Yes")*(26&gt;=Personnel!$E$9:$E$100)*((Personnel!$K$9:$K$100="")+(26&lt;=Personnel!$K$9:$K$100)&gt;0)*Personnel!$D$9:$D$100*(1-Personnel!$I$9:$I$100))))*Escalation!$B$27,Actuals!AE104)</f>
        <v/>
      </c>
      <c r="AE194" s="401">
        <f>IF(ISBLANK(Actuals!AF104),(-(SUMPRODUCT((Personnel!$O$9:$O$100="SP-Fee")*(Personnel!$G$9:$G$100="Yes")*(27&gt;=Personnel!$E$9:$E$100)*((Personnel!$K$9:$K$100="")+(27&lt;=Personnel!$K$9:$K$100)&gt;0)*Personnel!$D$9:$D$100*(1-Personnel!$I$9:$I$100))))*Escalation!$B$28,Actuals!AF104)</f>
        <v/>
      </c>
      <c r="AF194" s="401">
        <f>IF(ISBLANK(Actuals!AG104),(-(SUMPRODUCT((Personnel!$O$9:$O$100="SP-Fee")*(Personnel!$G$9:$G$100="Yes")*(28&gt;=Personnel!$E$9:$E$100)*((Personnel!$K$9:$K$100="")+(28&lt;=Personnel!$K$9:$K$100)&gt;0)*Personnel!$D$9:$D$100*(1-Personnel!$I$9:$I$100))))*Escalation!$B$29,Actuals!AG104)</f>
        <v/>
      </c>
      <c r="AG194" s="401">
        <f>IF(ISBLANK(Actuals!AH104),(-(SUMPRODUCT((Personnel!$O$9:$O$100="SP-Fee")*(Personnel!$G$9:$G$100="Yes")*(29&gt;=Personnel!$E$9:$E$100)*((Personnel!$K$9:$K$100="")+(29&lt;=Personnel!$K$9:$K$100)&gt;0)*Personnel!$D$9:$D$100*(1-Personnel!$I$9:$I$100))))*Escalation!$B$30,Actuals!AH104)</f>
        <v/>
      </c>
      <c r="AH194" s="401">
        <f>IF(ISBLANK(Actuals!AI104),(-(SUMPRODUCT((Personnel!$O$9:$O$100="SP-Fee")*(Personnel!$G$9:$G$100="Yes")*(30&gt;=Personnel!$E$9:$E$100)*((Personnel!$K$9:$K$100="")+(30&lt;=Personnel!$K$9:$K$100)&gt;0)*Personnel!$D$9:$D$100*(1-Personnel!$I$9:$I$100))))*Escalation!$B$31,Actuals!AI104)</f>
        <v/>
      </c>
      <c r="AI194" s="401">
        <f>IF(ISBLANK(Actuals!AJ104),(-(SUMPRODUCT((Personnel!$O$9:$O$100="SP-Fee")*(Personnel!$G$9:$G$100="Yes")*(31&gt;=Personnel!$E$9:$E$100)*((Personnel!$K$9:$K$100="")+(31&lt;=Personnel!$K$9:$K$100)&gt;0)*Personnel!$D$9:$D$100*(1-Personnel!$I$9:$I$100))))*Escalation!$B$32,Actuals!AJ104)</f>
        <v/>
      </c>
      <c r="AJ194" s="401">
        <f>IF(ISBLANK(Actuals!AK104),(-(SUMPRODUCT((Personnel!$O$9:$O$100="SP-Fee")*(Personnel!$G$9:$G$100="Yes")*(32&gt;=Personnel!$E$9:$E$100)*((Personnel!$K$9:$K$100="")+(32&lt;=Personnel!$K$9:$K$100)&gt;0)*Personnel!$D$9:$D$100*(1-Personnel!$I$9:$I$100))))*Escalation!$B$33,Actuals!AK104)</f>
        <v/>
      </c>
      <c r="AK194" s="401">
        <f>IF(ISBLANK(Actuals!AL104),(-(SUMPRODUCT((Personnel!$O$9:$O$100="SP-Fee")*(Personnel!$G$9:$G$100="Yes")*(33&gt;=Personnel!$E$9:$E$100)*((Personnel!$K$9:$K$100="")+(33&lt;=Personnel!$K$9:$K$100)&gt;0)*Personnel!$D$9:$D$100*(1-Personnel!$I$9:$I$100))))*Escalation!$B$34,Actuals!AL104)</f>
        <v/>
      </c>
      <c r="AL194" s="401">
        <f>IF(ISBLANK(Actuals!AM104),(-(SUMPRODUCT((Personnel!$O$9:$O$100="SP-Fee")*(Personnel!$G$9:$G$100="Yes")*(34&gt;=Personnel!$E$9:$E$100)*((Personnel!$K$9:$K$100="")+(34&lt;=Personnel!$K$9:$K$100)&gt;0)*Personnel!$D$9:$D$100*(1-Personnel!$I$9:$I$100))))*Escalation!$B$35,Actuals!AM104)</f>
        <v/>
      </c>
      <c r="AM194" s="401">
        <f>IF(ISBLANK(Actuals!AN104),(-(SUMPRODUCT((Personnel!$O$9:$O$100="SP-Fee")*(Personnel!$G$9:$G$100="Yes")*(35&gt;=Personnel!$E$9:$E$100)*((Personnel!$K$9:$K$100="")+(35&lt;=Personnel!$K$9:$K$100)&gt;0)*Personnel!$D$9:$D$100*(1-Personnel!$I$9:$I$100))))*Escalation!$B$36,Actuals!AN104)</f>
        <v/>
      </c>
      <c r="AN194" s="401">
        <f>IF(ISBLANK(Actuals!AO104),(-(SUMPRODUCT((Personnel!$O$9:$O$100="SP-Fee")*(Personnel!$G$9:$G$100="Yes")*(36&gt;=Personnel!$E$9:$E$100)*((Personnel!$K$9:$K$100="")+(36&lt;=Personnel!$K$9:$K$100)&gt;0)*Personnel!$D$9:$D$100*(1-Personnel!$I$9:$I$100))))*Escalation!$B$37,Actuals!AO104)</f>
        <v/>
      </c>
      <c r="AO194" s="401">
        <f>IF(ISBLANK(Actuals!AP104),(-(SUMPRODUCT((Personnel!$O$9:$O$100="SP-Fee")*(Personnel!$G$9:$G$100="Yes")*(37&gt;=Personnel!$E$9:$E$100)*((Personnel!$K$9:$K$100="")+(37&lt;=Personnel!$K$9:$K$100)&gt;0)*Personnel!$D$9:$D$100*(1-Personnel!$I$9:$I$100))))*Escalation!$B$38,Actuals!AP104)</f>
        <v/>
      </c>
      <c r="AP194" s="401">
        <f>IF(ISBLANK(Actuals!AQ104),(-(SUMPRODUCT((Personnel!$O$9:$O$100="SP-Fee")*(Personnel!$G$9:$G$100="Yes")*(38&gt;=Personnel!$E$9:$E$100)*((Personnel!$K$9:$K$100="")+(38&lt;=Personnel!$K$9:$K$100)&gt;0)*Personnel!$D$9:$D$100*(1-Personnel!$I$9:$I$100))))*Escalation!$B$39,Actuals!AQ104)</f>
        <v/>
      </c>
      <c r="AQ194" s="401">
        <f>IF(ISBLANK(Actuals!AR104),(-(SUMPRODUCT((Personnel!$O$9:$O$100="SP-Fee")*(Personnel!$G$9:$G$100="Yes")*(39&gt;=Personnel!$E$9:$E$100)*((Personnel!$K$9:$K$100="")+(39&lt;=Personnel!$K$9:$K$100)&gt;0)*Personnel!$D$9:$D$100*(1-Personnel!$I$9:$I$100))))*Escalation!$B$40,Actuals!AR104)</f>
        <v/>
      </c>
      <c r="AR194" s="401">
        <f>IF(ISBLANK(Actuals!AS104),(-(SUMPRODUCT((Personnel!$O$9:$O$100="SP-Fee")*(Personnel!$G$9:$G$100="Yes")*(40&gt;=Personnel!$E$9:$E$100)*((Personnel!$K$9:$K$100="")+(40&lt;=Personnel!$K$9:$K$100)&gt;0)*Personnel!$D$9:$D$100*(1-Personnel!$I$9:$I$100))))*Escalation!$B$41,Actuals!AS104)</f>
        <v/>
      </c>
      <c r="AS194" s="401">
        <f>IF(ISBLANK(Actuals!AT104),(-(SUMPRODUCT((Personnel!$O$9:$O$100="SP-Fee")*(Personnel!$G$9:$G$100="Yes")*(41&gt;=Personnel!$E$9:$E$100)*((Personnel!$K$9:$K$100="")+(41&lt;=Personnel!$K$9:$K$100)&gt;0)*Personnel!$D$9:$D$100*(1-Personnel!$I$9:$I$100))))*Escalation!$B$42,Actuals!AT104)</f>
        <v/>
      </c>
      <c r="AT194" s="401">
        <f>IF(ISBLANK(Actuals!AU104),(-(SUMPRODUCT((Personnel!$O$9:$O$100="SP-Fee")*(Personnel!$G$9:$G$100="Yes")*(42&gt;=Personnel!$E$9:$E$100)*((Personnel!$K$9:$K$100="")+(42&lt;=Personnel!$K$9:$K$100)&gt;0)*Personnel!$D$9:$D$100*(1-Personnel!$I$9:$I$100))))*Escalation!$B$43,Actuals!AU104)</f>
        <v/>
      </c>
      <c r="AU194" s="401">
        <f>IF(ISBLANK(Actuals!AV104),(-(SUMPRODUCT((Personnel!$O$9:$O$100="SP-Fee")*(Personnel!$G$9:$G$100="Yes")*(43&gt;=Personnel!$E$9:$E$100)*((Personnel!$K$9:$K$100="")+(43&lt;=Personnel!$K$9:$K$100)&gt;0)*Personnel!$D$9:$D$100*(1-Personnel!$I$9:$I$100))))*Escalation!$B$44,Actuals!AV104)</f>
        <v/>
      </c>
      <c r="AV194" s="401">
        <f>IF(ISBLANK(Actuals!AW104),(-(SUMPRODUCT((Personnel!$O$9:$O$100="SP-Fee")*(Personnel!$G$9:$G$100="Yes")*(44&gt;=Personnel!$E$9:$E$100)*((Personnel!$K$9:$K$100="")+(44&lt;=Personnel!$K$9:$K$100)&gt;0)*Personnel!$D$9:$D$100*(1-Personnel!$I$9:$I$100))))*Escalation!$B$45,Actuals!AW104)</f>
        <v/>
      </c>
      <c r="AW194" s="401">
        <f>IF(ISBLANK(Actuals!AX104),(-(SUMPRODUCT((Personnel!$O$9:$O$100="SP-Fee")*(Personnel!$G$9:$G$100="Yes")*(45&gt;=Personnel!$E$9:$E$100)*((Personnel!$K$9:$K$100="")+(45&lt;=Personnel!$K$9:$K$100)&gt;0)*Personnel!$D$9:$D$100*(1-Personnel!$I$9:$I$100))))*Escalation!$B$46,Actuals!AX104)</f>
        <v/>
      </c>
      <c r="AX194" s="401">
        <f>IF(ISBLANK(Actuals!AY104),(-(SUMPRODUCT((Personnel!$O$9:$O$100="SP-Fee")*(Personnel!$G$9:$G$100="Yes")*(46&gt;=Personnel!$E$9:$E$100)*((Personnel!$K$9:$K$100="")+(46&lt;=Personnel!$K$9:$K$100)&gt;0)*Personnel!$D$9:$D$100*(1-Personnel!$I$9:$I$100))))*Escalation!$B$47,Actuals!AY104)</f>
        <v/>
      </c>
      <c r="AY194" s="401">
        <f>IF(ISBLANK(Actuals!AZ104),(-(SUMPRODUCT((Personnel!$O$9:$O$100="SP-Fee")*(Personnel!$G$9:$G$100="Yes")*(47&gt;=Personnel!$E$9:$E$100)*((Personnel!$K$9:$K$100="")+(47&lt;=Personnel!$K$9:$K$100)&gt;0)*Personnel!$D$9:$D$100*(1-Personnel!$I$9:$I$100))))*Escalation!$B$48,Actuals!AZ104)</f>
        <v/>
      </c>
      <c r="AZ194" s="401">
        <f>IF(ISBLANK(Actuals!BA104),(-(SUMPRODUCT((Personnel!$O$9:$O$100="SP-Fee")*(Personnel!$G$9:$G$100="Yes")*(48&gt;=Personnel!$E$9:$E$100)*((Personnel!$K$9:$K$100="")+(48&lt;=Personnel!$K$9:$K$100)&gt;0)*Personnel!$D$9:$D$100*(1-Personnel!$I$9:$I$100))))*Escalation!$B$49,Actuals!BA104)</f>
        <v/>
      </c>
      <c r="BA194" s="401">
        <f>IF(ISBLANK(Actuals!BB104),(-(SUMPRODUCT((Personnel!$O$9:$O$100="SP-Fee")*(Personnel!$G$9:$G$100="Yes")*(49&gt;=Personnel!$E$9:$E$100)*((Personnel!$K$9:$K$100="")+(49&lt;=Personnel!$K$9:$K$100)&gt;0)*Personnel!$D$9:$D$100*(1-Personnel!$I$9:$I$100))))*Escalation!$B$50,Actuals!BB104)</f>
        <v/>
      </c>
      <c r="BB194" s="401">
        <f>IF(ISBLANK(Actuals!BC104),(-(SUMPRODUCT((Personnel!$O$9:$O$100="SP-Fee")*(Personnel!$G$9:$G$100="Yes")*(50&gt;=Personnel!$E$9:$E$100)*((Personnel!$K$9:$K$100="")+(50&lt;=Personnel!$K$9:$K$100)&gt;0)*Personnel!$D$9:$D$100*(1-Personnel!$I$9:$I$100))))*Escalation!$B$51,Actuals!BC104)</f>
        <v/>
      </c>
      <c r="BC194" s="401">
        <f>IF(ISBLANK(Actuals!BD104),(-(SUMPRODUCT((Personnel!$O$9:$O$100="SP-Fee")*(Personnel!$G$9:$G$100="Yes")*(51&gt;=Personnel!$E$9:$E$100)*((Personnel!$K$9:$K$100="")+(51&lt;=Personnel!$K$9:$K$100)&gt;0)*Personnel!$D$9:$D$100*(1-Personnel!$I$9:$I$100))))*Escalation!$B$52,Actuals!BD104)</f>
        <v/>
      </c>
      <c r="BD194" s="401">
        <f>IF(ISBLANK(Actuals!BE104),(-(SUMPRODUCT((Personnel!$O$9:$O$100="SP-Fee")*(Personnel!$G$9:$G$100="Yes")*(52&gt;=Personnel!$E$9:$E$100)*((Personnel!$K$9:$K$100="")+(52&lt;=Personnel!$K$9:$K$100)&gt;0)*Personnel!$D$9:$D$100*(1-Personnel!$I$9:$I$100))))*Escalation!$B$53,Actuals!BE104)</f>
        <v/>
      </c>
      <c r="BE194" s="401">
        <f>IF(ISBLANK(Actuals!BF104),(-(SUMPRODUCT((Personnel!$O$9:$O$100="SP-Fee")*(Personnel!$G$9:$G$100="Yes")*(53&gt;=Personnel!$E$9:$E$100)*((Personnel!$K$9:$K$100="")+(53&lt;=Personnel!$K$9:$K$100)&gt;0)*Personnel!$D$9:$D$100*(1-Personnel!$I$9:$I$100))))*Escalation!$B$54,Actuals!BF104)</f>
        <v/>
      </c>
      <c r="BF194" s="401">
        <f>IF(ISBLANK(Actuals!BG104),(-(SUMPRODUCT((Personnel!$O$9:$O$100="SP-Fee")*(Personnel!$G$9:$G$100="Yes")*(54&gt;=Personnel!$E$9:$E$100)*((Personnel!$K$9:$K$100="")+(54&lt;=Personnel!$K$9:$K$100)&gt;0)*Personnel!$D$9:$D$100*(1-Personnel!$I$9:$I$100))))*Escalation!$B$55,Actuals!BG104)</f>
        <v/>
      </c>
      <c r="BG194" s="401">
        <f>IF(ISBLANK(Actuals!BH104),(-(SUMPRODUCT((Personnel!$O$9:$O$100="SP-Fee")*(Personnel!$G$9:$G$100="Yes")*(55&gt;=Personnel!$E$9:$E$100)*((Personnel!$K$9:$K$100="")+(55&lt;=Personnel!$K$9:$K$100)&gt;0)*Personnel!$D$9:$D$100*(1-Personnel!$I$9:$I$100))))*Escalation!$B$56,Actuals!BH104)</f>
        <v/>
      </c>
      <c r="BH194" s="401">
        <f>IF(ISBLANK(Actuals!BI104),(-(SUMPRODUCT((Personnel!$O$9:$O$100="SP-Fee")*(Personnel!$G$9:$G$100="Yes")*(56&gt;=Personnel!$E$9:$E$100)*((Personnel!$K$9:$K$100="")+(56&lt;=Personnel!$K$9:$K$100)&gt;0)*Personnel!$D$9:$D$100*(1-Personnel!$I$9:$I$100))))*Escalation!$B$57,Actuals!BI104)</f>
        <v/>
      </c>
      <c r="BI194" s="401">
        <f>IF(ISBLANK(Actuals!BJ104),(-(SUMPRODUCT((Personnel!$O$9:$O$100="SP-Fee")*(Personnel!$G$9:$G$100="Yes")*(57&gt;=Personnel!$E$9:$E$100)*((Personnel!$K$9:$K$100="")+(57&lt;=Personnel!$K$9:$K$100)&gt;0)*Personnel!$D$9:$D$100*(1-Personnel!$I$9:$I$100))))*Escalation!$B$58,Actuals!BJ104)</f>
        <v/>
      </c>
      <c r="BJ194" s="401">
        <f>IF(ISBLANK(Actuals!BK104),(-(SUMPRODUCT((Personnel!$O$9:$O$100="SP-Fee")*(Personnel!$G$9:$G$100="Yes")*(58&gt;=Personnel!$E$9:$E$100)*((Personnel!$K$9:$K$100="")+(58&lt;=Personnel!$K$9:$K$100)&gt;0)*Personnel!$D$9:$D$100*(1-Personnel!$I$9:$I$100))))*Escalation!$B$59,Actuals!BK104)</f>
        <v/>
      </c>
      <c r="BK194" s="401">
        <f>IF(ISBLANK(Actuals!BL104),(-(SUMPRODUCT((Personnel!$O$9:$O$100="SP-Fee")*(Personnel!$G$9:$G$100="Yes")*(59&gt;=Personnel!$E$9:$E$100)*((Personnel!$K$9:$K$100="")+(59&lt;=Personnel!$K$9:$K$100)&gt;0)*Personnel!$D$9:$D$100*(1-Personnel!$I$9:$I$100))))*Escalation!$B$60,Actuals!BL104)</f>
        <v/>
      </c>
      <c r="BL194" s="401">
        <f>IF(ISBLANK(Actuals!BM104),(-(SUMPRODUCT((Personnel!$O$9:$O$100="SP-Fee")*(Personnel!$G$9:$G$100="Yes")*(60&gt;=Personnel!$E$9:$E$100)*((Personnel!$K$9:$K$100="")+(60&lt;=Personnel!$K$9:$K$100)&gt;0)*Personnel!$D$9:$D$100*(1-Personnel!$I$9:$I$100))))*Escalation!$B$61,Actuals!BM104)</f>
        <v/>
      </c>
      <c r="BM194" s="401">
        <f>IF(ISBLANK(Actuals!BN104),(-(SUMPRODUCT((Personnel!$O$9:$O$100="SP-Fee")*(Personnel!$G$9:$G$100="Yes")*(61&gt;=Personnel!$E$9:$E$100)*((Personnel!$K$9:$K$100="")+(61&lt;=Personnel!$K$9:$K$100)&gt;0)*Personnel!$D$9:$D$100*(1-Personnel!$I$9:$I$100))))*Escalation!$B$62,Actuals!BN104)</f>
        <v/>
      </c>
      <c r="BN194" s="401">
        <f>IF(ISBLANK(Actuals!BO104),(-(SUMPRODUCT((Personnel!$O$9:$O$100="SP-Fee")*(Personnel!$G$9:$G$100="Yes")*(62&gt;=Personnel!$E$9:$E$100)*((Personnel!$K$9:$K$100="")+(62&lt;=Personnel!$K$9:$K$100)&gt;0)*Personnel!$D$9:$D$100*(1-Personnel!$I$9:$I$100))))*Escalation!$B$63,Actuals!BO104)</f>
        <v/>
      </c>
      <c r="BO194" s="401">
        <f>IF(ISBLANK(Actuals!BP104),(-(SUMPRODUCT((Personnel!$O$9:$O$100="SP-Fee")*(Personnel!$G$9:$G$100="Yes")*(63&gt;=Personnel!$E$9:$E$100)*((Personnel!$K$9:$K$100="")+(63&lt;=Personnel!$K$9:$K$100)&gt;0)*Personnel!$D$9:$D$100*(1-Personnel!$I$9:$I$100))))*Escalation!$B$64,Actuals!BP104)</f>
        <v/>
      </c>
      <c r="BP194" s="401">
        <f>IF(ISBLANK(Actuals!BQ104),(-(SUMPRODUCT((Personnel!$O$9:$O$100="SP-Fee")*(Personnel!$G$9:$G$100="Yes")*(64&gt;=Personnel!$E$9:$E$100)*((Personnel!$K$9:$K$100="")+(64&lt;=Personnel!$K$9:$K$100)&gt;0)*Personnel!$D$9:$D$100*(1-Personnel!$I$9:$I$100))))*Escalation!$B$65,Actuals!BQ104)</f>
        <v/>
      </c>
      <c r="BQ194" s="401">
        <f>IF(ISBLANK(Actuals!BR104),(-(SUMPRODUCT((Personnel!$O$9:$O$100="SP-Fee")*(Personnel!$G$9:$G$100="Yes")*(65&gt;=Personnel!$E$9:$E$100)*((Personnel!$K$9:$K$100="")+(65&lt;=Personnel!$K$9:$K$100)&gt;0)*Personnel!$D$9:$D$100*(1-Personnel!$I$9:$I$100))))*Escalation!$B$66,Actuals!BR104)</f>
        <v/>
      </c>
      <c r="BR194" s="401">
        <f>IF(ISBLANK(Actuals!BS104),(-(SUMPRODUCT((Personnel!$O$9:$O$100="SP-Fee")*(Personnel!$G$9:$G$100="Yes")*(66&gt;=Personnel!$E$9:$E$100)*((Personnel!$K$9:$K$100="")+(66&lt;=Personnel!$K$9:$K$100)&gt;0)*Personnel!$D$9:$D$100*(1-Personnel!$I$9:$I$100))))*Escalation!$B$67,Actuals!BS104)</f>
        <v/>
      </c>
      <c r="BS194" s="401">
        <f>IF(ISBLANK(Actuals!BT104),(-(SUMPRODUCT((Personnel!$O$9:$O$100="SP-Fee")*(Personnel!$G$9:$G$100="Yes")*(67&gt;=Personnel!$E$9:$E$100)*((Personnel!$K$9:$K$100="")+(67&lt;=Personnel!$K$9:$K$100)&gt;0)*Personnel!$D$9:$D$100*(1-Personnel!$I$9:$I$100))))*Escalation!$B$68,Actuals!BT104)</f>
        <v/>
      </c>
      <c r="BT194" s="401">
        <f>IF(ISBLANK(Actuals!BU104),(-(SUMPRODUCT((Personnel!$O$9:$O$100="SP-Fee")*(Personnel!$G$9:$G$100="Yes")*(68&gt;=Personnel!$E$9:$E$100)*((Personnel!$K$9:$K$100="")+(68&lt;=Personnel!$K$9:$K$100)&gt;0)*Personnel!$D$9:$D$100*(1-Personnel!$I$9:$I$100))))*Escalation!$B$69,Actuals!BU104)</f>
        <v/>
      </c>
      <c r="BU194" s="401">
        <f>IF(ISBLANK(Actuals!BV104),(-(SUMPRODUCT((Personnel!$O$9:$O$100="SP-Fee")*(Personnel!$G$9:$G$100="Yes")*(69&gt;=Personnel!$E$9:$E$100)*((Personnel!$K$9:$K$100="")+(69&lt;=Personnel!$K$9:$K$100)&gt;0)*Personnel!$D$9:$D$100*(1-Personnel!$I$9:$I$100))))*Escalation!$B$70,Actuals!BV104)</f>
        <v/>
      </c>
      <c r="BV194" s="401">
        <f>IF(ISBLANK(Actuals!BW104),(-(SUMPRODUCT((Personnel!$O$9:$O$100="SP-Fee")*(Personnel!$G$9:$G$100="Yes")*(70&gt;=Personnel!$E$9:$E$100)*((Personnel!$K$9:$K$100="")+(70&lt;=Personnel!$K$9:$K$100)&gt;0)*Personnel!$D$9:$D$100*(1-Personnel!$I$9:$I$100))))*Escalation!$B$71,Actuals!BW104)</f>
        <v/>
      </c>
      <c r="BW194" s="401">
        <f>IF(ISBLANK(Actuals!BX104),(-(SUMPRODUCT((Personnel!$O$9:$O$100="SP-Fee")*(Personnel!$G$9:$G$100="Yes")*(71&gt;=Personnel!$E$9:$E$100)*((Personnel!$K$9:$K$100="")+(71&lt;=Personnel!$K$9:$K$100)&gt;0)*Personnel!$D$9:$D$100*(1-Personnel!$I$9:$I$100))))*Escalation!$B$72,Actuals!BX104)</f>
        <v/>
      </c>
      <c r="BX194" s="401">
        <f>IF(ISBLANK(Actuals!BY104),(-(SUMPRODUCT((Personnel!$O$9:$O$100="SP-Fee")*(Personnel!$G$9:$G$100="Yes")*(72&gt;=Personnel!$E$9:$E$100)*((Personnel!$K$9:$K$100="")+(72&lt;=Personnel!$K$9:$K$100)&gt;0)*Personnel!$D$9:$D$100*(1-Personnel!$I$9:$I$100))))*Escalation!$B$73,Actuals!BY104)</f>
        <v/>
      </c>
      <c r="BY194" s="401">
        <f>IF(ISBLANK(Actuals!BZ104),(-(SUMPRODUCT((Personnel!$O$9:$O$100="SP-Fee")*(Personnel!$G$9:$G$100="Yes")*(73&gt;=Personnel!$E$9:$E$100)*((Personnel!$K$9:$K$100="")+(73&lt;=Personnel!$K$9:$K$100)&gt;0)*Personnel!$D$9:$D$100*(1-Personnel!$I$9:$I$100))))*Escalation!$B$74,Actuals!BZ104)</f>
        <v/>
      </c>
      <c r="BZ194" s="401">
        <f>IF(ISBLANK(Actuals!CA104),(-(SUMPRODUCT((Personnel!$O$9:$O$100="SP-Fee")*(Personnel!$G$9:$G$100="Yes")*(74&gt;=Personnel!$E$9:$E$100)*((Personnel!$K$9:$K$100="")+(74&lt;=Personnel!$K$9:$K$100)&gt;0)*Personnel!$D$9:$D$100*(1-Personnel!$I$9:$I$100))))*Escalation!$B$75,Actuals!CA104)</f>
        <v/>
      </c>
      <c r="CA194" s="401">
        <f>IF(ISBLANK(Actuals!CB104),(-(SUMPRODUCT((Personnel!$O$9:$O$100="SP-Fee")*(Personnel!$G$9:$G$100="Yes")*(75&gt;=Personnel!$E$9:$E$100)*((Personnel!$K$9:$K$100="")+(75&lt;=Personnel!$K$9:$K$100)&gt;0)*Personnel!$D$9:$D$100*(1-Personnel!$I$9:$I$100))))*Escalation!$B$76,Actuals!CB104)</f>
        <v/>
      </c>
      <c r="CB194" s="401">
        <f>IF(ISBLANK(Actuals!CC104),(-(SUMPRODUCT((Personnel!$O$9:$O$100="SP-Fee")*(Personnel!$G$9:$G$100="Yes")*(76&gt;=Personnel!$E$9:$E$100)*((Personnel!$K$9:$K$100="")+(76&lt;=Personnel!$K$9:$K$100)&gt;0)*Personnel!$D$9:$D$100*(1-Personnel!$I$9:$I$100))))*Escalation!$B$77,Actuals!CC104)</f>
        <v/>
      </c>
      <c r="CC194" s="401">
        <f>IF(ISBLANK(Actuals!CD104),(-(SUMPRODUCT((Personnel!$O$9:$O$100="SP-Fee")*(Personnel!$G$9:$G$100="Yes")*(77&gt;=Personnel!$E$9:$E$100)*((Personnel!$K$9:$K$100="")+(77&lt;=Personnel!$K$9:$K$100)&gt;0)*Personnel!$D$9:$D$100*(1-Personnel!$I$9:$I$100))))*Escalation!$B$78,Actuals!CD104)</f>
        <v/>
      </c>
      <c r="CD194" s="401">
        <f>IF(ISBLANK(Actuals!CE104),(-(SUMPRODUCT((Personnel!$O$9:$O$100="SP-Fee")*(Personnel!$G$9:$G$100="Yes")*(78&gt;=Personnel!$E$9:$E$100)*((Personnel!$K$9:$K$100="")+(78&lt;=Personnel!$K$9:$K$100)&gt;0)*Personnel!$D$9:$D$100*(1-Personnel!$I$9:$I$100))))*Escalation!$B$79,Actuals!CE104)</f>
        <v/>
      </c>
      <c r="CE194" s="401">
        <f>IF(ISBLANK(Actuals!CF104),(-(SUMPRODUCT((Personnel!$O$9:$O$100="SP-Fee")*(Personnel!$G$9:$G$100="Yes")*(79&gt;=Personnel!$E$9:$E$100)*((Personnel!$K$9:$K$100="")+(79&lt;=Personnel!$K$9:$K$100)&gt;0)*Personnel!$D$9:$D$100*(1-Personnel!$I$9:$I$100))))*Escalation!$B$80,Actuals!CF104)</f>
        <v/>
      </c>
      <c r="CF194" s="401">
        <f>IF(ISBLANK(Actuals!CG104),(-(SUMPRODUCT((Personnel!$O$9:$O$100="SP-Fee")*(Personnel!$G$9:$G$100="Yes")*(80&gt;=Personnel!$E$9:$E$100)*((Personnel!$K$9:$K$100="")+(80&lt;=Personnel!$K$9:$K$100)&gt;0)*Personnel!$D$9:$D$100*(1-Personnel!$I$9:$I$100))))*Escalation!$B$81,Actuals!CG104)</f>
        <v/>
      </c>
      <c r="CG194" s="401">
        <f>IF(ISBLANK(Actuals!CH104),(-(SUMPRODUCT((Personnel!$O$9:$O$100="SP-Fee")*(Personnel!$G$9:$G$100="Yes")*(81&gt;=Personnel!$E$9:$E$100)*((Personnel!$K$9:$K$100="")+(81&lt;=Personnel!$K$9:$K$100)&gt;0)*Personnel!$D$9:$D$100*(1-Personnel!$I$9:$I$100))))*Escalation!$B$82,Actuals!CH104)</f>
        <v/>
      </c>
      <c r="CH194" s="401">
        <f>IF(ISBLANK(Actuals!CI104),(-(SUMPRODUCT((Personnel!$O$9:$O$100="SP-Fee")*(Personnel!$G$9:$G$100="Yes")*(82&gt;=Personnel!$E$9:$E$100)*((Personnel!$K$9:$K$100="")+(82&lt;=Personnel!$K$9:$K$100)&gt;0)*Personnel!$D$9:$D$100*(1-Personnel!$I$9:$I$100))))*Escalation!$B$83,Actuals!CI104)</f>
        <v/>
      </c>
      <c r="CI194" s="401">
        <f>IF(ISBLANK(Actuals!CJ104),(-(SUMPRODUCT((Personnel!$O$9:$O$100="SP-Fee")*(Personnel!$G$9:$G$100="Yes")*(83&gt;=Personnel!$E$9:$E$100)*((Personnel!$K$9:$K$100="")+(83&lt;=Personnel!$K$9:$K$100)&gt;0)*Personnel!$D$9:$D$100*(1-Personnel!$I$9:$I$100))))*Escalation!$B$84,Actuals!CJ104)</f>
        <v/>
      </c>
      <c r="CJ194" s="401">
        <f>IF(ISBLANK(Actuals!CK104),(-(SUMPRODUCT((Personnel!$O$9:$O$100="SP-Fee")*(Personnel!$G$9:$G$100="Yes")*(84&gt;=Personnel!$E$9:$E$100)*((Personnel!$K$9:$K$100="")+(84&lt;=Personnel!$K$9:$K$100)&gt;0)*Personnel!$D$9:$D$100*(1-Personnel!$I$9:$I$100))))*Escalation!$B$85,Actuals!CK104)</f>
        <v/>
      </c>
      <c r="CK194" s="401">
        <f>IF(ISBLANK(Actuals!CL104),(-(SUMPRODUCT((Personnel!$O$9:$O$100="SP-Fee")*(Personnel!$G$9:$G$100="Yes")*(85&gt;=Personnel!$E$9:$E$100)*((Personnel!$K$9:$K$100="")+(85&lt;=Personnel!$K$9:$K$100)&gt;0)*Personnel!$D$9:$D$100*(1-Personnel!$I$9:$I$100))))*Escalation!$B$86,Actuals!CL104)</f>
        <v/>
      </c>
      <c r="CL194" s="401">
        <f>IF(ISBLANK(Actuals!CM104),(-(SUMPRODUCT((Personnel!$O$9:$O$100="SP-Fee")*(Personnel!$G$9:$G$100="Yes")*(86&gt;=Personnel!$E$9:$E$100)*((Personnel!$K$9:$K$100="")+(86&lt;=Personnel!$K$9:$K$100)&gt;0)*Personnel!$D$9:$D$100*(1-Personnel!$I$9:$I$100))))*Escalation!$B$87,Actuals!CM104)</f>
        <v/>
      </c>
      <c r="CM194" s="401">
        <f>IF(ISBLANK(Actuals!CN104),(-(SUMPRODUCT((Personnel!$O$9:$O$100="SP-Fee")*(Personnel!$G$9:$G$100="Yes")*(87&gt;=Personnel!$E$9:$E$100)*((Personnel!$K$9:$K$100="")+(87&lt;=Personnel!$K$9:$K$100)&gt;0)*Personnel!$D$9:$D$100*(1-Personnel!$I$9:$I$100))))*Escalation!$B$88,Actuals!CN104)</f>
        <v/>
      </c>
      <c r="CN194" s="401">
        <f>IF(ISBLANK(Actuals!CO104),(-(SUMPRODUCT((Personnel!$O$9:$O$100="SP-Fee")*(Personnel!$G$9:$G$100="Yes")*(88&gt;=Personnel!$E$9:$E$100)*((Personnel!$K$9:$K$100="")+(88&lt;=Personnel!$K$9:$K$100)&gt;0)*Personnel!$D$9:$D$100*(1-Personnel!$I$9:$I$100))))*Escalation!$B$89,Actuals!CO104)</f>
        <v/>
      </c>
      <c r="CO194" s="401">
        <f>IF(ISBLANK(Actuals!CP104),(-(SUMPRODUCT((Personnel!$O$9:$O$100="SP-Fee")*(Personnel!$G$9:$G$100="Yes")*(89&gt;=Personnel!$E$9:$E$100)*((Personnel!$K$9:$K$100="")+(89&lt;=Personnel!$K$9:$K$100)&gt;0)*Personnel!$D$9:$D$100*(1-Personnel!$I$9:$I$100))))*Escalation!$B$90,Actuals!CP104)</f>
        <v/>
      </c>
      <c r="CP194" s="401">
        <f>IF(ISBLANK(Actuals!CQ104),(-(SUMPRODUCT((Personnel!$O$9:$O$100="SP-Fee")*(Personnel!$G$9:$G$100="Yes")*(90&gt;=Personnel!$E$9:$E$100)*((Personnel!$K$9:$K$100="")+(90&lt;=Personnel!$K$9:$K$100)&gt;0)*Personnel!$D$9:$D$100*(1-Personnel!$I$9:$I$100))))*Escalation!$B$91,Actuals!CQ104)</f>
        <v/>
      </c>
      <c r="CQ194" s="401">
        <f>IF(ISBLANK(Actuals!CR104),(-(SUMPRODUCT((Personnel!$O$9:$O$100="SP-Fee")*(Personnel!$G$9:$G$100="Yes")*(91&gt;=Personnel!$E$9:$E$100)*((Personnel!$K$9:$K$100="")+(91&lt;=Personnel!$K$9:$K$100)&gt;0)*Personnel!$D$9:$D$100*(1-Personnel!$I$9:$I$100))))*Escalation!$B$92,Actuals!CR104)</f>
        <v/>
      </c>
      <c r="CR194" s="401">
        <f>IF(ISBLANK(Actuals!CS104),(-(SUMPRODUCT((Personnel!$O$9:$O$100="SP-Fee")*(Personnel!$G$9:$G$100="Yes")*(92&gt;=Personnel!$E$9:$E$100)*((Personnel!$K$9:$K$100="")+(92&lt;=Personnel!$K$9:$K$100)&gt;0)*Personnel!$D$9:$D$100*(1-Personnel!$I$9:$I$100))))*Escalation!$B$93,Actuals!CS104)</f>
        <v/>
      </c>
      <c r="CS194" s="401">
        <f>IF(ISBLANK(Actuals!CT104),(-(SUMPRODUCT((Personnel!$O$9:$O$100="SP-Fee")*(Personnel!$G$9:$G$100="Yes")*(93&gt;=Personnel!$E$9:$E$100)*((Personnel!$K$9:$K$100="")+(93&lt;=Personnel!$K$9:$K$100)&gt;0)*Personnel!$D$9:$D$100*(1-Personnel!$I$9:$I$100))))*Escalation!$B$94,Actuals!CT104)</f>
        <v/>
      </c>
      <c r="CT194" s="401">
        <f>IF(ISBLANK(Actuals!CU104),(-(SUMPRODUCT((Personnel!$O$9:$O$100="SP-Fee")*(Personnel!$G$9:$G$100="Yes")*(94&gt;=Personnel!$E$9:$E$100)*((Personnel!$K$9:$K$100="")+(94&lt;=Personnel!$K$9:$K$100)&gt;0)*Personnel!$D$9:$D$100*(1-Personnel!$I$9:$I$100))))*Escalation!$B$95,Actuals!CU104)</f>
        <v/>
      </c>
      <c r="CU194" s="401">
        <f>IF(ISBLANK(Actuals!CV104),(-(SUMPRODUCT((Personnel!$O$9:$O$100="SP-Fee")*(Personnel!$G$9:$G$100="Yes")*(95&gt;=Personnel!$E$9:$E$100)*((Personnel!$K$9:$K$100="")+(95&lt;=Personnel!$K$9:$K$100)&gt;0)*Personnel!$D$9:$D$100*(1-Personnel!$I$9:$I$100))))*Escalation!$B$96,Actuals!CV104)</f>
        <v/>
      </c>
      <c r="CV194" s="401">
        <f>IF(ISBLANK(Actuals!CW104),(-(SUMPRODUCT((Personnel!$O$9:$O$100="SP-Fee")*(Personnel!$G$9:$G$100="Yes")*(96&gt;=Personnel!$E$9:$E$100)*((Personnel!$K$9:$K$100="")+(96&lt;=Personnel!$K$9:$K$100)&gt;0)*Personnel!$D$9:$D$100*(1-Personnel!$I$9:$I$100))))*Escalation!$B$97,Actuals!CW104)</f>
        <v/>
      </c>
      <c r="CW194" s="401">
        <f>IF(ISBLANK(Actuals!CX104),(-(SUMPRODUCT((Personnel!$O$9:$O$100="SP-Fee")*(Personnel!$G$9:$G$100="Yes")*(97&gt;=Personnel!$E$9:$E$100)*((Personnel!$K$9:$K$100="")+(97&lt;=Personnel!$K$9:$K$100)&gt;0)*Personnel!$D$9:$D$100*(1-Personnel!$I$9:$I$100))))*Escalation!$B$98,Actuals!CX104)</f>
        <v/>
      </c>
      <c r="CX194" s="401">
        <f>IF(ISBLANK(Actuals!CY104),(-(SUMPRODUCT((Personnel!$O$9:$O$100="SP-Fee")*(Personnel!$G$9:$G$100="Yes")*(98&gt;=Personnel!$E$9:$E$100)*((Personnel!$K$9:$K$100="")+(98&lt;=Personnel!$K$9:$K$100)&gt;0)*Personnel!$D$9:$D$100*(1-Personnel!$I$9:$I$100))))*Escalation!$B$99,Actuals!CY104)</f>
        <v/>
      </c>
      <c r="CY194" s="401">
        <f>IF(ISBLANK(Actuals!CZ104),(-(SUMPRODUCT((Personnel!$O$9:$O$100="SP-Fee")*(Personnel!$G$9:$G$100="Yes")*(99&gt;=Personnel!$E$9:$E$100)*((Personnel!$K$9:$K$100="")+(99&lt;=Personnel!$K$9:$K$100)&gt;0)*Personnel!$D$9:$D$100*(1-Personnel!$I$9:$I$100))))*Escalation!$B$100,Actuals!CZ104)</f>
        <v/>
      </c>
      <c r="CZ194" s="401">
        <f>IF(ISBLANK(Actuals!DA104),(-(SUMPRODUCT((Personnel!$O$9:$O$100="SP-Fee")*(Personnel!$G$9:$G$100="Yes")*(100&gt;=Personnel!$E$9:$E$100)*((Personnel!$K$9:$K$100="")+(100&lt;=Personnel!$K$9:$K$100)&gt;0)*Personnel!$D$9:$D$100*(1-Personnel!$I$9:$I$100))))*Escalation!$B$101,Actuals!DA104)</f>
        <v/>
      </c>
      <c r="DA194" s="401">
        <f>IF(ISBLANK(Actuals!DB104),(-(SUMPRODUCT((Personnel!$O$9:$O$100="SP-Fee")*(Personnel!$G$9:$G$100="Yes")*(101&gt;=Personnel!$E$9:$E$100)*((Personnel!$K$9:$K$100="")+(101&lt;=Personnel!$K$9:$K$100)&gt;0)*Personnel!$D$9:$D$100*(1-Personnel!$I$9:$I$100))))*Escalation!$B$102,Actuals!DB104)</f>
        <v/>
      </c>
      <c r="DB194" s="401">
        <f>IF(ISBLANK(Actuals!DC104),(-(SUMPRODUCT((Personnel!$O$9:$O$100="SP-Fee")*(Personnel!$G$9:$G$100="Yes")*(102&gt;=Personnel!$E$9:$E$100)*((Personnel!$K$9:$K$100="")+(102&lt;=Personnel!$K$9:$K$100)&gt;0)*Personnel!$D$9:$D$100*(1-Personnel!$I$9:$I$100))))*Escalation!$B$103,Actuals!DC104)</f>
        <v/>
      </c>
      <c r="DC194" s="401">
        <f>IF(ISBLANK(Actuals!DD104),(-(SUMPRODUCT((Personnel!$O$9:$O$100="SP-Fee")*(Personnel!$G$9:$G$100="Yes")*(103&gt;=Personnel!$E$9:$E$100)*((Personnel!$K$9:$K$100="")+(103&lt;=Personnel!$K$9:$K$100)&gt;0)*Personnel!$D$9:$D$100*(1-Personnel!$I$9:$I$100))))*Escalation!$B$104,Actuals!DD104)</f>
        <v/>
      </c>
      <c r="DD194" s="401">
        <f>IF(ISBLANK(Actuals!DE104),(-(SUMPRODUCT((Personnel!$O$9:$O$100="SP-Fee")*(Personnel!$G$9:$G$100="Yes")*(104&gt;=Personnel!$E$9:$E$100)*((Personnel!$K$9:$K$100="")+(104&lt;=Personnel!$K$9:$K$100)&gt;0)*Personnel!$D$9:$D$100*(1-Personnel!$I$9:$I$100))))*Escalation!$B$105,Actuals!DE104)</f>
        <v/>
      </c>
      <c r="DE194" s="401">
        <f>IF(ISBLANK(Actuals!DF104),(-(SUMPRODUCT((Personnel!$O$9:$O$100="SP-Fee")*(Personnel!$G$9:$G$100="Yes")*(105&gt;=Personnel!$E$9:$E$100)*((Personnel!$K$9:$K$100="")+(105&lt;=Personnel!$K$9:$K$100)&gt;0)*Personnel!$D$9:$D$100*(1-Personnel!$I$9:$I$100))))*Escalation!$B$106,Actuals!DF104)</f>
        <v/>
      </c>
    </row>
    <row r="195" ht="15" customFormat="1" customHeight="1" s="380">
      <c r="A195" s="397" t="inlineStr">
        <is>
          <t>5900-1075 Miscellaneous Expense</t>
        </is>
      </c>
      <c r="B195" s="392">
        <f>IF(ISBLANK(Actuals!C105),0,Actuals!C105)</f>
        <v/>
      </c>
      <c r="C195" s="392">
        <f>IF(ISBLANK(Actuals!D105),0,Actuals!D105)</f>
        <v/>
      </c>
      <c r="D195" s="392">
        <f>IF(ISBLANK(Actuals!E105),0,Actuals!E105)</f>
        <v/>
      </c>
      <c r="E195" s="392">
        <f>IF(ISBLANK(Actuals!F105),-1580.65*Escalation!$B$2,Actuals!F105)</f>
        <v/>
      </c>
      <c r="F195" s="392">
        <f>IF(ISBLANK(Actuals!G105),-1580.65*Escalation!$B$3,Actuals!G105)</f>
        <v/>
      </c>
      <c r="G195" s="392">
        <f>IF(ISBLANK(Actuals!H105),-1580.65*Escalation!$B$4,Actuals!H105)</f>
        <v/>
      </c>
      <c r="H195" s="392">
        <f>IF(ISBLANK(Actuals!I105),-1580.65*Escalation!$B$5,Actuals!I105)</f>
        <v/>
      </c>
      <c r="I195" s="392">
        <f>IF(ISBLANK(Actuals!J105),-1580.65*Escalation!$B$6,Actuals!J105)</f>
        <v/>
      </c>
      <c r="J195" s="392">
        <f>IF(ISBLANK(Actuals!K105),-1580.65*Escalation!$B$7,Actuals!K105)</f>
        <v/>
      </c>
      <c r="K195" s="392">
        <f>IF(ISBLANK(Actuals!L105),-1580.65*Escalation!$B$8,Actuals!L105)</f>
        <v/>
      </c>
      <c r="L195" s="392">
        <f>IF(ISBLANK(Actuals!M105),-1580.65*Escalation!$B$9,Actuals!M105)</f>
        <v/>
      </c>
      <c r="M195" s="392">
        <f>IF(ISBLANK(Actuals!N105),-1580.65*Escalation!$B$10,Actuals!N105)</f>
        <v/>
      </c>
      <c r="N195" s="392">
        <f>IF(ISBLANK(Actuals!O105),-1580.65*Escalation!$B$11,Actuals!O105)</f>
        <v/>
      </c>
      <c r="O195" s="392">
        <f>IF(ISBLANK(Actuals!P105),-1580.65*Escalation!$B$12,Actuals!P105)</f>
        <v/>
      </c>
      <c r="P195" s="392">
        <f>IF(ISBLANK(Actuals!Q105),-1580.65*Escalation!$B$13,Actuals!Q105)</f>
        <v/>
      </c>
      <c r="Q195" s="392">
        <f>IF(ISBLANK(Actuals!R105),-1580.65*Escalation!$B$14,Actuals!R105)</f>
        <v/>
      </c>
      <c r="R195" s="392">
        <f>IF(ISBLANK(Actuals!S105),-1580.65*Escalation!$B$15,Actuals!S105)</f>
        <v/>
      </c>
      <c r="S195" s="392">
        <f>IF(ISBLANK(Actuals!T105),-1580.65*Escalation!$B$16,Actuals!T105)</f>
        <v/>
      </c>
      <c r="T195" s="392">
        <f>IF(ISBLANK(Actuals!U105),-1580.65*Escalation!$B$17,Actuals!U105)</f>
        <v/>
      </c>
      <c r="U195" s="392">
        <f>IF(ISBLANK(Actuals!V105),-1580.65*Escalation!$B$18,Actuals!V105)</f>
        <v/>
      </c>
      <c r="V195" s="392">
        <f>IF(ISBLANK(Actuals!W105),-1580.65*Escalation!$B$19,Actuals!W105)</f>
        <v/>
      </c>
      <c r="W195" s="392">
        <f>IF(ISBLANK(Actuals!X105),-1580.65*Escalation!$B$20,Actuals!X105)</f>
        <v/>
      </c>
      <c r="X195" s="392">
        <f>IF(ISBLANK(Actuals!Y105),-1580.65*Escalation!$B$21,Actuals!Y105)</f>
        <v/>
      </c>
      <c r="Y195" s="392">
        <f>IF(ISBLANK(Actuals!Z105),-1580.65*Escalation!$B$22,Actuals!Z105)</f>
        <v/>
      </c>
      <c r="Z195" s="392">
        <f>IF(ISBLANK(Actuals!AA105),-1580.65*Escalation!$B$23,Actuals!AA105)</f>
        <v/>
      </c>
      <c r="AA195" s="392">
        <f>IF(ISBLANK(Actuals!AB105),-1580.65*Escalation!$B$24,Actuals!AB105)</f>
        <v/>
      </c>
      <c r="AB195" s="392">
        <f>IF(ISBLANK(Actuals!AC105),-1580.65*Escalation!$B$25,Actuals!AC105)</f>
        <v/>
      </c>
      <c r="AC195" s="392">
        <f>IF(ISBLANK(Actuals!AD105),-1580.65*Escalation!$B$26,Actuals!AD105)</f>
        <v/>
      </c>
      <c r="AD195" s="392">
        <f>IF(ISBLANK(Actuals!AE105),-1580.65*Escalation!$B$27,Actuals!AE105)</f>
        <v/>
      </c>
      <c r="AE195" s="392">
        <f>IF(ISBLANK(Actuals!AF105),-1580.65*Escalation!$B$28,Actuals!AF105)</f>
        <v/>
      </c>
      <c r="AF195" s="392">
        <f>IF(ISBLANK(Actuals!AG105),-1580.65*Escalation!$B$29,Actuals!AG105)</f>
        <v/>
      </c>
      <c r="AG195" s="392">
        <f>IF(ISBLANK(Actuals!AH105),-1580.65*Escalation!$B$30,Actuals!AH105)</f>
        <v/>
      </c>
      <c r="AH195" s="392">
        <f>IF(ISBLANK(Actuals!AI105),-1580.65*Escalation!$B$31,Actuals!AI105)</f>
        <v/>
      </c>
      <c r="AI195" s="392">
        <f>IF(ISBLANK(Actuals!AJ105),-1580.65*Escalation!$B$32,Actuals!AJ105)</f>
        <v/>
      </c>
      <c r="AJ195" s="392">
        <f>IF(ISBLANK(Actuals!AK105),-1580.65*Escalation!$B$33,Actuals!AK105)</f>
        <v/>
      </c>
      <c r="AK195" s="392">
        <f>IF(ISBLANK(Actuals!AL105),-1580.65*Escalation!$B$34,Actuals!AL105)</f>
        <v/>
      </c>
      <c r="AL195" s="392">
        <f>IF(ISBLANK(Actuals!AM105),-1580.65*Escalation!$B$35,Actuals!AM105)</f>
        <v/>
      </c>
      <c r="AM195" s="392">
        <f>IF(ISBLANK(Actuals!AN105),-1580.65*Escalation!$B$36,Actuals!AN105)</f>
        <v/>
      </c>
      <c r="AN195" s="392">
        <f>IF(ISBLANK(Actuals!AO105),-1580.65*Escalation!$B$37,Actuals!AO105)</f>
        <v/>
      </c>
      <c r="AO195" s="392">
        <f>IF(ISBLANK(Actuals!AP105),-1580.65*Escalation!$B$38,Actuals!AP105)</f>
        <v/>
      </c>
      <c r="AP195" s="392">
        <f>IF(ISBLANK(Actuals!AQ105),-1580.65*Escalation!$B$39,Actuals!AQ105)</f>
        <v/>
      </c>
      <c r="AQ195" s="392">
        <f>IF(ISBLANK(Actuals!AR105),-1580.65*Escalation!$B$40,Actuals!AR105)</f>
        <v/>
      </c>
      <c r="AR195" s="392">
        <f>IF(ISBLANK(Actuals!AS105),-1580.65*Escalation!$B$41,Actuals!AS105)</f>
        <v/>
      </c>
      <c r="AS195" s="392">
        <f>IF(ISBLANK(Actuals!AT105),-1580.65*Escalation!$B$42,Actuals!AT105)</f>
        <v/>
      </c>
      <c r="AT195" s="392">
        <f>IF(ISBLANK(Actuals!AU105),-1580.65*Escalation!$B$43,Actuals!AU105)</f>
        <v/>
      </c>
      <c r="AU195" s="392">
        <f>IF(ISBLANK(Actuals!AV105),-1580.65*Escalation!$B$44,Actuals!AV105)</f>
        <v/>
      </c>
      <c r="AV195" s="392">
        <f>IF(ISBLANK(Actuals!AW105),-1580.65*Escalation!$B$45,Actuals!AW105)</f>
        <v/>
      </c>
      <c r="AW195" s="392">
        <f>IF(ISBLANK(Actuals!AX105),-1580.65*Escalation!$B$46,Actuals!AX105)</f>
        <v/>
      </c>
      <c r="AX195" s="392">
        <f>IF(ISBLANK(Actuals!AY105),-1580.65*Escalation!$B$47,Actuals!AY105)</f>
        <v/>
      </c>
      <c r="AY195" s="392">
        <f>IF(ISBLANK(Actuals!AZ105),-1580.65*Escalation!$B$48,Actuals!AZ105)</f>
        <v/>
      </c>
      <c r="AZ195" s="392">
        <f>IF(ISBLANK(Actuals!BA105),-1580.65*Escalation!$B$49,Actuals!BA105)</f>
        <v/>
      </c>
      <c r="BA195" s="392">
        <f>IF(ISBLANK(Actuals!BB105),-1580.65*Escalation!$B$50,Actuals!BB105)</f>
        <v/>
      </c>
      <c r="BB195" s="392">
        <f>IF(ISBLANK(Actuals!BC105),-1580.65*Escalation!$B$51,Actuals!BC105)</f>
        <v/>
      </c>
      <c r="BC195" s="392">
        <f>IF(ISBLANK(Actuals!BD105),-1580.65*Escalation!$B$52,Actuals!BD105)</f>
        <v/>
      </c>
      <c r="BD195" s="392">
        <f>IF(ISBLANK(Actuals!BE105),-1580.65*Escalation!$B$53,Actuals!BE105)</f>
        <v/>
      </c>
      <c r="BE195" s="392">
        <f>IF(ISBLANK(Actuals!BF105),-1580.65*Escalation!$B$54,Actuals!BF105)</f>
        <v/>
      </c>
      <c r="BF195" s="392">
        <f>IF(ISBLANK(Actuals!BG105),-1580.65*Escalation!$B$55,Actuals!BG105)</f>
        <v/>
      </c>
      <c r="BG195" s="392">
        <f>IF(ISBLANK(Actuals!BH105),-1580.65*Escalation!$B$56,Actuals!BH105)</f>
        <v/>
      </c>
      <c r="BH195" s="392">
        <f>IF(ISBLANK(Actuals!BI105),-1580.65*Escalation!$B$57,Actuals!BI105)</f>
        <v/>
      </c>
      <c r="BI195" s="392">
        <f>IF(ISBLANK(Actuals!BJ105),-1580.65*Escalation!$B$58,Actuals!BJ105)</f>
        <v/>
      </c>
      <c r="BJ195" s="392">
        <f>IF(ISBLANK(Actuals!BK105),-1580.65*Escalation!$B$59,Actuals!BK105)</f>
        <v/>
      </c>
      <c r="BK195" s="392">
        <f>IF(ISBLANK(Actuals!BL105),-1580.65*Escalation!$B$60,Actuals!BL105)</f>
        <v/>
      </c>
      <c r="BL195" s="392">
        <f>IF(ISBLANK(Actuals!BM105),-1580.65*Escalation!$B$61,Actuals!BM105)</f>
        <v/>
      </c>
      <c r="BM195" s="392">
        <f>IF(ISBLANK(Actuals!BN105),-1580.65*Escalation!$B$62,Actuals!BN105)</f>
        <v/>
      </c>
      <c r="BN195" s="392">
        <f>IF(ISBLANK(Actuals!BO105),-1580.65*Escalation!$B$63,Actuals!BO105)</f>
        <v/>
      </c>
      <c r="BO195" s="392">
        <f>IF(ISBLANK(Actuals!BP105),-1580.65*Escalation!$B$64,Actuals!BP105)</f>
        <v/>
      </c>
      <c r="BP195" s="392">
        <f>IF(ISBLANK(Actuals!BQ105),-1580.65*Escalation!$B$65,Actuals!BQ105)</f>
        <v/>
      </c>
      <c r="BQ195" s="392">
        <f>IF(ISBLANK(Actuals!BR105),-1580.65*Escalation!$B$66,Actuals!BR105)</f>
        <v/>
      </c>
      <c r="BR195" s="392">
        <f>IF(ISBLANK(Actuals!BS105),-1580.65*Escalation!$B$67,Actuals!BS105)</f>
        <v/>
      </c>
      <c r="BS195" s="392">
        <f>IF(ISBLANK(Actuals!BT105),-1580.65*Escalation!$B$68,Actuals!BT105)</f>
        <v/>
      </c>
      <c r="BT195" s="392">
        <f>IF(ISBLANK(Actuals!BU105),-1580.65*Escalation!$B$69,Actuals!BU105)</f>
        <v/>
      </c>
      <c r="BU195" s="392">
        <f>IF(ISBLANK(Actuals!BV105),-1580.65*Escalation!$B$70,Actuals!BV105)</f>
        <v/>
      </c>
      <c r="BV195" s="392">
        <f>IF(ISBLANK(Actuals!BW105),-1580.65*Escalation!$B$71,Actuals!BW105)</f>
        <v/>
      </c>
      <c r="BW195" s="392">
        <f>IF(ISBLANK(Actuals!BX105),-1580.65*Escalation!$B$72,Actuals!BX105)</f>
        <v/>
      </c>
      <c r="BX195" s="392">
        <f>IF(ISBLANK(Actuals!BY105),-1580.65*Escalation!$B$73,Actuals!BY105)</f>
        <v/>
      </c>
      <c r="BY195" s="392">
        <f>IF(ISBLANK(Actuals!BZ105),-1580.65*Escalation!$B$74,Actuals!BZ105)</f>
        <v/>
      </c>
      <c r="BZ195" s="392">
        <f>IF(ISBLANK(Actuals!CA105),-1580.65*Escalation!$B$75,Actuals!CA105)</f>
        <v/>
      </c>
      <c r="CA195" s="392">
        <f>IF(ISBLANK(Actuals!CB105),-1580.65*Escalation!$B$76,Actuals!CB105)</f>
        <v/>
      </c>
      <c r="CB195" s="392">
        <f>IF(ISBLANK(Actuals!CC105),-1580.65*Escalation!$B$77,Actuals!CC105)</f>
        <v/>
      </c>
      <c r="CC195" s="392">
        <f>IF(ISBLANK(Actuals!CD105),-1580.65*Escalation!$B$78,Actuals!CD105)</f>
        <v/>
      </c>
      <c r="CD195" s="392">
        <f>IF(ISBLANK(Actuals!CE105),-1580.65*Escalation!$B$79,Actuals!CE105)</f>
        <v/>
      </c>
      <c r="CE195" s="392">
        <f>IF(ISBLANK(Actuals!CF105),-1580.65*Escalation!$B$80,Actuals!CF105)</f>
        <v/>
      </c>
      <c r="CF195" s="392">
        <f>IF(ISBLANK(Actuals!CG105),-1580.65*Escalation!$B$81,Actuals!CG105)</f>
        <v/>
      </c>
      <c r="CG195" s="392">
        <f>IF(ISBLANK(Actuals!CH105),-1580.65*Escalation!$B$82,Actuals!CH105)</f>
        <v/>
      </c>
      <c r="CH195" s="392">
        <f>IF(ISBLANK(Actuals!CI105),-1580.65*Escalation!$B$83,Actuals!CI105)</f>
        <v/>
      </c>
      <c r="CI195" s="392">
        <f>IF(ISBLANK(Actuals!CJ105),-1580.65*Escalation!$B$84,Actuals!CJ105)</f>
        <v/>
      </c>
      <c r="CJ195" s="392">
        <f>IF(ISBLANK(Actuals!CK105),-1580.65*Escalation!$B$85,Actuals!CK105)</f>
        <v/>
      </c>
      <c r="CK195" s="392">
        <f>IF(ISBLANK(Actuals!CL105),-1580.65*Escalation!$B$86,Actuals!CL105)</f>
        <v/>
      </c>
      <c r="CL195" s="392">
        <f>IF(ISBLANK(Actuals!CM105),-1580.65*Escalation!$B$87,Actuals!CM105)</f>
        <v/>
      </c>
      <c r="CM195" s="392">
        <f>IF(ISBLANK(Actuals!CN105),-1580.65*Escalation!$B$88,Actuals!CN105)</f>
        <v/>
      </c>
      <c r="CN195" s="392">
        <f>IF(ISBLANK(Actuals!CO105),-1580.65*Escalation!$B$89,Actuals!CO105)</f>
        <v/>
      </c>
      <c r="CO195" s="392">
        <f>IF(ISBLANK(Actuals!CP105),-1580.65*Escalation!$B$90,Actuals!CP105)</f>
        <v/>
      </c>
      <c r="CP195" s="392">
        <f>IF(ISBLANK(Actuals!CQ105),-1580.65*Escalation!$B$91,Actuals!CQ105)</f>
        <v/>
      </c>
      <c r="CQ195" s="392">
        <f>IF(ISBLANK(Actuals!CR105),-1580.65*Escalation!$B$92,Actuals!CR105)</f>
        <v/>
      </c>
      <c r="CR195" s="392">
        <f>IF(ISBLANK(Actuals!CS105),-1580.65*Escalation!$B$93,Actuals!CS105)</f>
        <v/>
      </c>
      <c r="CS195" s="392">
        <f>IF(ISBLANK(Actuals!CT105),-1580.65*Escalation!$B$94,Actuals!CT105)</f>
        <v/>
      </c>
      <c r="CT195" s="392">
        <f>IF(ISBLANK(Actuals!CU105),-1580.65*Escalation!$B$95,Actuals!CU105)</f>
        <v/>
      </c>
      <c r="CU195" s="392">
        <f>IF(ISBLANK(Actuals!CV105),-1580.65*Escalation!$B$96,Actuals!CV105)</f>
        <v/>
      </c>
      <c r="CV195" s="392">
        <f>IF(ISBLANK(Actuals!CW105),-1580.65*Escalation!$B$97,Actuals!CW105)</f>
        <v/>
      </c>
      <c r="CW195" s="392">
        <f>IF(ISBLANK(Actuals!CX105),-1580.65*Escalation!$B$98,Actuals!CX105)</f>
        <v/>
      </c>
      <c r="CX195" s="392">
        <f>IF(ISBLANK(Actuals!CY105),-1580.65*Escalation!$B$99,Actuals!CY105)</f>
        <v/>
      </c>
      <c r="CY195" s="392">
        <f>IF(ISBLANK(Actuals!CZ105),-1580.65*Escalation!$B$100,Actuals!CZ105)</f>
        <v/>
      </c>
      <c r="CZ195" s="392">
        <f>IF(ISBLANK(Actuals!DA105),-1580.65*Escalation!$B$101,Actuals!DA105)</f>
        <v/>
      </c>
      <c r="DA195" s="392">
        <f>IF(ISBLANK(Actuals!DB105),-1580.65*Escalation!$B$102,Actuals!DB105)</f>
        <v/>
      </c>
      <c r="DB195" s="392">
        <f>IF(ISBLANK(Actuals!DC105),-1580.65*Escalation!$B$103,Actuals!DC105)</f>
        <v/>
      </c>
      <c r="DC195" s="392">
        <f>IF(ISBLANK(Actuals!DD105),-1580.65*Escalation!$B$104,Actuals!DD105)</f>
        <v/>
      </c>
      <c r="DD195" s="392">
        <f>IF(ISBLANK(Actuals!DE105),-1580.65*Escalation!$B$105,Actuals!DE105)</f>
        <v/>
      </c>
      <c r="DE195" s="392">
        <f>IF(ISBLANK(Actuals!DF105),-1580.65*Escalation!$B$106,Actuals!DF105)</f>
        <v/>
      </c>
    </row>
    <row r="196" ht="15" customFormat="1" customHeight="1" s="380">
      <c r="A196" s="397" t="inlineStr">
        <is>
          <t>5900-1080 Bank Service Charges</t>
        </is>
      </c>
      <c r="B196" s="392">
        <f>IF(ISBLANK(Actuals!C106),0,Actuals!C106)</f>
        <v/>
      </c>
      <c r="C196" s="392">
        <f>IF(ISBLANK(Actuals!D106),0,Actuals!D106)</f>
        <v/>
      </c>
      <c r="D196" s="392">
        <f>IF(ISBLANK(Actuals!E106),0,Actuals!E106)</f>
        <v/>
      </c>
      <c r="E196" s="392">
        <f>IF(ISBLANK(Actuals!F106),-446.63*Escalation!$B$2,Actuals!F106)</f>
        <v/>
      </c>
      <c r="F196" s="392">
        <f>IF(ISBLANK(Actuals!G106),-446.63*Escalation!$B$3,Actuals!G106)</f>
        <v/>
      </c>
      <c r="G196" s="392">
        <f>IF(ISBLANK(Actuals!H106),-446.63*Escalation!$B$4,Actuals!H106)</f>
        <v/>
      </c>
      <c r="H196" s="392">
        <f>IF(ISBLANK(Actuals!I106),-446.63*Escalation!$B$5,Actuals!I106)</f>
        <v/>
      </c>
      <c r="I196" s="392">
        <f>IF(ISBLANK(Actuals!J106),-446.63*Escalation!$B$6,Actuals!J106)</f>
        <v/>
      </c>
      <c r="J196" s="392">
        <f>IF(ISBLANK(Actuals!K106),-446.63*Escalation!$B$7,Actuals!K106)</f>
        <v/>
      </c>
      <c r="K196" s="392">
        <f>IF(ISBLANK(Actuals!L106),-446.63*Escalation!$B$8,Actuals!L106)</f>
        <v/>
      </c>
      <c r="L196" s="392">
        <f>IF(ISBLANK(Actuals!M106),-446.63*Escalation!$B$9,Actuals!M106)</f>
        <v/>
      </c>
      <c r="M196" s="392">
        <f>IF(ISBLANK(Actuals!N106),-446.63*Escalation!$B$10,Actuals!N106)</f>
        <v/>
      </c>
      <c r="N196" s="392">
        <f>IF(ISBLANK(Actuals!O106),-446.63*Escalation!$B$11,Actuals!O106)</f>
        <v/>
      </c>
      <c r="O196" s="392">
        <f>IF(ISBLANK(Actuals!P106),-446.63*Escalation!$B$12,Actuals!P106)</f>
        <v/>
      </c>
      <c r="P196" s="392">
        <f>IF(ISBLANK(Actuals!Q106),-446.63*Escalation!$B$13,Actuals!Q106)</f>
        <v/>
      </c>
      <c r="Q196" s="392">
        <f>IF(ISBLANK(Actuals!R106),-446.63*Escalation!$B$14,Actuals!R106)</f>
        <v/>
      </c>
      <c r="R196" s="392">
        <f>IF(ISBLANK(Actuals!S106),-446.63*Escalation!$B$15,Actuals!S106)</f>
        <v/>
      </c>
      <c r="S196" s="392">
        <f>IF(ISBLANK(Actuals!T106),-446.63*Escalation!$B$16,Actuals!T106)</f>
        <v/>
      </c>
      <c r="T196" s="392">
        <f>IF(ISBLANK(Actuals!U106),-446.63*Escalation!$B$17,Actuals!U106)</f>
        <v/>
      </c>
      <c r="U196" s="392">
        <f>IF(ISBLANK(Actuals!V106),-446.63*Escalation!$B$18,Actuals!V106)</f>
        <v/>
      </c>
      <c r="V196" s="392">
        <f>IF(ISBLANK(Actuals!W106),-446.63*Escalation!$B$19,Actuals!W106)</f>
        <v/>
      </c>
      <c r="W196" s="392">
        <f>IF(ISBLANK(Actuals!X106),-446.63*Escalation!$B$20,Actuals!X106)</f>
        <v/>
      </c>
      <c r="X196" s="392">
        <f>IF(ISBLANK(Actuals!Y106),-446.63*Escalation!$B$21,Actuals!Y106)</f>
        <v/>
      </c>
      <c r="Y196" s="392">
        <f>IF(ISBLANK(Actuals!Z106),-446.63*Escalation!$B$22,Actuals!Z106)</f>
        <v/>
      </c>
      <c r="Z196" s="392">
        <f>IF(ISBLANK(Actuals!AA106),-446.63*Escalation!$B$23,Actuals!AA106)</f>
        <v/>
      </c>
      <c r="AA196" s="392">
        <f>IF(ISBLANK(Actuals!AB106),-446.63*Escalation!$B$24,Actuals!AB106)</f>
        <v/>
      </c>
      <c r="AB196" s="392">
        <f>IF(ISBLANK(Actuals!AC106),-446.63*Escalation!$B$25,Actuals!AC106)</f>
        <v/>
      </c>
      <c r="AC196" s="392">
        <f>IF(ISBLANK(Actuals!AD106),-446.63*Escalation!$B$26,Actuals!AD106)</f>
        <v/>
      </c>
      <c r="AD196" s="392">
        <f>IF(ISBLANK(Actuals!AE106),-446.63*Escalation!$B$27,Actuals!AE106)</f>
        <v/>
      </c>
      <c r="AE196" s="392">
        <f>IF(ISBLANK(Actuals!AF106),-446.63*Escalation!$B$28,Actuals!AF106)</f>
        <v/>
      </c>
      <c r="AF196" s="392">
        <f>IF(ISBLANK(Actuals!AG106),-446.63*Escalation!$B$29,Actuals!AG106)</f>
        <v/>
      </c>
      <c r="AG196" s="392">
        <f>IF(ISBLANK(Actuals!AH106),-446.63*Escalation!$B$30,Actuals!AH106)</f>
        <v/>
      </c>
      <c r="AH196" s="392">
        <f>IF(ISBLANK(Actuals!AI106),-446.63*Escalation!$B$31,Actuals!AI106)</f>
        <v/>
      </c>
      <c r="AI196" s="392">
        <f>IF(ISBLANK(Actuals!AJ106),-446.63*Escalation!$B$32,Actuals!AJ106)</f>
        <v/>
      </c>
      <c r="AJ196" s="392">
        <f>IF(ISBLANK(Actuals!AK106),-446.63*Escalation!$B$33,Actuals!AK106)</f>
        <v/>
      </c>
      <c r="AK196" s="392">
        <f>IF(ISBLANK(Actuals!AL106),-446.63*Escalation!$B$34,Actuals!AL106)</f>
        <v/>
      </c>
      <c r="AL196" s="392">
        <f>IF(ISBLANK(Actuals!AM106),-446.63*Escalation!$B$35,Actuals!AM106)</f>
        <v/>
      </c>
      <c r="AM196" s="392">
        <f>IF(ISBLANK(Actuals!AN106),-446.63*Escalation!$B$36,Actuals!AN106)</f>
        <v/>
      </c>
      <c r="AN196" s="392">
        <f>IF(ISBLANK(Actuals!AO106),-446.63*Escalation!$B$37,Actuals!AO106)</f>
        <v/>
      </c>
      <c r="AO196" s="392">
        <f>IF(ISBLANK(Actuals!AP106),-446.63*Escalation!$B$38,Actuals!AP106)</f>
        <v/>
      </c>
      <c r="AP196" s="392">
        <f>IF(ISBLANK(Actuals!AQ106),-446.63*Escalation!$B$39,Actuals!AQ106)</f>
        <v/>
      </c>
      <c r="AQ196" s="392">
        <f>IF(ISBLANK(Actuals!AR106),-446.63*Escalation!$B$40,Actuals!AR106)</f>
        <v/>
      </c>
      <c r="AR196" s="392">
        <f>IF(ISBLANK(Actuals!AS106),-446.63*Escalation!$B$41,Actuals!AS106)</f>
        <v/>
      </c>
      <c r="AS196" s="392">
        <f>IF(ISBLANK(Actuals!AT106),-446.63*Escalation!$B$42,Actuals!AT106)</f>
        <v/>
      </c>
      <c r="AT196" s="392">
        <f>IF(ISBLANK(Actuals!AU106),-446.63*Escalation!$B$43,Actuals!AU106)</f>
        <v/>
      </c>
      <c r="AU196" s="392">
        <f>IF(ISBLANK(Actuals!AV106),-446.63*Escalation!$B$44,Actuals!AV106)</f>
        <v/>
      </c>
      <c r="AV196" s="392">
        <f>IF(ISBLANK(Actuals!AW106),-446.63*Escalation!$B$45,Actuals!AW106)</f>
        <v/>
      </c>
      <c r="AW196" s="392">
        <f>IF(ISBLANK(Actuals!AX106),-446.63*Escalation!$B$46,Actuals!AX106)</f>
        <v/>
      </c>
      <c r="AX196" s="392">
        <f>IF(ISBLANK(Actuals!AY106),-446.63*Escalation!$B$47,Actuals!AY106)</f>
        <v/>
      </c>
      <c r="AY196" s="392">
        <f>IF(ISBLANK(Actuals!AZ106),-446.63*Escalation!$B$48,Actuals!AZ106)</f>
        <v/>
      </c>
      <c r="AZ196" s="392">
        <f>IF(ISBLANK(Actuals!BA106),-446.63*Escalation!$B$49,Actuals!BA106)</f>
        <v/>
      </c>
      <c r="BA196" s="392">
        <f>IF(ISBLANK(Actuals!BB106),-446.63*Escalation!$B$50,Actuals!BB106)</f>
        <v/>
      </c>
      <c r="BB196" s="392">
        <f>IF(ISBLANK(Actuals!BC106),-446.63*Escalation!$B$51,Actuals!BC106)</f>
        <v/>
      </c>
      <c r="BC196" s="392">
        <f>IF(ISBLANK(Actuals!BD106),-446.63*Escalation!$B$52,Actuals!BD106)</f>
        <v/>
      </c>
      <c r="BD196" s="392">
        <f>IF(ISBLANK(Actuals!BE106),-446.63*Escalation!$B$53,Actuals!BE106)</f>
        <v/>
      </c>
      <c r="BE196" s="392">
        <f>IF(ISBLANK(Actuals!BF106),-446.63*Escalation!$B$54,Actuals!BF106)</f>
        <v/>
      </c>
      <c r="BF196" s="392">
        <f>IF(ISBLANK(Actuals!BG106),-446.63*Escalation!$B$55,Actuals!BG106)</f>
        <v/>
      </c>
      <c r="BG196" s="392">
        <f>IF(ISBLANK(Actuals!BH106),-446.63*Escalation!$B$56,Actuals!BH106)</f>
        <v/>
      </c>
      <c r="BH196" s="392">
        <f>IF(ISBLANK(Actuals!BI106),-446.63*Escalation!$B$57,Actuals!BI106)</f>
        <v/>
      </c>
      <c r="BI196" s="392">
        <f>IF(ISBLANK(Actuals!BJ106),-446.63*Escalation!$B$58,Actuals!BJ106)</f>
        <v/>
      </c>
      <c r="BJ196" s="392">
        <f>IF(ISBLANK(Actuals!BK106),-446.63*Escalation!$B$59,Actuals!BK106)</f>
        <v/>
      </c>
      <c r="BK196" s="392">
        <f>IF(ISBLANK(Actuals!BL106),-446.63*Escalation!$B$60,Actuals!BL106)</f>
        <v/>
      </c>
      <c r="BL196" s="392">
        <f>IF(ISBLANK(Actuals!BM106),-446.63*Escalation!$B$61,Actuals!BM106)</f>
        <v/>
      </c>
      <c r="BM196" s="392">
        <f>IF(ISBLANK(Actuals!BN106),-446.63*Escalation!$B$62,Actuals!BN106)</f>
        <v/>
      </c>
      <c r="BN196" s="392">
        <f>IF(ISBLANK(Actuals!BO106),-446.63*Escalation!$B$63,Actuals!BO106)</f>
        <v/>
      </c>
      <c r="BO196" s="392">
        <f>IF(ISBLANK(Actuals!BP106),-446.63*Escalation!$B$64,Actuals!BP106)</f>
        <v/>
      </c>
      <c r="BP196" s="392">
        <f>IF(ISBLANK(Actuals!BQ106),-446.63*Escalation!$B$65,Actuals!BQ106)</f>
        <v/>
      </c>
      <c r="BQ196" s="392">
        <f>IF(ISBLANK(Actuals!BR106),-446.63*Escalation!$B$66,Actuals!BR106)</f>
        <v/>
      </c>
      <c r="BR196" s="392">
        <f>IF(ISBLANK(Actuals!BS106),-446.63*Escalation!$B$67,Actuals!BS106)</f>
        <v/>
      </c>
      <c r="BS196" s="392">
        <f>IF(ISBLANK(Actuals!BT106),-446.63*Escalation!$B$68,Actuals!BT106)</f>
        <v/>
      </c>
      <c r="BT196" s="392">
        <f>IF(ISBLANK(Actuals!BU106),-446.63*Escalation!$B$69,Actuals!BU106)</f>
        <v/>
      </c>
      <c r="BU196" s="392">
        <f>IF(ISBLANK(Actuals!BV106),-446.63*Escalation!$B$70,Actuals!BV106)</f>
        <v/>
      </c>
      <c r="BV196" s="392">
        <f>IF(ISBLANK(Actuals!BW106),-446.63*Escalation!$B$71,Actuals!BW106)</f>
        <v/>
      </c>
      <c r="BW196" s="392">
        <f>IF(ISBLANK(Actuals!BX106),-446.63*Escalation!$B$72,Actuals!BX106)</f>
        <v/>
      </c>
      <c r="BX196" s="392">
        <f>IF(ISBLANK(Actuals!BY106),-446.63*Escalation!$B$73,Actuals!BY106)</f>
        <v/>
      </c>
      <c r="BY196" s="392">
        <f>IF(ISBLANK(Actuals!BZ106),-446.63*Escalation!$B$74,Actuals!BZ106)</f>
        <v/>
      </c>
      <c r="BZ196" s="392">
        <f>IF(ISBLANK(Actuals!CA106),-446.63*Escalation!$B$75,Actuals!CA106)</f>
        <v/>
      </c>
      <c r="CA196" s="392">
        <f>IF(ISBLANK(Actuals!CB106),-446.63*Escalation!$B$76,Actuals!CB106)</f>
        <v/>
      </c>
      <c r="CB196" s="392">
        <f>IF(ISBLANK(Actuals!CC106),-446.63*Escalation!$B$77,Actuals!CC106)</f>
        <v/>
      </c>
      <c r="CC196" s="392">
        <f>IF(ISBLANK(Actuals!CD106),-446.63*Escalation!$B$78,Actuals!CD106)</f>
        <v/>
      </c>
      <c r="CD196" s="392">
        <f>IF(ISBLANK(Actuals!CE106),-446.63*Escalation!$B$79,Actuals!CE106)</f>
        <v/>
      </c>
      <c r="CE196" s="392">
        <f>IF(ISBLANK(Actuals!CF106),-446.63*Escalation!$B$80,Actuals!CF106)</f>
        <v/>
      </c>
      <c r="CF196" s="392">
        <f>IF(ISBLANK(Actuals!CG106),-446.63*Escalation!$B$81,Actuals!CG106)</f>
        <v/>
      </c>
      <c r="CG196" s="392">
        <f>IF(ISBLANK(Actuals!CH106),-446.63*Escalation!$B$82,Actuals!CH106)</f>
        <v/>
      </c>
      <c r="CH196" s="392">
        <f>IF(ISBLANK(Actuals!CI106),-446.63*Escalation!$B$83,Actuals!CI106)</f>
        <v/>
      </c>
      <c r="CI196" s="392">
        <f>IF(ISBLANK(Actuals!CJ106),-446.63*Escalation!$B$84,Actuals!CJ106)</f>
        <v/>
      </c>
      <c r="CJ196" s="392">
        <f>IF(ISBLANK(Actuals!CK106),-446.63*Escalation!$B$85,Actuals!CK106)</f>
        <v/>
      </c>
      <c r="CK196" s="392">
        <f>IF(ISBLANK(Actuals!CL106),-446.63*Escalation!$B$86,Actuals!CL106)</f>
        <v/>
      </c>
      <c r="CL196" s="392">
        <f>IF(ISBLANK(Actuals!CM106),-446.63*Escalation!$B$87,Actuals!CM106)</f>
        <v/>
      </c>
      <c r="CM196" s="392">
        <f>IF(ISBLANK(Actuals!CN106),-446.63*Escalation!$B$88,Actuals!CN106)</f>
        <v/>
      </c>
      <c r="CN196" s="392">
        <f>IF(ISBLANK(Actuals!CO106),-446.63*Escalation!$B$89,Actuals!CO106)</f>
        <v/>
      </c>
      <c r="CO196" s="392">
        <f>IF(ISBLANK(Actuals!CP106),-446.63*Escalation!$B$90,Actuals!CP106)</f>
        <v/>
      </c>
      <c r="CP196" s="392">
        <f>IF(ISBLANK(Actuals!CQ106),-446.63*Escalation!$B$91,Actuals!CQ106)</f>
        <v/>
      </c>
      <c r="CQ196" s="392">
        <f>IF(ISBLANK(Actuals!CR106),-446.63*Escalation!$B$92,Actuals!CR106)</f>
        <v/>
      </c>
      <c r="CR196" s="392">
        <f>IF(ISBLANK(Actuals!CS106),-446.63*Escalation!$B$93,Actuals!CS106)</f>
        <v/>
      </c>
      <c r="CS196" s="392">
        <f>IF(ISBLANK(Actuals!CT106),-446.63*Escalation!$B$94,Actuals!CT106)</f>
        <v/>
      </c>
      <c r="CT196" s="392">
        <f>IF(ISBLANK(Actuals!CU106),-446.63*Escalation!$B$95,Actuals!CU106)</f>
        <v/>
      </c>
      <c r="CU196" s="392">
        <f>IF(ISBLANK(Actuals!CV106),-446.63*Escalation!$B$96,Actuals!CV106)</f>
        <v/>
      </c>
      <c r="CV196" s="392">
        <f>IF(ISBLANK(Actuals!CW106),-446.63*Escalation!$B$97,Actuals!CW106)</f>
        <v/>
      </c>
      <c r="CW196" s="392">
        <f>IF(ISBLANK(Actuals!CX106),-446.63*Escalation!$B$98,Actuals!CX106)</f>
        <v/>
      </c>
      <c r="CX196" s="392">
        <f>IF(ISBLANK(Actuals!CY106),-446.63*Escalation!$B$99,Actuals!CY106)</f>
        <v/>
      </c>
      <c r="CY196" s="392">
        <f>IF(ISBLANK(Actuals!CZ106),-446.63*Escalation!$B$100,Actuals!CZ106)</f>
        <v/>
      </c>
      <c r="CZ196" s="392">
        <f>IF(ISBLANK(Actuals!DA106),-446.63*Escalation!$B$101,Actuals!DA106)</f>
        <v/>
      </c>
      <c r="DA196" s="392">
        <f>IF(ISBLANK(Actuals!DB106),-446.63*Escalation!$B$102,Actuals!DB106)</f>
        <v/>
      </c>
      <c r="DB196" s="392">
        <f>IF(ISBLANK(Actuals!DC106),-446.63*Escalation!$B$103,Actuals!DC106)</f>
        <v/>
      </c>
      <c r="DC196" s="392">
        <f>IF(ISBLANK(Actuals!DD106),-446.63*Escalation!$B$104,Actuals!DD106)</f>
        <v/>
      </c>
      <c r="DD196" s="392">
        <f>IF(ISBLANK(Actuals!DE106),-446.63*Escalation!$B$105,Actuals!DE106)</f>
        <v/>
      </c>
      <c r="DE196" s="392">
        <f>IF(ISBLANK(Actuals!DF106),-446.63*Escalation!$B$106,Actuals!DF106)</f>
        <v/>
      </c>
    </row>
    <row r="197" ht="15" customFormat="1" customHeight="1" s="380">
      <c r="A197" s="397" t="inlineStr">
        <is>
          <t>Steyn Group Guaranty Fee</t>
        </is>
      </c>
      <c r="B197" s="392">
        <f>IF(ISBLANK(Actuals!C107),0,Actuals!C107)</f>
        <v/>
      </c>
      <c r="C197" s="392">
        <f>IF(ISBLANK(Actuals!D107),0,Actuals!D107)</f>
        <v/>
      </c>
      <c r="D197" s="392">
        <f>IF(ISBLANK(Actuals!E107),0,Actuals!E107)</f>
        <v/>
      </c>
      <c r="E197" s="392">
        <f>IF(ISBLANK(Actuals!F107),-(IF(AND(Projects!$G$2="Yes",Projects!$J$2="Yes",Projects!$K$2="No",1=Projects!$C$2),Projects!$B$2*Assumptions!$B$47,0)+IF(AND(Projects!$G$3="Yes",Projects!$J$3="Yes",Projects!$K$3="No",1=Projects!$C$3),Projects!$B$3*Assumptions!$B$47,0)+IF(AND(Projects!$G$4="Yes",Projects!$J$4="Yes",Projects!$K$4="No",1=Projects!$C$4),Projects!$B$4*Assumptions!$B$47,0)+IF(AND(Projects!$G$5="Yes",Projects!$J$5="Yes",Projects!$K$5="No",1=Projects!$C$5),Projects!$B$5*Assumptions!$B$47,0)+IF(AND(Projects!$G$6="Yes",Projects!$J$6="Yes",Projects!$K$6="No",1=Projects!$C$6),Projects!$B$6*Assumptions!$B$47,0)+IF(AND(Projects!$G$7="Yes",Projects!$J$7="Yes",Projects!$K$7="No",1=Projects!$C$7),Projects!$B$7*Assumptions!$B$47,0)+IF(AND(Projects!$G$8="Yes",Projects!$J$8="Yes",Projects!$K$8="No",1=Projects!$C$8),Projects!$B$8*Assumptions!$B$47,0)+IF(AND(Projects!$G$9="Yes",Projects!$J$9="Yes",Projects!$K$9="No",1=Projects!$C$9),Projects!$B$9*Assumptions!$B$47,0)+IF(AND(Projects!$G$10="Yes",Projects!$J$10="Yes",Projects!$K$10="No",1=Projects!$C$10),Projects!$B$10*Assumptions!$B$47,0)+IF(AND(Projects!$G$11="Yes",Projects!$J$11="Yes",Projects!$K$11="No",1=Projects!$C$11),Projects!$B$11*Assumptions!$B$47,0)+IF(AND(Projects!$G$12="Yes",Projects!$J$12="Yes",Projects!$K$12="No",1=Projects!$C$12),Projects!$B$12*Assumptions!$B$47,0)+IF(AND(Projects!$G$13="Yes",Projects!$J$13="Yes",Projects!$K$13="No",1=Projects!$C$13),Projects!$B$13*Assumptions!$B$47,0)+IF(AND(Projects!$G$14="Yes",Projects!$J$14="Yes",Projects!$K$14="No",1=Projects!$C$14),Projects!$B$14*Assumptions!$B$47,0)),Actuals!F107)</f>
        <v/>
      </c>
      <c r="F197" s="392">
        <f>IF(ISBLANK(Actuals!G107),-(IF(AND(Projects!$G$2="Yes",Projects!$J$2="Yes",Projects!$K$2="No",2=Projects!$C$2),Projects!$B$2*Assumptions!$B$47,0)+IF(AND(Projects!$G$3="Yes",Projects!$J$3="Yes",Projects!$K$3="No",2=Projects!$C$3),Projects!$B$3*Assumptions!$B$47,0)+IF(AND(Projects!$G$4="Yes",Projects!$J$4="Yes",Projects!$K$4="No",2=Projects!$C$4),Projects!$B$4*Assumptions!$B$47,0)+IF(AND(Projects!$G$5="Yes",Projects!$J$5="Yes",Projects!$K$5="No",2=Projects!$C$5),Projects!$B$5*Assumptions!$B$47,0)+IF(AND(Projects!$G$6="Yes",Projects!$J$6="Yes",Projects!$K$6="No",2=Projects!$C$6),Projects!$B$6*Assumptions!$B$47,0)+IF(AND(Projects!$G$7="Yes",Projects!$J$7="Yes",Projects!$K$7="No",2=Projects!$C$7),Projects!$B$7*Assumptions!$B$47,0)+IF(AND(Projects!$G$8="Yes",Projects!$J$8="Yes",Projects!$K$8="No",2=Projects!$C$8),Projects!$B$8*Assumptions!$B$47,0)+IF(AND(Projects!$G$9="Yes",Projects!$J$9="Yes",Projects!$K$9="No",2=Projects!$C$9),Projects!$B$9*Assumptions!$B$47,0)+IF(AND(Projects!$G$10="Yes",Projects!$J$10="Yes",Projects!$K$10="No",2=Projects!$C$10),Projects!$B$10*Assumptions!$B$47,0)+IF(AND(Projects!$G$11="Yes",Projects!$J$11="Yes",Projects!$K$11="No",2=Projects!$C$11),Projects!$B$11*Assumptions!$B$47,0)+IF(AND(Projects!$G$12="Yes",Projects!$J$12="Yes",Projects!$K$12="No",2=Projects!$C$12),Projects!$B$12*Assumptions!$B$47,0)+IF(AND(Projects!$G$13="Yes",Projects!$J$13="Yes",Projects!$K$13="No",2=Projects!$C$13),Projects!$B$13*Assumptions!$B$47,0)+IF(AND(Projects!$G$14="Yes",Projects!$J$14="Yes",Projects!$K$14="No",2=Projects!$C$14),Projects!$B$14*Assumptions!$B$47,0)),Actuals!G107)</f>
        <v/>
      </c>
      <c r="G197" s="392">
        <f>IF(ISBLANK(Actuals!H107),-(IF(AND(Projects!$G$2="Yes",Projects!$J$2="Yes",Projects!$K$2="No",3=Projects!$C$2),Projects!$B$2*Assumptions!$B$47,0)+IF(AND(Projects!$G$3="Yes",Projects!$J$3="Yes",Projects!$K$3="No",3=Projects!$C$3),Projects!$B$3*Assumptions!$B$47,0)+IF(AND(Projects!$G$4="Yes",Projects!$J$4="Yes",Projects!$K$4="No",3=Projects!$C$4),Projects!$B$4*Assumptions!$B$47,0)+IF(AND(Projects!$G$5="Yes",Projects!$J$5="Yes",Projects!$K$5="No",3=Projects!$C$5),Projects!$B$5*Assumptions!$B$47,0)+IF(AND(Projects!$G$6="Yes",Projects!$J$6="Yes",Projects!$K$6="No",3=Projects!$C$6),Projects!$B$6*Assumptions!$B$47,0)+IF(AND(Projects!$G$7="Yes",Projects!$J$7="Yes",Projects!$K$7="No",3=Projects!$C$7),Projects!$B$7*Assumptions!$B$47,0)+IF(AND(Projects!$G$8="Yes",Projects!$J$8="Yes",Projects!$K$8="No",3=Projects!$C$8),Projects!$B$8*Assumptions!$B$47,0)+IF(AND(Projects!$G$9="Yes",Projects!$J$9="Yes",Projects!$K$9="No",3=Projects!$C$9),Projects!$B$9*Assumptions!$B$47,0)+IF(AND(Projects!$G$10="Yes",Projects!$J$10="Yes",Projects!$K$10="No",3=Projects!$C$10),Projects!$B$10*Assumptions!$B$47,0)+IF(AND(Projects!$G$11="Yes",Projects!$J$11="Yes",Projects!$K$11="No",3=Projects!$C$11),Projects!$B$11*Assumptions!$B$47,0)+IF(AND(Projects!$G$12="Yes",Projects!$J$12="Yes",Projects!$K$12="No",3=Projects!$C$12),Projects!$B$12*Assumptions!$B$47,0)+IF(AND(Projects!$G$13="Yes",Projects!$J$13="Yes",Projects!$K$13="No",3=Projects!$C$13),Projects!$B$13*Assumptions!$B$47,0)+IF(AND(Projects!$G$14="Yes",Projects!$J$14="Yes",Projects!$K$14="No",3=Projects!$C$14),Projects!$B$14*Assumptions!$B$47,0)),Actuals!H107)</f>
        <v/>
      </c>
      <c r="H197" s="392">
        <f>IF(ISBLANK(Actuals!I107),-(IF(AND(Projects!$G$2="Yes",Projects!$J$2="Yes",Projects!$K$2="No",4=Projects!$C$2),Projects!$B$2*Assumptions!$B$47,0)+IF(AND(Projects!$G$3="Yes",Projects!$J$3="Yes",Projects!$K$3="No",4=Projects!$C$3),Projects!$B$3*Assumptions!$B$47,0)+IF(AND(Projects!$G$4="Yes",Projects!$J$4="Yes",Projects!$K$4="No",4=Projects!$C$4),Projects!$B$4*Assumptions!$B$47,0)+IF(AND(Projects!$G$5="Yes",Projects!$J$5="Yes",Projects!$K$5="No",4=Projects!$C$5),Projects!$B$5*Assumptions!$B$47,0)+IF(AND(Projects!$G$6="Yes",Projects!$J$6="Yes",Projects!$K$6="No",4=Projects!$C$6),Projects!$B$6*Assumptions!$B$47,0)+IF(AND(Projects!$G$7="Yes",Projects!$J$7="Yes",Projects!$K$7="No",4=Projects!$C$7),Projects!$B$7*Assumptions!$B$47,0)+IF(AND(Projects!$G$8="Yes",Projects!$J$8="Yes",Projects!$K$8="No",4=Projects!$C$8),Projects!$B$8*Assumptions!$B$47,0)+IF(AND(Projects!$G$9="Yes",Projects!$J$9="Yes",Projects!$K$9="No",4=Projects!$C$9),Projects!$B$9*Assumptions!$B$47,0)+IF(AND(Projects!$G$10="Yes",Projects!$J$10="Yes",Projects!$K$10="No",4=Projects!$C$10),Projects!$B$10*Assumptions!$B$47,0)+IF(AND(Projects!$G$11="Yes",Projects!$J$11="Yes",Projects!$K$11="No",4=Projects!$C$11),Projects!$B$11*Assumptions!$B$47,0)+IF(AND(Projects!$G$12="Yes",Projects!$J$12="Yes",Projects!$K$12="No",4=Projects!$C$12),Projects!$B$12*Assumptions!$B$47,0)+IF(AND(Projects!$G$13="Yes",Projects!$J$13="Yes",Projects!$K$13="No",4=Projects!$C$13),Projects!$B$13*Assumptions!$B$47,0)+IF(AND(Projects!$G$14="Yes",Projects!$J$14="Yes",Projects!$K$14="No",4=Projects!$C$14),Projects!$B$14*Assumptions!$B$47,0)),Actuals!I107)</f>
        <v/>
      </c>
      <c r="I197" s="392">
        <f>IF(ISBLANK(Actuals!J107),-(IF(AND(Projects!$G$2="Yes",Projects!$J$2="Yes",Projects!$K$2="No",5=Projects!$C$2),Projects!$B$2*Assumptions!$B$47,0)+IF(AND(Projects!$G$3="Yes",Projects!$J$3="Yes",Projects!$K$3="No",5=Projects!$C$3),Projects!$B$3*Assumptions!$B$47,0)+IF(AND(Projects!$G$4="Yes",Projects!$J$4="Yes",Projects!$K$4="No",5=Projects!$C$4),Projects!$B$4*Assumptions!$B$47,0)+IF(AND(Projects!$G$5="Yes",Projects!$J$5="Yes",Projects!$K$5="No",5=Projects!$C$5),Projects!$B$5*Assumptions!$B$47,0)+IF(AND(Projects!$G$6="Yes",Projects!$J$6="Yes",Projects!$K$6="No",5=Projects!$C$6),Projects!$B$6*Assumptions!$B$47,0)+IF(AND(Projects!$G$7="Yes",Projects!$J$7="Yes",Projects!$K$7="No",5=Projects!$C$7),Projects!$B$7*Assumptions!$B$47,0)+IF(AND(Projects!$G$8="Yes",Projects!$J$8="Yes",Projects!$K$8="No",5=Projects!$C$8),Projects!$B$8*Assumptions!$B$47,0)+IF(AND(Projects!$G$9="Yes",Projects!$J$9="Yes",Projects!$K$9="No",5=Projects!$C$9),Projects!$B$9*Assumptions!$B$47,0)+IF(AND(Projects!$G$10="Yes",Projects!$J$10="Yes",Projects!$K$10="No",5=Projects!$C$10),Projects!$B$10*Assumptions!$B$47,0)+IF(AND(Projects!$G$11="Yes",Projects!$J$11="Yes",Projects!$K$11="No",5=Projects!$C$11),Projects!$B$11*Assumptions!$B$47,0)+IF(AND(Projects!$G$12="Yes",Projects!$J$12="Yes",Projects!$K$12="No",5=Projects!$C$12),Projects!$B$12*Assumptions!$B$47,0)+IF(AND(Projects!$G$13="Yes",Projects!$J$13="Yes",Projects!$K$13="No",5=Projects!$C$13),Projects!$B$13*Assumptions!$B$47,0)+IF(AND(Projects!$G$14="Yes",Projects!$J$14="Yes",Projects!$K$14="No",5=Projects!$C$14),Projects!$B$14*Assumptions!$B$47,0)),Actuals!J107)</f>
        <v/>
      </c>
      <c r="J197" s="392">
        <f>IF(ISBLANK(Actuals!K107),-(IF(AND(Projects!$G$2="Yes",Projects!$J$2="Yes",Projects!$K$2="No",6=Projects!$C$2),Projects!$B$2*Assumptions!$B$47,0)+IF(AND(Projects!$G$3="Yes",Projects!$J$3="Yes",Projects!$K$3="No",6=Projects!$C$3),Projects!$B$3*Assumptions!$B$47,0)+IF(AND(Projects!$G$4="Yes",Projects!$J$4="Yes",Projects!$K$4="No",6=Projects!$C$4),Projects!$B$4*Assumptions!$B$47,0)+IF(AND(Projects!$G$5="Yes",Projects!$J$5="Yes",Projects!$K$5="No",6=Projects!$C$5),Projects!$B$5*Assumptions!$B$47,0)+IF(AND(Projects!$G$6="Yes",Projects!$J$6="Yes",Projects!$K$6="No",6=Projects!$C$6),Projects!$B$6*Assumptions!$B$47,0)+IF(AND(Projects!$G$7="Yes",Projects!$J$7="Yes",Projects!$K$7="No",6=Projects!$C$7),Projects!$B$7*Assumptions!$B$47,0)+IF(AND(Projects!$G$8="Yes",Projects!$J$8="Yes",Projects!$K$8="No",6=Projects!$C$8),Projects!$B$8*Assumptions!$B$47,0)+IF(AND(Projects!$G$9="Yes",Projects!$J$9="Yes",Projects!$K$9="No",6=Projects!$C$9),Projects!$B$9*Assumptions!$B$47,0)+IF(AND(Projects!$G$10="Yes",Projects!$J$10="Yes",Projects!$K$10="No",6=Projects!$C$10),Projects!$B$10*Assumptions!$B$47,0)+IF(AND(Projects!$G$11="Yes",Projects!$J$11="Yes",Projects!$K$11="No",6=Projects!$C$11),Projects!$B$11*Assumptions!$B$47,0)+IF(AND(Projects!$G$12="Yes",Projects!$J$12="Yes",Projects!$K$12="No",6=Projects!$C$12),Projects!$B$12*Assumptions!$B$47,0)+IF(AND(Projects!$G$13="Yes",Projects!$J$13="Yes",Projects!$K$13="No",6=Projects!$C$13),Projects!$B$13*Assumptions!$B$47,0)+IF(AND(Projects!$G$14="Yes",Projects!$J$14="Yes",Projects!$K$14="No",6=Projects!$C$14),Projects!$B$14*Assumptions!$B$47,0)),Actuals!K107)</f>
        <v/>
      </c>
      <c r="K197" s="392">
        <f>IF(ISBLANK(Actuals!L107),-(IF(AND(Projects!$G$2="Yes",Projects!$J$2="Yes",Projects!$K$2="No",7=Projects!$C$2),Projects!$B$2*Assumptions!$B$47,0)+IF(AND(Projects!$G$3="Yes",Projects!$J$3="Yes",Projects!$K$3="No",7=Projects!$C$3),Projects!$B$3*Assumptions!$B$47,0)+IF(AND(Projects!$G$4="Yes",Projects!$J$4="Yes",Projects!$K$4="No",7=Projects!$C$4),Projects!$B$4*Assumptions!$B$47,0)+IF(AND(Projects!$G$5="Yes",Projects!$J$5="Yes",Projects!$K$5="No",7=Projects!$C$5),Projects!$B$5*Assumptions!$B$47,0)+IF(AND(Projects!$G$6="Yes",Projects!$J$6="Yes",Projects!$K$6="No",7=Projects!$C$6),Projects!$B$6*Assumptions!$B$47,0)+IF(AND(Projects!$G$7="Yes",Projects!$J$7="Yes",Projects!$K$7="No",7=Projects!$C$7),Projects!$B$7*Assumptions!$B$47,0)+IF(AND(Projects!$G$8="Yes",Projects!$J$8="Yes",Projects!$K$8="No",7=Projects!$C$8),Projects!$B$8*Assumptions!$B$47,0)+IF(AND(Projects!$G$9="Yes",Projects!$J$9="Yes",Projects!$K$9="No",7=Projects!$C$9),Projects!$B$9*Assumptions!$B$47,0)+IF(AND(Projects!$G$10="Yes",Projects!$J$10="Yes",Projects!$K$10="No",7=Projects!$C$10),Projects!$B$10*Assumptions!$B$47,0)+IF(AND(Projects!$G$11="Yes",Projects!$J$11="Yes",Projects!$K$11="No",7=Projects!$C$11),Projects!$B$11*Assumptions!$B$47,0)+IF(AND(Projects!$G$12="Yes",Projects!$J$12="Yes",Projects!$K$12="No",7=Projects!$C$12),Projects!$B$12*Assumptions!$B$47,0)+IF(AND(Projects!$G$13="Yes",Projects!$J$13="Yes",Projects!$K$13="No",7=Projects!$C$13),Projects!$B$13*Assumptions!$B$47,0)+IF(AND(Projects!$G$14="Yes",Projects!$J$14="Yes",Projects!$K$14="No",7=Projects!$C$14),Projects!$B$14*Assumptions!$B$47,0)),Actuals!L107)</f>
        <v/>
      </c>
      <c r="L197" s="392">
        <f>IF(ISBLANK(Actuals!M107),-(IF(AND(Projects!$G$2="Yes",Projects!$J$2="Yes",Projects!$K$2="No",8=Projects!$C$2),Projects!$B$2*Assumptions!$B$47,0)+IF(AND(Projects!$G$3="Yes",Projects!$J$3="Yes",Projects!$K$3="No",8=Projects!$C$3),Projects!$B$3*Assumptions!$B$47,0)+IF(AND(Projects!$G$4="Yes",Projects!$J$4="Yes",Projects!$K$4="No",8=Projects!$C$4),Projects!$B$4*Assumptions!$B$47,0)+IF(AND(Projects!$G$5="Yes",Projects!$J$5="Yes",Projects!$K$5="No",8=Projects!$C$5),Projects!$B$5*Assumptions!$B$47,0)+IF(AND(Projects!$G$6="Yes",Projects!$J$6="Yes",Projects!$K$6="No",8=Projects!$C$6),Projects!$B$6*Assumptions!$B$47,0)+IF(AND(Projects!$G$7="Yes",Projects!$J$7="Yes",Projects!$K$7="No",8=Projects!$C$7),Projects!$B$7*Assumptions!$B$47,0)+IF(AND(Projects!$G$8="Yes",Projects!$J$8="Yes",Projects!$K$8="No",8=Projects!$C$8),Projects!$B$8*Assumptions!$B$47,0)+IF(AND(Projects!$G$9="Yes",Projects!$J$9="Yes",Projects!$K$9="No",8=Projects!$C$9),Projects!$B$9*Assumptions!$B$47,0)+IF(AND(Projects!$G$10="Yes",Projects!$J$10="Yes",Projects!$K$10="No",8=Projects!$C$10),Projects!$B$10*Assumptions!$B$47,0)+IF(AND(Projects!$G$11="Yes",Projects!$J$11="Yes",Projects!$K$11="No",8=Projects!$C$11),Projects!$B$11*Assumptions!$B$47,0)+IF(AND(Projects!$G$12="Yes",Projects!$J$12="Yes",Projects!$K$12="No",8=Projects!$C$12),Projects!$B$12*Assumptions!$B$47,0)+IF(AND(Projects!$G$13="Yes",Projects!$J$13="Yes",Projects!$K$13="No",8=Projects!$C$13),Projects!$B$13*Assumptions!$B$47,0)+IF(AND(Projects!$G$14="Yes",Projects!$J$14="Yes",Projects!$K$14="No",8=Projects!$C$14),Projects!$B$14*Assumptions!$B$47,0)),Actuals!M107)</f>
        <v/>
      </c>
      <c r="M197" s="392">
        <f>IF(ISBLANK(Actuals!N107),-(IF(AND(Projects!$G$2="Yes",Projects!$J$2="Yes",Projects!$K$2="No",9=Projects!$C$2),Projects!$B$2*Assumptions!$B$47,0)+IF(AND(Projects!$G$3="Yes",Projects!$J$3="Yes",Projects!$K$3="No",9=Projects!$C$3),Projects!$B$3*Assumptions!$B$47,0)+IF(AND(Projects!$G$4="Yes",Projects!$J$4="Yes",Projects!$K$4="No",9=Projects!$C$4),Projects!$B$4*Assumptions!$B$47,0)+IF(AND(Projects!$G$5="Yes",Projects!$J$5="Yes",Projects!$K$5="No",9=Projects!$C$5),Projects!$B$5*Assumptions!$B$47,0)+IF(AND(Projects!$G$6="Yes",Projects!$J$6="Yes",Projects!$K$6="No",9=Projects!$C$6),Projects!$B$6*Assumptions!$B$47,0)+IF(AND(Projects!$G$7="Yes",Projects!$J$7="Yes",Projects!$K$7="No",9=Projects!$C$7),Projects!$B$7*Assumptions!$B$47,0)+IF(AND(Projects!$G$8="Yes",Projects!$J$8="Yes",Projects!$K$8="No",9=Projects!$C$8),Projects!$B$8*Assumptions!$B$47,0)+IF(AND(Projects!$G$9="Yes",Projects!$J$9="Yes",Projects!$K$9="No",9=Projects!$C$9),Projects!$B$9*Assumptions!$B$47,0)+IF(AND(Projects!$G$10="Yes",Projects!$J$10="Yes",Projects!$K$10="No",9=Projects!$C$10),Projects!$B$10*Assumptions!$B$47,0)+IF(AND(Projects!$G$11="Yes",Projects!$J$11="Yes",Projects!$K$11="No",9=Projects!$C$11),Projects!$B$11*Assumptions!$B$47,0)+IF(AND(Projects!$G$12="Yes",Projects!$J$12="Yes",Projects!$K$12="No",9=Projects!$C$12),Projects!$B$12*Assumptions!$B$47,0)+IF(AND(Projects!$G$13="Yes",Projects!$J$13="Yes",Projects!$K$13="No",9=Projects!$C$13),Projects!$B$13*Assumptions!$B$47,0)+IF(AND(Projects!$G$14="Yes",Projects!$J$14="Yes",Projects!$K$14="No",9=Projects!$C$14),Projects!$B$14*Assumptions!$B$47,0)),Actuals!N107)</f>
        <v/>
      </c>
      <c r="N197" s="392">
        <f>IF(ISBLANK(Actuals!O107),-(IF(AND(Projects!$G$2="Yes",Projects!$J$2="Yes",Projects!$K$2="No",10=Projects!$C$2),Projects!$B$2*Assumptions!$B$47,0)+IF(AND(Projects!$G$3="Yes",Projects!$J$3="Yes",Projects!$K$3="No",10=Projects!$C$3),Projects!$B$3*Assumptions!$B$47,0)+IF(AND(Projects!$G$4="Yes",Projects!$J$4="Yes",Projects!$K$4="No",10=Projects!$C$4),Projects!$B$4*Assumptions!$B$47,0)+IF(AND(Projects!$G$5="Yes",Projects!$J$5="Yes",Projects!$K$5="No",10=Projects!$C$5),Projects!$B$5*Assumptions!$B$47,0)+IF(AND(Projects!$G$6="Yes",Projects!$J$6="Yes",Projects!$K$6="No",10=Projects!$C$6),Projects!$B$6*Assumptions!$B$47,0)+IF(AND(Projects!$G$7="Yes",Projects!$J$7="Yes",Projects!$K$7="No",10=Projects!$C$7),Projects!$B$7*Assumptions!$B$47,0)+IF(AND(Projects!$G$8="Yes",Projects!$J$8="Yes",Projects!$K$8="No",10=Projects!$C$8),Projects!$B$8*Assumptions!$B$47,0)+IF(AND(Projects!$G$9="Yes",Projects!$J$9="Yes",Projects!$K$9="No",10=Projects!$C$9),Projects!$B$9*Assumptions!$B$47,0)+IF(AND(Projects!$G$10="Yes",Projects!$J$10="Yes",Projects!$K$10="No",10=Projects!$C$10),Projects!$B$10*Assumptions!$B$47,0)+IF(AND(Projects!$G$11="Yes",Projects!$J$11="Yes",Projects!$K$11="No",10=Projects!$C$11),Projects!$B$11*Assumptions!$B$47,0)+IF(AND(Projects!$G$12="Yes",Projects!$J$12="Yes",Projects!$K$12="No",10=Projects!$C$12),Projects!$B$12*Assumptions!$B$47,0)+IF(AND(Projects!$G$13="Yes",Projects!$J$13="Yes",Projects!$K$13="No",10=Projects!$C$13),Projects!$B$13*Assumptions!$B$47,0)+IF(AND(Projects!$G$14="Yes",Projects!$J$14="Yes",Projects!$K$14="No",10=Projects!$C$14),Projects!$B$14*Assumptions!$B$47,0)),Actuals!O107)</f>
        <v/>
      </c>
      <c r="O197" s="392">
        <f>IF(ISBLANK(Actuals!P107),-(IF(AND(Projects!$G$2="Yes",Projects!$J$2="Yes",Projects!$K$2="No",11=Projects!$C$2),Projects!$B$2*Assumptions!$B$47,0)+IF(AND(Projects!$G$3="Yes",Projects!$J$3="Yes",Projects!$K$3="No",11=Projects!$C$3),Projects!$B$3*Assumptions!$B$47,0)+IF(AND(Projects!$G$4="Yes",Projects!$J$4="Yes",Projects!$K$4="No",11=Projects!$C$4),Projects!$B$4*Assumptions!$B$47,0)+IF(AND(Projects!$G$5="Yes",Projects!$J$5="Yes",Projects!$K$5="No",11=Projects!$C$5),Projects!$B$5*Assumptions!$B$47,0)+IF(AND(Projects!$G$6="Yes",Projects!$J$6="Yes",Projects!$K$6="No",11=Projects!$C$6),Projects!$B$6*Assumptions!$B$47,0)+IF(AND(Projects!$G$7="Yes",Projects!$J$7="Yes",Projects!$K$7="No",11=Projects!$C$7),Projects!$B$7*Assumptions!$B$47,0)+IF(AND(Projects!$G$8="Yes",Projects!$J$8="Yes",Projects!$K$8="No",11=Projects!$C$8),Projects!$B$8*Assumptions!$B$47,0)+IF(AND(Projects!$G$9="Yes",Projects!$J$9="Yes",Projects!$K$9="No",11=Projects!$C$9),Projects!$B$9*Assumptions!$B$47,0)+IF(AND(Projects!$G$10="Yes",Projects!$J$10="Yes",Projects!$K$10="No",11=Projects!$C$10),Projects!$B$10*Assumptions!$B$47,0)+IF(AND(Projects!$G$11="Yes",Projects!$J$11="Yes",Projects!$K$11="No",11=Projects!$C$11),Projects!$B$11*Assumptions!$B$47,0)+IF(AND(Projects!$G$12="Yes",Projects!$J$12="Yes",Projects!$K$12="No",11=Projects!$C$12),Projects!$B$12*Assumptions!$B$47,0)+IF(AND(Projects!$G$13="Yes",Projects!$J$13="Yes",Projects!$K$13="No",11=Projects!$C$13),Projects!$B$13*Assumptions!$B$47,0)+IF(AND(Projects!$G$14="Yes",Projects!$J$14="Yes",Projects!$K$14="No",11=Projects!$C$14),Projects!$B$14*Assumptions!$B$47,0)),Actuals!P107)</f>
        <v/>
      </c>
      <c r="P197" s="392">
        <f>IF(ISBLANK(Actuals!Q107),-(IF(AND(Projects!$G$2="Yes",Projects!$J$2="Yes",Projects!$K$2="No",12=Projects!$C$2),Projects!$B$2*Assumptions!$B$47,0)+IF(AND(Projects!$G$3="Yes",Projects!$J$3="Yes",Projects!$K$3="No",12=Projects!$C$3),Projects!$B$3*Assumptions!$B$47,0)+IF(AND(Projects!$G$4="Yes",Projects!$J$4="Yes",Projects!$K$4="No",12=Projects!$C$4),Projects!$B$4*Assumptions!$B$47,0)+IF(AND(Projects!$G$5="Yes",Projects!$J$5="Yes",Projects!$K$5="No",12=Projects!$C$5),Projects!$B$5*Assumptions!$B$47,0)+IF(AND(Projects!$G$6="Yes",Projects!$J$6="Yes",Projects!$K$6="No",12=Projects!$C$6),Projects!$B$6*Assumptions!$B$47,0)+IF(AND(Projects!$G$7="Yes",Projects!$J$7="Yes",Projects!$K$7="No",12=Projects!$C$7),Projects!$B$7*Assumptions!$B$47,0)+IF(AND(Projects!$G$8="Yes",Projects!$J$8="Yes",Projects!$K$8="No",12=Projects!$C$8),Projects!$B$8*Assumptions!$B$47,0)+IF(AND(Projects!$G$9="Yes",Projects!$J$9="Yes",Projects!$K$9="No",12=Projects!$C$9),Projects!$B$9*Assumptions!$B$47,0)+IF(AND(Projects!$G$10="Yes",Projects!$J$10="Yes",Projects!$K$10="No",12=Projects!$C$10),Projects!$B$10*Assumptions!$B$47,0)+IF(AND(Projects!$G$11="Yes",Projects!$J$11="Yes",Projects!$K$11="No",12=Projects!$C$11),Projects!$B$11*Assumptions!$B$47,0)+IF(AND(Projects!$G$12="Yes",Projects!$J$12="Yes",Projects!$K$12="No",12=Projects!$C$12),Projects!$B$12*Assumptions!$B$47,0)+IF(AND(Projects!$G$13="Yes",Projects!$J$13="Yes",Projects!$K$13="No",12=Projects!$C$13),Projects!$B$13*Assumptions!$B$47,0)+IF(AND(Projects!$G$14="Yes",Projects!$J$14="Yes",Projects!$K$14="No",12=Projects!$C$14),Projects!$B$14*Assumptions!$B$47,0)),Actuals!Q107)</f>
        <v/>
      </c>
      <c r="Q197" s="392">
        <f>IF(ISBLANK(Actuals!R107),-(IF(AND(Projects!$G$2="Yes",Projects!$J$2="Yes",Projects!$K$2="No",13=Projects!$C$2),Projects!$B$2*Assumptions!$B$47,0)+IF(AND(Projects!$G$3="Yes",Projects!$J$3="Yes",Projects!$K$3="No",13=Projects!$C$3),Projects!$B$3*Assumptions!$B$47,0)+IF(AND(Projects!$G$4="Yes",Projects!$J$4="Yes",Projects!$K$4="No",13=Projects!$C$4),Projects!$B$4*Assumptions!$B$47,0)+IF(AND(Projects!$G$5="Yes",Projects!$J$5="Yes",Projects!$K$5="No",13=Projects!$C$5),Projects!$B$5*Assumptions!$B$47,0)+IF(AND(Projects!$G$6="Yes",Projects!$J$6="Yes",Projects!$K$6="No",13=Projects!$C$6),Projects!$B$6*Assumptions!$B$47,0)+IF(AND(Projects!$G$7="Yes",Projects!$J$7="Yes",Projects!$K$7="No",13=Projects!$C$7),Projects!$B$7*Assumptions!$B$47,0)+IF(AND(Projects!$G$8="Yes",Projects!$J$8="Yes",Projects!$K$8="No",13=Projects!$C$8),Projects!$B$8*Assumptions!$B$47,0)+IF(AND(Projects!$G$9="Yes",Projects!$J$9="Yes",Projects!$K$9="No",13=Projects!$C$9),Projects!$B$9*Assumptions!$B$47,0)+IF(AND(Projects!$G$10="Yes",Projects!$J$10="Yes",Projects!$K$10="No",13=Projects!$C$10),Projects!$B$10*Assumptions!$B$47,0)+IF(AND(Projects!$G$11="Yes",Projects!$J$11="Yes",Projects!$K$11="No",13=Projects!$C$11),Projects!$B$11*Assumptions!$B$47,0)+IF(AND(Projects!$G$12="Yes",Projects!$J$12="Yes",Projects!$K$12="No",13=Projects!$C$12),Projects!$B$12*Assumptions!$B$47,0)+IF(AND(Projects!$G$13="Yes",Projects!$J$13="Yes",Projects!$K$13="No",13=Projects!$C$13),Projects!$B$13*Assumptions!$B$47,0)+IF(AND(Projects!$G$14="Yes",Projects!$J$14="Yes",Projects!$K$14="No",13=Projects!$C$14),Projects!$B$14*Assumptions!$B$47,0)),Actuals!R107)</f>
        <v/>
      </c>
      <c r="R197" s="392">
        <f>IF(ISBLANK(Actuals!S107),-(IF(AND(Projects!$G$2="Yes",Projects!$J$2="Yes",Projects!$K$2="No",14=Projects!$C$2),Projects!$B$2*Assumptions!$B$47,0)+IF(AND(Projects!$G$3="Yes",Projects!$J$3="Yes",Projects!$K$3="No",14=Projects!$C$3),Projects!$B$3*Assumptions!$B$47,0)+IF(AND(Projects!$G$4="Yes",Projects!$J$4="Yes",Projects!$K$4="No",14=Projects!$C$4),Projects!$B$4*Assumptions!$B$47,0)+IF(AND(Projects!$G$5="Yes",Projects!$J$5="Yes",Projects!$K$5="No",14=Projects!$C$5),Projects!$B$5*Assumptions!$B$47,0)+IF(AND(Projects!$G$6="Yes",Projects!$J$6="Yes",Projects!$K$6="No",14=Projects!$C$6),Projects!$B$6*Assumptions!$B$47,0)+IF(AND(Projects!$G$7="Yes",Projects!$J$7="Yes",Projects!$K$7="No",14=Projects!$C$7),Projects!$B$7*Assumptions!$B$47,0)+IF(AND(Projects!$G$8="Yes",Projects!$J$8="Yes",Projects!$K$8="No",14=Projects!$C$8),Projects!$B$8*Assumptions!$B$47,0)+IF(AND(Projects!$G$9="Yes",Projects!$J$9="Yes",Projects!$K$9="No",14=Projects!$C$9),Projects!$B$9*Assumptions!$B$47,0)+IF(AND(Projects!$G$10="Yes",Projects!$J$10="Yes",Projects!$K$10="No",14=Projects!$C$10),Projects!$B$10*Assumptions!$B$47,0)+IF(AND(Projects!$G$11="Yes",Projects!$J$11="Yes",Projects!$K$11="No",14=Projects!$C$11),Projects!$B$11*Assumptions!$B$47,0)+IF(AND(Projects!$G$12="Yes",Projects!$J$12="Yes",Projects!$K$12="No",14=Projects!$C$12),Projects!$B$12*Assumptions!$B$47,0)+IF(AND(Projects!$G$13="Yes",Projects!$J$13="Yes",Projects!$K$13="No",14=Projects!$C$13),Projects!$B$13*Assumptions!$B$47,0)+IF(AND(Projects!$G$14="Yes",Projects!$J$14="Yes",Projects!$K$14="No",14=Projects!$C$14),Projects!$B$14*Assumptions!$B$47,0)),Actuals!S107)</f>
        <v/>
      </c>
      <c r="S197" s="392">
        <f>IF(ISBLANK(Actuals!T107),-(IF(AND(Projects!$G$2="Yes",Projects!$J$2="Yes",Projects!$K$2="No",15=Projects!$C$2),Projects!$B$2*Assumptions!$B$47,0)+IF(AND(Projects!$G$3="Yes",Projects!$J$3="Yes",Projects!$K$3="No",15=Projects!$C$3),Projects!$B$3*Assumptions!$B$47,0)+IF(AND(Projects!$G$4="Yes",Projects!$J$4="Yes",Projects!$K$4="No",15=Projects!$C$4),Projects!$B$4*Assumptions!$B$47,0)+IF(AND(Projects!$G$5="Yes",Projects!$J$5="Yes",Projects!$K$5="No",15=Projects!$C$5),Projects!$B$5*Assumptions!$B$47,0)+IF(AND(Projects!$G$6="Yes",Projects!$J$6="Yes",Projects!$K$6="No",15=Projects!$C$6),Projects!$B$6*Assumptions!$B$47,0)+IF(AND(Projects!$G$7="Yes",Projects!$J$7="Yes",Projects!$K$7="No",15=Projects!$C$7),Projects!$B$7*Assumptions!$B$47,0)+IF(AND(Projects!$G$8="Yes",Projects!$J$8="Yes",Projects!$K$8="No",15=Projects!$C$8),Projects!$B$8*Assumptions!$B$47,0)+IF(AND(Projects!$G$9="Yes",Projects!$J$9="Yes",Projects!$K$9="No",15=Projects!$C$9),Projects!$B$9*Assumptions!$B$47,0)+IF(AND(Projects!$G$10="Yes",Projects!$J$10="Yes",Projects!$K$10="No",15=Projects!$C$10),Projects!$B$10*Assumptions!$B$47,0)+IF(AND(Projects!$G$11="Yes",Projects!$J$11="Yes",Projects!$K$11="No",15=Projects!$C$11),Projects!$B$11*Assumptions!$B$47,0)+IF(AND(Projects!$G$12="Yes",Projects!$J$12="Yes",Projects!$K$12="No",15=Projects!$C$12),Projects!$B$12*Assumptions!$B$47,0)+IF(AND(Projects!$G$13="Yes",Projects!$J$13="Yes",Projects!$K$13="No",15=Projects!$C$13),Projects!$B$13*Assumptions!$B$47,0)+IF(AND(Projects!$G$14="Yes",Projects!$J$14="Yes",Projects!$K$14="No",15=Projects!$C$14),Projects!$B$14*Assumptions!$B$47,0)),Actuals!T107)</f>
        <v/>
      </c>
      <c r="T197" s="392">
        <f>IF(ISBLANK(Actuals!U107),-(IF(AND(Projects!$G$2="Yes",Projects!$J$2="Yes",Projects!$K$2="No",16=Projects!$C$2),Projects!$B$2*Assumptions!$B$47,0)+IF(AND(Projects!$G$3="Yes",Projects!$J$3="Yes",Projects!$K$3="No",16=Projects!$C$3),Projects!$B$3*Assumptions!$B$47,0)+IF(AND(Projects!$G$4="Yes",Projects!$J$4="Yes",Projects!$K$4="No",16=Projects!$C$4),Projects!$B$4*Assumptions!$B$47,0)+IF(AND(Projects!$G$5="Yes",Projects!$J$5="Yes",Projects!$K$5="No",16=Projects!$C$5),Projects!$B$5*Assumptions!$B$47,0)+IF(AND(Projects!$G$6="Yes",Projects!$J$6="Yes",Projects!$K$6="No",16=Projects!$C$6),Projects!$B$6*Assumptions!$B$47,0)+IF(AND(Projects!$G$7="Yes",Projects!$J$7="Yes",Projects!$K$7="No",16=Projects!$C$7),Projects!$B$7*Assumptions!$B$47,0)+IF(AND(Projects!$G$8="Yes",Projects!$J$8="Yes",Projects!$K$8="No",16=Projects!$C$8),Projects!$B$8*Assumptions!$B$47,0)+IF(AND(Projects!$G$9="Yes",Projects!$J$9="Yes",Projects!$K$9="No",16=Projects!$C$9),Projects!$B$9*Assumptions!$B$47,0)+IF(AND(Projects!$G$10="Yes",Projects!$J$10="Yes",Projects!$K$10="No",16=Projects!$C$10),Projects!$B$10*Assumptions!$B$47,0)+IF(AND(Projects!$G$11="Yes",Projects!$J$11="Yes",Projects!$K$11="No",16=Projects!$C$11),Projects!$B$11*Assumptions!$B$47,0)+IF(AND(Projects!$G$12="Yes",Projects!$J$12="Yes",Projects!$K$12="No",16=Projects!$C$12),Projects!$B$12*Assumptions!$B$47,0)+IF(AND(Projects!$G$13="Yes",Projects!$J$13="Yes",Projects!$K$13="No",16=Projects!$C$13),Projects!$B$13*Assumptions!$B$47,0)+IF(AND(Projects!$G$14="Yes",Projects!$J$14="Yes",Projects!$K$14="No",16=Projects!$C$14),Projects!$B$14*Assumptions!$B$47,0)),Actuals!U107)</f>
        <v/>
      </c>
      <c r="U197" s="392">
        <f>IF(ISBLANK(Actuals!V107),-(IF(AND(Projects!$G$2="Yes",Projects!$J$2="Yes",Projects!$K$2="No",17=Projects!$C$2),Projects!$B$2*Assumptions!$B$47,0)+IF(AND(Projects!$G$3="Yes",Projects!$J$3="Yes",Projects!$K$3="No",17=Projects!$C$3),Projects!$B$3*Assumptions!$B$47,0)+IF(AND(Projects!$G$4="Yes",Projects!$J$4="Yes",Projects!$K$4="No",17=Projects!$C$4),Projects!$B$4*Assumptions!$B$47,0)+IF(AND(Projects!$G$5="Yes",Projects!$J$5="Yes",Projects!$K$5="No",17=Projects!$C$5),Projects!$B$5*Assumptions!$B$47,0)+IF(AND(Projects!$G$6="Yes",Projects!$J$6="Yes",Projects!$K$6="No",17=Projects!$C$6),Projects!$B$6*Assumptions!$B$47,0)+IF(AND(Projects!$G$7="Yes",Projects!$J$7="Yes",Projects!$K$7="No",17=Projects!$C$7),Projects!$B$7*Assumptions!$B$47,0)+IF(AND(Projects!$G$8="Yes",Projects!$J$8="Yes",Projects!$K$8="No",17=Projects!$C$8),Projects!$B$8*Assumptions!$B$47,0)+IF(AND(Projects!$G$9="Yes",Projects!$J$9="Yes",Projects!$K$9="No",17=Projects!$C$9),Projects!$B$9*Assumptions!$B$47,0)+IF(AND(Projects!$G$10="Yes",Projects!$J$10="Yes",Projects!$K$10="No",17=Projects!$C$10),Projects!$B$10*Assumptions!$B$47,0)+IF(AND(Projects!$G$11="Yes",Projects!$J$11="Yes",Projects!$K$11="No",17=Projects!$C$11),Projects!$B$11*Assumptions!$B$47,0)+IF(AND(Projects!$G$12="Yes",Projects!$J$12="Yes",Projects!$K$12="No",17=Projects!$C$12),Projects!$B$12*Assumptions!$B$47,0)+IF(AND(Projects!$G$13="Yes",Projects!$J$13="Yes",Projects!$K$13="No",17=Projects!$C$13),Projects!$B$13*Assumptions!$B$47,0)+IF(AND(Projects!$G$14="Yes",Projects!$J$14="Yes",Projects!$K$14="No",17=Projects!$C$14),Projects!$B$14*Assumptions!$B$47,0)),Actuals!V107)</f>
        <v/>
      </c>
      <c r="V197" s="392">
        <f>IF(ISBLANK(Actuals!W107),-(IF(AND(Projects!$G$2="Yes",Projects!$J$2="Yes",Projects!$K$2="No",18=Projects!$C$2),Projects!$B$2*Assumptions!$B$47,0)+IF(AND(Projects!$G$3="Yes",Projects!$J$3="Yes",Projects!$K$3="No",18=Projects!$C$3),Projects!$B$3*Assumptions!$B$47,0)+IF(AND(Projects!$G$4="Yes",Projects!$J$4="Yes",Projects!$K$4="No",18=Projects!$C$4),Projects!$B$4*Assumptions!$B$47,0)+IF(AND(Projects!$G$5="Yes",Projects!$J$5="Yes",Projects!$K$5="No",18=Projects!$C$5),Projects!$B$5*Assumptions!$B$47,0)+IF(AND(Projects!$G$6="Yes",Projects!$J$6="Yes",Projects!$K$6="No",18=Projects!$C$6),Projects!$B$6*Assumptions!$B$47,0)+IF(AND(Projects!$G$7="Yes",Projects!$J$7="Yes",Projects!$K$7="No",18=Projects!$C$7),Projects!$B$7*Assumptions!$B$47,0)+IF(AND(Projects!$G$8="Yes",Projects!$J$8="Yes",Projects!$K$8="No",18=Projects!$C$8),Projects!$B$8*Assumptions!$B$47,0)+IF(AND(Projects!$G$9="Yes",Projects!$J$9="Yes",Projects!$K$9="No",18=Projects!$C$9),Projects!$B$9*Assumptions!$B$47,0)+IF(AND(Projects!$G$10="Yes",Projects!$J$10="Yes",Projects!$K$10="No",18=Projects!$C$10),Projects!$B$10*Assumptions!$B$47,0)+IF(AND(Projects!$G$11="Yes",Projects!$J$11="Yes",Projects!$K$11="No",18=Projects!$C$11),Projects!$B$11*Assumptions!$B$47,0)+IF(AND(Projects!$G$12="Yes",Projects!$J$12="Yes",Projects!$K$12="No",18=Projects!$C$12),Projects!$B$12*Assumptions!$B$47,0)+IF(AND(Projects!$G$13="Yes",Projects!$J$13="Yes",Projects!$K$13="No",18=Projects!$C$13),Projects!$B$13*Assumptions!$B$47,0)+IF(AND(Projects!$G$14="Yes",Projects!$J$14="Yes",Projects!$K$14="No",18=Projects!$C$14),Projects!$B$14*Assumptions!$B$47,0)),Actuals!W107)</f>
        <v/>
      </c>
      <c r="W197" s="392">
        <f>IF(ISBLANK(Actuals!X107),-(IF(AND(Projects!$G$2="Yes",Projects!$J$2="Yes",Projects!$K$2="No",19=Projects!$C$2),Projects!$B$2*Assumptions!$B$47,0)+IF(AND(Projects!$G$3="Yes",Projects!$J$3="Yes",Projects!$K$3="No",19=Projects!$C$3),Projects!$B$3*Assumptions!$B$47,0)+IF(AND(Projects!$G$4="Yes",Projects!$J$4="Yes",Projects!$K$4="No",19=Projects!$C$4),Projects!$B$4*Assumptions!$B$47,0)+IF(AND(Projects!$G$5="Yes",Projects!$J$5="Yes",Projects!$K$5="No",19=Projects!$C$5),Projects!$B$5*Assumptions!$B$47,0)+IF(AND(Projects!$G$6="Yes",Projects!$J$6="Yes",Projects!$K$6="No",19=Projects!$C$6),Projects!$B$6*Assumptions!$B$47,0)+IF(AND(Projects!$G$7="Yes",Projects!$J$7="Yes",Projects!$K$7="No",19=Projects!$C$7),Projects!$B$7*Assumptions!$B$47,0)+IF(AND(Projects!$G$8="Yes",Projects!$J$8="Yes",Projects!$K$8="No",19=Projects!$C$8),Projects!$B$8*Assumptions!$B$47,0)+IF(AND(Projects!$G$9="Yes",Projects!$J$9="Yes",Projects!$K$9="No",19=Projects!$C$9),Projects!$B$9*Assumptions!$B$47,0)+IF(AND(Projects!$G$10="Yes",Projects!$J$10="Yes",Projects!$K$10="No",19=Projects!$C$10),Projects!$B$10*Assumptions!$B$47,0)+IF(AND(Projects!$G$11="Yes",Projects!$J$11="Yes",Projects!$K$11="No",19=Projects!$C$11),Projects!$B$11*Assumptions!$B$47,0)+IF(AND(Projects!$G$12="Yes",Projects!$J$12="Yes",Projects!$K$12="No",19=Projects!$C$12),Projects!$B$12*Assumptions!$B$47,0)+IF(AND(Projects!$G$13="Yes",Projects!$J$13="Yes",Projects!$K$13="No",19=Projects!$C$13),Projects!$B$13*Assumptions!$B$47,0)+IF(AND(Projects!$G$14="Yes",Projects!$J$14="Yes",Projects!$K$14="No",19=Projects!$C$14),Projects!$B$14*Assumptions!$B$47,0)),Actuals!X107)</f>
        <v/>
      </c>
      <c r="X197" s="392">
        <f>IF(ISBLANK(Actuals!Y107),-(IF(AND(Projects!$G$2="Yes",Projects!$J$2="Yes",Projects!$K$2="No",20=Projects!$C$2),Projects!$B$2*Assumptions!$B$47,0)+IF(AND(Projects!$G$3="Yes",Projects!$J$3="Yes",Projects!$K$3="No",20=Projects!$C$3),Projects!$B$3*Assumptions!$B$47,0)+IF(AND(Projects!$G$4="Yes",Projects!$J$4="Yes",Projects!$K$4="No",20=Projects!$C$4),Projects!$B$4*Assumptions!$B$47,0)+IF(AND(Projects!$G$5="Yes",Projects!$J$5="Yes",Projects!$K$5="No",20=Projects!$C$5),Projects!$B$5*Assumptions!$B$47,0)+IF(AND(Projects!$G$6="Yes",Projects!$J$6="Yes",Projects!$K$6="No",20=Projects!$C$6),Projects!$B$6*Assumptions!$B$47,0)+IF(AND(Projects!$G$7="Yes",Projects!$J$7="Yes",Projects!$K$7="No",20=Projects!$C$7),Projects!$B$7*Assumptions!$B$47,0)+IF(AND(Projects!$G$8="Yes",Projects!$J$8="Yes",Projects!$K$8="No",20=Projects!$C$8),Projects!$B$8*Assumptions!$B$47,0)+IF(AND(Projects!$G$9="Yes",Projects!$J$9="Yes",Projects!$K$9="No",20=Projects!$C$9),Projects!$B$9*Assumptions!$B$47,0)+IF(AND(Projects!$G$10="Yes",Projects!$J$10="Yes",Projects!$K$10="No",20=Projects!$C$10),Projects!$B$10*Assumptions!$B$47,0)+IF(AND(Projects!$G$11="Yes",Projects!$J$11="Yes",Projects!$K$11="No",20=Projects!$C$11),Projects!$B$11*Assumptions!$B$47,0)+IF(AND(Projects!$G$12="Yes",Projects!$J$12="Yes",Projects!$K$12="No",20=Projects!$C$12),Projects!$B$12*Assumptions!$B$47,0)+IF(AND(Projects!$G$13="Yes",Projects!$J$13="Yes",Projects!$K$13="No",20=Projects!$C$13),Projects!$B$13*Assumptions!$B$47,0)+IF(AND(Projects!$G$14="Yes",Projects!$J$14="Yes",Projects!$K$14="No",20=Projects!$C$14),Projects!$B$14*Assumptions!$B$47,0)),Actuals!Y107)</f>
        <v/>
      </c>
      <c r="Y197" s="392">
        <f>IF(ISBLANK(Actuals!Z107),-(IF(AND(Projects!$G$2="Yes",Projects!$J$2="Yes",Projects!$K$2="No",21=Projects!$C$2),Projects!$B$2*Assumptions!$B$47,0)+IF(AND(Projects!$G$3="Yes",Projects!$J$3="Yes",Projects!$K$3="No",21=Projects!$C$3),Projects!$B$3*Assumptions!$B$47,0)+IF(AND(Projects!$G$4="Yes",Projects!$J$4="Yes",Projects!$K$4="No",21=Projects!$C$4),Projects!$B$4*Assumptions!$B$47,0)+IF(AND(Projects!$G$5="Yes",Projects!$J$5="Yes",Projects!$K$5="No",21=Projects!$C$5),Projects!$B$5*Assumptions!$B$47,0)+IF(AND(Projects!$G$6="Yes",Projects!$J$6="Yes",Projects!$K$6="No",21=Projects!$C$6),Projects!$B$6*Assumptions!$B$47,0)+IF(AND(Projects!$G$7="Yes",Projects!$J$7="Yes",Projects!$K$7="No",21=Projects!$C$7),Projects!$B$7*Assumptions!$B$47,0)+IF(AND(Projects!$G$8="Yes",Projects!$J$8="Yes",Projects!$K$8="No",21=Projects!$C$8),Projects!$B$8*Assumptions!$B$47,0)+IF(AND(Projects!$G$9="Yes",Projects!$J$9="Yes",Projects!$K$9="No",21=Projects!$C$9),Projects!$B$9*Assumptions!$B$47,0)+IF(AND(Projects!$G$10="Yes",Projects!$J$10="Yes",Projects!$K$10="No",21=Projects!$C$10),Projects!$B$10*Assumptions!$B$47,0)+IF(AND(Projects!$G$11="Yes",Projects!$J$11="Yes",Projects!$K$11="No",21=Projects!$C$11),Projects!$B$11*Assumptions!$B$47,0)+IF(AND(Projects!$G$12="Yes",Projects!$J$12="Yes",Projects!$K$12="No",21=Projects!$C$12),Projects!$B$12*Assumptions!$B$47,0)+IF(AND(Projects!$G$13="Yes",Projects!$J$13="Yes",Projects!$K$13="No",21=Projects!$C$13),Projects!$B$13*Assumptions!$B$47,0)+IF(AND(Projects!$G$14="Yes",Projects!$J$14="Yes",Projects!$K$14="No",21=Projects!$C$14),Projects!$B$14*Assumptions!$B$47,0)),Actuals!Z107)</f>
        <v/>
      </c>
      <c r="Z197" s="392">
        <f>IF(ISBLANK(Actuals!AA107),-(IF(AND(Projects!$G$2="Yes",Projects!$J$2="Yes",Projects!$K$2="No",22=Projects!$C$2),Projects!$B$2*Assumptions!$B$47,0)+IF(AND(Projects!$G$3="Yes",Projects!$J$3="Yes",Projects!$K$3="No",22=Projects!$C$3),Projects!$B$3*Assumptions!$B$47,0)+IF(AND(Projects!$G$4="Yes",Projects!$J$4="Yes",Projects!$K$4="No",22=Projects!$C$4),Projects!$B$4*Assumptions!$B$47,0)+IF(AND(Projects!$G$5="Yes",Projects!$J$5="Yes",Projects!$K$5="No",22=Projects!$C$5),Projects!$B$5*Assumptions!$B$47,0)+IF(AND(Projects!$G$6="Yes",Projects!$J$6="Yes",Projects!$K$6="No",22=Projects!$C$6),Projects!$B$6*Assumptions!$B$47,0)+IF(AND(Projects!$G$7="Yes",Projects!$J$7="Yes",Projects!$K$7="No",22=Projects!$C$7),Projects!$B$7*Assumptions!$B$47,0)+IF(AND(Projects!$G$8="Yes",Projects!$J$8="Yes",Projects!$K$8="No",22=Projects!$C$8),Projects!$B$8*Assumptions!$B$47,0)+IF(AND(Projects!$G$9="Yes",Projects!$J$9="Yes",Projects!$K$9="No",22=Projects!$C$9),Projects!$B$9*Assumptions!$B$47,0)+IF(AND(Projects!$G$10="Yes",Projects!$J$10="Yes",Projects!$K$10="No",22=Projects!$C$10),Projects!$B$10*Assumptions!$B$47,0)+IF(AND(Projects!$G$11="Yes",Projects!$J$11="Yes",Projects!$K$11="No",22=Projects!$C$11),Projects!$B$11*Assumptions!$B$47,0)+IF(AND(Projects!$G$12="Yes",Projects!$J$12="Yes",Projects!$K$12="No",22=Projects!$C$12),Projects!$B$12*Assumptions!$B$47,0)+IF(AND(Projects!$G$13="Yes",Projects!$J$13="Yes",Projects!$K$13="No",22=Projects!$C$13),Projects!$B$13*Assumptions!$B$47,0)+IF(AND(Projects!$G$14="Yes",Projects!$J$14="Yes",Projects!$K$14="No",22=Projects!$C$14),Projects!$B$14*Assumptions!$B$47,0)),Actuals!AA107)</f>
        <v/>
      </c>
      <c r="AA197" s="392">
        <f>IF(ISBLANK(Actuals!AB107),-(IF(AND(Projects!$G$2="Yes",Projects!$J$2="Yes",Projects!$K$2="No",23=Projects!$C$2),Projects!$B$2*Assumptions!$B$47,0)+IF(AND(Projects!$G$3="Yes",Projects!$J$3="Yes",Projects!$K$3="No",23=Projects!$C$3),Projects!$B$3*Assumptions!$B$47,0)+IF(AND(Projects!$G$4="Yes",Projects!$J$4="Yes",Projects!$K$4="No",23=Projects!$C$4),Projects!$B$4*Assumptions!$B$47,0)+IF(AND(Projects!$G$5="Yes",Projects!$J$5="Yes",Projects!$K$5="No",23=Projects!$C$5),Projects!$B$5*Assumptions!$B$47,0)+IF(AND(Projects!$G$6="Yes",Projects!$J$6="Yes",Projects!$K$6="No",23=Projects!$C$6),Projects!$B$6*Assumptions!$B$47,0)+IF(AND(Projects!$G$7="Yes",Projects!$J$7="Yes",Projects!$K$7="No",23=Projects!$C$7),Projects!$B$7*Assumptions!$B$47,0)+IF(AND(Projects!$G$8="Yes",Projects!$J$8="Yes",Projects!$K$8="No",23=Projects!$C$8),Projects!$B$8*Assumptions!$B$47,0)+IF(AND(Projects!$G$9="Yes",Projects!$J$9="Yes",Projects!$K$9="No",23=Projects!$C$9),Projects!$B$9*Assumptions!$B$47,0)+IF(AND(Projects!$G$10="Yes",Projects!$J$10="Yes",Projects!$K$10="No",23=Projects!$C$10),Projects!$B$10*Assumptions!$B$47,0)+IF(AND(Projects!$G$11="Yes",Projects!$J$11="Yes",Projects!$K$11="No",23=Projects!$C$11),Projects!$B$11*Assumptions!$B$47,0)+IF(AND(Projects!$G$12="Yes",Projects!$J$12="Yes",Projects!$K$12="No",23=Projects!$C$12),Projects!$B$12*Assumptions!$B$47,0)+IF(AND(Projects!$G$13="Yes",Projects!$J$13="Yes",Projects!$K$13="No",23=Projects!$C$13),Projects!$B$13*Assumptions!$B$47,0)+IF(AND(Projects!$G$14="Yes",Projects!$J$14="Yes",Projects!$K$14="No",23=Projects!$C$14),Projects!$B$14*Assumptions!$B$47,0)),Actuals!AB107)</f>
        <v/>
      </c>
      <c r="AB197" s="392">
        <f>IF(ISBLANK(Actuals!AC107),-(IF(AND(Projects!$G$2="Yes",Projects!$J$2="Yes",Projects!$K$2="No",24=Projects!$C$2),Projects!$B$2*Assumptions!$B$47,0)+IF(AND(Projects!$G$3="Yes",Projects!$J$3="Yes",Projects!$K$3="No",24=Projects!$C$3),Projects!$B$3*Assumptions!$B$47,0)+IF(AND(Projects!$G$4="Yes",Projects!$J$4="Yes",Projects!$K$4="No",24=Projects!$C$4),Projects!$B$4*Assumptions!$B$47,0)+IF(AND(Projects!$G$5="Yes",Projects!$J$5="Yes",Projects!$K$5="No",24=Projects!$C$5),Projects!$B$5*Assumptions!$B$47,0)+IF(AND(Projects!$G$6="Yes",Projects!$J$6="Yes",Projects!$K$6="No",24=Projects!$C$6),Projects!$B$6*Assumptions!$B$47,0)+IF(AND(Projects!$G$7="Yes",Projects!$J$7="Yes",Projects!$K$7="No",24=Projects!$C$7),Projects!$B$7*Assumptions!$B$47,0)+IF(AND(Projects!$G$8="Yes",Projects!$J$8="Yes",Projects!$K$8="No",24=Projects!$C$8),Projects!$B$8*Assumptions!$B$47,0)+IF(AND(Projects!$G$9="Yes",Projects!$J$9="Yes",Projects!$K$9="No",24=Projects!$C$9),Projects!$B$9*Assumptions!$B$47,0)+IF(AND(Projects!$G$10="Yes",Projects!$J$10="Yes",Projects!$K$10="No",24=Projects!$C$10),Projects!$B$10*Assumptions!$B$47,0)+IF(AND(Projects!$G$11="Yes",Projects!$J$11="Yes",Projects!$K$11="No",24=Projects!$C$11),Projects!$B$11*Assumptions!$B$47,0)+IF(AND(Projects!$G$12="Yes",Projects!$J$12="Yes",Projects!$K$12="No",24=Projects!$C$12),Projects!$B$12*Assumptions!$B$47,0)+IF(AND(Projects!$G$13="Yes",Projects!$J$13="Yes",Projects!$K$13="No",24=Projects!$C$13),Projects!$B$13*Assumptions!$B$47,0)+IF(AND(Projects!$G$14="Yes",Projects!$J$14="Yes",Projects!$K$14="No",24=Projects!$C$14),Projects!$B$14*Assumptions!$B$47,0)),Actuals!AC107)</f>
        <v/>
      </c>
      <c r="AC197" s="392">
        <f>IF(ISBLANK(Actuals!AD107),-(IF(AND(Projects!$G$2="Yes",Projects!$J$2="Yes",Projects!$K$2="No",25=Projects!$C$2),Projects!$B$2*Assumptions!$B$47,0)+IF(AND(Projects!$G$3="Yes",Projects!$J$3="Yes",Projects!$K$3="No",25=Projects!$C$3),Projects!$B$3*Assumptions!$B$47,0)+IF(AND(Projects!$G$4="Yes",Projects!$J$4="Yes",Projects!$K$4="No",25=Projects!$C$4),Projects!$B$4*Assumptions!$B$47,0)+IF(AND(Projects!$G$5="Yes",Projects!$J$5="Yes",Projects!$K$5="No",25=Projects!$C$5),Projects!$B$5*Assumptions!$B$47,0)+IF(AND(Projects!$G$6="Yes",Projects!$J$6="Yes",Projects!$K$6="No",25=Projects!$C$6),Projects!$B$6*Assumptions!$B$47,0)+IF(AND(Projects!$G$7="Yes",Projects!$J$7="Yes",Projects!$K$7="No",25=Projects!$C$7),Projects!$B$7*Assumptions!$B$47,0)+IF(AND(Projects!$G$8="Yes",Projects!$J$8="Yes",Projects!$K$8="No",25=Projects!$C$8),Projects!$B$8*Assumptions!$B$47,0)+IF(AND(Projects!$G$9="Yes",Projects!$J$9="Yes",Projects!$K$9="No",25=Projects!$C$9),Projects!$B$9*Assumptions!$B$47,0)+IF(AND(Projects!$G$10="Yes",Projects!$J$10="Yes",Projects!$K$10="No",25=Projects!$C$10),Projects!$B$10*Assumptions!$B$47,0)+IF(AND(Projects!$G$11="Yes",Projects!$J$11="Yes",Projects!$K$11="No",25=Projects!$C$11),Projects!$B$11*Assumptions!$B$47,0)+IF(AND(Projects!$G$12="Yes",Projects!$J$12="Yes",Projects!$K$12="No",25=Projects!$C$12),Projects!$B$12*Assumptions!$B$47,0)+IF(AND(Projects!$G$13="Yes",Projects!$J$13="Yes",Projects!$K$13="No",25=Projects!$C$13),Projects!$B$13*Assumptions!$B$47,0)+IF(AND(Projects!$G$14="Yes",Projects!$J$14="Yes",Projects!$K$14="No",25=Projects!$C$14),Projects!$B$14*Assumptions!$B$47,0)),Actuals!AD107)</f>
        <v/>
      </c>
      <c r="AD197" s="392">
        <f>IF(ISBLANK(Actuals!AE107),-(IF(AND(Projects!$G$2="Yes",Projects!$J$2="Yes",Projects!$K$2="No",26=Projects!$C$2),Projects!$B$2*Assumptions!$B$47,0)+IF(AND(Projects!$G$3="Yes",Projects!$J$3="Yes",Projects!$K$3="No",26=Projects!$C$3),Projects!$B$3*Assumptions!$B$47,0)+IF(AND(Projects!$G$4="Yes",Projects!$J$4="Yes",Projects!$K$4="No",26=Projects!$C$4),Projects!$B$4*Assumptions!$B$47,0)+IF(AND(Projects!$G$5="Yes",Projects!$J$5="Yes",Projects!$K$5="No",26=Projects!$C$5),Projects!$B$5*Assumptions!$B$47,0)+IF(AND(Projects!$G$6="Yes",Projects!$J$6="Yes",Projects!$K$6="No",26=Projects!$C$6),Projects!$B$6*Assumptions!$B$47,0)+IF(AND(Projects!$G$7="Yes",Projects!$J$7="Yes",Projects!$K$7="No",26=Projects!$C$7),Projects!$B$7*Assumptions!$B$47,0)+IF(AND(Projects!$G$8="Yes",Projects!$J$8="Yes",Projects!$K$8="No",26=Projects!$C$8),Projects!$B$8*Assumptions!$B$47,0)+IF(AND(Projects!$G$9="Yes",Projects!$J$9="Yes",Projects!$K$9="No",26=Projects!$C$9),Projects!$B$9*Assumptions!$B$47,0)+IF(AND(Projects!$G$10="Yes",Projects!$J$10="Yes",Projects!$K$10="No",26=Projects!$C$10),Projects!$B$10*Assumptions!$B$47,0)+IF(AND(Projects!$G$11="Yes",Projects!$J$11="Yes",Projects!$K$11="No",26=Projects!$C$11),Projects!$B$11*Assumptions!$B$47,0)+IF(AND(Projects!$G$12="Yes",Projects!$J$12="Yes",Projects!$K$12="No",26=Projects!$C$12),Projects!$B$12*Assumptions!$B$47,0)+IF(AND(Projects!$G$13="Yes",Projects!$J$13="Yes",Projects!$K$13="No",26=Projects!$C$13),Projects!$B$13*Assumptions!$B$47,0)+IF(AND(Projects!$G$14="Yes",Projects!$J$14="Yes",Projects!$K$14="No",26=Projects!$C$14),Projects!$B$14*Assumptions!$B$47,0)),Actuals!AE107)</f>
        <v/>
      </c>
      <c r="AE197" s="392">
        <f>IF(ISBLANK(Actuals!AF107),-(IF(AND(Projects!$G$2="Yes",Projects!$J$2="Yes",Projects!$K$2="No",27=Projects!$C$2),Projects!$B$2*Assumptions!$B$47,0)+IF(AND(Projects!$G$3="Yes",Projects!$J$3="Yes",Projects!$K$3="No",27=Projects!$C$3),Projects!$B$3*Assumptions!$B$47,0)+IF(AND(Projects!$G$4="Yes",Projects!$J$4="Yes",Projects!$K$4="No",27=Projects!$C$4),Projects!$B$4*Assumptions!$B$47,0)+IF(AND(Projects!$G$5="Yes",Projects!$J$5="Yes",Projects!$K$5="No",27=Projects!$C$5),Projects!$B$5*Assumptions!$B$47,0)+IF(AND(Projects!$G$6="Yes",Projects!$J$6="Yes",Projects!$K$6="No",27=Projects!$C$6),Projects!$B$6*Assumptions!$B$47,0)+IF(AND(Projects!$G$7="Yes",Projects!$J$7="Yes",Projects!$K$7="No",27=Projects!$C$7),Projects!$B$7*Assumptions!$B$47,0)+IF(AND(Projects!$G$8="Yes",Projects!$J$8="Yes",Projects!$K$8="No",27=Projects!$C$8),Projects!$B$8*Assumptions!$B$47,0)+IF(AND(Projects!$G$9="Yes",Projects!$J$9="Yes",Projects!$K$9="No",27=Projects!$C$9),Projects!$B$9*Assumptions!$B$47,0)+IF(AND(Projects!$G$10="Yes",Projects!$J$10="Yes",Projects!$K$10="No",27=Projects!$C$10),Projects!$B$10*Assumptions!$B$47,0)+IF(AND(Projects!$G$11="Yes",Projects!$J$11="Yes",Projects!$K$11="No",27=Projects!$C$11),Projects!$B$11*Assumptions!$B$47,0)+IF(AND(Projects!$G$12="Yes",Projects!$J$12="Yes",Projects!$K$12="No",27=Projects!$C$12),Projects!$B$12*Assumptions!$B$47,0)+IF(AND(Projects!$G$13="Yes",Projects!$J$13="Yes",Projects!$K$13="No",27=Projects!$C$13),Projects!$B$13*Assumptions!$B$47,0)+IF(AND(Projects!$G$14="Yes",Projects!$J$14="Yes",Projects!$K$14="No",27=Projects!$C$14),Projects!$B$14*Assumptions!$B$47,0)),Actuals!AF107)</f>
        <v/>
      </c>
      <c r="AF197" s="392">
        <f>IF(ISBLANK(Actuals!AG107),-(IF(AND(Projects!$G$2="Yes",Projects!$J$2="Yes",Projects!$K$2="No",28=Projects!$C$2),Projects!$B$2*Assumptions!$B$47,0)+IF(AND(Projects!$G$3="Yes",Projects!$J$3="Yes",Projects!$K$3="No",28=Projects!$C$3),Projects!$B$3*Assumptions!$B$47,0)+IF(AND(Projects!$G$4="Yes",Projects!$J$4="Yes",Projects!$K$4="No",28=Projects!$C$4),Projects!$B$4*Assumptions!$B$47,0)+IF(AND(Projects!$G$5="Yes",Projects!$J$5="Yes",Projects!$K$5="No",28=Projects!$C$5),Projects!$B$5*Assumptions!$B$47,0)+IF(AND(Projects!$G$6="Yes",Projects!$J$6="Yes",Projects!$K$6="No",28=Projects!$C$6),Projects!$B$6*Assumptions!$B$47,0)+IF(AND(Projects!$G$7="Yes",Projects!$J$7="Yes",Projects!$K$7="No",28=Projects!$C$7),Projects!$B$7*Assumptions!$B$47,0)+IF(AND(Projects!$G$8="Yes",Projects!$J$8="Yes",Projects!$K$8="No",28=Projects!$C$8),Projects!$B$8*Assumptions!$B$47,0)+IF(AND(Projects!$G$9="Yes",Projects!$J$9="Yes",Projects!$K$9="No",28=Projects!$C$9),Projects!$B$9*Assumptions!$B$47,0)+IF(AND(Projects!$G$10="Yes",Projects!$J$10="Yes",Projects!$K$10="No",28=Projects!$C$10),Projects!$B$10*Assumptions!$B$47,0)+IF(AND(Projects!$G$11="Yes",Projects!$J$11="Yes",Projects!$K$11="No",28=Projects!$C$11),Projects!$B$11*Assumptions!$B$47,0)+IF(AND(Projects!$G$12="Yes",Projects!$J$12="Yes",Projects!$K$12="No",28=Projects!$C$12),Projects!$B$12*Assumptions!$B$47,0)+IF(AND(Projects!$G$13="Yes",Projects!$J$13="Yes",Projects!$K$13="No",28=Projects!$C$13),Projects!$B$13*Assumptions!$B$47,0)+IF(AND(Projects!$G$14="Yes",Projects!$J$14="Yes",Projects!$K$14="No",28=Projects!$C$14),Projects!$B$14*Assumptions!$B$47,0)),Actuals!AG107)</f>
        <v/>
      </c>
      <c r="AG197" s="392">
        <f>IF(ISBLANK(Actuals!AH107),-(IF(AND(Projects!$G$2="Yes",Projects!$J$2="Yes",Projects!$K$2="No",29=Projects!$C$2),Projects!$B$2*Assumptions!$B$47,0)+IF(AND(Projects!$G$3="Yes",Projects!$J$3="Yes",Projects!$K$3="No",29=Projects!$C$3),Projects!$B$3*Assumptions!$B$47,0)+IF(AND(Projects!$G$4="Yes",Projects!$J$4="Yes",Projects!$K$4="No",29=Projects!$C$4),Projects!$B$4*Assumptions!$B$47,0)+IF(AND(Projects!$G$5="Yes",Projects!$J$5="Yes",Projects!$K$5="No",29=Projects!$C$5),Projects!$B$5*Assumptions!$B$47,0)+IF(AND(Projects!$G$6="Yes",Projects!$J$6="Yes",Projects!$K$6="No",29=Projects!$C$6),Projects!$B$6*Assumptions!$B$47,0)+IF(AND(Projects!$G$7="Yes",Projects!$J$7="Yes",Projects!$K$7="No",29=Projects!$C$7),Projects!$B$7*Assumptions!$B$47,0)+IF(AND(Projects!$G$8="Yes",Projects!$J$8="Yes",Projects!$K$8="No",29=Projects!$C$8),Projects!$B$8*Assumptions!$B$47,0)+IF(AND(Projects!$G$9="Yes",Projects!$J$9="Yes",Projects!$K$9="No",29=Projects!$C$9),Projects!$B$9*Assumptions!$B$47,0)+IF(AND(Projects!$G$10="Yes",Projects!$J$10="Yes",Projects!$K$10="No",29=Projects!$C$10),Projects!$B$10*Assumptions!$B$47,0)+IF(AND(Projects!$G$11="Yes",Projects!$J$11="Yes",Projects!$K$11="No",29=Projects!$C$11),Projects!$B$11*Assumptions!$B$47,0)+IF(AND(Projects!$G$12="Yes",Projects!$J$12="Yes",Projects!$K$12="No",29=Projects!$C$12),Projects!$B$12*Assumptions!$B$47,0)+IF(AND(Projects!$G$13="Yes",Projects!$J$13="Yes",Projects!$K$13="No",29=Projects!$C$13),Projects!$B$13*Assumptions!$B$47,0)+IF(AND(Projects!$G$14="Yes",Projects!$J$14="Yes",Projects!$K$14="No",29=Projects!$C$14),Projects!$B$14*Assumptions!$B$47,0)),Actuals!AH107)</f>
        <v/>
      </c>
      <c r="AH197" s="392">
        <f>IF(ISBLANK(Actuals!AI107),-(IF(AND(Projects!$G$2="Yes",Projects!$J$2="Yes",Projects!$K$2="No",30=Projects!$C$2),Projects!$B$2*Assumptions!$B$47,0)+IF(AND(Projects!$G$3="Yes",Projects!$J$3="Yes",Projects!$K$3="No",30=Projects!$C$3),Projects!$B$3*Assumptions!$B$47,0)+IF(AND(Projects!$G$4="Yes",Projects!$J$4="Yes",Projects!$K$4="No",30=Projects!$C$4),Projects!$B$4*Assumptions!$B$47,0)+IF(AND(Projects!$G$5="Yes",Projects!$J$5="Yes",Projects!$K$5="No",30=Projects!$C$5),Projects!$B$5*Assumptions!$B$47,0)+IF(AND(Projects!$G$6="Yes",Projects!$J$6="Yes",Projects!$K$6="No",30=Projects!$C$6),Projects!$B$6*Assumptions!$B$47,0)+IF(AND(Projects!$G$7="Yes",Projects!$J$7="Yes",Projects!$K$7="No",30=Projects!$C$7),Projects!$B$7*Assumptions!$B$47,0)+IF(AND(Projects!$G$8="Yes",Projects!$J$8="Yes",Projects!$K$8="No",30=Projects!$C$8),Projects!$B$8*Assumptions!$B$47,0)+IF(AND(Projects!$G$9="Yes",Projects!$J$9="Yes",Projects!$K$9="No",30=Projects!$C$9),Projects!$B$9*Assumptions!$B$47,0)+IF(AND(Projects!$G$10="Yes",Projects!$J$10="Yes",Projects!$K$10="No",30=Projects!$C$10),Projects!$B$10*Assumptions!$B$47,0)+IF(AND(Projects!$G$11="Yes",Projects!$J$11="Yes",Projects!$K$11="No",30=Projects!$C$11),Projects!$B$11*Assumptions!$B$47,0)+IF(AND(Projects!$G$12="Yes",Projects!$J$12="Yes",Projects!$K$12="No",30=Projects!$C$12),Projects!$B$12*Assumptions!$B$47,0)+IF(AND(Projects!$G$13="Yes",Projects!$J$13="Yes",Projects!$K$13="No",30=Projects!$C$13),Projects!$B$13*Assumptions!$B$47,0)+IF(AND(Projects!$G$14="Yes",Projects!$J$14="Yes",Projects!$K$14="No",30=Projects!$C$14),Projects!$B$14*Assumptions!$B$47,0)),Actuals!AI107)</f>
        <v/>
      </c>
      <c r="AI197" s="392">
        <f>IF(ISBLANK(Actuals!AJ107),-(IF(AND(Projects!$G$2="Yes",Projects!$J$2="Yes",Projects!$K$2="No",31=Projects!$C$2),Projects!$B$2*Assumptions!$B$47,0)+IF(AND(Projects!$G$3="Yes",Projects!$J$3="Yes",Projects!$K$3="No",31=Projects!$C$3),Projects!$B$3*Assumptions!$B$47,0)+IF(AND(Projects!$G$4="Yes",Projects!$J$4="Yes",Projects!$K$4="No",31=Projects!$C$4),Projects!$B$4*Assumptions!$B$47,0)+IF(AND(Projects!$G$5="Yes",Projects!$J$5="Yes",Projects!$K$5="No",31=Projects!$C$5),Projects!$B$5*Assumptions!$B$47,0)+IF(AND(Projects!$G$6="Yes",Projects!$J$6="Yes",Projects!$K$6="No",31=Projects!$C$6),Projects!$B$6*Assumptions!$B$47,0)+IF(AND(Projects!$G$7="Yes",Projects!$J$7="Yes",Projects!$K$7="No",31=Projects!$C$7),Projects!$B$7*Assumptions!$B$47,0)+IF(AND(Projects!$G$8="Yes",Projects!$J$8="Yes",Projects!$K$8="No",31=Projects!$C$8),Projects!$B$8*Assumptions!$B$47,0)+IF(AND(Projects!$G$9="Yes",Projects!$J$9="Yes",Projects!$K$9="No",31=Projects!$C$9),Projects!$B$9*Assumptions!$B$47,0)+IF(AND(Projects!$G$10="Yes",Projects!$J$10="Yes",Projects!$K$10="No",31=Projects!$C$10),Projects!$B$10*Assumptions!$B$47,0)+IF(AND(Projects!$G$11="Yes",Projects!$J$11="Yes",Projects!$K$11="No",31=Projects!$C$11),Projects!$B$11*Assumptions!$B$47,0)+IF(AND(Projects!$G$12="Yes",Projects!$J$12="Yes",Projects!$K$12="No",31=Projects!$C$12),Projects!$B$12*Assumptions!$B$47,0)+IF(AND(Projects!$G$13="Yes",Projects!$J$13="Yes",Projects!$K$13="No",31=Projects!$C$13),Projects!$B$13*Assumptions!$B$47,0)+IF(AND(Projects!$G$14="Yes",Projects!$J$14="Yes",Projects!$K$14="No",31=Projects!$C$14),Projects!$B$14*Assumptions!$B$47,0)),Actuals!AJ107)</f>
        <v/>
      </c>
      <c r="AJ197" s="392">
        <f>IF(ISBLANK(Actuals!AK107),-(IF(AND(Projects!$G$2="Yes",Projects!$J$2="Yes",Projects!$K$2="No",32=Projects!$C$2),Projects!$B$2*Assumptions!$B$47,0)+IF(AND(Projects!$G$3="Yes",Projects!$J$3="Yes",Projects!$K$3="No",32=Projects!$C$3),Projects!$B$3*Assumptions!$B$47,0)+IF(AND(Projects!$G$4="Yes",Projects!$J$4="Yes",Projects!$K$4="No",32=Projects!$C$4),Projects!$B$4*Assumptions!$B$47,0)+IF(AND(Projects!$G$5="Yes",Projects!$J$5="Yes",Projects!$K$5="No",32=Projects!$C$5),Projects!$B$5*Assumptions!$B$47,0)+IF(AND(Projects!$G$6="Yes",Projects!$J$6="Yes",Projects!$K$6="No",32=Projects!$C$6),Projects!$B$6*Assumptions!$B$47,0)+IF(AND(Projects!$G$7="Yes",Projects!$J$7="Yes",Projects!$K$7="No",32=Projects!$C$7),Projects!$B$7*Assumptions!$B$47,0)+IF(AND(Projects!$G$8="Yes",Projects!$J$8="Yes",Projects!$K$8="No",32=Projects!$C$8),Projects!$B$8*Assumptions!$B$47,0)+IF(AND(Projects!$G$9="Yes",Projects!$J$9="Yes",Projects!$K$9="No",32=Projects!$C$9),Projects!$B$9*Assumptions!$B$47,0)+IF(AND(Projects!$G$10="Yes",Projects!$J$10="Yes",Projects!$K$10="No",32=Projects!$C$10),Projects!$B$10*Assumptions!$B$47,0)+IF(AND(Projects!$G$11="Yes",Projects!$J$11="Yes",Projects!$K$11="No",32=Projects!$C$11),Projects!$B$11*Assumptions!$B$47,0)+IF(AND(Projects!$G$12="Yes",Projects!$J$12="Yes",Projects!$K$12="No",32=Projects!$C$12),Projects!$B$12*Assumptions!$B$47,0)+IF(AND(Projects!$G$13="Yes",Projects!$J$13="Yes",Projects!$K$13="No",32=Projects!$C$13),Projects!$B$13*Assumptions!$B$47,0)+IF(AND(Projects!$G$14="Yes",Projects!$J$14="Yes",Projects!$K$14="No",32=Projects!$C$14),Projects!$B$14*Assumptions!$B$47,0)),Actuals!AK107)</f>
        <v/>
      </c>
      <c r="AK197" s="392">
        <f>IF(ISBLANK(Actuals!AL107),-(IF(AND(Projects!$G$2="Yes",Projects!$J$2="Yes",Projects!$K$2="No",33=Projects!$C$2),Projects!$B$2*Assumptions!$B$47,0)+IF(AND(Projects!$G$3="Yes",Projects!$J$3="Yes",Projects!$K$3="No",33=Projects!$C$3),Projects!$B$3*Assumptions!$B$47,0)+IF(AND(Projects!$G$4="Yes",Projects!$J$4="Yes",Projects!$K$4="No",33=Projects!$C$4),Projects!$B$4*Assumptions!$B$47,0)+IF(AND(Projects!$G$5="Yes",Projects!$J$5="Yes",Projects!$K$5="No",33=Projects!$C$5),Projects!$B$5*Assumptions!$B$47,0)+IF(AND(Projects!$G$6="Yes",Projects!$J$6="Yes",Projects!$K$6="No",33=Projects!$C$6),Projects!$B$6*Assumptions!$B$47,0)+IF(AND(Projects!$G$7="Yes",Projects!$J$7="Yes",Projects!$K$7="No",33=Projects!$C$7),Projects!$B$7*Assumptions!$B$47,0)+IF(AND(Projects!$G$8="Yes",Projects!$J$8="Yes",Projects!$K$8="No",33=Projects!$C$8),Projects!$B$8*Assumptions!$B$47,0)+IF(AND(Projects!$G$9="Yes",Projects!$J$9="Yes",Projects!$K$9="No",33=Projects!$C$9),Projects!$B$9*Assumptions!$B$47,0)+IF(AND(Projects!$G$10="Yes",Projects!$J$10="Yes",Projects!$K$10="No",33=Projects!$C$10),Projects!$B$10*Assumptions!$B$47,0)+IF(AND(Projects!$G$11="Yes",Projects!$J$11="Yes",Projects!$K$11="No",33=Projects!$C$11),Projects!$B$11*Assumptions!$B$47,0)+IF(AND(Projects!$G$12="Yes",Projects!$J$12="Yes",Projects!$K$12="No",33=Projects!$C$12),Projects!$B$12*Assumptions!$B$47,0)+IF(AND(Projects!$G$13="Yes",Projects!$J$13="Yes",Projects!$K$13="No",33=Projects!$C$13),Projects!$B$13*Assumptions!$B$47,0)+IF(AND(Projects!$G$14="Yes",Projects!$J$14="Yes",Projects!$K$14="No",33=Projects!$C$14),Projects!$B$14*Assumptions!$B$47,0)),Actuals!AL107)</f>
        <v/>
      </c>
      <c r="AL197" s="392">
        <f>IF(ISBLANK(Actuals!AM107),-(IF(AND(Projects!$G$2="Yes",Projects!$J$2="Yes",Projects!$K$2="No",34=Projects!$C$2),Projects!$B$2*Assumptions!$B$47,0)+IF(AND(Projects!$G$3="Yes",Projects!$J$3="Yes",Projects!$K$3="No",34=Projects!$C$3),Projects!$B$3*Assumptions!$B$47,0)+IF(AND(Projects!$G$4="Yes",Projects!$J$4="Yes",Projects!$K$4="No",34=Projects!$C$4),Projects!$B$4*Assumptions!$B$47,0)+IF(AND(Projects!$G$5="Yes",Projects!$J$5="Yes",Projects!$K$5="No",34=Projects!$C$5),Projects!$B$5*Assumptions!$B$47,0)+IF(AND(Projects!$G$6="Yes",Projects!$J$6="Yes",Projects!$K$6="No",34=Projects!$C$6),Projects!$B$6*Assumptions!$B$47,0)+IF(AND(Projects!$G$7="Yes",Projects!$J$7="Yes",Projects!$K$7="No",34=Projects!$C$7),Projects!$B$7*Assumptions!$B$47,0)+IF(AND(Projects!$G$8="Yes",Projects!$J$8="Yes",Projects!$K$8="No",34=Projects!$C$8),Projects!$B$8*Assumptions!$B$47,0)+IF(AND(Projects!$G$9="Yes",Projects!$J$9="Yes",Projects!$K$9="No",34=Projects!$C$9),Projects!$B$9*Assumptions!$B$47,0)+IF(AND(Projects!$G$10="Yes",Projects!$J$10="Yes",Projects!$K$10="No",34=Projects!$C$10),Projects!$B$10*Assumptions!$B$47,0)+IF(AND(Projects!$G$11="Yes",Projects!$J$11="Yes",Projects!$K$11="No",34=Projects!$C$11),Projects!$B$11*Assumptions!$B$47,0)+IF(AND(Projects!$G$12="Yes",Projects!$J$12="Yes",Projects!$K$12="No",34=Projects!$C$12),Projects!$B$12*Assumptions!$B$47,0)+IF(AND(Projects!$G$13="Yes",Projects!$J$13="Yes",Projects!$K$13="No",34=Projects!$C$13),Projects!$B$13*Assumptions!$B$47,0)+IF(AND(Projects!$G$14="Yes",Projects!$J$14="Yes",Projects!$K$14="No",34=Projects!$C$14),Projects!$B$14*Assumptions!$B$47,0)),Actuals!AM107)</f>
        <v/>
      </c>
      <c r="AM197" s="392">
        <f>IF(ISBLANK(Actuals!AN107),-(IF(AND(Projects!$G$2="Yes",Projects!$J$2="Yes",Projects!$K$2="No",35=Projects!$C$2),Projects!$B$2*Assumptions!$B$47,0)+IF(AND(Projects!$G$3="Yes",Projects!$J$3="Yes",Projects!$K$3="No",35=Projects!$C$3),Projects!$B$3*Assumptions!$B$47,0)+IF(AND(Projects!$G$4="Yes",Projects!$J$4="Yes",Projects!$K$4="No",35=Projects!$C$4),Projects!$B$4*Assumptions!$B$47,0)+IF(AND(Projects!$G$5="Yes",Projects!$J$5="Yes",Projects!$K$5="No",35=Projects!$C$5),Projects!$B$5*Assumptions!$B$47,0)+IF(AND(Projects!$G$6="Yes",Projects!$J$6="Yes",Projects!$K$6="No",35=Projects!$C$6),Projects!$B$6*Assumptions!$B$47,0)+IF(AND(Projects!$G$7="Yes",Projects!$J$7="Yes",Projects!$K$7="No",35=Projects!$C$7),Projects!$B$7*Assumptions!$B$47,0)+IF(AND(Projects!$G$8="Yes",Projects!$J$8="Yes",Projects!$K$8="No",35=Projects!$C$8),Projects!$B$8*Assumptions!$B$47,0)+IF(AND(Projects!$G$9="Yes",Projects!$J$9="Yes",Projects!$K$9="No",35=Projects!$C$9),Projects!$B$9*Assumptions!$B$47,0)+IF(AND(Projects!$G$10="Yes",Projects!$J$10="Yes",Projects!$K$10="No",35=Projects!$C$10),Projects!$B$10*Assumptions!$B$47,0)+IF(AND(Projects!$G$11="Yes",Projects!$J$11="Yes",Projects!$K$11="No",35=Projects!$C$11),Projects!$B$11*Assumptions!$B$47,0)+IF(AND(Projects!$G$12="Yes",Projects!$J$12="Yes",Projects!$K$12="No",35=Projects!$C$12),Projects!$B$12*Assumptions!$B$47,0)+IF(AND(Projects!$G$13="Yes",Projects!$J$13="Yes",Projects!$K$13="No",35=Projects!$C$13),Projects!$B$13*Assumptions!$B$47,0)+IF(AND(Projects!$G$14="Yes",Projects!$J$14="Yes",Projects!$K$14="No",35=Projects!$C$14),Projects!$B$14*Assumptions!$B$47,0)),Actuals!AN107)</f>
        <v/>
      </c>
      <c r="AN197" s="392">
        <f>IF(ISBLANK(Actuals!AO107),-(IF(AND(Projects!$G$2="Yes",Projects!$J$2="Yes",Projects!$K$2="No",36=Projects!$C$2),Projects!$B$2*Assumptions!$B$47,0)+IF(AND(Projects!$G$3="Yes",Projects!$J$3="Yes",Projects!$K$3="No",36=Projects!$C$3),Projects!$B$3*Assumptions!$B$47,0)+IF(AND(Projects!$G$4="Yes",Projects!$J$4="Yes",Projects!$K$4="No",36=Projects!$C$4),Projects!$B$4*Assumptions!$B$47,0)+IF(AND(Projects!$G$5="Yes",Projects!$J$5="Yes",Projects!$K$5="No",36=Projects!$C$5),Projects!$B$5*Assumptions!$B$47,0)+IF(AND(Projects!$G$6="Yes",Projects!$J$6="Yes",Projects!$K$6="No",36=Projects!$C$6),Projects!$B$6*Assumptions!$B$47,0)+IF(AND(Projects!$G$7="Yes",Projects!$J$7="Yes",Projects!$K$7="No",36=Projects!$C$7),Projects!$B$7*Assumptions!$B$47,0)+IF(AND(Projects!$G$8="Yes",Projects!$J$8="Yes",Projects!$K$8="No",36=Projects!$C$8),Projects!$B$8*Assumptions!$B$47,0)+IF(AND(Projects!$G$9="Yes",Projects!$J$9="Yes",Projects!$K$9="No",36=Projects!$C$9),Projects!$B$9*Assumptions!$B$47,0)+IF(AND(Projects!$G$10="Yes",Projects!$J$10="Yes",Projects!$K$10="No",36=Projects!$C$10),Projects!$B$10*Assumptions!$B$47,0)+IF(AND(Projects!$G$11="Yes",Projects!$J$11="Yes",Projects!$K$11="No",36=Projects!$C$11),Projects!$B$11*Assumptions!$B$47,0)+IF(AND(Projects!$G$12="Yes",Projects!$J$12="Yes",Projects!$K$12="No",36=Projects!$C$12),Projects!$B$12*Assumptions!$B$47,0)+IF(AND(Projects!$G$13="Yes",Projects!$J$13="Yes",Projects!$K$13="No",36=Projects!$C$13),Projects!$B$13*Assumptions!$B$47,0)+IF(AND(Projects!$G$14="Yes",Projects!$J$14="Yes",Projects!$K$14="No",36=Projects!$C$14),Projects!$B$14*Assumptions!$B$47,0)),Actuals!AO107)</f>
        <v/>
      </c>
      <c r="AO197" s="392">
        <f>IF(ISBLANK(Actuals!AP107),-(IF(AND(Projects!$G$2="Yes",Projects!$J$2="Yes",Projects!$K$2="No",37=Projects!$C$2),Projects!$B$2*Assumptions!$B$47,0)+IF(AND(Projects!$G$3="Yes",Projects!$J$3="Yes",Projects!$K$3="No",37=Projects!$C$3),Projects!$B$3*Assumptions!$B$47,0)+IF(AND(Projects!$G$4="Yes",Projects!$J$4="Yes",Projects!$K$4="No",37=Projects!$C$4),Projects!$B$4*Assumptions!$B$47,0)+IF(AND(Projects!$G$5="Yes",Projects!$J$5="Yes",Projects!$K$5="No",37=Projects!$C$5),Projects!$B$5*Assumptions!$B$47,0)+IF(AND(Projects!$G$6="Yes",Projects!$J$6="Yes",Projects!$K$6="No",37=Projects!$C$6),Projects!$B$6*Assumptions!$B$47,0)+IF(AND(Projects!$G$7="Yes",Projects!$J$7="Yes",Projects!$K$7="No",37=Projects!$C$7),Projects!$B$7*Assumptions!$B$47,0)+IF(AND(Projects!$G$8="Yes",Projects!$J$8="Yes",Projects!$K$8="No",37=Projects!$C$8),Projects!$B$8*Assumptions!$B$47,0)+IF(AND(Projects!$G$9="Yes",Projects!$J$9="Yes",Projects!$K$9="No",37=Projects!$C$9),Projects!$B$9*Assumptions!$B$47,0)+IF(AND(Projects!$G$10="Yes",Projects!$J$10="Yes",Projects!$K$10="No",37=Projects!$C$10),Projects!$B$10*Assumptions!$B$47,0)+IF(AND(Projects!$G$11="Yes",Projects!$J$11="Yes",Projects!$K$11="No",37=Projects!$C$11),Projects!$B$11*Assumptions!$B$47,0)+IF(AND(Projects!$G$12="Yes",Projects!$J$12="Yes",Projects!$K$12="No",37=Projects!$C$12),Projects!$B$12*Assumptions!$B$47,0)+IF(AND(Projects!$G$13="Yes",Projects!$J$13="Yes",Projects!$K$13="No",37=Projects!$C$13),Projects!$B$13*Assumptions!$B$47,0)+IF(AND(Projects!$G$14="Yes",Projects!$J$14="Yes",Projects!$K$14="No",37=Projects!$C$14),Projects!$B$14*Assumptions!$B$47,0)),Actuals!AP107)</f>
        <v/>
      </c>
      <c r="AP197" s="392">
        <f>IF(ISBLANK(Actuals!AQ107),-(IF(AND(Projects!$G$2="Yes",Projects!$J$2="Yes",Projects!$K$2="No",38=Projects!$C$2),Projects!$B$2*Assumptions!$B$47,0)+IF(AND(Projects!$G$3="Yes",Projects!$J$3="Yes",Projects!$K$3="No",38=Projects!$C$3),Projects!$B$3*Assumptions!$B$47,0)+IF(AND(Projects!$G$4="Yes",Projects!$J$4="Yes",Projects!$K$4="No",38=Projects!$C$4),Projects!$B$4*Assumptions!$B$47,0)+IF(AND(Projects!$G$5="Yes",Projects!$J$5="Yes",Projects!$K$5="No",38=Projects!$C$5),Projects!$B$5*Assumptions!$B$47,0)+IF(AND(Projects!$G$6="Yes",Projects!$J$6="Yes",Projects!$K$6="No",38=Projects!$C$6),Projects!$B$6*Assumptions!$B$47,0)+IF(AND(Projects!$G$7="Yes",Projects!$J$7="Yes",Projects!$K$7="No",38=Projects!$C$7),Projects!$B$7*Assumptions!$B$47,0)+IF(AND(Projects!$G$8="Yes",Projects!$J$8="Yes",Projects!$K$8="No",38=Projects!$C$8),Projects!$B$8*Assumptions!$B$47,0)+IF(AND(Projects!$G$9="Yes",Projects!$J$9="Yes",Projects!$K$9="No",38=Projects!$C$9),Projects!$B$9*Assumptions!$B$47,0)+IF(AND(Projects!$G$10="Yes",Projects!$J$10="Yes",Projects!$K$10="No",38=Projects!$C$10),Projects!$B$10*Assumptions!$B$47,0)+IF(AND(Projects!$G$11="Yes",Projects!$J$11="Yes",Projects!$K$11="No",38=Projects!$C$11),Projects!$B$11*Assumptions!$B$47,0)+IF(AND(Projects!$G$12="Yes",Projects!$J$12="Yes",Projects!$K$12="No",38=Projects!$C$12),Projects!$B$12*Assumptions!$B$47,0)+IF(AND(Projects!$G$13="Yes",Projects!$J$13="Yes",Projects!$K$13="No",38=Projects!$C$13),Projects!$B$13*Assumptions!$B$47,0)+IF(AND(Projects!$G$14="Yes",Projects!$J$14="Yes",Projects!$K$14="No",38=Projects!$C$14),Projects!$B$14*Assumptions!$B$47,0)),Actuals!AQ107)</f>
        <v/>
      </c>
      <c r="AQ197" s="392">
        <f>IF(ISBLANK(Actuals!AR107),-(IF(AND(Projects!$G$2="Yes",Projects!$J$2="Yes",Projects!$K$2="No",39=Projects!$C$2),Projects!$B$2*Assumptions!$B$47,0)+IF(AND(Projects!$G$3="Yes",Projects!$J$3="Yes",Projects!$K$3="No",39=Projects!$C$3),Projects!$B$3*Assumptions!$B$47,0)+IF(AND(Projects!$G$4="Yes",Projects!$J$4="Yes",Projects!$K$4="No",39=Projects!$C$4),Projects!$B$4*Assumptions!$B$47,0)+IF(AND(Projects!$G$5="Yes",Projects!$J$5="Yes",Projects!$K$5="No",39=Projects!$C$5),Projects!$B$5*Assumptions!$B$47,0)+IF(AND(Projects!$G$6="Yes",Projects!$J$6="Yes",Projects!$K$6="No",39=Projects!$C$6),Projects!$B$6*Assumptions!$B$47,0)+IF(AND(Projects!$G$7="Yes",Projects!$J$7="Yes",Projects!$K$7="No",39=Projects!$C$7),Projects!$B$7*Assumptions!$B$47,0)+IF(AND(Projects!$G$8="Yes",Projects!$J$8="Yes",Projects!$K$8="No",39=Projects!$C$8),Projects!$B$8*Assumptions!$B$47,0)+IF(AND(Projects!$G$9="Yes",Projects!$J$9="Yes",Projects!$K$9="No",39=Projects!$C$9),Projects!$B$9*Assumptions!$B$47,0)+IF(AND(Projects!$G$10="Yes",Projects!$J$10="Yes",Projects!$K$10="No",39=Projects!$C$10),Projects!$B$10*Assumptions!$B$47,0)+IF(AND(Projects!$G$11="Yes",Projects!$J$11="Yes",Projects!$K$11="No",39=Projects!$C$11),Projects!$B$11*Assumptions!$B$47,0)+IF(AND(Projects!$G$12="Yes",Projects!$J$12="Yes",Projects!$K$12="No",39=Projects!$C$12),Projects!$B$12*Assumptions!$B$47,0)+IF(AND(Projects!$G$13="Yes",Projects!$J$13="Yes",Projects!$K$13="No",39=Projects!$C$13),Projects!$B$13*Assumptions!$B$47,0)+IF(AND(Projects!$G$14="Yes",Projects!$J$14="Yes",Projects!$K$14="No",39=Projects!$C$14),Projects!$B$14*Assumptions!$B$47,0)),Actuals!AR107)</f>
        <v/>
      </c>
      <c r="AR197" s="392">
        <f>IF(ISBLANK(Actuals!AS107),-(IF(AND(Projects!$G$2="Yes",Projects!$J$2="Yes",Projects!$K$2="No",40=Projects!$C$2),Projects!$B$2*Assumptions!$B$47,0)+IF(AND(Projects!$G$3="Yes",Projects!$J$3="Yes",Projects!$K$3="No",40=Projects!$C$3),Projects!$B$3*Assumptions!$B$47,0)+IF(AND(Projects!$G$4="Yes",Projects!$J$4="Yes",Projects!$K$4="No",40=Projects!$C$4),Projects!$B$4*Assumptions!$B$47,0)+IF(AND(Projects!$G$5="Yes",Projects!$J$5="Yes",Projects!$K$5="No",40=Projects!$C$5),Projects!$B$5*Assumptions!$B$47,0)+IF(AND(Projects!$G$6="Yes",Projects!$J$6="Yes",Projects!$K$6="No",40=Projects!$C$6),Projects!$B$6*Assumptions!$B$47,0)+IF(AND(Projects!$G$7="Yes",Projects!$J$7="Yes",Projects!$K$7="No",40=Projects!$C$7),Projects!$B$7*Assumptions!$B$47,0)+IF(AND(Projects!$G$8="Yes",Projects!$J$8="Yes",Projects!$K$8="No",40=Projects!$C$8),Projects!$B$8*Assumptions!$B$47,0)+IF(AND(Projects!$G$9="Yes",Projects!$J$9="Yes",Projects!$K$9="No",40=Projects!$C$9),Projects!$B$9*Assumptions!$B$47,0)+IF(AND(Projects!$G$10="Yes",Projects!$J$10="Yes",Projects!$K$10="No",40=Projects!$C$10),Projects!$B$10*Assumptions!$B$47,0)+IF(AND(Projects!$G$11="Yes",Projects!$J$11="Yes",Projects!$K$11="No",40=Projects!$C$11),Projects!$B$11*Assumptions!$B$47,0)+IF(AND(Projects!$G$12="Yes",Projects!$J$12="Yes",Projects!$K$12="No",40=Projects!$C$12),Projects!$B$12*Assumptions!$B$47,0)+IF(AND(Projects!$G$13="Yes",Projects!$J$13="Yes",Projects!$K$13="No",40=Projects!$C$13),Projects!$B$13*Assumptions!$B$47,0)+IF(AND(Projects!$G$14="Yes",Projects!$J$14="Yes",Projects!$K$14="No",40=Projects!$C$14),Projects!$B$14*Assumptions!$B$47,0)),Actuals!AS107)</f>
        <v/>
      </c>
      <c r="AS197" s="392">
        <f>IF(ISBLANK(Actuals!AT107),-(IF(AND(Projects!$G$2="Yes",Projects!$J$2="Yes",Projects!$K$2="No",41=Projects!$C$2),Projects!$B$2*Assumptions!$B$47,0)+IF(AND(Projects!$G$3="Yes",Projects!$J$3="Yes",Projects!$K$3="No",41=Projects!$C$3),Projects!$B$3*Assumptions!$B$47,0)+IF(AND(Projects!$G$4="Yes",Projects!$J$4="Yes",Projects!$K$4="No",41=Projects!$C$4),Projects!$B$4*Assumptions!$B$47,0)+IF(AND(Projects!$G$5="Yes",Projects!$J$5="Yes",Projects!$K$5="No",41=Projects!$C$5),Projects!$B$5*Assumptions!$B$47,0)+IF(AND(Projects!$G$6="Yes",Projects!$J$6="Yes",Projects!$K$6="No",41=Projects!$C$6),Projects!$B$6*Assumptions!$B$47,0)+IF(AND(Projects!$G$7="Yes",Projects!$J$7="Yes",Projects!$K$7="No",41=Projects!$C$7),Projects!$B$7*Assumptions!$B$47,0)+IF(AND(Projects!$G$8="Yes",Projects!$J$8="Yes",Projects!$K$8="No",41=Projects!$C$8),Projects!$B$8*Assumptions!$B$47,0)+IF(AND(Projects!$G$9="Yes",Projects!$J$9="Yes",Projects!$K$9="No",41=Projects!$C$9),Projects!$B$9*Assumptions!$B$47,0)+IF(AND(Projects!$G$10="Yes",Projects!$J$10="Yes",Projects!$K$10="No",41=Projects!$C$10),Projects!$B$10*Assumptions!$B$47,0)+IF(AND(Projects!$G$11="Yes",Projects!$J$11="Yes",Projects!$K$11="No",41=Projects!$C$11),Projects!$B$11*Assumptions!$B$47,0)+IF(AND(Projects!$G$12="Yes",Projects!$J$12="Yes",Projects!$K$12="No",41=Projects!$C$12),Projects!$B$12*Assumptions!$B$47,0)+IF(AND(Projects!$G$13="Yes",Projects!$J$13="Yes",Projects!$K$13="No",41=Projects!$C$13),Projects!$B$13*Assumptions!$B$47,0)+IF(AND(Projects!$G$14="Yes",Projects!$J$14="Yes",Projects!$K$14="No",41=Projects!$C$14),Projects!$B$14*Assumptions!$B$47,0)),Actuals!AT107)</f>
        <v/>
      </c>
      <c r="AT197" s="392">
        <f>IF(ISBLANK(Actuals!AU107),-(IF(AND(Projects!$G$2="Yes",Projects!$J$2="Yes",Projects!$K$2="No",42=Projects!$C$2),Projects!$B$2*Assumptions!$B$47,0)+IF(AND(Projects!$G$3="Yes",Projects!$J$3="Yes",Projects!$K$3="No",42=Projects!$C$3),Projects!$B$3*Assumptions!$B$47,0)+IF(AND(Projects!$G$4="Yes",Projects!$J$4="Yes",Projects!$K$4="No",42=Projects!$C$4),Projects!$B$4*Assumptions!$B$47,0)+IF(AND(Projects!$G$5="Yes",Projects!$J$5="Yes",Projects!$K$5="No",42=Projects!$C$5),Projects!$B$5*Assumptions!$B$47,0)+IF(AND(Projects!$G$6="Yes",Projects!$J$6="Yes",Projects!$K$6="No",42=Projects!$C$6),Projects!$B$6*Assumptions!$B$47,0)+IF(AND(Projects!$G$7="Yes",Projects!$J$7="Yes",Projects!$K$7="No",42=Projects!$C$7),Projects!$B$7*Assumptions!$B$47,0)+IF(AND(Projects!$G$8="Yes",Projects!$J$8="Yes",Projects!$K$8="No",42=Projects!$C$8),Projects!$B$8*Assumptions!$B$47,0)+IF(AND(Projects!$G$9="Yes",Projects!$J$9="Yes",Projects!$K$9="No",42=Projects!$C$9),Projects!$B$9*Assumptions!$B$47,0)+IF(AND(Projects!$G$10="Yes",Projects!$J$10="Yes",Projects!$K$10="No",42=Projects!$C$10),Projects!$B$10*Assumptions!$B$47,0)+IF(AND(Projects!$G$11="Yes",Projects!$J$11="Yes",Projects!$K$11="No",42=Projects!$C$11),Projects!$B$11*Assumptions!$B$47,0)+IF(AND(Projects!$G$12="Yes",Projects!$J$12="Yes",Projects!$K$12="No",42=Projects!$C$12),Projects!$B$12*Assumptions!$B$47,0)+IF(AND(Projects!$G$13="Yes",Projects!$J$13="Yes",Projects!$K$13="No",42=Projects!$C$13),Projects!$B$13*Assumptions!$B$47,0)+IF(AND(Projects!$G$14="Yes",Projects!$J$14="Yes",Projects!$K$14="No",42=Projects!$C$14),Projects!$B$14*Assumptions!$B$47,0)),Actuals!AU107)</f>
        <v/>
      </c>
      <c r="AU197" s="392">
        <f>IF(ISBLANK(Actuals!AV107),-(IF(AND(Projects!$G$2="Yes",Projects!$J$2="Yes",Projects!$K$2="No",43=Projects!$C$2),Projects!$B$2*Assumptions!$B$47,0)+IF(AND(Projects!$G$3="Yes",Projects!$J$3="Yes",Projects!$K$3="No",43=Projects!$C$3),Projects!$B$3*Assumptions!$B$47,0)+IF(AND(Projects!$G$4="Yes",Projects!$J$4="Yes",Projects!$K$4="No",43=Projects!$C$4),Projects!$B$4*Assumptions!$B$47,0)+IF(AND(Projects!$G$5="Yes",Projects!$J$5="Yes",Projects!$K$5="No",43=Projects!$C$5),Projects!$B$5*Assumptions!$B$47,0)+IF(AND(Projects!$G$6="Yes",Projects!$J$6="Yes",Projects!$K$6="No",43=Projects!$C$6),Projects!$B$6*Assumptions!$B$47,0)+IF(AND(Projects!$G$7="Yes",Projects!$J$7="Yes",Projects!$K$7="No",43=Projects!$C$7),Projects!$B$7*Assumptions!$B$47,0)+IF(AND(Projects!$G$8="Yes",Projects!$J$8="Yes",Projects!$K$8="No",43=Projects!$C$8),Projects!$B$8*Assumptions!$B$47,0)+IF(AND(Projects!$G$9="Yes",Projects!$J$9="Yes",Projects!$K$9="No",43=Projects!$C$9),Projects!$B$9*Assumptions!$B$47,0)+IF(AND(Projects!$G$10="Yes",Projects!$J$10="Yes",Projects!$K$10="No",43=Projects!$C$10),Projects!$B$10*Assumptions!$B$47,0)+IF(AND(Projects!$G$11="Yes",Projects!$J$11="Yes",Projects!$K$11="No",43=Projects!$C$11),Projects!$B$11*Assumptions!$B$47,0)+IF(AND(Projects!$G$12="Yes",Projects!$J$12="Yes",Projects!$K$12="No",43=Projects!$C$12),Projects!$B$12*Assumptions!$B$47,0)+IF(AND(Projects!$G$13="Yes",Projects!$J$13="Yes",Projects!$K$13="No",43=Projects!$C$13),Projects!$B$13*Assumptions!$B$47,0)+IF(AND(Projects!$G$14="Yes",Projects!$J$14="Yes",Projects!$K$14="No",43=Projects!$C$14),Projects!$B$14*Assumptions!$B$47,0)),Actuals!AV107)</f>
        <v/>
      </c>
      <c r="AV197" s="392">
        <f>IF(ISBLANK(Actuals!AW107),-(IF(AND(Projects!$G$2="Yes",Projects!$J$2="Yes",Projects!$K$2="No",44=Projects!$C$2),Projects!$B$2*Assumptions!$B$47,0)+IF(AND(Projects!$G$3="Yes",Projects!$J$3="Yes",Projects!$K$3="No",44=Projects!$C$3),Projects!$B$3*Assumptions!$B$47,0)+IF(AND(Projects!$G$4="Yes",Projects!$J$4="Yes",Projects!$K$4="No",44=Projects!$C$4),Projects!$B$4*Assumptions!$B$47,0)+IF(AND(Projects!$G$5="Yes",Projects!$J$5="Yes",Projects!$K$5="No",44=Projects!$C$5),Projects!$B$5*Assumptions!$B$47,0)+IF(AND(Projects!$G$6="Yes",Projects!$J$6="Yes",Projects!$K$6="No",44=Projects!$C$6),Projects!$B$6*Assumptions!$B$47,0)+IF(AND(Projects!$G$7="Yes",Projects!$J$7="Yes",Projects!$K$7="No",44=Projects!$C$7),Projects!$B$7*Assumptions!$B$47,0)+IF(AND(Projects!$G$8="Yes",Projects!$J$8="Yes",Projects!$K$8="No",44=Projects!$C$8),Projects!$B$8*Assumptions!$B$47,0)+IF(AND(Projects!$G$9="Yes",Projects!$J$9="Yes",Projects!$K$9="No",44=Projects!$C$9),Projects!$B$9*Assumptions!$B$47,0)+IF(AND(Projects!$G$10="Yes",Projects!$J$10="Yes",Projects!$K$10="No",44=Projects!$C$10),Projects!$B$10*Assumptions!$B$47,0)+IF(AND(Projects!$G$11="Yes",Projects!$J$11="Yes",Projects!$K$11="No",44=Projects!$C$11),Projects!$B$11*Assumptions!$B$47,0)+IF(AND(Projects!$G$12="Yes",Projects!$J$12="Yes",Projects!$K$12="No",44=Projects!$C$12),Projects!$B$12*Assumptions!$B$47,0)+IF(AND(Projects!$G$13="Yes",Projects!$J$13="Yes",Projects!$K$13="No",44=Projects!$C$13),Projects!$B$13*Assumptions!$B$47,0)+IF(AND(Projects!$G$14="Yes",Projects!$J$14="Yes",Projects!$K$14="No",44=Projects!$C$14),Projects!$B$14*Assumptions!$B$47,0)),Actuals!AW107)</f>
        <v/>
      </c>
      <c r="AW197" s="392">
        <f>IF(ISBLANK(Actuals!AX107),-(IF(AND(Projects!$G$2="Yes",Projects!$J$2="Yes",Projects!$K$2="No",45=Projects!$C$2),Projects!$B$2*Assumptions!$B$47,0)+IF(AND(Projects!$G$3="Yes",Projects!$J$3="Yes",Projects!$K$3="No",45=Projects!$C$3),Projects!$B$3*Assumptions!$B$47,0)+IF(AND(Projects!$G$4="Yes",Projects!$J$4="Yes",Projects!$K$4="No",45=Projects!$C$4),Projects!$B$4*Assumptions!$B$47,0)+IF(AND(Projects!$G$5="Yes",Projects!$J$5="Yes",Projects!$K$5="No",45=Projects!$C$5),Projects!$B$5*Assumptions!$B$47,0)+IF(AND(Projects!$G$6="Yes",Projects!$J$6="Yes",Projects!$K$6="No",45=Projects!$C$6),Projects!$B$6*Assumptions!$B$47,0)+IF(AND(Projects!$G$7="Yes",Projects!$J$7="Yes",Projects!$K$7="No",45=Projects!$C$7),Projects!$B$7*Assumptions!$B$47,0)+IF(AND(Projects!$G$8="Yes",Projects!$J$8="Yes",Projects!$K$8="No",45=Projects!$C$8),Projects!$B$8*Assumptions!$B$47,0)+IF(AND(Projects!$G$9="Yes",Projects!$J$9="Yes",Projects!$K$9="No",45=Projects!$C$9),Projects!$B$9*Assumptions!$B$47,0)+IF(AND(Projects!$G$10="Yes",Projects!$J$10="Yes",Projects!$K$10="No",45=Projects!$C$10),Projects!$B$10*Assumptions!$B$47,0)+IF(AND(Projects!$G$11="Yes",Projects!$J$11="Yes",Projects!$K$11="No",45=Projects!$C$11),Projects!$B$11*Assumptions!$B$47,0)+IF(AND(Projects!$G$12="Yes",Projects!$J$12="Yes",Projects!$K$12="No",45=Projects!$C$12),Projects!$B$12*Assumptions!$B$47,0)+IF(AND(Projects!$G$13="Yes",Projects!$J$13="Yes",Projects!$K$13="No",45=Projects!$C$13),Projects!$B$13*Assumptions!$B$47,0)+IF(AND(Projects!$G$14="Yes",Projects!$J$14="Yes",Projects!$K$14="No",45=Projects!$C$14),Projects!$B$14*Assumptions!$B$47,0)),Actuals!AX107)</f>
        <v/>
      </c>
      <c r="AX197" s="392">
        <f>IF(ISBLANK(Actuals!AY107),-(IF(AND(Projects!$G$2="Yes",Projects!$J$2="Yes",Projects!$K$2="No",46=Projects!$C$2),Projects!$B$2*Assumptions!$B$47,0)+IF(AND(Projects!$G$3="Yes",Projects!$J$3="Yes",Projects!$K$3="No",46=Projects!$C$3),Projects!$B$3*Assumptions!$B$47,0)+IF(AND(Projects!$G$4="Yes",Projects!$J$4="Yes",Projects!$K$4="No",46=Projects!$C$4),Projects!$B$4*Assumptions!$B$47,0)+IF(AND(Projects!$G$5="Yes",Projects!$J$5="Yes",Projects!$K$5="No",46=Projects!$C$5),Projects!$B$5*Assumptions!$B$47,0)+IF(AND(Projects!$G$6="Yes",Projects!$J$6="Yes",Projects!$K$6="No",46=Projects!$C$6),Projects!$B$6*Assumptions!$B$47,0)+IF(AND(Projects!$G$7="Yes",Projects!$J$7="Yes",Projects!$K$7="No",46=Projects!$C$7),Projects!$B$7*Assumptions!$B$47,0)+IF(AND(Projects!$G$8="Yes",Projects!$J$8="Yes",Projects!$K$8="No",46=Projects!$C$8),Projects!$B$8*Assumptions!$B$47,0)+IF(AND(Projects!$G$9="Yes",Projects!$J$9="Yes",Projects!$K$9="No",46=Projects!$C$9),Projects!$B$9*Assumptions!$B$47,0)+IF(AND(Projects!$G$10="Yes",Projects!$J$10="Yes",Projects!$K$10="No",46=Projects!$C$10),Projects!$B$10*Assumptions!$B$47,0)+IF(AND(Projects!$G$11="Yes",Projects!$J$11="Yes",Projects!$K$11="No",46=Projects!$C$11),Projects!$B$11*Assumptions!$B$47,0)+IF(AND(Projects!$G$12="Yes",Projects!$J$12="Yes",Projects!$K$12="No",46=Projects!$C$12),Projects!$B$12*Assumptions!$B$47,0)+IF(AND(Projects!$G$13="Yes",Projects!$J$13="Yes",Projects!$K$13="No",46=Projects!$C$13),Projects!$B$13*Assumptions!$B$47,0)+IF(AND(Projects!$G$14="Yes",Projects!$J$14="Yes",Projects!$K$14="No",46=Projects!$C$14),Projects!$B$14*Assumptions!$B$47,0)),Actuals!AY107)</f>
        <v/>
      </c>
      <c r="AY197" s="392">
        <f>IF(ISBLANK(Actuals!AZ107),-(IF(AND(Projects!$G$2="Yes",Projects!$J$2="Yes",Projects!$K$2="No",47=Projects!$C$2),Projects!$B$2*Assumptions!$B$47,0)+IF(AND(Projects!$G$3="Yes",Projects!$J$3="Yes",Projects!$K$3="No",47=Projects!$C$3),Projects!$B$3*Assumptions!$B$47,0)+IF(AND(Projects!$G$4="Yes",Projects!$J$4="Yes",Projects!$K$4="No",47=Projects!$C$4),Projects!$B$4*Assumptions!$B$47,0)+IF(AND(Projects!$G$5="Yes",Projects!$J$5="Yes",Projects!$K$5="No",47=Projects!$C$5),Projects!$B$5*Assumptions!$B$47,0)+IF(AND(Projects!$G$6="Yes",Projects!$J$6="Yes",Projects!$K$6="No",47=Projects!$C$6),Projects!$B$6*Assumptions!$B$47,0)+IF(AND(Projects!$G$7="Yes",Projects!$J$7="Yes",Projects!$K$7="No",47=Projects!$C$7),Projects!$B$7*Assumptions!$B$47,0)+IF(AND(Projects!$G$8="Yes",Projects!$J$8="Yes",Projects!$K$8="No",47=Projects!$C$8),Projects!$B$8*Assumptions!$B$47,0)+IF(AND(Projects!$G$9="Yes",Projects!$J$9="Yes",Projects!$K$9="No",47=Projects!$C$9),Projects!$B$9*Assumptions!$B$47,0)+IF(AND(Projects!$G$10="Yes",Projects!$J$10="Yes",Projects!$K$10="No",47=Projects!$C$10),Projects!$B$10*Assumptions!$B$47,0)+IF(AND(Projects!$G$11="Yes",Projects!$J$11="Yes",Projects!$K$11="No",47=Projects!$C$11),Projects!$B$11*Assumptions!$B$47,0)+IF(AND(Projects!$G$12="Yes",Projects!$J$12="Yes",Projects!$K$12="No",47=Projects!$C$12),Projects!$B$12*Assumptions!$B$47,0)+IF(AND(Projects!$G$13="Yes",Projects!$J$13="Yes",Projects!$K$13="No",47=Projects!$C$13),Projects!$B$13*Assumptions!$B$47,0)+IF(AND(Projects!$G$14="Yes",Projects!$J$14="Yes",Projects!$K$14="No",47=Projects!$C$14),Projects!$B$14*Assumptions!$B$47,0)),Actuals!AZ107)</f>
        <v/>
      </c>
      <c r="AZ197" s="392">
        <f>IF(ISBLANK(Actuals!BA107),-(IF(AND(Projects!$G$2="Yes",Projects!$J$2="Yes",Projects!$K$2="No",48=Projects!$C$2),Projects!$B$2*Assumptions!$B$47,0)+IF(AND(Projects!$G$3="Yes",Projects!$J$3="Yes",Projects!$K$3="No",48=Projects!$C$3),Projects!$B$3*Assumptions!$B$47,0)+IF(AND(Projects!$G$4="Yes",Projects!$J$4="Yes",Projects!$K$4="No",48=Projects!$C$4),Projects!$B$4*Assumptions!$B$47,0)+IF(AND(Projects!$G$5="Yes",Projects!$J$5="Yes",Projects!$K$5="No",48=Projects!$C$5),Projects!$B$5*Assumptions!$B$47,0)+IF(AND(Projects!$G$6="Yes",Projects!$J$6="Yes",Projects!$K$6="No",48=Projects!$C$6),Projects!$B$6*Assumptions!$B$47,0)+IF(AND(Projects!$G$7="Yes",Projects!$J$7="Yes",Projects!$K$7="No",48=Projects!$C$7),Projects!$B$7*Assumptions!$B$47,0)+IF(AND(Projects!$G$8="Yes",Projects!$J$8="Yes",Projects!$K$8="No",48=Projects!$C$8),Projects!$B$8*Assumptions!$B$47,0)+IF(AND(Projects!$G$9="Yes",Projects!$J$9="Yes",Projects!$K$9="No",48=Projects!$C$9),Projects!$B$9*Assumptions!$B$47,0)+IF(AND(Projects!$G$10="Yes",Projects!$J$10="Yes",Projects!$K$10="No",48=Projects!$C$10),Projects!$B$10*Assumptions!$B$47,0)+IF(AND(Projects!$G$11="Yes",Projects!$J$11="Yes",Projects!$K$11="No",48=Projects!$C$11),Projects!$B$11*Assumptions!$B$47,0)+IF(AND(Projects!$G$12="Yes",Projects!$J$12="Yes",Projects!$K$12="No",48=Projects!$C$12),Projects!$B$12*Assumptions!$B$47,0)+IF(AND(Projects!$G$13="Yes",Projects!$J$13="Yes",Projects!$K$13="No",48=Projects!$C$13),Projects!$B$13*Assumptions!$B$47,0)+IF(AND(Projects!$G$14="Yes",Projects!$J$14="Yes",Projects!$K$14="No",48=Projects!$C$14),Projects!$B$14*Assumptions!$B$47,0)),Actuals!BA107)</f>
        <v/>
      </c>
      <c r="BA197" s="392">
        <f>IF(ISBLANK(Actuals!BB107),-(IF(AND(Projects!$G$2="Yes",Projects!$J$2="Yes",Projects!$K$2="No",49=Projects!$C$2),Projects!$B$2*Assumptions!$B$47,0)+IF(AND(Projects!$G$3="Yes",Projects!$J$3="Yes",Projects!$K$3="No",49=Projects!$C$3),Projects!$B$3*Assumptions!$B$47,0)+IF(AND(Projects!$G$4="Yes",Projects!$J$4="Yes",Projects!$K$4="No",49=Projects!$C$4),Projects!$B$4*Assumptions!$B$47,0)+IF(AND(Projects!$G$5="Yes",Projects!$J$5="Yes",Projects!$K$5="No",49=Projects!$C$5),Projects!$B$5*Assumptions!$B$47,0)+IF(AND(Projects!$G$6="Yes",Projects!$J$6="Yes",Projects!$K$6="No",49=Projects!$C$6),Projects!$B$6*Assumptions!$B$47,0)+IF(AND(Projects!$G$7="Yes",Projects!$J$7="Yes",Projects!$K$7="No",49=Projects!$C$7),Projects!$B$7*Assumptions!$B$47,0)+IF(AND(Projects!$G$8="Yes",Projects!$J$8="Yes",Projects!$K$8="No",49=Projects!$C$8),Projects!$B$8*Assumptions!$B$47,0)+IF(AND(Projects!$G$9="Yes",Projects!$J$9="Yes",Projects!$K$9="No",49=Projects!$C$9),Projects!$B$9*Assumptions!$B$47,0)+IF(AND(Projects!$G$10="Yes",Projects!$J$10="Yes",Projects!$K$10="No",49=Projects!$C$10),Projects!$B$10*Assumptions!$B$47,0)+IF(AND(Projects!$G$11="Yes",Projects!$J$11="Yes",Projects!$K$11="No",49=Projects!$C$11),Projects!$B$11*Assumptions!$B$47,0)+IF(AND(Projects!$G$12="Yes",Projects!$J$12="Yes",Projects!$K$12="No",49=Projects!$C$12),Projects!$B$12*Assumptions!$B$47,0)+IF(AND(Projects!$G$13="Yes",Projects!$J$13="Yes",Projects!$K$13="No",49=Projects!$C$13),Projects!$B$13*Assumptions!$B$47,0)+IF(AND(Projects!$G$14="Yes",Projects!$J$14="Yes",Projects!$K$14="No",49=Projects!$C$14),Projects!$B$14*Assumptions!$B$47,0)),Actuals!BB107)</f>
        <v/>
      </c>
      <c r="BB197" s="392">
        <f>IF(ISBLANK(Actuals!BC107),-(IF(AND(Projects!$G$2="Yes",Projects!$J$2="Yes",Projects!$K$2="No",50=Projects!$C$2),Projects!$B$2*Assumptions!$B$47,0)+IF(AND(Projects!$G$3="Yes",Projects!$J$3="Yes",Projects!$K$3="No",50=Projects!$C$3),Projects!$B$3*Assumptions!$B$47,0)+IF(AND(Projects!$G$4="Yes",Projects!$J$4="Yes",Projects!$K$4="No",50=Projects!$C$4),Projects!$B$4*Assumptions!$B$47,0)+IF(AND(Projects!$G$5="Yes",Projects!$J$5="Yes",Projects!$K$5="No",50=Projects!$C$5),Projects!$B$5*Assumptions!$B$47,0)+IF(AND(Projects!$G$6="Yes",Projects!$J$6="Yes",Projects!$K$6="No",50=Projects!$C$6),Projects!$B$6*Assumptions!$B$47,0)+IF(AND(Projects!$G$7="Yes",Projects!$J$7="Yes",Projects!$K$7="No",50=Projects!$C$7),Projects!$B$7*Assumptions!$B$47,0)+IF(AND(Projects!$G$8="Yes",Projects!$J$8="Yes",Projects!$K$8="No",50=Projects!$C$8),Projects!$B$8*Assumptions!$B$47,0)+IF(AND(Projects!$G$9="Yes",Projects!$J$9="Yes",Projects!$K$9="No",50=Projects!$C$9),Projects!$B$9*Assumptions!$B$47,0)+IF(AND(Projects!$G$10="Yes",Projects!$J$10="Yes",Projects!$K$10="No",50=Projects!$C$10),Projects!$B$10*Assumptions!$B$47,0)+IF(AND(Projects!$G$11="Yes",Projects!$J$11="Yes",Projects!$K$11="No",50=Projects!$C$11),Projects!$B$11*Assumptions!$B$47,0)+IF(AND(Projects!$G$12="Yes",Projects!$J$12="Yes",Projects!$K$12="No",50=Projects!$C$12),Projects!$B$12*Assumptions!$B$47,0)+IF(AND(Projects!$G$13="Yes",Projects!$J$13="Yes",Projects!$K$13="No",50=Projects!$C$13),Projects!$B$13*Assumptions!$B$47,0)+IF(AND(Projects!$G$14="Yes",Projects!$J$14="Yes",Projects!$K$14="No",50=Projects!$C$14),Projects!$B$14*Assumptions!$B$47,0)),Actuals!BC107)</f>
        <v/>
      </c>
      <c r="BC197" s="392">
        <f>IF(ISBLANK(Actuals!BD107),-(IF(AND(Projects!$G$2="Yes",Projects!$J$2="Yes",Projects!$K$2="No",51=Projects!$C$2),Projects!$B$2*Assumptions!$B$47,0)+IF(AND(Projects!$G$3="Yes",Projects!$J$3="Yes",Projects!$K$3="No",51=Projects!$C$3),Projects!$B$3*Assumptions!$B$47,0)+IF(AND(Projects!$G$4="Yes",Projects!$J$4="Yes",Projects!$K$4="No",51=Projects!$C$4),Projects!$B$4*Assumptions!$B$47,0)+IF(AND(Projects!$G$5="Yes",Projects!$J$5="Yes",Projects!$K$5="No",51=Projects!$C$5),Projects!$B$5*Assumptions!$B$47,0)+IF(AND(Projects!$G$6="Yes",Projects!$J$6="Yes",Projects!$K$6="No",51=Projects!$C$6),Projects!$B$6*Assumptions!$B$47,0)+IF(AND(Projects!$G$7="Yes",Projects!$J$7="Yes",Projects!$K$7="No",51=Projects!$C$7),Projects!$B$7*Assumptions!$B$47,0)+IF(AND(Projects!$G$8="Yes",Projects!$J$8="Yes",Projects!$K$8="No",51=Projects!$C$8),Projects!$B$8*Assumptions!$B$47,0)+IF(AND(Projects!$G$9="Yes",Projects!$J$9="Yes",Projects!$K$9="No",51=Projects!$C$9),Projects!$B$9*Assumptions!$B$47,0)+IF(AND(Projects!$G$10="Yes",Projects!$J$10="Yes",Projects!$K$10="No",51=Projects!$C$10),Projects!$B$10*Assumptions!$B$47,0)+IF(AND(Projects!$G$11="Yes",Projects!$J$11="Yes",Projects!$K$11="No",51=Projects!$C$11),Projects!$B$11*Assumptions!$B$47,0)+IF(AND(Projects!$G$12="Yes",Projects!$J$12="Yes",Projects!$K$12="No",51=Projects!$C$12),Projects!$B$12*Assumptions!$B$47,0)+IF(AND(Projects!$G$13="Yes",Projects!$J$13="Yes",Projects!$K$13="No",51=Projects!$C$13),Projects!$B$13*Assumptions!$B$47,0)+IF(AND(Projects!$G$14="Yes",Projects!$J$14="Yes",Projects!$K$14="No",51=Projects!$C$14),Projects!$B$14*Assumptions!$B$47,0)),Actuals!BD107)</f>
        <v/>
      </c>
      <c r="BD197" s="392">
        <f>IF(ISBLANK(Actuals!BE107),-(IF(AND(Projects!$G$2="Yes",Projects!$J$2="Yes",Projects!$K$2="No",52=Projects!$C$2),Projects!$B$2*Assumptions!$B$47,0)+IF(AND(Projects!$G$3="Yes",Projects!$J$3="Yes",Projects!$K$3="No",52=Projects!$C$3),Projects!$B$3*Assumptions!$B$47,0)+IF(AND(Projects!$G$4="Yes",Projects!$J$4="Yes",Projects!$K$4="No",52=Projects!$C$4),Projects!$B$4*Assumptions!$B$47,0)+IF(AND(Projects!$G$5="Yes",Projects!$J$5="Yes",Projects!$K$5="No",52=Projects!$C$5),Projects!$B$5*Assumptions!$B$47,0)+IF(AND(Projects!$G$6="Yes",Projects!$J$6="Yes",Projects!$K$6="No",52=Projects!$C$6),Projects!$B$6*Assumptions!$B$47,0)+IF(AND(Projects!$G$7="Yes",Projects!$J$7="Yes",Projects!$K$7="No",52=Projects!$C$7),Projects!$B$7*Assumptions!$B$47,0)+IF(AND(Projects!$G$8="Yes",Projects!$J$8="Yes",Projects!$K$8="No",52=Projects!$C$8),Projects!$B$8*Assumptions!$B$47,0)+IF(AND(Projects!$G$9="Yes",Projects!$J$9="Yes",Projects!$K$9="No",52=Projects!$C$9),Projects!$B$9*Assumptions!$B$47,0)+IF(AND(Projects!$G$10="Yes",Projects!$J$10="Yes",Projects!$K$10="No",52=Projects!$C$10),Projects!$B$10*Assumptions!$B$47,0)+IF(AND(Projects!$G$11="Yes",Projects!$J$11="Yes",Projects!$K$11="No",52=Projects!$C$11),Projects!$B$11*Assumptions!$B$47,0)+IF(AND(Projects!$G$12="Yes",Projects!$J$12="Yes",Projects!$K$12="No",52=Projects!$C$12),Projects!$B$12*Assumptions!$B$47,0)+IF(AND(Projects!$G$13="Yes",Projects!$J$13="Yes",Projects!$K$13="No",52=Projects!$C$13),Projects!$B$13*Assumptions!$B$47,0)+IF(AND(Projects!$G$14="Yes",Projects!$J$14="Yes",Projects!$K$14="No",52=Projects!$C$14),Projects!$B$14*Assumptions!$B$47,0)),Actuals!BE107)</f>
        <v/>
      </c>
      <c r="BE197" s="392">
        <f>IF(ISBLANK(Actuals!BF107),-(IF(AND(Projects!$G$2="Yes",Projects!$J$2="Yes",Projects!$K$2="No",53=Projects!$C$2),Projects!$B$2*Assumptions!$B$47,0)+IF(AND(Projects!$G$3="Yes",Projects!$J$3="Yes",Projects!$K$3="No",53=Projects!$C$3),Projects!$B$3*Assumptions!$B$47,0)+IF(AND(Projects!$G$4="Yes",Projects!$J$4="Yes",Projects!$K$4="No",53=Projects!$C$4),Projects!$B$4*Assumptions!$B$47,0)+IF(AND(Projects!$G$5="Yes",Projects!$J$5="Yes",Projects!$K$5="No",53=Projects!$C$5),Projects!$B$5*Assumptions!$B$47,0)+IF(AND(Projects!$G$6="Yes",Projects!$J$6="Yes",Projects!$K$6="No",53=Projects!$C$6),Projects!$B$6*Assumptions!$B$47,0)+IF(AND(Projects!$G$7="Yes",Projects!$J$7="Yes",Projects!$K$7="No",53=Projects!$C$7),Projects!$B$7*Assumptions!$B$47,0)+IF(AND(Projects!$G$8="Yes",Projects!$J$8="Yes",Projects!$K$8="No",53=Projects!$C$8),Projects!$B$8*Assumptions!$B$47,0)+IF(AND(Projects!$G$9="Yes",Projects!$J$9="Yes",Projects!$K$9="No",53=Projects!$C$9),Projects!$B$9*Assumptions!$B$47,0)+IF(AND(Projects!$G$10="Yes",Projects!$J$10="Yes",Projects!$K$10="No",53=Projects!$C$10),Projects!$B$10*Assumptions!$B$47,0)+IF(AND(Projects!$G$11="Yes",Projects!$J$11="Yes",Projects!$K$11="No",53=Projects!$C$11),Projects!$B$11*Assumptions!$B$47,0)+IF(AND(Projects!$G$12="Yes",Projects!$J$12="Yes",Projects!$K$12="No",53=Projects!$C$12),Projects!$B$12*Assumptions!$B$47,0)+IF(AND(Projects!$G$13="Yes",Projects!$J$13="Yes",Projects!$K$13="No",53=Projects!$C$13),Projects!$B$13*Assumptions!$B$47,0)+IF(AND(Projects!$G$14="Yes",Projects!$J$14="Yes",Projects!$K$14="No",53=Projects!$C$14),Projects!$B$14*Assumptions!$B$47,0)),Actuals!BF107)</f>
        <v/>
      </c>
      <c r="BF197" s="392">
        <f>IF(ISBLANK(Actuals!BG107),-(IF(AND(Projects!$G$2="Yes",Projects!$J$2="Yes",Projects!$K$2="No",54=Projects!$C$2),Projects!$B$2*Assumptions!$B$47,0)+IF(AND(Projects!$G$3="Yes",Projects!$J$3="Yes",Projects!$K$3="No",54=Projects!$C$3),Projects!$B$3*Assumptions!$B$47,0)+IF(AND(Projects!$G$4="Yes",Projects!$J$4="Yes",Projects!$K$4="No",54=Projects!$C$4),Projects!$B$4*Assumptions!$B$47,0)+IF(AND(Projects!$G$5="Yes",Projects!$J$5="Yes",Projects!$K$5="No",54=Projects!$C$5),Projects!$B$5*Assumptions!$B$47,0)+IF(AND(Projects!$G$6="Yes",Projects!$J$6="Yes",Projects!$K$6="No",54=Projects!$C$6),Projects!$B$6*Assumptions!$B$47,0)+IF(AND(Projects!$G$7="Yes",Projects!$J$7="Yes",Projects!$K$7="No",54=Projects!$C$7),Projects!$B$7*Assumptions!$B$47,0)+IF(AND(Projects!$G$8="Yes",Projects!$J$8="Yes",Projects!$K$8="No",54=Projects!$C$8),Projects!$B$8*Assumptions!$B$47,0)+IF(AND(Projects!$G$9="Yes",Projects!$J$9="Yes",Projects!$K$9="No",54=Projects!$C$9),Projects!$B$9*Assumptions!$B$47,0)+IF(AND(Projects!$G$10="Yes",Projects!$J$10="Yes",Projects!$K$10="No",54=Projects!$C$10),Projects!$B$10*Assumptions!$B$47,0)+IF(AND(Projects!$G$11="Yes",Projects!$J$11="Yes",Projects!$K$11="No",54=Projects!$C$11),Projects!$B$11*Assumptions!$B$47,0)+IF(AND(Projects!$G$12="Yes",Projects!$J$12="Yes",Projects!$K$12="No",54=Projects!$C$12),Projects!$B$12*Assumptions!$B$47,0)+IF(AND(Projects!$G$13="Yes",Projects!$J$13="Yes",Projects!$K$13="No",54=Projects!$C$13),Projects!$B$13*Assumptions!$B$47,0)+IF(AND(Projects!$G$14="Yes",Projects!$J$14="Yes",Projects!$K$14="No",54=Projects!$C$14),Projects!$B$14*Assumptions!$B$47,0)),Actuals!BG107)</f>
        <v/>
      </c>
      <c r="BG197" s="392">
        <f>IF(ISBLANK(Actuals!BH107),-(IF(AND(Projects!$G$2="Yes",Projects!$J$2="Yes",Projects!$K$2="No",55=Projects!$C$2),Projects!$B$2*Assumptions!$B$47,0)+IF(AND(Projects!$G$3="Yes",Projects!$J$3="Yes",Projects!$K$3="No",55=Projects!$C$3),Projects!$B$3*Assumptions!$B$47,0)+IF(AND(Projects!$G$4="Yes",Projects!$J$4="Yes",Projects!$K$4="No",55=Projects!$C$4),Projects!$B$4*Assumptions!$B$47,0)+IF(AND(Projects!$G$5="Yes",Projects!$J$5="Yes",Projects!$K$5="No",55=Projects!$C$5),Projects!$B$5*Assumptions!$B$47,0)+IF(AND(Projects!$G$6="Yes",Projects!$J$6="Yes",Projects!$K$6="No",55=Projects!$C$6),Projects!$B$6*Assumptions!$B$47,0)+IF(AND(Projects!$G$7="Yes",Projects!$J$7="Yes",Projects!$K$7="No",55=Projects!$C$7),Projects!$B$7*Assumptions!$B$47,0)+IF(AND(Projects!$G$8="Yes",Projects!$J$8="Yes",Projects!$K$8="No",55=Projects!$C$8),Projects!$B$8*Assumptions!$B$47,0)+IF(AND(Projects!$G$9="Yes",Projects!$J$9="Yes",Projects!$K$9="No",55=Projects!$C$9),Projects!$B$9*Assumptions!$B$47,0)+IF(AND(Projects!$G$10="Yes",Projects!$J$10="Yes",Projects!$K$10="No",55=Projects!$C$10),Projects!$B$10*Assumptions!$B$47,0)+IF(AND(Projects!$G$11="Yes",Projects!$J$11="Yes",Projects!$K$11="No",55=Projects!$C$11),Projects!$B$11*Assumptions!$B$47,0)+IF(AND(Projects!$G$12="Yes",Projects!$J$12="Yes",Projects!$K$12="No",55=Projects!$C$12),Projects!$B$12*Assumptions!$B$47,0)+IF(AND(Projects!$G$13="Yes",Projects!$J$13="Yes",Projects!$K$13="No",55=Projects!$C$13),Projects!$B$13*Assumptions!$B$47,0)+IF(AND(Projects!$G$14="Yes",Projects!$J$14="Yes",Projects!$K$14="No",55=Projects!$C$14),Projects!$B$14*Assumptions!$B$47,0)),Actuals!BH107)</f>
        <v/>
      </c>
      <c r="BH197" s="392">
        <f>IF(ISBLANK(Actuals!BI107),-(IF(AND(Projects!$G$2="Yes",Projects!$J$2="Yes",Projects!$K$2="No",56=Projects!$C$2),Projects!$B$2*Assumptions!$B$47,0)+IF(AND(Projects!$G$3="Yes",Projects!$J$3="Yes",Projects!$K$3="No",56=Projects!$C$3),Projects!$B$3*Assumptions!$B$47,0)+IF(AND(Projects!$G$4="Yes",Projects!$J$4="Yes",Projects!$K$4="No",56=Projects!$C$4),Projects!$B$4*Assumptions!$B$47,0)+IF(AND(Projects!$G$5="Yes",Projects!$J$5="Yes",Projects!$K$5="No",56=Projects!$C$5),Projects!$B$5*Assumptions!$B$47,0)+IF(AND(Projects!$G$6="Yes",Projects!$J$6="Yes",Projects!$K$6="No",56=Projects!$C$6),Projects!$B$6*Assumptions!$B$47,0)+IF(AND(Projects!$G$7="Yes",Projects!$J$7="Yes",Projects!$K$7="No",56=Projects!$C$7),Projects!$B$7*Assumptions!$B$47,0)+IF(AND(Projects!$G$8="Yes",Projects!$J$8="Yes",Projects!$K$8="No",56=Projects!$C$8),Projects!$B$8*Assumptions!$B$47,0)+IF(AND(Projects!$G$9="Yes",Projects!$J$9="Yes",Projects!$K$9="No",56=Projects!$C$9),Projects!$B$9*Assumptions!$B$47,0)+IF(AND(Projects!$G$10="Yes",Projects!$J$10="Yes",Projects!$K$10="No",56=Projects!$C$10),Projects!$B$10*Assumptions!$B$47,0)+IF(AND(Projects!$G$11="Yes",Projects!$J$11="Yes",Projects!$K$11="No",56=Projects!$C$11),Projects!$B$11*Assumptions!$B$47,0)+IF(AND(Projects!$G$12="Yes",Projects!$J$12="Yes",Projects!$K$12="No",56=Projects!$C$12),Projects!$B$12*Assumptions!$B$47,0)+IF(AND(Projects!$G$13="Yes",Projects!$J$13="Yes",Projects!$K$13="No",56=Projects!$C$13),Projects!$B$13*Assumptions!$B$47,0)+IF(AND(Projects!$G$14="Yes",Projects!$J$14="Yes",Projects!$K$14="No",56=Projects!$C$14),Projects!$B$14*Assumptions!$B$47,0)),Actuals!BI107)</f>
        <v/>
      </c>
      <c r="BI197" s="392">
        <f>IF(ISBLANK(Actuals!BJ107),-(IF(AND(Projects!$G$2="Yes",Projects!$J$2="Yes",Projects!$K$2="No",57=Projects!$C$2),Projects!$B$2*Assumptions!$B$47,0)+IF(AND(Projects!$G$3="Yes",Projects!$J$3="Yes",Projects!$K$3="No",57=Projects!$C$3),Projects!$B$3*Assumptions!$B$47,0)+IF(AND(Projects!$G$4="Yes",Projects!$J$4="Yes",Projects!$K$4="No",57=Projects!$C$4),Projects!$B$4*Assumptions!$B$47,0)+IF(AND(Projects!$G$5="Yes",Projects!$J$5="Yes",Projects!$K$5="No",57=Projects!$C$5),Projects!$B$5*Assumptions!$B$47,0)+IF(AND(Projects!$G$6="Yes",Projects!$J$6="Yes",Projects!$K$6="No",57=Projects!$C$6),Projects!$B$6*Assumptions!$B$47,0)+IF(AND(Projects!$G$7="Yes",Projects!$J$7="Yes",Projects!$K$7="No",57=Projects!$C$7),Projects!$B$7*Assumptions!$B$47,0)+IF(AND(Projects!$G$8="Yes",Projects!$J$8="Yes",Projects!$K$8="No",57=Projects!$C$8),Projects!$B$8*Assumptions!$B$47,0)+IF(AND(Projects!$G$9="Yes",Projects!$J$9="Yes",Projects!$K$9="No",57=Projects!$C$9),Projects!$B$9*Assumptions!$B$47,0)+IF(AND(Projects!$G$10="Yes",Projects!$J$10="Yes",Projects!$K$10="No",57=Projects!$C$10),Projects!$B$10*Assumptions!$B$47,0)+IF(AND(Projects!$G$11="Yes",Projects!$J$11="Yes",Projects!$K$11="No",57=Projects!$C$11),Projects!$B$11*Assumptions!$B$47,0)+IF(AND(Projects!$G$12="Yes",Projects!$J$12="Yes",Projects!$K$12="No",57=Projects!$C$12),Projects!$B$12*Assumptions!$B$47,0)+IF(AND(Projects!$G$13="Yes",Projects!$J$13="Yes",Projects!$K$13="No",57=Projects!$C$13),Projects!$B$13*Assumptions!$B$47,0)+IF(AND(Projects!$G$14="Yes",Projects!$J$14="Yes",Projects!$K$14="No",57=Projects!$C$14),Projects!$B$14*Assumptions!$B$47,0)),Actuals!BJ107)</f>
        <v/>
      </c>
      <c r="BJ197" s="392">
        <f>IF(ISBLANK(Actuals!BK107),-(IF(AND(Projects!$G$2="Yes",Projects!$J$2="Yes",Projects!$K$2="No",58=Projects!$C$2),Projects!$B$2*Assumptions!$B$47,0)+IF(AND(Projects!$G$3="Yes",Projects!$J$3="Yes",Projects!$K$3="No",58=Projects!$C$3),Projects!$B$3*Assumptions!$B$47,0)+IF(AND(Projects!$G$4="Yes",Projects!$J$4="Yes",Projects!$K$4="No",58=Projects!$C$4),Projects!$B$4*Assumptions!$B$47,0)+IF(AND(Projects!$G$5="Yes",Projects!$J$5="Yes",Projects!$K$5="No",58=Projects!$C$5),Projects!$B$5*Assumptions!$B$47,0)+IF(AND(Projects!$G$6="Yes",Projects!$J$6="Yes",Projects!$K$6="No",58=Projects!$C$6),Projects!$B$6*Assumptions!$B$47,0)+IF(AND(Projects!$G$7="Yes",Projects!$J$7="Yes",Projects!$K$7="No",58=Projects!$C$7),Projects!$B$7*Assumptions!$B$47,0)+IF(AND(Projects!$G$8="Yes",Projects!$J$8="Yes",Projects!$K$8="No",58=Projects!$C$8),Projects!$B$8*Assumptions!$B$47,0)+IF(AND(Projects!$G$9="Yes",Projects!$J$9="Yes",Projects!$K$9="No",58=Projects!$C$9),Projects!$B$9*Assumptions!$B$47,0)+IF(AND(Projects!$G$10="Yes",Projects!$J$10="Yes",Projects!$K$10="No",58=Projects!$C$10),Projects!$B$10*Assumptions!$B$47,0)+IF(AND(Projects!$G$11="Yes",Projects!$J$11="Yes",Projects!$K$11="No",58=Projects!$C$11),Projects!$B$11*Assumptions!$B$47,0)+IF(AND(Projects!$G$12="Yes",Projects!$J$12="Yes",Projects!$K$12="No",58=Projects!$C$12),Projects!$B$12*Assumptions!$B$47,0)+IF(AND(Projects!$G$13="Yes",Projects!$J$13="Yes",Projects!$K$13="No",58=Projects!$C$13),Projects!$B$13*Assumptions!$B$47,0)+IF(AND(Projects!$G$14="Yes",Projects!$J$14="Yes",Projects!$K$14="No",58=Projects!$C$14),Projects!$B$14*Assumptions!$B$47,0)),Actuals!BK107)</f>
        <v/>
      </c>
      <c r="BK197" s="392">
        <f>IF(ISBLANK(Actuals!BL107),-(IF(AND(Projects!$G$2="Yes",Projects!$J$2="Yes",Projects!$K$2="No",59=Projects!$C$2),Projects!$B$2*Assumptions!$B$47,0)+IF(AND(Projects!$G$3="Yes",Projects!$J$3="Yes",Projects!$K$3="No",59=Projects!$C$3),Projects!$B$3*Assumptions!$B$47,0)+IF(AND(Projects!$G$4="Yes",Projects!$J$4="Yes",Projects!$K$4="No",59=Projects!$C$4),Projects!$B$4*Assumptions!$B$47,0)+IF(AND(Projects!$G$5="Yes",Projects!$J$5="Yes",Projects!$K$5="No",59=Projects!$C$5),Projects!$B$5*Assumptions!$B$47,0)+IF(AND(Projects!$G$6="Yes",Projects!$J$6="Yes",Projects!$K$6="No",59=Projects!$C$6),Projects!$B$6*Assumptions!$B$47,0)+IF(AND(Projects!$G$7="Yes",Projects!$J$7="Yes",Projects!$K$7="No",59=Projects!$C$7),Projects!$B$7*Assumptions!$B$47,0)+IF(AND(Projects!$G$8="Yes",Projects!$J$8="Yes",Projects!$K$8="No",59=Projects!$C$8),Projects!$B$8*Assumptions!$B$47,0)+IF(AND(Projects!$G$9="Yes",Projects!$J$9="Yes",Projects!$K$9="No",59=Projects!$C$9),Projects!$B$9*Assumptions!$B$47,0)+IF(AND(Projects!$G$10="Yes",Projects!$J$10="Yes",Projects!$K$10="No",59=Projects!$C$10),Projects!$B$10*Assumptions!$B$47,0)+IF(AND(Projects!$G$11="Yes",Projects!$J$11="Yes",Projects!$K$11="No",59=Projects!$C$11),Projects!$B$11*Assumptions!$B$47,0)+IF(AND(Projects!$G$12="Yes",Projects!$J$12="Yes",Projects!$K$12="No",59=Projects!$C$12),Projects!$B$12*Assumptions!$B$47,0)+IF(AND(Projects!$G$13="Yes",Projects!$J$13="Yes",Projects!$K$13="No",59=Projects!$C$13),Projects!$B$13*Assumptions!$B$47,0)+IF(AND(Projects!$G$14="Yes",Projects!$J$14="Yes",Projects!$K$14="No",59=Projects!$C$14),Projects!$B$14*Assumptions!$B$47,0)),Actuals!BL107)</f>
        <v/>
      </c>
      <c r="BL197" s="392">
        <f>IF(ISBLANK(Actuals!BM107),-(IF(AND(Projects!$G$2="Yes",Projects!$J$2="Yes",Projects!$K$2="No",60=Projects!$C$2),Projects!$B$2*Assumptions!$B$47,0)+IF(AND(Projects!$G$3="Yes",Projects!$J$3="Yes",Projects!$K$3="No",60=Projects!$C$3),Projects!$B$3*Assumptions!$B$47,0)+IF(AND(Projects!$G$4="Yes",Projects!$J$4="Yes",Projects!$K$4="No",60=Projects!$C$4),Projects!$B$4*Assumptions!$B$47,0)+IF(AND(Projects!$G$5="Yes",Projects!$J$5="Yes",Projects!$K$5="No",60=Projects!$C$5),Projects!$B$5*Assumptions!$B$47,0)+IF(AND(Projects!$G$6="Yes",Projects!$J$6="Yes",Projects!$K$6="No",60=Projects!$C$6),Projects!$B$6*Assumptions!$B$47,0)+IF(AND(Projects!$G$7="Yes",Projects!$J$7="Yes",Projects!$K$7="No",60=Projects!$C$7),Projects!$B$7*Assumptions!$B$47,0)+IF(AND(Projects!$G$8="Yes",Projects!$J$8="Yes",Projects!$K$8="No",60=Projects!$C$8),Projects!$B$8*Assumptions!$B$47,0)+IF(AND(Projects!$G$9="Yes",Projects!$J$9="Yes",Projects!$K$9="No",60=Projects!$C$9),Projects!$B$9*Assumptions!$B$47,0)+IF(AND(Projects!$G$10="Yes",Projects!$J$10="Yes",Projects!$K$10="No",60=Projects!$C$10),Projects!$B$10*Assumptions!$B$47,0)+IF(AND(Projects!$G$11="Yes",Projects!$J$11="Yes",Projects!$K$11="No",60=Projects!$C$11),Projects!$B$11*Assumptions!$B$47,0)+IF(AND(Projects!$G$12="Yes",Projects!$J$12="Yes",Projects!$K$12="No",60=Projects!$C$12),Projects!$B$12*Assumptions!$B$47,0)+IF(AND(Projects!$G$13="Yes",Projects!$J$13="Yes",Projects!$K$13="No",60=Projects!$C$13),Projects!$B$13*Assumptions!$B$47,0)+IF(AND(Projects!$G$14="Yes",Projects!$J$14="Yes",Projects!$K$14="No",60=Projects!$C$14),Projects!$B$14*Assumptions!$B$47,0)),Actuals!BM107)</f>
        <v/>
      </c>
      <c r="BM197" s="392">
        <f>IF(ISBLANK(Actuals!BN107),-(IF(AND(Projects!$G$2="Yes",Projects!$J$2="Yes",Projects!$K$2="No",61=Projects!$C$2),Projects!$B$2*Assumptions!$B$47,0)+IF(AND(Projects!$G$3="Yes",Projects!$J$3="Yes",Projects!$K$3="No",61=Projects!$C$3),Projects!$B$3*Assumptions!$B$47,0)+IF(AND(Projects!$G$4="Yes",Projects!$J$4="Yes",Projects!$K$4="No",61=Projects!$C$4),Projects!$B$4*Assumptions!$B$47,0)+IF(AND(Projects!$G$5="Yes",Projects!$J$5="Yes",Projects!$K$5="No",61=Projects!$C$5),Projects!$B$5*Assumptions!$B$47,0)+IF(AND(Projects!$G$6="Yes",Projects!$J$6="Yes",Projects!$K$6="No",61=Projects!$C$6),Projects!$B$6*Assumptions!$B$47,0)+IF(AND(Projects!$G$7="Yes",Projects!$J$7="Yes",Projects!$K$7="No",61=Projects!$C$7),Projects!$B$7*Assumptions!$B$47,0)+IF(AND(Projects!$G$8="Yes",Projects!$J$8="Yes",Projects!$K$8="No",61=Projects!$C$8),Projects!$B$8*Assumptions!$B$47,0)+IF(AND(Projects!$G$9="Yes",Projects!$J$9="Yes",Projects!$K$9="No",61=Projects!$C$9),Projects!$B$9*Assumptions!$B$47,0)+IF(AND(Projects!$G$10="Yes",Projects!$J$10="Yes",Projects!$K$10="No",61=Projects!$C$10),Projects!$B$10*Assumptions!$B$47,0)+IF(AND(Projects!$G$11="Yes",Projects!$J$11="Yes",Projects!$K$11="No",61=Projects!$C$11),Projects!$B$11*Assumptions!$B$47,0)+IF(AND(Projects!$G$12="Yes",Projects!$J$12="Yes",Projects!$K$12="No",61=Projects!$C$12),Projects!$B$12*Assumptions!$B$47,0)+IF(AND(Projects!$G$13="Yes",Projects!$J$13="Yes",Projects!$K$13="No",61=Projects!$C$13),Projects!$B$13*Assumptions!$B$47,0)+IF(AND(Projects!$G$14="Yes",Projects!$J$14="Yes",Projects!$K$14="No",61=Projects!$C$14),Projects!$B$14*Assumptions!$B$47,0)),Actuals!BN107)</f>
        <v/>
      </c>
      <c r="BN197" s="392">
        <f>IF(ISBLANK(Actuals!BO107),-(IF(AND(Projects!$G$2="Yes",Projects!$J$2="Yes",Projects!$K$2="No",62=Projects!$C$2),Projects!$B$2*Assumptions!$B$47,0)+IF(AND(Projects!$G$3="Yes",Projects!$J$3="Yes",Projects!$K$3="No",62=Projects!$C$3),Projects!$B$3*Assumptions!$B$47,0)+IF(AND(Projects!$G$4="Yes",Projects!$J$4="Yes",Projects!$K$4="No",62=Projects!$C$4),Projects!$B$4*Assumptions!$B$47,0)+IF(AND(Projects!$G$5="Yes",Projects!$J$5="Yes",Projects!$K$5="No",62=Projects!$C$5),Projects!$B$5*Assumptions!$B$47,0)+IF(AND(Projects!$G$6="Yes",Projects!$J$6="Yes",Projects!$K$6="No",62=Projects!$C$6),Projects!$B$6*Assumptions!$B$47,0)+IF(AND(Projects!$G$7="Yes",Projects!$J$7="Yes",Projects!$K$7="No",62=Projects!$C$7),Projects!$B$7*Assumptions!$B$47,0)+IF(AND(Projects!$G$8="Yes",Projects!$J$8="Yes",Projects!$K$8="No",62=Projects!$C$8),Projects!$B$8*Assumptions!$B$47,0)+IF(AND(Projects!$G$9="Yes",Projects!$J$9="Yes",Projects!$K$9="No",62=Projects!$C$9),Projects!$B$9*Assumptions!$B$47,0)+IF(AND(Projects!$G$10="Yes",Projects!$J$10="Yes",Projects!$K$10="No",62=Projects!$C$10),Projects!$B$10*Assumptions!$B$47,0)+IF(AND(Projects!$G$11="Yes",Projects!$J$11="Yes",Projects!$K$11="No",62=Projects!$C$11),Projects!$B$11*Assumptions!$B$47,0)+IF(AND(Projects!$G$12="Yes",Projects!$J$12="Yes",Projects!$K$12="No",62=Projects!$C$12),Projects!$B$12*Assumptions!$B$47,0)+IF(AND(Projects!$G$13="Yes",Projects!$J$13="Yes",Projects!$K$13="No",62=Projects!$C$13),Projects!$B$13*Assumptions!$B$47,0)+IF(AND(Projects!$G$14="Yes",Projects!$J$14="Yes",Projects!$K$14="No",62=Projects!$C$14),Projects!$B$14*Assumptions!$B$47,0)),Actuals!BO107)</f>
        <v/>
      </c>
      <c r="BO197" s="392">
        <f>IF(ISBLANK(Actuals!BP107),-(IF(AND(Projects!$G$2="Yes",Projects!$J$2="Yes",Projects!$K$2="No",63=Projects!$C$2),Projects!$B$2*Assumptions!$B$47,0)+IF(AND(Projects!$G$3="Yes",Projects!$J$3="Yes",Projects!$K$3="No",63=Projects!$C$3),Projects!$B$3*Assumptions!$B$47,0)+IF(AND(Projects!$G$4="Yes",Projects!$J$4="Yes",Projects!$K$4="No",63=Projects!$C$4),Projects!$B$4*Assumptions!$B$47,0)+IF(AND(Projects!$G$5="Yes",Projects!$J$5="Yes",Projects!$K$5="No",63=Projects!$C$5),Projects!$B$5*Assumptions!$B$47,0)+IF(AND(Projects!$G$6="Yes",Projects!$J$6="Yes",Projects!$K$6="No",63=Projects!$C$6),Projects!$B$6*Assumptions!$B$47,0)+IF(AND(Projects!$G$7="Yes",Projects!$J$7="Yes",Projects!$K$7="No",63=Projects!$C$7),Projects!$B$7*Assumptions!$B$47,0)+IF(AND(Projects!$G$8="Yes",Projects!$J$8="Yes",Projects!$K$8="No",63=Projects!$C$8),Projects!$B$8*Assumptions!$B$47,0)+IF(AND(Projects!$G$9="Yes",Projects!$J$9="Yes",Projects!$K$9="No",63=Projects!$C$9),Projects!$B$9*Assumptions!$B$47,0)+IF(AND(Projects!$G$10="Yes",Projects!$J$10="Yes",Projects!$K$10="No",63=Projects!$C$10),Projects!$B$10*Assumptions!$B$47,0)+IF(AND(Projects!$G$11="Yes",Projects!$J$11="Yes",Projects!$K$11="No",63=Projects!$C$11),Projects!$B$11*Assumptions!$B$47,0)+IF(AND(Projects!$G$12="Yes",Projects!$J$12="Yes",Projects!$K$12="No",63=Projects!$C$12),Projects!$B$12*Assumptions!$B$47,0)+IF(AND(Projects!$G$13="Yes",Projects!$J$13="Yes",Projects!$K$13="No",63=Projects!$C$13),Projects!$B$13*Assumptions!$B$47,0)+IF(AND(Projects!$G$14="Yes",Projects!$J$14="Yes",Projects!$K$14="No",63=Projects!$C$14),Projects!$B$14*Assumptions!$B$47,0)),Actuals!BP107)</f>
        <v/>
      </c>
      <c r="BP197" s="392">
        <f>IF(ISBLANK(Actuals!BQ107),-(IF(AND(Projects!$G$2="Yes",Projects!$J$2="Yes",Projects!$K$2="No",64=Projects!$C$2),Projects!$B$2*Assumptions!$B$47,0)+IF(AND(Projects!$G$3="Yes",Projects!$J$3="Yes",Projects!$K$3="No",64=Projects!$C$3),Projects!$B$3*Assumptions!$B$47,0)+IF(AND(Projects!$G$4="Yes",Projects!$J$4="Yes",Projects!$K$4="No",64=Projects!$C$4),Projects!$B$4*Assumptions!$B$47,0)+IF(AND(Projects!$G$5="Yes",Projects!$J$5="Yes",Projects!$K$5="No",64=Projects!$C$5),Projects!$B$5*Assumptions!$B$47,0)+IF(AND(Projects!$G$6="Yes",Projects!$J$6="Yes",Projects!$K$6="No",64=Projects!$C$6),Projects!$B$6*Assumptions!$B$47,0)+IF(AND(Projects!$G$7="Yes",Projects!$J$7="Yes",Projects!$K$7="No",64=Projects!$C$7),Projects!$B$7*Assumptions!$B$47,0)+IF(AND(Projects!$G$8="Yes",Projects!$J$8="Yes",Projects!$K$8="No",64=Projects!$C$8),Projects!$B$8*Assumptions!$B$47,0)+IF(AND(Projects!$G$9="Yes",Projects!$J$9="Yes",Projects!$K$9="No",64=Projects!$C$9),Projects!$B$9*Assumptions!$B$47,0)+IF(AND(Projects!$G$10="Yes",Projects!$J$10="Yes",Projects!$K$10="No",64=Projects!$C$10),Projects!$B$10*Assumptions!$B$47,0)+IF(AND(Projects!$G$11="Yes",Projects!$J$11="Yes",Projects!$K$11="No",64=Projects!$C$11),Projects!$B$11*Assumptions!$B$47,0)+IF(AND(Projects!$G$12="Yes",Projects!$J$12="Yes",Projects!$K$12="No",64=Projects!$C$12),Projects!$B$12*Assumptions!$B$47,0)+IF(AND(Projects!$G$13="Yes",Projects!$J$13="Yes",Projects!$K$13="No",64=Projects!$C$13),Projects!$B$13*Assumptions!$B$47,0)+IF(AND(Projects!$G$14="Yes",Projects!$J$14="Yes",Projects!$K$14="No",64=Projects!$C$14),Projects!$B$14*Assumptions!$B$47,0)),Actuals!BQ107)</f>
        <v/>
      </c>
      <c r="BQ197" s="392">
        <f>IF(ISBLANK(Actuals!BR107),-(IF(AND(Projects!$G$2="Yes",Projects!$J$2="Yes",Projects!$K$2="No",65=Projects!$C$2),Projects!$B$2*Assumptions!$B$47,0)+IF(AND(Projects!$G$3="Yes",Projects!$J$3="Yes",Projects!$K$3="No",65=Projects!$C$3),Projects!$B$3*Assumptions!$B$47,0)+IF(AND(Projects!$G$4="Yes",Projects!$J$4="Yes",Projects!$K$4="No",65=Projects!$C$4),Projects!$B$4*Assumptions!$B$47,0)+IF(AND(Projects!$G$5="Yes",Projects!$J$5="Yes",Projects!$K$5="No",65=Projects!$C$5),Projects!$B$5*Assumptions!$B$47,0)+IF(AND(Projects!$G$6="Yes",Projects!$J$6="Yes",Projects!$K$6="No",65=Projects!$C$6),Projects!$B$6*Assumptions!$B$47,0)+IF(AND(Projects!$G$7="Yes",Projects!$J$7="Yes",Projects!$K$7="No",65=Projects!$C$7),Projects!$B$7*Assumptions!$B$47,0)+IF(AND(Projects!$G$8="Yes",Projects!$J$8="Yes",Projects!$K$8="No",65=Projects!$C$8),Projects!$B$8*Assumptions!$B$47,0)+IF(AND(Projects!$G$9="Yes",Projects!$J$9="Yes",Projects!$K$9="No",65=Projects!$C$9),Projects!$B$9*Assumptions!$B$47,0)+IF(AND(Projects!$G$10="Yes",Projects!$J$10="Yes",Projects!$K$10="No",65=Projects!$C$10),Projects!$B$10*Assumptions!$B$47,0)+IF(AND(Projects!$G$11="Yes",Projects!$J$11="Yes",Projects!$K$11="No",65=Projects!$C$11),Projects!$B$11*Assumptions!$B$47,0)+IF(AND(Projects!$G$12="Yes",Projects!$J$12="Yes",Projects!$K$12="No",65=Projects!$C$12),Projects!$B$12*Assumptions!$B$47,0)+IF(AND(Projects!$G$13="Yes",Projects!$J$13="Yes",Projects!$K$13="No",65=Projects!$C$13),Projects!$B$13*Assumptions!$B$47,0)+IF(AND(Projects!$G$14="Yes",Projects!$J$14="Yes",Projects!$K$14="No",65=Projects!$C$14),Projects!$B$14*Assumptions!$B$47,0)),Actuals!BR107)</f>
        <v/>
      </c>
      <c r="BR197" s="392">
        <f>IF(ISBLANK(Actuals!BS107),-(IF(AND(Projects!$G$2="Yes",Projects!$J$2="Yes",Projects!$K$2="No",66=Projects!$C$2),Projects!$B$2*Assumptions!$B$47,0)+IF(AND(Projects!$G$3="Yes",Projects!$J$3="Yes",Projects!$K$3="No",66=Projects!$C$3),Projects!$B$3*Assumptions!$B$47,0)+IF(AND(Projects!$G$4="Yes",Projects!$J$4="Yes",Projects!$K$4="No",66=Projects!$C$4),Projects!$B$4*Assumptions!$B$47,0)+IF(AND(Projects!$G$5="Yes",Projects!$J$5="Yes",Projects!$K$5="No",66=Projects!$C$5),Projects!$B$5*Assumptions!$B$47,0)+IF(AND(Projects!$G$6="Yes",Projects!$J$6="Yes",Projects!$K$6="No",66=Projects!$C$6),Projects!$B$6*Assumptions!$B$47,0)+IF(AND(Projects!$G$7="Yes",Projects!$J$7="Yes",Projects!$K$7="No",66=Projects!$C$7),Projects!$B$7*Assumptions!$B$47,0)+IF(AND(Projects!$G$8="Yes",Projects!$J$8="Yes",Projects!$K$8="No",66=Projects!$C$8),Projects!$B$8*Assumptions!$B$47,0)+IF(AND(Projects!$G$9="Yes",Projects!$J$9="Yes",Projects!$K$9="No",66=Projects!$C$9),Projects!$B$9*Assumptions!$B$47,0)+IF(AND(Projects!$G$10="Yes",Projects!$J$10="Yes",Projects!$K$10="No",66=Projects!$C$10),Projects!$B$10*Assumptions!$B$47,0)+IF(AND(Projects!$G$11="Yes",Projects!$J$11="Yes",Projects!$K$11="No",66=Projects!$C$11),Projects!$B$11*Assumptions!$B$47,0)+IF(AND(Projects!$G$12="Yes",Projects!$J$12="Yes",Projects!$K$12="No",66=Projects!$C$12),Projects!$B$12*Assumptions!$B$47,0)+IF(AND(Projects!$G$13="Yes",Projects!$J$13="Yes",Projects!$K$13="No",66=Projects!$C$13),Projects!$B$13*Assumptions!$B$47,0)+IF(AND(Projects!$G$14="Yes",Projects!$J$14="Yes",Projects!$K$14="No",66=Projects!$C$14),Projects!$B$14*Assumptions!$B$47,0)),Actuals!BS107)</f>
        <v/>
      </c>
      <c r="BS197" s="392">
        <f>IF(ISBLANK(Actuals!BT107),-(IF(AND(Projects!$G$2="Yes",Projects!$J$2="Yes",Projects!$K$2="No",67=Projects!$C$2),Projects!$B$2*Assumptions!$B$47,0)+IF(AND(Projects!$G$3="Yes",Projects!$J$3="Yes",Projects!$K$3="No",67=Projects!$C$3),Projects!$B$3*Assumptions!$B$47,0)+IF(AND(Projects!$G$4="Yes",Projects!$J$4="Yes",Projects!$K$4="No",67=Projects!$C$4),Projects!$B$4*Assumptions!$B$47,0)+IF(AND(Projects!$G$5="Yes",Projects!$J$5="Yes",Projects!$K$5="No",67=Projects!$C$5),Projects!$B$5*Assumptions!$B$47,0)+IF(AND(Projects!$G$6="Yes",Projects!$J$6="Yes",Projects!$K$6="No",67=Projects!$C$6),Projects!$B$6*Assumptions!$B$47,0)+IF(AND(Projects!$G$7="Yes",Projects!$J$7="Yes",Projects!$K$7="No",67=Projects!$C$7),Projects!$B$7*Assumptions!$B$47,0)+IF(AND(Projects!$G$8="Yes",Projects!$J$8="Yes",Projects!$K$8="No",67=Projects!$C$8),Projects!$B$8*Assumptions!$B$47,0)+IF(AND(Projects!$G$9="Yes",Projects!$J$9="Yes",Projects!$K$9="No",67=Projects!$C$9),Projects!$B$9*Assumptions!$B$47,0)+IF(AND(Projects!$G$10="Yes",Projects!$J$10="Yes",Projects!$K$10="No",67=Projects!$C$10),Projects!$B$10*Assumptions!$B$47,0)+IF(AND(Projects!$G$11="Yes",Projects!$J$11="Yes",Projects!$K$11="No",67=Projects!$C$11),Projects!$B$11*Assumptions!$B$47,0)+IF(AND(Projects!$G$12="Yes",Projects!$J$12="Yes",Projects!$K$12="No",67=Projects!$C$12),Projects!$B$12*Assumptions!$B$47,0)+IF(AND(Projects!$G$13="Yes",Projects!$J$13="Yes",Projects!$K$13="No",67=Projects!$C$13),Projects!$B$13*Assumptions!$B$47,0)+IF(AND(Projects!$G$14="Yes",Projects!$J$14="Yes",Projects!$K$14="No",67=Projects!$C$14),Projects!$B$14*Assumptions!$B$47,0)),Actuals!BT107)</f>
        <v/>
      </c>
      <c r="BT197" s="392">
        <f>IF(ISBLANK(Actuals!BU107),-(IF(AND(Projects!$G$2="Yes",Projects!$J$2="Yes",Projects!$K$2="No",68=Projects!$C$2),Projects!$B$2*Assumptions!$B$47,0)+IF(AND(Projects!$G$3="Yes",Projects!$J$3="Yes",Projects!$K$3="No",68=Projects!$C$3),Projects!$B$3*Assumptions!$B$47,0)+IF(AND(Projects!$G$4="Yes",Projects!$J$4="Yes",Projects!$K$4="No",68=Projects!$C$4),Projects!$B$4*Assumptions!$B$47,0)+IF(AND(Projects!$G$5="Yes",Projects!$J$5="Yes",Projects!$K$5="No",68=Projects!$C$5),Projects!$B$5*Assumptions!$B$47,0)+IF(AND(Projects!$G$6="Yes",Projects!$J$6="Yes",Projects!$K$6="No",68=Projects!$C$6),Projects!$B$6*Assumptions!$B$47,0)+IF(AND(Projects!$G$7="Yes",Projects!$J$7="Yes",Projects!$K$7="No",68=Projects!$C$7),Projects!$B$7*Assumptions!$B$47,0)+IF(AND(Projects!$G$8="Yes",Projects!$J$8="Yes",Projects!$K$8="No",68=Projects!$C$8),Projects!$B$8*Assumptions!$B$47,0)+IF(AND(Projects!$G$9="Yes",Projects!$J$9="Yes",Projects!$K$9="No",68=Projects!$C$9),Projects!$B$9*Assumptions!$B$47,0)+IF(AND(Projects!$G$10="Yes",Projects!$J$10="Yes",Projects!$K$10="No",68=Projects!$C$10),Projects!$B$10*Assumptions!$B$47,0)+IF(AND(Projects!$G$11="Yes",Projects!$J$11="Yes",Projects!$K$11="No",68=Projects!$C$11),Projects!$B$11*Assumptions!$B$47,0)+IF(AND(Projects!$G$12="Yes",Projects!$J$12="Yes",Projects!$K$12="No",68=Projects!$C$12),Projects!$B$12*Assumptions!$B$47,0)+IF(AND(Projects!$G$13="Yes",Projects!$J$13="Yes",Projects!$K$13="No",68=Projects!$C$13),Projects!$B$13*Assumptions!$B$47,0)+IF(AND(Projects!$G$14="Yes",Projects!$J$14="Yes",Projects!$K$14="No",68=Projects!$C$14),Projects!$B$14*Assumptions!$B$47,0)),Actuals!BU107)</f>
        <v/>
      </c>
      <c r="BU197" s="392">
        <f>IF(ISBLANK(Actuals!BV107),-(IF(AND(Projects!$G$2="Yes",Projects!$J$2="Yes",Projects!$K$2="No",69=Projects!$C$2),Projects!$B$2*Assumptions!$B$47,0)+IF(AND(Projects!$G$3="Yes",Projects!$J$3="Yes",Projects!$K$3="No",69=Projects!$C$3),Projects!$B$3*Assumptions!$B$47,0)+IF(AND(Projects!$G$4="Yes",Projects!$J$4="Yes",Projects!$K$4="No",69=Projects!$C$4),Projects!$B$4*Assumptions!$B$47,0)+IF(AND(Projects!$G$5="Yes",Projects!$J$5="Yes",Projects!$K$5="No",69=Projects!$C$5),Projects!$B$5*Assumptions!$B$47,0)+IF(AND(Projects!$G$6="Yes",Projects!$J$6="Yes",Projects!$K$6="No",69=Projects!$C$6),Projects!$B$6*Assumptions!$B$47,0)+IF(AND(Projects!$G$7="Yes",Projects!$J$7="Yes",Projects!$K$7="No",69=Projects!$C$7),Projects!$B$7*Assumptions!$B$47,0)+IF(AND(Projects!$G$8="Yes",Projects!$J$8="Yes",Projects!$K$8="No",69=Projects!$C$8),Projects!$B$8*Assumptions!$B$47,0)+IF(AND(Projects!$G$9="Yes",Projects!$J$9="Yes",Projects!$K$9="No",69=Projects!$C$9),Projects!$B$9*Assumptions!$B$47,0)+IF(AND(Projects!$G$10="Yes",Projects!$J$10="Yes",Projects!$K$10="No",69=Projects!$C$10),Projects!$B$10*Assumptions!$B$47,0)+IF(AND(Projects!$G$11="Yes",Projects!$J$11="Yes",Projects!$K$11="No",69=Projects!$C$11),Projects!$B$11*Assumptions!$B$47,0)+IF(AND(Projects!$G$12="Yes",Projects!$J$12="Yes",Projects!$K$12="No",69=Projects!$C$12),Projects!$B$12*Assumptions!$B$47,0)+IF(AND(Projects!$G$13="Yes",Projects!$J$13="Yes",Projects!$K$13="No",69=Projects!$C$13),Projects!$B$13*Assumptions!$B$47,0)+IF(AND(Projects!$G$14="Yes",Projects!$J$14="Yes",Projects!$K$14="No",69=Projects!$C$14),Projects!$B$14*Assumptions!$B$47,0)),Actuals!BV107)</f>
        <v/>
      </c>
      <c r="BV197" s="392">
        <f>IF(ISBLANK(Actuals!BW107),-(IF(AND(Projects!$G$2="Yes",Projects!$J$2="Yes",Projects!$K$2="No",70=Projects!$C$2),Projects!$B$2*Assumptions!$B$47,0)+IF(AND(Projects!$G$3="Yes",Projects!$J$3="Yes",Projects!$K$3="No",70=Projects!$C$3),Projects!$B$3*Assumptions!$B$47,0)+IF(AND(Projects!$G$4="Yes",Projects!$J$4="Yes",Projects!$K$4="No",70=Projects!$C$4),Projects!$B$4*Assumptions!$B$47,0)+IF(AND(Projects!$G$5="Yes",Projects!$J$5="Yes",Projects!$K$5="No",70=Projects!$C$5),Projects!$B$5*Assumptions!$B$47,0)+IF(AND(Projects!$G$6="Yes",Projects!$J$6="Yes",Projects!$K$6="No",70=Projects!$C$6),Projects!$B$6*Assumptions!$B$47,0)+IF(AND(Projects!$G$7="Yes",Projects!$J$7="Yes",Projects!$K$7="No",70=Projects!$C$7),Projects!$B$7*Assumptions!$B$47,0)+IF(AND(Projects!$G$8="Yes",Projects!$J$8="Yes",Projects!$K$8="No",70=Projects!$C$8),Projects!$B$8*Assumptions!$B$47,0)+IF(AND(Projects!$G$9="Yes",Projects!$J$9="Yes",Projects!$K$9="No",70=Projects!$C$9),Projects!$B$9*Assumptions!$B$47,0)+IF(AND(Projects!$G$10="Yes",Projects!$J$10="Yes",Projects!$K$10="No",70=Projects!$C$10),Projects!$B$10*Assumptions!$B$47,0)+IF(AND(Projects!$G$11="Yes",Projects!$J$11="Yes",Projects!$K$11="No",70=Projects!$C$11),Projects!$B$11*Assumptions!$B$47,0)+IF(AND(Projects!$G$12="Yes",Projects!$J$12="Yes",Projects!$K$12="No",70=Projects!$C$12),Projects!$B$12*Assumptions!$B$47,0)+IF(AND(Projects!$G$13="Yes",Projects!$J$13="Yes",Projects!$K$13="No",70=Projects!$C$13),Projects!$B$13*Assumptions!$B$47,0)+IF(AND(Projects!$G$14="Yes",Projects!$J$14="Yes",Projects!$K$14="No",70=Projects!$C$14),Projects!$B$14*Assumptions!$B$47,0)),Actuals!BW107)</f>
        <v/>
      </c>
      <c r="BW197" s="392">
        <f>IF(ISBLANK(Actuals!BX107),-(IF(AND(Projects!$G$2="Yes",Projects!$J$2="Yes",Projects!$K$2="No",71=Projects!$C$2),Projects!$B$2*Assumptions!$B$47,0)+IF(AND(Projects!$G$3="Yes",Projects!$J$3="Yes",Projects!$K$3="No",71=Projects!$C$3),Projects!$B$3*Assumptions!$B$47,0)+IF(AND(Projects!$G$4="Yes",Projects!$J$4="Yes",Projects!$K$4="No",71=Projects!$C$4),Projects!$B$4*Assumptions!$B$47,0)+IF(AND(Projects!$G$5="Yes",Projects!$J$5="Yes",Projects!$K$5="No",71=Projects!$C$5),Projects!$B$5*Assumptions!$B$47,0)+IF(AND(Projects!$G$6="Yes",Projects!$J$6="Yes",Projects!$K$6="No",71=Projects!$C$6),Projects!$B$6*Assumptions!$B$47,0)+IF(AND(Projects!$G$7="Yes",Projects!$J$7="Yes",Projects!$K$7="No",71=Projects!$C$7),Projects!$B$7*Assumptions!$B$47,0)+IF(AND(Projects!$G$8="Yes",Projects!$J$8="Yes",Projects!$K$8="No",71=Projects!$C$8),Projects!$B$8*Assumptions!$B$47,0)+IF(AND(Projects!$G$9="Yes",Projects!$J$9="Yes",Projects!$K$9="No",71=Projects!$C$9),Projects!$B$9*Assumptions!$B$47,0)+IF(AND(Projects!$G$10="Yes",Projects!$J$10="Yes",Projects!$K$10="No",71=Projects!$C$10),Projects!$B$10*Assumptions!$B$47,0)+IF(AND(Projects!$G$11="Yes",Projects!$J$11="Yes",Projects!$K$11="No",71=Projects!$C$11),Projects!$B$11*Assumptions!$B$47,0)+IF(AND(Projects!$G$12="Yes",Projects!$J$12="Yes",Projects!$K$12="No",71=Projects!$C$12),Projects!$B$12*Assumptions!$B$47,0)+IF(AND(Projects!$G$13="Yes",Projects!$J$13="Yes",Projects!$K$13="No",71=Projects!$C$13),Projects!$B$13*Assumptions!$B$47,0)+IF(AND(Projects!$G$14="Yes",Projects!$J$14="Yes",Projects!$K$14="No",71=Projects!$C$14),Projects!$B$14*Assumptions!$B$47,0)),Actuals!BX107)</f>
        <v/>
      </c>
      <c r="BX197" s="392">
        <f>IF(ISBLANK(Actuals!BY107),-(IF(AND(Projects!$G$2="Yes",Projects!$J$2="Yes",Projects!$K$2="No",72=Projects!$C$2),Projects!$B$2*Assumptions!$B$47,0)+IF(AND(Projects!$G$3="Yes",Projects!$J$3="Yes",Projects!$K$3="No",72=Projects!$C$3),Projects!$B$3*Assumptions!$B$47,0)+IF(AND(Projects!$G$4="Yes",Projects!$J$4="Yes",Projects!$K$4="No",72=Projects!$C$4),Projects!$B$4*Assumptions!$B$47,0)+IF(AND(Projects!$G$5="Yes",Projects!$J$5="Yes",Projects!$K$5="No",72=Projects!$C$5),Projects!$B$5*Assumptions!$B$47,0)+IF(AND(Projects!$G$6="Yes",Projects!$J$6="Yes",Projects!$K$6="No",72=Projects!$C$6),Projects!$B$6*Assumptions!$B$47,0)+IF(AND(Projects!$G$7="Yes",Projects!$J$7="Yes",Projects!$K$7="No",72=Projects!$C$7),Projects!$B$7*Assumptions!$B$47,0)+IF(AND(Projects!$G$8="Yes",Projects!$J$8="Yes",Projects!$K$8="No",72=Projects!$C$8),Projects!$B$8*Assumptions!$B$47,0)+IF(AND(Projects!$G$9="Yes",Projects!$J$9="Yes",Projects!$K$9="No",72=Projects!$C$9),Projects!$B$9*Assumptions!$B$47,0)+IF(AND(Projects!$G$10="Yes",Projects!$J$10="Yes",Projects!$K$10="No",72=Projects!$C$10),Projects!$B$10*Assumptions!$B$47,0)+IF(AND(Projects!$G$11="Yes",Projects!$J$11="Yes",Projects!$K$11="No",72=Projects!$C$11),Projects!$B$11*Assumptions!$B$47,0)+IF(AND(Projects!$G$12="Yes",Projects!$J$12="Yes",Projects!$K$12="No",72=Projects!$C$12),Projects!$B$12*Assumptions!$B$47,0)+IF(AND(Projects!$G$13="Yes",Projects!$J$13="Yes",Projects!$K$13="No",72=Projects!$C$13),Projects!$B$13*Assumptions!$B$47,0)+IF(AND(Projects!$G$14="Yes",Projects!$J$14="Yes",Projects!$K$14="No",72=Projects!$C$14),Projects!$B$14*Assumptions!$B$47,0)),Actuals!BY107)</f>
        <v/>
      </c>
      <c r="BY197" s="392">
        <f>IF(ISBLANK(Actuals!BZ107),-(IF(AND(Projects!$G$2="Yes",Projects!$J$2="Yes",Projects!$K$2="No",73=Projects!$C$2),Projects!$B$2*Assumptions!$B$47,0)+IF(AND(Projects!$G$3="Yes",Projects!$J$3="Yes",Projects!$K$3="No",73=Projects!$C$3),Projects!$B$3*Assumptions!$B$47,0)+IF(AND(Projects!$G$4="Yes",Projects!$J$4="Yes",Projects!$K$4="No",73=Projects!$C$4),Projects!$B$4*Assumptions!$B$47,0)+IF(AND(Projects!$G$5="Yes",Projects!$J$5="Yes",Projects!$K$5="No",73=Projects!$C$5),Projects!$B$5*Assumptions!$B$47,0)+IF(AND(Projects!$G$6="Yes",Projects!$J$6="Yes",Projects!$K$6="No",73=Projects!$C$6),Projects!$B$6*Assumptions!$B$47,0)+IF(AND(Projects!$G$7="Yes",Projects!$J$7="Yes",Projects!$K$7="No",73=Projects!$C$7),Projects!$B$7*Assumptions!$B$47,0)+IF(AND(Projects!$G$8="Yes",Projects!$J$8="Yes",Projects!$K$8="No",73=Projects!$C$8),Projects!$B$8*Assumptions!$B$47,0)+IF(AND(Projects!$G$9="Yes",Projects!$J$9="Yes",Projects!$K$9="No",73=Projects!$C$9),Projects!$B$9*Assumptions!$B$47,0)+IF(AND(Projects!$G$10="Yes",Projects!$J$10="Yes",Projects!$K$10="No",73=Projects!$C$10),Projects!$B$10*Assumptions!$B$47,0)+IF(AND(Projects!$G$11="Yes",Projects!$J$11="Yes",Projects!$K$11="No",73=Projects!$C$11),Projects!$B$11*Assumptions!$B$47,0)+IF(AND(Projects!$G$12="Yes",Projects!$J$12="Yes",Projects!$K$12="No",73=Projects!$C$12),Projects!$B$12*Assumptions!$B$47,0)+IF(AND(Projects!$G$13="Yes",Projects!$J$13="Yes",Projects!$K$13="No",73=Projects!$C$13),Projects!$B$13*Assumptions!$B$47,0)+IF(AND(Projects!$G$14="Yes",Projects!$J$14="Yes",Projects!$K$14="No",73=Projects!$C$14),Projects!$B$14*Assumptions!$B$47,0)),Actuals!BZ107)</f>
        <v/>
      </c>
      <c r="BZ197" s="392">
        <f>IF(ISBLANK(Actuals!CA107),-(IF(AND(Projects!$G$2="Yes",Projects!$J$2="Yes",Projects!$K$2="No",74=Projects!$C$2),Projects!$B$2*Assumptions!$B$47,0)+IF(AND(Projects!$G$3="Yes",Projects!$J$3="Yes",Projects!$K$3="No",74=Projects!$C$3),Projects!$B$3*Assumptions!$B$47,0)+IF(AND(Projects!$G$4="Yes",Projects!$J$4="Yes",Projects!$K$4="No",74=Projects!$C$4),Projects!$B$4*Assumptions!$B$47,0)+IF(AND(Projects!$G$5="Yes",Projects!$J$5="Yes",Projects!$K$5="No",74=Projects!$C$5),Projects!$B$5*Assumptions!$B$47,0)+IF(AND(Projects!$G$6="Yes",Projects!$J$6="Yes",Projects!$K$6="No",74=Projects!$C$6),Projects!$B$6*Assumptions!$B$47,0)+IF(AND(Projects!$G$7="Yes",Projects!$J$7="Yes",Projects!$K$7="No",74=Projects!$C$7),Projects!$B$7*Assumptions!$B$47,0)+IF(AND(Projects!$G$8="Yes",Projects!$J$8="Yes",Projects!$K$8="No",74=Projects!$C$8),Projects!$B$8*Assumptions!$B$47,0)+IF(AND(Projects!$G$9="Yes",Projects!$J$9="Yes",Projects!$K$9="No",74=Projects!$C$9),Projects!$B$9*Assumptions!$B$47,0)+IF(AND(Projects!$G$10="Yes",Projects!$J$10="Yes",Projects!$K$10="No",74=Projects!$C$10),Projects!$B$10*Assumptions!$B$47,0)+IF(AND(Projects!$G$11="Yes",Projects!$J$11="Yes",Projects!$K$11="No",74=Projects!$C$11),Projects!$B$11*Assumptions!$B$47,0)+IF(AND(Projects!$G$12="Yes",Projects!$J$12="Yes",Projects!$K$12="No",74=Projects!$C$12),Projects!$B$12*Assumptions!$B$47,0)+IF(AND(Projects!$G$13="Yes",Projects!$J$13="Yes",Projects!$K$13="No",74=Projects!$C$13),Projects!$B$13*Assumptions!$B$47,0)+IF(AND(Projects!$G$14="Yes",Projects!$J$14="Yes",Projects!$K$14="No",74=Projects!$C$14),Projects!$B$14*Assumptions!$B$47,0)),Actuals!CA107)</f>
        <v/>
      </c>
      <c r="CA197" s="392">
        <f>IF(ISBLANK(Actuals!CB107),-(IF(AND(Projects!$G$2="Yes",Projects!$J$2="Yes",Projects!$K$2="No",75=Projects!$C$2),Projects!$B$2*Assumptions!$B$47,0)+IF(AND(Projects!$G$3="Yes",Projects!$J$3="Yes",Projects!$K$3="No",75=Projects!$C$3),Projects!$B$3*Assumptions!$B$47,0)+IF(AND(Projects!$G$4="Yes",Projects!$J$4="Yes",Projects!$K$4="No",75=Projects!$C$4),Projects!$B$4*Assumptions!$B$47,0)+IF(AND(Projects!$G$5="Yes",Projects!$J$5="Yes",Projects!$K$5="No",75=Projects!$C$5),Projects!$B$5*Assumptions!$B$47,0)+IF(AND(Projects!$G$6="Yes",Projects!$J$6="Yes",Projects!$K$6="No",75=Projects!$C$6),Projects!$B$6*Assumptions!$B$47,0)+IF(AND(Projects!$G$7="Yes",Projects!$J$7="Yes",Projects!$K$7="No",75=Projects!$C$7),Projects!$B$7*Assumptions!$B$47,0)+IF(AND(Projects!$G$8="Yes",Projects!$J$8="Yes",Projects!$K$8="No",75=Projects!$C$8),Projects!$B$8*Assumptions!$B$47,0)+IF(AND(Projects!$G$9="Yes",Projects!$J$9="Yes",Projects!$K$9="No",75=Projects!$C$9),Projects!$B$9*Assumptions!$B$47,0)+IF(AND(Projects!$G$10="Yes",Projects!$J$10="Yes",Projects!$K$10="No",75=Projects!$C$10),Projects!$B$10*Assumptions!$B$47,0)+IF(AND(Projects!$G$11="Yes",Projects!$J$11="Yes",Projects!$K$11="No",75=Projects!$C$11),Projects!$B$11*Assumptions!$B$47,0)+IF(AND(Projects!$G$12="Yes",Projects!$J$12="Yes",Projects!$K$12="No",75=Projects!$C$12),Projects!$B$12*Assumptions!$B$47,0)+IF(AND(Projects!$G$13="Yes",Projects!$J$13="Yes",Projects!$K$13="No",75=Projects!$C$13),Projects!$B$13*Assumptions!$B$47,0)+IF(AND(Projects!$G$14="Yes",Projects!$J$14="Yes",Projects!$K$14="No",75=Projects!$C$14),Projects!$B$14*Assumptions!$B$47,0)),Actuals!CB107)</f>
        <v/>
      </c>
      <c r="CB197" s="392">
        <f>IF(ISBLANK(Actuals!CC107),-(IF(AND(Projects!$G$2="Yes",Projects!$J$2="Yes",Projects!$K$2="No",76=Projects!$C$2),Projects!$B$2*Assumptions!$B$47,0)+IF(AND(Projects!$G$3="Yes",Projects!$J$3="Yes",Projects!$K$3="No",76=Projects!$C$3),Projects!$B$3*Assumptions!$B$47,0)+IF(AND(Projects!$G$4="Yes",Projects!$J$4="Yes",Projects!$K$4="No",76=Projects!$C$4),Projects!$B$4*Assumptions!$B$47,0)+IF(AND(Projects!$G$5="Yes",Projects!$J$5="Yes",Projects!$K$5="No",76=Projects!$C$5),Projects!$B$5*Assumptions!$B$47,0)+IF(AND(Projects!$G$6="Yes",Projects!$J$6="Yes",Projects!$K$6="No",76=Projects!$C$6),Projects!$B$6*Assumptions!$B$47,0)+IF(AND(Projects!$G$7="Yes",Projects!$J$7="Yes",Projects!$K$7="No",76=Projects!$C$7),Projects!$B$7*Assumptions!$B$47,0)+IF(AND(Projects!$G$8="Yes",Projects!$J$8="Yes",Projects!$K$8="No",76=Projects!$C$8),Projects!$B$8*Assumptions!$B$47,0)+IF(AND(Projects!$G$9="Yes",Projects!$J$9="Yes",Projects!$K$9="No",76=Projects!$C$9),Projects!$B$9*Assumptions!$B$47,0)+IF(AND(Projects!$G$10="Yes",Projects!$J$10="Yes",Projects!$K$10="No",76=Projects!$C$10),Projects!$B$10*Assumptions!$B$47,0)+IF(AND(Projects!$G$11="Yes",Projects!$J$11="Yes",Projects!$K$11="No",76=Projects!$C$11),Projects!$B$11*Assumptions!$B$47,0)+IF(AND(Projects!$G$12="Yes",Projects!$J$12="Yes",Projects!$K$12="No",76=Projects!$C$12),Projects!$B$12*Assumptions!$B$47,0)+IF(AND(Projects!$G$13="Yes",Projects!$J$13="Yes",Projects!$K$13="No",76=Projects!$C$13),Projects!$B$13*Assumptions!$B$47,0)+IF(AND(Projects!$G$14="Yes",Projects!$J$14="Yes",Projects!$K$14="No",76=Projects!$C$14),Projects!$B$14*Assumptions!$B$47,0)),Actuals!CC107)</f>
        <v/>
      </c>
      <c r="CC197" s="392">
        <f>IF(ISBLANK(Actuals!CD107),-(IF(AND(Projects!$G$2="Yes",Projects!$J$2="Yes",Projects!$K$2="No",77=Projects!$C$2),Projects!$B$2*Assumptions!$B$47,0)+IF(AND(Projects!$G$3="Yes",Projects!$J$3="Yes",Projects!$K$3="No",77=Projects!$C$3),Projects!$B$3*Assumptions!$B$47,0)+IF(AND(Projects!$G$4="Yes",Projects!$J$4="Yes",Projects!$K$4="No",77=Projects!$C$4),Projects!$B$4*Assumptions!$B$47,0)+IF(AND(Projects!$G$5="Yes",Projects!$J$5="Yes",Projects!$K$5="No",77=Projects!$C$5),Projects!$B$5*Assumptions!$B$47,0)+IF(AND(Projects!$G$6="Yes",Projects!$J$6="Yes",Projects!$K$6="No",77=Projects!$C$6),Projects!$B$6*Assumptions!$B$47,0)+IF(AND(Projects!$G$7="Yes",Projects!$J$7="Yes",Projects!$K$7="No",77=Projects!$C$7),Projects!$B$7*Assumptions!$B$47,0)+IF(AND(Projects!$G$8="Yes",Projects!$J$8="Yes",Projects!$K$8="No",77=Projects!$C$8),Projects!$B$8*Assumptions!$B$47,0)+IF(AND(Projects!$G$9="Yes",Projects!$J$9="Yes",Projects!$K$9="No",77=Projects!$C$9),Projects!$B$9*Assumptions!$B$47,0)+IF(AND(Projects!$G$10="Yes",Projects!$J$10="Yes",Projects!$K$10="No",77=Projects!$C$10),Projects!$B$10*Assumptions!$B$47,0)+IF(AND(Projects!$G$11="Yes",Projects!$J$11="Yes",Projects!$K$11="No",77=Projects!$C$11),Projects!$B$11*Assumptions!$B$47,0)+IF(AND(Projects!$G$12="Yes",Projects!$J$12="Yes",Projects!$K$12="No",77=Projects!$C$12),Projects!$B$12*Assumptions!$B$47,0)+IF(AND(Projects!$G$13="Yes",Projects!$J$13="Yes",Projects!$K$13="No",77=Projects!$C$13),Projects!$B$13*Assumptions!$B$47,0)+IF(AND(Projects!$G$14="Yes",Projects!$J$14="Yes",Projects!$K$14="No",77=Projects!$C$14),Projects!$B$14*Assumptions!$B$47,0)),Actuals!CD107)</f>
        <v/>
      </c>
      <c r="CD197" s="392">
        <f>IF(ISBLANK(Actuals!CE107),-(IF(AND(Projects!$G$2="Yes",Projects!$J$2="Yes",Projects!$K$2="No",78=Projects!$C$2),Projects!$B$2*Assumptions!$B$47,0)+IF(AND(Projects!$G$3="Yes",Projects!$J$3="Yes",Projects!$K$3="No",78=Projects!$C$3),Projects!$B$3*Assumptions!$B$47,0)+IF(AND(Projects!$G$4="Yes",Projects!$J$4="Yes",Projects!$K$4="No",78=Projects!$C$4),Projects!$B$4*Assumptions!$B$47,0)+IF(AND(Projects!$G$5="Yes",Projects!$J$5="Yes",Projects!$K$5="No",78=Projects!$C$5),Projects!$B$5*Assumptions!$B$47,0)+IF(AND(Projects!$G$6="Yes",Projects!$J$6="Yes",Projects!$K$6="No",78=Projects!$C$6),Projects!$B$6*Assumptions!$B$47,0)+IF(AND(Projects!$G$7="Yes",Projects!$J$7="Yes",Projects!$K$7="No",78=Projects!$C$7),Projects!$B$7*Assumptions!$B$47,0)+IF(AND(Projects!$G$8="Yes",Projects!$J$8="Yes",Projects!$K$8="No",78=Projects!$C$8),Projects!$B$8*Assumptions!$B$47,0)+IF(AND(Projects!$G$9="Yes",Projects!$J$9="Yes",Projects!$K$9="No",78=Projects!$C$9),Projects!$B$9*Assumptions!$B$47,0)+IF(AND(Projects!$G$10="Yes",Projects!$J$10="Yes",Projects!$K$10="No",78=Projects!$C$10),Projects!$B$10*Assumptions!$B$47,0)+IF(AND(Projects!$G$11="Yes",Projects!$J$11="Yes",Projects!$K$11="No",78=Projects!$C$11),Projects!$B$11*Assumptions!$B$47,0)+IF(AND(Projects!$G$12="Yes",Projects!$J$12="Yes",Projects!$K$12="No",78=Projects!$C$12),Projects!$B$12*Assumptions!$B$47,0)+IF(AND(Projects!$G$13="Yes",Projects!$J$13="Yes",Projects!$K$13="No",78=Projects!$C$13),Projects!$B$13*Assumptions!$B$47,0)+IF(AND(Projects!$G$14="Yes",Projects!$J$14="Yes",Projects!$K$14="No",78=Projects!$C$14),Projects!$B$14*Assumptions!$B$47,0)),Actuals!CE107)</f>
        <v/>
      </c>
      <c r="CE197" s="392">
        <f>IF(ISBLANK(Actuals!CF107),-(IF(AND(Projects!$G$2="Yes",Projects!$J$2="Yes",Projects!$K$2="No",79=Projects!$C$2),Projects!$B$2*Assumptions!$B$47,0)+IF(AND(Projects!$G$3="Yes",Projects!$J$3="Yes",Projects!$K$3="No",79=Projects!$C$3),Projects!$B$3*Assumptions!$B$47,0)+IF(AND(Projects!$G$4="Yes",Projects!$J$4="Yes",Projects!$K$4="No",79=Projects!$C$4),Projects!$B$4*Assumptions!$B$47,0)+IF(AND(Projects!$G$5="Yes",Projects!$J$5="Yes",Projects!$K$5="No",79=Projects!$C$5),Projects!$B$5*Assumptions!$B$47,0)+IF(AND(Projects!$G$6="Yes",Projects!$J$6="Yes",Projects!$K$6="No",79=Projects!$C$6),Projects!$B$6*Assumptions!$B$47,0)+IF(AND(Projects!$G$7="Yes",Projects!$J$7="Yes",Projects!$K$7="No",79=Projects!$C$7),Projects!$B$7*Assumptions!$B$47,0)+IF(AND(Projects!$G$8="Yes",Projects!$J$8="Yes",Projects!$K$8="No",79=Projects!$C$8),Projects!$B$8*Assumptions!$B$47,0)+IF(AND(Projects!$G$9="Yes",Projects!$J$9="Yes",Projects!$K$9="No",79=Projects!$C$9),Projects!$B$9*Assumptions!$B$47,0)+IF(AND(Projects!$G$10="Yes",Projects!$J$10="Yes",Projects!$K$10="No",79=Projects!$C$10),Projects!$B$10*Assumptions!$B$47,0)+IF(AND(Projects!$G$11="Yes",Projects!$J$11="Yes",Projects!$K$11="No",79=Projects!$C$11),Projects!$B$11*Assumptions!$B$47,0)+IF(AND(Projects!$G$12="Yes",Projects!$J$12="Yes",Projects!$K$12="No",79=Projects!$C$12),Projects!$B$12*Assumptions!$B$47,0)+IF(AND(Projects!$G$13="Yes",Projects!$J$13="Yes",Projects!$K$13="No",79=Projects!$C$13),Projects!$B$13*Assumptions!$B$47,0)+IF(AND(Projects!$G$14="Yes",Projects!$J$14="Yes",Projects!$K$14="No",79=Projects!$C$14),Projects!$B$14*Assumptions!$B$47,0)),Actuals!CF107)</f>
        <v/>
      </c>
      <c r="CF197" s="392">
        <f>IF(ISBLANK(Actuals!CG107),-(IF(AND(Projects!$G$2="Yes",Projects!$J$2="Yes",Projects!$K$2="No",80=Projects!$C$2),Projects!$B$2*Assumptions!$B$47,0)+IF(AND(Projects!$G$3="Yes",Projects!$J$3="Yes",Projects!$K$3="No",80=Projects!$C$3),Projects!$B$3*Assumptions!$B$47,0)+IF(AND(Projects!$G$4="Yes",Projects!$J$4="Yes",Projects!$K$4="No",80=Projects!$C$4),Projects!$B$4*Assumptions!$B$47,0)+IF(AND(Projects!$G$5="Yes",Projects!$J$5="Yes",Projects!$K$5="No",80=Projects!$C$5),Projects!$B$5*Assumptions!$B$47,0)+IF(AND(Projects!$G$6="Yes",Projects!$J$6="Yes",Projects!$K$6="No",80=Projects!$C$6),Projects!$B$6*Assumptions!$B$47,0)+IF(AND(Projects!$G$7="Yes",Projects!$J$7="Yes",Projects!$K$7="No",80=Projects!$C$7),Projects!$B$7*Assumptions!$B$47,0)+IF(AND(Projects!$G$8="Yes",Projects!$J$8="Yes",Projects!$K$8="No",80=Projects!$C$8),Projects!$B$8*Assumptions!$B$47,0)+IF(AND(Projects!$G$9="Yes",Projects!$J$9="Yes",Projects!$K$9="No",80=Projects!$C$9),Projects!$B$9*Assumptions!$B$47,0)+IF(AND(Projects!$G$10="Yes",Projects!$J$10="Yes",Projects!$K$10="No",80=Projects!$C$10),Projects!$B$10*Assumptions!$B$47,0)+IF(AND(Projects!$G$11="Yes",Projects!$J$11="Yes",Projects!$K$11="No",80=Projects!$C$11),Projects!$B$11*Assumptions!$B$47,0)+IF(AND(Projects!$G$12="Yes",Projects!$J$12="Yes",Projects!$K$12="No",80=Projects!$C$12),Projects!$B$12*Assumptions!$B$47,0)+IF(AND(Projects!$G$13="Yes",Projects!$J$13="Yes",Projects!$K$13="No",80=Projects!$C$13),Projects!$B$13*Assumptions!$B$47,0)+IF(AND(Projects!$G$14="Yes",Projects!$J$14="Yes",Projects!$K$14="No",80=Projects!$C$14),Projects!$B$14*Assumptions!$B$47,0)),Actuals!CG107)</f>
        <v/>
      </c>
      <c r="CG197" s="392">
        <f>IF(ISBLANK(Actuals!CH107),-(IF(AND(Projects!$G$2="Yes",Projects!$J$2="Yes",Projects!$K$2="No",81=Projects!$C$2),Projects!$B$2*Assumptions!$B$47,0)+IF(AND(Projects!$G$3="Yes",Projects!$J$3="Yes",Projects!$K$3="No",81=Projects!$C$3),Projects!$B$3*Assumptions!$B$47,0)+IF(AND(Projects!$G$4="Yes",Projects!$J$4="Yes",Projects!$K$4="No",81=Projects!$C$4),Projects!$B$4*Assumptions!$B$47,0)+IF(AND(Projects!$G$5="Yes",Projects!$J$5="Yes",Projects!$K$5="No",81=Projects!$C$5),Projects!$B$5*Assumptions!$B$47,0)+IF(AND(Projects!$G$6="Yes",Projects!$J$6="Yes",Projects!$K$6="No",81=Projects!$C$6),Projects!$B$6*Assumptions!$B$47,0)+IF(AND(Projects!$G$7="Yes",Projects!$J$7="Yes",Projects!$K$7="No",81=Projects!$C$7),Projects!$B$7*Assumptions!$B$47,0)+IF(AND(Projects!$G$8="Yes",Projects!$J$8="Yes",Projects!$K$8="No",81=Projects!$C$8),Projects!$B$8*Assumptions!$B$47,0)+IF(AND(Projects!$G$9="Yes",Projects!$J$9="Yes",Projects!$K$9="No",81=Projects!$C$9),Projects!$B$9*Assumptions!$B$47,0)+IF(AND(Projects!$G$10="Yes",Projects!$J$10="Yes",Projects!$K$10="No",81=Projects!$C$10),Projects!$B$10*Assumptions!$B$47,0)+IF(AND(Projects!$G$11="Yes",Projects!$J$11="Yes",Projects!$K$11="No",81=Projects!$C$11),Projects!$B$11*Assumptions!$B$47,0)+IF(AND(Projects!$G$12="Yes",Projects!$J$12="Yes",Projects!$K$12="No",81=Projects!$C$12),Projects!$B$12*Assumptions!$B$47,0)+IF(AND(Projects!$G$13="Yes",Projects!$J$13="Yes",Projects!$K$13="No",81=Projects!$C$13),Projects!$B$13*Assumptions!$B$47,0)+IF(AND(Projects!$G$14="Yes",Projects!$J$14="Yes",Projects!$K$14="No",81=Projects!$C$14),Projects!$B$14*Assumptions!$B$47,0)),Actuals!CH107)</f>
        <v/>
      </c>
      <c r="CH197" s="392">
        <f>IF(ISBLANK(Actuals!CI107),-(IF(AND(Projects!$G$2="Yes",Projects!$J$2="Yes",Projects!$K$2="No",82=Projects!$C$2),Projects!$B$2*Assumptions!$B$47,0)+IF(AND(Projects!$G$3="Yes",Projects!$J$3="Yes",Projects!$K$3="No",82=Projects!$C$3),Projects!$B$3*Assumptions!$B$47,0)+IF(AND(Projects!$G$4="Yes",Projects!$J$4="Yes",Projects!$K$4="No",82=Projects!$C$4),Projects!$B$4*Assumptions!$B$47,0)+IF(AND(Projects!$G$5="Yes",Projects!$J$5="Yes",Projects!$K$5="No",82=Projects!$C$5),Projects!$B$5*Assumptions!$B$47,0)+IF(AND(Projects!$G$6="Yes",Projects!$J$6="Yes",Projects!$K$6="No",82=Projects!$C$6),Projects!$B$6*Assumptions!$B$47,0)+IF(AND(Projects!$G$7="Yes",Projects!$J$7="Yes",Projects!$K$7="No",82=Projects!$C$7),Projects!$B$7*Assumptions!$B$47,0)+IF(AND(Projects!$G$8="Yes",Projects!$J$8="Yes",Projects!$K$8="No",82=Projects!$C$8),Projects!$B$8*Assumptions!$B$47,0)+IF(AND(Projects!$G$9="Yes",Projects!$J$9="Yes",Projects!$K$9="No",82=Projects!$C$9),Projects!$B$9*Assumptions!$B$47,0)+IF(AND(Projects!$G$10="Yes",Projects!$J$10="Yes",Projects!$K$10="No",82=Projects!$C$10),Projects!$B$10*Assumptions!$B$47,0)+IF(AND(Projects!$G$11="Yes",Projects!$J$11="Yes",Projects!$K$11="No",82=Projects!$C$11),Projects!$B$11*Assumptions!$B$47,0)+IF(AND(Projects!$G$12="Yes",Projects!$J$12="Yes",Projects!$K$12="No",82=Projects!$C$12),Projects!$B$12*Assumptions!$B$47,0)+IF(AND(Projects!$G$13="Yes",Projects!$J$13="Yes",Projects!$K$13="No",82=Projects!$C$13),Projects!$B$13*Assumptions!$B$47,0)+IF(AND(Projects!$G$14="Yes",Projects!$J$14="Yes",Projects!$K$14="No",82=Projects!$C$14),Projects!$B$14*Assumptions!$B$47,0)),Actuals!CI107)</f>
        <v/>
      </c>
      <c r="CI197" s="392">
        <f>IF(ISBLANK(Actuals!CJ107),-(IF(AND(Projects!$G$2="Yes",Projects!$J$2="Yes",Projects!$K$2="No",83=Projects!$C$2),Projects!$B$2*Assumptions!$B$47,0)+IF(AND(Projects!$G$3="Yes",Projects!$J$3="Yes",Projects!$K$3="No",83=Projects!$C$3),Projects!$B$3*Assumptions!$B$47,0)+IF(AND(Projects!$G$4="Yes",Projects!$J$4="Yes",Projects!$K$4="No",83=Projects!$C$4),Projects!$B$4*Assumptions!$B$47,0)+IF(AND(Projects!$G$5="Yes",Projects!$J$5="Yes",Projects!$K$5="No",83=Projects!$C$5),Projects!$B$5*Assumptions!$B$47,0)+IF(AND(Projects!$G$6="Yes",Projects!$J$6="Yes",Projects!$K$6="No",83=Projects!$C$6),Projects!$B$6*Assumptions!$B$47,0)+IF(AND(Projects!$G$7="Yes",Projects!$J$7="Yes",Projects!$K$7="No",83=Projects!$C$7),Projects!$B$7*Assumptions!$B$47,0)+IF(AND(Projects!$G$8="Yes",Projects!$J$8="Yes",Projects!$K$8="No",83=Projects!$C$8),Projects!$B$8*Assumptions!$B$47,0)+IF(AND(Projects!$G$9="Yes",Projects!$J$9="Yes",Projects!$K$9="No",83=Projects!$C$9),Projects!$B$9*Assumptions!$B$47,0)+IF(AND(Projects!$G$10="Yes",Projects!$J$10="Yes",Projects!$K$10="No",83=Projects!$C$10),Projects!$B$10*Assumptions!$B$47,0)+IF(AND(Projects!$G$11="Yes",Projects!$J$11="Yes",Projects!$K$11="No",83=Projects!$C$11),Projects!$B$11*Assumptions!$B$47,0)+IF(AND(Projects!$G$12="Yes",Projects!$J$12="Yes",Projects!$K$12="No",83=Projects!$C$12),Projects!$B$12*Assumptions!$B$47,0)+IF(AND(Projects!$G$13="Yes",Projects!$J$13="Yes",Projects!$K$13="No",83=Projects!$C$13),Projects!$B$13*Assumptions!$B$47,0)+IF(AND(Projects!$G$14="Yes",Projects!$J$14="Yes",Projects!$K$14="No",83=Projects!$C$14),Projects!$B$14*Assumptions!$B$47,0)),Actuals!CJ107)</f>
        <v/>
      </c>
      <c r="CJ197" s="392">
        <f>IF(ISBLANK(Actuals!CK107),-(IF(AND(Projects!$G$2="Yes",Projects!$J$2="Yes",Projects!$K$2="No",84=Projects!$C$2),Projects!$B$2*Assumptions!$B$47,0)+IF(AND(Projects!$G$3="Yes",Projects!$J$3="Yes",Projects!$K$3="No",84=Projects!$C$3),Projects!$B$3*Assumptions!$B$47,0)+IF(AND(Projects!$G$4="Yes",Projects!$J$4="Yes",Projects!$K$4="No",84=Projects!$C$4),Projects!$B$4*Assumptions!$B$47,0)+IF(AND(Projects!$G$5="Yes",Projects!$J$5="Yes",Projects!$K$5="No",84=Projects!$C$5),Projects!$B$5*Assumptions!$B$47,0)+IF(AND(Projects!$G$6="Yes",Projects!$J$6="Yes",Projects!$K$6="No",84=Projects!$C$6),Projects!$B$6*Assumptions!$B$47,0)+IF(AND(Projects!$G$7="Yes",Projects!$J$7="Yes",Projects!$K$7="No",84=Projects!$C$7),Projects!$B$7*Assumptions!$B$47,0)+IF(AND(Projects!$G$8="Yes",Projects!$J$8="Yes",Projects!$K$8="No",84=Projects!$C$8),Projects!$B$8*Assumptions!$B$47,0)+IF(AND(Projects!$G$9="Yes",Projects!$J$9="Yes",Projects!$K$9="No",84=Projects!$C$9),Projects!$B$9*Assumptions!$B$47,0)+IF(AND(Projects!$G$10="Yes",Projects!$J$10="Yes",Projects!$K$10="No",84=Projects!$C$10),Projects!$B$10*Assumptions!$B$47,0)+IF(AND(Projects!$G$11="Yes",Projects!$J$11="Yes",Projects!$K$11="No",84=Projects!$C$11),Projects!$B$11*Assumptions!$B$47,0)+IF(AND(Projects!$G$12="Yes",Projects!$J$12="Yes",Projects!$K$12="No",84=Projects!$C$12),Projects!$B$12*Assumptions!$B$47,0)+IF(AND(Projects!$G$13="Yes",Projects!$J$13="Yes",Projects!$K$13="No",84=Projects!$C$13),Projects!$B$13*Assumptions!$B$47,0)+IF(AND(Projects!$G$14="Yes",Projects!$J$14="Yes",Projects!$K$14="No",84=Projects!$C$14),Projects!$B$14*Assumptions!$B$47,0)),Actuals!CK107)</f>
        <v/>
      </c>
      <c r="CK197" s="392">
        <f>IF(ISBLANK(Actuals!CL107),-(IF(AND(Projects!$G$2="Yes",Projects!$J$2="Yes",Projects!$K$2="No",85=Projects!$C$2),Projects!$B$2*Assumptions!$B$47,0)+IF(AND(Projects!$G$3="Yes",Projects!$J$3="Yes",Projects!$K$3="No",85=Projects!$C$3),Projects!$B$3*Assumptions!$B$47,0)+IF(AND(Projects!$G$4="Yes",Projects!$J$4="Yes",Projects!$K$4="No",85=Projects!$C$4),Projects!$B$4*Assumptions!$B$47,0)+IF(AND(Projects!$G$5="Yes",Projects!$J$5="Yes",Projects!$K$5="No",85=Projects!$C$5),Projects!$B$5*Assumptions!$B$47,0)+IF(AND(Projects!$G$6="Yes",Projects!$J$6="Yes",Projects!$K$6="No",85=Projects!$C$6),Projects!$B$6*Assumptions!$B$47,0)+IF(AND(Projects!$G$7="Yes",Projects!$J$7="Yes",Projects!$K$7="No",85=Projects!$C$7),Projects!$B$7*Assumptions!$B$47,0)+IF(AND(Projects!$G$8="Yes",Projects!$J$8="Yes",Projects!$K$8="No",85=Projects!$C$8),Projects!$B$8*Assumptions!$B$47,0)+IF(AND(Projects!$G$9="Yes",Projects!$J$9="Yes",Projects!$K$9="No",85=Projects!$C$9),Projects!$B$9*Assumptions!$B$47,0)+IF(AND(Projects!$G$10="Yes",Projects!$J$10="Yes",Projects!$K$10="No",85=Projects!$C$10),Projects!$B$10*Assumptions!$B$47,0)+IF(AND(Projects!$G$11="Yes",Projects!$J$11="Yes",Projects!$K$11="No",85=Projects!$C$11),Projects!$B$11*Assumptions!$B$47,0)+IF(AND(Projects!$G$12="Yes",Projects!$J$12="Yes",Projects!$K$12="No",85=Projects!$C$12),Projects!$B$12*Assumptions!$B$47,0)+IF(AND(Projects!$G$13="Yes",Projects!$J$13="Yes",Projects!$K$13="No",85=Projects!$C$13),Projects!$B$13*Assumptions!$B$47,0)+IF(AND(Projects!$G$14="Yes",Projects!$J$14="Yes",Projects!$K$14="No",85=Projects!$C$14),Projects!$B$14*Assumptions!$B$47,0)),Actuals!CL107)</f>
        <v/>
      </c>
      <c r="CL197" s="392">
        <f>IF(ISBLANK(Actuals!CM107),-(IF(AND(Projects!$G$2="Yes",Projects!$J$2="Yes",Projects!$K$2="No",86=Projects!$C$2),Projects!$B$2*Assumptions!$B$47,0)+IF(AND(Projects!$G$3="Yes",Projects!$J$3="Yes",Projects!$K$3="No",86=Projects!$C$3),Projects!$B$3*Assumptions!$B$47,0)+IF(AND(Projects!$G$4="Yes",Projects!$J$4="Yes",Projects!$K$4="No",86=Projects!$C$4),Projects!$B$4*Assumptions!$B$47,0)+IF(AND(Projects!$G$5="Yes",Projects!$J$5="Yes",Projects!$K$5="No",86=Projects!$C$5),Projects!$B$5*Assumptions!$B$47,0)+IF(AND(Projects!$G$6="Yes",Projects!$J$6="Yes",Projects!$K$6="No",86=Projects!$C$6),Projects!$B$6*Assumptions!$B$47,0)+IF(AND(Projects!$G$7="Yes",Projects!$J$7="Yes",Projects!$K$7="No",86=Projects!$C$7),Projects!$B$7*Assumptions!$B$47,0)+IF(AND(Projects!$G$8="Yes",Projects!$J$8="Yes",Projects!$K$8="No",86=Projects!$C$8),Projects!$B$8*Assumptions!$B$47,0)+IF(AND(Projects!$G$9="Yes",Projects!$J$9="Yes",Projects!$K$9="No",86=Projects!$C$9),Projects!$B$9*Assumptions!$B$47,0)+IF(AND(Projects!$G$10="Yes",Projects!$J$10="Yes",Projects!$K$10="No",86=Projects!$C$10),Projects!$B$10*Assumptions!$B$47,0)+IF(AND(Projects!$G$11="Yes",Projects!$J$11="Yes",Projects!$K$11="No",86=Projects!$C$11),Projects!$B$11*Assumptions!$B$47,0)+IF(AND(Projects!$G$12="Yes",Projects!$J$12="Yes",Projects!$K$12="No",86=Projects!$C$12),Projects!$B$12*Assumptions!$B$47,0)+IF(AND(Projects!$G$13="Yes",Projects!$J$13="Yes",Projects!$K$13="No",86=Projects!$C$13),Projects!$B$13*Assumptions!$B$47,0)+IF(AND(Projects!$G$14="Yes",Projects!$J$14="Yes",Projects!$K$14="No",86=Projects!$C$14),Projects!$B$14*Assumptions!$B$47,0)),Actuals!CM107)</f>
        <v/>
      </c>
      <c r="CM197" s="392">
        <f>IF(ISBLANK(Actuals!CN107),-(IF(AND(Projects!$G$2="Yes",Projects!$J$2="Yes",Projects!$K$2="No",87=Projects!$C$2),Projects!$B$2*Assumptions!$B$47,0)+IF(AND(Projects!$G$3="Yes",Projects!$J$3="Yes",Projects!$K$3="No",87=Projects!$C$3),Projects!$B$3*Assumptions!$B$47,0)+IF(AND(Projects!$G$4="Yes",Projects!$J$4="Yes",Projects!$K$4="No",87=Projects!$C$4),Projects!$B$4*Assumptions!$B$47,0)+IF(AND(Projects!$G$5="Yes",Projects!$J$5="Yes",Projects!$K$5="No",87=Projects!$C$5),Projects!$B$5*Assumptions!$B$47,0)+IF(AND(Projects!$G$6="Yes",Projects!$J$6="Yes",Projects!$K$6="No",87=Projects!$C$6),Projects!$B$6*Assumptions!$B$47,0)+IF(AND(Projects!$G$7="Yes",Projects!$J$7="Yes",Projects!$K$7="No",87=Projects!$C$7),Projects!$B$7*Assumptions!$B$47,0)+IF(AND(Projects!$G$8="Yes",Projects!$J$8="Yes",Projects!$K$8="No",87=Projects!$C$8),Projects!$B$8*Assumptions!$B$47,0)+IF(AND(Projects!$G$9="Yes",Projects!$J$9="Yes",Projects!$K$9="No",87=Projects!$C$9),Projects!$B$9*Assumptions!$B$47,0)+IF(AND(Projects!$G$10="Yes",Projects!$J$10="Yes",Projects!$K$10="No",87=Projects!$C$10),Projects!$B$10*Assumptions!$B$47,0)+IF(AND(Projects!$G$11="Yes",Projects!$J$11="Yes",Projects!$K$11="No",87=Projects!$C$11),Projects!$B$11*Assumptions!$B$47,0)+IF(AND(Projects!$G$12="Yes",Projects!$J$12="Yes",Projects!$K$12="No",87=Projects!$C$12),Projects!$B$12*Assumptions!$B$47,0)+IF(AND(Projects!$G$13="Yes",Projects!$J$13="Yes",Projects!$K$13="No",87=Projects!$C$13),Projects!$B$13*Assumptions!$B$47,0)+IF(AND(Projects!$G$14="Yes",Projects!$J$14="Yes",Projects!$K$14="No",87=Projects!$C$14),Projects!$B$14*Assumptions!$B$47,0)),Actuals!CN107)</f>
        <v/>
      </c>
      <c r="CN197" s="392">
        <f>IF(ISBLANK(Actuals!CO107),-(IF(AND(Projects!$G$2="Yes",Projects!$J$2="Yes",Projects!$K$2="No",88=Projects!$C$2),Projects!$B$2*Assumptions!$B$47,0)+IF(AND(Projects!$G$3="Yes",Projects!$J$3="Yes",Projects!$K$3="No",88=Projects!$C$3),Projects!$B$3*Assumptions!$B$47,0)+IF(AND(Projects!$G$4="Yes",Projects!$J$4="Yes",Projects!$K$4="No",88=Projects!$C$4),Projects!$B$4*Assumptions!$B$47,0)+IF(AND(Projects!$G$5="Yes",Projects!$J$5="Yes",Projects!$K$5="No",88=Projects!$C$5),Projects!$B$5*Assumptions!$B$47,0)+IF(AND(Projects!$G$6="Yes",Projects!$J$6="Yes",Projects!$K$6="No",88=Projects!$C$6),Projects!$B$6*Assumptions!$B$47,0)+IF(AND(Projects!$G$7="Yes",Projects!$J$7="Yes",Projects!$K$7="No",88=Projects!$C$7),Projects!$B$7*Assumptions!$B$47,0)+IF(AND(Projects!$G$8="Yes",Projects!$J$8="Yes",Projects!$K$8="No",88=Projects!$C$8),Projects!$B$8*Assumptions!$B$47,0)+IF(AND(Projects!$G$9="Yes",Projects!$J$9="Yes",Projects!$K$9="No",88=Projects!$C$9),Projects!$B$9*Assumptions!$B$47,0)+IF(AND(Projects!$G$10="Yes",Projects!$J$10="Yes",Projects!$K$10="No",88=Projects!$C$10),Projects!$B$10*Assumptions!$B$47,0)+IF(AND(Projects!$G$11="Yes",Projects!$J$11="Yes",Projects!$K$11="No",88=Projects!$C$11),Projects!$B$11*Assumptions!$B$47,0)+IF(AND(Projects!$G$12="Yes",Projects!$J$12="Yes",Projects!$K$12="No",88=Projects!$C$12),Projects!$B$12*Assumptions!$B$47,0)+IF(AND(Projects!$G$13="Yes",Projects!$J$13="Yes",Projects!$K$13="No",88=Projects!$C$13),Projects!$B$13*Assumptions!$B$47,0)+IF(AND(Projects!$G$14="Yes",Projects!$J$14="Yes",Projects!$K$14="No",88=Projects!$C$14),Projects!$B$14*Assumptions!$B$47,0)),Actuals!CO107)</f>
        <v/>
      </c>
      <c r="CO197" s="392">
        <f>IF(ISBLANK(Actuals!CP107),-(IF(AND(Projects!$G$2="Yes",Projects!$J$2="Yes",Projects!$K$2="No",89=Projects!$C$2),Projects!$B$2*Assumptions!$B$47,0)+IF(AND(Projects!$G$3="Yes",Projects!$J$3="Yes",Projects!$K$3="No",89=Projects!$C$3),Projects!$B$3*Assumptions!$B$47,0)+IF(AND(Projects!$G$4="Yes",Projects!$J$4="Yes",Projects!$K$4="No",89=Projects!$C$4),Projects!$B$4*Assumptions!$B$47,0)+IF(AND(Projects!$G$5="Yes",Projects!$J$5="Yes",Projects!$K$5="No",89=Projects!$C$5),Projects!$B$5*Assumptions!$B$47,0)+IF(AND(Projects!$G$6="Yes",Projects!$J$6="Yes",Projects!$K$6="No",89=Projects!$C$6),Projects!$B$6*Assumptions!$B$47,0)+IF(AND(Projects!$G$7="Yes",Projects!$J$7="Yes",Projects!$K$7="No",89=Projects!$C$7),Projects!$B$7*Assumptions!$B$47,0)+IF(AND(Projects!$G$8="Yes",Projects!$J$8="Yes",Projects!$K$8="No",89=Projects!$C$8),Projects!$B$8*Assumptions!$B$47,0)+IF(AND(Projects!$G$9="Yes",Projects!$J$9="Yes",Projects!$K$9="No",89=Projects!$C$9),Projects!$B$9*Assumptions!$B$47,0)+IF(AND(Projects!$G$10="Yes",Projects!$J$10="Yes",Projects!$K$10="No",89=Projects!$C$10),Projects!$B$10*Assumptions!$B$47,0)+IF(AND(Projects!$G$11="Yes",Projects!$J$11="Yes",Projects!$K$11="No",89=Projects!$C$11),Projects!$B$11*Assumptions!$B$47,0)+IF(AND(Projects!$G$12="Yes",Projects!$J$12="Yes",Projects!$K$12="No",89=Projects!$C$12),Projects!$B$12*Assumptions!$B$47,0)+IF(AND(Projects!$G$13="Yes",Projects!$J$13="Yes",Projects!$K$13="No",89=Projects!$C$13),Projects!$B$13*Assumptions!$B$47,0)+IF(AND(Projects!$G$14="Yes",Projects!$J$14="Yes",Projects!$K$14="No",89=Projects!$C$14),Projects!$B$14*Assumptions!$B$47,0)),Actuals!CP107)</f>
        <v/>
      </c>
      <c r="CP197" s="392">
        <f>IF(ISBLANK(Actuals!CQ107),-(IF(AND(Projects!$G$2="Yes",Projects!$J$2="Yes",Projects!$K$2="No",90=Projects!$C$2),Projects!$B$2*Assumptions!$B$47,0)+IF(AND(Projects!$G$3="Yes",Projects!$J$3="Yes",Projects!$K$3="No",90=Projects!$C$3),Projects!$B$3*Assumptions!$B$47,0)+IF(AND(Projects!$G$4="Yes",Projects!$J$4="Yes",Projects!$K$4="No",90=Projects!$C$4),Projects!$B$4*Assumptions!$B$47,0)+IF(AND(Projects!$G$5="Yes",Projects!$J$5="Yes",Projects!$K$5="No",90=Projects!$C$5),Projects!$B$5*Assumptions!$B$47,0)+IF(AND(Projects!$G$6="Yes",Projects!$J$6="Yes",Projects!$K$6="No",90=Projects!$C$6),Projects!$B$6*Assumptions!$B$47,0)+IF(AND(Projects!$G$7="Yes",Projects!$J$7="Yes",Projects!$K$7="No",90=Projects!$C$7),Projects!$B$7*Assumptions!$B$47,0)+IF(AND(Projects!$G$8="Yes",Projects!$J$8="Yes",Projects!$K$8="No",90=Projects!$C$8),Projects!$B$8*Assumptions!$B$47,0)+IF(AND(Projects!$G$9="Yes",Projects!$J$9="Yes",Projects!$K$9="No",90=Projects!$C$9),Projects!$B$9*Assumptions!$B$47,0)+IF(AND(Projects!$G$10="Yes",Projects!$J$10="Yes",Projects!$K$10="No",90=Projects!$C$10),Projects!$B$10*Assumptions!$B$47,0)+IF(AND(Projects!$G$11="Yes",Projects!$J$11="Yes",Projects!$K$11="No",90=Projects!$C$11),Projects!$B$11*Assumptions!$B$47,0)+IF(AND(Projects!$G$12="Yes",Projects!$J$12="Yes",Projects!$K$12="No",90=Projects!$C$12),Projects!$B$12*Assumptions!$B$47,0)+IF(AND(Projects!$G$13="Yes",Projects!$J$13="Yes",Projects!$K$13="No",90=Projects!$C$13),Projects!$B$13*Assumptions!$B$47,0)+IF(AND(Projects!$G$14="Yes",Projects!$J$14="Yes",Projects!$K$14="No",90=Projects!$C$14),Projects!$B$14*Assumptions!$B$47,0)),Actuals!CQ107)</f>
        <v/>
      </c>
      <c r="CQ197" s="392">
        <f>IF(ISBLANK(Actuals!CR107),-(IF(AND(Projects!$G$2="Yes",Projects!$J$2="Yes",Projects!$K$2="No",91=Projects!$C$2),Projects!$B$2*Assumptions!$B$47,0)+IF(AND(Projects!$G$3="Yes",Projects!$J$3="Yes",Projects!$K$3="No",91=Projects!$C$3),Projects!$B$3*Assumptions!$B$47,0)+IF(AND(Projects!$G$4="Yes",Projects!$J$4="Yes",Projects!$K$4="No",91=Projects!$C$4),Projects!$B$4*Assumptions!$B$47,0)+IF(AND(Projects!$G$5="Yes",Projects!$J$5="Yes",Projects!$K$5="No",91=Projects!$C$5),Projects!$B$5*Assumptions!$B$47,0)+IF(AND(Projects!$G$6="Yes",Projects!$J$6="Yes",Projects!$K$6="No",91=Projects!$C$6),Projects!$B$6*Assumptions!$B$47,0)+IF(AND(Projects!$G$7="Yes",Projects!$J$7="Yes",Projects!$K$7="No",91=Projects!$C$7),Projects!$B$7*Assumptions!$B$47,0)+IF(AND(Projects!$G$8="Yes",Projects!$J$8="Yes",Projects!$K$8="No",91=Projects!$C$8),Projects!$B$8*Assumptions!$B$47,0)+IF(AND(Projects!$G$9="Yes",Projects!$J$9="Yes",Projects!$K$9="No",91=Projects!$C$9),Projects!$B$9*Assumptions!$B$47,0)+IF(AND(Projects!$G$10="Yes",Projects!$J$10="Yes",Projects!$K$10="No",91=Projects!$C$10),Projects!$B$10*Assumptions!$B$47,0)+IF(AND(Projects!$G$11="Yes",Projects!$J$11="Yes",Projects!$K$11="No",91=Projects!$C$11),Projects!$B$11*Assumptions!$B$47,0)+IF(AND(Projects!$G$12="Yes",Projects!$J$12="Yes",Projects!$K$12="No",91=Projects!$C$12),Projects!$B$12*Assumptions!$B$47,0)+IF(AND(Projects!$G$13="Yes",Projects!$J$13="Yes",Projects!$K$13="No",91=Projects!$C$13),Projects!$B$13*Assumptions!$B$47,0)+IF(AND(Projects!$G$14="Yes",Projects!$J$14="Yes",Projects!$K$14="No",91=Projects!$C$14),Projects!$B$14*Assumptions!$B$47,0)),Actuals!CR107)</f>
        <v/>
      </c>
      <c r="CR197" s="392">
        <f>IF(ISBLANK(Actuals!CS107),-(IF(AND(Projects!$G$2="Yes",Projects!$J$2="Yes",Projects!$K$2="No",92=Projects!$C$2),Projects!$B$2*Assumptions!$B$47,0)+IF(AND(Projects!$G$3="Yes",Projects!$J$3="Yes",Projects!$K$3="No",92=Projects!$C$3),Projects!$B$3*Assumptions!$B$47,0)+IF(AND(Projects!$G$4="Yes",Projects!$J$4="Yes",Projects!$K$4="No",92=Projects!$C$4),Projects!$B$4*Assumptions!$B$47,0)+IF(AND(Projects!$G$5="Yes",Projects!$J$5="Yes",Projects!$K$5="No",92=Projects!$C$5),Projects!$B$5*Assumptions!$B$47,0)+IF(AND(Projects!$G$6="Yes",Projects!$J$6="Yes",Projects!$K$6="No",92=Projects!$C$6),Projects!$B$6*Assumptions!$B$47,0)+IF(AND(Projects!$G$7="Yes",Projects!$J$7="Yes",Projects!$K$7="No",92=Projects!$C$7),Projects!$B$7*Assumptions!$B$47,0)+IF(AND(Projects!$G$8="Yes",Projects!$J$8="Yes",Projects!$K$8="No",92=Projects!$C$8),Projects!$B$8*Assumptions!$B$47,0)+IF(AND(Projects!$G$9="Yes",Projects!$J$9="Yes",Projects!$K$9="No",92=Projects!$C$9),Projects!$B$9*Assumptions!$B$47,0)+IF(AND(Projects!$G$10="Yes",Projects!$J$10="Yes",Projects!$K$10="No",92=Projects!$C$10),Projects!$B$10*Assumptions!$B$47,0)+IF(AND(Projects!$G$11="Yes",Projects!$J$11="Yes",Projects!$K$11="No",92=Projects!$C$11),Projects!$B$11*Assumptions!$B$47,0)+IF(AND(Projects!$G$12="Yes",Projects!$J$12="Yes",Projects!$K$12="No",92=Projects!$C$12),Projects!$B$12*Assumptions!$B$47,0)+IF(AND(Projects!$G$13="Yes",Projects!$J$13="Yes",Projects!$K$13="No",92=Projects!$C$13),Projects!$B$13*Assumptions!$B$47,0)+IF(AND(Projects!$G$14="Yes",Projects!$J$14="Yes",Projects!$K$14="No",92=Projects!$C$14),Projects!$B$14*Assumptions!$B$47,0)),Actuals!CS107)</f>
        <v/>
      </c>
      <c r="CS197" s="392">
        <f>IF(ISBLANK(Actuals!CT107),-(IF(AND(Projects!$G$2="Yes",Projects!$J$2="Yes",Projects!$K$2="No",93=Projects!$C$2),Projects!$B$2*Assumptions!$B$47,0)+IF(AND(Projects!$G$3="Yes",Projects!$J$3="Yes",Projects!$K$3="No",93=Projects!$C$3),Projects!$B$3*Assumptions!$B$47,0)+IF(AND(Projects!$G$4="Yes",Projects!$J$4="Yes",Projects!$K$4="No",93=Projects!$C$4),Projects!$B$4*Assumptions!$B$47,0)+IF(AND(Projects!$G$5="Yes",Projects!$J$5="Yes",Projects!$K$5="No",93=Projects!$C$5),Projects!$B$5*Assumptions!$B$47,0)+IF(AND(Projects!$G$6="Yes",Projects!$J$6="Yes",Projects!$K$6="No",93=Projects!$C$6),Projects!$B$6*Assumptions!$B$47,0)+IF(AND(Projects!$G$7="Yes",Projects!$J$7="Yes",Projects!$K$7="No",93=Projects!$C$7),Projects!$B$7*Assumptions!$B$47,0)+IF(AND(Projects!$G$8="Yes",Projects!$J$8="Yes",Projects!$K$8="No",93=Projects!$C$8),Projects!$B$8*Assumptions!$B$47,0)+IF(AND(Projects!$G$9="Yes",Projects!$J$9="Yes",Projects!$K$9="No",93=Projects!$C$9),Projects!$B$9*Assumptions!$B$47,0)+IF(AND(Projects!$G$10="Yes",Projects!$J$10="Yes",Projects!$K$10="No",93=Projects!$C$10),Projects!$B$10*Assumptions!$B$47,0)+IF(AND(Projects!$G$11="Yes",Projects!$J$11="Yes",Projects!$K$11="No",93=Projects!$C$11),Projects!$B$11*Assumptions!$B$47,0)+IF(AND(Projects!$G$12="Yes",Projects!$J$12="Yes",Projects!$K$12="No",93=Projects!$C$12),Projects!$B$12*Assumptions!$B$47,0)+IF(AND(Projects!$G$13="Yes",Projects!$J$13="Yes",Projects!$K$13="No",93=Projects!$C$13),Projects!$B$13*Assumptions!$B$47,0)+IF(AND(Projects!$G$14="Yes",Projects!$J$14="Yes",Projects!$K$14="No",93=Projects!$C$14),Projects!$B$14*Assumptions!$B$47,0)),Actuals!CT107)</f>
        <v/>
      </c>
      <c r="CT197" s="392">
        <f>IF(ISBLANK(Actuals!CU107),-(IF(AND(Projects!$G$2="Yes",Projects!$J$2="Yes",Projects!$K$2="No",94=Projects!$C$2),Projects!$B$2*Assumptions!$B$47,0)+IF(AND(Projects!$G$3="Yes",Projects!$J$3="Yes",Projects!$K$3="No",94=Projects!$C$3),Projects!$B$3*Assumptions!$B$47,0)+IF(AND(Projects!$G$4="Yes",Projects!$J$4="Yes",Projects!$K$4="No",94=Projects!$C$4),Projects!$B$4*Assumptions!$B$47,0)+IF(AND(Projects!$G$5="Yes",Projects!$J$5="Yes",Projects!$K$5="No",94=Projects!$C$5),Projects!$B$5*Assumptions!$B$47,0)+IF(AND(Projects!$G$6="Yes",Projects!$J$6="Yes",Projects!$K$6="No",94=Projects!$C$6),Projects!$B$6*Assumptions!$B$47,0)+IF(AND(Projects!$G$7="Yes",Projects!$J$7="Yes",Projects!$K$7="No",94=Projects!$C$7),Projects!$B$7*Assumptions!$B$47,0)+IF(AND(Projects!$G$8="Yes",Projects!$J$8="Yes",Projects!$K$8="No",94=Projects!$C$8),Projects!$B$8*Assumptions!$B$47,0)+IF(AND(Projects!$G$9="Yes",Projects!$J$9="Yes",Projects!$K$9="No",94=Projects!$C$9),Projects!$B$9*Assumptions!$B$47,0)+IF(AND(Projects!$G$10="Yes",Projects!$J$10="Yes",Projects!$K$10="No",94=Projects!$C$10),Projects!$B$10*Assumptions!$B$47,0)+IF(AND(Projects!$G$11="Yes",Projects!$J$11="Yes",Projects!$K$11="No",94=Projects!$C$11),Projects!$B$11*Assumptions!$B$47,0)+IF(AND(Projects!$G$12="Yes",Projects!$J$12="Yes",Projects!$K$12="No",94=Projects!$C$12),Projects!$B$12*Assumptions!$B$47,0)+IF(AND(Projects!$G$13="Yes",Projects!$J$13="Yes",Projects!$K$13="No",94=Projects!$C$13),Projects!$B$13*Assumptions!$B$47,0)+IF(AND(Projects!$G$14="Yes",Projects!$J$14="Yes",Projects!$K$14="No",94=Projects!$C$14),Projects!$B$14*Assumptions!$B$47,0)),Actuals!CU107)</f>
        <v/>
      </c>
      <c r="CU197" s="392">
        <f>IF(ISBLANK(Actuals!CV107),-(IF(AND(Projects!$G$2="Yes",Projects!$J$2="Yes",Projects!$K$2="No",95=Projects!$C$2),Projects!$B$2*Assumptions!$B$47,0)+IF(AND(Projects!$G$3="Yes",Projects!$J$3="Yes",Projects!$K$3="No",95=Projects!$C$3),Projects!$B$3*Assumptions!$B$47,0)+IF(AND(Projects!$G$4="Yes",Projects!$J$4="Yes",Projects!$K$4="No",95=Projects!$C$4),Projects!$B$4*Assumptions!$B$47,0)+IF(AND(Projects!$G$5="Yes",Projects!$J$5="Yes",Projects!$K$5="No",95=Projects!$C$5),Projects!$B$5*Assumptions!$B$47,0)+IF(AND(Projects!$G$6="Yes",Projects!$J$6="Yes",Projects!$K$6="No",95=Projects!$C$6),Projects!$B$6*Assumptions!$B$47,0)+IF(AND(Projects!$G$7="Yes",Projects!$J$7="Yes",Projects!$K$7="No",95=Projects!$C$7),Projects!$B$7*Assumptions!$B$47,0)+IF(AND(Projects!$G$8="Yes",Projects!$J$8="Yes",Projects!$K$8="No",95=Projects!$C$8),Projects!$B$8*Assumptions!$B$47,0)+IF(AND(Projects!$G$9="Yes",Projects!$J$9="Yes",Projects!$K$9="No",95=Projects!$C$9),Projects!$B$9*Assumptions!$B$47,0)+IF(AND(Projects!$G$10="Yes",Projects!$J$10="Yes",Projects!$K$10="No",95=Projects!$C$10),Projects!$B$10*Assumptions!$B$47,0)+IF(AND(Projects!$G$11="Yes",Projects!$J$11="Yes",Projects!$K$11="No",95=Projects!$C$11),Projects!$B$11*Assumptions!$B$47,0)+IF(AND(Projects!$G$12="Yes",Projects!$J$12="Yes",Projects!$K$12="No",95=Projects!$C$12),Projects!$B$12*Assumptions!$B$47,0)+IF(AND(Projects!$G$13="Yes",Projects!$J$13="Yes",Projects!$K$13="No",95=Projects!$C$13),Projects!$B$13*Assumptions!$B$47,0)+IF(AND(Projects!$G$14="Yes",Projects!$J$14="Yes",Projects!$K$14="No",95=Projects!$C$14),Projects!$B$14*Assumptions!$B$47,0)),Actuals!CV107)</f>
        <v/>
      </c>
      <c r="CV197" s="392">
        <f>IF(ISBLANK(Actuals!CW107),-(IF(AND(Projects!$G$2="Yes",Projects!$J$2="Yes",Projects!$K$2="No",96=Projects!$C$2),Projects!$B$2*Assumptions!$B$47,0)+IF(AND(Projects!$G$3="Yes",Projects!$J$3="Yes",Projects!$K$3="No",96=Projects!$C$3),Projects!$B$3*Assumptions!$B$47,0)+IF(AND(Projects!$G$4="Yes",Projects!$J$4="Yes",Projects!$K$4="No",96=Projects!$C$4),Projects!$B$4*Assumptions!$B$47,0)+IF(AND(Projects!$G$5="Yes",Projects!$J$5="Yes",Projects!$K$5="No",96=Projects!$C$5),Projects!$B$5*Assumptions!$B$47,0)+IF(AND(Projects!$G$6="Yes",Projects!$J$6="Yes",Projects!$K$6="No",96=Projects!$C$6),Projects!$B$6*Assumptions!$B$47,0)+IF(AND(Projects!$G$7="Yes",Projects!$J$7="Yes",Projects!$K$7="No",96=Projects!$C$7),Projects!$B$7*Assumptions!$B$47,0)+IF(AND(Projects!$G$8="Yes",Projects!$J$8="Yes",Projects!$K$8="No",96=Projects!$C$8),Projects!$B$8*Assumptions!$B$47,0)+IF(AND(Projects!$G$9="Yes",Projects!$J$9="Yes",Projects!$K$9="No",96=Projects!$C$9),Projects!$B$9*Assumptions!$B$47,0)+IF(AND(Projects!$G$10="Yes",Projects!$J$10="Yes",Projects!$K$10="No",96=Projects!$C$10),Projects!$B$10*Assumptions!$B$47,0)+IF(AND(Projects!$G$11="Yes",Projects!$J$11="Yes",Projects!$K$11="No",96=Projects!$C$11),Projects!$B$11*Assumptions!$B$47,0)+IF(AND(Projects!$G$12="Yes",Projects!$J$12="Yes",Projects!$K$12="No",96=Projects!$C$12),Projects!$B$12*Assumptions!$B$47,0)+IF(AND(Projects!$G$13="Yes",Projects!$J$13="Yes",Projects!$K$13="No",96=Projects!$C$13),Projects!$B$13*Assumptions!$B$47,0)+IF(AND(Projects!$G$14="Yes",Projects!$J$14="Yes",Projects!$K$14="No",96=Projects!$C$14),Projects!$B$14*Assumptions!$B$47,0)),Actuals!CW107)</f>
        <v/>
      </c>
      <c r="CW197" s="392">
        <f>IF(ISBLANK(Actuals!CX107),-(IF(AND(Projects!$G$2="Yes",Projects!$J$2="Yes",Projects!$K$2="No",97=Projects!$C$2),Projects!$B$2*Assumptions!$B$47,0)+IF(AND(Projects!$G$3="Yes",Projects!$J$3="Yes",Projects!$K$3="No",97=Projects!$C$3),Projects!$B$3*Assumptions!$B$47,0)+IF(AND(Projects!$G$4="Yes",Projects!$J$4="Yes",Projects!$K$4="No",97=Projects!$C$4),Projects!$B$4*Assumptions!$B$47,0)+IF(AND(Projects!$G$5="Yes",Projects!$J$5="Yes",Projects!$K$5="No",97=Projects!$C$5),Projects!$B$5*Assumptions!$B$47,0)+IF(AND(Projects!$G$6="Yes",Projects!$J$6="Yes",Projects!$K$6="No",97=Projects!$C$6),Projects!$B$6*Assumptions!$B$47,0)+IF(AND(Projects!$G$7="Yes",Projects!$J$7="Yes",Projects!$K$7="No",97=Projects!$C$7),Projects!$B$7*Assumptions!$B$47,0)+IF(AND(Projects!$G$8="Yes",Projects!$J$8="Yes",Projects!$K$8="No",97=Projects!$C$8),Projects!$B$8*Assumptions!$B$47,0)+IF(AND(Projects!$G$9="Yes",Projects!$J$9="Yes",Projects!$K$9="No",97=Projects!$C$9),Projects!$B$9*Assumptions!$B$47,0)+IF(AND(Projects!$G$10="Yes",Projects!$J$10="Yes",Projects!$K$10="No",97=Projects!$C$10),Projects!$B$10*Assumptions!$B$47,0)+IF(AND(Projects!$G$11="Yes",Projects!$J$11="Yes",Projects!$K$11="No",97=Projects!$C$11),Projects!$B$11*Assumptions!$B$47,0)+IF(AND(Projects!$G$12="Yes",Projects!$J$12="Yes",Projects!$K$12="No",97=Projects!$C$12),Projects!$B$12*Assumptions!$B$47,0)+IF(AND(Projects!$G$13="Yes",Projects!$J$13="Yes",Projects!$K$13="No",97=Projects!$C$13),Projects!$B$13*Assumptions!$B$47,0)+IF(AND(Projects!$G$14="Yes",Projects!$J$14="Yes",Projects!$K$14="No",97=Projects!$C$14),Projects!$B$14*Assumptions!$B$47,0)),Actuals!CX107)</f>
        <v/>
      </c>
      <c r="CX197" s="392">
        <f>IF(ISBLANK(Actuals!CY107),-(IF(AND(Projects!$G$2="Yes",Projects!$J$2="Yes",Projects!$K$2="No",98=Projects!$C$2),Projects!$B$2*Assumptions!$B$47,0)+IF(AND(Projects!$G$3="Yes",Projects!$J$3="Yes",Projects!$K$3="No",98=Projects!$C$3),Projects!$B$3*Assumptions!$B$47,0)+IF(AND(Projects!$G$4="Yes",Projects!$J$4="Yes",Projects!$K$4="No",98=Projects!$C$4),Projects!$B$4*Assumptions!$B$47,0)+IF(AND(Projects!$G$5="Yes",Projects!$J$5="Yes",Projects!$K$5="No",98=Projects!$C$5),Projects!$B$5*Assumptions!$B$47,0)+IF(AND(Projects!$G$6="Yes",Projects!$J$6="Yes",Projects!$K$6="No",98=Projects!$C$6),Projects!$B$6*Assumptions!$B$47,0)+IF(AND(Projects!$G$7="Yes",Projects!$J$7="Yes",Projects!$K$7="No",98=Projects!$C$7),Projects!$B$7*Assumptions!$B$47,0)+IF(AND(Projects!$G$8="Yes",Projects!$J$8="Yes",Projects!$K$8="No",98=Projects!$C$8),Projects!$B$8*Assumptions!$B$47,0)+IF(AND(Projects!$G$9="Yes",Projects!$J$9="Yes",Projects!$K$9="No",98=Projects!$C$9),Projects!$B$9*Assumptions!$B$47,0)+IF(AND(Projects!$G$10="Yes",Projects!$J$10="Yes",Projects!$K$10="No",98=Projects!$C$10),Projects!$B$10*Assumptions!$B$47,0)+IF(AND(Projects!$G$11="Yes",Projects!$J$11="Yes",Projects!$K$11="No",98=Projects!$C$11),Projects!$B$11*Assumptions!$B$47,0)+IF(AND(Projects!$G$12="Yes",Projects!$J$12="Yes",Projects!$K$12="No",98=Projects!$C$12),Projects!$B$12*Assumptions!$B$47,0)+IF(AND(Projects!$G$13="Yes",Projects!$J$13="Yes",Projects!$K$13="No",98=Projects!$C$13),Projects!$B$13*Assumptions!$B$47,0)+IF(AND(Projects!$G$14="Yes",Projects!$J$14="Yes",Projects!$K$14="No",98=Projects!$C$14),Projects!$B$14*Assumptions!$B$47,0)),Actuals!CY107)</f>
        <v/>
      </c>
      <c r="CY197" s="392">
        <f>IF(ISBLANK(Actuals!CZ107),-(IF(AND(Projects!$G$2="Yes",Projects!$J$2="Yes",Projects!$K$2="No",99=Projects!$C$2),Projects!$B$2*Assumptions!$B$47,0)+IF(AND(Projects!$G$3="Yes",Projects!$J$3="Yes",Projects!$K$3="No",99=Projects!$C$3),Projects!$B$3*Assumptions!$B$47,0)+IF(AND(Projects!$G$4="Yes",Projects!$J$4="Yes",Projects!$K$4="No",99=Projects!$C$4),Projects!$B$4*Assumptions!$B$47,0)+IF(AND(Projects!$G$5="Yes",Projects!$J$5="Yes",Projects!$K$5="No",99=Projects!$C$5),Projects!$B$5*Assumptions!$B$47,0)+IF(AND(Projects!$G$6="Yes",Projects!$J$6="Yes",Projects!$K$6="No",99=Projects!$C$6),Projects!$B$6*Assumptions!$B$47,0)+IF(AND(Projects!$G$7="Yes",Projects!$J$7="Yes",Projects!$K$7="No",99=Projects!$C$7),Projects!$B$7*Assumptions!$B$47,0)+IF(AND(Projects!$G$8="Yes",Projects!$J$8="Yes",Projects!$K$8="No",99=Projects!$C$8),Projects!$B$8*Assumptions!$B$47,0)+IF(AND(Projects!$G$9="Yes",Projects!$J$9="Yes",Projects!$K$9="No",99=Projects!$C$9),Projects!$B$9*Assumptions!$B$47,0)+IF(AND(Projects!$G$10="Yes",Projects!$J$10="Yes",Projects!$K$10="No",99=Projects!$C$10),Projects!$B$10*Assumptions!$B$47,0)+IF(AND(Projects!$G$11="Yes",Projects!$J$11="Yes",Projects!$K$11="No",99=Projects!$C$11),Projects!$B$11*Assumptions!$B$47,0)+IF(AND(Projects!$G$12="Yes",Projects!$J$12="Yes",Projects!$K$12="No",99=Projects!$C$12),Projects!$B$12*Assumptions!$B$47,0)+IF(AND(Projects!$G$13="Yes",Projects!$J$13="Yes",Projects!$K$13="No",99=Projects!$C$13),Projects!$B$13*Assumptions!$B$47,0)+IF(AND(Projects!$G$14="Yes",Projects!$J$14="Yes",Projects!$K$14="No",99=Projects!$C$14),Projects!$B$14*Assumptions!$B$47,0)),Actuals!CZ107)</f>
        <v/>
      </c>
      <c r="CZ197" s="392">
        <f>IF(ISBLANK(Actuals!DA107),-(IF(AND(Projects!$G$2="Yes",Projects!$J$2="Yes",Projects!$K$2="No",100=Projects!$C$2),Projects!$B$2*Assumptions!$B$47,0)+IF(AND(Projects!$G$3="Yes",Projects!$J$3="Yes",Projects!$K$3="No",100=Projects!$C$3),Projects!$B$3*Assumptions!$B$47,0)+IF(AND(Projects!$G$4="Yes",Projects!$J$4="Yes",Projects!$K$4="No",100=Projects!$C$4),Projects!$B$4*Assumptions!$B$47,0)+IF(AND(Projects!$G$5="Yes",Projects!$J$5="Yes",Projects!$K$5="No",100=Projects!$C$5),Projects!$B$5*Assumptions!$B$47,0)+IF(AND(Projects!$G$6="Yes",Projects!$J$6="Yes",Projects!$K$6="No",100=Projects!$C$6),Projects!$B$6*Assumptions!$B$47,0)+IF(AND(Projects!$G$7="Yes",Projects!$J$7="Yes",Projects!$K$7="No",100=Projects!$C$7),Projects!$B$7*Assumptions!$B$47,0)+IF(AND(Projects!$G$8="Yes",Projects!$J$8="Yes",Projects!$K$8="No",100=Projects!$C$8),Projects!$B$8*Assumptions!$B$47,0)+IF(AND(Projects!$G$9="Yes",Projects!$J$9="Yes",Projects!$K$9="No",100=Projects!$C$9),Projects!$B$9*Assumptions!$B$47,0)+IF(AND(Projects!$G$10="Yes",Projects!$J$10="Yes",Projects!$K$10="No",100=Projects!$C$10),Projects!$B$10*Assumptions!$B$47,0)+IF(AND(Projects!$G$11="Yes",Projects!$J$11="Yes",Projects!$K$11="No",100=Projects!$C$11),Projects!$B$11*Assumptions!$B$47,0)+IF(AND(Projects!$G$12="Yes",Projects!$J$12="Yes",Projects!$K$12="No",100=Projects!$C$12),Projects!$B$12*Assumptions!$B$47,0)+IF(AND(Projects!$G$13="Yes",Projects!$J$13="Yes",Projects!$K$13="No",100=Projects!$C$13),Projects!$B$13*Assumptions!$B$47,0)+IF(AND(Projects!$G$14="Yes",Projects!$J$14="Yes",Projects!$K$14="No",100=Projects!$C$14),Projects!$B$14*Assumptions!$B$47,0)),Actuals!DA107)</f>
        <v/>
      </c>
      <c r="DA197" s="392">
        <f>IF(ISBLANK(Actuals!DB107),-(IF(AND(Projects!$G$2="Yes",Projects!$J$2="Yes",Projects!$K$2="No",101=Projects!$C$2),Projects!$B$2*Assumptions!$B$47,0)+IF(AND(Projects!$G$3="Yes",Projects!$J$3="Yes",Projects!$K$3="No",101=Projects!$C$3),Projects!$B$3*Assumptions!$B$47,0)+IF(AND(Projects!$G$4="Yes",Projects!$J$4="Yes",Projects!$K$4="No",101=Projects!$C$4),Projects!$B$4*Assumptions!$B$47,0)+IF(AND(Projects!$G$5="Yes",Projects!$J$5="Yes",Projects!$K$5="No",101=Projects!$C$5),Projects!$B$5*Assumptions!$B$47,0)+IF(AND(Projects!$G$6="Yes",Projects!$J$6="Yes",Projects!$K$6="No",101=Projects!$C$6),Projects!$B$6*Assumptions!$B$47,0)+IF(AND(Projects!$G$7="Yes",Projects!$J$7="Yes",Projects!$K$7="No",101=Projects!$C$7),Projects!$B$7*Assumptions!$B$47,0)+IF(AND(Projects!$G$8="Yes",Projects!$J$8="Yes",Projects!$K$8="No",101=Projects!$C$8),Projects!$B$8*Assumptions!$B$47,0)+IF(AND(Projects!$G$9="Yes",Projects!$J$9="Yes",Projects!$K$9="No",101=Projects!$C$9),Projects!$B$9*Assumptions!$B$47,0)+IF(AND(Projects!$G$10="Yes",Projects!$J$10="Yes",Projects!$K$10="No",101=Projects!$C$10),Projects!$B$10*Assumptions!$B$47,0)+IF(AND(Projects!$G$11="Yes",Projects!$J$11="Yes",Projects!$K$11="No",101=Projects!$C$11),Projects!$B$11*Assumptions!$B$47,0)+IF(AND(Projects!$G$12="Yes",Projects!$J$12="Yes",Projects!$K$12="No",101=Projects!$C$12),Projects!$B$12*Assumptions!$B$47,0)+IF(AND(Projects!$G$13="Yes",Projects!$J$13="Yes",Projects!$K$13="No",101=Projects!$C$13),Projects!$B$13*Assumptions!$B$47,0)+IF(AND(Projects!$G$14="Yes",Projects!$J$14="Yes",Projects!$K$14="No",101=Projects!$C$14),Projects!$B$14*Assumptions!$B$47,0)),Actuals!DB107)</f>
        <v/>
      </c>
      <c r="DB197" s="392">
        <f>IF(ISBLANK(Actuals!DC107),-(IF(AND(Projects!$G$2="Yes",Projects!$J$2="Yes",Projects!$K$2="No",102=Projects!$C$2),Projects!$B$2*Assumptions!$B$47,0)+IF(AND(Projects!$G$3="Yes",Projects!$J$3="Yes",Projects!$K$3="No",102=Projects!$C$3),Projects!$B$3*Assumptions!$B$47,0)+IF(AND(Projects!$G$4="Yes",Projects!$J$4="Yes",Projects!$K$4="No",102=Projects!$C$4),Projects!$B$4*Assumptions!$B$47,0)+IF(AND(Projects!$G$5="Yes",Projects!$J$5="Yes",Projects!$K$5="No",102=Projects!$C$5),Projects!$B$5*Assumptions!$B$47,0)+IF(AND(Projects!$G$6="Yes",Projects!$J$6="Yes",Projects!$K$6="No",102=Projects!$C$6),Projects!$B$6*Assumptions!$B$47,0)+IF(AND(Projects!$G$7="Yes",Projects!$J$7="Yes",Projects!$K$7="No",102=Projects!$C$7),Projects!$B$7*Assumptions!$B$47,0)+IF(AND(Projects!$G$8="Yes",Projects!$J$8="Yes",Projects!$K$8="No",102=Projects!$C$8),Projects!$B$8*Assumptions!$B$47,0)+IF(AND(Projects!$G$9="Yes",Projects!$J$9="Yes",Projects!$K$9="No",102=Projects!$C$9),Projects!$B$9*Assumptions!$B$47,0)+IF(AND(Projects!$G$10="Yes",Projects!$J$10="Yes",Projects!$K$10="No",102=Projects!$C$10),Projects!$B$10*Assumptions!$B$47,0)+IF(AND(Projects!$G$11="Yes",Projects!$J$11="Yes",Projects!$K$11="No",102=Projects!$C$11),Projects!$B$11*Assumptions!$B$47,0)+IF(AND(Projects!$G$12="Yes",Projects!$J$12="Yes",Projects!$K$12="No",102=Projects!$C$12),Projects!$B$12*Assumptions!$B$47,0)+IF(AND(Projects!$G$13="Yes",Projects!$J$13="Yes",Projects!$K$13="No",102=Projects!$C$13),Projects!$B$13*Assumptions!$B$47,0)+IF(AND(Projects!$G$14="Yes",Projects!$J$14="Yes",Projects!$K$14="No",102=Projects!$C$14),Projects!$B$14*Assumptions!$B$47,0)),Actuals!DC107)</f>
        <v/>
      </c>
      <c r="DC197" s="392">
        <f>IF(ISBLANK(Actuals!DD107),-(IF(AND(Projects!$G$2="Yes",Projects!$J$2="Yes",Projects!$K$2="No",103=Projects!$C$2),Projects!$B$2*Assumptions!$B$47,0)+IF(AND(Projects!$G$3="Yes",Projects!$J$3="Yes",Projects!$K$3="No",103=Projects!$C$3),Projects!$B$3*Assumptions!$B$47,0)+IF(AND(Projects!$G$4="Yes",Projects!$J$4="Yes",Projects!$K$4="No",103=Projects!$C$4),Projects!$B$4*Assumptions!$B$47,0)+IF(AND(Projects!$G$5="Yes",Projects!$J$5="Yes",Projects!$K$5="No",103=Projects!$C$5),Projects!$B$5*Assumptions!$B$47,0)+IF(AND(Projects!$G$6="Yes",Projects!$J$6="Yes",Projects!$K$6="No",103=Projects!$C$6),Projects!$B$6*Assumptions!$B$47,0)+IF(AND(Projects!$G$7="Yes",Projects!$J$7="Yes",Projects!$K$7="No",103=Projects!$C$7),Projects!$B$7*Assumptions!$B$47,0)+IF(AND(Projects!$G$8="Yes",Projects!$J$8="Yes",Projects!$K$8="No",103=Projects!$C$8),Projects!$B$8*Assumptions!$B$47,0)+IF(AND(Projects!$G$9="Yes",Projects!$J$9="Yes",Projects!$K$9="No",103=Projects!$C$9),Projects!$B$9*Assumptions!$B$47,0)+IF(AND(Projects!$G$10="Yes",Projects!$J$10="Yes",Projects!$K$10="No",103=Projects!$C$10),Projects!$B$10*Assumptions!$B$47,0)+IF(AND(Projects!$G$11="Yes",Projects!$J$11="Yes",Projects!$K$11="No",103=Projects!$C$11),Projects!$B$11*Assumptions!$B$47,0)+IF(AND(Projects!$G$12="Yes",Projects!$J$12="Yes",Projects!$K$12="No",103=Projects!$C$12),Projects!$B$12*Assumptions!$B$47,0)+IF(AND(Projects!$G$13="Yes",Projects!$J$13="Yes",Projects!$K$13="No",103=Projects!$C$13),Projects!$B$13*Assumptions!$B$47,0)+IF(AND(Projects!$G$14="Yes",Projects!$J$14="Yes",Projects!$K$14="No",103=Projects!$C$14),Projects!$B$14*Assumptions!$B$47,0)),Actuals!DD107)</f>
        <v/>
      </c>
      <c r="DD197" s="392">
        <f>IF(ISBLANK(Actuals!DE107),-(IF(AND(Projects!$G$2="Yes",Projects!$J$2="Yes",Projects!$K$2="No",104=Projects!$C$2),Projects!$B$2*Assumptions!$B$47,0)+IF(AND(Projects!$G$3="Yes",Projects!$J$3="Yes",Projects!$K$3="No",104=Projects!$C$3),Projects!$B$3*Assumptions!$B$47,0)+IF(AND(Projects!$G$4="Yes",Projects!$J$4="Yes",Projects!$K$4="No",104=Projects!$C$4),Projects!$B$4*Assumptions!$B$47,0)+IF(AND(Projects!$G$5="Yes",Projects!$J$5="Yes",Projects!$K$5="No",104=Projects!$C$5),Projects!$B$5*Assumptions!$B$47,0)+IF(AND(Projects!$G$6="Yes",Projects!$J$6="Yes",Projects!$K$6="No",104=Projects!$C$6),Projects!$B$6*Assumptions!$B$47,0)+IF(AND(Projects!$G$7="Yes",Projects!$J$7="Yes",Projects!$K$7="No",104=Projects!$C$7),Projects!$B$7*Assumptions!$B$47,0)+IF(AND(Projects!$G$8="Yes",Projects!$J$8="Yes",Projects!$K$8="No",104=Projects!$C$8),Projects!$B$8*Assumptions!$B$47,0)+IF(AND(Projects!$G$9="Yes",Projects!$J$9="Yes",Projects!$K$9="No",104=Projects!$C$9),Projects!$B$9*Assumptions!$B$47,0)+IF(AND(Projects!$G$10="Yes",Projects!$J$10="Yes",Projects!$K$10="No",104=Projects!$C$10),Projects!$B$10*Assumptions!$B$47,0)+IF(AND(Projects!$G$11="Yes",Projects!$J$11="Yes",Projects!$K$11="No",104=Projects!$C$11),Projects!$B$11*Assumptions!$B$47,0)+IF(AND(Projects!$G$12="Yes",Projects!$J$12="Yes",Projects!$K$12="No",104=Projects!$C$12),Projects!$B$12*Assumptions!$B$47,0)+IF(AND(Projects!$G$13="Yes",Projects!$J$13="Yes",Projects!$K$13="No",104=Projects!$C$13),Projects!$B$13*Assumptions!$B$47,0)+IF(AND(Projects!$G$14="Yes",Projects!$J$14="Yes",Projects!$K$14="No",104=Projects!$C$14),Projects!$B$14*Assumptions!$B$47,0)),Actuals!DE107)</f>
        <v/>
      </c>
      <c r="DE197" s="392">
        <f>IF(ISBLANK(Actuals!DF107),-(IF(AND(Projects!$G$2="Yes",Projects!$J$2="Yes",Projects!$K$2="No",105=Projects!$C$2),Projects!$B$2*Assumptions!$B$47,0)+IF(AND(Projects!$G$3="Yes",Projects!$J$3="Yes",Projects!$K$3="No",105=Projects!$C$3),Projects!$B$3*Assumptions!$B$47,0)+IF(AND(Projects!$G$4="Yes",Projects!$J$4="Yes",Projects!$K$4="No",105=Projects!$C$4),Projects!$B$4*Assumptions!$B$47,0)+IF(AND(Projects!$G$5="Yes",Projects!$J$5="Yes",Projects!$K$5="No",105=Projects!$C$5),Projects!$B$5*Assumptions!$B$47,0)+IF(AND(Projects!$G$6="Yes",Projects!$J$6="Yes",Projects!$K$6="No",105=Projects!$C$6),Projects!$B$6*Assumptions!$B$47,0)+IF(AND(Projects!$G$7="Yes",Projects!$J$7="Yes",Projects!$K$7="No",105=Projects!$C$7),Projects!$B$7*Assumptions!$B$47,0)+IF(AND(Projects!$G$8="Yes",Projects!$J$8="Yes",Projects!$K$8="No",105=Projects!$C$8),Projects!$B$8*Assumptions!$B$47,0)+IF(AND(Projects!$G$9="Yes",Projects!$J$9="Yes",Projects!$K$9="No",105=Projects!$C$9),Projects!$B$9*Assumptions!$B$47,0)+IF(AND(Projects!$G$10="Yes",Projects!$J$10="Yes",Projects!$K$10="No",105=Projects!$C$10),Projects!$B$10*Assumptions!$B$47,0)+IF(AND(Projects!$G$11="Yes",Projects!$J$11="Yes",Projects!$K$11="No",105=Projects!$C$11),Projects!$B$11*Assumptions!$B$47,0)+IF(AND(Projects!$G$12="Yes",Projects!$J$12="Yes",Projects!$K$12="No",105=Projects!$C$12),Projects!$B$12*Assumptions!$B$47,0)+IF(AND(Projects!$G$13="Yes",Projects!$J$13="Yes",Projects!$K$13="No",105=Projects!$C$13),Projects!$B$13*Assumptions!$B$47,0)+IF(AND(Projects!$G$14="Yes",Projects!$J$14="Yes",Projects!$K$14="No",105=Projects!$C$14),Projects!$B$14*Assumptions!$B$47,0)),Actuals!DF107)</f>
        <v/>
      </c>
    </row>
    <row r="198" ht="15" customFormat="1" customHeight="1" s="380">
      <c r="A198" s="397" t="inlineStr">
        <is>
          <t>Steyn Liquidity Guarantee Fee</t>
        </is>
      </c>
      <c r="B198" s="392">
        <f>IF(ISBLANK(Actuals!C108),0,Actuals!C108)</f>
        <v/>
      </c>
      <c r="C198" s="392">
        <f>IF(ISBLANK(Actuals!D108),0,Actuals!D108)</f>
        <v/>
      </c>
      <c r="D198" s="392">
        <f>IF(ISBLANK(Actuals!E108),0,Actuals!E108)</f>
        <v/>
      </c>
      <c r="E198" s="392">
        <f>IF(ISBLANK(Actuals!F108),-(IF(AND(Projects!$G$7="Yes",Projects!$K$7="No",1=Projects!$C$7,Assumptions!$B$53&gt;0),Assumptions!$B$53*Assumptions!$B$48,0)+IF(AND(Projects!$G$11="Yes",Projects!$K$11="No",1=Projects!$C$11,Assumptions!$B$51&gt;0),Assumptions!$B$51*Assumptions!$B$48,0)+IF(AND(Projects!$G$12="Yes",Projects!$K$12="No",1=Projects!$C$12,Assumptions!$B$52&gt;0),Assumptions!$B$52*Assumptions!$B$48,0)+IF(AND(Projects!$G$13="Yes",Projects!$K$13="No",1=Projects!$C$13,Assumptions!$B$54&gt;0),Assumptions!$B$54*Assumptions!$B$48,0)+IF(AND(Projects!$G$14="Yes",Projects!$K$14="No",1=Projects!$C$14,Assumptions!$B$55&gt;0),Assumptions!$B$55*Assumptions!$B$48,0)),Actuals!F108)</f>
        <v/>
      </c>
      <c r="F198" s="392">
        <f>IF(ISBLANK(Actuals!G108),-(IF(AND(Projects!$G$7="Yes",Projects!$K$7="No",2=Projects!$C$7,Assumptions!$B$53&gt;0),Assumptions!$B$53*Assumptions!$B$48,0)+IF(AND(Projects!$G$11="Yes",Projects!$K$11="No",2=Projects!$C$11,Assumptions!$B$51&gt;0),Assumptions!$B$51*Assumptions!$B$48,0)+IF(AND(Projects!$G$12="Yes",Projects!$K$12="No",2=Projects!$C$12,Assumptions!$B$52&gt;0),Assumptions!$B$52*Assumptions!$B$48,0)+IF(AND(Projects!$G$13="Yes",Projects!$K$13="No",2=Projects!$C$13,Assumptions!$B$54&gt;0),Assumptions!$B$54*Assumptions!$B$48,0)+IF(AND(Projects!$G$14="Yes",Projects!$K$14="No",2=Projects!$C$14,Assumptions!$B$55&gt;0),Assumptions!$B$55*Assumptions!$B$48,0)),Actuals!G108)</f>
        <v/>
      </c>
      <c r="G198" s="392">
        <f>IF(ISBLANK(Actuals!H108),-(IF(AND(Projects!$G$7="Yes",Projects!$K$7="No",3=Projects!$C$7,Assumptions!$B$53&gt;0),Assumptions!$B$53*Assumptions!$B$48,0)+IF(AND(Projects!$G$11="Yes",Projects!$K$11="No",3=Projects!$C$11,Assumptions!$B$51&gt;0),Assumptions!$B$51*Assumptions!$B$48,0)+IF(AND(Projects!$G$12="Yes",Projects!$K$12="No",3=Projects!$C$12,Assumptions!$B$52&gt;0),Assumptions!$B$52*Assumptions!$B$48,0)+IF(AND(Projects!$G$13="Yes",Projects!$K$13="No",3=Projects!$C$13,Assumptions!$B$54&gt;0),Assumptions!$B$54*Assumptions!$B$48,0)+IF(AND(Projects!$G$14="Yes",Projects!$K$14="No",3=Projects!$C$14,Assumptions!$B$55&gt;0),Assumptions!$B$55*Assumptions!$B$48,0)),Actuals!H108)</f>
        <v/>
      </c>
      <c r="H198" s="392">
        <f>IF(ISBLANK(Actuals!I108),-(IF(AND(Projects!$G$7="Yes",Projects!$K$7="No",4=Projects!$C$7,Assumptions!$B$53&gt;0),Assumptions!$B$53*Assumptions!$B$48,0)+IF(AND(Projects!$G$11="Yes",Projects!$K$11="No",4=Projects!$C$11,Assumptions!$B$51&gt;0),Assumptions!$B$51*Assumptions!$B$48,0)+IF(AND(Projects!$G$12="Yes",Projects!$K$12="No",4=Projects!$C$12,Assumptions!$B$52&gt;0),Assumptions!$B$52*Assumptions!$B$48,0)+IF(AND(Projects!$G$13="Yes",Projects!$K$13="No",4=Projects!$C$13,Assumptions!$B$54&gt;0),Assumptions!$B$54*Assumptions!$B$48,0)+IF(AND(Projects!$G$14="Yes",Projects!$K$14="No",4=Projects!$C$14,Assumptions!$B$55&gt;0),Assumptions!$B$55*Assumptions!$B$48,0)),Actuals!I108)</f>
        <v/>
      </c>
      <c r="I198" s="392">
        <f>IF(ISBLANK(Actuals!J108),-(IF(AND(Projects!$G$7="Yes",Projects!$K$7="No",5=Projects!$C$7,Assumptions!$B$53&gt;0),Assumptions!$B$53*Assumptions!$B$48,0)+IF(AND(Projects!$G$11="Yes",Projects!$K$11="No",5=Projects!$C$11,Assumptions!$B$51&gt;0),Assumptions!$B$51*Assumptions!$B$48,0)+IF(AND(Projects!$G$12="Yes",Projects!$K$12="No",5=Projects!$C$12,Assumptions!$B$52&gt;0),Assumptions!$B$52*Assumptions!$B$48,0)+IF(AND(Projects!$G$13="Yes",Projects!$K$13="No",5=Projects!$C$13,Assumptions!$B$54&gt;0),Assumptions!$B$54*Assumptions!$B$48,0)+IF(AND(Projects!$G$14="Yes",Projects!$K$14="No",5=Projects!$C$14,Assumptions!$B$55&gt;0),Assumptions!$B$55*Assumptions!$B$48,0)),Actuals!J108)</f>
        <v/>
      </c>
      <c r="J198" s="392">
        <f>IF(ISBLANK(Actuals!K108),-(IF(AND(Projects!$G$7="Yes",Projects!$K$7="No",6=Projects!$C$7,Assumptions!$B$53&gt;0),Assumptions!$B$53*Assumptions!$B$48,0)+IF(AND(Projects!$G$11="Yes",Projects!$K$11="No",6=Projects!$C$11,Assumptions!$B$51&gt;0),Assumptions!$B$51*Assumptions!$B$48,0)+IF(AND(Projects!$G$12="Yes",Projects!$K$12="No",6=Projects!$C$12,Assumptions!$B$52&gt;0),Assumptions!$B$52*Assumptions!$B$48,0)+IF(AND(Projects!$G$13="Yes",Projects!$K$13="No",6=Projects!$C$13,Assumptions!$B$54&gt;0),Assumptions!$B$54*Assumptions!$B$48,0)+IF(AND(Projects!$G$14="Yes",Projects!$K$14="No",6=Projects!$C$14,Assumptions!$B$55&gt;0),Assumptions!$B$55*Assumptions!$B$48,0)),Actuals!K108)</f>
        <v/>
      </c>
      <c r="K198" s="392">
        <f>IF(ISBLANK(Actuals!L108),-(IF(AND(Projects!$G$7="Yes",Projects!$K$7="No",7=Projects!$C$7,Assumptions!$B$53&gt;0),Assumptions!$B$53*Assumptions!$B$48,0)+IF(AND(Projects!$G$11="Yes",Projects!$K$11="No",7=Projects!$C$11,Assumptions!$B$51&gt;0),Assumptions!$B$51*Assumptions!$B$48,0)+IF(AND(Projects!$G$12="Yes",Projects!$K$12="No",7=Projects!$C$12,Assumptions!$B$52&gt;0),Assumptions!$B$52*Assumptions!$B$48,0)+IF(AND(Projects!$G$13="Yes",Projects!$K$13="No",7=Projects!$C$13,Assumptions!$B$54&gt;0),Assumptions!$B$54*Assumptions!$B$48,0)+IF(AND(Projects!$G$14="Yes",Projects!$K$14="No",7=Projects!$C$14,Assumptions!$B$55&gt;0),Assumptions!$B$55*Assumptions!$B$48,0)),Actuals!L108)</f>
        <v/>
      </c>
      <c r="L198" s="392">
        <f>IF(ISBLANK(Actuals!M108),-(IF(AND(Projects!$G$7="Yes",Projects!$K$7="No",8=Projects!$C$7,Assumptions!$B$53&gt;0),Assumptions!$B$53*Assumptions!$B$48,0)+IF(AND(Projects!$G$11="Yes",Projects!$K$11="No",8=Projects!$C$11,Assumptions!$B$51&gt;0),Assumptions!$B$51*Assumptions!$B$48,0)+IF(AND(Projects!$G$12="Yes",Projects!$K$12="No",8=Projects!$C$12,Assumptions!$B$52&gt;0),Assumptions!$B$52*Assumptions!$B$48,0)+IF(AND(Projects!$G$13="Yes",Projects!$K$13="No",8=Projects!$C$13,Assumptions!$B$54&gt;0),Assumptions!$B$54*Assumptions!$B$48,0)+IF(AND(Projects!$G$14="Yes",Projects!$K$14="No",8=Projects!$C$14,Assumptions!$B$55&gt;0),Assumptions!$B$55*Assumptions!$B$48,0)),Actuals!M108)</f>
        <v/>
      </c>
      <c r="M198" s="392">
        <f>IF(ISBLANK(Actuals!N108),-(IF(AND(Projects!$G$7="Yes",Projects!$K$7="No",9=Projects!$C$7,Assumptions!$B$53&gt;0),Assumptions!$B$53*Assumptions!$B$48,0)+IF(AND(Projects!$G$11="Yes",Projects!$K$11="No",9=Projects!$C$11,Assumptions!$B$51&gt;0),Assumptions!$B$51*Assumptions!$B$48,0)+IF(AND(Projects!$G$12="Yes",Projects!$K$12="No",9=Projects!$C$12,Assumptions!$B$52&gt;0),Assumptions!$B$52*Assumptions!$B$48,0)+IF(AND(Projects!$G$13="Yes",Projects!$K$13="No",9=Projects!$C$13,Assumptions!$B$54&gt;0),Assumptions!$B$54*Assumptions!$B$48,0)+IF(AND(Projects!$G$14="Yes",Projects!$K$14="No",9=Projects!$C$14,Assumptions!$B$55&gt;0),Assumptions!$B$55*Assumptions!$B$48,0)),Actuals!N108)</f>
        <v/>
      </c>
      <c r="N198" s="392">
        <f>IF(ISBLANK(Actuals!O108),-(IF(AND(Projects!$G$7="Yes",Projects!$K$7="No",10=Projects!$C$7,Assumptions!$B$53&gt;0),Assumptions!$B$53*Assumptions!$B$48,0)+IF(AND(Projects!$G$11="Yes",Projects!$K$11="No",10=Projects!$C$11,Assumptions!$B$51&gt;0),Assumptions!$B$51*Assumptions!$B$48,0)+IF(AND(Projects!$G$12="Yes",Projects!$K$12="No",10=Projects!$C$12,Assumptions!$B$52&gt;0),Assumptions!$B$52*Assumptions!$B$48,0)+IF(AND(Projects!$G$13="Yes",Projects!$K$13="No",10=Projects!$C$13,Assumptions!$B$54&gt;0),Assumptions!$B$54*Assumptions!$B$48,0)+IF(AND(Projects!$G$14="Yes",Projects!$K$14="No",10=Projects!$C$14,Assumptions!$B$55&gt;0),Assumptions!$B$55*Assumptions!$B$48,0)),Actuals!O108)</f>
        <v/>
      </c>
      <c r="O198" s="392">
        <f>IF(ISBLANK(Actuals!P108),-(IF(AND(Projects!$G$7="Yes",Projects!$K$7="No",11=Projects!$C$7,Assumptions!$B$53&gt;0),Assumptions!$B$53*Assumptions!$B$48,0)+IF(AND(Projects!$G$11="Yes",Projects!$K$11="No",11=Projects!$C$11,Assumptions!$B$51&gt;0),Assumptions!$B$51*Assumptions!$B$48,0)+IF(AND(Projects!$G$12="Yes",Projects!$K$12="No",11=Projects!$C$12,Assumptions!$B$52&gt;0),Assumptions!$B$52*Assumptions!$B$48,0)+IF(AND(Projects!$G$13="Yes",Projects!$K$13="No",11=Projects!$C$13,Assumptions!$B$54&gt;0),Assumptions!$B$54*Assumptions!$B$48,0)+IF(AND(Projects!$G$14="Yes",Projects!$K$14="No",11=Projects!$C$14,Assumptions!$B$55&gt;0),Assumptions!$B$55*Assumptions!$B$48,0)),Actuals!P108)</f>
        <v/>
      </c>
      <c r="P198" s="392">
        <f>IF(ISBLANK(Actuals!Q108),-(IF(AND(Projects!$G$7="Yes",Projects!$K$7="No",12=Projects!$C$7,Assumptions!$B$53&gt;0),Assumptions!$B$53*Assumptions!$B$48,0)+IF(AND(Projects!$G$11="Yes",Projects!$K$11="No",12=Projects!$C$11,Assumptions!$B$51&gt;0),Assumptions!$B$51*Assumptions!$B$48,0)+IF(AND(Projects!$G$12="Yes",Projects!$K$12="No",12=Projects!$C$12,Assumptions!$B$52&gt;0),Assumptions!$B$52*Assumptions!$B$48,0)+IF(AND(Projects!$G$13="Yes",Projects!$K$13="No",12=Projects!$C$13,Assumptions!$B$54&gt;0),Assumptions!$B$54*Assumptions!$B$48,0)+IF(AND(Projects!$G$14="Yes",Projects!$K$14="No",12=Projects!$C$14,Assumptions!$B$55&gt;0),Assumptions!$B$55*Assumptions!$B$48,0)),Actuals!Q108)</f>
        <v/>
      </c>
      <c r="Q198" s="392">
        <f>IF(ISBLANK(Actuals!R108),-(IF(AND(Projects!$G$7="Yes",Projects!$K$7="No",13=Projects!$C$7,Assumptions!$B$53&gt;0),Assumptions!$B$53*Assumptions!$B$48,0)+IF(AND(Projects!$G$11="Yes",Projects!$K$11="No",13=Projects!$C$11,Assumptions!$B$51&gt;0),Assumptions!$B$51*Assumptions!$B$48,0)+IF(AND(Projects!$G$12="Yes",Projects!$K$12="No",13=Projects!$C$12,Assumptions!$B$52&gt;0),Assumptions!$B$52*Assumptions!$B$48,0)+IF(AND(Projects!$G$13="Yes",Projects!$K$13="No",13=Projects!$C$13,Assumptions!$B$54&gt;0),Assumptions!$B$54*Assumptions!$B$48,0)+IF(AND(Projects!$G$14="Yes",Projects!$K$14="No",13=Projects!$C$14,Assumptions!$B$55&gt;0),Assumptions!$B$55*Assumptions!$B$48,0)),Actuals!R108)</f>
        <v/>
      </c>
      <c r="R198" s="392">
        <f>IF(ISBLANK(Actuals!S108),-(IF(AND(Projects!$G$7="Yes",Projects!$K$7="No",14=Projects!$C$7,Assumptions!$B$53&gt;0),Assumptions!$B$53*Assumptions!$B$48,0)+IF(AND(Projects!$G$11="Yes",Projects!$K$11="No",14=Projects!$C$11,Assumptions!$B$51&gt;0),Assumptions!$B$51*Assumptions!$B$48,0)+IF(AND(Projects!$G$12="Yes",Projects!$K$12="No",14=Projects!$C$12,Assumptions!$B$52&gt;0),Assumptions!$B$52*Assumptions!$B$48,0)+IF(AND(Projects!$G$13="Yes",Projects!$K$13="No",14=Projects!$C$13,Assumptions!$B$54&gt;0),Assumptions!$B$54*Assumptions!$B$48,0)+IF(AND(Projects!$G$14="Yes",Projects!$K$14="No",14=Projects!$C$14,Assumptions!$B$55&gt;0),Assumptions!$B$55*Assumptions!$B$48,0)),Actuals!S108)</f>
        <v/>
      </c>
      <c r="S198" s="392">
        <f>IF(ISBLANK(Actuals!T108),-(IF(AND(Projects!$G$7="Yes",Projects!$K$7="No",15=Projects!$C$7,Assumptions!$B$53&gt;0),Assumptions!$B$53*Assumptions!$B$48,0)+IF(AND(Projects!$G$11="Yes",Projects!$K$11="No",15=Projects!$C$11,Assumptions!$B$51&gt;0),Assumptions!$B$51*Assumptions!$B$48,0)+IF(AND(Projects!$G$12="Yes",Projects!$K$12="No",15=Projects!$C$12,Assumptions!$B$52&gt;0),Assumptions!$B$52*Assumptions!$B$48,0)+IF(AND(Projects!$G$13="Yes",Projects!$K$13="No",15=Projects!$C$13,Assumptions!$B$54&gt;0),Assumptions!$B$54*Assumptions!$B$48,0)+IF(AND(Projects!$G$14="Yes",Projects!$K$14="No",15=Projects!$C$14,Assumptions!$B$55&gt;0),Assumptions!$B$55*Assumptions!$B$48,0)),Actuals!T108)</f>
        <v/>
      </c>
      <c r="T198" s="392">
        <f>IF(ISBLANK(Actuals!U108),-(IF(AND(Projects!$G$7="Yes",Projects!$K$7="No",16=Projects!$C$7,Assumptions!$B$53&gt;0),Assumptions!$B$53*Assumptions!$B$48,0)+IF(AND(Projects!$G$11="Yes",Projects!$K$11="No",16=Projects!$C$11,Assumptions!$B$51&gt;0),Assumptions!$B$51*Assumptions!$B$48,0)+IF(AND(Projects!$G$12="Yes",Projects!$K$12="No",16=Projects!$C$12,Assumptions!$B$52&gt;0),Assumptions!$B$52*Assumptions!$B$48,0)+IF(AND(Projects!$G$13="Yes",Projects!$K$13="No",16=Projects!$C$13,Assumptions!$B$54&gt;0),Assumptions!$B$54*Assumptions!$B$48,0)+IF(AND(Projects!$G$14="Yes",Projects!$K$14="No",16=Projects!$C$14,Assumptions!$B$55&gt;0),Assumptions!$B$55*Assumptions!$B$48,0)),Actuals!U108)</f>
        <v/>
      </c>
      <c r="U198" s="392">
        <f>IF(ISBLANK(Actuals!V108),-(IF(AND(Projects!$G$7="Yes",Projects!$K$7="No",17=Projects!$C$7,Assumptions!$B$53&gt;0),Assumptions!$B$53*Assumptions!$B$48,0)+IF(AND(Projects!$G$11="Yes",Projects!$K$11="No",17=Projects!$C$11,Assumptions!$B$51&gt;0),Assumptions!$B$51*Assumptions!$B$48,0)+IF(AND(Projects!$G$12="Yes",Projects!$K$12="No",17=Projects!$C$12,Assumptions!$B$52&gt;0),Assumptions!$B$52*Assumptions!$B$48,0)+IF(AND(Projects!$G$13="Yes",Projects!$K$13="No",17=Projects!$C$13,Assumptions!$B$54&gt;0),Assumptions!$B$54*Assumptions!$B$48,0)+IF(AND(Projects!$G$14="Yes",Projects!$K$14="No",17=Projects!$C$14,Assumptions!$B$55&gt;0),Assumptions!$B$55*Assumptions!$B$48,0)),Actuals!V108)</f>
        <v/>
      </c>
      <c r="V198" s="392">
        <f>IF(ISBLANK(Actuals!W108),-(IF(AND(Projects!$G$7="Yes",Projects!$K$7="No",18=Projects!$C$7,Assumptions!$B$53&gt;0),Assumptions!$B$53*Assumptions!$B$48,0)+IF(AND(Projects!$G$11="Yes",Projects!$K$11="No",18=Projects!$C$11,Assumptions!$B$51&gt;0),Assumptions!$B$51*Assumptions!$B$48,0)+IF(AND(Projects!$G$12="Yes",Projects!$K$12="No",18=Projects!$C$12,Assumptions!$B$52&gt;0),Assumptions!$B$52*Assumptions!$B$48,0)+IF(AND(Projects!$G$13="Yes",Projects!$K$13="No",18=Projects!$C$13,Assumptions!$B$54&gt;0),Assumptions!$B$54*Assumptions!$B$48,0)+IF(AND(Projects!$G$14="Yes",Projects!$K$14="No",18=Projects!$C$14,Assumptions!$B$55&gt;0),Assumptions!$B$55*Assumptions!$B$48,0)),Actuals!W108)</f>
        <v/>
      </c>
      <c r="W198" s="392">
        <f>IF(ISBLANK(Actuals!X108),-(IF(AND(Projects!$G$7="Yes",Projects!$K$7="No",19=Projects!$C$7,Assumptions!$B$53&gt;0),Assumptions!$B$53*Assumptions!$B$48,0)+IF(AND(Projects!$G$11="Yes",Projects!$K$11="No",19=Projects!$C$11,Assumptions!$B$51&gt;0),Assumptions!$B$51*Assumptions!$B$48,0)+IF(AND(Projects!$G$12="Yes",Projects!$K$12="No",19=Projects!$C$12,Assumptions!$B$52&gt;0),Assumptions!$B$52*Assumptions!$B$48,0)+IF(AND(Projects!$G$13="Yes",Projects!$K$13="No",19=Projects!$C$13,Assumptions!$B$54&gt;0),Assumptions!$B$54*Assumptions!$B$48,0)+IF(AND(Projects!$G$14="Yes",Projects!$K$14="No",19=Projects!$C$14,Assumptions!$B$55&gt;0),Assumptions!$B$55*Assumptions!$B$48,0)),Actuals!X108)</f>
        <v/>
      </c>
      <c r="X198" s="392">
        <f>IF(ISBLANK(Actuals!Y108),-(IF(AND(Projects!$G$7="Yes",Projects!$K$7="No",20=Projects!$C$7,Assumptions!$B$53&gt;0),Assumptions!$B$53*Assumptions!$B$48,0)+IF(AND(Projects!$G$11="Yes",Projects!$K$11="No",20=Projects!$C$11,Assumptions!$B$51&gt;0),Assumptions!$B$51*Assumptions!$B$48,0)+IF(AND(Projects!$G$12="Yes",Projects!$K$12="No",20=Projects!$C$12,Assumptions!$B$52&gt;0),Assumptions!$B$52*Assumptions!$B$48,0)+IF(AND(Projects!$G$13="Yes",Projects!$K$13="No",20=Projects!$C$13,Assumptions!$B$54&gt;0),Assumptions!$B$54*Assumptions!$B$48,0)+IF(AND(Projects!$G$14="Yes",Projects!$K$14="No",20=Projects!$C$14,Assumptions!$B$55&gt;0),Assumptions!$B$55*Assumptions!$B$48,0)),Actuals!Y108)</f>
        <v/>
      </c>
      <c r="Y198" s="392">
        <f>IF(ISBLANK(Actuals!Z108),-(IF(AND(Projects!$G$7="Yes",Projects!$K$7="No",21=Projects!$C$7,Assumptions!$B$53&gt;0),Assumptions!$B$53*Assumptions!$B$48,0)+IF(AND(Projects!$G$11="Yes",Projects!$K$11="No",21=Projects!$C$11,Assumptions!$B$51&gt;0),Assumptions!$B$51*Assumptions!$B$48,0)+IF(AND(Projects!$G$12="Yes",Projects!$K$12="No",21=Projects!$C$12,Assumptions!$B$52&gt;0),Assumptions!$B$52*Assumptions!$B$48,0)+IF(AND(Projects!$G$13="Yes",Projects!$K$13="No",21=Projects!$C$13,Assumptions!$B$54&gt;0),Assumptions!$B$54*Assumptions!$B$48,0)+IF(AND(Projects!$G$14="Yes",Projects!$K$14="No",21=Projects!$C$14,Assumptions!$B$55&gt;0),Assumptions!$B$55*Assumptions!$B$48,0)),Actuals!Z108)</f>
        <v/>
      </c>
      <c r="Z198" s="392">
        <f>IF(ISBLANK(Actuals!AA108),-(IF(AND(Projects!$G$7="Yes",Projects!$K$7="No",22=Projects!$C$7,Assumptions!$B$53&gt;0),Assumptions!$B$53*Assumptions!$B$48,0)+IF(AND(Projects!$G$11="Yes",Projects!$K$11="No",22=Projects!$C$11,Assumptions!$B$51&gt;0),Assumptions!$B$51*Assumptions!$B$48,0)+IF(AND(Projects!$G$12="Yes",Projects!$K$12="No",22=Projects!$C$12,Assumptions!$B$52&gt;0),Assumptions!$B$52*Assumptions!$B$48,0)+IF(AND(Projects!$G$13="Yes",Projects!$K$13="No",22=Projects!$C$13,Assumptions!$B$54&gt;0),Assumptions!$B$54*Assumptions!$B$48,0)+IF(AND(Projects!$G$14="Yes",Projects!$K$14="No",22=Projects!$C$14,Assumptions!$B$55&gt;0),Assumptions!$B$55*Assumptions!$B$48,0)),Actuals!AA108)</f>
        <v/>
      </c>
      <c r="AA198" s="392">
        <f>IF(ISBLANK(Actuals!AB108),-(IF(AND(Projects!$G$7="Yes",Projects!$K$7="No",23=Projects!$C$7,Assumptions!$B$53&gt;0),Assumptions!$B$53*Assumptions!$B$48,0)+IF(AND(Projects!$G$11="Yes",Projects!$K$11="No",23=Projects!$C$11,Assumptions!$B$51&gt;0),Assumptions!$B$51*Assumptions!$B$48,0)+IF(AND(Projects!$G$12="Yes",Projects!$K$12="No",23=Projects!$C$12,Assumptions!$B$52&gt;0),Assumptions!$B$52*Assumptions!$B$48,0)+IF(AND(Projects!$G$13="Yes",Projects!$K$13="No",23=Projects!$C$13,Assumptions!$B$54&gt;0),Assumptions!$B$54*Assumptions!$B$48,0)+IF(AND(Projects!$G$14="Yes",Projects!$K$14="No",23=Projects!$C$14,Assumptions!$B$55&gt;0),Assumptions!$B$55*Assumptions!$B$48,0)),Actuals!AB108)</f>
        <v/>
      </c>
      <c r="AB198" s="392">
        <f>IF(ISBLANK(Actuals!AC108),-(IF(AND(Projects!$G$7="Yes",Projects!$K$7="No",24=Projects!$C$7,Assumptions!$B$53&gt;0),Assumptions!$B$53*Assumptions!$B$48,0)+IF(AND(Projects!$G$11="Yes",Projects!$K$11="No",24=Projects!$C$11,Assumptions!$B$51&gt;0),Assumptions!$B$51*Assumptions!$B$48,0)+IF(AND(Projects!$G$12="Yes",Projects!$K$12="No",24=Projects!$C$12,Assumptions!$B$52&gt;0),Assumptions!$B$52*Assumptions!$B$48,0)+IF(AND(Projects!$G$13="Yes",Projects!$K$13="No",24=Projects!$C$13,Assumptions!$B$54&gt;0),Assumptions!$B$54*Assumptions!$B$48,0)+IF(AND(Projects!$G$14="Yes",Projects!$K$14="No",24=Projects!$C$14,Assumptions!$B$55&gt;0),Assumptions!$B$55*Assumptions!$B$48,0)),Actuals!AC108)</f>
        <v/>
      </c>
      <c r="AC198" s="392">
        <f>IF(ISBLANK(Actuals!AD108),-(IF(AND(Projects!$G$7="Yes",Projects!$K$7="No",25=Projects!$C$7,Assumptions!$B$53&gt;0),Assumptions!$B$53*Assumptions!$B$48,0)+IF(AND(Projects!$G$11="Yes",Projects!$K$11="No",25=Projects!$C$11,Assumptions!$B$51&gt;0),Assumptions!$B$51*Assumptions!$B$48,0)+IF(AND(Projects!$G$12="Yes",Projects!$K$12="No",25=Projects!$C$12,Assumptions!$B$52&gt;0),Assumptions!$B$52*Assumptions!$B$48,0)+IF(AND(Projects!$G$13="Yes",Projects!$K$13="No",25=Projects!$C$13,Assumptions!$B$54&gt;0),Assumptions!$B$54*Assumptions!$B$48,0)+IF(AND(Projects!$G$14="Yes",Projects!$K$14="No",25=Projects!$C$14,Assumptions!$B$55&gt;0),Assumptions!$B$55*Assumptions!$B$48,0)),Actuals!AD108)</f>
        <v/>
      </c>
      <c r="AD198" s="392">
        <f>IF(ISBLANK(Actuals!AE108),-(IF(AND(Projects!$G$7="Yes",Projects!$K$7="No",26=Projects!$C$7,Assumptions!$B$53&gt;0),Assumptions!$B$53*Assumptions!$B$48,0)+IF(AND(Projects!$G$11="Yes",Projects!$K$11="No",26=Projects!$C$11,Assumptions!$B$51&gt;0),Assumptions!$B$51*Assumptions!$B$48,0)+IF(AND(Projects!$G$12="Yes",Projects!$K$12="No",26=Projects!$C$12,Assumptions!$B$52&gt;0),Assumptions!$B$52*Assumptions!$B$48,0)+IF(AND(Projects!$G$13="Yes",Projects!$K$13="No",26=Projects!$C$13,Assumptions!$B$54&gt;0),Assumptions!$B$54*Assumptions!$B$48,0)+IF(AND(Projects!$G$14="Yes",Projects!$K$14="No",26=Projects!$C$14,Assumptions!$B$55&gt;0),Assumptions!$B$55*Assumptions!$B$48,0)),Actuals!AE108)</f>
        <v/>
      </c>
      <c r="AE198" s="392">
        <f>IF(ISBLANK(Actuals!AF108),-(IF(AND(Projects!$G$7="Yes",Projects!$K$7="No",27=Projects!$C$7,Assumptions!$B$53&gt;0),Assumptions!$B$53*Assumptions!$B$48,0)+IF(AND(Projects!$G$11="Yes",Projects!$K$11="No",27=Projects!$C$11,Assumptions!$B$51&gt;0),Assumptions!$B$51*Assumptions!$B$48,0)+IF(AND(Projects!$G$12="Yes",Projects!$K$12="No",27=Projects!$C$12,Assumptions!$B$52&gt;0),Assumptions!$B$52*Assumptions!$B$48,0)+IF(AND(Projects!$G$13="Yes",Projects!$K$13="No",27=Projects!$C$13,Assumptions!$B$54&gt;0),Assumptions!$B$54*Assumptions!$B$48,0)+IF(AND(Projects!$G$14="Yes",Projects!$K$14="No",27=Projects!$C$14,Assumptions!$B$55&gt;0),Assumptions!$B$55*Assumptions!$B$48,0)),Actuals!AF108)</f>
        <v/>
      </c>
      <c r="AF198" s="392">
        <f>IF(ISBLANK(Actuals!AG108),-(IF(AND(Projects!$G$7="Yes",Projects!$K$7="No",28=Projects!$C$7,Assumptions!$B$53&gt;0),Assumptions!$B$53*Assumptions!$B$48,0)+IF(AND(Projects!$G$11="Yes",Projects!$K$11="No",28=Projects!$C$11,Assumptions!$B$51&gt;0),Assumptions!$B$51*Assumptions!$B$48,0)+IF(AND(Projects!$G$12="Yes",Projects!$K$12="No",28=Projects!$C$12,Assumptions!$B$52&gt;0),Assumptions!$B$52*Assumptions!$B$48,0)+IF(AND(Projects!$G$13="Yes",Projects!$K$13="No",28=Projects!$C$13,Assumptions!$B$54&gt;0),Assumptions!$B$54*Assumptions!$B$48,0)+IF(AND(Projects!$G$14="Yes",Projects!$K$14="No",28=Projects!$C$14,Assumptions!$B$55&gt;0),Assumptions!$B$55*Assumptions!$B$48,0)),Actuals!AG108)</f>
        <v/>
      </c>
      <c r="AG198" s="392">
        <f>IF(ISBLANK(Actuals!AH108),-(IF(AND(Projects!$G$7="Yes",Projects!$K$7="No",29=Projects!$C$7,Assumptions!$B$53&gt;0),Assumptions!$B$53*Assumptions!$B$48,0)+IF(AND(Projects!$G$11="Yes",Projects!$K$11="No",29=Projects!$C$11,Assumptions!$B$51&gt;0),Assumptions!$B$51*Assumptions!$B$48,0)+IF(AND(Projects!$G$12="Yes",Projects!$K$12="No",29=Projects!$C$12,Assumptions!$B$52&gt;0),Assumptions!$B$52*Assumptions!$B$48,0)+IF(AND(Projects!$G$13="Yes",Projects!$K$13="No",29=Projects!$C$13,Assumptions!$B$54&gt;0),Assumptions!$B$54*Assumptions!$B$48,0)+IF(AND(Projects!$G$14="Yes",Projects!$K$14="No",29=Projects!$C$14,Assumptions!$B$55&gt;0),Assumptions!$B$55*Assumptions!$B$48,0)),Actuals!AH108)</f>
        <v/>
      </c>
      <c r="AH198" s="392">
        <f>IF(ISBLANK(Actuals!AI108),-(IF(AND(Projects!$G$7="Yes",Projects!$K$7="No",30=Projects!$C$7,Assumptions!$B$53&gt;0),Assumptions!$B$53*Assumptions!$B$48,0)+IF(AND(Projects!$G$11="Yes",Projects!$K$11="No",30=Projects!$C$11,Assumptions!$B$51&gt;0),Assumptions!$B$51*Assumptions!$B$48,0)+IF(AND(Projects!$G$12="Yes",Projects!$K$12="No",30=Projects!$C$12,Assumptions!$B$52&gt;0),Assumptions!$B$52*Assumptions!$B$48,0)+IF(AND(Projects!$G$13="Yes",Projects!$K$13="No",30=Projects!$C$13,Assumptions!$B$54&gt;0),Assumptions!$B$54*Assumptions!$B$48,0)+IF(AND(Projects!$G$14="Yes",Projects!$K$14="No",30=Projects!$C$14,Assumptions!$B$55&gt;0),Assumptions!$B$55*Assumptions!$B$48,0)),Actuals!AI108)</f>
        <v/>
      </c>
      <c r="AI198" s="392">
        <f>IF(ISBLANK(Actuals!AJ108),-(IF(AND(Projects!$G$7="Yes",Projects!$K$7="No",31=Projects!$C$7,Assumptions!$B$53&gt;0),Assumptions!$B$53*Assumptions!$B$48,0)+IF(AND(Projects!$G$11="Yes",Projects!$K$11="No",31=Projects!$C$11,Assumptions!$B$51&gt;0),Assumptions!$B$51*Assumptions!$B$48,0)+IF(AND(Projects!$G$12="Yes",Projects!$K$12="No",31=Projects!$C$12,Assumptions!$B$52&gt;0),Assumptions!$B$52*Assumptions!$B$48,0)+IF(AND(Projects!$G$13="Yes",Projects!$K$13="No",31=Projects!$C$13,Assumptions!$B$54&gt;0),Assumptions!$B$54*Assumptions!$B$48,0)+IF(AND(Projects!$G$14="Yes",Projects!$K$14="No",31=Projects!$C$14,Assumptions!$B$55&gt;0),Assumptions!$B$55*Assumptions!$B$48,0)),Actuals!AJ108)</f>
        <v/>
      </c>
      <c r="AJ198" s="392">
        <f>IF(ISBLANK(Actuals!AK108),-(IF(AND(Projects!$G$7="Yes",Projects!$K$7="No",32=Projects!$C$7,Assumptions!$B$53&gt;0),Assumptions!$B$53*Assumptions!$B$48,0)+IF(AND(Projects!$G$11="Yes",Projects!$K$11="No",32=Projects!$C$11,Assumptions!$B$51&gt;0),Assumptions!$B$51*Assumptions!$B$48,0)+IF(AND(Projects!$G$12="Yes",Projects!$K$12="No",32=Projects!$C$12,Assumptions!$B$52&gt;0),Assumptions!$B$52*Assumptions!$B$48,0)+IF(AND(Projects!$G$13="Yes",Projects!$K$13="No",32=Projects!$C$13,Assumptions!$B$54&gt;0),Assumptions!$B$54*Assumptions!$B$48,0)+IF(AND(Projects!$G$14="Yes",Projects!$K$14="No",32=Projects!$C$14,Assumptions!$B$55&gt;0),Assumptions!$B$55*Assumptions!$B$48,0)),Actuals!AK108)</f>
        <v/>
      </c>
      <c r="AK198" s="392">
        <f>IF(ISBLANK(Actuals!AL108),-(IF(AND(Projects!$G$7="Yes",Projects!$K$7="No",33=Projects!$C$7,Assumptions!$B$53&gt;0),Assumptions!$B$53*Assumptions!$B$48,0)+IF(AND(Projects!$G$11="Yes",Projects!$K$11="No",33=Projects!$C$11,Assumptions!$B$51&gt;0),Assumptions!$B$51*Assumptions!$B$48,0)+IF(AND(Projects!$G$12="Yes",Projects!$K$12="No",33=Projects!$C$12,Assumptions!$B$52&gt;0),Assumptions!$B$52*Assumptions!$B$48,0)+IF(AND(Projects!$G$13="Yes",Projects!$K$13="No",33=Projects!$C$13,Assumptions!$B$54&gt;0),Assumptions!$B$54*Assumptions!$B$48,0)+IF(AND(Projects!$G$14="Yes",Projects!$K$14="No",33=Projects!$C$14,Assumptions!$B$55&gt;0),Assumptions!$B$55*Assumptions!$B$48,0)),Actuals!AL108)</f>
        <v/>
      </c>
      <c r="AL198" s="392">
        <f>IF(ISBLANK(Actuals!AM108),-(IF(AND(Projects!$G$7="Yes",Projects!$K$7="No",34=Projects!$C$7,Assumptions!$B$53&gt;0),Assumptions!$B$53*Assumptions!$B$48,0)+IF(AND(Projects!$G$11="Yes",Projects!$K$11="No",34=Projects!$C$11,Assumptions!$B$51&gt;0),Assumptions!$B$51*Assumptions!$B$48,0)+IF(AND(Projects!$G$12="Yes",Projects!$K$12="No",34=Projects!$C$12,Assumptions!$B$52&gt;0),Assumptions!$B$52*Assumptions!$B$48,0)+IF(AND(Projects!$G$13="Yes",Projects!$K$13="No",34=Projects!$C$13,Assumptions!$B$54&gt;0),Assumptions!$B$54*Assumptions!$B$48,0)+IF(AND(Projects!$G$14="Yes",Projects!$K$14="No",34=Projects!$C$14,Assumptions!$B$55&gt;0),Assumptions!$B$55*Assumptions!$B$48,0)),Actuals!AM108)</f>
        <v/>
      </c>
      <c r="AM198" s="392">
        <f>IF(ISBLANK(Actuals!AN108),-(IF(AND(Projects!$G$7="Yes",Projects!$K$7="No",35=Projects!$C$7,Assumptions!$B$53&gt;0),Assumptions!$B$53*Assumptions!$B$48,0)+IF(AND(Projects!$G$11="Yes",Projects!$K$11="No",35=Projects!$C$11,Assumptions!$B$51&gt;0),Assumptions!$B$51*Assumptions!$B$48,0)+IF(AND(Projects!$G$12="Yes",Projects!$K$12="No",35=Projects!$C$12,Assumptions!$B$52&gt;0),Assumptions!$B$52*Assumptions!$B$48,0)+IF(AND(Projects!$G$13="Yes",Projects!$K$13="No",35=Projects!$C$13,Assumptions!$B$54&gt;0),Assumptions!$B$54*Assumptions!$B$48,0)+IF(AND(Projects!$G$14="Yes",Projects!$K$14="No",35=Projects!$C$14,Assumptions!$B$55&gt;0),Assumptions!$B$55*Assumptions!$B$48,0)),Actuals!AN108)</f>
        <v/>
      </c>
      <c r="AN198" s="392">
        <f>IF(ISBLANK(Actuals!AO108),-(IF(AND(Projects!$G$7="Yes",Projects!$K$7="No",36=Projects!$C$7,Assumptions!$B$53&gt;0),Assumptions!$B$53*Assumptions!$B$48,0)+IF(AND(Projects!$G$11="Yes",Projects!$K$11="No",36=Projects!$C$11,Assumptions!$B$51&gt;0),Assumptions!$B$51*Assumptions!$B$48,0)+IF(AND(Projects!$G$12="Yes",Projects!$K$12="No",36=Projects!$C$12,Assumptions!$B$52&gt;0),Assumptions!$B$52*Assumptions!$B$48,0)+IF(AND(Projects!$G$13="Yes",Projects!$K$13="No",36=Projects!$C$13,Assumptions!$B$54&gt;0),Assumptions!$B$54*Assumptions!$B$48,0)+IF(AND(Projects!$G$14="Yes",Projects!$K$14="No",36=Projects!$C$14,Assumptions!$B$55&gt;0),Assumptions!$B$55*Assumptions!$B$48,0)),Actuals!AO108)</f>
        <v/>
      </c>
      <c r="AO198" s="392">
        <f>IF(ISBLANK(Actuals!AP108),-(IF(AND(Projects!$G$7="Yes",Projects!$K$7="No",37=Projects!$C$7,Assumptions!$B$53&gt;0),Assumptions!$B$53*Assumptions!$B$48,0)+IF(AND(Projects!$G$11="Yes",Projects!$K$11="No",37=Projects!$C$11,Assumptions!$B$51&gt;0),Assumptions!$B$51*Assumptions!$B$48,0)+IF(AND(Projects!$G$12="Yes",Projects!$K$12="No",37=Projects!$C$12,Assumptions!$B$52&gt;0),Assumptions!$B$52*Assumptions!$B$48,0)+IF(AND(Projects!$G$13="Yes",Projects!$K$13="No",37=Projects!$C$13,Assumptions!$B$54&gt;0),Assumptions!$B$54*Assumptions!$B$48,0)+IF(AND(Projects!$G$14="Yes",Projects!$K$14="No",37=Projects!$C$14,Assumptions!$B$55&gt;0),Assumptions!$B$55*Assumptions!$B$48,0)),Actuals!AP108)</f>
        <v/>
      </c>
      <c r="AP198" s="392">
        <f>IF(ISBLANK(Actuals!AQ108),-(IF(AND(Projects!$G$7="Yes",Projects!$K$7="No",38=Projects!$C$7,Assumptions!$B$53&gt;0),Assumptions!$B$53*Assumptions!$B$48,0)+IF(AND(Projects!$G$11="Yes",Projects!$K$11="No",38=Projects!$C$11,Assumptions!$B$51&gt;0),Assumptions!$B$51*Assumptions!$B$48,0)+IF(AND(Projects!$G$12="Yes",Projects!$K$12="No",38=Projects!$C$12,Assumptions!$B$52&gt;0),Assumptions!$B$52*Assumptions!$B$48,0)+IF(AND(Projects!$G$13="Yes",Projects!$K$13="No",38=Projects!$C$13,Assumptions!$B$54&gt;0),Assumptions!$B$54*Assumptions!$B$48,0)+IF(AND(Projects!$G$14="Yes",Projects!$K$14="No",38=Projects!$C$14,Assumptions!$B$55&gt;0),Assumptions!$B$55*Assumptions!$B$48,0)),Actuals!AQ108)</f>
        <v/>
      </c>
      <c r="AQ198" s="392">
        <f>IF(ISBLANK(Actuals!AR108),-(IF(AND(Projects!$G$7="Yes",Projects!$K$7="No",39=Projects!$C$7,Assumptions!$B$53&gt;0),Assumptions!$B$53*Assumptions!$B$48,0)+IF(AND(Projects!$G$11="Yes",Projects!$K$11="No",39=Projects!$C$11,Assumptions!$B$51&gt;0),Assumptions!$B$51*Assumptions!$B$48,0)+IF(AND(Projects!$G$12="Yes",Projects!$K$12="No",39=Projects!$C$12,Assumptions!$B$52&gt;0),Assumptions!$B$52*Assumptions!$B$48,0)+IF(AND(Projects!$G$13="Yes",Projects!$K$13="No",39=Projects!$C$13,Assumptions!$B$54&gt;0),Assumptions!$B$54*Assumptions!$B$48,0)+IF(AND(Projects!$G$14="Yes",Projects!$K$14="No",39=Projects!$C$14,Assumptions!$B$55&gt;0),Assumptions!$B$55*Assumptions!$B$48,0)),Actuals!AR108)</f>
        <v/>
      </c>
      <c r="AR198" s="392">
        <f>IF(ISBLANK(Actuals!AS108),-(IF(AND(Projects!$G$7="Yes",Projects!$K$7="No",40=Projects!$C$7,Assumptions!$B$53&gt;0),Assumptions!$B$53*Assumptions!$B$48,0)+IF(AND(Projects!$G$11="Yes",Projects!$K$11="No",40=Projects!$C$11,Assumptions!$B$51&gt;0),Assumptions!$B$51*Assumptions!$B$48,0)+IF(AND(Projects!$G$12="Yes",Projects!$K$12="No",40=Projects!$C$12,Assumptions!$B$52&gt;0),Assumptions!$B$52*Assumptions!$B$48,0)+IF(AND(Projects!$G$13="Yes",Projects!$K$13="No",40=Projects!$C$13,Assumptions!$B$54&gt;0),Assumptions!$B$54*Assumptions!$B$48,0)+IF(AND(Projects!$G$14="Yes",Projects!$K$14="No",40=Projects!$C$14,Assumptions!$B$55&gt;0),Assumptions!$B$55*Assumptions!$B$48,0)),Actuals!AS108)</f>
        <v/>
      </c>
      <c r="AS198" s="392">
        <f>IF(ISBLANK(Actuals!AT108),-(IF(AND(Projects!$G$7="Yes",Projects!$K$7="No",41=Projects!$C$7,Assumptions!$B$53&gt;0),Assumptions!$B$53*Assumptions!$B$48,0)+IF(AND(Projects!$G$11="Yes",Projects!$K$11="No",41=Projects!$C$11,Assumptions!$B$51&gt;0),Assumptions!$B$51*Assumptions!$B$48,0)+IF(AND(Projects!$G$12="Yes",Projects!$K$12="No",41=Projects!$C$12,Assumptions!$B$52&gt;0),Assumptions!$B$52*Assumptions!$B$48,0)+IF(AND(Projects!$G$13="Yes",Projects!$K$13="No",41=Projects!$C$13,Assumptions!$B$54&gt;0),Assumptions!$B$54*Assumptions!$B$48,0)+IF(AND(Projects!$G$14="Yes",Projects!$K$14="No",41=Projects!$C$14,Assumptions!$B$55&gt;0),Assumptions!$B$55*Assumptions!$B$48,0)),Actuals!AT108)</f>
        <v/>
      </c>
      <c r="AT198" s="392">
        <f>IF(ISBLANK(Actuals!AU108),-(IF(AND(Projects!$G$7="Yes",Projects!$K$7="No",42=Projects!$C$7,Assumptions!$B$53&gt;0),Assumptions!$B$53*Assumptions!$B$48,0)+IF(AND(Projects!$G$11="Yes",Projects!$K$11="No",42=Projects!$C$11,Assumptions!$B$51&gt;0),Assumptions!$B$51*Assumptions!$B$48,0)+IF(AND(Projects!$G$12="Yes",Projects!$K$12="No",42=Projects!$C$12,Assumptions!$B$52&gt;0),Assumptions!$B$52*Assumptions!$B$48,0)+IF(AND(Projects!$G$13="Yes",Projects!$K$13="No",42=Projects!$C$13,Assumptions!$B$54&gt;0),Assumptions!$B$54*Assumptions!$B$48,0)+IF(AND(Projects!$G$14="Yes",Projects!$K$14="No",42=Projects!$C$14,Assumptions!$B$55&gt;0),Assumptions!$B$55*Assumptions!$B$48,0)),Actuals!AU108)</f>
        <v/>
      </c>
      <c r="AU198" s="392">
        <f>IF(ISBLANK(Actuals!AV108),-(IF(AND(Projects!$G$7="Yes",Projects!$K$7="No",43=Projects!$C$7,Assumptions!$B$53&gt;0),Assumptions!$B$53*Assumptions!$B$48,0)+IF(AND(Projects!$G$11="Yes",Projects!$K$11="No",43=Projects!$C$11,Assumptions!$B$51&gt;0),Assumptions!$B$51*Assumptions!$B$48,0)+IF(AND(Projects!$G$12="Yes",Projects!$K$12="No",43=Projects!$C$12,Assumptions!$B$52&gt;0),Assumptions!$B$52*Assumptions!$B$48,0)+IF(AND(Projects!$G$13="Yes",Projects!$K$13="No",43=Projects!$C$13,Assumptions!$B$54&gt;0),Assumptions!$B$54*Assumptions!$B$48,0)+IF(AND(Projects!$G$14="Yes",Projects!$K$14="No",43=Projects!$C$14,Assumptions!$B$55&gt;0),Assumptions!$B$55*Assumptions!$B$48,0)),Actuals!AV108)</f>
        <v/>
      </c>
      <c r="AV198" s="392">
        <f>IF(ISBLANK(Actuals!AW108),-(IF(AND(Projects!$G$7="Yes",Projects!$K$7="No",44=Projects!$C$7,Assumptions!$B$53&gt;0),Assumptions!$B$53*Assumptions!$B$48,0)+IF(AND(Projects!$G$11="Yes",Projects!$K$11="No",44=Projects!$C$11,Assumptions!$B$51&gt;0),Assumptions!$B$51*Assumptions!$B$48,0)+IF(AND(Projects!$G$12="Yes",Projects!$K$12="No",44=Projects!$C$12,Assumptions!$B$52&gt;0),Assumptions!$B$52*Assumptions!$B$48,0)+IF(AND(Projects!$G$13="Yes",Projects!$K$13="No",44=Projects!$C$13,Assumptions!$B$54&gt;0),Assumptions!$B$54*Assumptions!$B$48,0)+IF(AND(Projects!$G$14="Yes",Projects!$K$14="No",44=Projects!$C$14,Assumptions!$B$55&gt;0),Assumptions!$B$55*Assumptions!$B$48,0)),Actuals!AW108)</f>
        <v/>
      </c>
      <c r="AW198" s="392">
        <f>IF(ISBLANK(Actuals!AX108),-(IF(AND(Projects!$G$7="Yes",Projects!$K$7="No",45=Projects!$C$7,Assumptions!$B$53&gt;0),Assumptions!$B$53*Assumptions!$B$48,0)+IF(AND(Projects!$G$11="Yes",Projects!$K$11="No",45=Projects!$C$11,Assumptions!$B$51&gt;0),Assumptions!$B$51*Assumptions!$B$48,0)+IF(AND(Projects!$G$12="Yes",Projects!$K$12="No",45=Projects!$C$12,Assumptions!$B$52&gt;0),Assumptions!$B$52*Assumptions!$B$48,0)+IF(AND(Projects!$G$13="Yes",Projects!$K$13="No",45=Projects!$C$13,Assumptions!$B$54&gt;0),Assumptions!$B$54*Assumptions!$B$48,0)+IF(AND(Projects!$G$14="Yes",Projects!$K$14="No",45=Projects!$C$14,Assumptions!$B$55&gt;0),Assumptions!$B$55*Assumptions!$B$48,0)),Actuals!AX108)</f>
        <v/>
      </c>
      <c r="AX198" s="392">
        <f>IF(ISBLANK(Actuals!AY108),-(IF(AND(Projects!$G$7="Yes",Projects!$K$7="No",46=Projects!$C$7,Assumptions!$B$53&gt;0),Assumptions!$B$53*Assumptions!$B$48,0)+IF(AND(Projects!$G$11="Yes",Projects!$K$11="No",46=Projects!$C$11,Assumptions!$B$51&gt;0),Assumptions!$B$51*Assumptions!$B$48,0)+IF(AND(Projects!$G$12="Yes",Projects!$K$12="No",46=Projects!$C$12,Assumptions!$B$52&gt;0),Assumptions!$B$52*Assumptions!$B$48,0)+IF(AND(Projects!$G$13="Yes",Projects!$K$13="No",46=Projects!$C$13,Assumptions!$B$54&gt;0),Assumptions!$B$54*Assumptions!$B$48,0)+IF(AND(Projects!$G$14="Yes",Projects!$K$14="No",46=Projects!$C$14,Assumptions!$B$55&gt;0),Assumptions!$B$55*Assumptions!$B$48,0)),Actuals!AY108)</f>
        <v/>
      </c>
      <c r="AY198" s="392">
        <f>IF(ISBLANK(Actuals!AZ108),-(IF(AND(Projects!$G$7="Yes",Projects!$K$7="No",47=Projects!$C$7,Assumptions!$B$53&gt;0),Assumptions!$B$53*Assumptions!$B$48,0)+IF(AND(Projects!$G$11="Yes",Projects!$K$11="No",47=Projects!$C$11,Assumptions!$B$51&gt;0),Assumptions!$B$51*Assumptions!$B$48,0)+IF(AND(Projects!$G$12="Yes",Projects!$K$12="No",47=Projects!$C$12,Assumptions!$B$52&gt;0),Assumptions!$B$52*Assumptions!$B$48,0)+IF(AND(Projects!$G$13="Yes",Projects!$K$13="No",47=Projects!$C$13,Assumptions!$B$54&gt;0),Assumptions!$B$54*Assumptions!$B$48,0)+IF(AND(Projects!$G$14="Yes",Projects!$K$14="No",47=Projects!$C$14,Assumptions!$B$55&gt;0),Assumptions!$B$55*Assumptions!$B$48,0)),Actuals!AZ108)</f>
        <v/>
      </c>
      <c r="AZ198" s="392">
        <f>IF(ISBLANK(Actuals!BA108),-(IF(AND(Projects!$G$7="Yes",Projects!$K$7="No",48=Projects!$C$7,Assumptions!$B$53&gt;0),Assumptions!$B$53*Assumptions!$B$48,0)+IF(AND(Projects!$G$11="Yes",Projects!$K$11="No",48=Projects!$C$11,Assumptions!$B$51&gt;0),Assumptions!$B$51*Assumptions!$B$48,0)+IF(AND(Projects!$G$12="Yes",Projects!$K$12="No",48=Projects!$C$12,Assumptions!$B$52&gt;0),Assumptions!$B$52*Assumptions!$B$48,0)+IF(AND(Projects!$G$13="Yes",Projects!$K$13="No",48=Projects!$C$13,Assumptions!$B$54&gt;0),Assumptions!$B$54*Assumptions!$B$48,0)+IF(AND(Projects!$G$14="Yes",Projects!$K$14="No",48=Projects!$C$14,Assumptions!$B$55&gt;0),Assumptions!$B$55*Assumptions!$B$48,0)),Actuals!BA108)</f>
        <v/>
      </c>
      <c r="BA198" s="392">
        <f>IF(ISBLANK(Actuals!BB108),-(IF(AND(Projects!$G$7="Yes",Projects!$K$7="No",49=Projects!$C$7,Assumptions!$B$53&gt;0),Assumptions!$B$53*Assumptions!$B$48,0)+IF(AND(Projects!$G$11="Yes",Projects!$K$11="No",49=Projects!$C$11,Assumptions!$B$51&gt;0),Assumptions!$B$51*Assumptions!$B$48,0)+IF(AND(Projects!$G$12="Yes",Projects!$K$12="No",49=Projects!$C$12,Assumptions!$B$52&gt;0),Assumptions!$B$52*Assumptions!$B$48,0)+IF(AND(Projects!$G$13="Yes",Projects!$K$13="No",49=Projects!$C$13,Assumptions!$B$54&gt;0),Assumptions!$B$54*Assumptions!$B$48,0)+IF(AND(Projects!$G$14="Yes",Projects!$K$14="No",49=Projects!$C$14,Assumptions!$B$55&gt;0),Assumptions!$B$55*Assumptions!$B$48,0)),Actuals!BB108)</f>
        <v/>
      </c>
      <c r="BB198" s="392">
        <f>IF(ISBLANK(Actuals!BC108),-(IF(AND(Projects!$G$7="Yes",Projects!$K$7="No",50=Projects!$C$7,Assumptions!$B$53&gt;0),Assumptions!$B$53*Assumptions!$B$48,0)+IF(AND(Projects!$G$11="Yes",Projects!$K$11="No",50=Projects!$C$11,Assumptions!$B$51&gt;0),Assumptions!$B$51*Assumptions!$B$48,0)+IF(AND(Projects!$G$12="Yes",Projects!$K$12="No",50=Projects!$C$12,Assumptions!$B$52&gt;0),Assumptions!$B$52*Assumptions!$B$48,0)+IF(AND(Projects!$G$13="Yes",Projects!$K$13="No",50=Projects!$C$13,Assumptions!$B$54&gt;0),Assumptions!$B$54*Assumptions!$B$48,0)+IF(AND(Projects!$G$14="Yes",Projects!$K$14="No",50=Projects!$C$14,Assumptions!$B$55&gt;0),Assumptions!$B$55*Assumptions!$B$48,0)),Actuals!BC108)</f>
        <v/>
      </c>
      <c r="BC198" s="392">
        <f>IF(ISBLANK(Actuals!BD108),-(IF(AND(Projects!$G$7="Yes",Projects!$K$7="No",51=Projects!$C$7,Assumptions!$B$53&gt;0),Assumptions!$B$53*Assumptions!$B$48,0)+IF(AND(Projects!$G$11="Yes",Projects!$K$11="No",51=Projects!$C$11,Assumptions!$B$51&gt;0),Assumptions!$B$51*Assumptions!$B$48,0)+IF(AND(Projects!$G$12="Yes",Projects!$K$12="No",51=Projects!$C$12,Assumptions!$B$52&gt;0),Assumptions!$B$52*Assumptions!$B$48,0)+IF(AND(Projects!$G$13="Yes",Projects!$K$13="No",51=Projects!$C$13,Assumptions!$B$54&gt;0),Assumptions!$B$54*Assumptions!$B$48,0)+IF(AND(Projects!$G$14="Yes",Projects!$K$14="No",51=Projects!$C$14,Assumptions!$B$55&gt;0),Assumptions!$B$55*Assumptions!$B$48,0)),Actuals!BD108)</f>
        <v/>
      </c>
      <c r="BD198" s="392">
        <f>IF(ISBLANK(Actuals!BE108),-(IF(AND(Projects!$G$7="Yes",Projects!$K$7="No",52=Projects!$C$7,Assumptions!$B$53&gt;0),Assumptions!$B$53*Assumptions!$B$48,0)+IF(AND(Projects!$G$11="Yes",Projects!$K$11="No",52=Projects!$C$11,Assumptions!$B$51&gt;0),Assumptions!$B$51*Assumptions!$B$48,0)+IF(AND(Projects!$G$12="Yes",Projects!$K$12="No",52=Projects!$C$12,Assumptions!$B$52&gt;0),Assumptions!$B$52*Assumptions!$B$48,0)+IF(AND(Projects!$G$13="Yes",Projects!$K$13="No",52=Projects!$C$13,Assumptions!$B$54&gt;0),Assumptions!$B$54*Assumptions!$B$48,0)+IF(AND(Projects!$G$14="Yes",Projects!$K$14="No",52=Projects!$C$14,Assumptions!$B$55&gt;0),Assumptions!$B$55*Assumptions!$B$48,0)),Actuals!BE108)</f>
        <v/>
      </c>
      <c r="BE198" s="392">
        <f>IF(ISBLANK(Actuals!BF108),-(IF(AND(Projects!$G$7="Yes",Projects!$K$7="No",53=Projects!$C$7,Assumptions!$B$53&gt;0),Assumptions!$B$53*Assumptions!$B$48,0)+IF(AND(Projects!$G$11="Yes",Projects!$K$11="No",53=Projects!$C$11,Assumptions!$B$51&gt;0),Assumptions!$B$51*Assumptions!$B$48,0)+IF(AND(Projects!$G$12="Yes",Projects!$K$12="No",53=Projects!$C$12,Assumptions!$B$52&gt;0),Assumptions!$B$52*Assumptions!$B$48,0)+IF(AND(Projects!$G$13="Yes",Projects!$K$13="No",53=Projects!$C$13,Assumptions!$B$54&gt;0),Assumptions!$B$54*Assumptions!$B$48,0)+IF(AND(Projects!$G$14="Yes",Projects!$K$14="No",53=Projects!$C$14,Assumptions!$B$55&gt;0),Assumptions!$B$55*Assumptions!$B$48,0)),Actuals!BF108)</f>
        <v/>
      </c>
      <c r="BF198" s="392">
        <f>IF(ISBLANK(Actuals!BG108),-(IF(AND(Projects!$G$7="Yes",Projects!$K$7="No",54=Projects!$C$7,Assumptions!$B$53&gt;0),Assumptions!$B$53*Assumptions!$B$48,0)+IF(AND(Projects!$G$11="Yes",Projects!$K$11="No",54=Projects!$C$11,Assumptions!$B$51&gt;0),Assumptions!$B$51*Assumptions!$B$48,0)+IF(AND(Projects!$G$12="Yes",Projects!$K$12="No",54=Projects!$C$12,Assumptions!$B$52&gt;0),Assumptions!$B$52*Assumptions!$B$48,0)+IF(AND(Projects!$G$13="Yes",Projects!$K$13="No",54=Projects!$C$13,Assumptions!$B$54&gt;0),Assumptions!$B$54*Assumptions!$B$48,0)+IF(AND(Projects!$G$14="Yes",Projects!$K$14="No",54=Projects!$C$14,Assumptions!$B$55&gt;0),Assumptions!$B$55*Assumptions!$B$48,0)),Actuals!BG108)</f>
        <v/>
      </c>
      <c r="BG198" s="392">
        <f>IF(ISBLANK(Actuals!BH108),-(IF(AND(Projects!$G$7="Yes",Projects!$K$7="No",55=Projects!$C$7,Assumptions!$B$53&gt;0),Assumptions!$B$53*Assumptions!$B$48,0)+IF(AND(Projects!$G$11="Yes",Projects!$K$11="No",55=Projects!$C$11,Assumptions!$B$51&gt;0),Assumptions!$B$51*Assumptions!$B$48,0)+IF(AND(Projects!$G$12="Yes",Projects!$K$12="No",55=Projects!$C$12,Assumptions!$B$52&gt;0),Assumptions!$B$52*Assumptions!$B$48,0)+IF(AND(Projects!$G$13="Yes",Projects!$K$13="No",55=Projects!$C$13,Assumptions!$B$54&gt;0),Assumptions!$B$54*Assumptions!$B$48,0)+IF(AND(Projects!$G$14="Yes",Projects!$K$14="No",55=Projects!$C$14,Assumptions!$B$55&gt;0),Assumptions!$B$55*Assumptions!$B$48,0)),Actuals!BH108)</f>
        <v/>
      </c>
      <c r="BH198" s="392">
        <f>IF(ISBLANK(Actuals!BI108),-(IF(AND(Projects!$G$7="Yes",Projects!$K$7="No",56=Projects!$C$7,Assumptions!$B$53&gt;0),Assumptions!$B$53*Assumptions!$B$48,0)+IF(AND(Projects!$G$11="Yes",Projects!$K$11="No",56=Projects!$C$11,Assumptions!$B$51&gt;0),Assumptions!$B$51*Assumptions!$B$48,0)+IF(AND(Projects!$G$12="Yes",Projects!$K$12="No",56=Projects!$C$12,Assumptions!$B$52&gt;0),Assumptions!$B$52*Assumptions!$B$48,0)+IF(AND(Projects!$G$13="Yes",Projects!$K$13="No",56=Projects!$C$13,Assumptions!$B$54&gt;0),Assumptions!$B$54*Assumptions!$B$48,0)+IF(AND(Projects!$G$14="Yes",Projects!$K$14="No",56=Projects!$C$14,Assumptions!$B$55&gt;0),Assumptions!$B$55*Assumptions!$B$48,0)),Actuals!BI108)</f>
        <v/>
      </c>
      <c r="BI198" s="392">
        <f>IF(ISBLANK(Actuals!BJ108),-(IF(AND(Projects!$G$7="Yes",Projects!$K$7="No",57=Projects!$C$7,Assumptions!$B$53&gt;0),Assumptions!$B$53*Assumptions!$B$48,0)+IF(AND(Projects!$G$11="Yes",Projects!$K$11="No",57=Projects!$C$11,Assumptions!$B$51&gt;0),Assumptions!$B$51*Assumptions!$B$48,0)+IF(AND(Projects!$G$12="Yes",Projects!$K$12="No",57=Projects!$C$12,Assumptions!$B$52&gt;0),Assumptions!$B$52*Assumptions!$B$48,0)+IF(AND(Projects!$G$13="Yes",Projects!$K$13="No",57=Projects!$C$13,Assumptions!$B$54&gt;0),Assumptions!$B$54*Assumptions!$B$48,0)+IF(AND(Projects!$G$14="Yes",Projects!$K$14="No",57=Projects!$C$14,Assumptions!$B$55&gt;0),Assumptions!$B$55*Assumptions!$B$48,0)),Actuals!BJ108)</f>
        <v/>
      </c>
      <c r="BJ198" s="392">
        <f>IF(ISBLANK(Actuals!BK108),-(IF(AND(Projects!$G$7="Yes",Projects!$K$7="No",58=Projects!$C$7,Assumptions!$B$53&gt;0),Assumptions!$B$53*Assumptions!$B$48,0)+IF(AND(Projects!$G$11="Yes",Projects!$K$11="No",58=Projects!$C$11,Assumptions!$B$51&gt;0),Assumptions!$B$51*Assumptions!$B$48,0)+IF(AND(Projects!$G$12="Yes",Projects!$K$12="No",58=Projects!$C$12,Assumptions!$B$52&gt;0),Assumptions!$B$52*Assumptions!$B$48,0)+IF(AND(Projects!$G$13="Yes",Projects!$K$13="No",58=Projects!$C$13,Assumptions!$B$54&gt;0),Assumptions!$B$54*Assumptions!$B$48,0)+IF(AND(Projects!$G$14="Yes",Projects!$K$14="No",58=Projects!$C$14,Assumptions!$B$55&gt;0),Assumptions!$B$55*Assumptions!$B$48,0)),Actuals!BK108)</f>
        <v/>
      </c>
      <c r="BK198" s="392">
        <f>IF(ISBLANK(Actuals!BL108),-(IF(AND(Projects!$G$7="Yes",Projects!$K$7="No",59=Projects!$C$7,Assumptions!$B$53&gt;0),Assumptions!$B$53*Assumptions!$B$48,0)+IF(AND(Projects!$G$11="Yes",Projects!$K$11="No",59=Projects!$C$11,Assumptions!$B$51&gt;0),Assumptions!$B$51*Assumptions!$B$48,0)+IF(AND(Projects!$G$12="Yes",Projects!$K$12="No",59=Projects!$C$12,Assumptions!$B$52&gt;0),Assumptions!$B$52*Assumptions!$B$48,0)+IF(AND(Projects!$G$13="Yes",Projects!$K$13="No",59=Projects!$C$13,Assumptions!$B$54&gt;0),Assumptions!$B$54*Assumptions!$B$48,0)+IF(AND(Projects!$G$14="Yes",Projects!$K$14="No",59=Projects!$C$14,Assumptions!$B$55&gt;0),Assumptions!$B$55*Assumptions!$B$48,0)),Actuals!BL108)</f>
        <v/>
      </c>
      <c r="BL198" s="392">
        <f>IF(ISBLANK(Actuals!BM108),-(IF(AND(Projects!$G$7="Yes",Projects!$K$7="No",60=Projects!$C$7,Assumptions!$B$53&gt;0),Assumptions!$B$53*Assumptions!$B$48,0)+IF(AND(Projects!$G$11="Yes",Projects!$K$11="No",60=Projects!$C$11,Assumptions!$B$51&gt;0),Assumptions!$B$51*Assumptions!$B$48,0)+IF(AND(Projects!$G$12="Yes",Projects!$K$12="No",60=Projects!$C$12,Assumptions!$B$52&gt;0),Assumptions!$B$52*Assumptions!$B$48,0)+IF(AND(Projects!$G$13="Yes",Projects!$K$13="No",60=Projects!$C$13,Assumptions!$B$54&gt;0),Assumptions!$B$54*Assumptions!$B$48,0)+IF(AND(Projects!$G$14="Yes",Projects!$K$14="No",60=Projects!$C$14,Assumptions!$B$55&gt;0),Assumptions!$B$55*Assumptions!$B$48,0)),Actuals!BM108)</f>
        <v/>
      </c>
      <c r="BM198" s="392">
        <f>IF(ISBLANK(Actuals!BN108),-(IF(AND(Projects!$G$7="Yes",Projects!$K$7="No",61=Projects!$C$7,Assumptions!$B$53&gt;0),Assumptions!$B$53*Assumptions!$B$48,0)+IF(AND(Projects!$G$11="Yes",Projects!$K$11="No",61=Projects!$C$11,Assumptions!$B$51&gt;0),Assumptions!$B$51*Assumptions!$B$48,0)+IF(AND(Projects!$G$12="Yes",Projects!$K$12="No",61=Projects!$C$12,Assumptions!$B$52&gt;0),Assumptions!$B$52*Assumptions!$B$48,0)+IF(AND(Projects!$G$13="Yes",Projects!$K$13="No",61=Projects!$C$13,Assumptions!$B$54&gt;0),Assumptions!$B$54*Assumptions!$B$48,0)+IF(AND(Projects!$G$14="Yes",Projects!$K$14="No",61=Projects!$C$14,Assumptions!$B$55&gt;0),Assumptions!$B$55*Assumptions!$B$48,0)),Actuals!BN108)</f>
        <v/>
      </c>
      <c r="BN198" s="392">
        <f>IF(ISBLANK(Actuals!BO108),-(IF(AND(Projects!$G$7="Yes",Projects!$K$7="No",62=Projects!$C$7,Assumptions!$B$53&gt;0),Assumptions!$B$53*Assumptions!$B$48,0)+IF(AND(Projects!$G$11="Yes",Projects!$K$11="No",62=Projects!$C$11,Assumptions!$B$51&gt;0),Assumptions!$B$51*Assumptions!$B$48,0)+IF(AND(Projects!$G$12="Yes",Projects!$K$12="No",62=Projects!$C$12,Assumptions!$B$52&gt;0),Assumptions!$B$52*Assumptions!$B$48,0)+IF(AND(Projects!$G$13="Yes",Projects!$K$13="No",62=Projects!$C$13,Assumptions!$B$54&gt;0),Assumptions!$B$54*Assumptions!$B$48,0)+IF(AND(Projects!$G$14="Yes",Projects!$K$14="No",62=Projects!$C$14,Assumptions!$B$55&gt;0),Assumptions!$B$55*Assumptions!$B$48,0)),Actuals!BO108)</f>
        <v/>
      </c>
      <c r="BO198" s="392">
        <f>IF(ISBLANK(Actuals!BP108),-(IF(AND(Projects!$G$7="Yes",Projects!$K$7="No",63=Projects!$C$7,Assumptions!$B$53&gt;0),Assumptions!$B$53*Assumptions!$B$48,0)+IF(AND(Projects!$G$11="Yes",Projects!$K$11="No",63=Projects!$C$11,Assumptions!$B$51&gt;0),Assumptions!$B$51*Assumptions!$B$48,0)+IF(AND(Projects!$G$12="Yes",Projects!$K$12="No",63=Projects!$C$12,Assumptions!$B$52&gt;0),Assumptions!$B$52*Assumptions!$B$48,0)+IF(AND(Projects!$G$13="Yes",Projects!$K$13="No",63=Projects!$C$13,Assumptions!$B$54&gt;0),Assumptions!$B$54*Assumptions!$B$48,0)+IF(AND(Projects!$G$14="Yes",Projects!$K$14="No",63=Projects!$C$14,Assumptions!$B$55&gt;0),Assumptions!$B$55*Assumptions!$B$48,0)),Actuals!BP108)</f>
        <v/>
      </c>
      <c r="BP198" s="392">
        <f>IF(ISBLANK(Actuals!BQ108),-(IF(AND(Projects!$G$7="Yes",Projects!$K$7="No",64=Projects!$C$7,Assumptions!$B$53&gt;0),Assumptions!$B$53*Assumptions!$B$48,0)+IF(AND(Projects!$G$11="Yes",Projects!$K$11="No",64=Projects!$C$11,Assumptions!$B$51&gt;0),Assumptions!$B$51*Assumptions!$B$48,0)+IF(AND(Projects!$G$12="Yes",Projects!$K$12="No",64=Projects!$C$12,Assumptions!$B$52&gt;0),Assumptions!$B$52*Assumptions!$B$48,0)+IF(AND(Projects!$G$13="Yes",Projects!$K$13="No",64=Projects!$C$13,Assumptions!$B$54&gt;0),Assumptions!$B$54*Assumptions!$B$48,0)+IF(AND(Projects!$G$14="Yes",Projects!$K$14="No",64=Projects!$C$14,Assumptions!$B$55&gt;0),Assumptions!$B$55*Assumptions!$B$48,0)),Actuals!BQ108)</f>
        <v/>
      </c>
      <c r="BQ198" s="392">
        <f>IF(ISBLANK(Actuals!BR108),-(IF(AND(Projects!$G$7="Yes",Projects!$K$7="No",65=Projects!$C$7,Assumptions!$B$53&gt;0),Assumptions!$B$53*Assumptions!$B$48,0)+IF(AND(Projects!$G$11="Yes",Projects!$K$11="No",65=Projects!$C$11,Assumptions!$B$51&gt;0),Assumptions!$B$51*Assumptions!$B$48,0)+IF(AND(Projects!$G$12="Yes",Projects!$K$12="No",65=Projects!$C$12,Assumptions!$B$52&gt;0),Assumptions!$B$52*Assumptions!$B$48,0)+IF(AND(Projects!$G$13="Yes",Projects!$K$13="No",65=Projects!$C$13,Assumptions!$B$54&gt;0),Assumptions!$B$54*Assumptions!$B$48,0)+IF(AND(Projects!$G$14="Yes",Projects!$K$14="No",65=Projects!$C$14,Assumptions!$B$55&gt;0),Assumptions!$B$55*Assumptions!$B$48,0)),Actuals!BR108)</f>
        <v/>
      </c>
      <c r="BR198" s="392">
        <f>IF(ISBLANK(Actuals!BS108),-(IF(AND(Projects!$G$7="Yes",Projects!$K$7="No",66=Projects!$C$7,Assumptions!$B$53&gt;0),Assumptions!$B$53*Assumptions!$B$48,0)+IF(AND(Projects!$G$11="Yes",Projects!$K$11="No",66=Projects!$C$11,Assumptions!$B$51&gt;0),Assumptions!$B$51*Assumptions!$B$48,0)+IF(AND(Projects!$G$12="Yes",Projects!$K$12="No",66=Projects!$C$12,Assumptions!$B$52&gt;0),Assumptions!$B$52*Assumptions!$B$48,0)+IF(AND(Projects!$G$13="Yes",Projects!$K$13="No",66=Projects!$C$13,Assumptions!$B$54&gt;0),Assumptions!$B$54*Assumptions!$B$48,0)+IF(AND(Projects!$G$14="Yes",Projects!$K$14="No",66=Projects!$C$14,Assumptions!$B$55&gt;0),Assumptions!$B$55*Assumptions!$B$48,0)),Actuals!BS108)</f>
        <v/>
      </c>
      <c r="BS198" s="392">
        <f>IF(ISBLANK(Actuals!BT108),-(IF(AND(Projects!$G$7="Yes",Projects!$K$7="No",67=Projects!$C$7,Assumptions!$B$53&gt;0),Assumptions!$B$53*Assumptions!$B$48,0)+IF(AND(Projects!$G$11="Yes",Projects!$K$11="No",67=Projects!$C$11,Assumptions!$B$51&gt;0),Assumptions!$B$51*Assumptions!$B$48,0)+IF(AND(Projects!$G$12="Yes",Projects!$K$12="No",67=Projects!$C$12,Assumptions!$B$52&gt;0),Assumptions!$B$52*Assumptions!$B$48,0)+IF(AND(Projects!$G$13="Yes",Projects!$K$13="No",67=Projects!$C$13,Assumptions!$B$54&gt;0),Assumptions!$B$54*Assumptions!$B$48,0)+IF(AND(Projects!$G$14="Yes",Projects!$K$14="No",67=Projects!$C$14,Assumptions!$B$55&gt;0),Assumptions!$B$55*Assumptions!$B$48,0)),Actuals!BT108)</f>
        <v/>
      </c>
      <c r="BT198" s="392">
        <f>IF(ISBLANK(Actuals!BU108),-(IF(AND(Projects!$G$7="Yes",Projects!$K$7="No",68=Projects!$C$7,Assumptions!$B$53&gt;0),Assumptions!$B$53*Assumptions!$B$48,0)+IF(AND(Projects!$G$11="Yes",Projects!$K$11="No",68=Projects!$C$11,Assumptions!$B$51&gt;0),Assumptions!$B$51*Assumptions!$B$48,0)+IF(AND(Projects!$G$12="Yes",Projects!$K$12="No",68=Projects!$C$12,Assumptions!$B$52&gt;0),Assumptions!$B$52*Assumptions!$B$48,0)+IF(AND(Projects!$G$13="Yes",Projects!$K$13="No",68=Projects!$C$13,Assumptions!$B$54&gt;0),Assumptions!$B$54*Assumptions!$B$48,0)+IF(AND(Projects!$G$14="Yes",Projects!$K$14="No",68=Projects!$C$14,Assumptions!$B$55&gt;0),Assumptions!$B$55*Assumptions!$B$48,0)),Actuals!BU108)</f>
        <v/>
      </c>
      <c r="BU198" s="392">
        <f>IF(ISBLANK(Actuals!BV108),-(IF(AND(Projects!$G$7="Yes",Projects!$K$7="No",69=Projects!$C$7,Assumptions!$B$53&gt;0),Assumptions!$B$53*Assumptions!$B$48,0)+IF(AND(Projects!$G$11="Yes",Projects!$K$11="No",69=Projects!$C$11,Assumptions!$B$51&gt;0),Assumptions!$B$51*Assumptions!$B$48,0)+IF(AND(Projects!$G$12="Yes",Projects!$K$12="No",69=Projects!$C$12,Assumptions!$B$52&gt;0),Assumptions!$B$52*Assumptions!$B$48,0)+IF(AND(Projects!$G$13="Yes",Projects!$K$13="No",69=Projects!$C$13,Assumptions!$B$54&gt;0),Assumptions!$B$54*Assumptions!$B$48,0)+IF(AND(Projects!$G$14="Yes",Projects!$K$14="No",69=Projects!$C$14,Assumptions!$B$55&gt;0),Assumptions!$B$55*Assumptions!$B$48,0)),Actuals!BV108)</f>
        <v/>
      </c>
      <c r="BV198" s="392">
        <f>IF(ISBLANK(Actuals!BW108),-(IF(AND(Projects!$G$7="Yes",Projects!$K$7="No",70=Projects!$C$7,Assumptions!$B$53&gt;0),Assumptions!$B$53*Assumptions!$B$48,0)+IF(AND(Projects!$G$11="Yes",Projects!$K$11="No",70=Projects!$C$11,Assumptions!$B$51&gt;0),Assumptions!$B$51*Assumptions!$B$48,0)+IF(AND(Projects!$G$12="Yes",Projects!$K$12="No",70=Projects!$C$12,Assumptions!$B$52&gt;0),Assumptions!$B$52*Assumptions!$B$48,0)+IF(AND(Projects!$G$13="Yes",Projects!$K$13="No",70=Projects!$C$13,Assumptions!$B$54&gt;0),Assumptions!$B$54*Assumptions!$B$48,0)+IF(AND(Projects!$G$14="Yes",Projects!$K$14="No",70=Projects!$C$14,Assumptions!$B$55&gt;0),Assumptions!$B$55*Assumptions!$B$48,0)),Actuals!BW108)</f>
        <v/>
      </c>
      <c r="BW198" s="392">
        <f>IF(ISBLANK(Actuals!BX108),-(IF(AND(Projects!$G$7="Yes",Projects!$K$7="No",71=Projects!$C$7,Assumptions!$B$53&gt;0),Assumptions!$B$53*Assumptions!$B$48,0)+IF(AND(Projects!$G$11="Yes",Projects!$K$11="No",71=Projects!$C$11,Assumptions!$B$51&gt;0),Assumptions!$B$51*Assumptions!$B$48,0)+IF(AND(Projects!$G$12="Yes",Projects!$K$12="No",71=Projects!$C$12,Assumptions!$B$52&gt;0),Assumptions!$B$52*Assumptions!$B$48,0)+IF(AND(Projects!$G$13="Yes",Projects!$K$13="No",71=Projects!$C$13,Assumptions!$B$54&gt;0),Assumptions!$B$54*Assumptions!$B$48,0)+IF(AND(Projects!$G$14="Yes",Projects!$K$14="No",71=Projects!$C$14,Assumptions!$B$55&gt;0),Assumptions!$B$55*Assumptions!$B$48,0)),Actuals!BX108)</f>
        <v/>
      </c>
      <c r="BX198" s="392">
        <f>IF(ISBLANK(Actuals!BY108),-(IF(AND(Projects!$G$7="Yes",Projects!$K$7="No",72=Projects!$C$7,Assumptions!$B$53&gt;0),Assumptions!$B$53*Assumptions!$B$48,0)+IF(AND(Projects!$G$11="Yes",Projects!$K$11="No",72=Projects!$C$11,Assumptions!$B$51&gt;0),Assumptions!$B$51*Assumptions!$B$48,0)+IF(AND(Projects!$G$12="Yes",Projects!$K$12="No",72=Projects!$C$12,Assumptions!$B$52&gt;0),Assumptions!$B$52*Assumptions!$B$48,0)+IF(AND(Projects!$G$13="Yes",Projects!$K$13="No",72=Projects!$C$13,Assumptions!$B$54&gt;0),Assumptions!$B$54*Assumptions!$B$48,0)+IF(AND(Projects!$G$14="Yes",Projects!$K$14="No",72=Projects!$C$14,Assumptions!$B$55&gt;0),Assumptions!$B$55*Assumptions!$B$48,0)),Actuals!BY108)</f>
        <v/>
      </c>
      <c r="BY198" s="392">
        <f>IF(ISBLANK(Actuals!BZ108),-(IF(AND(Projects!$G$7="Yes",Projects!$K$7="No",73=Projects!$C$7,Assumptions!$B$53&gt;0),Assumptions!$B$53*Assumptions!$B$48,0)+IF(AND(Projects!$G$11="Yes",Projects!$K$11="No",73=Projects!$C$11,Assumptions!$B$51&gt;0),Assumptions!$B$51*Assumptions!$B$48,0)+IF(AND(Projects!$G$12="Yes",Projects!$K$12="No",73=Projects!$C$12,Assumptions!$B$52&gt;0),Assumptions!$B$52*Assumptions!$B$48,0)+IF(AND(Projects!$G$13="Yes",Projects!$K$13="No",73=Projects!$C$13,Assumptions!$B$54&gt;0),Assumptions!$B$54*Assumptions!$B$48,0)+IF(AND(Projects!$G$14="Yes",Projects!$K$14="No",73=Projects!$C$14,Assumptions!$B$55&gt;0),Assumptions!$B$55*Assumptions!$B$48,0)),Actuals!BZ108)</f>
        <v/>
      </c>
      <c r="BZ198" s="392">
        <f>IF(ISBLANK(Actuals!CA108),-(IF(AND(Projects!$G$7="Yes",Projects!$K$7="No",74=Projects!$C$7,Assumptions!$B$53&gt;0),Assumptions!$B$53*Assumptions!$B$48,0)+IF(AND(Projects!$G$11="Yes",Projects!$K$11="No",74=Projects!$C$11,Assumptions!$B$51&gt;0),Assumptions!$B$51*Assumptions!$B$48,0)+IF(AND(Projects!$G$12="Yes",Projects!$K$12="No",74=Projects!$C$12,Assumptions!$B$52&gt;0),Assumptions!$B$52*Assumptions!$B$48,0)+IF(AND(Projects!$G$13="Yes",Projects!$K$13="No",74=Projects!$C$13,Assumptions!$B$54&gt;0),Assumptions!$B$54*Assumptions!$B$48,0)+IF(AND(Projects!$G$14="Yes",Projects!$K$14="No",74=Projects!$C$14,Assumptions!$B$55&gt;0),Assumptions!$B$55*Assumptions!$B$48,0)),Actuals!CA108)</f>
        <v/>
      </c>
      <c r="CA198" s="392">
        <f>IF(ISBLANK(Actuals!CB108),-(IF(AND(Projects!$G$7="Yes",Projects!$K$7="No",75=Projects!$C$7,Assumptions!$B$53&gt;0),Assumptions!$B$53*Assumptions!$B$48,0)+IF(AND(Projects!$G$11="Yes",Projects!$K$11="No",75=Projects!$C$11,Assumptions!$B$51&gt;0),Assumptions!$B$51*Assumptions!$B$48,0)+IF(AND(Projects!$G$12="Yes",Projects!$K$12="No",75=Projects!$C$12,Assumptions!$B$52&gt;0),Assumptions!$B$52*Assumptions!$B$48,0)+IF(AND(Projects!$G$13="Yes",Projects!$K$13="No",75=Projects!$C$13,Assumptions!$B$54&gt;0),Assumptions!$B$54*Assumptions!$B$48,0)+IF(AND(Projects!$G$14="Yes",Projects!$K$14="No",75=Projects!$C$14,Assumptions!$B$55&gt;0),Assumptions!$B$55*Assumptions!$B$48,0)),Actuals!CB108)</f>
        <v/>
      </c>
      <c r="CB198" s="392">
        <f>IF(ISBLANK(Actuals!CC108),-(IF(AND(Projects!$G$7="Yes",Projects!$K$7="No",76=Projects!$C$7,Assumptions!$B$53&gt;0),Assumptions!$B$53*Assumptions!$B$48,0)+IF(AND(Projects!$G$11="Yes",Projects!$K$11="No",76=Projects!$C$11,Assumptions!$B$51&gt;0),Assumptions!$B$51*Assumptions!$B$48,0)+IF(AND(Projects!$G$12="Yes",Projects!$K$12="No",76=Projects!$C$12,Assumptions!$B$52&gt;0),Assumptions!$B$52*Assumptions!$B$48,0)+IF(AND(Projects!$G$13="Yes",Projects!$K$13="No",76=Projects!$C$13,Assumptions!$B$54&gt;0),Assumptions!$B$54*Assumptions!$B$48,0)+IF(AND(Projects!$G$14="Yes",Projects!$K$14="No",76=Projects!$C$14,Assumptions!$B$55&gt;0),Assumptions!$B$55*Assumptions!$B$48,0)),Actuals!CC108)</f>
        <v/>
      </c>
      <c r="CC198" s="392">
        <f>IF(ISBLANK(Actuals!CD108),-(IF(AND(Projects!$G$7="Yes",Projects!$K$7="No",77=Projects!$C$7,Assumptions!$B$53&gt;0),Assumptions!$B$53*Assumptions!$B$48,0)+IF(AND(Projects!$G$11="Yes",Projects!$K$11="No",77=Projects!$C$11,Assumptions!$B$51&gt;0),Assumptions!$B$51*Assumptions!$B$48,0)+IF(AND(Projects!$G$12="Yes",Projects!$K$12="No",77=Projects!$C$12,Assumptions!$B$52&gt;0),Assumptions!$B$52*Assumptions!$B$48,0)+IF(AND(Projects!$G$13="Yes",Projects!$K$13="No",77=Projects!$C$13,Assumptions!$B$54&gt;0),Assumptions!$B$54*Assumptions!$B$48,0)+IF(AND(Projects!$G$14="Yes",Projects!$K$14="No",77=Projects!$C$14,Assumptions!$B$55&gt;0),Assumptions!$B$55*Assumptions!$B$48,0)),Actuals!CD108)</f>
        <v/>
      </c>
      <c r="CD198" s="392">
        <f>IF(ISBLANK(Actuals!CE108),-(IF(AND(Projects!$G$7="Yes",Projects!$K$7="No",78=Projects!$C$7,Assumptions!$B$53&gt;0),Assumptions!$B$53*Assumptions!$B$48,0)+IF(AND(Projects!$G$11="Yes",Projects!$K$11="No",78=Projects!$C$11,Assumptions!$B$51&gt;0),Assumptions!$B$51*Assumptions!$B$48,0)+IF(AND(Projects!$G$12="Yes",Projects!$K$12="No",78=Projects!$C$12,Assumptions!$B$52&gt;0),Assumptions!$B$52*Assumptions!$B$48,0)+IF(AND(Projects!$G$13="Yes",Projects!$K$13="No",78=Projects!$C$13,Assumptions!$B$54&gt;0),Assumptions!$B$54*Assumptions!$B$48,0)+IF(AND(Projects!$G$14="Yes",Projects!$K$14="No",78=Projects!$C$14,Assumptions!$B$55&gt;0),Assumptions!$B$55*Assumptions!$B$48,0)),Actuals!CE108)</f>
        <v/>
      </c>
      <c r="CE198" s="392">
        <f>IF(ISBLANK(Actuals!CF108),-(IF(AND(Projects!$G$7="Yes",Projects!$K$7="No",79=Projects!$C$7,Assumptions!$B$53&gt;0),Assumptions!$B$53*Assumptions!$B$48,0)+IF(AND(Projects!$G$11="Yes",Projects!$K$11="No",79=Projects!$C$11,Assumptions!$B$51&gt;0),Assumptions!$B$51*Assumptions!$B$48,0)+IF(AND(Projects!$G$12="Yes",Projects!$K$12="No",79=Projects!$C$12,Assumptions!$B$52&gt;0),Assumptions!$B$52*Assumptions!$B$48,0)+IF(AND(Projects!$G$13="Yes",Projects!$K$13="No",79=Projects!$C$13,Assumptions!$B$54&gt;0),Assumptions!$B$54*Assumptions!$B$48,0)+IF(AND(Projects!$G$14="Yes",Projects!$K$14="No",79=Projects!$C$14,Assumptions!$B$55&gt;0),Assumptions!$B$55*Assumptions!$B$48,0)),Actuals!CF108)</f>
        <v/>
      </c>
      <c r="CF198" s="392">
        <f>IF(ISBLANK(Actuals!CG108),-(IF(AND(Projects!$G$7="Yes",Projects!$K$7="No",80=Projects!$C$7,Assumptions!$B$53&gt;0),Assumptions!$B$53*Assumptions!$B$48,0)+IF(AND(Projects!$G$11="Yes",Projects!$K$11="No",80=Projects!$C$11,Assumptions!$B$51&gt;0),Assumptions!$B$51*Assumptions!$B$48,0)+IF(AND(Projects!$G$12="Yes",Projects!$K$12="No",80=Projects!$C$12,Assumptions!$B$52&gt;0),Assumptions!$B$52*Assumptions!$B$48,0)+IF(AND(Projects!$G$13="Yes",Projects!$K$13="No",80=Projects!$C$13,Assumptions!$B$54&gt;0),Assumptions!$B$54*Assumptions!$B$48,0)+IF(AND(Projects!$G$14="Yes",Projects!$K$14="No",80=Projects!$C$14,Assumptions!$B$55&gt;0),Assumptions!$B$55*Assumptions!$B$48,0)),Actuals!CG108)</f>
        <v/>
      </c>
      <c r="CG198" s="392">
        <f>IF(ISBLANK(Actuals!CH108),-(IF(AND(Projects!$G$7="Yes",Projects!$K$7="No",81=Projects!$C$7,Assumptions!$B$53&gt;0),Assumptions!$B$53*Assumptions!$B$48,0)+IF(AND(Projects!$G$11="Yes",Projects!$K$11="No",81=Projects!$C$11,Assumptions!$B$51&gt;0),Assumptions!$B$51*Assumptions!$B$48,0)+IF(AND(Projects!$G$12="Yes",Projects!$K$12="No",81=Projects!$C$12,Assumptions!$B$52&gt;0),Assumptions!$B$52*Assumptions!$B$48,0)+IF(AND(Projects!$G$13="Yes",Projects!$K$13="No",81=Projects!$C$13,Assumptions!$B$54&gt;0),Assumptions!$B$54*Assumptions!$B$48,0)+IF(AND(Projects!$G$14="Yes",Projects!$K$14="No",81=Projects!$C$14,Assumptions!$B$55&gt;0),Assumptions!$B$55*Assumptions!$B$48,0)),Actuals!CH108)</f>
        <v/>
      </c>
      <c r="CH198" s="392">
        <f>IF(ISBLANK(Actuals!CI108),-(IF(AND(Projects!$G$7="Yes",Projects!$K$7="No",82=Projects!$C$7,Assumptions!$B$53&gt;0),Assumptions!$B$53*Assumptions!$B$48,0)+IF(AND(Projects!$G$11="Yes",Projects!$K$11="No",82=Projects!$C$11,Assumptions!$B$51&gt;0),Assumptions!$B$51*Assumptions!$B$48,0)+IF(AND(Projects!$G$12="Yes",Projects!$K$12="No",82=Projects!$C$12,Assumptions!$B$52&gt;0),Assumptions!$B$52*Assumptions!$B$48,0)+IF(AND(Projects!$G$13="Yes",Projects!$K$13="No",82=Projects!$C$13,Assumptions!$B$54&gt;0),Assumptions!$B$54*Assumptions!$B$48,0)+IF(AND(Projects!$G$14="Yes",Projects!$K$14="No",82=Projects!$C$14,Assumptions!$B$55&gt;0),Assumptions!$B$55*Assumptions!$B$48,0)),Actuals!CI108)</f>
        <v/>
      </c>
      <c r="CI198" s="392">
        <f>IF(ISBLANK(Actuals!CJ108),-(IF(AND(Projects!$G$7="Yes",Projects!$K$7="No",83=Projects!$C$7,Assumptions!$B$53&gt;0),Assumptions!$B$53*Assumptions!$B$48,0)+IF(AND(Projects!$G$11="Yes",Projects!$K$11="No",83=Projects!$C$11,Assumptions!$B$51&gt;0),Assumptions!$B$51*Assumptions!$B$48,0)+IF(AND(Projects!$G$12="Yes",Projects!$K$12="No",83=Projects!$C$12,Assumptions!$B$52&gt;0),Assumptions!$B$52*Assumptions!$B$48,0)+IF(AND(Projects!$G$13="Yes",Projects!$K$13="No",83=Projects!$C$13,Assumptions!$B$54&gt;0),Assumptions!$B$54*Assumptions!$B$48,0)+IF(AND(Projects!$G$14="Yes",Projects!$K$14="No",83=Projects!$C$14,Assumptions!$B$55&gt;0),Assumptions!$B$55*Assumptions!$B$48,0)),Actuals!CJ108)</f>
        <v/>
      </c>
      <c r="CJ198" s="392">
        <f>IF(ISBLANK(Actuals!CK108),-(IF(AND(Projects!$G$7="Yes",Projects!$K$7="No",84=Projects!$C$7,Assumptions!$B$53&gt;0),Assumptions!$B$53*Assumptions!$B$48,0)+IF(AND(Projects!$G$11="Yes",Projects!$K$11="No",84=Projects!$C$11,Assumptions!$B$51&gt;0),Assumptions!$B$51*Assumptions!$B$48,0)+IF(AND(Projects!$G$12="Yes",Projects!$K$12="No",84=Projects!$C$12,Assumptions!$B$52&gt;0),Assumptions!$B$52*Assumptions!$B$48,0)+IF(AND(Projects!$G$13="Yes",Projects!$K$13="No",84=Projects!$C$13,Assumptions!$B$54&gt;0),Assumptions!$B$54*Assumptions!$B$48,0)+IF(AND(Projects!$G$14="Yes",Projects!$K$14="No",84=Projects!$C$14,Assumptions!$B$55&gt;0),Assumptions!$B$55*Assumptions!$B$48,0)),Actuals!CK108)</f>
        <v/>
      </c>
      <c r="CK198" s="392">
        <f>IF(ISBLANK(Actuals!CL108),-(IF(AND(Projects!$G$7="Yes",Projects!$K$7="No",85=Projects!$C$7,Assumptions!$B$53&gt;0),Assumptions!$B$53*Assumptions!$B$48,0)+IF(AND(Projects!$G$11="Yes",Projects!$K$11="No",85=Projects!$C$11,Assumptions!$B$51&gt;0),Assumptions!$B$51*Assumptions!$B$48,0)+IF(AND(Projects!$G$12="Yes",Projects!$K$12="No",85=Projects!$C$12,Assumptions!$B$52&gt;0),Assumptions!$B$52*Assumptions!$B$48,0)+IF(AND(Projects!$G$13="Yes",Projects!$K$13="No",85=Projects!$C$13,Assumptions!$B$54&gt;0),Assumptions!$B$54*Assumptions!$B$48,0)+IF(AND(Projects!$G$14="Yes",Projects!$K$14="No",85=Projects!$C$14,Assumptions!$B$55&gt;0),Assumptions!$B$55*Assumptions!$B$48,0)),Actuals!CL108)</f>
        <v/>
      </c>
      <c r="CL198" s="392">
        <f>IF(ISBLANK(Actuals!CM108),-(IF(AND(Projects!$G$7="Yes",Projects!$K$7="No",86=Projects!$C$7,Assumptions!$B$53&gt;0),Assumptions!$B$53*Assumptions!$B$48,0)+IF(AND(Projects!$G$11="Yes",Projects!$K$11="No",86=Projects!$C$11,Assumptions!$B$51&gt;0),Assumptions!$B$51*Assumptions!$B$48,0)+IF(AND(Projects!$G$12="Yes",Projects!$K$12="No",86=Projects!$C$12,Assumptions!$B$52&gt;0),Assumptions!$B$52*Assumptions!$B$48,0)+IF(AND(Projects!$G$13="Yes",Projects!$K$13="No",86=Projects!$C$13,Assumptions!$B$54&gt;0),Assumptions!$B$54*Assumptions!$B$48,0)+IF(AND(Projects!$G$14="Yes",Projects!$K$14="No",86=Projects!$C$14,Assumptions!$B$55&gt;0),Assumptions!$B$55*Assumptions!$B$48,0)),Actuals!CM108)</f>
        <v/>
      </c>
      <c r="CM198" s="392">
        <f>IF(ISBLANK(Actuals!CN108),-(IF(AND(Projects!$G$7="Yes",Projects!$K$7="No",87=Projects!$C$7,Assumptions!$B$53&gt;0),Assumptions!$B$53*Assumptions!$B$48,0)+IF(AND(Projects!$G$11="Yes",Projects!$K$11="No",87=Projects!$C$11,Assumptions!$B$51&gt;0),Assumptions!$B$51*Assumptions!$B$48,0)+IF(AND(Projects!$G$12="Yes",Projects!$K$12="No",87=Projects!$C$12,Assumptions!$B$52&gt;0),Assumptions!$B$52*Assumptions!$B$48,0)+IF(AND(Projects!$G$13="Yes",Projects!$K$13="No",87=Projects!$C$13,Assumptions!$B$54&gt;0),Assumptions!$B$54*Assumptions!$B$48,0)+IF(AND(Projects!$G$14="Yes",Projects!$K$14="No",87=Projects!$C$14,Assumptions!$B$55&gt;0),Assumptions!$B$55*Assumptions!$B$48,0)),Actuals!CN108)</f>
        <v/>
      </c>
      <c r="CN198" s="392">
        <f>IF(ISBLANK(Actuals!CO108),-(IF(AND(Projects!$G$7="Yes",Projects!$K$7="No",88=Projects!$C$7,Assumptions!$B$53&gt;0),Assumptions!$B$53*Assumptions!$B$48,0)+IF(AND(Projects!$G$11="Yes",Projects!$K$11="No",88=Projects!$C$11,Assumptions!$B$51&gt;0),Assumptions!$B$51*Assumptions!$B$48,0)+IF(AND(Projects!$G$12="Yes",Projects!$K$12="No",88=Projects!$C$12,Assumptions!$B$52&gt;0),Assumptions!$B$52*Assumptions!$B$48,0)+IF(AND(Projects!$G$13="Yes",Projects!$K$13="No",88=Projects!$C$13,Assumptions!$B$54&gt;0),Assumptions!$B$54*Assumptions!$B$48,0)+IF(AND(Projects!$G$14="Yes",Projects!$K$14="No",88=Projects!$C$14,Assumptions!$B$55&gt;0),Assumptions!$B$55*Assumptions!$B$48,0)),Actuals!CO108)</f>
        <v/>
      </c>
      <c r="CO198" s="392">
        <f>IF(ISBLANK(Actuals!CP108),-(IF(AND(Projects!$G$7="Yes",Projects!$K$7="No",89=Projects!$C$7,Assumptions!$B$53&gt;0),Assumptions!$B$53*Assumptions!$B$48,0)+IF(AND(Projects!$G$11="Yes",Projects!$K$11="No",89=Projects!$C$11,Assumptions!$B$51&gt;0),Assumptions!$B$51*Assumptions!$B$48,0)+IF(AND(Projects!$G$12="Yes",Projects!$K$12="No",89=Projects!$C$12,Assumptions!$B$52&gt;0),Assumptions!$B$52*Assumptions!$B$48,0)+IF(AND(Projects!$G$13="Yes",Projects!$K$13="No",89=Projects!$C$13,Assumptions!$B$54&gt;0),Assumptions!$B$54*Assumptions!$B$48,0)+IF(AND(Projects!$G$14="Yes",Projects!$K$14="No",89=Projects!$C$14,Assumptions!$B$55&gt;0),Assumptions!$B$55*Assumptions!$B$48,0)),Actuals!CP108)</f>
        <v/>
      </c>
      <c r="CP198" s="392">
        <f>IF(ISBLANK(Actuals!CQ108),-(IF(AND(Projects!$G$7="Yes",Projects!$K$7="No",90=Projects!$C$7,Assumptions!$B$53&gt;0),Assumptions!$B$53*Assumptions!$B$48,0)+IF(AND(Projects!$G$11="Yes",Projects!$K$11="No",90=Projects!$C$11,Assumptions!$B$51&gt;0),Assumptions!$B$51*Assumptions!$B$48,0)+IF(AND(Projects!$G$12="Yes",Projects!$K$12="No",90=Projects!$C$12,Assumptions!$B$52&gt;0),Assumptions!$B$52*Assumptions!$B$48,0)+IF(AND(Projects!$G$13="Yes",Projects!$K$13="No",90=Projects!$C$13,Assumptions!$B$54&gt;0),Assumptions!$B$54*Assumptions!$B$48,0)+IF(AND(Projects!$G$14="Yes",Projects!$K$14="No",90=Projects!$C$14,Assumptions!$B$55&gt;0),Assumptions!$B$55*Assumptions!$B$48,0)),Actuals!CQ108)</f>
        <v/>
      </c>
      <c r="CQ198" s="392">
        <f>IF(ISBLANK(Actuals!CR108),-(IF(AND(Projects!$G$7="Yes",Projects!$K$7="No",91=Projects!$C$7,Assumptions!$B$53&gt;0),Assumptions!$B$53*Assumptions!$B$48,0)+IF(AND(Projects!$G$11="Yes",Projects!$K$11="No",91=Projects!$C$11,Assumptions!$B$51&gt;0),Assumptions!$B$51*Assumptions!$B$48,0)+IF(AND(Projects!$G$12="Yes",Projects!$K$12="No",91=Projects!$C$12,Assumptions!$B$52&gt;0),Assumptions!$B$52*Assumptions!$B$48,0)+IF(AND(Projects!$G$13="Yes",Projects!$K$13="No",91=Projects!$C$13,Assumptions!$B$54&gt;0),Assumptions!$B$54*Assumptions!$B$48,0)+IF(AND(Projects!$G$14="Yes",Projects!$K$14="No",91=Projects!$C$14,Assumptions!$B$55&gt;0),Assumptions!$B$55*Assumptions!$B$48,0)),Actuals!CR108)</f>
        <v/>
      </c>
      <c r="CR198" s="392">
        <f>IF(ISBLANK(Actuals!CS108),-(IF(AND(Projects!$G$7="Yes",Projects!$K$7="No",92=Projects!$C$7,Assumptions!$B$53&gt;0),Assumptions!$B$53*Assumptions!$B$48,0)+IF(AND(Projects!$G$11="Yes",Projects!$K$11="No",92=Projects!$C$11,Assumptions!$B$51&gt;0),Assumptions!$B$51*Assumptions!$B$48,0)+IF(AND(Projects!$G$12="Yes",Projects!$K$12="No",92=Projects!$C$12,Assumptions!$B$52&gt;0),Assumptions!$B$52*Assumptions!$B$48,0)+IF(AND(Projects!$G$13="Yes",Projects!$K$13="No",92=Projects!$C$13,Assumptions!$B$54&gt;0),Assumptions!$B$54*Assumptions!$B$48,0)+IF(AND(Projects!$G$14="Yes",Projects!$K$14="No",92=Projects!$C$14,Assumptions!$B$55&gt;0),Assumptions!$B$55*Assumptions!$B$48,0)),Actuals!CS108)</f>
        <v/>
      </c>
      <c r="CS198" s="392">
        <f>IF(ISBLANK(Actuals!CT108),-(IF(AND(Projects!$G$7="Yes",Projects!$K$7="No",93=Projects!$C$7,Assumptions!$B$53&gt;0),Assumptions!$B$53*Assumptions!$B$48,0)+IF(AND(Projects!$G$11="Yes",Projects!$K$11="No",93=Projects!$C$11,Assumptions!$B$51&gt;0),Assumptions!$B$51*Assumptions!$B$48,0)+IF(AND(Projects!$G$12="Yes",Projects!$K$12="No",93=Projects!$C$12,Assumptions!$B$52&gt;0),Assumptions!$B$52*Assumptions!$B$48,0)+IF(AND(Projects!$G$13="Yes",Projects!$K$13="No",93=Projects!$C$13,Assumptions!$B$54&gt;0),Assumptions!$B$54*Assumptions!$B$48,0)+IF(AND(Projects!$G$14="Yes",Projects!$K$14="No",93=Projects!$C$14,Assumptions!$B$55&gt;0),Assumptions!$B$55*Assumptions!$B$48,0)),Actuals!CT108)</f>
        <v/>
      </c>
      <c r="CT198" s="392">
        <f>IF(ISBLANK(Actuals!CU108),-(IF(AND(Projects!$G$7="Yes",Projects!$K$7="No",94=Projects!$C$7,Assumptions!$B$53&gt;0),Assumptions!$B$53*Assumptions!$B$48,0)+IF(AND(Projects!$G$11="Yes",Projects!$K$11="No",94=Projects!$C$11,Assumptions!$B$51&gt;0),Assumptions!$B$51*Assumptions!$B$48,0)+IF(AND(Projects!$G$12="Yes",Projects!$K$12="No",94=Projects!$C$12,Assumptions!$B$52&gt;0),Assumptions!$B$52*Assumptions!$B$48,0)+IF(AND(Projects!$G$13="Yes",Projects!$K$13="No",94=Projects!$C$13,Assumptions!$B$54&gt;0),Assumptions!$B$54*Assumptions!$B$48,0)+IF(AND(Projects!$G$14="Yes",Projects!$K$14="No",94=Projects!$C$14,Assumptions!$B$55&gt;0),Assumptions!$B$55*Assumptions!$B$48,0)),Actuals!CU108)</f>
        <v/>
      </c>
      <c r="CU198" s="392">
        <f>IF(ISBLANK(Actuals!CV108),-(IF(AND(Projects!$G$7="Yes",Projects!$K$7="No",95=Projects!$C$7,Assumptions!$B$53&gt;0),Assumptions!$B$53*Assumptions!$B$48,0)+IF(AND(Projects!$G$11="Yes",Projects!$K$11="No",95=Projects!$C$11,Assumptions!$B$51&gt;0),Assumptions!$B$51*Assumptions!$B$48,0)+IF(AND(Projects!$G$12="Yes",Projects!$K$12="No",95=Projects!$C$12,Assumptions!$B$52&gt;0),Assumptions!$B$52*Assumptions!$B$48,0)+IF(AND(Projects!$G$13="Yes",Projects!$K$13="No",95=Projects!$C$13,Assumptions!$B$54&gt;0),Assumptions!$B$54*Assumptions!$B$48,0)+IF(AND(Projects!$G$14="Yes",Projects!$K$14="No",95=Projects!$C$14,Assumptions!$B$55&gt;0),Assumptions!$B$55*Assumptions!$B$48,0)),Actuals!CV108)</f>
        <v/>
      </c>
      <c r="CV198" s="392">
        <f>IF(ISBLANK(Actuals!CW108),-(IF(AND(Projects!$G$7="Yes",Projects!$K$7="No",96=Projects!$C$7,Assumptions!$B$53&gt;0),Assumptions!$B$53*Assumptions!$B$48,0)+IF(AND(Projects!$G$11="Yes",Projects!$K$11="No",96=Projects!$C$11,Assumptions!$B$51&gt;0),Assumptions!$B$51*Assumptions!$B$48,0)+IF(AND(Projects!$G$12="Yes",Projects!$K$12="No",96=Projects!$C$12,Assumptions!$B$52&gt;0),Assumptions!$B$52*Assumptions!$B$48,0)+IF(AND(Projects!$G$13="Yes",Projects!$K$13="No",96=Projects!$C$13,Assumptions!$B$54&gt;0),Assumptions!$B$54*Assumptions!$B$48,0)+IF(AND(Projects!$G$14="Yes",Projects!$K$14="No",96=Projects!$C$14,Assumptions!$B$55&gt;0),Assumptions!$B$55*Assumptions!$B$48,0)),Actuals!CW108)</f>
        <v/>
      </c>
      <c r="CW198" s="392">
        <f>IF(ISBLANK(Actuals!CX108),-(IF(AND(Projects!$G$7="Yes",Projects!$K$7="No",97=Projects!$C$7,Assumptions!$B$53&gt;0),Assumptions!$B$53*Assumptions!$B$48,0)+IF(AND(Projects!$G$11="Yes",Projects!$K$11="No",97=Projects!$C$11,Assumptions!$B$51&gt;0),Assumptions!$B$51*Assumptions!$B$48,0)+IF(AND(Projects!$G$12="Yes",Projects!$K$12="No",97=Projects!$C$12,Assumptions!$B$52&gt;0),Assumptions!$B$52*Assumptions!$B$48,0)+IF(AND(Projects!$G$13="Yes",Projects!$K$13="No",97=Projects!$C$13,Assumptions!$B$54&gt;0),Assumptions!$B$54*Assumptions!$B$48,0)+IF(AND(Projects!$G$14="Yes",Projects!$K$14="No",97=Projects!$C$14,Assumptions!$B$55&gt;0),Assumptions!$B$55*Assumptions!$B$48,0)),Actuals!CX108)</f>
        <v/>
      </c>
      <c r="CX198" s="392">
        <f>IF(ISBLANK(Actuals!CY108),-(IF(AND(Projects!$G$7="Yes",Projects!$K$7="No",98=Projects!$C$7,Assumptions!$B$53&gt;0),Assumptions!$B$53*Assumptions!$B$48,0)+IF(AND(Projects!$G$11="Yes",Projects!$K$11="No",98=Projects!$C$11,Assumptions!$B$51&gt;0),Assumptions!$B$51*Assumptions!$B$48,0)+IF(AND(Projects!$G$12="Yes",Projects!$K$12="No",98=Projects!$C$12,Assumptions!$B$52&gt;0),Assumptions!$B$52*Assumptions!$B$48,0)+IF(AND(Projects!$G$13="Yes",Projects!$K$13="No",98=Projects!$C$13,Assumptions!$B$54&gt;0),Assumptions!$B$54*Assumptions!$B$48,0)+IF(AND(Projects!$G$14="Yes",Projects!$K$14="No",98=Projects!$C$14,Assumptions!$B$55&gt;0),Assumptions!$B$55*Assumptions!$B$48,0)),Actuals!CY108)</f>
        <v/>
      </c>
      <c r="CY198" s="392">
        <f>IF(ISBLANK(Actuals!CZ108),-(IF(AND(Projects!$G$7="Yes",Projects!$K$7="No",99=Projects!$C$7,Assumptions!$B$53&gt;0),Assumptions!$B$53*Assumptions!$B$48,0)+IF(AND(Projects!$G$11="Yes",Projects!$K$11="No",99=Projects!$C$11,Assumptions!$B$51&gt;0),Assumptions!$B$51*Assumptions!$B$48,0)+IF(AND(Projects!$G$12="Yes",Projects!$K$12="No",99=Projects!$C$12,Assumptions!$B$52&gt;0),Assumptions!$B$52*Assumptions!$B$48,0)+IF(AND(Projects!$G$13="Yes",Projects!$K$13="No",99=Projects!$C$13,Assumptions!$B$54&gt;0),Assumptions!$B$54*Assumptions!$B$48,0)+IF(AND(Projects!$G$14="Yes",Projects!$K$14="No",99=Projects!$C$14,Assumptions!$B$55&gt;0),Assumptions!$B$55*Assumptions!$B$48,0)),Actuals!CZ108)</f>
        <v/>
      </c>
      <c r="CZ198" s="392">
        <f>IF(ISBLANK(Actuals!DA108),-(IF(AND(Projects!$G$7="Yes",Projects!$K$7="No",100=Projects!$C$7,Assumptions!$B$53&gt;0),Assumptions!$B$53*Assumptions!$B$48,0)+IF(AND(Projects!$G$11="Yes",Projects!$K$11="No",100=Projects!$C$11,Assumptions!$B$51&gt;0),Assumptions!$B$51*Assumptions!$B$48,0)+IF(AND(Projects!$G$12="Yes",Projects!$K$12="No",100=Projects!$C$12,Assumptions!$B$52&gt;0),Assumptions!$B$52*Assumptions!$B$48,0)+IF(AND(Projects!$G$13="Yes",Projects!$K$13="No",100=Projects!$C$13,Assumptions!$B$54&gt;0),Assumptions!$B$54*Assumptions!$B$48,0)+IF(AND(Projects!$G$14="Yes",Projects!$K$14="No",100=Projects!$C$14,Assumptions!$B$55&gt;0),Assumptions!$B$55*Assumptions!$B$48,0)),Actuals!DA108)</f>
        <v/>
      </c>
      <c r="DA198" s="392">
        <f>IF(ISBLANK(Actuals!DB108),-(IF(AND(Projects!$G$7="Yes",Projects!$K$7="No",101=Projects!$C$7,Assumptions!$B$53&gt;0),Assumptions!$B$53*Assumptions!$B$48,0)+IF(AND(Projects!$G$11="Yes",Projects!$K$11="No",101=Projects!$C$11,Assumptions!$B$51&gt;0),Assumptions!$B$51*Assumptions!$B$48,0)+IF(AND(Projects!$G$12="Yes",Projects!$K$12="No",101=Projects!$C$12,Assumptions!$B$52&gt;0),Assumptions!$B$52*Assumptions!$B$48,0)+IF(AND(Projects!$G$13="Yes",Projects!$K$13="No",101=Projects!$C$13,Assumptions!$B$54&gt;0),Assumptions!$B$54*Assumptions!$B$48,0)+IF(AND(Projects!$G$14="Yes",Projects!$K$14="No",101=Projects!$C$14,Assumptions!$B$55&gt;0),Assumptions!$B$55*Assumptions!$B$48,0)),Actuals!DB108)</f>
        <v/>
      </c>
      <c r="DB198" s="392">
        <f>IF(ISBLANK(Actuals!DC108),-(IF(AND(Projects!$G$7="Yes",Projects!$K$7="No",102=Projects!$C$7,Assumptions!$B$53&gt;0),Assumptions!$B$53*Assumptions!$B$48,0)+IF(AND(Projects!$G$11="Yes",Projects!$K$11="No",102=Projects!$C$11,Assumptions!$B$51&gt;0),Assumptions!$B$51*Assumptions!$B$48,0)+IF(AND(Projects!$G$12="Yes",Projects!$K$12="No",102=Projects!$C$12,Assumptions!$B$52&gt;0),Assumptions!$B$52*Assumptions!$B$48,0)+IF(AND(Projects!$G$13="Yes",Projects!$K$13="No",102=Projects!$C$13,Assumptions!$B$54&gt;0),Assumptions!$B$54*Assumptions!$B$48,0)+IF(AND(Projects!$G$14="Yes",Projects!$K$14="No",102=Projects!$C$14,Assumptions!$B$55&gt;0),Assumptions!$B$55*Assumptions!$B$48,0)),Actuals!DC108)</f>
        <v/>
      </c>
      <c r="DC198" s="392">
        <f>IF(ISBLANK(Actuals!DD108),-(IF(AND(Projects!$G$7="Yes",Projects!$K$7="No",103=Projects!$C$7,Assumptions!$B$53&gt;0),Assumptions!$B$53*Assumptions!$B$48,0)+IF(AND(Projects!$G$11="Yes",Projects!$K$11="No",103=Projects!$C$11,Assumptions!$B$51&gt;0),Assumptions!$B$51*Assumptions!$B$48,0)+IF(AND(Projects!$G$12="Yes",Projects!$K$12="No",103=Projects!$C$12,Assumptions!$B$52&gt;0),Assumptions!$B$52*Assumptions!$B$48,0)+IF(AND(Projects!$G$13="Yes",Projects!$K$13="No",103=Projects!$C$13,Assumptions!$B$54&gt;0),Assumptions!$B$54*Assumptions!$B$48,0)+IF(AND(Projects!$G$14="Yes",Projects!$K$14="No",103=Projects!$C$14,Assumptions!$B$55&gt;0),Assumptions!$B$55*Assumptions!$B$48,0)),Actuals!DD108)</f>
        <v/>
      </c>
      <c r="DD198" s="392">
        <f>IF(ISBLANK(Actuals!DE108),-(IF(AND(Projects!$G$7="Yes",Projects!$K$7="No",104=Projects!$C$7,Assumptions!$B$53&gt;0),Assumptions!$B$53*Assumptions!$B$48,0)+IF(AND(Projects!$G$11="Yes",Projects!$K$11="No",104=Projects!$C$11,Assumptions!$B$51&gt;0),Assumptions!$B$51*Assumptions!$B$48,0)+IF(AND(Projects!$G$12="Yes",Projects!$K$12="No",104=Projects!$C$12,Assumptions!$B$52&gt;0),Assumptions!$B$52*Assumptions!$B$48,0)+IF(AND(Projects!$G$13="Yes",Projects!$K$13="No",104=Projects!$C$13,Assumptions!$B$54&gt;0),Assumptions!$B$54*Assumptions!$B$48,0)+IF(AND(Projects!$G$14="Yes",Projects!$K$14="No",104=Projects!$C$14,Assumptions!$B$55&gt;0),Assumptions!$B$55*Assumptions!$B$48,0)),Actuals!DE108)</f>
        <v/>
      </c>
      <c r="DE198" s="392">
        <f>IF(ISBLANK(Actuals!DF108),-(IF(AND(Projects!$G$7="Yes",Projects!$K$7="No",105=Projects!$C$7,Assumptions!$B$53&gt;0),Assumptions!$B$53*Assumptions!$B$48,0)+IF(AND(Projects!$G$11="Yes",Projects!$K$11="No",105=Projects!$C$11,Assumptions!$B$51&gt;0),Assumptions!$B$51*Assumptions!$B$48,0)+IF(AND(Projects!$G$12="Yes",Projects!$K$12="No",105=Projects!$C$12,Assumptions!$B$52&gt;0),Assumptions!$B$52*Assumptions!$B$48,0)+IF(AND(Projects!$G$13="Yes",Projects!$K$13="No",105=Projects!$C$13,Assumptions!$B$54&gt;0),Assumptions!$B$54*Assumptions!$B$48,0)+IF(AND(Projects!$G$14="Yes",Projects!$K$14="No",105=Projects!$C$14,Assumptions!$B$55&gt;0),Assumptions!$B$55*Assumptions!$B$48,0)),Actuals!DF108)</f>
        <v/>
      </c>
    </row>
    <row r="199" ht="15" customFormat="1" customHeight="1" s="380">
      <c r="A199" s="397" t="inlineStr">
        <is>
          <t>Francis Steyn Fee + PIK (from LIHTC Revenue)</t>
        </is>
      </c>
      <c r="B199" s="392">
        <f>IF(ISBLANK(Actuals!C109),0,Actuals!C109)</f>
        <v/>
      </c>
      <c r="C199" s="392">
        <f>IF(ISBLANK(Actuals!D109),0,Actuals!D109)</f>
        <v/>
      </c>
      <c r="D199" s="392">
        <f>IF(ISBLANK(Actuals!E109),0,Actuals!E109)</f>
        <v/>
      </c>
      <c r="E199" s="392">
        <f>IF(ISBLANK(Actuals!F109),-Helpers!C20,Actuals!F109)</f>
        <v/>
      </c>
      <c r="F199" s="392">
        <f>IF(ISBLANK(Actuals!G109),-Helpers!D20,Actuals!G109)</f>
        <v/>
      </c>
      <c r="G199" s="392">
        <f>IF(ISBLANK(Actuals!H109),-Helpers!E20,Actuals!H109)</f>
        <v/>
      </c>
      <c r="H199" s="392">
        <f>IF(ISBLANK(Actuals!I109),-Helpers!F20,Actuals!I109)</f>
        <v/>
      </c>
      <c r="I199" s="392">
        <f>IF(ISBLANK(Actuals!J109),-Helpers!G20,Actuals!J109)</f>
        <v/>
      </c>
      <c r="J199" s="392">
        <f>IF(ISBLANK(Actuals!K109),-Helpers!H20,Actuals!K109)</f>
        <v/>
      </c>
      <c r="K199" s="392">
        <f>IF(ISBLANK(Actuals!L109),-Helpers!I20,Actuals!L109)</f>
        <v/>
      </c>
      <c r="L199" s="392">
        <f>IF(ISBLANK(Actuals!M109),-Helpers!J20,Actuals!M109)</f>
        <v/>
      </c>
      <c r="M199" s="392">
        <f>IF(ISBLANK(Actuals!N109),-Helpers!K20,Actuals!N109)</f>
        <v/>
      </c>
      <c r="N199" s="392">
        <f>IF(ISBLANK(Actuals!O109),-Helpers!L20,Actuals!O109)</f>
        <v/>
      </c>
      <c r="O199" s="392">
        <f>IF(ISBLANK(Actuals!P109),-Helpers!M20,Actuals!P109)</f>
        <v/>
      </c>
      <c r="P199" s="392">
        <f>IF(ISBLANK(Actuals!Q109),-Helpers!N20,Actuals!Q109)</f>
        <v/>
      </c>
      <c r="Q199" s="392">
        <f>IF(ISBLANK(Actuals!R109),-Helpers!O20,Actuals!R109)</f>
        <v/>
      </c>
      <c r="R199" s="392">
        <f>IF(ISBLANK(Actuals!S109),-Helpers!P20,Actuals!S109)</f>
        <v/>
      </c>
      <c r="S199" s="392">
        <f>IF(ISBLANK(Actuals!T109),-Helpers!Q20,Actuals!T109)</f>
        <v/>
      </c>
      <c r="T199" s="392">
        <f>IF(ISBLANK(Actuals!U109),-Helpers!R20,Actuals!U109)</f>
        <v/>
      </c>
      <c r="U199" s="392">
        <f>IF(ISBLANK(Actuals!V109),-Helpers!S20,Actuals!V109)</f>
        <v/>
      </c>
      <c r="V199" s="392">
        <f>IF(ISBLANK(Actuals!W109),-Helpers!T20,Actuals!W109)</f>
        <v/>
      </c>
      <c r="W199" s="392">
        <f>IF(ISBLANK(Actuals!X109),-Helpers!U20,Actuals!X109)</f>
        <v/>
      </c>
      <c r="X199" s="392">
        <f>IF(ISBLANK(Actuals!Y109),-Helpers!V20,Actuals!Y109)</f>
        <v/>
      </c>
      <c r="Y199" s="392">
        <f>IF(ISBLANK(Actuals!Z109),-Helpers!W20,Actuals!Z109)</f>
        <v/>
      </c>
      <c r="Z199" s="392">
        <f>IF(ISBLANK(Actuals!AA109),-Helpers!X20,Actuals!AA109)</f>
        <v/>
      </c>
      <c r="AA199" s="392">
        <f>IF(ISBLANK(Actuals!AB109),-Helpers!Y20,Actuals!AB109)</f>
        <v/>
      </c>
      <c r="AB199" s="392">
        <f>IF(ISBLANK(Actuals!AC109),-Helpers!Z20,Actuals!AC109)</f>
        <v/>
      </c>
      <c r="AC199" s="392">
        <f>IF(ISBLANK(Actuals!AD109),-Helpers!AA20,Actuals!AD109)</f>
        <v/>
      </c>
      <c r="AD199" s="392">
        <f>IF(ISBLANK(Actuals!AE109),-Helpers!AB20,Actuals!AE109)</f>
        <v/>
      </c>
      <c r="AE199" s="392">
        <f>IF(ISBLANK(Actuals!AF109),-Helpers!AC20,Actuals!AF109)</f>
        <v/>
      </c>
      <c r="AF199" s="392">
        <f>IF(ISBLANK(Actuals!AG109),-Helpers!AD20,Actuals!AG109)</f>
        <v/>
      </c>
      <c r="AG199" s="392">
        <f>IF(ISBLANK(Actuals!AH109),-Helpers!AE20,Actuals!AH109)</f>
        <v/>
      </c>
      <c r="AH199" s="392">
        <f>IF(ISBLANK(Actuals!AI109),-Helpers!AF20,Actuals!AI109)</f>
        <v/>
      </c>
      <c r="AI199" s="392">
        <f>IF(ISBLANK(Actuals!AJ109),-Helpers!AG20,Actuals!AJ109)</f>
        <v/>
      </c>
      <c r="AJ199" s="392">
        <f>IF(ISBLANK(Actuals!AK109),-Helpers!AH20,Actuals!AK109)</f>
        <v/>
      </c>
      <c r="AK199" s="392">
        <f>IF(ISBLANK(Actuals!AL109),-Helpers!AI20,Actuals!AL109)</f>
        <v/>
      </c>
      <c r="AL199" s="392">
        <f>IF(ISBLANK(Actuals!AM109),-Helpers!AJ20,Actuals!AM109)</f>
        <v/>
      </c>
      <c r="AM199" s="392">
        <f>IF(ISBLANK(Actuals!AN109),-Helpers!AK20,Actuals!AN109)</f>
        <v/>
      </c>
      <c r="AN199" s="392">
        <f>IF(ISBLANK(Actuals!AO109),-Helpers!AL20,Actuals!AO109)</f>
        <v/>
      </c>
      <c r="AO199" s="392">
        <f>IF(ISBLANK(Actuals!AP109),-Helpers!AM20,Actuals!AP109)</f>
        <v/>
      </c>
      <c r="AP199" s="392">
        <f>IF(ISBLANK(Actuals!AQ109),-Helpers!AN20,Actuals!AQ109)</f>
        <v/>
      </c>
      <c r="AQ199" s="392">
        <f>IF(ISBLANK(Actuals!AR109),-Helpers!AO20,Actuals!AR109)</f>
        <v/>
      </c>
      <c r="AR199" s="392">
        <f>IF(ISBLANK(Actuals!AS109),-Helpers!AP20,Actuals!AS109)</f>
        <v/>
      </c>
      <c r="AS199" s="392">
        <f>IF(ISBLANK(Actuals!AT109),-Helpers!AQ20,Actuals!AT109)</f>
        <v/>
      </c>
      <c r="AT199" s="392">
        <f>IF(ISBLANK(Actuals!AU109),-Helpers!AR20,Actuals!AU109)</f>
        <v/>
      </c>
      <c r="AU199" s="392">
        <f>IF(ISBLANK(Actuals!AV109),-Helpers!AS20,Actuals!AV109)</f>
        <v/>
      </c>
      <c r="AV199" s="392">
        <f>IF(ISBLANK(Actuals!AW109),-Helpers!AT20,Actuals!AW109)</f>
        <v/>
      </c>
      <c r="AW199" s="392">
        <f>IF(ISBLANK(Actuals!AX109),-Helpers!AU20,Actuals!AX109)</f>
        <v/>
      </c>
      <c r="AX199" s="392">
        <f>IF(ISBLANK(Actuals!AY109),-Helpers!AV20,Actuals!AY109)</f>
        <v/>
      </c>
      <c r="AY199" s="392">
        <f>IF(ISBLANK(Actuals!AZ109),-Helpers!AW20,Actuals!AZ109)</f>
        <v/>
      </c>
      <c r="AZ199" s="392">
        <f>IF(ISBLANK(Actuals!BA109),-Helpers!AX20,Actuals!BA109)</f>
        <v/>
      </c>
      <c r="BA199" s="392">
        <f>IF(ISBLANK(Actuals!BB109),-Helpers!AY20,Actuals!BB109)</f>
        <v/>
      </c>
      <c r="BB199" s="392">
        <f>IF(ISBLANK(Actuals!BC109),-Helpers!AZ20,Actuals!BC109)</f>
        <v/>
      </c>
      <c r="BC199" s="392">
        <f>IF(ISBLANK(Actuals!BD109),-Helpers!BA20,Actuals!BD109)</f>
        <v/>
      </c>
      <c r="BD199" s="392">
        <f>IF(ISBLANK(Actuals!BE109),-Helpers!BB20,Actuals!BE109)</f>
        <v/>
      </c>
      <c r="BE199" s="392">
        <f>IF(ISBLANK(Actuals!BF109),-Helpers!BC20,Actuals!BF109)</f>
        <v/>
      </c>
      <c r="BF199" s="392">
        <f>IF(ISBLANK(Actuals!BG109),-Helpers!BD20,Actuals!BG109)</f>
        <v/>
      </c>
      <c r="BG199" s="392">
        <f>IF(ISBLANK(Actuals!BH109),-Helpers!BE20,Actuals!BH109)</f>
        <v/>
      </c>
      <c r="BH199" s="392">
        <f>IF(ISBLANK(Actuals!BI109),-Helpers!BF20,Actuals!BI109)</f>
        <v/>
      </c>
      <c r="BI199" s="392">
        <f>IF(ISBLANK(Actuals!BJ109),-Helpers!BG20,Actuals!BJ109)</f>
        <v/>
      </c>
      <c r="BJ199" s="392">
        <f>IF(ISBLANK(Actuals!BK109),-Helpers!BH20,Actuals!BK109)</f>
        <v/>
      </c>
      <c r="BK199" s="392">
        <f>IF(ISBLANK(Actuals!BL109),-Helpers!BI20,Actuals!BL109)</f>
        <v/>
      </c>
      <c r="BL199" s="392">
        <f>IF(ISBLANK(Actuals!BM109),-Helpers!BJ20,Actuals!BM109)</f>
        <v/>
      </c>
      <c r="BM199" s="392">
        <f>IF(ISBLANK(Actuals!BN109),-Helpers!BK20,Actuals!BN109)</f>
        <v/>
      </c>
      <c r="BN199" s="392">
        <f>IF(ISBLANK(Actuals!BO109),-Helpers!BL20,Actuals!BO109)</f>
        <v/>
      </c>
      <c r="BO199" s="392">
        <f>IF(ISBLANK(Actuals!BP109),-Helpers!BM20,Actuals!BP109)</f>
        <v/>
      </c>
      <c r="BP199" s="392">
        <f>IF(ISBLANK(Actuals!BQ109),-Helpers!BN20,Actuals!BQ109)</f>
        <v/>
      </c>
      <c r="BQ199" s="392">
        <f>IF(ISBLANK(Actuals!BR109),-Helpers!BO20,Actuals!BR109)</f>
        <v/>
      </c>
      <c r="BR199" s="392">
        <f>IF(ISBLANK(Actuals!BS109),-Helpers!BP20,Actuals!BS109)</f>
        <v/>
      </c>
      <c r="BS199" s="392">
        <f>IF(ISBLANK(Actuals!BT109),-Helpers!BQ20,Actuals!BT109)</f>
        <v/>
      </c>
      <c r="BT199" s="392">
        <f>IF(ISBLANK(Actuals!BU109),-Helpers!BR20,Actuals!BU109)</f>
        <v/>
      </c>
      <c r="BU199" s="392">
        <f>IF(ISBLANK(Actuals!BV109),-Helpers!BS20,Actuals!BV109)</f>
        <v/>
      </c>
      <c r="BV199" s="392">
        <f>IF(ISBLANK(Actuals!BW109),-Helpers!BT20,Actuals!BW109)</f>
        <v/>
      </c>
      <c r="BW199" s="392">
        <f>IF(ISBLANK(Actuals!BX109),-Helpers!BU20,Actuals!BX109)</f>
        <v/>
      </c>
      <c r="BX199" s="392">
        <f>IF(ISBLANK(Actuals!BY109),-Helpers!BV20,Actuals!BY109)</f>
        <v/>
      </c>
      <c r="BY199" s="392">
        <f>IF(ISBLANK(Actuals!BZ109),-Helpers!BW20,Actuals!BZ109)</f>
        <v/>
      </c>
      <c r="BZ199" s="392">
        <f>IF(ISBLANK(Actuals!CA109),-Helpers!BX20,Actuals!CA109)</f>
        <v/>
      </c>
      <c r="CA199" s="392">
        <f>IF(ISBLANK(Actuals!CB109),-Helpers!BY20,Actuals!CB109)</f>
        <v/>
      </c>
      <c r="CB199" s="392">
        <f>IF(ISBLANK(Actuals!CC109),-Helpers!BZ20,Actuals!CC109)</f>
        <v/>
      </c>
      <c r="CC199" s="392">
        <f>IF(ISBLANK(Actuals!CD109),-Helpers!CA20,Actuals!CD109)</f>
        <v/>
      </c>
      <c r="CD199" s="392">
        <f>IF(ISBLANK(Actuals!CE109),-Helpers!CB20,Actuals!CE109)</f>
        <v/>
      </c>
      <c r="CE199" s="392">
        <f>IF(ISBLANK(Actuals!CF109),-Helpers!CC20,Actuals!CF109)</f>
        <v/>
      </c>
      <c r="CF199" s="392">
        <f>IF(ISBLANK(Actuals!CG109),-Helpers!CD20,Actuals!CG109)</f>
        <v/>
      </c>
      <c r="CG199" s="392">
        <f>IF(ISBLANK(Actuals!CH109),-Helpers!CE20,Actuals!CH109)</f>
        <v/>
      </c>
      <c r="CH199" s="392">
        <f>IF(ISBLANK(Actuals!CI109),-Helpers!CF20,Actuals!CI109)</f>
        <v/>
      </c>
      <c r="CI199" s="392">
        <f>IF(ISBLANK(Actuals!CJ109),-Helpers!CG20,Actuals!CJ109)</f>
        <v/>
      </c>
      <c r="CJ199" s="392">
        <f>IF(ISBLANK(Actuals!CK109),-Helpers!CH20,Actuals!CK109)</f>
        <v/>
      </c>
      <c r="CK199" s="392">
        <f>IF(ISBLANK(Actuals!CL109),-Helpers!CI20,Actuals!CL109)</f>
        <v/>
      </c>
      <c r="CL199" s="392">
        <f>IF(ISBLANK(Actuals!CM109),-Helpers!CJ20,Actuals!CM109)</f>
        <v/>
      </c>
      <c r="CM199" s="392">
        <f>IF(ISBLANK(Actuals!CN109),-Helpers!CK20,Actuals!CN109)</f>
        <v/>
      </c>
      <c r="CN199" s="392">
        <f>IF(ISBLANK(Actuals!CO109),-Helpers!CL20,Actuals!CO109)</f>
        <v/>
      </c>
      <c r="CO199" s="392">
        <f>IF(ISBLANK(Actuals!CP109),-Helpers!CM20,Actuals!CP109)</f>
        <v/>
      </c>
      <c r="CP199" s="392">
        <f>IF(ISBLANK(Actuals!CQ109),-Helpers!CN20,Actuals!CQ109)</f>
        <v/>
      </c>
      <c r="CQ199" s="392">
        <f>IF(ISBLANK(Actuals!CR109),-Helpers!CO20,Actuals!CR109)</f>
        <v/>
      </c>
      <c r="CR199" s="392">
        <f>IF(ISBLANK(Actuals!CS109),-Helpers!CP20,Actuals!CS109)</f>
        <v/>
      </c>
      <c r="CS199" s="392">
        <f>IF(ISBLANK(Actuals!CT109),-Helpers!CQ20,Actuals!CT109)</f>
        <v/>
      </c>
      <c r="CT199" s="392">
        <f>IF(ISBLANK(Actuals!CU109),-Helpers!CR20,Actuals!CU109)</f>
        <v/>
      </c>
      <c r="CU199" s="392">
        <f>IF(ISBLANK(Actuals!CV109),-Helpers!CS20,Actuals!CV109)</f>
        <v/>
      </c>
      <c r="CV199" s="392">
        <f>IF(ISBLANK(Actuals!CW109),-Helpers!CT20,Actuals!CW109)</f>
        <v/>
      </c>
      <c r="CW199" s="392">
        <f>IF(ISBLANK(Actuals!CX109),-Helpers!CU20,Actuals!CX109)</f>
        <v/>
      </c>
      <c r="CX199" s="392">
        <f>IF(ISBLANK(Actuals!CY109),-Helpers!CV20,Actuals!CY109)</f>
        <v/>
      </c>
      <c r="CY199" s="392">
        <f>IF(ISBLANK(Actuals!CZ109),-Helpers!CW20,Actuals!CZ109)</f>
        <v/>
      </c>
      <c r="CZ199" s="392">
        <f>IF(ISBLANK(Actuals!DA109),-Helpers!CX20,Actuals!DA109)</f>
        <v/>
      </c>
      <c r="DA199" s="392">
        <f>IF(ISBLANK(Actuals!DB109),-Helpers!CY20,Actuals!DB109)</f>
        <v/>
      </c>
      <c r="DB199" s="392">
        <f>IF(ISBLANK(Actuals!DC109),-Helpers!CZ20,Actuals!DC109)</f>
        <v/>
      </c>
      <c r="DC199" s="392">
        <f>IF(ISBLANK(Actuals!DD109),-Helpers!DA20,Actuals!DD109)</f>
        <v/>
      </c>
      <c r="DD199" s="392">
        <f>IF(ISBLANK(Actuals!DE109),-Helpers!DB20,Actuals!DE109)</f>
        <v/>
      </c>
      <c r="DE199" s="392">
        <f>IF(ISBLANK(Actuals!DF109),-Helpers!DC20,Actuals!DF109)</f>
        <v/>
      </c>
    </row>
    <row r="200" ht="15" customFormat="1" customHeight="1" s="380">
      <c r="A200" s="397" t="inlineStr">
        <is>
          <t>Reseda Steyn Fee + PIK (from LIHTC Revenue)</t>
        </is>
      </c>
      <c r="B200" s="392">
        <f>IF(ISBLANK(Actuals!C110),0,Actuals!C110)</f>
        <v/>
      </c>
      <c r="C200" s="392">
        <f>IF(ISBLANK(Actuals!D110),0,Actuals!D110)</f>
        <v/>
      </c>
      <c r="D200" s="392">
        <f>IF(ISBLANK(Actuals!E110),0,Actuals!E110)</f>
        <v/>
      </c>
      <c r="E200" s="392">
        <f>IF(ISBLANK(Actuals!F110),-Helpers!C23+E248,Actuals!F110)</f>
        <v/>
      </c>
      <c r="F200" s="392">
        <f>IF(ISBLANK(Actuals!G110),-Helpers!D23+F248,Actuals!G110)</f>
        <v/>
      </c>
      <c r="G200" s="392">
        <f>IF(ISBLANK(Actuals!H110),-Helpers!E23+G248,Actuals!H110)</f>
        <v/>
      </c>
      <c r="H200" s="392">
        <f>IF(ISBLANK(Actuals!I110),-Helpers!F23+H248,Actuals!I110)</f>
        <v/>
      </c>
      <c r="I200" s="392">
        <f>IF(ISBLANK(Actuals!J110),-Helpers!G23+I248,Actuals!J110)</f>
        <v/>
      </c>
      <c r="J200" s="392">
        <f>IF(ISBLANK(Actuals!K110),-Helpers!H23+J248,Actuals!K110)</f>
        <v/>
      </c>
      <c r="K200" s="392">
        <f>IF(ISBLANK(Actuals!L110),-Helpers!I23+K248,Actuals!L110)</f>
        <v/>
      </c>
      <c r="L200" s="392">
        <f>IF(ISBLANK(Actuals!M110),-Helpers!J23+L248,Actuals!M110)</f>
        <v/>
      </c>
      <c r="M200" s="392">
        <f>IF(ISBLANK(Actuals!N110),-Helpers!K23+M248,Actuals!N110)</f>
        <v/>
      </c>
      <c r="N200" s="392">
        <f>IF(ISBLANK(Actuals!O110),-Helpers!L23+N248,Actuals!O110)</f>
        <v/>
      </c>
      <c r="O200" s="392">
        <f>IF(ISBLANK(Actuals!P110),-Helpers!M23+O248,Actuals!P110)</f>
        <v/>
      </c>
      <c r="P200" s="392">
        <f>IF(ISBLANK(Actuals!Q110),-Helpers!N23+P248,Actuals!Q110)</f>
        <v/>
      </c>
      <c r="Q200" s="392">
        <f>IF(ISBLANK(Actuals!R110),-Helpers!O23+Q248,Actuals!R110)</f>
        <v/>
      </c>
      <c r="R200" s="392">
        <f>IF(ISBLANK(Actuals!S110),-Helpers!P23+R248,Actuals!S110)</f>
        <v/>
      </c>
      <c r="S200" s="392">
        <f>IF(ISBLANK(Actuals!T110),-Helpers!Q23+S248,Actuals!T110)</f>
        <v/>
      </c>
      <c r="T200" s="392">
        <f>IF(ISBLANK(Actuals!U110),-Helpers!R23+T248,Actuals!U110)</f>
        <v/>
      </c>
      <c r="U200" s="392">
        <f>IF(ISBLANK(Actuals!V110),-Helpers!S23+U248,Actuals!V110)</f>
        <v/>
      </c>
      <c r="V200" s="392">
        <f>IF(ISBLANK(Actuals!W110),-Helpers!T23+V248,Actuals!W110)</f>
        <v/>
      </c>
      <c r="W200" s="392">
        <f>IF(ISBLANK(Actuals!X110),-Helpers!U23+W248,Actuals!X110)</f>
        <v/>
      </c>
      <c r="X200" s="392">
        <f>IF(ISBLANK(Actuals!Y110),-Helpers!V23+X248,Actuals!Y110)</f>
        <v/>
      </c>
      <c r="Y200" s="392">
        <f>IF(ISBLANK(Actuals!Z110),-Helpers!W23+Y248,Actuals!Z110)</f>
        <v/>
      </c>
      <c r="Z200" s="392">
        <f>IF(ISBLANK(Actuals!AA110),-Helpers!X23+Z248,Actuals!AA110)</f>
        <v/>
      </c>
      <c r="AA200" s="392">
        <f>IF(ISBLANK(Actuals!AB110),-Helpers!Y23+AA248,Actuals!AB110)</f>
        <v/>
      </c>
      <c r="AB200" s="392">
        <f>IF(ISBLANK(Actuals!AC110),-Helpers!Z23+AB248,Actuals!AC110)</f>
        <v/>
      </c>
      <c r="AC200" s="392">
        <f>IF(ISBLANK(Actuals!AD110),-Helpers!AA23+AC248,Actuals!AD110)</f>
        <v/>
      </c>
      <c r="AD200" s="392">
        <f>IF(ISBLANK(Actuals!AE110),-Helpers!AB23+AD248,Actuals!AE110)</f>
        <v/>
      </c>
      <c r="AE200" s="392">
        <f>IF(ISBLANK(Actuals!AF110),-Helpers!AC23+AE248,Actuals!AF110)</f>
        <v/>
      </c>
      <c r="AF200" s="392">
        <f>IF(ISBLANK(Actuals!AG110),-Helpers!AD23+AF248,Actuals!AG110)</f>
        <v/>
      </c>
      <c r="AG200" s="392">
        <f>IF(ISBLANK(Actuals!AH110),-Helpers!AE23+AG248,Actuals!AH110)</f>
        <v/>
      </c>
      <c r="AH200" s="392">
        <f>IF(ISBLANK(Actuals!AI110),-Helpers!AF23+AH248,Actuals!AI110)</f>
        <v/>
      </c>
      <c r="AI200" s="392">
        <f>IF(ISBLANK(Actuals!AJ110),-Helpers!AG23+AI248,Actuals!AJ110)</f>
        <v/>
      </c>
      <c r="AJ200" s="392">
        <f>IF(ISBLANK(Actuals!AK110),-Helpers!AH23+AJ248,Actuals!AK110)</f>
        <v/>
      </c>
      <c r="AK200" s="392">
        <f>IF(ISBLANK(Actuals!AL110),-Helpers!AI23+AK248,Actuals!AL110)</f>
        <v/>
      </c>
      <c r="AL200" s="392">
        <f>IF(ISBLANK(Actuals!AM110),-Helpers!AJ23+AL248,Actuals!AM110)</f>
        <v/>
      </c>
      <c r="AM200" s="392">
        <f>IF(ISBLANK(Actuals!AN110),-Helpers!AK23+AM248,Actuals!AN110)</f>
        <v/>
      </c>
      <c r="AN200" s="392">
        <f>IF(ISBLANK(Actuals!AO110),-Helpers!AL23+AN248,Actuals!AO110)</f>
        <v/>
      </c>
      <c r="AO200" s="392">
        <f>IF(ISBLANK(Actuals!AP110),-Helpers!AM23+AO248,Actuals!AP110)</f>
        <v/>
      </c>
      <c r="AP200" s="392">
        <f>IF(ISBLANK(Actuals!AQ110),-Helpers!AN23+AP248,Actuals!AQ110)</f>
        <v/>
      </c>
      <c r="AQ200" s="392">
        <f>IF(ISBLANK(Actuals!AR110),-Helpers!AO23+AQ248,Actuals!AR110)</f>
        <v/>
      </c>
      <c r="AR200" s="392">
        <f>IF(ISBLANK(Actuals!AS110),-Helpers!AP23+AR248,Actuals!AS110)</f>
        <v/>
      </c>
      <c r="AS200" s="392">
        <f>IF(ISBLANK(Actuals!AT110),-Helpers!AQ23+AS248,Actuals!AT110)</f>
        <v/>
      </c>
      <c r="AT200" s="392">
        <f>IF(ISBLANK(Actuals!AU110),-Helpers!AR23+AT248,Actuals!AU110)</f>
        <v/>
      </c>
      <c r="AU200" s="392">
        <f>IF(ISBLANK(Actuals!AV110),-Helpers!AS23+AU248,Actuals!AV110)</f>
        <v/>
      </c>
      <c r="AV200" s="392">
        <f>IF(ISBLANK(Actuals!AW110),-Helpers!AT23+AV248,Actuals!AW110)</f>
        <v/>
      </c>
      <c r="AW200" s="392">
        <f>IF(ISBLANK(Actuals!AX110),-Helpers!AU23+AW248,Actuals!AX110)</f>
        <v/>
      </c>
      <c r="AX200" s="392">
        <f>IF(ISBLANK(Actuals!AY110),-Helpers!AV23+AX248,Actuals!AY110)</f>
        <v/>
      </c>
      <c r="AY200" s="392">
        <f>IF(ISBLANK(Actuals!AZ110),-Helpers!AW23+AY248,Actuals!AZ110)</f>
        <v/>
      </c>
      <c r="AZ200" s="392">
        <f>IF(ISBLANK(Actuals!BA110),-Helpers!AX23+AZ248,Actuals!BA110)</f>
        <v/>
      </c>
      <c r="BA200" s="392">
        <f>IF(ISBLANK(Actuals!BB110),-Helpers!AY23+BA248,Actuals!BB110)</f>
        <v/>
      </c>
      <c r="BB200" s="392">
        <f>IF(ISBLANK(Actuals!BC110),-Helpers!AZ23+BB248,Actuals!BC110)</f>
        <v/>
      </c>
      <c r="BC200" s="392">
        <f>IF(ISBLANK(Actuals!BD110),-Helpers!BA23+BC248,Actuals!BD110)</f>
        <v/>
      </c>
      <c r="BD200" s="392">
        <f>IF(ISBLANK(Actuals!BE110),-Helpers!BB23+BD248,Actuals!BE110)</f>
        <v/>
      </c>
      <c r="BE200" s="392">
        <f>IF(ISBLANK(Actuals!BF110),-Helpers!BC23+BE248,Actuals!BF110)</f>
        <v/>
      </c>
      <c r="BF200" s="392">
        <f>IF(ISBLANK(Actuals!BG110),-Helpers!BD23+BF248,Actuals!BG110)</f>
        <v/>
      </c>
      <c r="BG200" s="392">
        <f>IF(ISBLANK(Actuals!BH110),-Helpers!BE23+BG248,Actuals!BH110)</f>
        <v/>
      </c>
      <c r="BH200" s="392">
        <f>IF(ISBLANK(Actuals!BI110),-Helpers!BF23+BH248,Actuals!BI110)</f>
        <v/>
      </c>
      <c r="BI200" s="392">
        <f>IF(ISBLANK(Actuals!BJ110),-Helpers!BG23+BI248,Actuals!BJ110)</f>
        <v/>
      </c>
      <c r="BJ200" s="392">
        <f>IF(ISBLANK(Actuals!BK110),-Helpers!BH23+BJ248,Actuals!BK110)</f>
        <v/>
      </c>
      <c r="BK200" s="392">
        <f>IF(ISBLANK(Actuals!BL110),-Helpers!BI23+BK248,Actuals!BL110)</f>
        <v/>
      </c>
      <c r="BL200" s="392">
        <f>IF(ISBLANK(Actuals!BM110),-Helpers!BJ23+BL248,Actuals!BM110)</f>
        <v/>
      </c>
      <c r="BM200" s="392">
        <f>IF(ISBLANK(Actuals!BN110),-Helpers!BK23+BM248,Actuals!BN110)</f>
        <v/>
      </c>
      <c r="BN200" s="392">
        <f>IF(ISBLANK(Actuals!BO110),-Helpers!BL23+BN248,Actuals!BO110)</f>
        <v/>
      </c>
      <c r="BO200" s="392">
        <f>IF(ISBLANK(Actuals!BP110),-Helpers!BM23+BO248,Actuals!BP110)</f>
        <v/>
      </c>
      <c r="BP200" s="392">
        <f>IF(ISBLANK(Actuals!BQ110),-Helpers!BN23+BP248,Actuals!BQ110)</f>
        <v/>
      </c>
      <c r="BQ200" s="392">
        <f>IF(ISBLANK(Actuals!BR110),-Helpers!BO23+BQ248,Actuals!BR110)</f>
        <v/>
      </c>
      <c r="BR200" s="392">
        <f>IF(ISBLANK(Actuals!BS110),-Helpers!BP23+BR248,Actuals!BS110)</f>
        <v/>
      </c>
      <c r="BS200" s="392">
        <f>IF(ISBLANK(Actuals!BT110),-Helpers!BQ23+BS248,Actuals!BT110)</f>
        <v/>
      </c>
      <c r="BT200" s="392">
        <f>IF(ISBLANK(Actuals!BU110),-Helpers!BR23+BT248,Actuals!BU110)</f>
        <v/>
      </c>
      <c r="BU200" s="392">
        <f>IF(ISBLANK(Actuals!BV110),-Helpers!BS23+BU248,Actuals!BV110)</f>
        <v/>
      </c>
      <c r="BV200" s="392">
        <f>IF(ISBLANK(Actuals!BW110),-Helpers!BT23+BV248,Actuals!BW110)</f>
        <v/>
      </c>
      <c r="BW200" s="392">
        <f>IF(ISBLANK(Actuals!BX110),-Helpers!BU23+BW248,Actuals!BX110)</f>
        <v/>
      </c>
      <c r="BX200" s="392">
        <f>IF(ISBLANK(Actuals!BY110),-Helpers!BV23+BX248,Actuals!BY110)</f>
        <v/>
      </c>
      <c r="BY200" s="392">
        <f>IF(ISBLANK(Actuals!BZ110),-Helpers!BW23+BY248,Actuals!BZ110)</f>
        <v/>
      </c>
      <c r="BZ200" s="392">
        <f>IF(ISBLANK(Actuals!CA110),-Helpers!BX23+BZ248,Actuals!CA110)</f>
        <v/>
      </c>
      <c r="CA200" s="392">
        <f>IF(ISBLANK(Actuals!CB110),-Helpers!BY23+CA248,Actuals!CB110)</f>
        <v/>
      </c>
      <c r="CB200" s="392">
        <f>IF(ISBLANK(Actuals!CC110),-Helpers!BZ23+CB248,Actuals!CC110)</f>
        <v/>
      </c>
      <c r="CC200" s="392">
        <f>IF(ISBLANK(Actuals!CD110),-Helpers!CA23+CC248,Actuals!CD110)</f>
        <v/>
      </c>
      <c r="CD200" s="392">
        <f>IF(ISBLANK(Actuals!CE110),-Helpers!CB23+CD248,Actuals!CE110)</f>
        <v/>
      </c>
      <c r="CE200" s="392">
        <f>IF(ISBLANK(Actuals!CF110),-Helpers!CC23+CE248,Actuals!CF110)</f>
        <v/>
      </c>
      <c r="CF200" s="392">
        <f>IF(ISBLANK(Actuals!CG110),-Helpers!CD23+CF248,Actuals!CG110)</f>
        <v/>
      </c>
      <c r="CG200" s="392">
        <f>IF(ISBLANK(Actuals!CH110),-Helpers!CE23+CG248,Actuals!CH110)</f>
        <v/>
      </c>
      <c r="CH200" s="392">
        <f>IF(ISBLANK(Actuals!CI110),-Helpers!CF23+CH248,Actuals!CI110)</f>
        <v/>
      </c>
      <c r="CI200" s="392">
        <f>IF(ISBLANK(Actuals!CJ110),-Helpers!CG23+CI248,Actuals!CJ110)</f>
        <v/>
      </c>
      <c r="CJ200" s="392">
        <f>IF(ISBLANK(Actuals!CK110),-Helpers!CH23+CJ248,Actuals!CK110)</f>
        <v/>
      </c>
      <c r="CK200" s="392">
        <f>IF(ISBLANK(Actuals!CL110),-Helpers!CI23+CK248,Actuals!CL110)</f>
        <v/>
      </c>
      <c r="CL200" s="392">
        <f>IF(ISBLANK(Actuals!CM110),-Helpers!CJ23+CL248,Actuals!CM110)</f>
        <v/>
      </c>
      <c r="CM200" s="392">
        <f>IF(ISBLANK(Actuals!CN110),-Helpers!CK23+CM248,Actuals!CN110)</f>
        <v/>
      </c>
      <c r="CN200" s="392">
        <f>IF(ISBLANK(Actuals!CO110),-Helpers!CL23+CN248,Actuals!CO110)</f>
        <v/>
      </c>
      <c r="CO200" s="392">
        <f>IF(ISBLANK(Actuals!CP110),-Helpers!CM23+CO248,Actuals!CP110)</f>
        <v/>
      </c>
      <c r="CP200" s="392">
        <f>IF(ISBLANK(Actuals!CQ110),-Helpers!CN23+CP248,Actuals!CQ110)</f>
        <v/>
      </c>
      <c r="CQ200" s="392">
        <f>IF(ISBLANK(Actuals!CR110),-Helpers!CO23+CQ248,Actuals!CR110)</f>
        <v/>
      </c>
      <c r="CR200" s="392">
        <f>IF(ISBLANK(Actuals!CS110),-Helpers!CP23+CR248,Actuals!CS110)</f>
        <v/>
      </c>
      <c r="CS200" s="392">
        <f>IF(ISBLANK(Actuals!CT110),-Helpers!CQ23+CS248,Actuals!CT110)</f>
        <v/>
      </c>
      <c r="CT200" s="392">
        <f>IF(ISBLANK(Actuals!CU110),-Helpers!CR23+CT248,Actuals!CU110)</f>
        <v/>
      </c>
      <c r="CU200" s="392">
        <f>IF(ISBLANK(Actuals!CV110),-Helpers!CS23+CU248,Actuals!CV110)</f>
        <v/>
      </c>
      <c r="CV200" s="392">
        <f>IF(ISBLANK(Actuals!CW110),-Helpers!CT23+CV248,Actuals!CW110)</f>
        <v/>
      </c>
      <c r="CW200" s="392">
        <f>IF(ISBLANK(Actuals!CX110),-Helpers!CU23+CW248,Actuals!CX110)</f>
        <v/>
      </c>
      <c r="CX200" s="392">
        <f>IF(ISBLANK(Actuals!CY110),-Helpers!CV23+CX248,Actuals!CY110)</f>
        <v/>
      </c>
      <c r="CY200" s="392">
        <f>IF(ISBLANK(Actuals!CZ110),-Helpers!CW23+CY248,Actuals!CZ110)</f>
        <v/>
      </c>
      <c r="CZ200" s="392">
        <f>IF(ISBLANK(Actuals!DA110),-Helpers!CX23+CZ248,Actuals!DA110)</f>
        <v/>
      </c>
      <c r="DA200" s="392">
        <f>IF(ISBLANK(Actuals!DB110),-Helpers!CY23+DA248,Actuals!DB110)</f>
        <v/>
      </c>
      <c r="DB200" s="392">
        <f>IF(ISBLANK(Actuals!DC110),-Helpers!CZ23+DB248,Actuals!DC110)</f>
        <v/>
      </c>
      <c r="DC200" s="392">
        <f>IF(ISBLANK(Actuals!DD110),-Helpers!DA23+DC248,Actuals!DD110)</f>
        <v/>
      </c>
      <c r="DD200" s="392">
        <f>IF(ISBLANK(Actuals!DE110),-Helpers!DB23+DD248,Actuals!DE110)</f>
        <v/>
      </c>
      <c r="DE200" s="392">
        <f>IF(ISBLANK(Actuals!DF110),-Helpers!DC23+DE248,Actuals!DF110)</f>
        <v/>
      </c>
    </row>
    <row r="201" ht="15" customFormat="1" customHeight="1" s="380">
      <c r="A201" s="397" t="inlineStr">
        <is>
          <t>3rd St Steyn Fee + PIK (from LIHTC Revenue)</t>
        </is>
      </c>
      <c r="B201" s="392">
        <f>IF(ISBLANK(Actuals!C111),0,Actuals!C111)</f>
        <v/>
      </c>
      <c r="C201" s="392">
        <f>IF(ISBLANK(Actuals!D111),0,Actuals!D111)</f>
        <v/>
      </c>
      <c r="D201" s="392">
        <f>IF(ISBLANK(Actuals!E111),0,Actuals!E111)</f>
        <v/>
      </c>
      <c r="E201" s="392">
        <f>IF(ISBLANK(Actuals!F111),-Helpers!C26+E243,Actuals!F111)</f>
        <v/>
      </c>
      <c r="F201" s="392">
        <f>IF(ISBLANK(Actuals!G111),-Helpers!D26+F243,Actuals!G111)</f>
        <v/>
      </c>
      <c r="G201" s="392">
        <f>IF(ISBLANK(Actuals!H111),-Helpers!E26+G243,Actuals!H111)</f>
        <v/>
      </c>
      <c r="H201" s="392">
        <f>IF(ISBLANK(Actuals!I111),-Helpers!F26+H243,Actuals!I111)</f>
        <v/>
      </c>
      <c r="I201" s="392">
        <f>IF(ISBLANK(Actuals!J111),-Helpers!G26+I243,Actuals!J111)</f>
        <v/>
      </c>
      <c r="J201" s="392">
        <f>IF(ISBLANK(Actuals!K111),-Helpers!H26+J243,Actuals!K111)</f>
        <v/>
      </c>
      <c r="K201" s="392">
        <f>IF(ISBLANK(Actuals!L111),-Helpers!I26+K243,Actuals!L111)</f>
        <v/>
      </c>
      <c r="L201" s="392">
        <f>IF(ISBLANK(Actuals!M111),-Helpers!J26+L243,Actuals!M111)</f>
        <v/>
      </c>
      <c r="M201" s="392">
        <f>IF(ISBLANK(Actuals!N111),-Helpers!K26+M243,Actuals!N111)</f>
        <v/>
      </c>
      <c r="N201" s="392">
        <f>IF(ISBLANK(Actuals!O111),-Helpers!L26+N243,Actuals!O111)</f>
        <v/>
      </c>
      <c r="O201" s="392">
        <f>IF(ISBLANK(Actuals!P111),-Helpers!M26+O243,Actuals!P111)</f>
        <v/>
      </c>
      <c r="P201" s="392">
        <f>IF(ISBLANK(Actuals!Q111),-Helpers!N26+P243,Actuals!Q111)</f>
        <v/>
      </c>
      <c r="Q201" s="392">
        <f>IF(ISBLANK(Actuals!R111),-Helpers!O26+Q243,Actuals!R111)</f>
        <v/>
      </c>
      <c r="R201" s="392">
        <f>IF(ISBLANK(Actuals!S111),-Helpers!P26+R243,Actuals!S111)</f>
        <v/>
      </c>
      <c r="S201" s="392">
        <f>IF(ISBLANK(Actuals!T111),-Helpers!Q26+S243,Actuals!T111)</f>
        <v/>
      </c>
      <c r="T201" s="392">
        <f>IF(ISBLANK(Actuals!U111),-Helpers!R26+T243,Actuals!U111)</f>
        <v/>
      </c>
      <c r="U201" s="392">
        <f>IF(ISBLANK(Actuals!V111),-Helpers!S26+U243,Actuals!V111)</f>
        <v/>
      </c>
      <c r="V201" s="392">
        <f>IF(ISBLANK(Actuals!W111),-Helpers!T26+V243,Actuals!W111)</f>
        <v/>
      </c>
      <c r="W201" s="392">
        <f>IF(ISBLANK(Actuals!X111),-Helpers!U26+W243,Actuals!X111)</f>
        <v/>
      </c>
      <c r="X201" s="392">
        <f>IF(ISBLANK(Actuals!Y111),-Helpers!V26+X243,Actuals!Y111)</f>
        <v/>
      </c>
      <c r="Y201" s="392">
        <f>IF(ISBLANK(Actuals!Z111),-Helpers!W26+Y243,Actuals!Z111)</f>
        <v/>
      </c>
      <c r="Z201" s="392">
        <f>IF(ISBLANK(Actuals!AA111),-Helpers!X26+Z243,Actuals!AA111)</f>
        <v/>
      </c>
      <c r="AA201" s="392">
        <f>IF(ISBLANK(Actuals!AB111),-Helpers!Y26+AA243,Actuals!AB111)</f>
        <v/>
      </c>
      <c r="AB201" s="392">
        <f>IF(ISBLANK(Actuals!AC111),-Helpers!Z26+AB243,Actuals!AC111)</f>
        <v/>
      </c>
      <c r="AC201" s="392">
        <f>IF(ISBLANK(Actuals!AD111),-Helpers!AA26+AC243,Actuals!AD111)</f>
        <v/>
      </c>
      <c r="AD201" s="392">
        <f>IF(ISBLANK(Actuals!AE111),-Helpers!AB26+AD243,Actuals!AE111)</f>
        <v/>
      </c>
      <c r="AE201" s="392">
        <f>IF(ISBLANK(Actuals!AF111),-Helpers!AC26+AE243,Actuals!AF111)</f>
        <v/>
      </c>
      <c r="AF201" s="392">
        <f>IF(ISBLANK(Actuals!AG111),-Helpers!AD26+AF243,Actuals!AG111)</f>
        <v/>
      </c>
      <c r="AG201" s="392">
        <f>IF(ISBLANK(Actuals!AH111),-Helpers!AE26+AG243,Actuals!AH111)</f>
        <v/>
      </c>
      <c r="AH201" s="392">
        <f>IF(ISBLANK(Actuals!AI111),-Helpers!AF26+AH243,Actuals!AI111)</f>
        <v/>
      </c>
      <c r="AI201" s="392">
        <f>IF(ISBLANK(Actuals!AJ111),-Helpers!AG26+AI243,Actuals!AJ111)</f>
        <v/>
      </c>
      <c r="AJ201" s="392">
        <f>IF(ISBLANK(Actuals!AK111),-Helpers!AH26+AJ243,Actuals!AK111)</f>
        <v/>
      </c>
      <c r="AK201" s="392">
        <f>IF(ISBLANK(Actuals!AL111),-Helpers!AI26+AK243,Actuals!AL111)</f>
        <v/>
      </c>
      <c r="AL201" s="392">
        <f>IF(ISBLANK(Actuals!AM111),-Helpers!AJ26+AL243,Actuals!AM111)</f>
        <v/>
      </c>
      <c r="AM201" s="392">
        <f>IF(ISBLANK(Actuals!AN111),-Helpers!AK26+AM243,Actuals!AN111)</f>
        <v/>
      </c>
      <c r="AN201" s="392">
        <f>IF(ISBLANK(Actuals!AO111),-Helpers!AL26+AN243,Actuals!AO111)</f>
        <v/>
      </c>
      <c r="AO201" s="392">
        <f>IF(ISBLANK(Actuals!AP111),-Helpers!AM26+AO243,Actuals!AP111)</f>
        <v/>
      </c>
      <c r="AP201" s="392">
        <f>IF(ISBLANK(Actuals!AQ111),-Helpers!AN26+AP243,Actuals!AQ111)</f>
        <v/>
      </c>
      <c r="AQ201" s="392">
        <f>IF(ISBLANK(Actuals!AR111),-Helpers!AO26+AQ243,Actuals!AR111)</f>
        <v/>
      </c>
      <c r="AR201" s="392">
        <f>IF(ISBLANK(Actuals!AS111),-Helpers!AP26+AR243,Actuals!AS111)</f>
        <v/>
      </c>
      <c r="AS201" s="392">
        <f>IF(ISBLANK(Actuals!AT111),-Helpers!AQ26+AS243,Actuals!AT111)</f>
        <v/>
      </c>
      <c r="AT201" s="392">
        <f>IF(ISBLANK(Actuals!AU111),-Helpers!AR26+AT243,Actuals!AU111)</f>
        <v/>
      </c>
      <c r="AU201" s="392">
        <f>IF(ISBLANK(Actuals!AV111),-Helpers!AS26+AU243,Actuals!AV111)</f>
        <v/>
      </c>
      <c r="AV201" s="392">
        <f>IF(ISBLANK(Actuals!AW111),-Helpers!AT26+AV243,Actuals!AW111)</f>
        <v/>
      </c>
      <c r="AW201" s="392">
        <f>IF(ISBLANK(Actuals!AX111),-Helpers!AU26+AW243,Actuals!AX111)</f>
        <v/>
      </c>
      <c r="AX201" s="392">
        <f>IF(ISBLANK(Actuals!AY111),-Helpers!AV26+AX243,Actuals!AY111)</f>
        <v/>
      </c>
      <c r="AY201" s="392">
        <f>IF(ISBLANK(Actuals!AZ111),-Helpers!AW26+AY243,Actuals!AZ111)</f>
        <v/>
      </c>
      <c r="AZ201" s="392">
        <f>IF(ISBLANK(Actuals!BA111),-Helpers!AX26+AZ243,Actuals!BA111)</f>
        <v/>
      </c>
      <c r="BA201" s="392">
        <f>IF(ISBLANK(Actuals!BB111),-Helpers!AY26+BA243,Actuals!BB111)</f>
        <v/>
      </c>
      <c r="BB201" s="392">
        <f>IF(ISBLANK(Actuals!BC111),-Helpers!AZ26+BB243,Actuals!BC111)</f>
        <v/>
      </c>
      <c r="BC201" s="392">
        <f>IF(ISBLANK(Actuals!BD111),-Helpers!BA26+BC243,Actuals!BD111)</f>
        <v/>
      </c>
      <c r="BD201" s="392">
        <f>IF(ISBLANK(Actuals!BE111),-Helpers!BB26+BD243,Actuals!BE111)</f>
        <v/>
      </c>
      <c r="BE201" s="392">
        <f>IF(ISBLANK(Actuals!BF111),-Helpers!BC26+BE243,Actuals!BF111)</f>
        <v/>
      </c>
      <c r="BF201" s="392">
        <f>IF(ISBLANK(Actuals!BG111),-Helpers!BD26+BF243,Actuals!BG111)</f>
        <v/>
      </c>
      <c r="BG201" s="392">
        <f>IF(ISBLANK(Actuals!BH111),-Helpers!BE26+BG243,Actuals!BH111)</f>
        <v/>
      </c>
      <c r="BH201" s="392">
        <f>IF(ISBLANK(Actuals!BI111),-Helpers!BF26+BH243,Actuals!BI111)</f>
        <v/>
      </c>
      <c r="BI201" s="392">
        <f>IF(ISBLANK(Actuals!BJ111),-Helpers!BG26+BI243,Actuals!BJ111)</f>
        <v/>
      </c>
      <c r="BJ201" s="392">
        <f>IF(ISBLANK(Actuals!BK111),-Helpers!BH26+BJ243,Actuals!BK111)</f>
        <v/>
      </c>
      <c r="BK201" s="392">
        <f>IF(ISBLANK(Actuals!BL111),-Helpers!BI26+BK243,Actuals!BL111)</f>
        <v/>
      </c>
      <c r="BL201" s="392">
        <f>IF(ISBLANK(Actuals!BM111),-Helpers!BJ26+BL243,Actuals!BM111)</f>
        <v/>
      </c>
      <c r="BM201" s="392">
        <f>IF(ISBLANK(Actuals!BN111),-Helpers!BK26+BM243,Actuals!BN111)</f>
        <v/>
      </c>
      <c r="BN201" s="392">
        <f>IF(ISBLANK(Actuals!BO111),-Helpers!BL26+BN243,Actuals!BO111)</f>
        <v/>
      </c>
      <c r="BO201" s="392">
        <f>IF(ISBLANK(Actuals!BP111),-Helpers!BM26+BO243,Actuals!BP111)</f>
        <v/>
      </c>
      <c r="BP201" s="392">
        <f>IF(ISBLANK(Actuals!BQ111),-Helpers!BN26+BP243,Actuals!BQ111)</f>
        <v/>
      </c>
      <c r="BQ201" s="392">
        <f>IF(ISBLANK(Actuals!BR111),-Helpers!BO26+BQ243,Actuals!BR111)</f>
        <v/>
      </c>
      <c r="BR201" s="392">
        <f>IF(ISBLANK(Actuals!BS111),-Helpers!BP26+BR243,Actuals!BS111)</f>
        <v/>
      </c>
      <c r="BS201" s="392">
        <f>IF(ISBLANK(Actuals!BT111),-Helpers!BQ26+BS243,Actuals!BT111)</f>
        <v/>
      </c>
      <c r="BT201" s="392">
        <f>IF(ISBLANK(Actuals!BU111),-Helpers!BR26+BT243,Actuals!BU111)</f>
        <v/>
      </c>
      <c r="BU201" s="392">
        <f>IF(ISBLANK(Actuals!BV111),-Helpers!BS26+BU243,Actuals!BV111)</f>
        <v/>
      </c>
      <c r="BV201" s="392">
        <f>IF(ISBLANK(Actuals!BW111),-Helpers!BT26+BV243,Actuals!BW111)</f>
        <v/>
      </c>
      <c r="BW201" s="392">
        <f>IF(ISBLANK(Actuals!BX111),-Helpers!BU26+BW243,Actuals!BX111)</f>
        <v/>
      </c>
      <c r="BX201" s="392">
        <f>IF(ISBLANK(Actuals!BY111),-Helpers!BV26+BX243,Actuals!BY111)</f>
        <v/>
      </c>
      <c r="BY201" s="392">
        <f>IF(ISBLANK(Actuals!BZ111),-Helpers!BW26+BY243,Actuals!BZ111)</f>
        <v/>
      </c>
      <c r="BZ201" s="392">
        <f>IF(ISBLANK(Actuals!CA111),-Helpers!BX26+BZ243,Actuals!CA111)</f>
        <v/>
      </c>
      <c r="CA201" s="392">
        <f>IF(ISBLANK(Actuals!CB111),-Helpers!BY26+CA243,Actuals!CB111)</f>
        <v/>
      </c>
      <c r="CB201" s="392">
        <f>IF(ISBLANK(Actuals!CC111),-Helpers!BZ26+CB243,Actuals!CC111)</f>
        <v/>
      </c>
      <c r="CC201" s="392">
        <f>IF(ISBLANK(Actuals!CD111),-Helpers!CA26+CC243,Actuals!CD111)</f>
        <v/>
      </c>
      <c r="CD201" s="392">
        <f>IF(ISBLANK(Actuals!CE111),-Helpers!CB26+CD243,Actuals!CE111)</f>
        <v/>
      </c>
      <c r="CE201" s="392">
        <f>IF(ISBLANK(Actuals!CF111),-Helpers!CC26+CE243,Actuals!CF111)</f>
        <v/>
      </c>
      <c r="CF201" s="392">
        <f>IF(ISBLANK(Actuals!CG111),-Helpers!CD26+CF243,Actuals!CG111)</f>
        <v/>
      </c>
      <c r="CG201" s="392">
        <f>IF(ISBLANK(Actuals!CH111),-Helpers!CE26+CG243,Actuals!CH111)</f>
        <v/>
      </c>
      <c r="CH201" s="392">
        <f>IF(ISBLANK(Actuals!CI111),-Helpers!CF26+CH243,Actuals!CI111)</f>
        <v/>
      </c>
      <c r="CI201" s="392">
        <f>IF(ISBLANK(Actuals!CJ111),-Helpers!CG26+CI243,Actuals!CJ111)</f>
        <v/>
      </c>
      <c r="CJ201" s="392">
        <f>IF(ISBLANK(Actuals!CK111),-Helpers!CH26+CJ243,Actuals!CK111)</f>
        <v/>
      </c>
      <c r="CK201" s="392">
        <f>IF(ISBLANK(Actuals!CL111),-Helpers!CI26+CK243,Actuals!CL111)</f>
        <v/>
      </c>
      <c r="CL201" s="392">
        <f>IF(ISBLANK(Actuals!CM111),-Helpers!CJ26+CL243,Actuals!CM111)</f>
        <v/>
      </c>
      <c r="CM201" s="392">
        <f>IF(ISBLANK(Actuals!CN111),-Helpers!CK26+CM243,Actuals!CN111)</f>
        <v/>
      </c>
      <c r="CN201" s="392">
        <f>IF(ISBLANK(Actuals!CO111),-Helpers!CL26+CN243,Actuals!CO111)</f>
        <v/>
      </c>
      <c r="CO201" s="392">
        <f>IF(ISBLANK(Actuals!CP111),-Helpers!CM26+CO243,Actuals!CP111)</f>
        <v/>
      </c>
      <c r="CP201" s="392">
        <f>IF(ISBLANK(Actuals!CQ111),-Helpers!CN26+CP243,Actuals!CQ111)</f>
        <v/>
      </c>
      <c r="CQ201" s="392">
        <f>IF(ISBLANK(Actuals!CR111),-Helpers!CO26+CQ243,Actuals!CR111)</f>
        <v/>
      </c>
      <c r="CR201" s="392">
        <f>IF(ISBLANK(Actuals!CS111),-Helpers!CP26+CR243,Actuals!CS111)</f>
        <v/>
      </c>
      <c r="CS201" s="392">
        <f>IF(ISBLANK(Actuals!CT111),-Helpers!CQ26+CS243,Actuals!CT111)</f>
        <v/>
      </c>
      <c r="CT201" s="392">
        <f>IF(ISBLANK(Actuals!CU111),-Helpers!CR26+CT243,Actuals!CU111)</f>
        <v/>
      </c>
      <c r="CU201" s="392">
        <f>IF(ISBLANK(Actuals!CV111),-Helpers!CS26+CU243,Actuals!CV111)</f>
        <v/>
      </c>
      <c r="CV201" s="392">
        <f>IF(ISBLANK(Actuals!CW111),-Helpers!CT26+CV243,Actuals!CW111)</f>
        <v/>
      </c>
      <c r="CW201" s="392">
        <f>IF(ISBLANK(Actuals!CX111),-Helpers!CU26+CW243,Actuals!CX111)</f>
        <v/>
      </c>
      <c r="CX201" s="392">
        <f>IF(ISBLANK(Actuals!CY111),-Helpers!CV26+CX243,Actuals!CY111)</f>
        <v/>
      </c>
      <c r="CY201" s="392">
        <f>IF(ISBLANK(Actuals!CZ111),-Helpers!CW26+CY243,Actuals!CZ111)</f>
        <v/>
      </c>
      <c r="CZ201" s="392">
        <f>IF(ISBLANK(Actuals!DA111),-Helpers!CX26+CZ243,Actuals!DA111)</f>
        <v/>
      </c>
      <c r="DA201" s="392">
        <f>IF(ISBLANK(Actuals!DB111),-Helpers!CY26+DA243,Actuals!DB111)</f>
        <v/>
      </c>
      <c r="DB201" s="392">
        <f>IF(ISBLANK(Actuals!DC111),-Helpers!CZ26+DB243,Actuals!DC111)</f>
        <v/>
      </c>
      <c r="DC201" s="392">
        <f>IF(ISBLANK(Actuals!DD111),-Helpers!DA26+DC243,Actuals!DD111)</f>
        <v/>
      </c>
      <c r="DD201" s="392">
        <f>IF(ISBLANK(Actuals!DE111),-Helpers!DB26+DD243,Actuals!DE111)</f>
        <v/>
      </c>
      <c r="DE201" s="392">
        <f>IF(ISBLANK(Actuals!DF111),-Helpers!DC26+DE243,Actuals!DF111)</f>
        <v/>
      </c>
    </row>
    <row r="202" ht="19.5" customFormat="1" customHeight="1" s="380">
      <c r="A202" s="408" t="inlineStr">
        <is>
          <t>Total Six Peak Expenses</t>
        </is>
      </c>
      <c r="B202" s="409">
        <f>SUM(B173:B201)+Actuals!C113</f>
        <v/>
      </c>
      <c r="C202" s="409">
        <f>SUM(C173:C201)+Actuals!D113</f>
        <v/>
      </c>
      <c r="D202" s="409">
        <f>SUM(D173:D201)+Actuals!E113</f>
        <v/>
      </c>
      <c r="E202" s="409">
        <f>SUM(E173:E201)+Actuals!F113</f>
        <v/>
      </c>
      <c r="F202" s="409">
        <f>SUM(F173:F201)+Actuals!G113</f>
        <v/>
      </c>
      <c r="G202" s="409">
        <f>SUM(G173:G201)+Actuals!H113</f>
        <v/>
      </c>
      <c r="H202" s="409">
        <f>SUM(H173:H201)+Actuals!I113</f>
        <v/>
      </c>
      <c r="I202" s="409">
        <f>SUM(I173:I201)+Actuals!J113</f>
        <v/>
      </c>
      <c r="J202" s="409">
        <f>SUM(J173:J201)+Actuals!K113</f>
        <v/>
      </c>
      <c r="K202" s="409">
        <f>SUM(K173:K201)+Actuals!L113</f>
        <v/>
      </c>
      <c r="L202" s="409">
        <f>SUM(L173:L201)+Actuals!M113</f>
        <v/>
      </c>
      <c r="M202" s="409">
        <f>SUM(M173:M201)+Actuals!N113</f>
        <v/>
      </c>
      <c r="N202" s="409">
        <f>SUM(N173:N201)+Actuals!O113</f>
        <v/>
      </c>
      <c r="O202" s="409">
        <f>SUM(O173:O201)+Actuals!P113</f>
        <v/>
      </c>
      <c r="P202" s="409">
        <f>SUM(P173:P201)+Actuals!Q113</f>
        <v/>
      </c>
      <c r="Q202" s="409">
        <f>SUM(Q173:Q201)+Actuals!R113</f>
        <v/>
      </c>
      <c r="R202" s="409">
        <f>SUM(R173:R201)+Actuals!S113</f>
        <v/>
      </c>
      <c r="S202" s="409">
        <f>SUM(S173:S201)+Actuals!T113</f>
        <v/>
      </c>
      <c r="T202" s="409">
        <f>SUM(T173:T201)+Actuals!U113</f>
        <v/>
      </c>
      <c r="U202" s="409">
        <f>SUM(U173:U201)+Actuals!V113</f>
        <v/>
      </c>
      <c r="V202" s="409">
        <f>SUM(V173:V201)+Actuals!W113</f>
        <v/>
      </c>
      <c r="W202" s="409">
        <f>SUM(W173:W201)+Actuals!X113</f>
        <v/>
      </c>
      <c r="X202" s="409">
        <f>SUM(X173:X201)+Actuals!Y113</f>
        <v/>
      </c>
      <c r="Y202" s="409">
        <f>SUM(Y173:Y201)+Actuals!Z113</f>
        <v/>
      </c>
      <c r="Z202" s="409">
        <f>SUM(Z173:Z201)+Actuals!AA113</f>
        <v/>
      </c>
      <c r="AA202" s="409">
        <f>SUM(AA173:AA201)+Actuals!AB113</f>
        <v/>
      </c>
      <c r="AB202" s="409">
        <f>SUM(AB173:AB201)+Actuals!AC113</f>
        <v/>
      </c>
      <c r="AC202" s="409">
        <f>SUM(AC173:AC201)+Actuals!AD113</f>
        <v/>
      </c>
      <c r="AD202" s="409">
        <f>SUM(AD173:AD201)+Actuals!AE113</f>
        <v/>
      </c>
      <c r="AE202" s="409">
        <f>SUM(AE173:AE201)+Actuals!AF113</f>
        <v/>
      </c>
      <c r="AF202" s="409">
        <f>SUM(AF173:AF201)+Actuals!AG113</f>
        <v/>
      </c>
      <c r="AG202" s="409">
        <f>SUM(AG173:AG201)+Actuals!AH113</f>
        <v/>
      </c>
      <c r="AH202" s="409">
        <f>SUM(AH173:AH201)+Actuals!AI113</f>
        <v/>
      </c>
      <c r="AI202" s="409">
        <f>SUM(AI173:AI201)+Actuals!AJ113</f>
        <v/>
      </c>
      <c r="AJ202" s="409">
        <f>SUM(AJ173:AJ201)+Actuals!AK113</f>
        <v/>
      </c>
      <c r="AK202" s="409">
        <f>SUM(AK173:AK201)+Actuals!AL113</f>
        <v/>
      </c>
      <c r="AL202" s="409">
        <f>SUM(AL173:AL201)+Actuals!AM113</f>
        <v/>
      </c>
      <c r="AM202" s="409">
        <f>SUM(AM173:AM201)+Actuals!AN113</f>
        <v/>
      </c>
      <c r="AN202" s="409">
        <f>SUM(AN173:AN201)+Actuals!AO113</f>
        <v/>
      </c>
      <c r="AO202" s="409">
        <f>SUM(AO173:AO201)+Actuals!AP113</f>
        <v/>
      </c>
      <c r="AP202" s="409">
        <f>SUM(AP173:AP201)+Actuals!AQ113</f>
        <v/>
      </c>
      <c r="AQ202" s="409">
        <f>SUM(AQ173:AQ201)+Actuals!AR113</f>
        <v/>
      </c>
      <c r="AR202" s="409">
        <f>SUM(AR173:AR201)+Actuals!AS113</f>
        <v/>
      </c>
      <c r="AS202" s="409">
        <f>SUM(AS173:AS201)+Actuals!AT113</f>
        <v/>
      </c>
      <c r="AT202" s="409">
        <f>SUM(AT173:AT201)+Actuals!AU113</f>
        <v/>
      </c>
      <c r="AU202" s="409">
        <f>SUM(AU173:AU201)+Actuals!AV113</f>
        <v/>
      </c>
      <c r="AV202" s="409">
        <f>SUM(AV173:AV201)+Actuals!AW113</f>
        <v/>
      </c>
      <c r="AW202" s="409">
        <f>SUM(AW173:AW201)+Actuals!AX113</f>
        <v/>
      </c>
      <c r="AX202" s="409">
        <f>SUM(AX173:AX201)+Actuals!AY113</f>
        <v/>
      </c>
      <c r="AY202" s="409">
        <f>SUM(AY173:AY201)+Actuals!AZ113</f>
        <v/>
      </c>
      <c r="AZ202" s="409">
        <f>SUM(AZ173:AZ201)+Actuals!BA113</f>
        <v/>
      </c>
      <c r="BA202" s="409">
        <f>SUM(BA173:BA201)+Actuals!BB113</f>
        <v/>
      </c>
      <c r="BB202" s="409">
        <f>SUM(BB173:BB201)+Actuals!BC113</f>
        <v/>
      </c>
      <c r="BC202" s="409">
        <f>SUM(BC173:BC201)+Actuals!BD113</f>
        <v/>
      </c>
      <c r="BD202" s="409">
        <f>SUM(BD173:BD201)+Actuals!BE113</f>
        <v/>
      </c>
      <c r="BE202" s="409">
        <f>SUM(BE173:BE201)+Actuals!BF113</f>
        <v/>
      </c>
      <c r="BF202" s="409">
        <f>SUM(BF173:BF201)+Actuals!BG113</f>
        <v/>
      </c>
      <c r="BG202" s="409">
        <f>SUM(BG173:BG201)+Actuals!BH113</f>
        <v/>
      </c>
      <c r="BH202" s="409">
        <f>SUM(BH173:BH201)+Actuals!BI113</f>
        <v/>
      </c>
      <c r="BI202" s="409">
        <f>SUM(BI173:BI201)+Actuals!BJ113</f>
        <v/>
      </c>
      <c r="BJ202" s="409">
        <f>SUM(BJ173:BJ201)+Actuals!BK113</f>
        <v/>
      </c>
      <c r="BK202" s="409">
        <f>SUM(BK173:BK201)+Actuals!BL113</f>
        <v/>
      </c>
      <c r="BL202" s="409">
        <f>SUM(BL173:BL201)+Actuals!BM113</f>
        <v/>
      </c>
      <c r="BM202" s="409">
        <f>SUM(BM173:BM201)+Actuals!BN113</f>
        <v/>
      </c>
      <c r="BN202" s="409">
        <f>SUM(BN173:BN201)+Actuals!BO113</f>
        <v/>
      </c>
      <c r="BO202" s="409">
        <f>SUM(BO173:BO201)+Actuals!BP113</f>
        <v/>
      </c>
      <c r="BP202" s="409">
        <f>SUM(BP173:BP201)+Actuals!BQ113</f>
        <v/>
      </c>
      <c r="BQ202" s="409">
        <f>SUM(BQ173:BQ201)+Actuals!BR113</f>
        <v/>
      </c>
      <c r="BR202" s="409">
        <f>SUM(BR173:BR201)+Actuals!BS113</f>
        <v/>
      </c>
      <c r="BS202" s="409">
        <f>SUM(BS173:BS201)+Actuals!BT113</f>
        <v/>
      </c>
      <c r="BT202" s="409">
        <f>SUM(BT173:BT201)+Actuals!BU113</f>
        <v/>
      </c>
      <c r="BU202" s="409">
        <f>SUM(BU173:BU201)+Actuals!BV113</f>
        <v/>
      </c>
      <c r="BV202" s="409">
        <f>SUM(BV173:BV201)+Actuals!BW113</f>
        <v/>
      </c>
      <c r="BW202" s="409">
        <f>SUM(BW173:BW201)+Actuals!BX113</f>
        <v/>
      </c>
      <c r="BX202" s="409">
        <f>SUM(BX173:BX201)+Actuals!BY113</f>
        <v/>
      </c>
      <c r="BY202" s="409">
        <f>SUM(BY173:BY201)+Actuals!BZ113</f>
        <v/>
      </c>
      <c r="BZ202" s="409">
        <f>SUM(BZ173:BZ201)+Actuals!CA113</f>
        <v/>
      </c>
      <c r="CA202" s="409">
        <f>SUM(CA173:CA201)+Actuals!CB113</f>
        <v/>
      </c>
      <c r="CB202" s="409">
        <f>SUM(CB173:CB201)+Actuals!CC113</f>
        <v/>
      </c>
      <c r="CC202" s="409">
        <f>SUM(CC173:CC201)+Actuals!CD113</f>
        <v/>
      </c>
      <c r="CD202" s="409">
        <f>SUM(CD173:CD201)+Actuals!CE113</f>
        <v/>
      </c>
      <c r="CE202" s="409">
        <f>SUM(CE173:CE201)+Actuals!CF113</f>
        <v/>
      </c>
      <c r="CF202" s="409">
        <f>SUM(CF173:CF201)+Actuals!CG113</f>
        <v/>
      </c>
      <c r="CG202" s="409">
        <f>SUM(CG173:CG201)+Actuals!CH113</f>
        <v/>
      </c>
      <c r="CH202" s="409">
        <f>SUM(CH173:CH201)+Actuals!CI113</f>
        <v/>
      </c>
      <c r="CI202" s="409">
        <f>SUM(CI173:CI201)+Actuals!CJ113</f>
        <v/>
      </c>
      <c r="CJ202" s="409">
        <f>SUM(CJ173:CJ201)+Actuals!CK113</f>
        <v/>
      </c>
      <c r="CK202" s="409">
        <f>SUM(CK173:CK201)+Actuals!CL113</f>
        <v/>
      </c>
      <c r="CL202" s="409">
        <f>SUM(CL173:CL201)+Actuals!CM113</f>
        <v/>
      </c>
      <c r="CM202" s="409">
        <f>SUM(CM173:CM201)+Actuals!CN113</f>
        <v/>
      </c>
      <c r="CN202" s="409">
        <f>SUM(CN173:CN201)+Actuals!CO113</f>
        <v/>
      </c>
      <c r="CO202" s="409">
        <f>SUM(CO173:CO201)+Actuals!CP113</f>
        <v/>
      </c>
      <c r="CP202" s="409">
        <f>SUM(CP173:CP201)+Actuals!CQ113</f>
        <v/>
      </c>
      <c r="CQ202" s="409">
        <f>SUM(CQ173:CQ201)+Actuals!CR113</f>
        <v/>
      </c>
      <c r="CR202" s="409">
        <f>SUM(CR173:CR201)+Actuals!CS113</f>
        <v/>
      </c>
      <c r="CS202" s="409">
        <f>SUM(CS173:CS201)+Actuals!CT113</f>
        <v/>
      </c>
      <c r="CT202" s="409">
        <f>SUM(CT173:CT201)+Actuals!CU113</f>
        <v/>
      </c>
      <c r="CU202" s="409">
        <f>SUM(CU173:CU201)+Actuals!CV113</f>
        <v/>
      </c>
      <c r="CV202" s="409">
        <f>SUM(CV173:CV201)+Actuals!CW113</f>
        <v/>
      </c>
      <c r="CW202" s="409">
        <f>SUM(CW173:CW201)+Actuals!CX113</f>
        <v/>
      </c>
      <c r="CX202" s="409">
        <f>SUM(CX173:CX201)+Actuals!CY113</f>
        <v/>
      </c>
      <c r="CY202" s="409">
        <f>SUM(CY173:CY201)+Actuals!CZ113</f>
        <v/>
      </c>
      <c r="CZ202" s="409">
        <f>SUM(CZ173:CZ201)+Actuals!DA113</f>
        <v/>
      </c>
      <c r="DA202" s="409">
        <f>SUM(DA173:DA201)+Actuals!DB113</f>
        <v/>
      </c>
      <c r="DB202" s="409">
        <f>SUM(DB173:DB201)+Actuals!DC113</f>
        <v/>
      </c>
      <c r="DC202" s="409">
        <f>SUM(DC173:DC201)+Actuals!DD113</f>
        <v/>
      </c>
      <c r="DD202" s="409">
        <f>SUM(DD173:DD201)+Actuals!DE113</f>
        <v/>
      </c>
      <c r="DE202" s="409">
        <f>SUM(DE173:DE201)+Actuals!DF113</f>
        <v/>
      </c>
    </row>
    <row r="203" ht="19.5" customFormat="1" customHeight="1" s="380">
      <c r="A203" s="416" t="inlineStr">
        <is>
          <t>Six Peak Net Income</t>
        </is>
      </c>
      <c r="B203" s="417">
        <f>B171+B202</f>
        <v/>
      </c>
      <c r="C203" s="417">
        <f>C171+C202</f>
        <v/>
      </c>
      <c r="D203" s="417">
        <f>D171+D202</f>
        <v/>
      </c>
      <c r="E203" s="417">
        <f>E171+E202</f>
        <v/>
      </c>
      <c r="F203" s="417">
        <f>F171+F202</f>
        <v/>
      </c>
      <c r="G203" s="417">
        <f>G171+G202</f>
        <v/>
      </c>
      <c r="H203" s="417">
        <f>H171+H202</f>
        <v/>
      </c>
      <c r="I203" s="417">
        <f>I171+I202</f>
        <v/>
      </c>
      <c r="J203" s="417">
        <f>J171+J202</f>
        <v/>
      </c>
      <c r="K203" s="417">
        <f>K171+K202</f>
        <v/>
      </c>
      <c r="L203" s="417">
        <f>L171+L202</f>
        <v/>
      </c>
      <c r="M203" s="417">
        <f>M171+M202</f>
        <v/>
      </c>
      <c r="N203" s="417">
        <f>N171+N202</f>
        <v/>
      </c>
      <c r="O203" s="417">
        <f>O171+O202</f>
        <v/>
      </c>
      <c r="P203" s="417">
        <f>P171+P202</f>
        <v/>
      </c>
      <c r="Q203" s="417">
        <f>Q171+Q202</f>
        <v/>
      </c>
      <c r="R203" s="417">
        <f>R171+R202</f>
        <v/>
      </c>
      <c r="S203" s="417">
        <f>S171+S202</f>
        <v/>
      </c>
      <c r="T203" s="417">
        <f>T171+T202</f>
        <v/>
      </c>
      <c r="U203" s="417">
        <f>U171+U202</f>
        <v/>
      </c>
      <c r="V203" s="417">
        <f>V171+V202</f>
        <v/>
      </c>
      <c r="W203" s="417">
        <f>W171+W202</f>
        <v/>
      </c>
      <c r="X203" s="417">
        <f>X171+X202</f>
        <v/>
      </c>
      <c r="Y203" s="417">
        <f>Y171+Y202</f>
        <v/>
      </c>
      <c r="Z203" s="417">
        <f>Z171+Z202</f>
        <v/>
      </c>
      <c r="AA203" s="417">
        <f>AA171+AA202</f>
        <v/>
      </c>
      <c r="AB203" s="417">
        <f>AB171+AB202</f>
        <v/>
      </c>
      <c r="AC203" s="417">
        <f>AC171+AC202</f>
        <v/>
      </c>
      <c r="AD203" s="417">
        <f>AD171+AD202</f>
        <v/>
      </c>
      <c r="AE203" s="417">
        <f>AE171+AE202</f>
        <v/>
      </c>
      <c r="AF203" s="417">
        <f>AF171+AF202</f>
        <v/>
      </c>
      <c r="AG203" s="417">
        <f>AG171+AG202</f>
        <v/>
      </c>
      <c r="AH203" s="417">
        <f>AH171+AH202</f>
        <v/>
      </c>
      <c r="AI203" s="417">
        <f>AI171+AI202</f>
        <v/>
      </c>
      <c r="AJ203" s="417">
        <f>AJ171+AJ202</f>
        <v/>
      </c>
      <c r="AK203" s="417">
        <f>AK171+AK202</f>
        <v/>
      </c>
      <c r="AL203" s="417">
        <f>AL171+AL202</f>
        <v/>
      </c>
      <c r="AM203" s="417">
        <f>AM171+AM202</f>
        <v/>
      </c>
      <c r="AN203" s="417">
        <f>AN171+AN202</f>
        <v/>
      </c>
      <c r="AO203" s="417">
        <f>AO171+AO202</f>
        <v/>
      </c>
      <c r="AP203" s="417">
        <f>AP171+AP202</f>
        <v/>
      </c>
      <c r="AQ203" s="417">
        <f>AQ171+AQ202</f>
        <v/>
      </c>
      <c r="AR203" s="417">
        <f>AR171+AR202</f>
        <v/>
      </c>
      <c r="AS203" s="417">
        <f>AS171+AS202</f>
        <v/>
      </c>
      <c r="AT203" s="417">
        <f>AT171+AT202</f>
        <v/>
      </c>
      <c r="AU203" s="417">
        <f>AU171+AU202</f>
        <v/>
      </c>
      <c r="AV203" s="417">
        <f>AV171+AV202</f>
        <v/>
      </c>
      <c r="AW203" s="417">
        <f>AW171+AW202</f>
        <v/>
      </c>
      <c r="AX203" s="417">
        <f>AX171+AX202</f>
        <v/>
      </c>
      <c r="AY203" s="417">
        <f>AY171+AY202</f>
        <v/>
      </c>
      <c r="AZ203" s="417">
        <f>AZ171+AZ202</f>
        <v/>
      </c>
      <c r="BA203" s="417">
        <f>BA171+BA202</f>
        <v/>
      </c>
      <c r="BB203" s="417">
        <f>BB171+BB202</f>
        <v/>
      </c>
      <c r="BC203" s="417">
        <f>BC171+BC202</f>
        <v/>
      </c>
      <c r="BD203" s="417">
        <f>BD171+BD202</f>
        <v/>
      </c>
      <c r="BE203" s="417">
        <f>BE171+BE202</f>
        <v/>
      </c>
      <c r="BF203" s="417">
        <f>BF171+BF202</f>
        <v/>
      </c>
      <c r="BG203" s="417">
        <f>BG171+BG202</f>
        <v/>
      </c>
      <c r="BH203" s="417">
        <f>BH171+BH202</f>
        <v/>
      </c>
      <c r="BI203" s="417">
        <f>BI171+BI202</f>
        <v/>
      </c>
      <c r="BJ203" s="417">
        <f>BJ171+BJ202</f>
        <v/>
      </c>
      <c r="BK203" s="417">
        <f>BK171+BK202</f>
        <v/>
      </c>
      <c r="BL203" s="417">
        <f>BL171+BL202</f>
        <v/>
      </c>
      <c r="BM203" s="417">
        <f>BM171+BM202</f>
        <v/>
      </c>
      <c r="BN203" s="417">
        <f>BN171+BN202</f>
        <v/>
      </c>
      <c r="BO203" s="417">
        <f>BO171+BO202</f>
        <v/>
      </c>
      <c r="BP203" s="417">
        <f>BP171+BP202</f>
        <v/>
      </c>
      <c r="BQ203" s="417">
        <f>BQ171+BQ202</f>
        <v/>
      </c>
      <c r="BR203" s="417">
        <f>BR171+BR202</f>
        <v/>
      </c>
      <c r="BS203" s="417">
        <f>BS171+BS202</f>
        <v/>
      </c>
      <c r="BT203" s="417">
        <f>BT171+BT202</f>
        <v/>
      </c>
      <c r="BU203" s="417">
        <f>BU171+BU202</f>
        <v/>
      </c>
      <c r="BV203" s="417">
        <f>BV171+BV202</f>
        <v/>
      </c>
      <c r="BW203" s="417">
        <f>BW171+BW202</f>
        <v/>
      </c>
      <c r="BX203" s="417">
        <f>BX171+BX202</f>
        <v/>
      </c>
      <c r="BY203" s="417">
        <f>BY171+BY202</f>
        <v/>
      </c>
      <c r="BZ203" s="417">
        <f>BZ171+BZ202</f>
        <v/>
      </c>
      <c r="CA203" s="417">
        <f>CA171+CA202</f>
        <v/>
      </c>
      <c r="CB203" s="417">
        <f>CB171+CB202</f>
        <v/>
      </c>
      <c r="CC203" s="417">
        <f>CC171+CC202</f>
        <v/>
      </c>
      <c r="CD203" s="417">
        <f>CD171+CD202</f>
        <v/>
      </c>
      <c r="CE203" s="417">
        <f>CE171+CE202</f>
        <v/>
      </c>
      <c r="CF203" s="417">
        <f>CF171+CF202</f>
        <v/>
      </c>
      <c r="CG203" s="417">
        <f>CG171+CG202</f>
        <v/>
      </c>
      <c r="CH203" s="417">
        <f>CH171+CH202</f>
        <v/>
      </c>
      <c r="CI203" s="417">
        <f>CI171+CI202</f>
        <v/>
      </c>
      <c r="CJ203" s="417">
        <f>CJ171+CJ202</f>
        <v/>
      </c>
      <c r="CK203" s="417">
        <f>CK171+CK202</f>
        <v/>
      </c>
      <c r="CL203" s="417">
        <f>CL171+CL202</f>
        <v/>
      </c>
      <c r="CM203" s="417">
        <f>CM171+CM202</f>
        <v/>
      </c>
      <c r="CN203" s="417">
        <f>CN171+CN202</f>
        <v/>
      </c>
      <c r="CO203" s="417">
        <f>CO171+CO202</f>
        <v/>
      </c>
      <c r="CP203" s="417">
        <f>CP171+CP202</f>
        <v/>
      </c>
      <c r="CQ203" s="417">
        <f>CQ171+CQ202</f>
        <v/>
      </c>
      <c r="CR203" s="417">
        <f>CR171+CR202</f>
        <v/>
      </c>
      <c r="CS203" s="417">
        <f>CS171+CS202</f>
        <v/>
      </c>
      <c r="CT203" s="417">
        <f>CT171+CT202</f>
        <v/>
      </c>
      <c r="CU203" s="417">
        <f>CU171+CU202</f>
        <v/>
      </c>
      <c r="CV203" s="417">
        <f>CV171+CV202</f>
        <v/>
      </c>
      <c r="CW203" s="417">
        <f>CW171+CW202</f>
        <v/>
      </c>
      <c r="CX203" s="417">
        <f>CX171+CX202</f>
        <v/>
      </c>
      <c r="CY203" s="417">
        <f>CY171+CY202</f>
        <v/>
      </c>
      <c r="CZ203" s="417">
        <f>CZ171+CZ202</f>
        <v/>
      </c>
      <c r="DA203" s="417">
        <f>DA171+DA202</f>
        <v/>
      </c>
      <c r="DB203" s="417">
        <f>DB171+DB202</f>
        <v/>
      </c>
      <c r="DC203" s="417">
        <f>DC171+DC202</f>
        <v/>
      </c>
      <c r="DD203" s="417">
        <f>DD171+DD202</f>
        <v/>
      </c>
      <c r="DE203" s="417">
        <f>DE171+DE202</f>
        <v/>
      </c>
    </row>
    <row r="204" ht="15" customFormat="1" customHeight="1" s="380">
      <c r="A204" s="406" t="n"/>
      <c r="B204" s="392" t="n"/>
      <c r="C204" s="392" t="n"/>
      <c r="D204" s="392" t="n"/>
      <c r="E204" s="392" t="n"/>
      <c r="F204" s="392" t="n"/>
      <c r="G204" s="392" t="n"/>
      <c r="H204" s="392" t="n"/>
      <c r="I204" s="392" t="n"/>
      <c r="J204" s="392" t="n"/>
      <c r="K204" s="392" t="n"/>
      <c r="L204" s="392" t="n"/>
      <c r="M204" s="392" t="n"/>
      <c r="N204" s="392" t="n"/>
      <c r="O204" s="392" t="n"/>
      <c r="P204" s="392" t="n"/>
      <c r="Q204" s="392" t="n"/>
      <c r="R204" s="392" t="n"/>
      <c r="S204" s="392" t="n"/>
      <c r="T204" s="392" t="n"/>
      <c r="U204" s="392" t="n"/>
      <c r="V204" s="392" t="n"/>
      <c r="W204" s="392" t="n"/>
      <c r="X204" s="392" t="n"/>
      <c r="Y204" s="392" t="n"/>
      <c r="Z204" s="392" t="n"/>
      <c r="AA204" s="392" t="n"/>
      <c r="AB204" s="392" t="n"/>
      <c r="AC204" s="392" t="n"/>
      <c r="AD204" s="392" t="n"/>
      <c r="AE204" s="392" t="n"/>
      <c r="AF204" s="392" t="n"/>
      <c r="AG204" s="392" t="n"/>
      <c r="AH204" s="392" t="n"/>
      <c r="AI204" s="392" t="n"/>
      <c r="AJ204" s="392" t="n"/>
      <c r="AK204" s="392" t="n"/>
      <c r="AL204" s="392" t="n"/>
      <c r="AM204" s="392" t="n"/>
      <c r="AN204" s="392" t="n"/>
      <c r="AO204" s="392" t="n"/>
      <c r="AP204" s="392" t="n"/>
      <c r="AQ204" s="392" t="n"/>
      <c r="AR204" s="392" t="n"/>
      <c r="AS204" s="392" t="n"/>
      <c r="AT204" s="392" t="n"/>
      <c r="AU204" s="392" t="n"/>
      <c r="AV204" s="392" t="n"/>
      <c r="AW204" s="392" t="n"/>
      <c r="AX204" s="392" t="n"/>
      <c r="AY204" s="392" t="n"/>
      <c r="AZ204" s="392" t="n"/>
      <c r="BA204" s="392" t="n"/>
      <c r="BB204" s="392" t="n"/>
      <c r="BC204" s="392" t="n"/>
      <c r="BD204" s="392" t="n"/>
      <c r="BE204" s="392" t="n"/>
      <c r="BF204" s="392" t="n"/>
      <c r="BG204" s="392" t="n"/>
      <c r="BH204" s="392" t="n"/>
      <c r="BI204" s="392" t="n"/>
      <c r="BJ204" s="392" t="n"/>
      <c r="BK204" s="392" t="n"/>
      <c r="BL204" s="392" t="n"/>
      <c r="BM204" s="392" t="n"/>
      <c r="BN204" s="392" t="n"/>
      <c r="BO204" s="392" t="n"/>
      <c r="BP204" s="392" t="n"/>
      <c r="BQ204" s="392" t="n"/>
      <c r="BR204" s="392" t="n"/>
      <c r="BS204" s="392" t="n"/>
      <c r="BT204" s="392" t="n"/>
      <c r="BU204" s="392" t="n"/>
      <c r="BV204" s="392" t="n"/>
      <c r="BW204" s="392" t="n"/>
      <c r="BX204" s="392" t="n"/>
      <c r="BY204" s="392" t="n"/>
      <c r="BZ204" s="392" t="n"/>
      <c r="CA204" s="392" t="n"/>
      <c r="CB204" s="392" t="n"/>
      <c r="CC204" s="392" t="n"/>
      <c r="CD204" s="392" t="n"/>
      <c r="CE204" s="392" t="n"/>
      <c r="CF204" s="392" t="n"/>
      <c r="CG204" s="392" t="n"/>
      <c r="CH204" s="392" t="n"/>
      <c r="CI204" s="392" t="n"/>
      <c r="CJ204" s="392" t="n"/>
      <c r="CK204" s="392" t="n"/>
      <c r="CL204" s="392" t="n"/>
      <c r="CM204" s="392" t="n"/>
      <c r="CN204" s="392" t="n"/>
      <c r="CO204" s="392" t="n"/>
      <c r="CP204" s="392" t="n"/>
      <c r="CQ204" s="392" t="n"/>
      <c r="CR204" s="392" t="n"/>
      <c r="CS204" s="392" t="n"/>
      <c r="CT204" s="392" t="n"/>
      <c r="CU204" s="392" t="n"/>
      <c r="CV204" s="392" t="n"/>
      <c r="CW204" s="392" t="n"/>
      <c r="CX204" s="392" t="n"/>
      <c r="CY204" s="392" t="n"/>
      <c r="CZ204" s="392" t="n"/>
      <c r="DA204" s="392" t="n"/>
      <c r="DB204" s="392" t="n"/>
      <c r="DC204" s="392" t="n"/>
      <c r="DD204" s="392" t="n"/>
      <c r="DE204" s="392" t="n"/>
    </row>
    <row r="205" ht="15" customFormat="1" customHeight="1" s="380">
      <c r="A205" s="418" t="inlineStr">
        <is>
          <t>CONSOLIDATED P&amp;L</t>
        </is>
      </c>
      <c r="B205" s="419" t="n"/>
      <c r="C205" s="419" t="n"/>
      <c r="D205" s="419" t="n"/>
      <c r="E205" s="419" t="n"/>
      <c r="F205" s="419" t="n"/>
      <c r="G205" s="419" t="n"/>
      <c r="H205" s="419" t="n"/>
      <c r="I205" s="419" t="n"/>
      <c r="J205" s="419" t="n"/>
      <c r="K205" s="419" t="n"/>
      <c r="L205" s="419" t="n"/>
      <c r="M205" s="419" t="n"/>
      <c r="N205" s="419" t="n"/>
      <c r="O205" s="419" t="n"/>
      <c r="P205" s="419" t="n"/>
      <c r="Q205" s="419" t="n"/>
      <c r="R205" s="419" t="n"/>
      <c r="S205" s="419" t="n"/>
      <c r="T205" s="419" t="n"/>
      <c r="U205" s="419" t="n"/>
      <c r="V205" s="419" t="n"/>
      <c r="W205" s="419" t="n"/>
      <c r="X205" s="419" t="n"/>
      <c r="Y205" s="419" t="n"/>
      <c r="Z205" s="419" t="n"/>
      <c r="AA205" s="419" t="n"/>
      <c r="AB205" s="419" t="n"/>
      <c r="AC205" s="419" t="n"/>
      <c r="AD205" s="419" t="n"/>
      <c r="AE205" s="419" t="n"/>
      <c r="AF205" s="419" t="n"/>
      <c r="AG205" s="419" t="n"/>
      <c r="AH205" s="419" t="n"/>
      <c r="AI205" s="419" t="n"/>
      <c r="AJ205" s="419" t="n"/>
      <c r="AK205" s="419" t="n"/>
      <c r="AL205" s="419" t="n"/>
      <c r="AM205" s="419" t="n"/>
      <c r="AN205" s="419" t="n"/>
      <c r="AO205" s="419" t="n"/>
      <c r="AP205" s="419" t="n"/>
      <c r="AQ205" s="419" t="n"/>
      <c r="AR205" s="419" t="n"/>
      <c r="AS205" s="419" t="n"/>
      <c r="AT205" s="419" t="n"/>
      <c r="AU205" s="419" t="n"/>
      <c r="AV205" s="419" t="n"/>
      <c r="AW205" s="419" t="n"/>
      <c r="AX205" s="419" t="n"/>
      <c r="AY205" s="419" t="n"/>
      <c r="AZ205" s="419" t="n"/>
      <c r="BA205" s="419" t="n"/>
      <c r="BB205" s="419" t="n"/>
      <c r="BC205" s="419" t="n"/>
      <c r="BD205" s="419" t="n"/>
      <c r="BE205" s="419" t="n"/>
      <c r="BF205" s="419" t="n"/>
      <c r="BG205" s="419" t="n"/>
      <c r="BH205" s="419" t="n"/>
      <c r="BI205" s="419" t="n"/>
      <c r="BJ205" s="419" t="n"/>
      <c r="BK205" s="419" t="n"/>
      <c r="BL205" s="419" t="n"/>
      <c r="BM205" s="419" t="n"/>
      <c r="BN205" s="419" t="n"/>
      <c r="BO205" s="419" t="n"/>
      <c r="BP205" s="419" t="n"/>
      <c r="BQ205" s="419" t="n"/>
      <c r="BR205" s="419" t="n"/>
      <c r="BS205" s="419" t="n"/>
      <c r="BT205" s="419" t="n"/>
      <c r="BU205" s="419" t="n"/>
      <c r="BV205" s="419" t="n"/>
      <c r="BW205" s="419" t="n"/>
      <c r="BX205" s="419" t="n"/>
      <c r="BY205" s="419" t="n"/>
      <c r="BZ205" s="419" t="n"/>
      <c r="CA205" s="419" t="n"/>
      <c r="CB205" s="419" t="n"/>
      <c r="CC205" s="419" t="n"/>
      <c r="CD205" s="419" t="n"/>
      <c r="CE205" s="419" t="n"/>
      <c r="CF205" s="419" t="n"/>
      <c r="CG205" s="419" t="n"/>
      <c r="CH205" s="419" t="n"/>
      <c r="CI205" s="419" t="n"/>
      <c r="CJ205" s="419" t="n"/>
      <c r="CK205" s="419" t="n"/>
      <c r="CL205" s="419" t="n"/>
      <c r="CM205" s="419" t="n"/>
      <c r="CN205" s="419" t="n"/>
      <c r="CO205" s="419" t="n"/>
      <c r="CP205" s="419" t="n"/>
      <c r="CQ205" s="419" t="n"/>
      <c r="CR205" s="419" t="n"/>
      <c r="CS205" s="419" t="n"/>
      <c r="CT205" s="419" t="n"/>
      <c r="CU205" s="419" t="n"/>
      <c r="CV205" s="419" t="n"/>
      <c r="CW205" s="419" t="n"/>
      <c r="CX205" s="419" t="n"/>
      <c r="CY205" s="419" t="n"/>
      <c r="CZ205" s="419" t="n"/>
      <c r="DA205" s="419" t="n"/>
      <c r="DB205" s="419" t="n"/>
      <c r="DC205" s="419" t="n"/>
      <c r="DD205" s="419" t="n"/>
      <c r="DE205" s="419" t="n"/>
    </row>
    <row r="206" ht="15" customFormat="1" customHeight="1" s="380">
      <c r="A206" s="420" t="inlineStr">
        <is>
          <t>GC Gross Profit</t>
        </is>
      </c>
      <c r="B206" s="392">
        <f>B109</f>
        <v/>
      </c>
      <c r="C206" s="392">
        <f>C109</f>
        <v/>
      </c>
      <c r="D206" s="392">
        <f>D109</f>
        <v/>
      </c>
      <c r="E206" s="392">
        <f>E109</f>
        <v/>
      </c>
      <c r="F206" s="392">
        <f>F109</f>
        <v/>
      </c>
      <c r="G206" s="392">
        <f>G109</f>
        <v/>
      </c>
      <c r="H206" s="392">
        <f>H109</f>
        <v/>
      </c>
      <c r="I206" s="392">
        <f>I109</f>
        <v/>
      </c>
      <c r="J206" s="392">
        <f>J109</f>
        <v/>
      </c>
      <c r="K206" s="392">
        <f>K109</f>
        <v/>
      </c>
      <c r="L206" s="392">
        <f>L109</f>
        <v/>
      </c>
      <c r="M206" s="392">
        <f>M109</f>
        <v/>
      </c>
      <c r="N206" s="392">
        <f>N109</f>
        <v/>
      </c>
      <c r="O206" s="392">
        <f>O109</f>
        <v/>
      </c>
      <c r="P206" s="392">
        <f>P109</f>
        <v/>
      </c>
      <c r="Q206" s="392">
        <f>Q109</f>
        <v/>
      </c>
      <c r="R206" s="392">
        <f>R109</f>
        <v/>
      </c>
      <c r="S206" s="392">
        <f>S109</f>
        <v/>
      </c>
      <c r="T206" s="392">
        <f>T109</f>
        <v/>
      </c>
      <c r="U206" s="392">
        <f>U109</f>
        <v/>
      </c>
      <c r="V206" s="392">
        <f>V109</f>
        <v/>
      </c>
      <c r="W206" s="392">
        <f>W109</f>
        <v/>
      </c>
      <c r="X206" s="392">
        <f>X109</f>
        <v/>
      </c>
      <c r="Y206" s="392">
        <f>Y109</f>
        <v/>
      </c>
      <c r="Z206" s="392">
        <f>Z109</f>
        <v/>
      </c>
      <c r="AA206" s="392">
        <f>AA109</f>
        <v/>
      </c>
      <c r="AB206" s="392">
        <f>AB109</f>
        <v/>
      </c>
      <c r="AC206" s="392">
        <f>AC109</f>
        <v/>
      </c>
      <c r="AD206" s="392">
        <f>AD109</f>
        <v/>
      </c>
      <c r="AE206" s="392">
        <f>AE109</f>
        <v/>
      </c>
      <c r="AF206" s="392">
        <f>AF109</f>
        <v/>
      </c>
      <c r="AG206" s="392">
        <f>AG109</f>
        <v/>
      </c>
      <c r="AH206" s="392">
        <f>AH109</f>
        <v/>
      </c>
      <c r="AI206" s="392">
        <f>AI109</f>
        <v/>
      </c>
      <c r="AJ206" s="392">
        <f>AJ109</f>
        <v/>
      </c>
      <c r="AK206" s="392">
        <f>AK109</f>
        <v/>
      </c>
      <c r="AL206" s="392">
        <f>AL109</f>
        <v/>
      </c>
      <c r="AM206" s="392">
        <f>AM109</f>
        <v/>
      </c>
      <c r="AN206" s="392">
        <f>AN109</f>
        <v/>
      </c>
      <c r="AO206" s="392">
        <f>AO109</f>
        <v/>
      </c>
      <c r="AP206" s="392">
        <f>AP109</f>
        <v/>
      </c>
      <c r="AQ206" s="392">
        <f>AQ109</f>
        <v/>
      </c>
      <c r="AR206" s="392">
        <f>AR109</f>
        <v/>
      </c>
      <c r="AS206" s="392">
        <f>AS109</f>
        <v/>
      </c>
      <c r="AT206" s="392">
        <f>AT109</f>
        <v/>
      </c>
      <c r="AU206" s="392">
        <f>AU109</f>
        <v/>
      </c>
      <c r="AV206" s="392">
        <f>AV109</f>
        <v/>
      </c>
      <c r="AW206" s="392">
        <f>AW109</f>
        <v/>
      </c>
      <c r="AX206" s="392">
        <f>AX109</f>
        <v/>
      </c>
      <c r="AY206" s="392">
        <f>AY109</f>
        <v/>
      </c>
      <c r="AZ206" s="392">
        <f>AZ109</f>
        <v/>
      </c>
      <c r="BA206" s="392">
        <f>BA109</f>
        <v/>
      </c>
      <c r="BB206" s="392">
        <f>BB109</f>
        <v/>
      </c>
      <c r="BC206" s="392">
        <f>BC109</f>
        <v/>
      </c>
      <c r="BD206" s="392">
        <f>BD109</f>
        <v/>
      </c>
      <c r="BE206" s="392">
        <f>BE109</f>
        <v/>
      </c>
      <c r="BF206" s="392">
        <f>BF109</f>
        <v/>
      </c>
      <c r="BG206" s="392">
        <f>BG109</f>
        <v/>
      </c>
      <c r="BH206" s="392">
        <f>BH109</f>
        <v/>
      </c>
      <c r="BI206" s="392">
        <f>BI109</f>
        <v/>
      </c>
      <c r="BJ206" s="392">
        <f>BJ109</f>
        <v/>
      </c>
      <c r="BK206" s="392">
        <f>BK109</f>
        <v/>
      </c>
      <c r="BL206" s="392">
        <f>BL109</f>
        <v/>
      </c>
      <c r="BM206" s="392">
        <f>BM109</f>
        <v/>
      </c>
      <c r="BN206" s="392">
        <f>BN109</f>
        <v/>
      </c>
      <c r="BO206" s="392">
        <f>BO109</f>
        <v/>
      </c>
      <c r="BP206" s="392">
        <f>BP109</f>
        <v/>
      </c>
      <c r="BQ206" s="392">
        <f>BQ109</f>
        <v/>
      </c>
      <c r="BR206" s="392">
        <f>BR109</f>
        <v/>
      </c>
      <c r="BS206" s="392">
        <f>BS109</f>
        <v/>
      </c>
      <c r="BT206" s="392">
        <f>BT109</f>
        <v/>
      </c>
      <c r="BU206" s="392">
        <f>BU109</f>
        <v/>
      </c>
      <c r="BV206" s="392">
        <f>BV109</f>
        <v/>
      </c>
      <c r="BW206" s="392">
        <f>BW109</f>
        <v/>
      </c>
      <c r="BX206" s="392">
        <f>BX109</f>
        <v/>
      </c>
      <c r="BY206" s="392">
        <f>BY109</f>
        <v/>
      </c>
      <c r="BZ206" s="392">
        <f>BZ109</f>
        <v/>
      </c>
      <c r="CA206" s="392">
        <f>CA109</f>
        <v/>
      </c>
      <c r="CB206" s="392">
        <f>CB109</f>
        <v/>
      </c>
      <c r="CC206" s="392">
        <f>CC109</f>
        <v/>
      </c>
      <c r="CD206" s="392">
        <f>CD109</f>
        <v/>
      </c>
      <c r="CE206" s="392">
        <f>CE109</f>
        <v/>
      </c>
      <c r="CF206" s="392">
        <f>CF109</f>
        <v/>
      </c>
      <c r="CG206" s="392">
        <f>CG109</f>
        <v/>
      </c>
      <c r="CH206" s="392">
        <f>CH109</f>
        <v/>
      </c>
      <c r="CI206" s="392">
        <f>CI109</f>
        <v/>
      </c>
      <c r="CJ206" s="392">
        <f>CJ109</f>
        <v/>
      </c>
      <c r="CK206" s="392">
        <f>CK109</f>
        <v/>
      </c>
      <c r="CL206" s="392">
        <f>CL109</f>
        <v/>
      </c>
      <c r="CM206" s="392">
        <f>CM109</f>
        <v/>
      </c>
      <c r="CN206" s="392">
        <f>CN109</f>
        <v/>
      </c>
      <c r="CO206" s="392">
        <f>CO109</f>
        <v/>
      </c>
      <c r="CP206" s="392">
        <f>CP109</f>
        <v/>
      </c>
      <c r="CQ206" s="392">
        <f>CQ109</f>
        <v/>
      </c>
      <c r="CR206" s="392">
        <f>CR109</f>
        <v/>
      </c>
      <c r="CS206" s="392">
        <f>CS109</f>
        <v/>
      </c>
      <c r="CT206" s="392">
        <f>CT109</f>
        <v/>
      </c>
      <c r="CU206" s="392">
        <f>CU109</f>
        <v/>
      </c>
      <c r="CV206" s="392">
        <f>CV109</f>
        <v/>
      </c>
      <c r="CW206" s="392">
        <f>CW109</f>
        <v/>
      </c>
      <c r="CX206" s="392">
        <f>CX109</f>
        <v/>
      </c>
      <c r="CY206" s="392">
        <f>CY109</f>
        <v/>
      </c>
      <c r="CZ206" s="392">
        <f>CZ109</f>
        <v/>
      </c>
      <c r="DA206" s="392">
        <f>DA109</f>
        <v/>
      </c>
      <c r="DB206" s="392">
        <f>DB109</f>
        <v/>
      </c>
      <c r="DC206" s="392">
        <f>DC109</f>
        <v/>
      </c>
      <c r="DD206" s="392">
        <f>DD109</f>
        <v/>
      </c>
      <c r="DE206" s="392">
        <f>DE109</f>
        <v/>
      </c>
    </row>
    <row r="207" ht="15" customFormat="1" customHeight="1" s="380">
      <c r="A207" s="420" t="inlineStr">
        <is>
          <t>Six Peak Revenue</t>
        </is>
      </c>
      <c r="B207" s="392">
        <f>B171</f>
        <v/>
      </c>
      <c r="C207" s="392">
        <f>C171</f>
        <v/>
      </c>
      <c r="D207" s="392">
        <f>D171</f>
        <v/>
      </c>
      <c r="E207" s="392">
        <f>E171</f>
        <v/>
      </c>
      <c r="F207" s="392">
        <f>F171</f>
        <v/>
      </c>
      <c r="G207" s="392">
        <f>G171</f>
        <v/>
      </c>
      <c r="H207" s="392">
        <f>H171</f>
        <v/>
      </c>
      <c r="I207" s="392">
        <f>I171</f>
        <v/>
      </c>
      <c r="J207" s="392">
        <f>J171</f>
        <v/>
      </c>
      <c r="K207" s="392">
        <f>K171</f>
        <v/>
      </c>
      <c r="L207" s="392">
        <f>L171</f>
        <v/>
      </c>
      <c r="M207" s="392">
        <f>M171</f>
        <v/>
      </c>
      <c r="N207" s="392">
        <f>N171</f>
        <v/>
      </c>
      <c r="O207" s="392">
        <f>O171</f>
        <v/>
      </c>
      <c r="P207" s="392">
        <f>P171</f>
        <v/>
      </c>
      <c r="Q207" s="392">
        <f>Q171</f>
        <v/>
      </c>
      <c r="R207" s="392">
        <f>R171</f>
        <v/>
      </c>
      <c r="S207" s="392">
        <f>S171</f>
        <v/>
      </c>
      <c r="T207" s="392">
        <f>T171</f>
        <v/>
      </c>
      <c r="U207" s="392">
        <f>U171</f>
        <v/>
      </c>
      <c r="V207" s="392">
        <f>V171</f>
        <v/>
      </c>
      <c r="W207" s="392">
        <f>W171</f>
        <v/>
      </c>
      <c r="X207" s="392">
        <f>X171</f>
        <v/>
      </c>
      <c r="Y207" s="392">
        <f>Y171</f>
        <v/>
      </c>
      <c r="Z207" s="392">
        <f>Z171</f>
        <v/>
      </c>
      <c r="AA207" s="392">
        <f>AA171</f>
        <v/>
      </c>
      <c r="AB207" s="392">
        <f>AB171</f>
        <v/>
      </c>
      <c r="AC207" s="392">
        <f>AC171</f>
        <v/>
      </c>
      <c r="AD207" s="392">
        <f>AD171</f>
        <v/>
      </c>
      <c r="AE207" s="392">
        <f>AE171</f>
        <v/>
      </c>
      <c r="AF207" s="392">
        <f>AF171</f>
        <v/>
      </c>
      <c r="AG207" s="392">
        <f>AG171</f>
        <v/>
      </c>
      <c r="AH207" s="392">
        <f>AH171</f>
        <v/>
      </c>
      <c r="AI207" s="392">
        <f>AI171</f>
        <v/>
      </c>
      <c r="AJ207" s="392">
        <f>AJ171</f>
        <v/>
      </c>
      <c r="AK207" s="392">
        <f>AK171</f>
        <v/>
      </c>
      <c r="AL207" s="392">
        <f>AL171</f>
        <v/>
      </c>
      <c r="AM207" s="392">
        <f>AM171</f>
        <v/>
      </c>
      <c r="AN207" s="392">
        <f>AN171</f>
        <v/>
      </c>
      <c r="AO207" s="392">
        <f>AO171</f>
        <v/>
      </c>
      <c r="AP207" s="392">
        <f>AP171</f>
        <v/>
      </c>
      <c r="AQ207" s="392">
        <f>AQ171</f>
        <v/>
      </c>
      <c r="AR207" s="392">
        <f>AR171</f>
        <v/>
      </c>
      <c r="AS207" s="392">
        <f>AS171</f>
        <v/>
      </c>
      <c r="AT207" s="392">
        <f>AT171</f>
        <v/>
      </c>
      <c r="AU207" s="392">
        <f>AU171</f>
        <v/>
      </c>
      <c r="AV207" s="392">
        <f>AV171</f>
        <v/>
      </c>
      <c r="AW207" s="392">
        <f>AW171</f>
        <v/>
      </c>
      <c r="AX207" s="392">
        <f>AX171</f>
        <v/>
      </c>
      <c r="AY207" s="392">
        <f>AY171</f>
        <v/>
      </c>
      <c r="AZ207" s="392">
        <f>AZ171</f>
        <v/>
      </c>
      <c r="BA207" s="392">
        <f>BA171</f>
        <v/>
      </c>
      <c r="BB207" s="392">
        <f>BB171</f>
        <v/>
      </c>
      <c r="BC207" s="392">
        <f>BC171</f>
        <v/>
      </c>
      <c r="BD207" s="392">
        <f>BD171</f>
        <v/>
      </c>
      <c r="BE207" s="392">
        <f>BE171</f>
        <v/>
      </c>
      <c r="BF207" s="392">
        <f>BF171</f>
        <v/>
      </c>
      <c r="BG207" s="392">
        <f>BG171</f>
        <v/>
      </c>
      <c r="BH207" s="392">
        <f>BH171</f>
        <v/>
      </c>
      <c r="BI207" s="392">
        <f>BI171</f>
        <v/>
      </c>
      <c r="BJ207" s="392">
        <f>BJ171</f>
        <v/>
      </c>
      <c r="BK207" s="392">
        <f>BK171</f>
        <v/>
      </c>
      <c r="BL207" s="392">
        <f>BL171</f>
        <v/>
      </c>
      <c r="BM207" s="392">
        <f>BM171</f>
        <v/>
      </c>
      <c r="BN207" s="392">
        <f>BN171</f>
        <v/>
      </c>
      <c r="BO207" s="392">
        <f>BO171</f>
        <v/>
      </c>
      <c r="BP207" s="392">
        <f>BP171</f>
        <v/>
      </c>
      <c r="BQ207" s="392">
        <f>BQ171</f>
        <v/>
      </c>
      <c r="BR207" s="392">
        <f>BR171</f>
        <v/>
      </c>
      <c r="BS207" s="392">
        <f>BS171</f>
        <v/>
      </c>
      <c r="BT207" s="392">
        <f>BT171</f>
        <v/>
      </c>
      <c r="BU207" s="392">
        <f>BU171</f>
        <v/>
      </c>
      <c r="BV207" s="392">
        <f>BV171</f>
        <v/>
      </c>
      <c r="BW207" s="392">
        <f>BW171</f>
        <v/>
      </c>
      <c r="BX207" s="392">
        <f>BX171</f>
        <v/>
      </c>
      <c r="BY207" s="392">
        <f>BY171</f>
        <v/>
      </c>
      <c r="BZ207" s="392">
        <f>BZ171</f>
        <v/>
      </c>
      <c r="CA207" s="392">
        <f>CA171</f>
        <v/>
      </c>
      <c r="CB207" s="392">
        <f>CB171</f>
        <v/>
      </c>
      <c r="CC207" s="392">
        <f>CC171</f>
        <v/>
      </c>
      <c r="CD207" s="392">
        <f>CD171</f>
        <v/>
      </c>
      <c r="CE207" s="392">
        <f>CE171</f>
        <v/>
      </c>
      <c r="CF207" s="392">
        <f>CF171</f>
        <v/>
      </c>
      <c r="CG207" s="392">
        <f>CG171</f>
        <v/>
      </c>
      <c r="CH207" s="392">
        <f>CH171</f>
        <v/>
      </c>
      <c r="CI207" s="392">
        <f>CI171</f>
        <v/>
      </c>
      <c r="CJ207" s="392">
        <f>CJ171</f>
        <v/>
      </c>
      <c r="CK207" s="392">
        <f>CK171</f>
        <v/>
      </c>
      <c r="CL207" s="392">
        <f>CL171</f>
        <v/>
      </c>
      <c r="CM207" s="392">
        <f>CM171</f>
        <v/>
      </c>
      <c r="CN207" s="392">
        <f>CN171</f>
        <v/>
      </c>
      <c r="CO207" s="392">
        <f>CO171</f>
        <v/>
      </c>
      <c r="CP207" s="392">
        <f>CP171</f>
        <v/>
      </c>
      <c r="CQ207" s="392">
        <f>CQ171</f>
        <v/>
      </c>
      <c r="CR207" s="392">
        <f>CR171</f>
        <v/>
      </c>
      <c r="CS207" s="392">
        <f>CS171</f>
        <v/>
      </c>
      <c r="CT207" s="392">
        <f>CT171</f>
        <v/>
      </c>
      <c r="CU207" s="392">
        <f>CU171</f>
        <v/>
      </c>
      <c r="CV207" s="392">
        <f>CV171</f>
        <v/>
      </c>
      <c r="CW207" s="392">
        <f>CW171</f>
        <v/>
      </c>
      <c r="CX207" s="392">
        <f>CX171</f>
        <v/>
      </c>
      <c r="CY207" s="392">
        <f>CY171</f>
        <v/>
      </c>
      <c r="CZ207" s="392">
        <f>CZ171</f>
        <v/>
      </c>
      <c r="DA207" s="392">
        <f>DA171</f>
        <v/>
      </c>
      <c r="DB207" s="392">
        <f>DB171</f>
        <v/>
      </c>
      <c r="DC207" s="392">
        <f>DC171</f>
        <v/>
      </c>
      <c r="DD207" s="392">
        <f>DD171</f>
        <v/>
      </c>
      <c r="DE207" s="392">
        <f>DE171</f>
        <v/>
      </c>
    </row>
    <row r="208" ht="15" customFormat="1" customHeight="1" s="380">
      <c r="A208" s="421" t="inlineStr">
        <is>
          <t>Total Income (GC gross profit + SP revenue)</t>
        </is>
      </c>
      <c r="B208" s="409">
        <f>B206+B207</f>
        <v/>
      </c>
      <c r="C208" s="409">
        <f>C206+C207</f>
        <v/>
      </c>
      <c r="D208" s="409">
        <f>D206+D207</f>
        <v/>
      </c>
      <c r="E208" s="409">
        <f>E206+E207</f>
        <v/>
      </c>
      <c r="F208" s="409">
        <f>F206+F207</f>
        <v/>
      </c>
      <c r="G208" s="409">
        <f>G206+G207</f>
        <v/>
      </c>
      <c r="H208" s="409">
        <f>H206+H207</f>
        <v/>
      </c>
      <c r="I208" s="409">
        <f>I206+I207</f>
        <v/>
      </c>
      <c r="J208" s="409">
        <f>J206+J207</f>
        <v/>
      </c>
      <c r="K208" s="409">
        <f>K206+K207</f>
        <v/>
      </c>
      <c r="L208" s="409">
        <f>L206+L207</f>
        <v/>
      </c>
      <c r="M208" s="409">
        <f>M206+M207</f>
        <v/>
      </c>
      <c r="N208" s="409">
        <f>N206+N207</f>
        <v/>
      </c>
      <c r="O208" s="409">
        <f>O206+O207</f>
        <v/>
      </c>
      <c r="P208" s="409">
        <f>P206+P207</f>
        <v/>
      </c>
      <c r="Q208" s="409">
        <f>Q206+Q207</f>
        <v/>
      </c>
      <c r="R208" s="409">
        <f>R206+R207</f>
        <v/>
      </c>
      <c r="S208" s="409">
        <f>S206+S207</f>
        <v/>
      </c>
      <c r="T208" s="409">
        <f>T206+T207</f>
        <v/>
      </c>
      <c r="U208" s="409">
        <f>U206+U207</f>
        <v/>
      </c>
      <c r="V208" s="409">
        <f>V206+V207</f>
        <v/>
      </c>
      <c r="W208" s="409">
        <f>W206+W207</f>
        <v/>
      </c>
      <c r="X208" s="409">
        <f>X206+X207</f>
        <v/>
      </c>
      <c r="Y208" s="409">
        <f>Y206+Y207</f>
        <v/>
      </c>
      <c r="Z208" s="409">
        <f>Z206+Z207</f>
        <v/>
      </c>
      <c r="AA208" s="409">
        <f>AA206+AA207</f>
        <v/>
      </c>
      <c r="AB208" s="409">
        <f>AB206+AB207</f>
        <v/>
      </c>
      <c r="AC208" s="409">
        <f>AC206+AC207</f>
        <v/>
      </c>
      <c r="AD208" s="409">
        <f>AD206+AD207</f>
        <v/>
      </c>
      <c r="AE208" s="409">
        <f>AE206+AE207</f>
        <v/>
      </c>
      <c r="AF208" s="409">
        <f>AF206+AF207</f>
        <v/>
      </c>
      <c r="AG208" s="409">
        <f>AG206+AG207</f>
        <v/>
      </c>
      <c r="AH208" s="409">
        <f>AH206+AH207</f>
        <v/>
      </c>
      <c r="AI208" s="409">
        <f>AI206+AI207</f>
        <v/>
      </c>
      <c r="AJ208" s="409">
        <f>AJ206+AJ207</f>
        <v/>
      </c>
      <c r="AK208" s="409">
        <f>AK206+AK207</f>
        <v/>
      </c>
      <c r="AL208" s="409">
        <f>AL206+AL207</f>
        <v/>
      </c>
      <c r="AM208" s="409">
        <f>AM206+AM207</f>
        <v/>
      </c>
      <c r="AN208" s="409">
        <f>AN206+AN207</f>
        <v/>
      </c>
      <c r="AO208" s="409">
        <f>AO206+AO207</f>
        <v/>
      </c>
      <c r="AP208" s="409">
        <f>AP206+AP207</f>
        <v/>
      </c>
      <c r="AQ208" s="409">
        <f>AQ206+AQ207</f>
        <v/>
      </c>
      <c r="AR208" s="409">
        <f>AR206+AR207</f>
        <v/>
      </c>
      <c r="AS208" s="409">
        <f>AS206+AS207</f>
        <v/>
      </c>
      <c r="AT208" s="409">
        <f>AT206+AT207</f>
        <v/>
      </c>
      <c r="AU208" s="409">
        <f>AU206+AU207</f>
        <v/>
      </c>
      <c r="AV208" s="409">
        <f>AV206+AV207</f>
        <v/>
      </c>
      <c r="AW208" s="409">
        <f>AW206+AW207</f>
        <v/>
      </c>
      <c r="AX208" s="409">
        <f>AX206+AX207</f>
        <v/>
      </c>
      <c r="AY208" s="409">
        <f>AY206+AY207</f>
        <v/>
      </c>
      <c r="AZ208" s="409">
        <f>AZ206+AZ207</f>
        <v/>
      </c>
      <c r="BA208" s="409">
        <f>BA206+BA207</f>
        <v/>
      </c>
      <c r="BB208" s="409">
        <f>BB206+BB207</f>
        <v/>
      </c>
      <c r="BC208" s="409">
        <f>BC206+BC207</f>
        <v/>
      </c>
      <c r="BD208" s="409">
        <f>BD206+BD207</f>
        <v/>
      </c>
      <c r="BE208" s="409">
        <f>BE206+BE207</f>
        <v/>
      </c>
      <c r="BF208" s="409">
        <f>BF206+BF207</f>
        <v/>
      </c>
      <c r="BG208" s="409">
        <f>BG206+BG207</f>
        <v/>
      </c>
      <c r="BH208" s="409">
        <f>BH206+BH207</f>
        <v/>
      </c>
      <c r="BI208" s="409">
        <f>BI206+BI207</f>
        <v/>
      </c>
      <c r="BJ208" s="409">
        <f>BJ206+BJ207</f>
        <v/>
      </c>
      <c r="BK208" s="409">
        <f>BK206+BK207</f>
        <v/>
      </c>
      <c r="BL208" s="409">
        <f>BL206+BL207</f>
        <v/>
      </c>
      <c r="BM208" s="409">
        <f>BM206+BM207</f>
        <v/>
      </c>
      <c r="BN208" s="409">
        <f>BN206+BN207</f>
        <v/>
      </c>
      <c r="BO208" s="409">
        <f>BO206+BO207</f>
        <v/>
      </c>
      <c r="BP208" s="409">
        <f>BP206+BP207</f>
        <v/>
      </c>
      <c r="BQ208" s="409">
        <f>BQ206+BQ207</f>
        <v/>
      </c>
      <c r="BR208" s="409">
        <f>BR206+BR207</f>
        <v/>
      </c>
      <c r="BS208" s="409">
        <f>BS206+BS207</f>
        <v/>
      </c>
      <c r="BT208" s="409">
        <f>BT206+BT207</f>
        <v/>
      </c>
      <c r="BU208" s="409">
        <f>BU206+BU207</f>
        <v/>
      </c>
      <c r="BV208" s="409">
        <f>BV206+BV207</f>
        <v/>
      </c>
      <c r="BW208" s="409">
        <f>BW206+BW207</f>
        <v/>
      </c>
      <c r="BX208" s="409">
        <f>BX206+BX207</f>
        <v/>
      </c>
      <c r="BY208" s="409">
        <f>BY206+BY207</f>
        <v/>
      </c>
      <c r="BZ208" s="409">
        <f>BZ206+BZ207</f>
        <v/>
      </c>
      <c r="CA208" s="409">
        <f>CA206+CA207</f>
        <v/>
      </c>
      <c r="CB208" s="409">
        <f>CB206+CB207</f>
        <v/>
      </c>
      <c r="CC208" s="409">
        <f>CC206+CC207</f>
        <v/>
      </c>
      <c r="CD208" s="409">
        <f>CD206+CD207</f>
        <v/>
      </c>
      <c r="CE208" s="409">
        <f>CE206+CE207</f>
        <v/>
      </c>
      <c r="CF208" s="409">
        <f>CF206+CF207</f>
        <v/>
      </c>
      <c r="CG208" s="409">
        <f>CG206+CG207</f>
        <v/>
      </c>
      <c r="CH208" s="409">
        <f>CH206+CH207</f>
        <v/>
      </c>
      <c r="CI208" s="409">
        <f>CI206+CI207</f>
        <v/>
      </c>
      <c r="CJ208" s="409">
        <f>CJ206+CJ207</f>
        <v/>
      </c>
      <c r="CK208" s="409">
        <f>CK206+CK207</f>
        <v/>
      </c>
      <c r="CL208" s="409">
        <f>CL206+CL207</f>
        <v/>
      </c>
      <c r="CM208" s="409">
        <f>CM206+CM207</f>
        <v/>
      </c>
      <c r="CN208" s="409">
        <f>CN206+CN207</f>
        <v/>
      </c>
      <c r="CO208" s="409">
        <f>CO206+CO207</f>
        <v/>
      </c>
      <c r="CP208" s="409">
        <f>CP206+CP207</f>
        <v/>
      </c>
      <c r="CQ208" s="409">
        <f>CQ206+CQ207</f>
        <v/>
      </c>
      <c r="CR208" s="409">
        <f>CR206+CR207</f>
        <v/>
      </c>
      <c r="CS208" s="409">
        <f>CS206+CS207</f>
        <v/>
      </c>
      <c r="CT208" s="409">
        <f>CT206+CT207</f>
        <v/>
      </c>
      <c r="CU208" s="409">
        <f>CU206+CU207</f>
        <v/>
      </c>
      <c r="CV208" s="409">
        <f>CV206+CV207</f>
        <v/>
      </c>
      <c r="CW208" s="409">
        <f>CW206+CW207</f>
        <v/>
      </c>
      <c r="CX208" s="409">
        <f>CX206+CX207</f>
        <v/>
      </c>
      <c r="CY208" s="409">
        <f>CY206+CY207</f>
        <v/>
      </c>
      <c r="CZ208" s="409">
        <f>CZ206+CZ207</f>
        <v/>
      </c>
      <c r="DA208" s="409">
        <f>DA206+DA207</f>
        <v/>
      </c>
      <c r="DB208" s="409">
        <f>DB206+DB207</f>
        <v/>
      </c>
      <c r="DC208" s="409">
        <f>DC206+DC207</f>
        <v/>
      </c>
      <c r="DD208" s="409">
        <f>DD206+DD207</f>
        <v/>
      </c>
      <c r="DE208" s="409">
        <f>DE206+DE207</f>
        <v/>
      </c>
    </row>
    <row r="209" ht="15" customFormat="1" customHeight="1" s="380">
      <c r="A209" s="420" t="inlineStr">
        <is>
          <t>GC Costs (net of trade COGS)</t>
        </is>
      </c>
      <c r="B209" s="392">
        <f>B146</f>
        <v/>
      </c>
      <c r="C209" s="392">
        <f>C146</f>
        <v/>
      </c>
      <c r="D209" s="392">
        <f>D146</f>
        <v/>
      </c>
      <c r="E209" s="392">
        <f>E146</f>
        <v/>
      </c>
      <c r="F209" s="392">
        <f>F146</f>
        <v/>
      </c>
      <c r="G209" s="392">
        <f>G146</f>
        <v/>
      </c>
      <c r="H209" s="392">
        <f>H146</f>
        <v/>
      </c>
      <c r="I209" s="392">
        <f>I146</f>
        <v/>
      </c>
      <c r="J209" s="392">
        <f>J146</f>
        <v/>
      </c>
      <c r="K209" s="392">
        <f>K146</f>
        <v/>
      </c>
      <c r="L209" s="392">
        <f>L146</f>
        <v/>
      </c>
      <c r="M209" s="392">
        <f>M146</f>
        <v/>
      </c>
      <c r="N209" s="392">
        <f>N146</f>
        <v/>
      </c>
      <c r="O209" s="392">
        <f>O146</f>
        <v/>
      </c>
      <c r="P209" s="392">
        <f>P146</f>
        <v/>
      </c>
      <c r="Q209" s="392">
        <f>Q146</f>
        <v/>
      </c>
      <c r="R209" s="392">
        <f>R146</f>
        <v/>
      </c>
      <c r="S209" s="392">
        <f>S146</f>
        <v/>
      </c>
      <c r="T209" s="392">
        <f>T146</f>
        <v/>
      </c>
      <c r="U209" s="392">
        <f>U146</f>
        <v/>
      </c>
      <c r="V209" s="392">
        <f>V146</f>
        <v/>
      </c>
      <c r="W209" s="392">
        <f>W146</f>
        <v/>
      </c>
      <c r="X209" s="392">
        <f>X146</f>
        <v/>
      </c>
      <c r="Y209" s="392">
        <f>Y146</f>
        <v/>
      </c>
      <c r="Z209" s="392">
        <f>Z146</f>
        <v/>
      </c>
      <c r="AA209" s="392">
        <f>AA146</f>
        <v/>
      </c>
      <c r="AB209" s="392">
        <f>AB146</f>
        <v/>
      </c>
      <c r="AC209" s="392">
        <f>AC146</f>
        <v/>
      </c>
      <c r="AD209" s="392">
        <f>AD146</f>
        <v/>
      </c>
      <c r="AE209" s="392">
        <f>AE146</f>
        <v/>
      </c>
      <c r="AF209" s="392">
        <f>AF146</f>
        <v/>
      </c>
      <c r="AG209" s="392">
        <f>AG146</f>
        <v/>
      </c>
      <c r="AH209" s="392">
        <f>AH146</f>
        <v/>
      </c>
      <c r="AI209" s="392">
        <f>AI146</f>
        <v/>
      </c>
      <c r="AJ209" s="392">
        <f>AJ146</f>
        <v/>
      </c>
      <c r="AK209" s="392">
        <f>AK146</f>
        <v/>
      </c>
      <c r="AL209" s="392">
        <f>AL146</f>
        <v/>
      </c>
      <c r="AM209" s="392">
        <f>AM146</f>
        <v/>
      </c>
      <c r="AN209" s="392">
        <f>AN146</f>
        <v/>
      </c>
      <c r="AO209" s="392">
        <f>AO146</f>
        <v/>
      </c>
      <c r="AP209" s="392">
        <f>AP146</f>
        <v/>
      </c>
      <c r="AQ209" s="392">
        <f>AQ146</f>
        <v/>
      </c>
      <c r="AR209" s="392">
        <f>AR146</f>
        <v/>
      </c>
      <c r="AS209" s="392">
        <f>AS146</f>
        <v/>
      </c>
      <c r="AT209" s="392">
        <f>AT146</f>
        <v/>
      </c>
      <c r="AU209" s="392">
        <f>AU146</f>
        <v/>
      </c>
      <c r="AV209" s="392">
        <f>AV146</f>
        <v/>
      </c>
      <c r="AW209" s="392">
        <f>AW146</f>
        <v/>
      </c>
      <c r="AX209" s="392">
        <f>AX146</f>
        <v/>
      </c>
      <c r="AY209" s="392">
        <f>AY146</f>
        <v/>
      </c>
      <c r="AZ209" s="392">
        <f>AZ146</f>
        <v/>
      </c>
      <c r="BA209" s="392">
        <f>BA146</f>
        <v/>
      </c>
      <c r="BB209" s="392">
        <f>BB146</f>
        <v/>
      </c>
      <c r="BC209" s="392">
        <f>BC146</f>
        <v/>
      </c>
      <c r="BD209" s="392">
        <f>BD146</f>
        <v/>
      </c>
      <c r="BE209" s="392">
        <f>BE146</f>
        <v/>
      </c>
      <c r="BF209" s="392">
        <f>BF146</f>
        <v/>
      </c>
      <c r="BG209" s="392">
        <f>BG146</f>
        <v/>
      </c>
      <c r="BH209" s="392">
        <f>BH146</f>
        <v/>
      </c>
      <c r="BI209" s="392">
        <f>BI146</f>
        <v/>
      </c>
      <c r="BJ209" s="392">
        <f>BJ146</f>
        <v/>
      </c>
      <c r="BK209" s="392">
        <f>BK146</f>
        <v/>
      </c>
      <c r="BL209" s="392">
        <f>BL146</f>
        <v/>
      </c>
      <c r="BM209" s="392">
        <f>BM146</f>
        <v/>
      </c>
      <c r="BN209" s="392">
        <f>BN146</f>
        <v/>
      </c>
      <c r="BO209" s="392">
        <f>BO146</f>
        <v/>
      </c>
      <c r="BP209" s="392">
        <f>BP146</f>
        <v/>
      </c>
      <c r="BQ209" s="392">
        <f>BQ146</f>
        <v/>
      </c>
      <c r="BR209" s="392">
        <f>BR146</f>
        <v/>
      </c>
      <c r="BS209" s="392">
        <f>BS146</f>
        <v/>
      </c>
      <c r="BT209" s="392">
        <f>BT146</f>
        <v/>
      </c>
      <c r="BU209" s="392">
        <f>BU146</f>
        <v/>
      </c>
      <c r="BV209" s="392">
        <f>BV146</f>
        <v/>
      </c>
      <c r="BW209" s="392">
        <f>BW146</f>
        <v/>
      </c>
      <c r="BX209" s="392">
        <f>BX146</f>
        <v/>
      </c>
      <c r="BY209" s="392">
        <f>BY146</f>
        <v/>
      </c>
      <c r="BZ209" s="392">
        <f>BZ146</f>
        <v/>
      </c>
      <c r="CA209" s="392">
        <f>CA146</f>
        <v/>
      </c>
      <c r="CB209" s="392">
        <f>CB146</f>
        <v/>
      </c>
      <c r="CC209" s="392">
        <f>CC146</f>
        <v/>
      </c>
      <c r="CD209" s="392">
        <f>CD146</f>
        <v/>
      </c>
      <c r="CE209" s="392">
        <f>CE146</f>
        <v/>
      </c>
      <c r="CF209" s="392">
        <f>CF146</f>
        <v/>
      </c>
      <c r="CG209" s="392">
        <f>CG146</f>
        <v/>
      </c>
      <c r="CH209" s="392">
        <f>CH146</f>
        <v/>
      </c>
      <c r="CI209" s="392">
        <f>CI146</f>
        <v/>
      </c>
      <c r="CJ209" s="392">
        <f>CJ146</f>
        <v/>
      </c>
      <c r="CK209" s="392">
        <f>CK146</f>
        <v/>
      </c>
      <c r="CL209" s="392">
        <f>CL146</f>
        <v/>
      </c>
      <c r="CM209" s="392">
        <f>CM146</f>
        <v/>
      </c>
      <c r="CN209" s="392">
        <f>CN146</f>
        <v/>
      </c>
      <c r="CO209" s="392">
        <f>CO146</f>
        <v/>
      </c>
      <c r="CP209" s="392">
        <f>CP146</f>
        <v/>
      </c>
      <c r="CQ209" s="392">
        <f>CQ146</f>
        <v/>
      </c>
      <c r="CR209" s="392">
        <f>CR146</f>
        <v/>
      </c>
      <c r="CS209" s="392">
        <f>CS146</f>
        <v/>
      </c>
      <c r="CT209" s="392">
        <f>CT146</f>
        <v/>
      </c>
      <c r="CU209" s="392">
        <f>CU146</f>
        <v/>
      </c>
      <c r="CV209" s="392">
        <f>CV146</f>
        <v/>
      </c>
      <c r="CW209" s="392">
        <f>CW146</f>
        <v/>
      </c>
      <c r="CX209" s="392">
        <f>CX146</f>
        <v/>
      </c>
      <c r="CY209" s="392">
        <f>CY146</f>
        <v/>
      </c>
      <c r="CZ209" s="392">
        <f>CZ146</f>
        <v/>
      </c>
      <c r="DA209" s="392">
        <f>DA146</f>
        <v/>
      </c>
      <c r="DB209" s="392">
        <f>DB146</f>
        <v/>
      </c>
      <c r="DC209" s="392">
        <f>DC146</f>
        <v/>
      </c>
      <c r="DD209" s="392">
        <f>DD146</f>
        <v/>
      </c>
      <c r="DE209" s="392">
        <f>DE146</f>
        <v/>
      </c>
    </row>
    <row r="210" ht="15" customFormat="1" customHeight="1" s="380">
      <c r="A210" s="420" t="inlineStr">
        <is>
          <t>Six Peak Expenses</t>
        </is>
      </c>
      <c r="B210" s="392">
        <f>B202</f>
        <v/>
      </c>
      <c r="C210" s="392">
        <f>C202</f>
        <v/>
      </c>
      <c r="D210" s="392">
        <f>D202</f>
        <v/>
      </c>
      <c r="E210" s="392">
        <f>E202</f>
        <v/>
      </c>
      <c r="F210" s="392">
        <f>F202</f>
        <v/>
      </c>
      <c r="G210" s="392">
        <f>G202</f>
        <v/>
      </c>
      <c r="H210" s="392">
        <f>H202</f>
        <v/>
      </c>
      <c r="I210" s="392">
        <f>I202</f>
        <v/>
      </c>
      <c r="J210" s="392">
        <f>J202</f>
        <v/>
      </c>
      <c r="K210" s="392">
        <f>K202</f>
        <v/>
      </c>
      <c r="L210" s="392">
        <f>L202</f>
        <v/>
      </c>
      <c r="M210" s="392">
        <f>M202</f>
        <v/>
      </c>
      <c r="N210" s="392">
        <f>N202</f>
        <v/>
      </c>
      <c r="O210" s="392">
        <f>O202</f>
        <v/>
      </c>
      <c r="P210" s="392">
        <f>P202</f>
        <v/>
      </c>
      <c r="Q210" s="392">
        <f>Q202</f>
        <v/>
      </c>
      <c r="R210" s="392">
        <f>R202</f>
        <v/>
      </c>
      <c r="S210" s="392">
        <f>S202</f>
        <v/>
      </c>
      <c r="T210" s="392">
        <f>T202</f>
        <v/>
      </c>
      <c r="U210" s="392">
        <f>U202</f>
        <v/>
      </c>
      <c r="V210" s="392">
        <f>V202</f>
        <v/>
      </c>
      <c r="W210" s="392">
        <f>W202</f>
        <v/>
      </c>
      <c r="X210" s="392">
        <f>X202</f>
        <v/>
      </c>
      <c r="Y210" s="392">
        <f>Y202</f>
        <v/>
      </c>
      <c r="Z210" s="392">
        <f>Z202</f>
        <v/>
      </c>
      <c r="AA210" s="392">
        <f>AA202</f>
        <v/>
      </c>
      <c r="AB210" s="392">
        <f>AB202</f>
        <v/>
      </c>
      <c r="AC210" s="392">
        <f>AC202</f>
        <v/>
      </c>
      <c r="AD210" s="392">
        <f>AD202</f>
        <v/>
      </c>
      <c r="AE210" s="392">
        <f>AE202</f>
        <v/>
      </c>
      <c r="AF210" s="392">
        <f>AF202</f>
        <v/>
      </c>
      <c r="AG210" s="392">
        <f>AG202</f>
        <v/>
      </c>
      <c r="AH210" s="392">
        <f>AH202</f>
        <v/>
      </c>
      <c r="AI210" s="392">
        <f>AI202</f>
        <v/>
      </c>
      <c r="AJ210" s="392">
        <f>AJ202</f>
        <v/>
      </c>
      <c r="AK210" s="392">
        <f>AK202</f>
        <v/>
      </c>
      <c r="AL210" s="392">
        <f>AL202</f>
        <v/>
      </c>
      <c r="AM210" s="392">
        <f>AM202</f>
        <v/>
      </c>
      <c r="AN210" s="392">
        <f>AN202</f>
        <v/>
      </c>
      <c r="AO210" s="392">
        <f>AO202</f>
        <v/>
      </c>
      <c r="AP210" s="392">
        <f>AP202</f>
        <v/>
      </c>
      <c r="AQ210" s="392">
        <f>AQ202</f>
        <v/>
      </c>
      <c r="AR210" s="392">
        <f>AR202</f>
        <v/>
      </c>
      <c r="AS210" s="392">
        <f>AS202</f>
        <v/>
      </c>
      <c r="AT210" s="392">
        <f>AT202</f>
        <v/>
      </c>
      <c r="AU210" s="392">
        <f>AU202</f>
        <v/>
      </c>
      <c r="AV210" s="392">
        <f>AV202</f>
        <v/>
      </c>
      <c r="AW210" s="392">
        <f>AW202</f>
        <v/>
      </c>
      <c r="AX210" s="392">
        <f>AX202</f>
        <v/>
      </c>
      <c r="AY210" s="392">
        <f>AY202</f>
        <v/>
      </c>
      <c r="AZ210" s="392">
        <f>AZ202</f>
        <v/>
      </c>
      <c r="BA210" s="392">
        <f>BA202</f>
        <v/>
      </c>
      <c r="BB210" s="392">
        <f>BB202</f>
        <v/>
      </c>
      <c r="BC210" s="392">
        <f>BC202</f>
        <v/>
      </c>
      <c r="BD210" s="392">
        <f>BD202</f>
        <v/>
      </c>
      <c r="BE210" s="392">
        <f>BE202</f>
        <v/>
      </c>
      <c r="BF210" s="392">
        <f>BF202</f>
        <v/>
      </c>
      <c r="BG210" s="392">
        <f>BG202</f>
        <v/>
      </c>
      <c r="BH210" s="392">
        <f>BH202</f>
        <v/>
      </c>
      <c r="BI210" s="392">
        <f>BI202</f>
        <v/>
      </c>
      <c r="BJ210" s="392">
        <f>BJ202</f>
        <v/>
      </c>
      <c r="BK210" s="392">
        <f>BK202</f>
        <v/>
      </c>
      <c r="BL210" s="392">
        <f>BL202</f>
        <v/>
      </c>
      <c r="BM210" s="392">
        <f>BM202</f>
        <v/>
      </c>
      <c r="BN210" s="392">
        <f>BN202</f>
        <v/>
      </c>
      <c r="BO210" s="392">
        <f>BO202</f>
        <v/>
      </c>
      <c r="BP210" s="392">
        <f>BP202</f>
        <v/>
      </c>
      <c r="BQ210" s="392">
        <f>BQ202</f>
        <v/>
      </c>
      <c r="BR210" s="392">
        <f>BR202</f>
        <v/>
      </c>
      <c r="BS210" s="392">
        <f>BS202</f>
        <v/>
      </c>
      <c r="BT210" s="392">
        <f>BT202</f>
        <v/>
      </c>
      <c r="BU210" s="392">
        <f>BU202</f>
        <v/>
      </c>
      <c r="BV210" s="392">
        <f>BV202</f>
        <v/>
      </c>
      <c r="BW210" s="392">
        <f>BW202</f>
        <v/>
      </c>
      <c r="BX210" s="392">
        <f>BX202</f>
        <v/>
      </c>
      <c r="BY210" s="392">
        <f>BY202</f>
        <v/>
      </c>
      <c r="BZ210" s="392">
        <f>BZ202</f>
        <v/>
      </c>
      <c r="CA210" s="392">
        <f>CA202</f>
        <v/>
      </c>
      <c r="CB210" s="392">
        <f>CB202</f>
        <v/>
      </c>
      <c r="CC210" s="392">
        <f>CC202</f>
        <v/>
      </c>
      <c r="CD210" s="392">
        <f>CD202</f>
        <v/>
      </c>
      <c r="CE210" s="392">
        <f>CE202</f>
        <v/>
      </c>
      <c r="CF210" s="392">
        <f>CF202</f>
        <v/>
      </c>
      <c r="CG210" s="392">
        <f>CG202</f>
        <v/>
      </c>
      <c r="CH210" s="392">
        <f>CH202</f>
        <v/>
      </c>
      <c r="CI210" s="392">
        <f>CI202</f>
        <v/>
      </c>
      <c r="CJ210" s="392">
        <f>CJ202</f>
        <v/>
      </c>
      <c r="CK210" s="392">
        <f>CK202</f>
        <v/>
      </c>
      <c r="CL210" s="392">
        <f>CL202</f>
        <v/>
      </c>
      <c r="CM210" s="392">
        <f>CM202</f>
        <v/>
      </c>
      <c r="CN210" s="392">
        <f>CN202</f>
        <v/>
      </c>
      <c r="CO210" s="392">
        <f>CO202</f>
        <v/>
      </c>
      <c r="CP210" s="392">
        <f>CP202</f>
        <v/>
      </c>
      <c r="CQ210" s="392">
        <f>CQ202</f>
        <v/>
      </c>
      <c r="CR210" s="392">
        <f>CR202</f>
        <v/>
      </c>
      <c r="CS210" s="392">
        <f>CS202</f>
        <v/>
      </c>
      <c r="CT210" s="392">
        <f>CT202</f>
        <v/>
      </c>
      <c r="CU210" s="392">
        <f>CU202</f>
        <v/>
      </c>
      <c r="CV210" s="392">
        <f>CV202</f>
        <v/>
      </c>
      <c r="CW210" s="392">
        <f>CW202</f>
        <v/>
      </c>
      <c r="CX210" s="392">
        <f>CX202</f>
        <v/>
      </c>
      <c r="CY210" s="392">
        <f>CY202</f>
        <v/>
      </c>
      <c r="CZ210" s="392">
        <f>CZ202</f>
        <v/>
      </c>
      <c r="DA210" s="392">
        <f>DA202</f>
        <v/>
      </c>
      <c r="DB210" s="392">
        <f>DB202</f>
        <v/>
      </c>
      <c r="DC210" s="392">
        <f>DC202</f>
        <v/>
      </c>
      <c r="DD210" s="392">
        <f>DD202</f>
        <v/>
      </c>
      <c r="DE210" s="392">
        <f>DE202</f>
        <v/>
      </c>
    </row>
    <row r="211" ht="15" customFormat="1" customHeight="1" s="380">
      <c r="A211" s="421" t="inlineStr">
        <is>
          <t>Total Costs</t>
        </is>
      </c>
      <c r="B211" s="409">
        <f>B209+B210</f>
        <v/>
      </c>
      <c r="C211" s="409">
        <f>C209+C210</f>
        <v/>
      </c>
      <c r="D211" s="409">
        <f>D209+D210</f>
        <v/>
      </c>
      <c r="E211" s="409">
        <f>E209+E210</f>
        <v/>
      </c>
      <c r="F211" s="409">
        <f>F209+F210</f>
        <v/>
      </c>
      <c r="G211" s="409">
        <f>G209+G210</f>
        <v/>
      </c>
      <c r="H211" s="409">
        <f>H209+H210</f>
        <v/>
      </c>
      <c r="I211" s="409">
        <f>I209+I210</f>
        <v/>
      </c>
      <c r="J211" s="409">
        <f>J209+J210</f>
        <v/>
      </c>
      <c r="K211" s="409">
        <f>K209+K210</f>
        <v/>
      </c>
      <c r="L211" s="409">
        <f>L209+L210</f>
        <v/>
      </c>
      <c r="M211" s="409">
        <f>M209+M210</f>
        <v/>
      </c>
      <c r="N211" s="409">
        <f>N209+N210</f>
        <v/>
      </c>
      <c r="O211" s="409">
        <f>O209+O210</f>
        <v/>
      </c>
      <c r="P211" s="409">
        <f>P209+P210</f>
        <v/>
      </c>
      <c r="Q211" s="409">
        <f>Q209+Q210</f>
        <v/>
      </c>
      <c r="R211" s="409">
        <f>R209+R210</f>
        <v/>
      </c>
      <c r="S211" s="409">
        <f>S209+S210</f>
        <v/>
      </c>
      <c r="T211" s="409">
        <f>T209+T210</f>
        <v/>
      </c>
      <c r="U211" s="409">
        <f>U209+U210</f>
        <v/>
      </c>
      <c r="V211" s="409">
        <f>V209+V210</f>
        <v/>
      </c>
      <c r="W211" s="409">
        <f>W209+W210</f>
        <v/>
      </c>
      <c r="X211" s="409">
        <f>X209+X210</f>
        <v/>
      </c>
      <c r="Y211" s="409">
        <f>Y209+Y210</f>
        <v/>
      </c>
      <c r="Z211" s="409">
        <f>Z209+Z210</f>
        <v/>
      </c>
      <c r="AA211" s="409">
        <f>AA209+AA210</f>
        <v/>
      </c>
      <c r="AB211" s="409">
        <f>AB209+AB210</f>
        <v/>
      </c>
      <c r="AC211" s="409">
        <f>AC209+AC210</f>
        <v/>
      </c>
      <c r="AD211" s="409">
        <f>AD209+AD210</f>
        <v/>
      </c>
      <c r="AE211" s="409">
        <f>AE209+AE210</f>
        <v/>
      </c>
      <c r="AF211" s="409">
        <f>AF209+AF210</f>
        <v/>
      </c>
      <c r="AG211" s="409">
        <f>AG209+AG210</f>
        <v/>
      </c>
      <c r="AH211" s="409">
        <f>AH209+AH210</f>
        <v/>
      </c>
      <c r="AI211" s="409">
        <f>AI209+AI210</f>
        <v/>
      </c>
      <c r="AJ211" s="409">
        <f>AJ209+AJ210</f>
        <v/>
      </c>
      <c r="AK211" s="409">
        <f>AK209+AK210</f>
        <v/>
      </c>
      <c r="AL211" s="409">
        <f>AL209+AL210</f>
        <v/>
      </c>
      <c r="AM211" s="409">
        <f>AM209+AM210</f>
        <v/>
      </c>
      <c r="AN211" s="409">
        <f>AN209+AN210</f>
        <v/>
      </c>
      <c r="AO211" s="409">
        <f>AO209+AO210</f>
        <v/>
      </c>
      <c r="AP211" s="409">
        <f>AP209+AP210</f>
        <v/>
      </c>
      <c r="AQ211" s="409">
        <f>AQ209+AQ210</f>
        <v/>
      </c>
      <c r="AR211" s="409">
        <f>AR209+AR210</f>
        <v/>
      </c>
      <c r="AS211" s="409">
        <f>AS209+AS210</f>
        <v/>
      </c>
      <c r="AT211" s="409">
        <f>AT209+AT210</f>
        <v/>
      </c>
      <c r="AU211" s="409">
        <f>AU209+AU210</f>
        <v/>
      </c>
      <c r="AV211" s="409">
        <f>AV209+AV210</f>
        <v/>
      </c>
      <c r="AW211" s="409">
        <f>AW209+AW210</f>
        <v/>
      </c>
      <c r="AX211" s="409">
        <f>AX209+AX210</f>
        <v/>
      </c>
      <c r="AY211" s="409">
        <f>AY209+AY210</f>
        <v/>
      </c>
      <c r="AZ211" s="409">
        <f>AZ209+AZ210</f>
        <v/>
      </c>
      <c r="BA211" s="409">
        <f>BA209+BA210</f>
        <v/>
      </c>
      <c r="BB211" s="409">
        <f>BB209+BB210</f>
        <v/>
      </c>
      <c r="BC211" s="409">
        <f>BC209+BC210</f>
        <v/>
      </c>
      <c r="BD211" s="409">
        <f>BD209+BD210</f>
        <v/>
      </c>
      <c r="BE211" s="409">
        <f>BE209+BE210</f>
        <v/>
      </c>
      <c r="BF211" s="409">
        <f>BF209+BF210</f>
        <v/>
      </c>
      <c r="BG211" s="409">
        <f>BG209+BG210</f>
        <v/>
      </c>
      <c r="BH211" s="409">
        <f>BH209+BH210</f>
        <v/>
      </c>
      <c r="BI211" s="409">
        <f>BI209+BI210</f>
        <v/>
      </c>
      <c r="BJ211" s="409">
        <f>BJ209+BJ210</f>
        <v/>
      </c>
      <c r="BK211" s="409">
        <f>BK209+BK210</f>
        <v/>
      </c>
      <c r="BL211" s="409">
        <f>BL209+BL210</f>
        <v/>
      </c>
      <c r="BM211" s="409">
        <f>BM209+BM210</f>
        <v/>
      </c>
      <c r="BN211" s="409">
        <f>BN209+BN210</f>
        <v/>
      </c>
      <c r="BO211" s="409">
        <f>BO209+BO210</f>
        <v/>
      </c>
      <c r="BP211" s="409">
        <f>BP209+BP210</f>
        <v/>
      </c>
      <c r="BQ211" s="409">
        <f>BQ209+BQ210</f>
        <v/>
      </c>
      <c r="BR211" s="409">
        <f>BR209+BR210</f>
        <v/>
      </c>
      <c r="BS211" s="409">
        <f>BS209+BS210</f>
        <v/>
      </c>
      <c r="BT211" s="409">
        <f>BT209+BT210</f>
        <v/>
      </c>
      <c r="BU211" s="409">
        <f>BU209+BU210</f>
        <v/>
      </c>
      <c r="BV211" s="409">
        <f>BV209+BV210</f>
        <v/>
      </c>
      <c r="BW211" s="409">
        <f>BW209+BW210</f>
        <v/>
      </c>
      <c r="BX211" s="409">
        <f>BX209+BX210</f>
        <v/>
      </c>
      <c r="BY211" s="409">
        <f>BY209+BY210</f>
        <v/>
      </c>
      <c r="BZ211" s="409">
        <f>BZ209+BZ210</f>
        <v/>
      </c>
      <c r="CA211" s="409">
        <f>CA209+CA210</f>
        <v/>
      </c>
      <c r="CB211" s="409">
        <f>CB209+CB210</f>
        <v/>
      </c>
      <c r="CC211" s="409">
        <f>CC209+CC210</f>
        <v/>
      </c>
      <c r="CD211" s="409">
        <f>CD209+CD210</f>
        <v/>
      </c>
      <c r="CE211" s="409">
        <f>CE209+CE210</f>
        <v/>
      </c>
      <c r="CF211" s="409">
        <f>CF209+CF210</f>
        <v/>
      </c>
      <c r="CG211" s="409">
        <f>CG209+CG210</f>
        <v/>
      </c>
      <c r="CH211" s="409">
        <f>CH209+CH210</f>
        <v/>
      </c>
      <c r="CI211" s="409">
        <f>CI209+CI210</f>
        <v/>
      </c>
      <c r="CJ211" s="409">
        <f>CJ209+CJ210</f>
        <v/>
      </c>
      <c r="CK211" s="409">
        <f>CK209+CK210</f>
        <v/>
      </c>
      <c r="CL211" s="409">
        <f>CL209+CL210</f>
        <v/>
      </c>
      <c r="CM211" s="409">
        <f>CM209+CM210</f>
        <v/>
      </c>
      <c r="CN211" s="409">
        <f>CN209+CN210</f>
        <v/>
      </c>
      <c r="CO211" s="409">
        <f>CO209+CO210</f>
        <v/>
      </c>
      <c r="CP211" s="409">
        <f>CP209+CP210</f>
        <v/>
      </c>
      <c r="CQ211" s="409">
        <f>CQ209+CQ210</f>
        <v/>
      </c>
      <c r="CR211" s="409">
        <f>CR209+CR210</f>
        <v/>
      </c>
      <c r="CS211" s="409">
        <f>CS209+CS210</f>
        <v/>
      </c>
      <c r="CT211" s="409">
        <f>CT209+CT210</f>
        <v/>
      </c>
      <c r="CU211" s="409">
        <f>CU209+CU210</f>
        <v/>
      </c>
      <c r="CV211" s="409">
        <f>CV209+CV210</f>
        <v/>
      </c>
      <c r="CW211" s="409">
        <f>CW209+CW210</f>
        <v/>
      </c>
      <c r="CX211" s="409">
        <f>CX209+CX210</f>
        <v/>
      </c>
      <c r="CY211" s="409">
        <f>CY209+CY210</f>
        <v/>
      </c>
      <c r="CZ211" s="409">
        <f>CZ209+CZ210</f>
        <v/>
      </c>
      <c r="DA211" s="409">
        <f>DA209+DA210</f>
        <v/>
      </c>
      <c r="DB211" s="409">
        <f>DB209+DB210</f>
        <v/>
      </c>
      <c r="DC211" s="409">
        <f>DC209+DC210</f>
        <v/>
      </c>
      <c r="DD211" s="409">
        <f>DD209+DD210</f>
        <v/>
      </c>
      <c r="DE211" s="409">
        <f>DE209+DE210</f>
        <v/>
      </c>
    </row>
    <row r="212" ht="19.5" customFormat="1" customHeight="1" s="380">
      <c r="A212" s="422" t="inlineStr">
        <is>
          <t>Consolidated Net Income</t>
        </is>
      </c>
      <c r="B212" s="417">
        <f>B208+B211</f>
        <v/>
      </c>
      <c r="C212" s="417">
        <f>C208+C211</f>
        <v/>
      </c>
      <c r="D212" s="417">
        <f>D208+D211</f>
        <v/>
      </c>
      <c r="E212" s="417">
        <f>E208+E211</f>
        <v/>
      </c>
      <c r="F212" s="417">
        <f>F208+F211</f>
        <v/>
      </c>
      <c r="G212" s="417">
        <f>G208+G211</f>
        <v/>
      </c>
      <c r="H212" s="417">
        <f>H208+H211</f>
        <v/>
      </c>
      <c r="I212" s="417">
        <f>I208+I211</f>
        <v/>
      </c>
      <c r="J212" s="417">
        <f>J208+J211</f>
        <v/>
      </c>
      <c r="K212" s="417">
        <f>K208+K211</f>
        <v/>
      </c>
      <c r="L212" s="417">
        <f>L208+L211</f>
        <v/>
      </c>
      <c r="M212" s="417">
        <f>M208+M211</f>
        <v/>
      </c>
      <c r="N212" s="417">
        <f>N208+N211</f>
        <v/>
      </c>
      <c r="O212" s="417">
        <f>O208+O211</f>
        <v/>
      </c>
      <c r="P212" s="417">
        <f>P208+P211</f>
        <v/>
      </c>
      <c r="Q212" s="417">
        <f>Q208+Q211</f>
        <v/>
      </c>
      <c r="R212" s="417">
        <f>R208+R211</f>
        <v/>
      </c>
      <c r="S212" s="417">
        <f>S208+S211</f>
        <v/>
      </c>
      <c r="T212" s="417">
        <f>T208+T211</f>
        <v/>
      </c>
      <c r="U212" s="417">
        <f>U208+U211</f>
        <v/>
      </c>
      <c r="V212" s="417">
        <f>V208+V211</f>
        <v/>
      </c>
      <c r="W212" s="417">
        <f>W208+W211</f>
        <v/>
      </c>
      <c r="X212" s="417">
        <f>X208+X211</f>
        <v/>
      </c>
      <c r="Y212" s="417">
        <f>Y208+Y211</f>
        <v/>
      </c>
      <c r="Z212" s="417">
        <f>Z208+Z211</f>
        <v/>
      </c>
      <c r="AA212" s="417">
        <f>AA208+AA211</f>
        <v/>
      </c>
      <c r="AB212" s="417">
        <f>AB208+AB211</f>
        <v/>
      </c>
      <c r="AC212" s="417">
        <f>AC208+AC211</f>
        <v/>
      </c>
      <c r="AD212" s="417">
        <f>AD208+AD211</f>
        <v/>
      </c>
      <c r="AE212" s="417">
        <f>AE208+AE211</f>
        <v/>
      </c>
      <c r="AF212" s="417">
        <f>AF208+AF211</f>
        <v/>
      </c>
      <c r="AG212" s="417">
        <f>AG208+AG211</f>
        <v/>
      </c>
      <c r="AH212" s="417">
        <f>AH208+AH211</f>
        <v/>
      </c>
      <c r="AI212" s="417">
        <f>AI208+AI211</f>
        <v/>
      </c>
      <c r="AJ212" s="417">
        <f>AJ208+AJ211</f>
        <v/>
      </c>
      <c r="AK212" s="417">
        <f>AK208+AK211</f>
        <v/>
      </c>
      <c r="AL212" s="417">
        <f>AL208+AL211</f>
        <v/>
      </c>
      <c r="AM212" s="417">
        <f>AM208+AM211</f>
        <v/>
      </c>
      <c r="AN212" s="417">
        <f>AN208+AN211</f>
        <v/>
      </c>
      <c r="AO212" s="417">
        <f>AO208+AO211</f>
        <v/>
      </c>
      <c r="AP212" s="417">
        <f>AP208+AP211</f>
        <v/>
      </c>
      <c r="AQ212" s="417">
        <f>AQ208+AQ211</f>
        <v/>
      </c>
      <c r="AR212" s="417">
        <f>AR208+AR211</f>
        <v/>
      </c>
      <c r="AS212" s="417">
        <f>AS208+AS211</f>
        <v/>
      </c>
      <c r="AT212" s="417">
        <f>AT208+AT211</f>
        <v/>
      </c>
      <c r="AU212" s="417">
        <f>AU208+AU211</f>
        <v/>
      </c>
      <c r="AV212" s="417">
        <f>AV208+AV211</f>
        <v/>
      </c>
      <c r="AW212" s="417">
        <f>AW208+AW211</f>
        <v/>
      </c>
      <c r="AX212" s="417">
        <f>AX208+AX211</f>
        <v/>
      </c>
      <c r="AY212" s="417">
        <f>AY208+AY211</f>
        <v/>
      </c>
      <c r="AZ212" s="417">
        <f>AZ208+AZ211</f>
        <v/>
      </c>
      <c r="BA212" s="417">
        <f>BA208+BA211</f>
        <v/>
      </c>
      <c r="BB212" s="417">
        <f>BB208+BB211</f>
        <v/>
      </c>
      <c r="BC212" s="417">
        <f>BC208+BC211</f>
        <v/>
      </c>
      <c r="BD212" s="417">
        <f>BD208+BD211</f>
        <v/>
      </c>
      <c r="BE212" s="417">
        <f>BE208+BE211</f>
        <v/>
      </c>
      <c r="BF212" s="417">
        <f>BF208+BF211</f>
        <v/>
      </c>
      <c r="BG212" s="417">
        <f>BG208+BG211</f>
        <v/>
      </c>
      <c r="BH212" s="417">
        <f>BH208+BH211</f>
        <v/>
      </c>
      <c r="BI212" s="417">
        <f>BI208+BI211</f>
        <v/>
      </c>
      <c r="BJ212" s="417">
        <f>BJ208+BJ211</f>
        <v/>
      </c>
      <c r="BK212" s="417">
        <f>BK208+BK211</f>
        <v/>
      </c>
      <c r="BL212" s="417">
        <f>BL208+BL211</f>
        <v/>
      </c>
      <c r="BM212" s="417">
        <f>BM208+BM211</f>
        <v/>
      </c>
      <c r="BN212" s="417">
        <f>BN208+BN211</f>
        <v/>
      </c>
      <c r="BO212" s="417">
        <f>BO208+BO211</f>
        <v/>
      </c>
      <c r="BP212" s="417">
        <f>BP208+BP211</f>
        <v/>
      </c>
      <c r="BQ212" s="417">
        <f>BQ208+BQ211</f>
        <v/>
      </c>
      <c r="BR212" s="417">
        <f>BR208+BR211</f>
        <v/>
      </c>
      <c r="BS212" s="417">
        <f>BS208+BS211</f>
        <v/>
      </c>
      <c r="BT212" s="417">
        <f>BT208+BT211</f>
        <v/>
      </c>
      <c r="BU212" s="417">
        <f>BU208+BU211</f>
        <v/>
      </c>
      <c r="BV212" s="417">
        <f>BV208+BV211</f>
        <v/>
      </c>
      <c r="BW212" s="417">
        <f>BW208+BW211</f>
        <v/>
      </c>
      <c r="BX212" s="417">
        <f>BX208+BX211</f>
        <v/>
      </c>
      <c r="BY212" s="417">
        <f>BY208+BY211</f>
        <v/>
      </c>
      <c r="BZ212" s="417">
        <f>BZ208+BZ211</f>
        <v/>
      </c>
      <c r="CA212" s="417">
        <f>CA208+CA211</f>
        <v/>
      </c>
      <c r="CB212" s="417">
        <f>CB208+CB211</f>
        <v/>
      </c>
      <c r="CC212" s="417">
        <f>CC208+CC211</f>
        <v/>
      </c>
      <c r="CD212" s="417">
        <f>CD208+CD211</f>
        <v/>
      </c>
      <c r="CE212" s="417">
        <f>CE208+CE211</f>
        <v/>
      </c>
      <c r="CF212" s="417">
        <f>CF208+CF211</f>
        <v/>
      </c>
      <c r="CG212" s="417">
        <f>CG208+CG211</f>
        <v/>
      </c>
      <c r="CH212" s="417">
        <f>CH208+CH211</f>
        <v/>
      </c>
      <c r="CI212" s="417">
        <f>CI208+CI211</f>
        <v/>
      </c>
      <c r="CJ212" s="417">
        <f>CJ208+CJ211</f>
        <v/>
      </c>
      <c r="CK212" s="417">
        <f>CK208+CK211</f>
        <v/>
      </c>
      <c r="CL212" s="417">
        <f>CL208+CL211</f>
        <v/>
      </c>
      <c r="CM212" s="417">
        <f>CM208+CM211</f>
        <v/>
      </c>
      <c r="CN212" s="417">
        <f>CN208+CN211</f>
        <v/>
      </c>
      <c r="CO212" s="417">
        <f>CO208+CO211</f>
        <v/>
      </c>
      <c r="CP212" s="417">
        <f>CP208+CP211</f>
        <v/>
      </c>
      <c r="CQ212" s="417">
        <f>CQ208+CQ211</f>
        <v/>
      </c>
      <c r="CR212" s="417">
        <f>CR208+CR211</f>
        <v/>
      </c>
      <c r="CS212" s="417">
        <f>CS208+CS211</f>
        <v/>
      </c>
      <c r="CT212" s="417">
        <f>CT208+CT211</f>
        <v/>
      </c>
      <c r="CU212" s="417">
        <f>CU208+CU211</f>
        <v/>
      </c>
      <c r="CV212" s="417">
        <f>CV208+CV211</f>
        <v/>
      </c>
      <c r="CW212" s="417">
        <f>CW208+CW211</f>
        <v/>
      </c>
      <c r="CX212" s="417">
        <f>CX208+CX211</f>
        <v/>
      </c>
      <c r="CY212" s="417">
        <f>CY208+CY211</f>
        <v/>
      </c>
      <c r="CZ212" s="417">
        <f>CZ208+CZ211</f>
        <v/>
      </c>
      <c r="DA212" s="417">
        <f>DA208+DA211</f>
        <v/>
      </c>
      <c r="DB212" s="417">
        <f>DB208+DB211</f>
        <v/>
      </c>
      <c r="DC212" s="417">
        <f>DC208+DC211</f>
        <v/>
      </c>
      <c r="DD212" s="417">
        <f>DD208+DD211</f>
        <v/>
      </c>
      <c r="DE212" s="417">
        <f>DE208+DE211</f>
        <v/>
      </c>
    </row>
    <row r="213" ht="19.5" customFormat="1" customHeight="1" s="380">
      <c r="A213" s="423" t="inlineStr">
        <is>
          <t>Consolidated Margin %</t>
        </is>
      </c>
      <c r="B213" s="413">
        <f>IFERROR(IF(OR(B208&lt;=0,B212/B208&lt;0,B212/B208&gt;1),0,B212/B208),0)</f>
        <v/>
      </c>
      <c r="C213" s="413">
        <f>IFERROR(IF(OR(C208&lt;=0,C212/C208&lt;0,C212/C208&gt;1),0,C212/C208),0)</f>
        <v/>
      </c>
      <c r="D213" s="413">
        <f>IFERROR(IF(OR(D208&lt;=0,D212/D208&lt;0,D212/D208&gt;1),0,D212/D208),0)</f>
        <v/>
      </c>
      <c r="E213" s="413">
        <f>IFERROR(IF(OR(E208&lt;=0,E212/E208&lt;0,E212/E208&gt;1),0,E212/E208),0)</f>
        <v/>
      </c>
      <c r="F213" s="413">
        <f>IFERROR(IF(OR(F208&lt;=0,F212/F208&lt;0,F212/F208&gt;1),0,F212/F208),0)</f>
        <v/>
      </c>
      <c r="G213" s="413">
        <f>IFERROR(IF(OR(G208&lt;=0,G212/G208&lt;0,G212/G208&gt;1),0,G212/G208),0)</f>
        <v/>
      </c>
      <c r="H213" s="413">
        <f>IFERROR(IF(OR(H208&lt;=0,H212/H208&lt;0,H212/H208&gt;1),0,H212/H208),0)</f>
        <v/>
      </c>
      <c r="I213" s="413">
        <f>IFERROR(IF(OR(I208&lt;=0,I212/I208&lt;0,I212/I208&gt;1),0,I212/I208),0)</f>
        <v/>
      </c>
      <c r="J213" s="413">
        <f>IFERROR(IF(OR(J208&lt;=0,J212/J208&lt;0,J212/J208&gt;1),0,J212/J208),0)</f>
        <v/>
      </c>
      <c r="K213" s="413">
        <f>IFERROR(IF(OR(K208&lt;=0,K212/K208&lt;0,K212/K208&gt;1),0,K212/K208),0)</f>
        <v/>
      </c>
      <c r="L213" s="413">
        <f>IFERROR(IF(OR(L208&lt;=0,L212/L208&lt;0,L212/L208&gt;1),0,L212/L208),0)</f>
        <v/>
      </c>
      <c r="M213" s="413">
        <f>IFERROR(IF(OR(M208&lt;=0,M212/M208&lt;0,M212/M208&gt;1),0,M212/M208),0)</f>
        <v/>
      </c>
      <c r="N213" s="413">
        <f>IFERROR(IF(OR(N208&lt;=0,N212/N208&lt;0,N212/N208&gt;1),0,N212/N208),0)</f>
        <v/>
      </c>
      <c r="O213" s="413">
        <f>IFERROR(IF(OR(O208&lt;=0,O212/O208&lt;0,O212/O208&gt;1),0,O212/O208),0)</f>
        <v/>
      </c>
      <c r="P213" s="413">
        <f>IFERROR(IF(OR(P208&lt;=0,P212/P208&lt;0,P212/P208&gt;1),0,P212/P208),0)</f>
        <v/>
      </c>
      <c r="Q213" s="413">
        <f>IFERROR(IF(OR(Q208&lt;=0,Q212/Q208&lt;0,Q212/Q208&gt;1),0,Q212/Q208),0)</f>
        <v/>
      </c>
      <c r="R213" s="413">
        <f>IFERROR(IF(OR(R208&lt;=0,R212/R208&lt;0,R212/R208&gt;1),0,R212/R208),0)</f>
        <v/>
      </c>
      <c r="S213" s="413">
        <f>IFERROR(IF(OR(S208&lt;=0,S212/S208&lt;0,S212/S208&gt;1),0,S212/S208),0)</f>
        <v/>
      </c>
      <c r="T213" s="413">
        <f>IFERROR(IF(OR(T208&lt;=0,T212/T208&lt;0,T212/T208&gt;1),0,T212/T208),0)</f>
        <v/>
      </c>
      <c r="U213" s="413">
        <f>IFERROR(IF(OR(U208&lt;=0,U212/U208&lt;0,U212/U208&gt;1),0,U212/U208),0)</f>
        <v/>
      </c>
      <c r="V213" s="413">
        <f>IFERROR(IF(OR(V208&lt;=0,V212/V208&lt;0,V212/V208&gt;1),0,V212/V208),0)</f>
        <v/>
      </c>
      <c r="W213" s="413">
        <f>IFERROR(IF(OR(W208&lt;=0,W212/W208&lt;0,W212/W208&gt;1),0,W212/W208),0)</f>
        <v/>
      </c>
      <c r="X213" s="413">
        <f>IFERROR(IF(OR(X208&lt;=0,X212/X208&lt;0,X212/X208&gt;1),0,X212/X208),0)</f>
        <v/>
      </c>
      <c r="Y213" s="413">
        <f>IFERROR(IF(OR(Y208&lt;=0,Y212/Y208&lt;0,Y212/Y208&gt;1),0,Y212/Y208),0)</f>
        <v/>
      </c>
      <c r="Z213" s="413">
        <f>IFERROR(IF(OR(Z208&lt;=0,Z212/Z208&lt;0,Z212/Z208&gt;1),0,Z212/Z208),0)</f>
        <v/>
      </c>
      <c r="AA213" s="413">
        <f>IFERROR(IF(OR(AA208&lt;=0,AA212/AA208&lt;0,AA212/AA208&gt;1),0,AA212/AA208),0)</f>
        <v/>
      </c>
      <c r="AB213" s="413">
        <f>IFERROR(IF(OR(AB208&lt;=0,AB212/AB208&lt;0,AB212/AB208&gt;1),0,AB212/AB208),0)</f>
        <v/>
      </c>
      <c r="AC213" s="413">
        <f>IFERROR(IF(OR(AC208&lt;=0,AC212/AC208&lt;0,AC212/AC208&gt;1),0,AC212/AC208),0)</f>
        <v/>
      </c>
      <c r="AD213" s="413">
        <f>IFERROR(IF(OR(AD208&lt;=0,AD212/AD208&lt;0,AD212/AD208&gt;1),0,AD212/AD208),0)</f>
        <v/>
      </c>
      <c r="AE213" s="413">
        <f>IFERROR(IF(OR(AE208&lt;=0,AE212/AE208&lt;0,AE212/AE208&gt;1),0,AE212/AE208),0)</f>
        <v/>
      </c>
      <c r="AF213" s="413">
        <f>IFERROR(IF(OR(AF208&lt;=0,AF212/AF208&lt;0,AF212/AF208&gt;1),0,AF212/AF208),0)</f>
        <v/>
      </c>
      <c r="AG213" s="413">
        <f>IFERROR(IF(OR(AG208&lt;=0,AG212/AG208&lt;0,AG212/AG208&gt;1),0,AG212/AG208),0)</f>
        <v/>
      </c>
      <c r="AH213" s="413">
        <f>IFERROR(IF(OR(AH208&lt;=0,AH212/AH208&lt;0,AH212/AH208&gt;1),0,AH212/AH208),0)</f>
        <v/>
      </c>
      <c r="AI213" s="413">
        <f>IFERROR(IF(OR(AI208&lt;=0,AI212/AI208&lt;0,AI212/AI208&gt;1),0,AI212/AI208),0)</f>
        <v/>
      </c>
      <c r="AJ213" s="413">
        <f>IFERROR(IF(OR(AJ208&lt;=0,AJ212/AJ208&lt;0,AJ212/AJ208&gt;1),0,AJ212/AJ208),0)</f>
        <v/>
      </c>
      <c r="AK213" s="413">
        <f>IFERROR(IF(OR(AK208&lt;=0,AK212/AK208&lt;0,AK212/AK208&gt;1),0,AK212/AK208),0)</f>
        <v/>
      </c>
      <c r="AL213" s="413">
        <f>IFERROR(IF(OR(AL208&lt;=0,AL212/AL208&lt;0,AL212/AL208&gt;1),0,AL212/AL208),0)</f>
        <v/>
      </c>
      <c r="AM213" s="413">
        <f>IFERROR(IF(OR(AM208&lt;=0,AM212/AM208&lt;0,AM212/AM208&gt;1),0,AM212/AM208),0)</f>
        <v/>
      </c>
      <c r="AN213" s="413">
        <f>IFERROR(IF(OR(AN208&lt;=0,AN212/AN208&lt;0,AN212/AN208&gt;1),0,AN212/AN208),0)</f>
        <v/>
      </c>
      <c r="AO213" s="413">
        <f>IFERROR(IF(OR(AO208&lt;=0,AO212/AO208&lt;0,AO212/AO208&gt;1),0,AO212/AO208),0)</f>
        <v/>
      </c>
      <c r="AP213" s="413">
        <f>IFERROR(IF(OR(AP208&lt;=0,AP212/AP208&lt;0,AP212/AP208&gt;1),0,AP212/AP208),0)</f>
        <v/>
      </c>
      <c r="AQ213" s="413">
        <f>IFERROR(IF(OR(AQ208&lt;=0,AQ212/AQ208&lt;0,AQ212/AQ208&gt;1),0,AQ212/AQ208),0)</f>
        <v/>
      </c>
      <c r="AR213" s="413">
        <f>IFERROR(IF(OR(AR208&lt;=0,AR212/AR208&lt;0,AR212/AR208&gt;1),0,AR212/AR208),0)</f>
        <v/>
      </c>
      <c r="AS213" s="413">
        <f>IFERROR(IF(OR(AS208&lt;=0,AS212/AS208&lt;0,AS212/AS208&gt;1),0,AS212/AS208),0)</f>
        <v/>
      </c>
      <c r="AT213" s="413">
        <f>IFERROR(IF(OR(AT208&lt;=0,AT212/AT208&lt;0,AT212/AT208&gt;1),0,AT212/AT208),0)</f>
        <v/>
      </c>
      <c r="AU213" s="413">
        <f>IFERROR(IF(OR(AU208&lt;=0,AU212/AU208&lt;0,AU212/AU208&gt;1),0,AU212/AU208),0)</f>
        <v/>
      </c>
      <c r="AV213" s="413">
        <f>IFERROR(IF(OR(AV208&lt;=0,AV212/AV208&lt;0,AV212/AV208&gt;1),0,AV212/AV208),0)</f>
        <v/>
      </c>
      <c r="AW213" s="413">
        <f>IFERROR(IF(OR(AW208&lt;=0,AW212/AW208&lt;0,AW212/AW208&gt;1),0,AW212/AW208),0)</f>
        <v/>
      </c>
      <c r="AX213" s="413">
        <f>IFERROR(IF(OR(AX208&lt;=0,AX212/AX208&lt;0,AX212/AX208&gt;1),0,AX212/AX208),0)</f>
        <v/>
      </c>
      <c r="AY213" s="413">
        <f>IFERROR(IF(OR(AY208&lt;=0,AY212/AY208&lt;0,AY212/AY208&gt;1),0,AY212/AY208),0)</f>
        <v/>
      </c>
      <c r="AZ213" s="413">
        <f>IFERROR(IF(OR(AZ208&lt;=0,AZ212/AZ208&lt;0,AZ212/AZ208&gt;1),0,AZ212/AZ208),0)</f>
        <v/>
      </c>
      <c r="BA213" s="413">
        <f>IFERROR(IF(OR(BA208&lt;=0,BA212/BA208&lt;0,BA212/BA208&gt;1),0,BA212/BA208),0)</f>
        <v/>
      </c>
      <c r="BB213" s="413">
        <f>IFERROR(IF(OR(BB208&lt;=0,BB212/BB208&lt;0,BB212/BB208&gt;1),0,BB212/BB208),0)</f>
        <v/>
      </c>
      <c r="BC213" s="413">
        <f>IFERROR(IF(OR(BC208&lt;=0,BC212/BC208&lt;0,BC212/BC208&gt;1),0,BC212/BC208),0)</f>
        <v/>
      </c>
      <c r="BD213" s="413">
        <f>IFERROR(IF(OR(BD208&lt;=0,BD212/BD208&lt;0,BD212/BD208&gt;1),0,BD212/BD208),0)</f>
        <v/>
      </c>
      <c r="BE213" s="413">
        <f>IFERROR(IF(OR(BE208&lt;=0,BE212/BE208&lt;0,BE212/BE208&gt;1),0,BE212/BE208),0)</f>
        <v/>
      </c>
      <c r="BF213" s="413">
        <f>IFERROR(IF(OR(BF208&lt;=0,BF212/BF208&lt;0,BF212/BF208&gt;1),0,BF212/BF208),0)</f>
        <v/>
      </c>
      <c r="BG213" s="413">
        <f>IFERROR(IF(OR(BG208&lt;=0,BG212/BG208&lt;0,BG212/BG208&gt;1),0,BG212/BG208),0)</f>
        <v/>
      </c>
      <c r="BH213" s="413">
        <f>IFERROR(IF(OR(BH208&lt;=0,BH212/BH208&lt;0,BH212/BH208&gt;1),0,BH212/BH208),0)</f>
        <v/>
      </c>
      <c r="BI213" s="413">
        <f>IFERROR(IF(OR(BI208&lt;=0,BI212/BI208&lt;0,BI212/BI208&gt;1),0,BI212/BI208),0)</f>
        <v/>
      </c>
      <c r="BJ213" s="413">
        <f>IFERROR(IF(OR(BJ208&lt;=0,BJ212/BJ208&lt;0,BJ212/BJ208&gt;1),0,BJ212/BJ208),0)</f>
        <v/>
      </c>
      <c r="BK213" s="413">
        <f>IFERROR(IF(OR(BK208&lt;=0,BK212/BK208&lt;0,BK212/BK208&gt;1),0,BK212/BK208),0)</f>
        <v/>
      </c>
      <c r="BL213" s="413">
        <f>IFERROR(IF(OR(BL208&lt;=0,BL212/BL208&lt;0,BL212/BL208&gt;1),0,BL212/BL208),0)</f>
        <v/>
      </c>
      <c r="BM213" s="413">
        <f>IFERROR(IF(OR(BM208&lt;=0,BM212/BM208&lt;0,BM212/BM208&gt;1),0,BM212/BM208),0)</f>
        <v/>
      </c>
      <c r="BN213" s="413">
        <f>IFERROR(IF(OR(BN208&lt;=0,BN212/BN208&lt;0,BN212/BN208&gt;1),0,BN212/BN208),0)</f>
        <v/>
      </c>
      <c r="BO213" s="413">
        <f>IFERROR(IF(OR(BO208&lt;=0,BO212/BO208&lt;0,BO212/BO208&gt;1),0,BO212/BO208),0)</f>
        <v/>
      </c>
      <c r="BP213" s="413">
        <f>IFERROR(IF(OR(BP208&lt;=0,BP212/BP208&lt;0,BP212/BP208&gt;1),0,BP212/BP208),0)</f>
        <v/>
      </c>
      <c r="BQ213" s="413">
        <f>IFERROR(IF(OR(BQ208&lt;=0,BQ212/BQ208&lt;0,BQ212/BQ208&gt;1),0,BQ212/BQ208),0)</f>
        <v/>
      </c>
      <c r="BR213" s="413">
        <f>IFERROR(IF(OR(BR208&lt;=0,BR212/BR208&lt;0,BR212/BR208&gt;1),0,BR212/BR208),0)</f>
        <v/>
      </c>
      <c r="BS213" s="413">
        <f>IFERROR(IF(OR(BS208&lt;=0,BS212/BS208&lt;0,BS212/BS208&gt;1),0,BS212/BS208),0)</f>
        <v/>
      </c>
      <c r="BT213" s="413">
        <f>IFERROR(IF(OR(BT208&lt;=0,BT212/BT208&lt;0,BT212/BT208&gt;1),0,BT212/BT208),0)</f>
        <v/>
      </c>
      <c r="BU213" s="413">
        <f>IFERROR(IF(OR(BU208&lt;=0,BU212/BU208&lt;0,BU212/BU208&gt;1),0,BU212/BU208),0)</f>
        <v/>
      </c>
      <c r="BV213" s="413">
        <f>IFERROR(IF(OR(BV208&lt;=0,BV212/BV208&lt;0,BV212/BV208&gt;1),0,BV212/BV208),0)</f>
        <v/>
      </c>
      <c r="BW213" s="413">
        <f>IFERROR(IF(OR(BW208&lt;=0,BW212/BW208&lt;0,BW212/BW208&gt;1),0,BW212/BW208),0)</f>
        <v/>
      </c>
      <c r="BX213" s="413">
        <f>IFERROR(IF(OR(BX208&lt;=0,BX212/BX208&lt;0,BX212/BX208&gt;1),0,BX212/BX208),0)</f>
        <v/>
      </c>
      <c r="BY213" s="413">
        <f>IFERROR(IF(OR(BY208&lt;=0,BY212/BY208&lt;0,BY212/BY208&gt;1),0,BY212/BY208),0)</f>
        <v/>
      </c>
      <c r="BZ213" s="413">
        <f>IFERROR(IF(OR(BZ208&lt;=0,BZ212/BZ208&lt;0,BZ212/BZ208&gt;1),0,BZ212/BZ208),0)</f>
        <v/>
      </c>
      <c r="CA213" s="413">
        <f>IFERROR(IF(OR(CA208&lt;=0,CA212/CA208&lt;0,CA212/CA208&gt;1),0,CA212/CA208),0)</f>
        <v/>
      </c>
      <c r="CB213" s="413">
        <f>IFERROR(IF(OR(CB208&lt;=0,CB212/CB208&lt;0,CB212/CB208&gt;1),0,CB212/CB208),0)</f>
        <v/>
      </c>
      <c r="CC213" s="413">
        <f>IFERROR(IF(OR(CC208&lt;=0,CC212/CC208&lt;0,CC212/CC208&gt;1),0,CC212/CC208),0)</f>
        <v/>
      </c>
      <c r="CD213" s="413">
        <f>IFERROR(IF(OR(CD208&lt;=0,CD212/CD208&lt;0,CD212/CD208&gt;1),0,CD212/CD208),0)</f>
        <v/>
      </c>
      <c r="CE213" s="413">
        <f>IFERROR(IF(OR(CE208&lt;=0,CE212/CE208&lt;0,CE212/CE208&gt;1),0,CE212/CE208),0)</f>
        <v/>
      </c>
      <c r="CF213" s="413">
        <f>IFERROR(IF(OR(CF208&lt;=0,CF212/CF208&lt;0,CF212/CF208&gt;1),0,CF212/CF208),0)</f>
        <v/>
      </c>
      <c r="CG213" s="413">
        <f>IFERROR(IF(OR(CG208&lt;=0,CG212/CG208&lt;0,CG212/CG208&gt;1),0,CG212/CG208),0)</f>
        <v/>
      </c>
      <c r="CH213" s="413">
        <f>IFERROR(IF(OR(CH208&lt;=0,CH212/CH208&lt;0,CH212/CH208&gt;1),0,CH212/CH208),0)</f>
        <v/>
      </c>
      <c r="CI213" s="413">
        <f>IFERROR(IF(OR(CI208&lt;=0,CI212/CI208&lt;0,CI212/CI208&gt;1),0,CI212/CI208),0)</f>
        <v/>
      </c>
      <c r="CJ213" s="413">
        <f>IFERROR(IF(OR(CJ208&lt;=0,CJ212/CJ208&lt;0,CJ212/CJ208&gt;1),0,CJ212/CJ208),0)</f>
        <v/>
      </c>
      <c r="CK213" s="413">
        <f>IFERROR(IF(OR(CK208&lt;=0,CK212/CK208&lt;0,CK212/CK208&gt;1),0,CK212/CK208),0)</f>
        <v/>
      </c>
      <c r="CL213" s="413">
        <f>IFERROR(IF(OR(CL208&lt;=0,CL212/CL208&lt;0,CL212/CL208&gt;1),0,CL212/CL208),0)</f>
        <v/>
      </c>
      <c r="CM213" s="413">
        <f>IFERROR(IF(OR(CM208&lt;=0,CM212/CM208&lt;0,CM212/CM208&gt;1),0,CM212/CM208),0)</f>
        <v/>
      </c>
      <c r="CN213" s="413">
        <f>IFERROR(IF(OR(CN208&lt;=0,CN212/CN208&lt;0,CN212/CN208&gt;1),0,CN212/CN208),0)</f>
        <v/>
      </c>
      <c r="CO213" s="413">
        <f>IFERROR(IF(OR(CO208&lt;=0,CO212/CO208&lt;0,CO212/CO208&gt;1),0,CO212/CO208),0)</f>
        <v/>
      </c>
      <c r="CP213" s="413">
        <f>IFERROR(IF(OR(CP208&lt;=0,CP212/CP208&lt;0,CP212/CP208&gt;1),0,CP212/CP208),0)</f>
        <v/>
      </c>
      <c r="CQ213" s="413">
        <f>IFERROR(IF(OR(CQ208&lt;=0,CQ212/CQ208&lt;0,CQ212/CQ208&gt;1),0,CQ212/CQ208),0)</f>
        <v/>
      </c>
      <c r="CR213" s="413">
        <f>IFERROR(IF(OR(CR208&lt;=0,CR212/CR208&lt;0,CR212/CR208&gt;1),0,CR212/CR208),0)</f>
        <v/>
      </c>
      <c r="CS213" s="413">
        <f>IFERROR(IF(OR(CS208&lt;=0,CS212/CS208&lt;0,CS212/CS208&gt;1),0,CS212/CS208),0)</f>
        <v/>
      </c>
      <c r="CT213" s="413">
        <f>IFERROR(IF(OR(CT208&lt;=0,CT212/CT208&lt;0,CT212/CT208&gt;1),0,CT212/CT208),0)</f>
        <v/>
      </c>
      <c r="CU213" s="413">
        <f>IFERROR(IF(OR(CU208&lt;=0,CU212/CU208&lt;0,CU212/CU208&gt;1),0,CU212/CU208),0)</f>
        <v/>
      </c>
      <c r="CV213" s="413">
        <f>IFERROR(IF(OR(CV208&lt;=0,CV212/CV208&lt;0,CV212/CV208&gt;1),0,CV212/CV208),0)</f>
        <v/>
      </c>
      <c r="CW213" s="413">
        <f>IFERROR(IF(OR(CW208&lt;=0,CW212/CW208&lt;0,CW212/CW208&gt;1),0,CW212/CW208),0)</f>
        <v/>
      </c>
      <c r="CX213" s="413">
        <f>IFERROR(IF(OR(CX208&lt;=0,CX212/CX208&lt;0,CX212/CX208&gt;1),0,CX212/CX208),0)</f>
        <v/>
      </c>
      <c r="CY213" s="413">
        <f>IFERROR(IF(OR(CY208&lt;=0,CY212/CY208&lt;0,CY212/CY208&gt;1),0,CY212/CY208),0)</f>
        <v/>
      </c>
      <c r="CZ213" s="413">
        <f>IFERROR(IF(OR(CZ208&lt;=0,CZ212/CZ208&lt;0,CZ212/CZ208&gt;1),0,CZ212/CZ208),0)</f>
        <v/>
      </c>
      <c r="DA213" s="413">
        <f>IFERROR(IF(OR(DA208&lt;=0,DA212/DA208&lt;0,DA212/DA208&gt;1),0,DA212/DA208),0)</f>
        <v/>
      </c>
      <c r="DB213" s="413">
        <f>IFERROR(IF(OR(DB208&lt;=0,DB212/DB208&lt;0,DB212/DB208&gt;1),0,DB212/DB208),0)</f>
        <v/>
      </c>
      <c r="DC213" s="413">
        <f>IFERROR(IF(OR(DC208&lt;=0,DC212/DC208&lt;0,DC212/DC208&gt;1),0,DC212/DC208),0)</f>
        <v/>
      </c>
      <c r="DD213" s="413">
        <f>IFERROR(IF(OR(DD208&lt;=0,DD212/DD208&lt;0,DD212/DD208&gt;1),0,DD212/DD208),0)</f>
        <v/>
      </c>
      <c r="DE213" s="413">
        <f>IFERROR(IF(OR(DE208&lt;=0,DE212/DE208&lt;0,DE212/DE208&gt;1),0,DE212/DE208),0)</f>
        <v/>
      </c>
    </row>
    <row r="214" ht="15" customFormat="1" customHeight="1" s="380">
      <c r="A214" s="382" t="n"/>
      <c r="B214" s="382" t="n"/>
      <c r="C214" s="382" t="n"/>
      <c r="D214" s="382" t="n"/>
      <c r="E214" s="382" t="n"/>
      <c r="F214" s="382" t="n"/>
      <c r="G214" s="382" t="n"/>
      <c r="H214" s="382" t="n"/>
      <c r="I214" s="382" t="n"/>
      <c r="J214" s="382" t="n"/>
      <c r="K214" s="382" t="n"/>
      <c r="L214" s="382" t="n"/>
      <c r="M214" s="382" t="n"/>
      <c r="N214" s="382" t="n"/>
      <c r="O214" s="382" t="n"/>
      <c r="P214" s="382" t="n"/>
      <c r="Q214" s="382" t="n"/>
      <c r="R214" s="382" t="n"/>
      <c r="S214" s="382" t="n"/>
      <c r="T214" s="382" t="n"/>
      <c r="U214" s="382" t="n"/>
      <c r="V214" s="382" t="n"/>
      <c r="W214" s="382" t="n"/>
      <c r="X214" s="382" t="n"/>
      <c r="Y214" s="382" t="n"/>
      <c r="Z214" s="382" t="n"/>
      <c r="AA214" s="382" t="n"/>
      <c r="AB214" s="382" t="n"/>
      <c r="AC214" s="382" t="n"/>
      <c r="AD214" s="382" t="n"/>
      <c r="AE214" s="382" t="n"/>
      <c r="AF214" s="382" t="n"/>
      <c r="AG214" s="382" t="n"/>
      <c r="AH214" s="382" t="n"/>
      <c r="AI214" s="382" t="n"/>
      <c r="AJ214" s="382" t="n"/>
      <c r="AK214" s="382" t="n"/>
      <c r="AL214" s="382" t="n"/>
      <c r="AM214" s="382" t="n"/>
      <c r="AN214" s="382" t="n"/>
      <c r="AO214" s="382" t="n"/>
      <c r="AP214" s="382" t="n"/>
      <c r="AQ214" s="382" t="n"/>
      <c r="AR214" s="382" t="n"/>
      <c r="AS214" s="382" t="n"/>
      <c r="AT214" s="382" t="n"/>
      <c r="AU214" s="382" t="n"/>
      <c r="AV214" s="382" t="n"/>
      <c r="AW214" s="382" t="n"/>
      <c r="AX214" s="382" t="n"/>
      <c r="AY214" s="382" t="n"/>
      <c r="AZ214" s="382" t="n"/>
      <c r="BA214" s="382" t="n"/>
      <c r="BB214" s="382" t="n"/>
      <c r="BC214" s="382" t="n"/>
      <c r="BD214" s="382" t="n"/>
      <c r="BE214" s="382" t="n"/>
      <c r="BF214" s="382" t="n"/>
      <c r="BG214" s="382" t="n"/>
      <c r="BH214" s="382" t="n"/>
      <c r="BI214" s="382" t="n"/>
      <c r="BJ214" s="382" t="n"/>
      <c r="BK214" s="382" t="n"/>
      <c r="BL214" s="382" t="n"/>
      <c r="BM214" s="382" t="n"/>
      <c r="BN214" s="382" t="n"/>
      <c r="BO214" s="382" t="n"/>
      <c r="BP214" s="382" t="n"/>
      <c r="BQ214" s="382" t="n"/>
      <c r="BR214" s="382" t="n"/>
      <c r="BS214" s="382" t="n"/>
      <c r="BT214" s="382" t="n"/>
      <c r="BU214" s="382" t="n"/>
      <c r="BV214" s="382" t="n"/>
      <c r="BW214" s="382" t="n"/>
      <c r="BX214" s="382" t="n"/>
      <c r="BY214" s="382" t="n"/>
      <c r="BZ214" s="382" t="n"/>
      <c r="CA214" s="382" t="n"/>
      <c r="CB214" s="382" t="n"/>
      <c r="CC214" s="382" t="n"/>
      <c r="CD214" s="382" t="n"/>
      <c r="CE214" s="382" t="n"/>
      <c r="CF214" s="382" t="n"/>
      <c r="CG214" s="382" t="n"/>
      <c r="CH214" s="382" t="n"/>
      <c r="CI214" s="382" t="n"/>
      <c r="CJ214" s="382" t="n"/>
      <c r="CK214" s="382" t="n"/>
      <c r="CL214" s="382" t="n"/>
      <c r="CM214" s="382" t="n"/>
      <c r="CN214" s="382" t="n"/>
      <c r="CO214" s="382" t="n"/>
      <c r="CP214" s="382" t="n"/>
      <c r="CQ214" s="382" t="n"/>
      <c r="CR214" s="382" t="n"/>
      <c r="CS214" s="382" t="n"/>
      <c r="CT214" s="382" t="n"/>
      <c r="CU214" s="382" t="n"/>
      <c r="CV214" s="382" t="n"/>
      <c r="CW214" s="382" t="n"/>
      <c r="CX214" s="382" t="n"/>
      <c r="CY214" s="382" t="n"/>
      <c r="CZ214" s="382" t="n"/>
      <c r="DA214" s="382" t="n"/>
      <c r="DB214" s="382" t="n"/>
      <c r="DC214" s="382" t="n"/>
      <c r="DD214" s="382" t="n"/>
      <c r="DE214" s="382" t="n"/>
    </row>
    <row r="215" ht="15" customFormat="1" customHeight="1" s="380">
      <c r="A215" s="420" t="inlineStr">
        <is>
          <t>Consolidated NI — Over/(Under) Budget (Nov 2025)</t>
        </is>
      </c>
      <c r="B215" s="392">
        <f>ROUND(B212-(Budget!C57+Budget!C114),2)</f>
        <v/>
      </c>
      <c r="C215" s="392">
        <f>ROUND(C212-(Budget!D57+Budget!D114),2)</f>
        <v/>
      </c>
      <c r="D215" s="392">
        <f>ROUND(D212-(Budget!E57+Budget!E114),2)</f>
        <v/>
      </c>
      <c r="E215" s="392">
        <f>ROUND(E212-(Budget!F57+Budget!F114),2)</f>
        <v/>
      </c>
      <c r="F215" s="392">
        <f>ROUND(F212-(Budget!G57+Budget!G114),2)</f>
        <v/>
      </c>
      <c r="G215" s="392">
        <f>ROUND(G212-(Budget!H57+Budget!H114),2)</f>
        <v/>
      </c>
      <c r="H215" s="392">
        <f>ROUND(H212-(Budget!I57+Budget!I114),2)</f>
        <v/>
      </c>
      <c r="I215" s="392">
        <f>ROUND(I212-(Budget!J57+Budget!J114),2)</f>
        <v/>
      </c>
      <c r="J215" s="392">
        <f>ROUND(J212-(Budget!K57+Budget!K114),2)</f>
        <v/>
      </c>
      <c r="K215" s="392">
        <f>ROUND(K212-(Budget!L57+Budget!L114),2)</f>
        <v/>
      </c>
      <c r="L215" s="392">
        <f>ROUND(L212-(Budget!M57+Budget!M114),2)</f>
        <v/>
      </c>
      <c r="M215" s="392">
        <f>ROUND(M212-(Budget!N57+Budget!N114),2)</f>
        <v/>
      </c>
      <c r="N215" s="392">
        <f>ROUND(N212-(Budget!O57+Budget!O114),2)</f>
        <v/>
      </c>
      <c r="O215" s="392">
        <f>ROUND(O212-(Budget!P57+Budget!P114),2)</f>
        <v/>
      </c>
      <c r="P215" s="392">
        <f>ROUND(P212-(Budget!Q57+Budget!Q114),2)</f>
        <v/>
      </c>
      <c r="Q215" s="392">
        <f>ROUND(Q212-(Budget!R57+Budget!R114),2)</f>
        <v/>
      </c>
      <c r="R215" s="392">
        <f>ROUND(R212-(Budget!S57+Budget!S114),2)</f>
        <v/>
      </c>
      <c r="S215" s="392">
        <f>ROUND(S212-(Budget!T57+Budget!T114),2)</f>
        <v/>
      </c>
      <c r="T215" s="392">
        <f>ROUND(T212-(Budget!U57+Budget!U114),2)</f>
        <v/>
      </c>
      <c r="U215" s="392">
        <f>ROUND(U212-(Budget!V57+Budget!V114),2)</f>
        <v/>
      </c>
      <c r="V215" s="392">
        <f>ROUND(V212-(Budget!W57+Budget!W114),2)</f>
        <v/>
      </c>
      <c r="W215" s="392">
        <f>ROUND(W212-(Budget!X57+Budget!X114),2)</f>
        <v/>
      </c>
      <c r="X215" s="392">
        <f>ROUND(X212-(Budget!Y57+Budget!Y114),2)</f>
        <v/>
      </c>
      <c r="Y215" s="392">
        <f>ROUND(Y212-(Budget!Z57+Budget!Z114),2)</f>
        <v/>
      </c>
      <c r="Z215" s="392">
        <f>ROUND(Z212-(Budget!AA57+Budget!AA114),2)</f>
        <v/>
      </c>
      <c r="AA215" s="392">
        <f>ROUND(AA212-(Budget!AB57+Budget!AB114),2)</f>
        <v/>
      </c>
      <c r="AB215" s="392">
        <f>ROUND(AB212-(Budget!AC57+Budget!AC114),2)</f>
        <v/>
      </c>
      <c r="AC215" s="392">
        <f>ROUND(AC212-(Budget!AD57+Budget!AD114),2)</f>
        <v/>
      </c>
      <c r="AD215" s="392">
        <f>ROUND(AD212-(Budget!AE57+Budget!AE114),2)</f>
        <v/>
      </c>
      <c r="AE215" s="392">
        <f>ROUND(AE212-(Budget!AF57+Budget!AF114),2)</f>
        <v/>
      </c>
      <c r="AF215" s="392">
        <f>ROUND(AF212-(Budget!AG57+Budget!AG114),2)</f>
        <v/>
      </c>
      <c r="AG215" s="392">
        <f>ROUND(AG212-(Budget!AH57+Budget!AH114),2)</f>
        <v/>
      </c>
      <c r="AH215" s="392">
        <f>ROUND(AH212-(Budget!AI57+Budget!AI114),2)</f>
        <v/>
      </c>
      <c r="AI215" s="392">
        <f>ROUND(AI212-(Budget!AJ57+Budget!AJ114),2)</f>
        <v/>
      </c>
      <c r="AJ215" s="392">
        <f>ROUND(AJ212-(Budget!AK57+Budget!AK114),2)</f>
        <v/>
      </c>
      <c r="AK215" s="392">
        <f>ROUND(AK212-(Budget!AL57+Budget!AL114),2)</f>
        <v/>
      </c>
      <c r="AL215" s="392">
        <f>ROUND(AL212-(Budget!AM57+Budget!AM114),2)</f>
        <v/>
      </c>
      <c r="AM215" s="392">
        <f>ROUND(AM212-(Budget!AN57+Budget!AN114),2)</f>
        <v/>
      </c>
      <c r="AN215" s="392">
        <f>ROUND(AN212-(Budget!AO57+Budget!AO114),2)</f>
        <v/>
      </c>
      <c r="AO215" s="392">
        <f>ROUND(AO212-(Budget!AP57+Budget!AP114),2)</f>
        <v/>
      </c>
      <c r="AP215" s="392">
        <f>ROUND(AP212-(Budget!AQ57+Budget!AQ114),2)</f>
        <v/>
      </c>
      <c r="AQ215" s="392">
        <f>ROUND(AQ212-(Budget!AR57+Budget!AR114),2)</f>
        <v/>
      </c>
      <c r="AR215" s="392">
        <f>ROUND(AR212-(Budget!AS57+Budget!AS114),2)</f>
        <v/>
      </c>
      <c r="AS215" s="392">
        <f>ROUND(AS212-(Budget!AT57+Budget!AT114),2)</f>
        <v/>
      </c>
      <c r="AT215" s="392">
        <f>ROUND(AT212-(Budget!AU57+Budget!AU114),2)</f>
        <v/>
      </c>
      <c r="AU215" s="392">
        <f>ROUND(AU212-(Budget!AV57+Budget!AV114),2)</f>
        <v/>
      </c>
      <c r="AV215" s="392">
        <f>ROUND(AV212-(Budget!AW57+Budget!AW114),2)</f>
        <v/>
      </c>
      <c r="AW215" s="392">
        <f>ROUND(AW212-(Budget!AX57+Budget!AX114),2)</f>
        <v/>
      </c>
      <c r="AX215" s="392">
        <f>ROUND(AX212-(Budget!AY57+Budget!AY114),2)</f>
        <v/>
      </c>
      <c r="AY215" s="392">
        <f>ROUND(AY212-(Budget!AZ57+Budget!AZ114),2)</f>
        <v/>
      </c>
      <c r="AZ215" s="392">
        <f>ROUND(AZ212-(Budget!BA57+Budget!BA114),2)</f>
        <v/>
      </c>
      <c r="BA215" s="392">
        <f>ROUND(BA212-(Budget!BB57+Budget!BB114),2)</f>
        <v/>
      </c>
      <c r="BB215" s="392">
        <f>ROUND(BB212-(Budget!BC57+Budget!BC114),2)</f>
        <v/>
      </c>
      <c r="BC215" s="392">
        <f>ROUND(BC212-(Budget!BD57+Budget!BD114),2)</f>
        <v/>
      </c>
      <c r="BD215" s="392">
        <f>ROUND(BD212-(Budget!BE57+Budget!BE114),2)</f>
        <v/>
      </c>
      <c r="BE215" s="392">
        <f>ROUND(BE212-(Budget!BF57+Budget!BF114),2)</f>
        <v/>
      </c>
      <c r="BF215" s="392">
        <f>ROUND(BF212-(Budget!BG57+Budget!BG114),2)</f>
        <v/>
      </c>
      <c r="BG215" s="392">
        <f>ROUND(BG212-(Budget!BH57+Budget!BH114),2)</f>
        <v/>
      </c>
      <c r="BH215" s="392">
        <f>ROUND(BH212-(Budget!BI57+Budget!BI114),2)</f>
        <v/>
      </c>
      <c r="BI215" s="392">
        <f>ROUND(BI212-(Budget!BJ57+Budget!BJ114),2)</f>
        <v/>
      </c>
      <c r="BJ215" s="392">
        <f>ROUND(BJ212-(Budget!BK57+Budget!BK114),2)</f>
        <v/>
      </c>
      <c r="BK215" s="392">
        <f>ROUND(BK212-(Budget!BL57+Budget!BL114),2)</f>
        <v/>
      </c>
      <c r="BL215" s="392">
        <f>ROUND(BL212-(Budget!BM57+Budget!BM114),2)</f>
        <v/>
      </c>
      <c r="BM215" s="392">
        <f>ROUND(BM212-(Budget!BN57+Budget!BN114),2)</f>
        <v/>
      </c>
      <c r="BN215" s="392">
        <f>ROUND(BN212-(Budget!BO57+Budget!BO114),2)</f>
        <v/>
      </c>
      <c r="BO215" s="392">
        <f>ROUND(BO212-(Budget!BP57+Budget!BP114),2)</f>
        <v/>
      </c>
      <c r="BP215" s="392">
        <f>ROUND(BP212-(Budget!BQ57+Budget!BQ114),2)</f>
        <v/>
      </c>
      <c r="BQ215" s="392">
        <f>ROUND(BQ212-(Budget!BR57+Budget!BR114),2)</f>
        <v/>
      </c>
      <c r="BR215" s="392">
        <f>ROUND(BR212-(Budget!BS57+Budget!BS114),2)</f>
        <v/>
      </c>
      <c r="BS215" s="392">
        <f>ROUND(BS212-(Budget!BT57+Budget!BT114),2)</f>
        <v/>
      </c>
      <c r="BT215" s="392">
        <f>ROUND(BT212-(Budget!BU57+Budget!BU114),2)</f>
        <v/>
      </c>
      <c r="BU215" s="392">
        <f>ROUND(BU212-(Budget!BV57+Budget!BV114),2)</f>
        <v/>
      </c>
      <c r="BV215" s="392">
        <f>ROUND(BV212-(Budget!BW57+Budget!BW114),2)</f>
        <v/>
      </c>
      <c r="BW215" s="392">
        <f>ROUND(BW212-(Budget!BX57+Budget!BX114),2)</f>
        <v/>
      </c>
      <c r="BX215" s="392">
        <f>ROUND(BX212-(Budget!BY57+Budget!BY114),2)</f>
        <v/>
      </c>
      <c r="BY215" s="392">
        <f>ROUND(BY212-(Budget!BZ57+Budget!BZ114),2)</f>
        <v/>
      </c>
      <c r="BZ215" s="392">
        <f>ROUND(BZ212-(Budget!CA57+Budget!CA114),2)</f>
        <v/>
      </c>
      <c r="CA215" s="392">
        <f>ROUND(CA212-(Budget!CB57+Budget!CB114),2)</f>
        <v/>
      </c>
      <c r="CB215" s="392">
        <f>ROUND(CB212-(Budget!CC57+Budget!CC114),2)</f>
        <v/>
      </c>
      <c r="CC215" s="392">
        <f>ROUND(CC212-(Budget!CD57+Budget!CD114),2)</f>
        <v/>
      </c>
      <c r="CD215" s="392">
        <f>ROUND(CD212-(Budget!CE57+Budget!CE114),2)</f>
        <v/>
      </c>
      <c r="CE215" s="392">
        <f>ROUND(CE212-(Budget!CF57+Budget!CF114),2)</f>
        <v/>
      </c>
      <c r="CF215" s="392">
        <f>ROUND(CF212-(Budget!CG57+Budget!CG114),2)</f>
        <v/>
      </c>
      <c r="CG215" s="392">
        <f>ROUND(CG212-(Budget!CH57+Budget!CH114),2)</f>
        <v/>
      </c>
      <c r="CH215" s="392">
        <f>ROUND(CH212-(Budget!CI57+Budget!CI114),2)</f>
        <v/>
      </c>
      <c r="CI215" s="392">
        <f>ROUND(CI212-(Budget!CJ57+Budget!CJ114),2)</f>
        <v/>
      </c>
      <c r="CJ215" s="392">
        <f>ROUND(CJ212-(Budget!CK57+Budget!CK114),2)</f>
        <v/>
      </c>
      <c r="CK215" s="392">
        <f>ROUND(CK212-(Budget!CL57+Budget!CL114),2)</f>
        <v/>
      </c>
      <c r="CL215" s="392">
        <f>ROUND(CL212-(Budget!CM57+Budget!CM114),2)</f>
        <v/>
      </c>
      <c r="CM215" s="392">
        <f>ROUND(CM212-(Budget!CN57+Budget!CN114),2)</f>
        <v/>
      </c>
      <c r="CN215" s="392">
        <f>ROUND(CN212-(Budget!CO57+Budget!CO114),2)</f>
        <v/>
      </c>
      <c r="CO215" s="392">
        <f>ROUND(CO212-(Budget!CP57+Budget!CP114),2)</f>
        <v/>
      </c>
      <c r="CP215" s="392">
        <f>ROUND(CP212-(Budget!CQ57+Budget!CQ114),2)</f>
        <v/>
      </c>
      <c r="CQ215" s="392">
        <f>ROUND(CQ212-(Budget!CR57+Budget!CR114),2)</f>
        <v/>
      </c>
      <c r="CR215" s="392">
        <f>ROUND(CR212-(Budget!CS57+Budget!CS114),2)</f>
        <v/>
      </c>
      <c r="CS215" s="392">
        <f>ROUND(CS212-(Budget!CT57+Budget!CT114),2)</f>
        <v/>
      </c>
      <c r="CT215" s="392">
        <f>ROUND(CT212-(Budget!CU57+Budget!CU114),2)</f>
        <v/>
      </c>
      <c r="CU215" s="392">
        <f>ROUND(CU212-(Budget!CV57+Budget!CV114),2)</f>
        <v/>
      </c>
      <c r="CV215" s="392">
        <f>ROUND(CV212-(Budget!CW57+Budget!CW114),2)</f>
        <v/>
      </c>
      <c r="CW215" s="392">
        <f>ROUND(CW212-(Budget!CX57+Budget!CX114),2)</f>
        <v/>
      </c>
      <c r="CX215" s="392">
        <f>ROUND(CX212-(Budget!CY57+Budget!CY114),2)</f>
        <v/>
      </c>
      <c r="CY215" s="392">
        <f>ROUND(CY212-(Budget!CZ57+Budget!CZ114),2)</f>
        <v/>
      </c>
      <c r="CZ215" s="392">
        <f>ROUND(CZ212-(Budget!DA57+Budget!DA114),2)</f>
        <v/>
      </c>
      <c r="DA215" s="392">
        <f>ROUND(DA212-(Budget!DB57+Budget!DB114),2)</f>
        <v/>
      </c>
      <c r="DB215" s="392">
        <f>ROUND(DB212-(Budget!DC57+Budget!DC114),2)</f>
        <v/>
      </c>
      <c r="DC215" s="392">
        <f>ROUND(DC212-(Budget!DD57+Budget!DD114),2)</f>
        <v/>
      </c>
      <c r="DD215" s="392">
        <f>ROUND(DD212-(Budget!DE57+Budget!DE114),2)</f>
        <v/>
      </c>
      <c r="DE215" s="392">
        <f>ROUND(DE212-(Budget!DF57+Budget!DF114),2)</f>
        <v/>
      </c>
    </row>
    <row r="216" ht="15" customFormat="1" customHeight="1" s="380">
      <c r="A216" s="382" t="n"/>
      <c r="B216" s="382" t="n"/>
      <c r="C216" s="382" t="n"/>
      <c r="D216" s="382" t="n"/>
      <c r="E216" s="382" t="n"/>
      <c r="F216" s="382" t="n"/>
      <c r="G216" s="382" t="n"/>
      <c r="H216" s="382" t="n"/>
      <c r="I216" s="382" t="n"/>
      <c r="J216" s="382" t="n"/>
      <c r="K216" s="382" t="n"/>
      <c r="L216" s="382" t="n"/>
      <c r="M216" s="382" t="n"/>
      <c r="N216" s="382" t="n"/>
      <c r="O216" s="382" t="n"/>
      <c r="P216" s="382" t="n"/>
      <c r="Q216" s="382" t="n"/>
      <c r="R216" s="382" t="n"/>
      <c r="S216" s="382" t="n"/>
      <c r="T216" s="382" t="n"/>
      <c r="U216" s="382" t="n"/>
      <c r="V216" s="382" t="n"/>
      <c r="W216" s="382" t="n"/>
      <c r="X216" s="382" t="n"/>
      <c r="Y216" s="382" t="n"/>
      <c r="Z216" s="382" t="n"/>
      <c r="AA216" s="382" t="n"/>
      <c r="AB216" s="382" t="n"/>
      <c r="AC216" s="382" t="n"/>
      <c r="AD216" s="382" t="n"/>
      <c r="AE216" s="382" t="n"/>
      <c r="AF216" s="382" t="n"/>
      <c r="AG216" s="382" t="n"/>
      <c r="AH216" s="382" t="n"/>
      <c r="AI216" s="382" t="n"/>
      <c r="AJ216" s="382" t="n"/>
      <c r="AK216" s="382" t="n"/>
      <c r="AL216" s="382" t="n"/>
      <c r="AM216" s="382" t="n"/>
      <c r="AN216" s="382" t="n"/>
      <c r="AO216" s="382" t="n"/>
      <c r="AP216" s="382" t="n"/>
      <c r="AQ216" s="382" t="n"/>
      <c r="AR216" s="382" t="n"/>
      <c r="AS216" s="382" t="n"/>
      <c r="AT216" s="382" t="n"/>
      <c r="AU216" s="382" t="n"/>
      <c r="AV216" s="382" t="n"/>
      <c r="AW216" s="382" t="n"/>
      <c r="AX216" s="382" t="n"/>
      <c r="AY216" s="382" t="n"/>
      <c r="AZ216" s="382" t="n"/>
      <c r="BA216" s="382" t="n"/>
      <c r="BB216" s="382" t="n"/>
      <c r="BC216" s="382" t="n"/>
      <c r="BD216" s="382" t="n"/>
      <c r="BE216" s="382" t="n"/>
      <c r="BF216" s="382" t="n"/>
      <c r="BG216" s="382" t="n"/>
      <c r="BH216" s="382" t="n"/>
      <c r="BI216" s="382" t="n"/>
      <c r="BJ216" s="382" t="n"/>
      <c r="BK216" s="382" t="n"/>
      <c r="BL216" s="382" t="n"/>
      <c r="BM216" s="382" t="n"/>
      <c r="BN216" s="382" t="n"/>
      <c r="BO216" s="382" t="n"/>
      <c r="BP216" s="382" t="n"/>
      <c r="BQ216" s="382" t="n"/>
      <c r="BR216" s="382" t="n"/>
      <c r="BS216" s="382" t="n"/>
      <c r="BT216" s="382" t="n"/>
      <c r="BU216" s="382" t="n"/>
      <c r="BV216" s="382" t="n"/>
      <c r="BW216" s="382" t="n"/>
      <c r="BX216" s="382" t="n"/>
      <c r="BY216" s="382" t="n"/>
      <c r="BZ216" s="382" t="n"/>
      <c r="CA216" s="382" t="n"/>
      <c r="CB216" s="382" t="n"/>
      <c r="CC216" s="382" t="n"/>
      <c r="CD216" s="382" t="n"/>
      <c r="CE216" s="382" t="n"/>
      <c r="CF216" s="382" t="n"/>
      <c r="CG216" s="382" t="n"/>
      <c r="CH216" s="382" t="n"/>
      <c r="CI216" s="382" t="n"/>
      <c r="CJ216" s="382" t="n"/>
      <c r="CK216" s="382" t="n"/>
      <c r="CL216" s="382" t="n"/>
      <c r="CM216" s="382" t="n"/>
      <c r="CN216" s="382" t="n"/>
      <c r="CO216" s="382" t="n"/>
      <c r="CP216" s="382" t="n"/>
      <c r="CQ216" s="382" t="n"/>
      <c r="CR216" s="382" t="n"/>
      <c r="CS216" s="382" t="n"/>
      <c r="CT216" s="382" t="n"/>
      <c r="CU216" s="382" t="n"/>
      <c r="CV216" s="382" t="n"/>
      <c r="CW216" s="382" t="n"/>
      <c r="CX216" s="382" t="n"/>
      <c r="CY216" s="382" t="n"/>
      <c r="CZ216" s="382" t="n"/>
      <c r="DA216" s="382" t="n"/>
      <c r="DB216" s="382" t="n"/>
      <c r="DC216" s="382" t="n"/>
      <c r="DD216" s="382" t="n"/>
      <c r="DE216" s="382" t="n"/>
    </row>
    <row r="217" ht="15" customFormat="1" customHeight="1" s="380">
      <c r="A217" s="424" t="inlineStr">
        <is>
          <t>DEBT FACILITY</t>
        </is>
      </c>
      <c r="B217" s="419" t="n"/>
      <c r="C217" s="419" t="n"/>
      <c r="D217" s="419" t="n"/>
      <c r="E217" s="419" t="n"/>
      <c r="F217" s="419" t="n"/>
      <c r="G217" s="419" t="n"/>
      <c r="H217" s="419" t="n"/>
      <c r="I217" s="419" t="n"/>
      <c r="J217" s="419" t="n"/>
      <c r="K217" s="419" t="n"/>
      <c r="L217" s="419" t="n"/>
      <c r="M217" s="419" t="n"/>
      <c r="N217" s="419" t="n"/>
      <c r="O217" s="419" t="n"/>
      <c r="P217" s="419" t="n"/>
      <c r="Q217" s="419" t="n"/>
      <c r="R217" s="419" t="n"/>
      <c r="S217" s="419" t="n"/>
      <c r="T217" s="419" t="n"/>
      <c r="U217" s="419" t="n"/>
      <c r="V217" s="419" t="n"/>
      <c r="W217" s="419" t="n"/>
      <c r="X217" s="419" t="n"/>
      <c r="Y217" s="419" t="n"/>
      <c r="Z217" s="419" t="n"/>
      <c r="AA217" s="419" t="n"/>
      <c r="AB217" s="419" t="n"/>
      <c r="AC217" s="419" t="n"/>
      <c r="AD217" s="419" t="n"/>
      <c r="AE217" s="419" t="n"/>
      <c r="AF217" s="419" t="n"/>
      <c r="AG217" s="419" t="n"/>
      <c r="AH217" s="419" t="n"/>
      <c r="AI217" s="419" t="n"/>
      <c r="AJ217" s="419" t="n"/>
      <c r="AK217" s="419" t="n"/>
      <c r="AL217" s="419" t="n"/>
      <c r="AM217" s="419" t="n"/>
      <c r="AN217" s="419" t="n"/>
      <c r="AO217" s="419" t="n"/>
      <c r="AP217" s="419" t="n"/>
      <c r="AQ217" s="419" t="n"/>
      <c r="AR217" s="419" t="n"/>
      <c r="AS217" s="419" t="n"/>
      <c r="AT217" s="419" t="n"/>
      <c r="AU217" s="419" t="n"/>
      <c r="AV217" s="419" t="n"/>
      <c r="AW217" s="419" t="n"/>
      <c r="AX217" s="419" t="n"/>
      <c r="AY217" s="419" t="n"/>
      <c r="AZ217" s="419" t="n"/>
      <c r="BA217" s="419" t="n"/>
      <c r="BB217" s="419" t="n"/>
      <c r="BC217" s="419" t="n"/>
      <c r="BD217" s="419" t="n"/>
      <c r="BE217" s="419" t="n"/>
      <c r="BF217" s="419" t="n"/>
      <c r="BG217" s="419" t="n"/>
      <c r="BH217" s="419" t="n"/>
      <c r="BI217" s="419" t="n"/>
      <c r="BJ217" s="419" t="n"/>
      <c r="BK217" s="419" t="n"/>
      <c r="BL217" s="419" t="n"/>
      <c r="BM217" s="419" t="n"/>
      <c r="BN217" s="419" t="n"/>
      <c r="BO217" s="419" t="n"/>
      <c r="BP217" s="419" t="n"/>
      <c r="BQ217" s="419" t="n"/>
      <c r="BR217" s="419" t="n"/>
      <c r="BS217" s="419" t="n"/>
      <c r="BT217" s="419" t="n"/>
      <c r="BU217" s="419" t="n"/>
      <c r="BV217" s="419" t="n"/>
      <c r="BW217" s="419" t="n"/>
      <c r="BX217" s="419" t="n"/>
      <c r="BY217" s="419" t="n"/>
      <c r="BZ217" s="419" t="n"/>
      <c r="CA217" s="419" t="n"/>
      <c r="CB217" s="419" t="n"/>
      <c r="CC217" s="419" t="n"/>
      <c r="CD217" s="419" t="n"/>
      <c r="CE217" s="419" t="n"/>
      <c r="CF217" s="419" t="n"/>
      <c r="CG217" s="419" t="n"/>
      <c r="CH217" s="419" t="n"/>
      <c r="CI217" s="419" t="n"/>
      <c r="CJ217" s="419" t="n"/>
      <c r="CK217" s="419" t="n"/>
      <c r="CL217" s="419" t="n"/>
      <c r="CM217" s="419" t="n"/>
      <c r="CN217" s="419" t="n"/>
      <c r="CO217" s="419" t="n"/>
      <c r="CP217" s="419" t="n"/>
      <c r="CQ217" s="419" t="n"/>
      <c r="CR217" s="419" t="n"/>
      <c r="CS217" s="419" t="n"/>
      <c r="CT217" s="419" t="n"/>
      <c r="CU217" s="419" t="n"/>
      <c r="CV217" s="419" t="n"/>
      <c r="CW217" s="419" t="n"/>
      <c r="CX217" s="419" t="n"/>
      <c r="CY217" s="419" t="n"/>
      <c r="CZ217" s="419" t="n"/>
      <c r="DA217" s="419" t="n"/>
      <c r="DB217" s="419" t="n"/>
      <c r="DC217" s="419" t="n"/>
      <c r="DD217" s="419" t="n"/>
      <c r="DE217" s="419" t="n"/>
    </row>
    <row r="218" ht="19.5" customFormat="1" customHeight="1" s="380">
      <c r="A218" s="397" t="inlineStr">
        <is>
          <t>Beginning Balance</t>
        </is>
      </c>
      <c r="B218" s="392" t="n"/>
      <c r="C218" s="392" t="n"/>
      <c r="D218" s="392" t="n"/>
      <c r="E218" s="392">
        <f>Assumptions!$B$33</f>
        <v/>
      </c>
      <c r="F218" s="392">
        <f>E221</f>
        <v/>
      </c>
      <c r="G218" s="392">
        <f>F221</f>
        <v/>
      </c>
      <c r="H218" s="392">
        <f>G221</f>
        <v/>
      </c>
      <c r="I218" s="392">
        <f>H221</f>
        <v/>
      </c>
      <c r="J218" s="392">
        <f>I221</f>
        <v/>
      </c>
      <c r="K218" s="392">
        <f>J221</f>
        <v/>
      </c>
      <c r="L218" s="392">
        <f>K221</f>
        <v/>
      </c>
      <c r="M218" s="392">
        <f>L221</f>
        <v/>
      </c>
      <c r="N218" s="392">
        <f>M221</f>
        <v/>
      </c>
      <c r="O218" s="392">
        <f>N221</f>
        <v/>
      </c>
      <c r="P218" s="392">
        <f>O221</f>
        <v/>
      </c>
      <c r="Q218" s="392">
        <f>P221</f>
        <v/>
      </c>
      <c r="R218" s="392">
        <f>Q221</f>
        <v/>
      </c>
      <c r="S218" s="392">
        <f>R221</f>
        <v/>
      </c>
      <c r="T218" s="392">
        <f>S221</f>
        <v/>
      </c>
      <c r="U218" s="392">
        <f>T221</f>
        <v/>
      </c>
      <c r="V218" s="392">
        <f>U221</f>
        <v/>
      </c>
      <c r="W218" s="392">
        <f>V221</f>
        <v/>
      </c>
      <c r="X218" s="392">
        <f>W221</f>
        <v/>
      </c>
      <c r="Y218" s="392">
        <f>X221</f>
        <v/>
      </c>
      <c r="Z218" s="392">
        <f>Y221</f>
        <v/>
      </c>
      <c r="AA218" s="392">
        <f>Z221</f>
        <v/>
      </c>
      <c r="AB218" s="392">
        <f>AA221</f>
        <v/>
      </c>
      <c r="AC218" s="392">
        <f>AB221</f>
        <v/>
      </c>
      <c r="AD218" s="392">
        <f>AC221</f>
        <v/>
      </c>
      <c r="AE218" s="392">
        <f>AD221</f>
        <v/>
      </c>
      <c r="AF218" s="392">
        <f>AE221</f>
        <v/>
      </c>
      <c r="AG218" s="392">
        <f>AF221</f>
        <v/>
      </c>
      <c r="AH218" s="392">
        <f>AG221</f>
        <v/>
      </c>
      <c r="AI218" s="392">
        <f>AH221</f>
        <v/>
      </c>
      <c r="AJ218" s="392">
        <f>AI221</f>
        <v/>
      </c>
      <c r="AK218" s="392">
        <f>AJ221</f>
        <v/>
      </c>
      <c r="AL218" s="392">
        <f>AK221</f>
        <v/>
      </c>
      <c r="AM218" s="392">
        <f>AL221</f>
        <v/>
      </c>
      <c r="AN218" s="392">
        <f>AM221</f>
        <v/>
      </c>
      <c r="AO218" s="392">
        <f>AN221</f>
        <v/>
      </c>
      <c r="AP218" s="392">
        <f>AO221</f>
        <v/>
      </c>
      <c r="AQ218" s="392">
        <f>AP221</f>
        <v/>
      </c>
      <c r="AR218" s="392">
        <f>AQ221</f>
        <v/>
      </c>
      <c r="AS218" s="392">
        <f>AR221</f>
        <v/>
      </c>
      <c r="AT218" s="392">
        <f>AS221</f>
        <v/>
      </c>
      <c r="AU218" s="392">
        <f>AT221</f>
        <v/>
      </c>
      <c r="AV218" s="392">
        <f>AU221</f>
        <v/>
      </c>
      <c r="AW218" s="392">
        <f>AV221</f>
        <v/>
      </c>
      <c r="AX218" s="392">
        <f>AW221</f>
        <v/>
      </c>
      <c r="AY218" s="392">
        <f>AX221</f>
        <v/>
      </c>
      <c r="AZ218" s="392">
        <f>AY221</f>
        <v/>
      </c>
      <c r="BA218" s="392">
        <f>AZ221</f>
        <v/>
      </c>
      <c r="BB218" s="392">
        <f>BA221</f>
        <v/>
      </c>
      <c r="BC218" s="392">
        <f>BB221</f>
        <v/>
      </c>
      <c r="BD218" s="392">
        <f>BC221</f>
        <v/>
      </c>
      <c r="BE218" s="392">
        <f>BD221</f>
        <v/>
      </c>
      <c r="BF218" s="392">
        <f>BE221</f>
        <v/>
      </c>
      <c r="BG218" s="392">
        <f>BF221</f>
        <v/>
      </c>
      <c r="BH218" s="392">
        <f>BG221</f>
        <v/>
      </c>
      <c r="BI218" s="392">
        <f>BH221</f>
        <v/>
      </c>
      <c r="BJ218" s="392">
        <f>BI221</f>
        <v/>
      </c>
      <c r="BK218" s="392">
        <f>BJ221</f>
        <v/>
      </c>
      <c r="BL218" s="392">
        <f>BK221</f>
        <v/>
      </c>
      <c r="BM218" s="392">
        <f>BL221</f>
        <v/>
      </c>
      <c r="BN218" s="392">
        <f>BM221</f>
        <v/>
      </c>
      <c r="BO218" s="392">
        <f>BN221</f>
        <v/>
      </c>
      <c r="BP218" s="392">
        <f>BO221</f>
        <v/>
      </c>
      <c r="BQ218" s="392">
        <f>BP221</f>
        <v/>
      </c>
      <c r="BR218" s="392">
        <f>BQ221</f>
        <v/>
      </c>
      <c r="BS218" s="392">
        <f>BR221</f>
        <v/>
      </c>
      <c r="BT218" s="392">
        <f>BS221</f>
        <v/>
      </c>
      <c r="BU218" s="392">
        <f>BT221</f>
        <v/>
      </c>
      <c r="BV218" s="392">
        <f>BU221</f>
        <v/>
      </c>
      <c r="BW218" s="392">
        <f>BV221</f>
        <v/>
      </c>
      <c r="BX218" s="392">
        <f>BW221</f>
        <v/>
      </c>
      <c r="BY218" s="392">
        <f>BX221</f>
        <v/>
      </c>
      <c r="BZ218" s="392">
        <f>BY221</f>
        <v/>
      </c>
      <c r="CA218" s="392">
        <f>BZ221</f>
        <v/>
      </c>
      <c r="CB218" s="392">
        <f>CA221</f>
        <v/>
      </c>
      <c r="CC218" s="392">
        <f>CB221</f>
        <v/>
      </c>
      <c r="CD218" s="392">
        <f>CC221</f>
        <v/>
      </c>
      <c r="CE218" s="392">
        <f>CD221</f>
        <v/>
      </c>
      <c r="CF218" s="392">
        <f>CE221</f>
        <v/>
      </c>
      <c r="CG218" s="392">
        <f>CF221</f>
        <v/>
      </c>
      <c r="CH218" s="392">
        <f>CG221</f>
        <v/>
      </c>
      <c r="CI218" s="392">
        <f>CH221</f>
        <v/>
      </c>
      <c r="CJ218" s="392">
        <f>CI221</f>
        <v/>
      </c>
      <c r="CK218" s="392">
        <f>CJ221</f>
        <v/>
      </c>
      <c r="CL218" s="392">
        <f>CK221</f>
        <v/>
      </c>
      <c r="CM218" s="392">
        <f>CL221</f>
        <v/>
      </c>
      <c r="CN218" s="392">
        <f>CM221</f>
        <v/>
      </c>
      <c r="CO218" s="392">
        <f>CN221</f>
        <v/>
      </c>
      <c r="CP218" s="392">
        <f>CO221</f>
        <v/>
      </c>
      <c r="CQ218" s="392">
        <f>CP221</f>
        <v/>
      </c>
      <c r="CR218" s="392">
        <f>CQ221</f>
        <v/>
      </c>
      <c r="CS218" s="392">
        <f>CR221</f>
        <v/>
      </c>
      <c r="CT218" s="392">
        <f>CS221</f>
        <v/>
      </c>
      <c r="CU218" s="392">
        <f>CT221</f>
        <v/>
      </c>
      <c r="CV218" s="392">
        <f>CU221</f>
        <v/>
      </c>
      <c r="CW218" s="392">
        <f>CV221</f>
        <v/>
      </c>
      <c r="CX218" s="392">
        <f>CW221</f>
        <v/>
      </c>
      <c r="CY218" s="392">
        <f>CX221</f>
        <v/>
      </c>
      <c r="CZ218" s="392">
        <f>CY221</f>
        <v/>
      </c>
      <c r="DA218" s="392">
        <f>CZ221</f>
        <v/>
      </c>
      <c r="DB218" s="392">
        <f>DA221</f>
        <v/>
      </c>
      <c r="DC218" s="392">
        <f>DB221</f>
        <v/>
      </c>
      <c r="DD218" s="392">
        <f>DC221</f>
        <v/>
      </c>
      <c r="DE218" s="392">
        <f>DD221</f>
        <v/>
      </c>
    </row>
    <row r="219" ht="15" customFormat="1" customHeight="1" s="380">
      <c r="A219" s="397" t="inlineStr">
        <is>
          <t>Quarterly Interest (15% / 4)</t>
        </is>
      </c>
      <c r="B219" s="392" t="n"/>
      <c r="C219" s="392" t="n"/>
      <c r="D219" s="392" t="n"/>
      <c r="E219" s="392">
        <f>IF(AND(MOD(1,3)=0,E218&gt;0),E218*Assumptions!$B$35,0)</f>
        <v/>
      </c>
      <c r="F219" s="392">
        <f>IF(AND(MOD(2,3)=0,F218&gt;0),F218*Assumptions!$B$35,0)</f>
        <v/>
      </c>
      <c r="G219" s="392">
        <f>IF(AND(MOD(3,3)=0,G218&gt;0),G218*Assumptions!$B$35,0)</f>
        <v/>
      </c>
      <c r="H219" s="392">
        <f>IF(AND(MOD(4,3)=0,H218&gt;0),H218*Assumptions!$B$35,0)</f>
        <v/>
      </c>
      <c r="I219" s="392">
        <f>IF(AND(MOD(5,3)=0,I218&gt;0),I218*Assumptions!$B$35,0)</f>
        <v/>
      </c>
      <c r="J219" s="392">
        <f>IF(AND(MOD(6,3)=0,J218&gt;0),J218*Assumptions!$B$35,0)</f>
        <v/>
      </c>
      <c r="K219" s="392">
        <f>IF(AND(MOD(7,3)=0,K218&gt;0),K218*Assumptions!$B$35,0)</f>
        <v/>
      </c>
      <c r="L219" s="392">
        <f>IF(AND(MOD(8,3)=0,L218&gt;0),L218*Assumptions!$B$35,0)</f>
        <v/>
      </c>
      <c r="M219" s="392">
        <f>IF(AND(MOD(9,3)=0,M218&gt;0),M218*Assumptions!$B$35,0)</f>
        <v/>
      </c>
      <c r="N219" s="392">
        <f>IF(AND(MOD(10,3)=0,N218&gt;0),N218*Assumptions!$B$35,0)</f>
        <v/>
      </c>
      <c r="O219" s="392">
        <f>IF(AND(MOD(11,3)=0,O218&gt;0),O218*Assumptions!$B$35,0)</f>
        <v/>
      </c>
      <c r="P219" s="392">
        <f>IF(AND(MOD(12,3)=0,P218&gt;0),P218*Assumptions!$B$35,0)</f>
        <v/>
      </c>
      <c r="Q219" s="392">
        <f>IF(AND(MOD(13,3)=0,Q218&gt;0),Q218*Assumptions!$B$35,0)</f>
        <v/>
      </c>
      <c r="R219" s="392">
        <f>IF(AND(MOD(14,3)=0,R218&gt;0),R218*Assumptions!$B$35,0)</f>
        <v/>
      </c>
      <c r="S219" s="392">
        <f>IF(AND(MOD(15,3)=0,S218&gt;0),S218*Assumptions!$B$35,0)</f>
        <v/>
      </c>
      <c r="T219" s="392">
        <f>IF(AND(MOD(16,3)=0,T218&gt;0),T218*Assumptions!$B$35,0)</f>
        <v/>
      </c>
      <c r="U219" s="392">
        <f>IF(AND(MOD(17,3)=0,U218&gt;0),U218*Assumptions!$B$35,0)</f>
        <v/>
      </c>
      <c r="V219" s="392">
        <f>IF(AND(MOD(18,3)=0,V218&gt;0),V218*Assumptions!$B$35,0)</f>
        <v/>
      </c>
      <c r="W219" s="392">
        <f>IF(AND(MOD(19,3)=0,W218&gt;0),W218*Assumptions!$B$35,0)</f>
        <v/>
      </c>
      <c r="X219" s="392">
        <f>IF(AND(MOD(20,3)=0,X218&gt;0),X218*Assumptions!$B$35,0)</f>
        <v/>
      </c>
      <c r="Y219" s="392">
        <f>IF(AND(MOD(21,3)=0,Y218&gt;0),Y218*Assumptions!$B$35,0)</f>
        <v/>
      </c>
      <c r="Z219" s="392">
        <f>IF(AND(MOD(22,3)=0,Z218&gt;0),Z218*Assumptions!$B$35,0)</f>
        <v/>
      </c>
      <c r="AA219" s="392">
        <f>IF(AND(MOD(23,3)=0,AA218&gt;0),AA218*Assumptions!$B$35,0)</f>
        <v/>
      </c>
      <c r="AB219" s="392">
        <f>IF(AND(MOD(24,3)=0,AB218&gt;0),AB218*Assumptions!$B$35,0)</f>
        <v/>
      </c>
      <c r="AC219" s="392">
        <f>IF(AND(MOD(25,3)=0,AC218&gt;0),AC218*Assumptions!$B$35,0)</f>
        <v/>
      </c>
      <c r="AD219" s="392">
        <f>IF(AND(MOD(26,3)=0,AD218&gt;0),AD218*Assumptions!$B$35,0)</f>
        <v/>
      </c>
      <c r="AE219" s="392">
        <f>IF(AND(MOD(27,3)=0,AE218&gt;0),AE218*Assumptions!$B$35,0)</f>
        <v/>
      </c>
      <c r="AF219" s="392">
        <f>IF(AND(MOD(28,3)=0,AF218&gt;0),AF218*Assumptions!$B$35,0)</f>
        <v/>
      </c>
      <c r="AG219" s="392">
        <f>IF(AND(MOD(29,3)=0,AG218&gt;0),AG218*Assumptions!$B$35,0)</f>
        <v/>
      </c>
      <c r="AH219" s="392">
        <f>IF(AND(MOD(30,3)=0,AH218&gt;0),AH218*Assumptions!$B$35,0)</f>
        <v/>
      </c>
      <c r="AI219" s="392">
        <f>IF(AND(MOD(31,3)=0,AI218&gt;0),AI218*Assumptions!$B$35,0)</f>
        <v/>
      </c>
      <c r="AJ219" s="392">
        <f>IF(AND(MOD(32,3)=0,AJ218&gt;0),AJ218*Assumptions!$B$35,0)</f>
        <v/>
      </c>
      <c r="AK219" s="392">
        <f>IF(AND(MOD(33,3)=0,AK218&gt;0),AK218*Assumptions!$B$35,0)</f>
        <v/>
      </c>
      <c r="AL219" s="392">
        <f>IF(AND(MOD(34,3)=0,AL218&gt;0),AL218*Assumptions!$B$35,0)</f>
        <v/>
      </c>
      <c r="AM219" s="392">
        <f>IF(AND(MOD(35,3)=0,AM218&gt;0),AM218*Assumptions!$B$35,0)</f>
        <v/>
      </c>
      <c r="AN219" s="392">
        <f>IF(AND(MOD(36,3)=0,AN218&gt;0),AN218*Assumptions!$B$35,0)</f>
        <v/>
      </c>
      <c r="AO219" s="392">
        <f>IF(AND(MOD(37,3)=0,AO218&gt;0),AO218*Assumptions!$B$35,0)</f>
        <v/>
      </c>
      <c r="AP219" s="392">
        <f>IF(AND(MOD(38,3)=0,AP218&gt;0),AP218*Assumptions!$B$35,0)</f>
        <v/>
      </c>
      <c r="AQ219" s="392">
        <f>IF(AND(MOD(39,3)=0,AQ218&gt;0),AQ218*Assumptions!$B$35,0)</f>
        <v/>
      </c>
      <c r="AR219" s="392">
        <f>IF(AND(MOD(40,3)=0,AR218&gt;0),AR218*Assumptions!$B$35,0)</f>
        <v/>
      </c>
      <c r="AS219" s="392">
        <f>IF(AND(MOD(41,3)=0,AS218&gt;0),AS218*Assumptions!$B$35,0)</f>
        <v/>
      </c>
      <c r="AT219" s="392">
        <f>IF(AND(MOD(42,3)=0,AT218&gt;0),AT218*Assumptions!$B$35,0)</f>
        <v/>
      </c>
      <c r="AU219" s="392">
        <f>IF(AND(MOD(43,3)=0,AU218&gt;0),AU218*Assumptions!$B$35,0)</f>
        <v/>
      </c>
      <c r="AV219" s="392">
        <f>IF(AND(MOD(44,3)=0,AV218&gt;0),AV218*Assumptions!$B$35,0)</f>
        <v/>
      </c>
      <c r="AW219" s="392">
        <f>IF(AND(MOD(45,3)=0,AW218&gt;0),AW218*Assumptions!$B$35,0)</f>
        <v/>
      </c>
      <c r="AX219" s="392">
        <f>IF(AND(MOD(46,3)=0,AX218&gt;0),AX218*Assumptions!$B$35,0)</f>
        <v/>
      </c>
      <c r="AY219" s="392">
        <f>IF(AND(MOD(47,3)=0,AY218&gt;0),AY218*Assumptions!$B$35,0)</f>
        <v/>
      </c>
      <c r="AZ219" s="392">
        <f>IF(AND(MOD(48,3)=0,AZ218&gt;0),AZ218*Assumptions!$B$35,0)</f>
        <v/>
      </c>
      <c r="BA219" s="392">
        <f>IF(AND(MOD(49,3)=0,BA218&gt;0),BA218*Assumptions!$B$35,0)</f>
        <v/>
      </c>
      <c r="BB219" s="392">
        <f>IF(AND(MOD(50,3)=0,BB218&gt;0),BB218*Assumptions!$B$35,0)</f>
        <v/>
      </c>
      <c r="BC219" s="392">
        <f>IF(AND(MOD(51,3)=0,BC218&gt;0),BC218*Assumptions!$B$35,0)</f>
        <v/>
      </c>
      <c r="BD219" s="392">
        <f>IF(AND(MOD(52,3)=0,BD218&gt;0),BD218*Assumptions!$B$35,0)</f>
        <v/>
      </c>
      <c r="BE219" s="392">
        <f>IF(AND(MOD(53,3)=0,BE218&gt;0),BE218*Assumptions!$B$35,0)</f>
        <v/>
      </c>
      <c r="BF219" s="392">
        <f>IF(AND(MOD(54,3)=0,BF218&gt;0),BF218*Assumptions!$B$35,0)</f>
        <v/>
      </c>
      <c r="BG219" s="392">
        <f>IF(AND(MOD(55,3)=0,BG218&gt;0),BG218*Assumptions!$B$35,0)</f>
        <v/>
      </c>
      <c r="BH219" s="392">
        <f>IF(AND(MOD(56,3)=0,BH218&gt;0),BH218*Assumptions!$B$35,0)</f>
        <v/>
      </c>
      <c r="BI219" s="392">
        <f>IF(AND(MOD(57,3)=0,BI218&gt;0),BI218*Assumptions!$B$35,0)</f>
        <v/>
      </c>
      <c r="BJ219" s="392">
        <f>IF(AND(MOD(58,3)=0,BJ218&gt;0),BJ218*Assumptions!$B$35,0)</f>
        <v/>
      </c>
      <c r="BK219" s="392">
        <f>IF(AND(MOD(59,3)=0,BK218&gt;0),BK218*Assumptions!$B$35,0)</f>
        <v/>
      </c>
      <c r="BL219" s="392">
        <f>IF(AND(MOD(60,3)=0,BL218&gt;0),BL218*Assumptions!$B$35,0)</f>
        <v/>
      </c>
      <c r="BM219" s="392">
        <f>IF(AND(MOD(61,3)=0,BM218&gt;0),BM218*Assumptions!$B$35,0)</f>
        <v/>
      </c>
      <c r="BN219" s="392">
        <f>IF(AND(MOD(62,3)=0,BN218&gt;0),BN218*Assumptions!$B$35,0)</f>
        <v/>
      </c>
      <c r="BO219" s="392">
        <f>IF(AND(MOD(63,3)=0,BO218&gt;0),BO218*Assumptions!$B$35,0)</f>
        <v/>
      </c>
      <c r="BP219" s="392">
        <f>IF(AND(MOD(64,3)=0,BP218&gt;0),BP218*Assumptions!$B$35,0)</f>
        <v/>
      </c>
      <c r="BQ219" s="392">
        <f>IF(AND(MOD(65,3)=0,BQ218&gt;0),BQ218*Assumptions!$B$35,0)</f>
        <v/>
      </c>
      <c r="BR219" s="392">
        <f>IF(AND(MOD(66,3)=0,BR218&gt;0),BR218*Assumptions!$B$35,0)</f>
        <v/>
      </c>
      <c r="BS219" s="392">
        <f>IF(AND(MOD(67,3)=0,BS218&gt;0),BS218*Assumptions!$B$35,0)</f>
        <v/>
      </c>
      <c r="BT219" s="392">
        <f>IF(AND(MOD(68,3)=0,BT218&gt;0),BT218*Assumptions!$B$35,0)</f>
        <v/>
      </c>
      <c r="BU219" s="392">
        <f>IF(AND(MOD(69,3)=0,BU218&gt;0),BU218*Assumptions!$B$35,0)</f>
        <v/>
      </c>
      <c r="BV219" s="392">
        <f>IF(AND(MOD(70,3)=0,BV218&gt;0),BV218*Assumptions!$B$35,0)</f>
        <v/>
      </c>
      <c r="BW219" s="392">
        <f>IF(AND(MOD(71,3)=0,BW218&gt;0),BW218*Assumptions!$B$35,0)</f>
        <v/>
      </c>
      <c r="BX219" s="392">
        <f>IF(AND(MOD(72,3)=0,BX218&gt;0),BX218*Assumptions!$B$35,0)</f>
        <v/>
      </c>
      <c r="BY219" s="392">
        <f>IF(AND(MOD(73,3)=0,BY218&gt;0),BY218*Assumptions!$B$35,0)</f>
        <v/>
      </c>
      <c r="BZ219" s="392">
        <f>IF(AND(MOD(74,3)=0,BZ218&gt;0),BZ218*Assumptions!$B$35,0)</f>
        <v/>
      </c>
      <c r="CA219" s="392">
        <f>IF(AND(MOD(75,3)=0,CA218&gt;0),CA218*Assumptions!$B$35,0)</f>
        <v/>
      </c>
      <c r="CB219" s="392">
        <f>IF(AND(MOD(76,3)=0,CB218&gt;0),CB218*Assumptions!$B$35,0)</f>
        <v/>
      </c>
      <c r="CC219" s="392">
        <f>IF(AND(MOD(77,3)=0,CC218&gt;0),CC218*Assumptions!$B$35,0)</f>
        <v/>
      </c>
      <c r="CD219" s="392">
        <f>IF(AND(MOD(78,3)=0,CD218&gt;0),CD218*Assumptions!$B$35,0)</f>
        <v/>
      </c>
      <c r="CE219" s="392">
        <f>IF(AND(MOD(79,3)=0,CE218&gt;0),CE218*Assumptions!$B$35,0)</f>
        <v/>
      </c>
      <c r="CF219" s="392">
        <f>IF(AND(MOD(80,3)=0,CF218&gt;0),CF218*Assumptions!$B$35,0)</f>
        <v/>
      </c>
      <c r="CG219" s="392">
        <f>IF(AND(MOD(81,3)=0,CG218&gt;0),CG218*Assumptions!$B$35,0)</f>
        <v/>
      </c>
      <c r="CH219" s="392">
        <f>IF(AND(MOD(82,3)=0,CH218&gt;0),CH218*Assumptions!$B$35,0)</f>
        <v/>
      </c>
      <c r="CI219" s="392">
        <f>IF(AND(MOD(83,3)=0,CI218&gt;0),CI218*Assumptions!$B$35,0)</f>
        <v/>
      </c>
      <c r="CJ219" s="392">
        <f>IF(AND(MOD(84,3)=0,CJ218&gt;0),CJ218*Assumptions!$B$35,0)</f>
        <v/>
      </c>
      <c r="CK219" s="392">
        <f>IF(AND(MOD(85,3)=0,CK218&gt;0),CK218*Assumptions!$B$35,0)</f>
        <v/>
      </c>
      <c r="CL219" s="392">
        <f>IF(AND(MOD(86,3)=0,CL218&gt;0),CL218*Assumptions!$B$35,0)</f>
        <v/>
      </c>
      <c r="CM219" s="392">
        <f>IF(AND(MOD(87,3)=0,CM218&gt;0),CM218*Assumptions!$B$35,0)</f>
        <v/>
      </c>
      <c r="CN219" s="392">
        <f>IF(AND(MOD(88,3)=0,CN218&gt;0),CN218*Assumptions!$B$35,0)</f>
        <v/>
      </c>
      <c r="CO219" s="392">
        <f>IF(AND(MOD(89,3)=0,CO218&gt;0),CO218*Assumptions!$B$35,0)</f>
        <v/>
      </c>
      <c r="CP219" s="392">
        <f>IF(AND(MOD(90,3)=0,CP218&gt;0),CP218*Assumptions!$B$35,0)</f>
        <v/>
      </c>
      <c r="CQ219" s="392">
        <f>IF(AND(MOD(91,3)=0,CQ218&gt;0),CQ218*Assumptions!$B$35,0)</f>
        <v/>
      </c>
      <c r="CR219" s="392">
        <f>IF(AND(MOD(92,3)=0,CR218&gt;0),CR218*Assumptions!$B$35,0)</f>
        <v/>
      </c>
      <c r="CS219" s="392">
        <f>IF(AND(MOD(93,3)=0,CS218&gt;0),CS218*Assumptions!$B$35,0)</f>
        <v/>
      </c>
      <c r="CT219" s="392">
        <f>IF(AND(MOD(94,3)=0,CT218&gt;0),CT218*Assumptions!$B$35,0)</f>
        <v/>
      </c>
      <c r="CU219" s="392">
        <f>IF(AND(MOD(95,3)=0,CU218&gt;0),CU218*Assumptions!$B$35,0)</f>
        <v/>
      </c>
      <c r="CV219" s="392">
        <f>IF(AND(MOD(96,3)=0,CV218&gt;0),CV218*Assumptions!$B$35,0)</f>
        <v/>
      </c>
      <c r="CW219" s="392">
        <f>IF(AND(MOD(97,3)=0,CW218&gt;0),CW218*Assumptions!$B$35,0)</f>
        <v/>
      </c>
      <c r="CX219" s="392">
        <f>IF(AND(MOD(98,3)=0,CX218&gt;0),CX218*Assumptions!$B$35,0)</f>
        <v/>
      </c>
      <c r="CY219" s="392">
        <f>IF(AND(MOD(99,3)=0,CY218&gt;0),CY218*Assumptions!$B$35,0)</f>
        <v/>
      </c>
      <c r="CZ219" s="392">
        <f>IF(AND(MOD(100,3)=0,CZ218&gt;0),CZ218*Assumptions!$B$35,0)</f>
        <v/>
      </c>
      <c r="DA219" s="392">
        <f>IF(AND(MOD(101,3)=0,DA218&gt;0),DA218*Assumptions!$B$35,0)</f>
        <v/>
      </c>
      <c r="DB219" s="392">
        <f>IF(AND(MOD(102,3)=0,DB218&gt;0),DB218*Assumptions!$B$35,0)</f>
        <v/>
      </c>
      <c r="DC219" s="392">
        <f>IF(AND(MOD(103,3)=0,DC218&gt;0),DC218*Assumptions!$B$35,0)</f>
        <v/>
      </c>
      <c r="DD219" s="392">
        <f>IF(AND(MOD(104,3)=0,DD218&gt;0),DD218*Assumptions!$B$35,0)</f>
        <v/>
      </c>
      <c r="DE219" s="392">
        <f>IF(AND(MOD(105,3)=0,DE218&gt;0),DE218*Assumptions!$B$35,0)</f>
        <v/>
      </c>
    </row>
    <row r="220" ht="15" customFormat="1" customHeight="1" s="380">
      <c r="A220" s="397" t="inlineStr">
        <is>
          <t>Monthly Payment</t>
        </is>
      </c>
      <c r="B220" s="392" t="n"/>
      <c r="C220" s="392" t="n"/>
      <c r="D220" s="392" t="n"/>
      <c r="E220" s="392">
        <f>IF(AND(1&gt;=Assumptions!$B$37,E218+E219&gt;0),-MIN(Assumptions!$B$36,E218+E219),0)</f>
        <v/>
      </c>
      <c r="F220" s="392">
        <f>IF(AND(2&gt;=Assumptions!$B$37,F218+F219&gt;0),-MIN(Assumptions!$B$36,F218+F219),0)</f>
        <v/>
      </c>
      <c r="G220" s="392">
        <f>IF(AND(3&gt;=Assumptions!$B$37,G218+G219&gt;0),-MIN(Assumptions!$B$36,G218+G219),0)</f>
        <v/>
      </c>
      <c r="H220" s="392">
        <f>IF(AND(4&gt;=Assumptions!$B$37,H218+H219&gt;0),-MIN(Assumptions!$B$36,H218+H219),0)</f>
        <v/>
      </c>
      <c r="I220" s="392">
        <f>IF(AND(5&gt;=Assumptions!$B$37,I218+I219&gt;0),-MIN(Assumptions!$B$36,I218+I219),0)</f>
        <v/>
      </c>
      <c r="J220" s="392">
        <f>IF(AND(6&gt;=Assumptions!$B$37,J218+J219&gt;0),-MIN(Assumptions!$B$36,J218+J219),0)</f>
        <v/>
      </c>
      <c r="K220" s="392">
        <f>IF(AND(7&gt;=Assumptions!$B$37,K218+K219&gt;0),-MIN(Assumptions!$B$36,K218+K219),0)</f>
        <v/>
      </c>
      <c r="L220" s="392">
        <f>IF(AND(8&gt;=Assumptions!$B$37,L218+L219&gt;0),-MIN(Assumptions!$B$36,L218+L219),0)</f>
        <v/>
      </c>
      <c r="M220" s="392">
        <f>IF(AND(9&gt;=Assumptions!$B$37,M218+M219&gt;0),-MIN(Assumptions!$B$36,M218+M219),0)</f>
        <v/>
      </c>
      <c r="N220" s="392">
        <f>IF(AND(10&gt;=Assumptions!$B$37,N218+N219&gt;0),-MIN(Assumptions!$B$36,N218+N219),0)</f>
        <v/>
      </c>
      <c r="O220" s="392">
        <f>IF(AND(11&gt;=Assumptions!$B$37,O218+O219&gt;0),-MIN(Assumptions!$B$36,O218+O219),0)</f>
        <v/>
      </c>
      <c r="P220" s="392">
        <f>IF(AND(12&gt;=Assumptions!$B$37,P218+P219&gt;0),-MIN(Assumptions!$B$36,P218+P219),0)</f>
        <v/>
      </c>
      <c r="Q220" s="392">
        <f>IF(AND(13&gt;=Assumptions!$B$37,Q218+Q219&gt;0),-MIN(Assumptions!$B$36,Q218+Q219),0)</f>
        <v/>
      </c>
      <c r="R220" s="392">
        <f>IF(AND(14&gt;=Assumptions!$B$37,R218+R219&gt;0),-MIN(Assumptions!$B$36,R218+R219),0)</f>
        <v/>
      </c>
      <c r="S220" s="392">
        <f>IF(AND(15&gt;=Assumptions!$B$37,S218+S219&gt;0),-MIN(Assumptions!$B$36,S218+S219),0)</f>
        <v/>
      </c>
      <c r="T220" s="392">
        <f>IF(AND(16&gt;=Assumptions!$B$37,T218+T219&gt;0),-MIN(Assumptions!$B$36,T218+T219),0)</f>
        <v/>
      </c>
      <c r="U220" s="392">
        <f>IF(AND(17&gt;=Assumptions!$B$37,U218+U219&gt;0),-MIN(Assumptions!$B$36,U218+U219),0)</f>
        <v/>
      </c>
      <c r="V220" s="392">
        <f>IF(AND(18&gt;=Assumptions!$B$37,V218+V219&gt;0),-MIN(Assumptions!$B$36,V218+V219),0)</f>
        <v/>
      </c>
      <c r="W220" s="392">
        <f>IF(AND(19&gt;=Assumptions!$B$37,W218+W219&gt;0),-MIN(Assumptions!$B$36,W218+W219),0)</f>
        <v/>
      </c>
      <c r="X220" s="392">
        <f>IF(AND(20&gt;=Assumptions!$B$37,X218+X219&gt;0),-MIN(Assumptions!$B$36,X218+X219),0)</f>
        <v/>
      </c>
      <c r="Y220" s="392">
        <f>IF(AND(21&gt;=Assumptions!$B$37,Y218+Y219&gt;0),-MIN(Assumptions!$B$36,Y218+Y219),0)</f>
        <v/>
      </c>
      <c r="Z220" s="392">
        <f>IF(AND(22&gt;=Assumptions!$B$37,Z218+Z219&gt;0),-MIN(Assumptions!$B$36,Z218+Z219),0)</f>
        <v/>
      </c>
      <c r="AA220" s="392">
        <f>IF(AND(23&gt;=Assumptions!$B$37,AA218+AA219&gt;0),-MIN(Assumptions!$B$36,AA218+AA219),0)</f>
        <v/>
      </c>
      <c r="AB220" s="392">
        <f>IF(AND(24&gt;=Assumptions!$B$37,AB218+AB219&gt;0),-MIN(Assumptions!$B$36,AB218+AB219),0)</f>
        <v/>
      </c>
      <c r="AC220" s="392">
        <f>IF(AND(25&gt;=Assumptions!$B$37,AC218+AC219&gt;0),-MIN(Assumptions!$B$36,AC218+AC219),0)</f>
        <v/>
      </c>
      <c r="AD220" s="392">
        <f>IF(AND(26&gt;=Assumptions!$B$37,AD218+AD219&gt;0),-MIN(Assumptions!$B$36,AD218+AD219),0)</f>
        <v/>
      </c>
      <c r="AE220" s="392">
        <f>IF(AND(27&gt;=Assumptions!$B$37,AE218+AE219&gt;0),-MIN(Assumptions!$B$36,AE218+AE219),0)</f>
        <v/>
      </c>
      <c r="AF220" s="392">
        <f>IF(AND(28&gt;=Assumptions!$B$37,AF218+AF219&gt;0),-MIN(Assumptions!$B$36,AF218+AF219),0)</f>
        <v/>
      </c>
      <c r="AG220" s="392">
        <f>IF(AND(29&gt;=Assumptions!$B$37,AG218+AG219&gt;0),-MIN(Assumptions!$B$36,AG218+AG219),0)</f>
        <v/>
      </c>
      <c r="AH220" s="392">
        <f>IF(AND(30&gt;=Assumptions!$B$37,AH218+AH219&gt;0),-MIN(Assumptions!$B$36,AH218+AH219),0)</f>
        <v/>
      </c>
      <c r="AI220" s="392">
        <f>IF(AND(31&gt;=Assumptions!$B$37,AI218+AI219&gt;0),-MIN(Assumptions!$B$36,AI218+AI219),0)</f>
        <v/>
      </c>
      <c r="AJ220" s="392">
        <f>IF(AND(32&gt;=Assumptions!$B$37,AJ218+AJ219&gt;0),-MIN(Assumptions!$B$36,AJ218+AJ219),0)</f>
        <v/>
      </c>
      <c r="AK220" s="392">
        <f>IF(AND(33&gt;=Assumptions!$B$37,AK218+AK219&gt;0),-MIN(Assumptions!$B$36,AK218+AK219),0)</f>
        <v/>
      </c>
      <c r="AL220" s="392">
        <f>IF(AND(34&gt;=Assumptions!$B$37,AL218+AL219&gt;0),-MIN(Assumptions!$B$36,AL218+AL219),0)</f>
        <v/>
      </c>
      <c r="AM220" s="392">
        <f>IF(AND(35&gt;=Assumptions!$B$37,AM218+AM219&gt;0),-MIN(Assumptions!$B$36,AM218+AM219),0)</f>
        <v/>
      </c>
      <c r="AN220" s="392">
        <f>IF(AND(36&gt;=Assumptions!$B$37,AN218+AN219&gt;0),-MIN(Assumptions!$B$36,AN218+AN219),0)</f>
        <v/>
      </c>
      <c r="AO220" s="392">
        <f>IF(AND(37&gt;=Assumptions!$B$37,AO218+AO219&gt;0),-MIN(Assumptions!$B$36,AO218+AO219),0)</f>
        <v/>
      </c>
      <c r="AP220" s="392">
        <f>IF(AND(38&gt;=Assumptions!$B$37,AP218+AP219&gt;0),-MIN(Assumptions!$B$36,AP218+AP219),0)</f>
        <v/>
      </c>
      <c r="AQ220" s="392">
        <f>IF(AND(39&gt;=Assumptions!$B$37,AQ218+AQ219&gt;0),-MIN(Assumptions!$B$36,AQ218+AQ219),0)</f>
        <v/>
      </c>
      <c r="AR220" s="392">
        <f>IF(AND(40&gt;=Assumptions!$B$37,AR218+AR219&gt;0),-MIN(Assumptions!$B$36,AR218+AR219),0)</f>
        <v/>
      </c>
      <c r="AS220" s="392">
        <f>IF(AND(41&gt;=Assumptions!$B$37,AS218+AS219&gt;0),-MIN(Assumptions!$B$36,AS218+AS219),0)</f>
        <v/>
      </c>
      <c r="AT220" s="392">
        <f>IF(AND(42&gt;=Assumptions!$B$37,AT218+AT219&gt;0),-MIN(Assumptions!$B$36,AT218+AT219),0)</f>
        <v/>
      </c>
      <c r="AU220" s="392">
        <f>IF(AND(43&gt;=Assumptions!$B$37,AU218+AU219&gt;0),-MIN(Assumptions!$B$36,AU218+AU219),0)</f>
        <v/>
      </c>
      <c r="AV220" s="392">
        <f>IF(AND(44&gt;=Assumptions!$B$37,AV218+AV219&gt;0),-MIN(Assumptions!$B$36,AV218+AV219),0)</f>
        <v/>
      </c>
      <c r="AW220" s="392">
        <f>IF(AND(45&gt;=Assumptions!$B$37,AW218+AW219&gt;0),-MIN(Assumptions!$B$36,AW218+AW219),0)</f>
        <v/>
      </c>
      <c r="AX220" s="392">
        <f>IF(AND(46&gt;=Assumptions!$B$37,AX218+AX219&gt;0),-MIN(Assumptions!$B$36,AX218+AX219),0)</f>
        <v/>
      </c>
      <c r="AY220" s="392">
        <f>IF(AND(47&gt;=Assumptions!$B$37,AY218+AY219&gt;0),-MIN(Assumptions!$B$36,AY218+AY219),0)</f>
        <v/>
      </c>
      <c r="AZ220" s="392">
        <f>IF(AND(48&gt;=Assumptions!$B$37,AZ218+AZ219&gt;0),-MIN(Assumptions!$B$36,AZ218+AZ219),0)</f>
        <v/>
      </c>
      <c r="BA220" s="392">
        <f>IF(AND(49&gt;=Assumptions!$B$37,BA218+BA219&gt;0),-MIN(Assumptions!$B$36,BA218+BA219),0)</f>
        <v/>
      </c>
      <c r="BB220" s="392">
        <f>IF(AND(50&gt;=Assumptions!$B$37,BB218+BB219&gt;0),-MIN(Assumptions!$B$36,BB218+BB219),0)</f>
        <v/>
      </c>
      <c r="BC220" s="392">
        <f>IF(AND(51&gt;=Assumptions!$B$37,BC218+BC219&gt;0),-MIN(Assumptions!$B$36,BC218+BC219),0)</f>
        <v/>
      </c>
      <c r="BD220" s="392">
        <f>IF(AND(52&gt;=Assumptions!$B$37,BD218+BD219&gt;0),-MIN(Assumptions!$B$36,BD218+BD219),0)</f>
        <v/>
      </c>
      <c r="BE220" s="392">
        <f>IF(AND(53&gt;=Assumptions!$B$37,BE218+BE219&gt;0),-MIN(Assumptions!$B$36,BE218+BE219),0)</f>
        <v/>
      </c>
      <c r="BF220" s="392">
        <f>IF(AND(54&gt;=Assumptions!$B$37,BF218+BF219&gt;0),-MIN(Assumptions!$B$36,BF218+BF219),0)</f>
        <v/>
      </c>
      <c r="BG220" s="392">
        <f>IF(AND(55&gt;=Assumptions!$B$37,BG218+BG219&gt;0),-MIN(Assumptions!$B$36,BG218+BG219),0)</f>
        <v/>
      </c>
      <c r="BH220" s="392">
        <f>IF(AND(56&gt;=Assumptions!$B$37,BH218+BH219&gt;0),-MIN(Assumptions!$B$36,BH218+BH219),0)</f>
        <v/>
      </c>
      <c r="BI220" s="392">
        <f>IF(AND(57&gt;=Assumptions!$B$37,BI218+BI219&gt;0),-MIN(Assumptions!$B$36,BI218+BI219),0)</f>
        <v/>
      </c>
      <c r="BJ220" s="392">
        <f>IF(AND(58&gt;=Assumptions!$B$37,BJ218+BJ219&gt;0),-MIN(Assumptions!$B$36,BJ218+BJ219),0)</f>
        <v/>
      </c>
      <c r="BK220" s="392">
        <f>IF(AND(59&gt;=Assumptions!$B$37,BK218+BK219&gt;0),-MIN(Assumptions!$B$36,BK218+BK219),0)</f>
        <v/>
      </c>
      <c r="BL220" s="392">
        <f>IF(AND(60&gt;=Assumptions!$B$37,BL218+BL219&gt;0),-MIN(Assumptions!$B$36,BL218+BL219),0)</f>
        <v/>
      </c>
      <c r="BM220" s="392">
        <f>IF(AND(61&gt;=Assumptions!$B$37,BM218+BM219&gt;0),-MIN(Assumptions!$B$36,BM218+BM219),0)</f>
        <v/>
      </c>
      <c r="BN220" s="392">
        <f>IF(AND(62&gt;=Assumptions!$B$37,BN218+BN219&gt;0),-MIN(Assumptions!$B$36,BN218+BN219),0)</f>
        <v/>
      </c>
      <c r="BO220" s="392">
        <f>IF(AND(63&gt;=Assumptions!$B$37,BO218+BO219&gt;0),-MIN(Assumptions!$B$36,BO218+BO219),0)</f>
        <v/>
      </c>
      <c r="BP220" s="392">
        <f>IF(AND(64&gt;=Assumptions!$B$37,BP218+BP219&gt;0),-MIN(Assumptions!$B$36,BP218+BP219),0)</f>
        <v/>
      </c>
      <c r="BQ220" s="392">
        <f>IF(AND(65&gt;=Assumptions!$B$37,BQ218+BQ219&gt;0),-MIN(Assumptions!$B$36,BQ218+BQ219),0)</f>
        <v/>
      </c>
      <c r="BR220" s="392">
        <f>IF(AND(66&gt;=Assumptions!$B$37,BR218+BR219&gt;0),-MIN(Assumptions!$B$36,BR218+BR219),0)</f>
        <v/>
      </c>
      <c r="BS220" s="392">
        <f>IF(AND(67&gt;=Assumptions!$B$37,BS218+BS219&gt;0),-MIN(Assumptions!$B$36,BS218+BS219),0)</f>
        <v/>
      </c>
      <c r="BT220" s="392">
        <f>IF(AND(68&gt;=Assumptions!$B$37,BT218+BT219&gt;0),-MIN(Assumptions!$B$36,BT218+BT219),0)</f>
        <v/>
      </c>
      <c r="BU220" s="392">
        <f>IF(AND(69&gt;=Assumptions!$B$37,BU218+BU219&gt;0),-MIN(Assumptions!$B$36,BU218+BU219),0)</f>
        <v/>
      </c>
      <c r="BV220" s="392">
        <f>IF(AND(70&gt;=Assumptions!$B$37,BV218+BV219&gt;0),-MIN(Assumptions!$B$36,BV218+BV219),0)</f>
        <v/>
      </c>
      <c r="BW220" s="392">
        <f>IF(AND(71&gt;=Assumptions!$B$37,BW218+BW219&gt;0),-MIN(Assumptions!$B$36,BW218+BW219),0)</f>
        <v/>
      </c>
      <c r="BX220" s="392">
        <f>IF(AND(72&gt;=Assumptions!$B$37,BX218+BX219&gt;0),-MIN(Assumptions!$B$36,BX218+BX219),0)</f>
        <v/>
      </c>
      <c r="BY220" s="392">
        <f>IF(AND(73&gt;=Assumptions!$B$37,BY218+BY219&gt;0),-MIN(Assumptions!$B$36,BY218+BY219),0)</f>
        <v/>
      </c>
      <c r="BZ220" s="392">
        <f>IF(AND(74&gt;=Assumptions!$B$37,BZ218+BZ219&gt;0),-MIN(Assumptions!$B$36,BZ218+BZ219),0)</f>
        <v/>
      </c>
      <c r="CA220" s="392">
        <f>IF(AND(75&gt;=Assumptions!$B$37,CA218+CA219&gt;0),-MIN(Assumptions!$B$36,CA218+CA219),0)</f>
        <v/>
      </c>
      <c r="CB220" s="392">
        <f>IF(AND(76&gt;=Assumptions!$B$37,CB218+CB219&gt;0),-MIN(Assumptions!$B$36,CB218+CB219),0)</f>
        <v/>
      </c>
      <c r="CC220" s="392">
        <f>IF(AND(77&gt;=Assumptions!$B$37,CC218+CC219&gt;0),-MIN(Assumptions!$B$36,CC218+CC219),0)</f>
        <v/>
      </c>
      <c r="CD220" s="392">
        <f>IF(AND(78&gt;=Assumptions!$B$37,CD218+CD219&gt;0),-MIN(Assumptions!$B$36,CD218+CD219),0)</f>
        <v/>
      </c>
      <c r="CE220" s="392">
        <f>IF(AND(79&gt;=Assumptions!$B$37,CE218+CE219&gt;0),-MIN(Assumptions!$B$36,CE218+CE219),0)</f>
        <v/>
      </c>
      <c r="CF220" s="392">
        <f>IF(AND(80&gt;=Assumptions!$B$37,CF218+CF219&gt;0),-MIN(Assumptions!$B$36,CF218+CF219),0)</f>
        <v/>
      </c>
      <c r="CG220" s="392">
        <f>IF(AND(81&gt;=Assumptions!$B$37,CG218+CG219&gt;0),-MIN(Assumptions!$B$36,CG218+CG219),0)</f>
        <v/>
      </c>
      <c r="CH220" s="392">
        <f>IF(AND(82&gt;=Assumptions!$B$37,CH218+CH219&gt;0),-MIN(Assumptions!$B$36,CH218+CH219),0)</f>
        <v/>
      </c>
      <c r="CI220" s="392">
        <f>IF(AND(83&gt;=Assumptions!$B$37,CI218+CI219&gt;0),-MIN(Assumptions!$B$36,CI218+CI219),0)</f>
        <v/>
      </c>
      <c r="CJ220" s="392">
        <f>IF(AND(84&gt;=Assumptions!$B$37,CJ218+CJ219&gt;0),-MIN(Assumptions!$B$36,CJ218+CJ219),0)</f>
        <v/>
      </c>
      <c r="CK220" s="392">
        <f>IF(AND(85&gt;=Assumptions!$B$37,CK218+CK219&gt;0),-MIN(Assumptions!$B$36,CK218+CK219),0)</f>
        <v/>
      </c>
      <c r="CL220" s="392">
        <f>IF(AND(86&gt;=Assumptions!$B$37,CL218+CL219&gt;0),-MIN(Assumptions!$B$36,CL218+CL219),0)</f>
        <v/>
      </c>
      <c r="CM220" s="392">
        <f>IF(AND(87&gt;=Assumptions!$B$37,CM218+CM219&gt;0),-MIN(Assumptions!$B$36,CM218+CM219),0)</f>
        <v/>
      </c>
      <c r="CN220" s="392">
        <f>IF(AND(88&gt;=Assumptions!$B$37,CN218+CN219&gt;0),-MIN(Assumptions!$B$36,CN218+CN219),0)</f>
        <v/>
      </c>
      <c r="CO220" s="392">
        <f>IF(AND(89&gt;=Assumptions!$B$37,CO218+CO219&gt;0),-MIN(Assumptions!$B$36,CO218+CO219),0)</f>
        <v/>
      </c>
      <c r="CP220" s="392">
        <f>IF(AND(90&gt;=Assumptions!$B$37,CP218+CP219&gt;0),-MIN(Assumptions!$B$36,CP218+CP219),0)</f>
        <v/>
      </c>
      <c r="CQ220" s="392">
        <f>IF(AND(91&gt;=Assumptions!$B$37,CQ218+CQ219&gt;0),-MIN(Assumptions!$B$36,CQ218+CQ219),0)</f>
        <v/>
      </c>
      <c r="CR220" s="392">
        <f>IF(AND(92&gt;=Assumptions!$B$37,CR218+CR219&gt;0),-MIN(Assumptions!$B$36,CR218+CR219),0)</f>
        <v/>
      </c>
      <c r="CS220" s="392">
        <f>IF(AND(93&gt;=Assumptions!$B$37,CS218+CS219&gt;0),-MIN(Assumptions!$B$36,CS218+CS219),0)</f>
        <v/>
      </c>
      <c r="CT220" s="392">
        <f>IF(AND(94&gt;=Assumptions!$B$37,CT218+CT219&gt;0),-MIN(Assumptions!$B$36,CT218+CT219),0)</f>
        <v/>
      </c>
      <c r="CU220" s="392">
        <f>IF(AND(95&gt;=Assumptions!$B$37,CU218+CU219&gt;0),-MIN(Assumptions!$B$36,CU218+CU219),0)</f>
        <v/>
      </c>
      <c r="CV220" s="392">
        <f>IF(AND(96&gt;=Assumptions!$B$37,CV218+CV219&gt;0),-MIN(Assumptions!$B$36,CV218+CV219),0)</f>
        <v/>
      </c>
      <c r="CW220" s="392">
        <f>IF(AND(97&gt;=Assumptions!$B$37,CW218+CW219&gt;0),-MIN(Assumptions!$B$36,CW218+CW219),0)</f>
        <v/>
      </c>
      <c r="CX220" s="392">
        <f>IF(AND(98&gt;=Assumptions!$B$37,CX218+CX219&gt;0),-MIN(Assumptions!$B$36,CX218+CX219),0)</f>
        <v/>
      </c>
      <c r="CY220" s="392">
        <f>IF(AND(99&gt;=Assumptions!$B$37,CY218+CY219&gt;0),-MIN(Assumptions!$B$36,CY218+CY219),0)</f>
        <v/>
      </c>
      <c r="CZ220" s="392">
        <f>IF(AND(100&gt;=Assumptions!$B$37,CZ218+CZ219&gt;0),-MIN(Assumptions!$B$36,CZ218+CZ219),0)</f>
        <v/>
      </c>
      <c r="DA220" s="392">
        <f>IF(AND(101&gt;=Assumptions!$B$37,DA218+DA219&gt;0),-MIN(Assumptions!$B$36,DA218+DA219),0)</f>
        <v/>
      </c>
      <c r="DB220" s="392">
        <f>IF(AND(102&gt;=Assumptions!$B$37,DB218+DB219&gt;0),-MIN(Assumptions!$B$36,DB218+DB219),0)</f>
        <v/>
      </c>
      <c r="DC220" s="392">
        <f>IF(AND(103&gt;=Assumptions!$B$37,DC218+DC219&gt;0),-MIN(Assumptions!$B$36,DC218+DC219),0)</f>
        <v/>
      </c>
      <c r="DD220" s="392">
        <f>IF(AND(104&gt;=Assumptions!$B$37,DD218+DD219&gt;0),-MIN(Assumptions!$B$36,DD218+DD219),0)</f>
        <v/>
      </c>
      <c r="DE220" s="392">
        <f>IF(AND(105&gt;=Assumptions!$B$37,DE218+DE219&gt;0),-MIN(Assumptions!$B$36,DE218+DE219),0)</f>
        <v/>
      </c>
    </row>
    <row r="221" ht="15" customFormat="1" customHeight="1" s="380">
      <c r="A221" s="425" t="inlineStr">
        <is>
          <t>Ending Balance</t>
        </is>
      </c>
      <c r="B221" s="426" t="n"/>
      <c r="C221" s="426" t="n"/>
      <c r="D221" s="426" t="n"/>
      <c r="E221" s="426">
        <f>MAX(0,E218+E219+E220)</f>
        <v/>
      </c>
      <c r="F221" s="426">
        <f>MAX(0,F218+F219+F220)</f>
        <v/>
      </c>
      <c r="G221" s="426">
        <f>MAX(0,G218+G219+G220)</f>
        <v/>
      </c>
      <c r="H221" s="426">
        <f>MAX(0,H218+H219+H220)</f>
        <v/>
      </c>
      <c r="I221" s="426">
        <f>MAX(0,I218+I219+I220)</f>
        <v/>
      </c>
      <c r="J221" s="426">
        <f>MAX(0,J218+J219+J220)</f>
        <v/>
      </c>
      <c r="K221" s="426">
        <f>MAX(0,K218+K219+K220)</f>
        <v/>
      </c>
      <c r="L221" s="426">
        <f>MAX(0,L218+L219+L220)</f>
        <v/>
      </c>
      <c r="M221" s="426">
        <f>MAX(0,M218+M219+M220)</f>
        <v/>
      </c>
      <c r="N221" s="426">
        <f>MAX(0,N218+N219+N220)</f>
        <v/>
      </c>
      <c r="O221" s="426">
        <f>MAX(0,O218+O219+O220)</f>
        <v/>
      </c>
      <c r="P221" s="426">
        <f>MAX(0,P218+P219+P220)</f>
        <v/>
      </c>
      <c r="Q221" s="426">
        <f>MAX(0,Q218+Q219+Q220)</f>
        <v/>
      </c>
      <c r="R221" s="426">
        <f>MAX(0,R218+R219+R220)</f>
        <v/>
      </c>
      <c r="S221" s="426">
        <f>MAX(0,S218+S219+S220)</f>
        <v/>
      </c>
      <c r="T221" s="426">
        <f>MAX(0,T218+T219+T220)</f>
        <v/>
      </c>
      <c r="U221" s="426">
        <f>MAX(0,U218+U219+U220)</f>
        <v/>
      </c>
      <c r="V221" s="426">
        <f>MAX(0,V218+V219+V220)</f>
        <v/>
      </c>
      <c r="W221" s="426">
        <f>MAX(0,W218+W219+W220)</f>
        <v/>
      </c>
      <c r="X221" s="426">
        <f>MAX(0,X218+X219+X220)</f>
        <v/>
      </c>
      <c r="Y221" s="426">
        <f>MAX(0,Y218+Y219+Y220)</f>
        <v/>
      </c>
      <c r="Z221" s="426">
        <f>MAX(0,Z218+Z219+Z220)</f>
        <v/>
      </c>
      <c r="AA221" s="426">
        <f>MAX(0,AA218+AA219+AA220)</f>
        <v/>
      </c>
      <c r="AB221" s="426">
        <f>MAX(0,AB218+AB219+AB220)</f>
        <v/>
      </c>
      <c r="AC221" s="426">
        <f>MAX(0,AC218+AC219+AC220)</f>
        <v/>
      </c>
      <c r="AD221" s="426">
        <f>MAX(0,AD218+AD219+AD220)</f>
        <v/>
      </c>
      <c r="AE221" s="426">
        <f>MAX(0,AE218+AE219+AE220)</f>
        <v/>
      </c>
      <c r="AF221" s="426">
        <f>MAX(0,AF218+AF219+AF220)</f>
        <v/>
      </c>
      <c r="AG221" s="426">
        <f>MAX(0,AG218+AG219+AG220)</f>
        <v/>
      </c>
      <c r="AH221" s="426">
        <f>MAX(0,AH218+AH219+AH220)</f>
        <v/>
      </c>
      <c r="AI221" s="426">
        <f>MAX(0,AI218+AI219+AI220)</f>
        <v/>
      </c>
      <c r="AJ221" s="426">
        <f>MAX(0,AJ218+AJ219+AJ220)</f>
        <v/>
      </c>
      <c r="AK221" s="426">
        <f>MAX(0,AK218+AK219+AK220)</f>
        <v/>
      </c>
      <c r="AL221" s="426">
        <f>MAX(0,AL218+AL219+AL220)</f>
        <v/>
      </c>
      <c r="AM221" s="426">
        <f>MAX(0,AM218+AM219+AM220)</f>
        <v/>
      </c>
      <c r="AN221" s="426">
        <f>MAX(0,AN218+AN219+AN220)</f>
        <v/>
      </c>
      <c r="AO221" s="426">
        <f>MAX(0,AO218+AO219+AO220)</f>
        <v/>
      </c>
      <c r="AP221" s="426">
        <f>MAX(0,AP218+AP219+AP220)</f>
        <v/>
      </c>
      <c r="AQ221" s="426">
        <f>MAX(0,AQ218+AQ219+AQ220)</f>
        <v/>
      </c>
      <c r="AR221" s="426">
        <f>MAX(0,AR218+AR219+AR220)</f>
        <v/>
      </c>
      <c r="AS221" s="426">
        <f>MAX(0,AS218+AS219+AS220)</f>
        <v/>
      </c>
      <c r="AT221" s="426">
        <f>MAX(0,AT218+AT219+AT220)</f>
        <v/>
      </c>
      <c r="AU221" s="426">
        <f>MAX(0,AU218+AU219+AU220)</f>
        <v/>
      </c>
      <c r="AV221" s="426">
        <f>MAX(0,AV218+AV219+AV220)</f>
        <v/>
      </c>
      <c r="AW221" s="426">
        <f>MAX(0,AW218+AW219+AW220)</f>
        <v/>
      </c>
      <c r="AX221" s="426">
        <f>MAX(0,AX218+AX219+AX220)</f>
        <v/>
      </c>
      <c r="AY221" s="426">
        <f>MAX(0,AY218+AY219+AY220)</f>
        <v/>
      </c>
      <c r="AZ221" s="426">
        <f>MAX(0,AZ218+AZ219+AZ220)</f>
        <v/>
      </c>
      <c r="BA221" s="426">
        <f>MAX(0,BA218+BA219+BA220)</f>
        <v/>
      </c>
      <c r="BB221" s="426">
        <f>MAX(0,BB218+BB219+BB220)</f>
        <v/>
      </c>
      <c r="BC221" s="426">
        <f>MAX(0,BC218+BC219+BC220)</f>
        <v/>
      </c>
      <c r="BD221" s="426">
        <f>MAX(0,BD218+BD219+BD220)</f>
        <v/>
      </c>
      <c r="BE221" s="426">
        <f>MAX(0,BE218+BE219+BE220)</f>
        <v/>
      </c>
      <c r="BF221" s="426">
        <f>MAX(0,BF218+BF219+BF220)</f>
        <v/>
      </c>
      <c r="BG221" s="426">
        <f>MAX(0,BG218+BG219+BG220)</f>
        <v/>
      </c>
      <c r="BH221" s="426">
        <f>MAX(0,BH218+BH219+BH220)</f>
        <v/>
      </c>
      <c r="BI221" s="426">
        <f>MAX(0,BI218+BI219+BI220)</f>
        <v/>
      </c>
      <c r="BJ221" s="426">
        <f>MAX(0,BJ218+BJ219+BJ220)</f>
        <v/>
      </c>
      <c r="BK221" s="426">
        <f>MAX(0,BK218+BK219+BK220)</f>
        <v/>
      </c>
      <c r="BL221" s="426">
        <f>MAX(0,BL218+BL219+BL220)</f>
        <v/>
      </c>
      <c r="BM221" s="426">
        <f>MAX(0,BM218+BM219+BM220)</f>
        <v/>
      </c>
      <c r="BN221" s="426">
        <f>MAX(0,BN218+BN219+BN220)</f>
        <v/>
      </c>
      <c r="BO221" s="426">
        <f>MAX(0,BO218+BO219+BO220)</f>
        <v/>
      </c>
      <c r="BP221" s="426">
        <f>MAX(0,BP218+BP219+BP220)</f>
        <v/>
      </c>
      <c r="BQ221" s="426">
        <f>MAX(0,BQ218+BQ219+BQ220)</f>
        <v/>
      </c>
      <c r="BR221" s="426">
        <f>MAX(0,BR218+BR219+BR220)</f>
        <v/>
      </c>
      <c r="BS221" s="426">
        <f>MAX(0,BS218+BS219+BS220)</f>
        <v/>
      </c>
      <c r="BT221" s="426">
        <f>MAX(0,BT218+BT219+BT220)</f>
        <v/>
      </c>
      <c r="BU221" s="426">
        <f>MAX(0,BU218+BU219+BU220)</f>
        <v/>
      </c>
      <c r="BV221" s="426">
        <f>MAX(0,BV218+BV219+BV220)</f>
        <v/>
      </c>
      <c r="BW221" s="426">
        <f>MAX(0,BW218+BW219+BW220)</f>
        <v/>
      </c>
      <c r="BX221" s="426">
        <f>MAX(0,BX218+BX219+BX220)</f>
        <v/>
      </c>
      <c r="BY221" s="426">
        <f>MAX(0,BY218+BY219+BY220)</f>
        <v/>
      </c>
      <c r="BZ221" s="426">
        <f>MAX(0,BZ218+BZ219+BZ220)</f>
        <v/>
      </c>
      <c r="CA221" s="426">
        <f>MAX(0,CA218+CA219+CA220)</f>
        <v/>
      </c>
      <c r="CB221" s="426">
        <f>MAX(0,CB218+CB219+CB220)</f>
        <v/>
      </c>
      <c r="CC221" s="426">
        <f>MAX(0,CC218+CC219+CC220)</f>
        <v/>
      </c>
      <c r="CD221" s="426">
        <f>MAX(0,CD218+CD219+CD220)</f>
        <v/>
      </c>
      <c r="CE221" s="426">
        <f>MAX(0,CE218+CE219+CE220)</f>
        <v/>
      </c>
      <c r="CF221" s="426">
        <f>MAX(0,CF218+CF219+CF220)</f>
        <v/>
      </c>
      <c r="CG221" s="426">
        <f>MAX(0,CG218+CG219+CG220)</f>
        <v/>
      </c>
      <c r="CH221" s="426">
        <f>MAX(0,CH218+CH219+CH220)</f>
        <v/>
      </c>
      <c r="CI221" s="426">
        <f>MAX(0,CI218+CI219+CI220)</f>
        <v/>
      </c>
      <c r="CJ221" s="426">
        <f>MAX(0,CJ218+CJ219+CJ220)</f>
        <v/>
      </c>
      <c r="CK221" s="426">
        <f>MAX(0,CK218+CK219+CK220)</f>
        <v/>
      </c>
      <c r="CL221" s="426">
        <f>MAX(0,CL218+CL219+CL220)</f>
        <v/>
      </c>
      <c r="CM221" s="426">
        <f>MAX(0,CM218+CM219+CM220)</f>
        <v/>
      </c>
      <c r="CN221" s="426">
        <f>MAX(0,CN218+CN219+CN220)</f>
        <v/>
      </c>
      <c r="CO221" s="426">
        <f>MAX(0,CO218+CO219+CO220)</f>
        <v/>
      </c>
      <c r="CP221" s="426">
        <f>MAX(0,CP218+CP219+CP220)</f>
        <v/>
      </c>
      <c r="CQ221" s="426">
        <f>MAX(0,CQ218+CQ219+CQ220)</f>
        <v/>
      </c>
      <c r="CR221" s="426">
        <f>MAX(0,CR218+CR219+CR220)</f>
        <v/>
      </c>
      <c r="CS221" s="426">
        <f>MAX(0,CS218+CS219+CS220)</f>
        <v/>
      </c>
      <c r="CT221" s="426">
        <f>MAX(0,CT218+CT219+CT220)</f>
        <v/>
      </c>
      <c r="CU221" s="426">
        <f>MAX(0,CU218+CU219+CU220)</f>
        <v/>
      </c>
      <c r="CV221" s="426">
        <f>MAX(0,CV218+CV219+CV220)</f>
        <v/>
      </c>
      <c r="CW221" s="426">
        <f>MAX(0,CW218+CW219+CW220)</f>
        <v/>
      </c>
      <c r="CX221" s="426">
        <f>MAX(0,CX218+CX219+CX220)</f>
        <v/>
      </c>
      <c r="CY221" s="426">
        <f>MAX(0,CY218+CY219+CY220)</f>
        <v/>
      </c>
      <c r="CZ221" s="426">
        <f>MAX(0,CZ218+CZ219+CZ220)</f>
        <v/>
      </c>
      <c r="DA221" s="426">
        <f>MAX(0,DA218+DA219+DA220)</f>
        <v/>
      </c>
      <c r="DB221" s="426">
        <f>MAX(0,DB218+DB219+DB220)</f>
        <v/>
      </c>
      <c r="DC221" s="426">
        <f>MAX(0,DC218+DC219+DC220)</f>
        <v/>
      </c>
      <c r="DD221" s="426">
        <f>MAX(0,DD218+DD219+DD220)</f>
        <v/>
      </c>
      <c r="DE221" s="426">
        <f>MAX(0,DE218+DE219+DE220)</f>
        <v/>
      </c>
    </row>
    <row r="222" ht="13.5" customFormat="1" customHeight="1" s="380">
      <c r="A222" s="382" t="n"/>
      <c r="B222" s="392" t="n"/>
      <c r="C222" s="392" t="n"/>
      <c r="D222" s="392" t="n"/>
      <c r="E222" s="392" t="n"/>
      <c r="F222" s="392" t="n"/>
      <c r="G222" s="392" t="n"/>
      <c r="H222" s="392" t="n"/>
      <c r="I222" s="392" t="n"/>
      <c r="J222" s="392" t="n"/>
      <c r="K222" s="392" t="n"/>
      <c r="L222" s="392" t="n"/>
      <c r="M222" s="392" t="n"/>
      <c r="N222" s="392" t="n"/>
      <c r="O222" s="392" t="n"/>
      <c r="P222" s="392" t="n"/>
      <c r="Q222" s="392" t="n"/>
      <c r="R222" s="392" t="n"/>
      <c r="S222" s="392" t="n"/>
      <c r="T222" s="392" t="n"/>
      <c r="U222" s="392" t="n"/>
      <c r="V222" s="392" t="n"/>
      <c r="W222" s="392" t="n"/>
      <c r="X222" s="392" t="n"/>
      <c r="Y222" s="392" t="n"/>
      <c r="Z222" s="392" t="n"/>
      <c r="AA222" s="392" t="n"/>
      <c r="AB222" s="392" t="n"/>
      <c r="AC222" s="392" t="n"/>
      <c r="AD222" s="392" t="n"/>
      <c r="AE222" s="392" t="n"/>
      <c r="AF222" s="392" t="n"/>
      <c r="AG222" s="392" t="n"/>
      <c r="AH222" s="392" t="n"/>
      <c r="AI222" s="392" t="n"/>
      <c r="AJ222" s="392" t="n"/>
      <c r="AK222" s="392" t="n"/>
      <c r="AL222" s="392" t="n"/>
      <c r="AM222" s="392" t="n"/>
      <c r="AN222" s="392" t="n"/>
      <c r="AO222" s="392" t="n"/>
      <c r="AP222" s="392" t="n"/>
      <c r="AQ222" s="392" t="n"/>
      <c r="AR222" s="392" t="n"/>
      <c r="AS222" s="392" t="n"/>
      <c r="AT222" s="392" t="n"/>
      <c r="AU222" s="392" t="n"/>
      <c r="AV222" s="392" t="n"/>
      <c r="AW222" s="392" t="n"/>
      <c r="AX222" s="392" t="n"/>
      <c r="AY222" s="392" t="n"/>
      <c r="AZ222" s="392" t="n"/>
      <c r="BA222" s="392" t="n"/>
      <c r="BB222" s="392" t="n"/>
      <c r="BC222" s="392" t="n"/>
      <c r="BD222" s="392" t="n"/>
      <c r="BE222" s="392" t="n"/>
      <c r="BF222" s="392" t="n"/>
      <c r="BG222" s="392" t="n"/>
      <c r="BH222" s="392" t="n"/>
      <c r="BI222" s="392" t="n"/>
      <c r="BJ222" s="392" t="n"/>
      <c r="BK222" s="392" t="n"/>
      <c r="BL222" s="392" t="n"/>
      <c r="BM222" s="392" t="n"/>
      <c r="BN222" s="392" t="n"/>
      <c r="BO222" s="392" t="n"/>
      <c r="BP222" s="392" t="n"/>
      <c r="BQ222" s="392" t="n"/>
      <c r="BR222" s="392" t="n"/>
      <c r="BS222" s="392" t="n"/>
      <c r="BT222" s="392" t="n"/>
      <c r="BU222" s="392" t="n"/>
      <c r="BV222" s="392" t="n"/>
      <c r="BW222" s="392" t="n"/>
      <c r="BX222" s="392" t="n"/>
      <c r="BY222" s="392" t="n"/>
      <c r="BZ222" s="392" t="n"/>
      <c r="CA222" s="392" t="n"/>
      <c r="CB222" s="392" t="n"/>
      <c r="CC222" s="392" t="n"/>
      <c r="CD222" s="392" t="n"/>
      <c r="CE222" s="392" t="n"/>
      <c r="CF222" s="392" t="n"/>
      <c r="CG222" s="392" t="n"/>
      <c r="CH222" s="392" t="n"/>
      <c r="CI222" s="392" t="n"/>
      <c r="CJ222" s="392" t="n"/>
      <c r="CK222" s="392" t="n"/>
      <c r="CL222" s="392" t="n"/>
      <c r="CM222" s="392" t="n"/>
      <c r="CN222" s="392" t="n"/>
      <c r="CO222" s="392" t="n"/>
      <c r="CP222" s="392" t="n"/>
      <c r="CQ222" s="392" t="n"/>
      <c r="CR222" s="392" t="n"/>
      <c r="CS222" s="392" t="n"/>
      <c r="CT222" s="392" t="n"/>
      <c r="CU222" s="392" t="n"/>
      <c r="CV222" s="392" t="n"/>
      <c r="CW222" s="392" t="n"/>
      <c r="CX222" s="392" t="n"/>
      <c r="CY222" s="392" t="n"/>
      <c r="CZ222" s="392" t="n"/>
      <c r="DA222" s="392" t="n"/>
      <c r="DB222" s="392" t="n"/>
      <c r="DC222" s="392" t="n"/>
      <c r="DD222" s="392" t="n"/>
      <c r="DE222" s="392" t="n"/>
    </row>
    <row r="223" ht="16.5" customFormat="1" customHeight="1" s="380">
      <c r="A223" s="382" t="n"/>
      <c r="B223" s="392" t="n"/>
      <c r="C223" s="392" t="n"/>
      <c r="D223" s="392" t="n"/>
      <c r="E223" s="392" t="n"/>
      <c r="F223" s="392" t="n"/>
      <c r="G223" s="392" t="n"/>
      <c r="H223" s="392" t="n"/>
      <c r="I223" s="392" t="n"/>
      <c r="J223" s="392" t="n"/>
      <c r="K223" s="392" t="n"/>
      <c r="L223" s="392" t="n"/>
      <c r="M223" s="392" t="n"/>
      <c r="N223" s="392" t="n"/>
      <c r="O223" s="392" t="n"/>
      <c r="P223" s="392" t="n"/>
      <c r="Q223" s="392" t="n"/>
      <c r="R223" s="392" t="n"/>
      <c r="S223" s="392" t="n"/>
      <c r="T223" s="392" t="n"/>
      <c r="U223" s="392" t="n"/>
      <c r="V223" s="392" t="n"/>
      <c r="W223" s="392" t="n"/>
      <c r="X223" s="392" t="n"/>
      <c r="Y223" s="392" t="n"/>
      <c r="Z223" s="392" t="n"/>
      <c r="AA223" s="392" t="n"/>
      <c r="AB223" s="392" t="n"/>
      <c r="AC223" s="392" t="n"/>
      <c r="AD223" s="392" t="n"/>
      <c r="AE223" s="392" t="n"/>
      <c r="AF223" s="392" t="n"/>
      <c r="AG223" s="392" t="n"/>
      <c r="AH223" s="392" t="n"/>
      <c r="AI223" s="392" t="n"/>
      <c r="AJ223" s="392" t="n"/>
      <c r="AK223" s="392" t="n"/>
      <c r="AL223" s="392" t="n"/>
      <c r="AM223" s="392" t="n"/>
      <c r="AN223" s="392" t="n"/>
      <c r="AO223" s="392" t="n"/>
      <c r="AP223" s="392" t="n"/>
      <c r="AQ223" s="392" t="n"/>
      <c r="AR223" s="392" t="n"/>
      <c r="AS223" s="392" t="n"/>
      <c r="AT223" s="392" t="n"/>
      <c r="AU223" s="392" t="n"/>
      <c r="AV223" s="392" t="n"/>
      <c r="AW223" s="392" t="n"/>
      <c r="AX223" s="392" t="n"/>
      <c r="AY223" s="392" t="n"/>
      <c r="AZ223" s="392" t="n"/>
      <c r="BA223" s="392" t="n"/>
      <c r="BB223" s="392" t="n"/>
      <c r="BC223" s="392" t="n"/>
      <c r="BD223" s="392" t="n"/>
      <c r="BE223" s="392" t="n"/>
      <c r="BF223" s="392" t="n"/>
      <c r="BG223" s="392" t="n"/>
      <c r="BH223" s="392" t="n"/>
      <c r="BI223" s="392" t="n"/>
      <c r="BJ223" s="392" t="n"/>
      <c r="BK223" s="392" t="n"/>
      <c r="BL223" s="392" t="n"/>
      <c r="BM223" s="392" t="n"/>
      <c r="BN223" s="392" t="n"/>
      <c r="BO223" s="392" t="n"/>
      <c r="BP223" s="392" t="n"/>
      <c r="BQ223" s="392" t="n"/>
      <c r="BR223" s="392" t="n"/>
      <c r="BS223" s="392" t="n"/>
      <c r="BT223" s="392" t="n"/>
      <c r="BU223" s="392" t="n"/>
      <c r="BV223" s="392" t="n"/>
      <c r="BW223" s="392" t="n"/>
      <c r="BX223" s="392" t="n"/>
      <c r="BY223" s="392" t="n"/>
      <c r="BZ223" s="392" t="n"/>
      <c r="CA223" s="392" t="n"/>
      <c r="CB223" s="392" t="n"/>
      <c r="CC223" s="392" t="n"/>
      <c r="CD223" s="392" t="n"/>
      <c r="CE223" s="392" t="n"/>
      <c r="CF223" s="392" t="n"/>
      <c r="CG223" s="392" t="n"/>
      <c r="CH223" s="392" t="n"/>
      <c r="CI223" s="392" t="n"/>
      <c r="CJ223" s="392" t="n"/>
      <c r="CK223" s="392" t="n"/>
      <c r="CL223" s="392" t="n"/>
      <c r="CM223" s="392" t="n"/>
      <c r="CN223" s="392" t="n"/>
      <c r="CO223" s="392" t="n"/>
      <c r="CP223" s="392" t="n"/>
      <c r="CQ223" s="392" t="n"/>
      <c r="CR223" s="392" t="n"/>
      <c r="CS223" s="392" t="n"/>
      <c r="CT223" s="392" t="n"/>
      <c r="CU223" s="392" t="n"/>
      <c r="CV223" s="392" t="n"/>
      <c r="CW223" s="392" t="n"/>
      <c r="CX223" s="392" t="n"/>
      <c r="CY223" s="392" t="n"/>
      <c r="CZ223" s="392" t="n"/>
      <c r="DA223" s="392" t="n"/>
      <c r="DB223" s="392" t="n"/>
      <c r="DC223" s="392" t="n"/>
      <c r="DD223" s="392" t="n"/>
      <c r="DE223" s="392" t="n"/>
    </row>
    <row r="224" ht="15" customFormat="1" customHeight="1" s="380">
      <c r="A224" s="424" t="inlineStr">
        <is>
          <t>ROW RUN CAPITAL LLC - DEBT FACILITY</t>
        </is>
      </c>
      <c r="B224" s="419" t="n"/>
      <c r="C224" s="419" t="n"/>
      <c r="D224" s="419" t="n"/>
      <c r="E224" s="419" t="n"/>
      <c r="F224" s="419" t="n"/>
      <c r="G224" s="419" t="n"/>
      <c r="H224" s="419" t="n"/>
      <c r="I224" s="419" t="n"/>
      <c r="J224" s="419" t="n"/>
      <c r="K224" s="419" t="n"/>
      <c r="L224" s="419" t="n"/>
      <c r="M224" s="419" t="n"/>
      <c r="N224" s="419" t="n"/>
      <c r="O224" s="419" t="n"/>
      <c r="P224" s="419" t="n"/>
      <c r="Q224" s="419" t="n"/>
      <c r="R224" s="419" t="n"/>
      <c r="S224" s="419" t="n"/>
      <c r="T224" s="419" t="n"/>
      <c r="U224" s="419" t="n"/>
      <c r="V224" s="419" t="n"/>
      <c r="W224" s="419" t="n"/>
      <c r="X224" s="419" t="n"/>
      <c r="Y224" s="419" t="n"/>
      <c r="Z224" s="419" t="n"/>
      <c r="AA224" s="419" t="n"/>
      <c r="AB224" s="419" t="n"/>
      <c r="AC224" s="419" t="n"/>
      <c r="AD224" s="419" t="n"/>
      <c r="AE224" s="419" t="n"/>
      <c r="AF224" s="419" t="n"/>
      <c r="AG224" s="419" t="n"/>
      <c r="AH224" s="419" t="n"/>
      <c r="AI224" s="419" t="n"/>
      <c r="AJ224" s="419" t="n"/>
      <c r="AK224" s="419" t="n"/>
      <c r="AL224" s="419" t="n"/>
      <c r="AM224" s="419" t="n"/>
      <c r="AN224" s="419" t="n"/>
      <c r="AO224" s="419" t="n"/>
      <c r="AP224" s="419" t="n"/>
      <c r="AQ224" s="419" t="n"/>
      <c r="AR224" s="419" t="n"/>
      <c r="AS224" s="419" t="n"/>
      <c r="AT224" s="419" t="n"/>
      <c r="AU224" s="419" t="n"/>
      <c r="AV224" s="419" t="n"/>
      <c r="AW224" s="419" t="n"/>
      <c r="AX224" s="419" t="n"/>
      <c r="AY224" s="419" t="n"/>
      <c r="AZ224" s="419" t="n"/>
      <c r="BA224" s="419" t="n"/>
      <c r="BB224" s="419" t="n"/>
      <c r="BC224" s="419" t="n"/>
      <c r="BD224" s="419" t="n"/>
      <c r="BE224" s="419" t="n"/>
      <c r="BF224" s="419" t="n"/>
      <c r="BG224" s="419" t="n"/>
      <c r="BH224" s="419" t="n"/>
      <c r="BI224" s="419" t="n"/>
      <c r="BJ224" s="419" t="n"/>
      <c r="BK224" s="419" t="n"/>
      <c r="BL224" s="419" t="n"/>
      <c r="BM224" s="419" t="n"/>
      <c r="BN224" s="419" t="n"/>
      <c r="BO224" s="419" t="n"/>
      <c r="BP224" s="419" t="n"/>
      <c r="BQ224" s="419" t="n"/>
      <c r="BR224" s="419" t="n"/>
      <c r="BS224" s="419" t="n"/>
      <c r="BT224" s="419" t="n"/>
      <c r="BU224" s="419" t="n"/>
      <c r="BV224" s="419" t="n"/>
      <c r="BW224" s="419" t="n"/>
      <c r="BX224" s="419" t="n"/>
      <c r="BY224" s="419" t="n"/>
      <c r="BZ224" s="419" t="n"/>
      <c r="CA224" s="419" t="n"/>
      <c r="CB224" s="419" t="n"/>
      <c r="CC224" s="419" t="n"/>
      <c r="CD224" s="419" t="n"/>
      <c r="CE224" s="419" t="n"/>
      <c r="CF224" s="419" t="n"/>
      <c r="CG224" s="419" t="n"/>
      <c r="CH224" s="419" t="n"/>
      <c r="CI224" s="419" t="n"/>
      <c r="CJ224" s="419" t="n"/>
      <c r="CK224" s="419" t="n"/>
      <c r="CL224" s="419" t="n"/>
      <c r="CM224" s="419" t="n"/>
      <c r="CN224" s="419" t="n"/>
      <c r="CO224" s="419" t="n"/>
      <c r="CP224" s="419" t="n"/>
      <c r="CQ224" s="419" t="n"/>
      <c r="CR224" s="419" t="n"/>
      <c r="CS224" s="419" t="n"/>
      <c r="CT224" s="419" t="n"/>
      <c r="CU224" s="419" t="n"/>
      <c r="CV224" s="419" t="n"/>
      <c r="CW224" s="419" t="n"/>
      <c r="CX224" s="419" t="n"/>
      <c r="CY224" s="419" t="n"/>
      <c r="CZ224" s="419" t="n"/>
      <c r="DA224" s="419" t="n"/>
      <c r="DB224" s="419" t="n"/>
      <c r="DC224" s="419" t="n"/>
      <c r="DD224" s="419" t="n"/>
      <c r="DE224" s="419" t="n"/>
    </row>
    <row r="225" ht="15" customFormat="1" customHeight="1" s="380">
      <c r="A225" s="397" t="inlineStr">
        <is>
          <t>Beginning Balance</t>
        </is>
      </c>
      <c r="B225" s="392" t="n"/>
      <c r="C225" s="392" t="n"/>
      <c r="D225" s="392" t="n"/>
      <c r="E225" s="392">
        <f>Assumptions!$B$41</f>
        <v/>
      </c>
      <c r="F225" s="392">
        <f>E227</f>
        <v/>
      </c>
      <c r="G225" s="392">
        <f>F227</f>
        <v/>
      </c>
      <c r="H225" s="392">
        <f>G227</f>
        <v/>
      </c>
      <c r="I225" s="392">
        <f>H227</f>
        <v/>
      </c>
      <c r="J225" s="392">
        <f>I227</f>
        <v/>
      </c>
      <c r="K225" s="392">
        <f>J227</f>
        <v/>
      </c>
      <c r="L225" s="392">
        <f>K227</f>
        <v/>
      </c>
      <c r="M225" s="392">
        <f>L227</f>
        <v/>
      </c>
      <c r="N225" s="392">
        <f>M227</f>
        <v/>
      </c>
      <c r="O225" s="392">
        <f>N227</f>
        <v/>
      </c>
      <c r="P225" s="392">
        <f>O227</f>
        <v/>
      </c>
      <c r="Q225" s="392">
        <f>P227</f>
        <v/>
      </c>
      <c r="R225" s="392">
        <f>Q227</f>
        <v/>
      </c>
      <c r="S225" s="392">
        <f>R227</f>
        <v/>
      </c>
      <c r="T225" s="392">
        <f>S227</f>
        <v/>
      </c>
      <c r="U225" s="392">
        <f>T227</f>
        <v/>
      </c>
      <c r="V225" s="392">
        <f>U227</f>
        <v/>
      </c>
      <c r="W225" s="392">
        <f>V227</f>
        <v/>
      </c>
      <c r="X225" s="392">
        <f>W227</f>
        <v/>
      </c>
      <c r="Y225" s="392">
        <f>X227</f>
        <v/>
      </c>
      <c r="Z225" s="392">
        <f>Y227</f>
        <v/>
      </c>
      <c r="AA225" s="392">
        <f>Z227</f>
        <v/>
      </c>
      <c r="AB225" s="392">
        <f>AA227</f>
        <v/>
      </c>
      <c r="AC225" s="392">
        <f>AB227</f>
        <v/>
      </c>
      <c r="AD225" s="392">
        <f>AC227</f>
        <v/>
      </c>
      <c r="AE225" s="392">
        <f>AD227</f>
        <v/>
      </c>
      <c r="AF225" s="392">
        <f>AE227</f>
        <v/>
      </c>
      <c r="AG225" s="392">
        <f>AF227</f>
        <v/>
      </c>
      <c r="AH225" s="392">
        <f>AG227</f>
        <v/>
      </c>
      <c r="AI225" s="392">
        <f>AH227</f>
        <v/>
      </c>
      <c r="AJ225" s="392">
        <f>AI227</f>
        <v/>
      </c>
      <c r="AK225" s="392">
        <f>AJ227</f>
        <v/>
      </c>
      <c r="AL225" s="392">
        <f>AK227</f>
        <v/>
      </c>
      <c r="AM225" s="392">
        <f>AL227</f>
        <v/>
      </c>
      <c r="AN225" s="392">
        <f>AM227</f>
        <v/>
      </c>
      <c r="AO225" s="392">
        <f>AN227</f>
        <v/>
      </c>
      <c r="AP225" s="392">
        <f>AO227</f>
        <v/>
      </c>
      <c r="AQ225" s="392">
        <f>AP227</f>
        <v/>
      </c>
      <c r="AR225" s="392">
        <f>AQ227</f>
        <v/>
      </c>
      <c r="AS225" s="392">
        <f>AR227</f>
        <v/>
      </c>
      <c r="AT225" s="392">
        <f>AS227</f>
        <v/>
      </c>
      <c r="AU225" s="392">
        <f>AT227</f>
        <v/>
      </c>
      <c r="AV225" s="392">
        <f>AU227</f>
        <v/>
      </c>
      <c r="AW225" s="392">
        <f>AV227</f>
        <v/>
      </c>
      <c r="AX225" s="392">
        <f>AW227</f>
        <v/>
      </c>
      <c r="AY225" s="392">
        <f>AX227</f>
        <v/>
      </c>
      <c r="AZ225" s="392">
        <f>AY227</f>
        <v/>
      </c>
      <c r="BA225" s="392">
        <f>AZ227</f>
        <v/>
      </c>
      <c r="BB225" s="392">
        <f>BA227</f>
        <v/>
      </c>
      <c r="BC225" s="392">
        <f>BB227</f>
        <v/>
      </c>
      <c r="BD225" s="392">
        <f>BC227</f>
        <v/>
      </c>
      <c r="BE225" s="392">
        <f>BD227</f>
        <v/>
      </c>
      <c r="BF225" s="392">
        <f>BE227</f>
        <v/>
      </c>
      <c r="BG225" s="392">
        <f>BF227</f>
        <v/>
      </c>
      <c r="BH225" s="392">
        <f>BG227</f>
        <v/>
      </c>
      <c r="BI225" s="392">
        <f>BH227</f>
        <v/>
      </c>
      <c r="BJ225" s="392">
        <f>BI227</f>
        <v/>
      </c>
      <c r="BK225" s="392">
        <f>BJ227</f>
        <v/>
      </c>
      <c r="BL225" s="392">
        <f>BK227</f>
        <v/>
      </c>
      <c r="BM225" s="392">
        <f>BL227</f>
        <v/>
      </c>
      <c r="BN225" s="392">
        <f>BM227</f>
        <v/>
      </c>
      <c r="BO225" s="392">
        <f>BN227</f>
        <v/>
      </c>
      <c r="BP225" s="392">
        <f>BO227</f>
        <v/>
      </c>
      <c r="BQ225" s="392">
        <f>BP227</f>
        <v/>
      </c>
      <c r="BR225" s="392">
        <f>BQ227</f>
        <v/>
      </c>
      <c r="BS225" s="392">
        <f>BR227</f>
        <v/>
      </c>
      <c r="BT225" s="392">
        <f>BS227</f>
        <v/>
      </c>
      <c r="BU225" s="392">
        <f>BT227</f>
        <v/>
      </c>
      <c r="BV225" s="392">
        <f>BU227</f>
        <v/>
      </c>
      <c r="BW225" s="392">
        <f>BV227</f>
        <v/>
      </c>
      <c r="BX225" s="392">
        <f>BW227</f>
        <v/>
      </c>
      <c r="BY225" s="392">
        <f>BX227</f>
        <v/>
      </c>
      <c r="BZ225" s="392">
        <f>BY227</f>
        <v/>
      </c>
      <c r="CA225" s="392">
        <f>BZ227</f>
        <v/>
      </c>
      <c r="CB225" s="392">
        <f>CA227</f>
        <v/>
      </c>
      <c r="CC225" s="392">
        <f>CB227</f>
        <v/>
      </c>
      <c r="CD225" s="392">
        <f>CC227</f>
        <v/>
      </c>
      <c r="CE225" s="392">
        <f>CD227</f>
        <v/>
      </c>
      <c r="CF225" s="392">
        <f>CE227</f>
        <v/>
      </c>
      <c r="CG225" s="392">
        <f>CF227</f>
        <v/>
      </c>
      <c r="CH225" s="392">
        <f>CG227</f>
        <v/>
      </c>
      <c r="CI225" s="392">
        <f>CH227</f>
        <v/>
      </c>
      <c r="CJ225" s="392">
        <f>CI227</f>
        <v/>
      </c>
      <c r="CK225" s="392">
        <f>CJ227</f>
        <v/>
      </c>
      <c r="CL225" s="392">
        <f>CK227</f>
        <v/>
      </c>
      <c r="CM225" s="392">
        <f>CL227</f>
        <v/>
      </c>
      <c r="CN225" s="392">
        <f>CM227</f>
        <v/>
      </c>
      <c r="CO225" s="392">
        <f>CN227</f>
        <v/>
      </c>
      <c r="CP225" s="392">
        <f>CO227</f>
        <v/>
      </c>
      <c r="CQ225" s="392">
        <f>CP227</f>
        <v/>
      </c>
      <c r="CR225" s="392">
        <f>CQ227</f>
        <v/>
      </c>
      <c r="CS225" s="392">
        <f>CR227</f>
        <v/>
      </c>
      <c r="CT225" s="392">
        <f>CS227</f>
        <v/>
      </c>
      <c r="CU225" s="392">
        <f>CT227</f>
        <v/>
      </c>
      <c r="CV225" s="392">
        <f>CU227</f>
        <v/>
      </c>
      <c r="CW225" s="392">
        <f>CV227</f>
        <v/>
      </c>
      <c r="CX225" s="392">
        <f>CW227</f>
        <v/>
      </c>
      <c r="CY225" s="392">
        <f>CX227</f>
        <v/>
      </c>
      <c r="CZ225" s="392">
        <f>CY227</f>
        <v/>
      </c>
      <c r="DA225" s="392">
        <f>CZ227</f>
        <v/>
      </c>
      <c r="DB225" s="392">
        <f>DA227</f>
        <v/>
      </c>
      <c r="DC225" s="392">
        <f>DB227</f>
        <v/>
      </c>
      <c r="DD225" s="392">
        <f>DC227</f>
        <v/>
      </c>
      <c r="DE225" s="392">
        <f>DD227</f>
        <v/>
      </c>
    </row>
    <row r="226" ht="15" customFormat="1" customHeight="1" s="380">
      <c r="A226" s="397" t="inlineStr">
        <is>
          <t>Annual Payment (25% tranche)</t>
        </is>
      </c>
      <c r="B226" s="392" t="n"/>
      <c r="C226" s="392" t="n"/>
      <c r="D226" s="392" t="n"/>
      <c r="E226" s="392" t="n">
        <v>0</v>
      </c>
      <c r="F226" s="392" t="n">
        <v>0</v>
      </c>
      <c r="G226" s="392" t="n">
        <v>0</v>
      </c>
      <c r="H226" s="392" t="n">
        <v>0</v>
      </c>
      <c r="I226" s="392" t="n">
        <v>0</v>
      </c>
      <c r="J226" s="392" t="n">
        <v>0</v>
      </c>
      <c r="K226" s="392" t="n">
        <v>0</v>
      </c>
      <c r="L226" s="392" t="n">
        <v>0</v>
      </c>
      <c r="M226" s="392" t="n">
        <v>0</v>
      </c>
      <c r="N226" s="392" t="n">
        <v>0</v>
      </c>
      <c r="O226" s="392">
        <f>IF(AND(O225&gt;0,SUM(B212:M212)&gt;=Assumptions!$B$43),-MIN(Assumptions!$B$42,O225),0)</f>
        <v/>
      </c>
      <c r="P226" s="392" t="n">
        <v>0</v>
      </c>
      <c r="Q226" s="392" t="n">
        <v>0</v>
      </c>
      <c r="R226" s="392" t="n">
        <v>0</v>
      </c>
      <c r="S226" s="392" t="n">
        <v>0</v>
      </c>
      <c r="T226" s="392" t="n">
        <v>0</v>
      </c>
      <c r="U226" s="392" t="n">
        <v>0</v>
      </c>
      <c r="V226" s="392" t="n">
        <v>0</v>
      </c>
      <c r="W226" s="392" t="n">
        <v>0</v>
      </c>
      <c r="X226" s="392" t="n">
        <v>0</v>
      </c>
      <c r="Y226" s="392" t="n">
        <v>0</v>
      </c>
      <c r="Z226" s="392" t="n">
        <v>0</v>
      </c>
      <c r="AA226" s="392">
        <f>IF(AND(AA225&gt;0,SUM(N212:Y212)&gt;=Assumptions!$B$43),-MIN(Assumptions!$B$42,AA225),0)</f>
        <v/>
      </c>
      <c r="AB226" s="392" t="n">
        <v>0</v>
      </c>
      <c r="AC226" s="392" t="n">
        <v>0</v>
      </c>
      <c r="AD226" s="392" t="n">
        <v>0</v>
      </c>
      <c r="AE226" s="392" t="n">
        <v>0</v>
      </c>
      <c r="AF226" s="392" t="n">
        <v>0</v>
      </c>
      <c r="AG226" s="392" t="n">
        <v>0</v>
      </c>
      <c r="AH226" s="392" t="n">
        <v>0</v>
      </c>
      <c r="AI226" s="392" t="n">
        <v>0</v>
      </c>
      <c r="AJ226" s="392" t="n">
        <v>0</v>
      </c>
      <c r="AK226" s="392" t="n">
        <v>0</v>
      </c>
      <c r="AL226" s="392" t="n">
        <v>0</v>
      </c>
      <c r="AM226" s="392">
        <f>IF(AND(AM225&gt;0,SUM(Z212:AK212)&gt;=Assumptions!$B$43),-MIN(Assumptions!$B$42,AM225),0)</f>
        <v/>
      </c>
      <c r="AN226" s="392" t="n">
        <v>0</v>
      </c>
      <c r="AO226" s="392" t="n">
        <v>0</v>
      </c>
      <c r="AP226" s="392" t="n">
        <v>0</v>
      </c>
      <c r="AQ226" s="392" t="n">
        <v>0</v>
      </c>
      <c r="AR226" s="392" t="n">
        <v>0</v>
      </c>
      <c r="AS226" s="392" t="n">
        <v>0</v>
      </c>
      <c r="AT226" s="392" t="n">
        <v>0</v>
      </c>
      <c r="AU226" s="392" t="n">
        <v>0</v>
      </c>
      <c r="AV226" s="392" t="n">
        <v>0</v>
      </c>
      <c r="AW226" s="392" t="n">
        <v>0</v>
      </c>
      <c r="AX226" s="392" t="n">
        <v>0</v>
      </c>
      <c r="AY226" s="392">
        <f>IF(AND(AY225&gt;0,SUM(AL212:AW212)&gt;=Assumptions!$B$43),-MIN(Assumptions!$B$42,AY225),0)</f>
        <v/>
      </c>
      <c r="AZ226" s="392" t="n">
        <v>0</v>
      </c>
      <c r="BA226" s="392" t="n">
        <v>0</v>
      </c>
      <c r="BB226" s="392" t="n">
        <v>0</v>
      </c>
      <c r="BC226" s="392" t="n">
        <v>0</v>
      </c>
      <c r="BD226" s="392" t="n">
        <v>0</v>
      </c>
      <c r="BE226" s="392" t="n">
        <v>0</v>
      </c>
      <c r="BF226" s="392" t="n">
        <v>0</v>
      </c>
      <c r="BG226" s="392" t="n">
        <v>0</v>
      </c>
      <c r="BH226" s="392" t="n">
        <v>0</v>
      </c>
      <c r="BI226" s="392" t="n">
        <v>0</v>
      </c>
      <c r="BJ226" s="392" t="n">
        <v>0</v>
      </c>
      <c r="BK226" s="392">
        <f>IF(AND(BK225&gt;0,SUM(AX212:BI212)&gt;=Assumptions!$B$43),-MIN(Assumptions!$B$42,BK225),0)</f>
        <v/>
      </c>
      <c r="BL226" s="392" t="n">
        <v>0</v>
      </c>
      <c r="BM226" s="392" t="n">
        <v>0</v>
      </c>
      <c r="BN226" s="392" t="n">
        <v>0</v>
      </c>
      <c r="BO226" s="392" t="n">
        <v>0</v>
      </c>
      <c r="BP226" s="392" t="n">
        <v>0</v>
      </c>
      <c r="BQ226" s="392" t="n">
        <v>0</v>
      </c>
      <c r="BR226" s="392" t="n">
        <v>0</v>
      </c>
      <c r="BS226" s="392" t="n">
        <v>0</v>
      </c>
      <c r="BT226" s="392" t="n">
        <v>0</v>
      </c>
      <c r="BU226" s="392" t="n">
        <v>0</v>
      </c>
      <c r="BV226" s="392" t="n">
        <v>0</v>
      </c>
      <c r="BW226" s="392">
        <f>IF(AND(BW225&gt;0,SUM(BJ212:BU212)&gt;=Assumptions!$B$43),-MIN(Assumptions!$B$42,BW225),0)</f>
        <v/>
      </c>
      <c r="BX226" s="392" t="n">
        <v>0</v>
      </c>
      <c r="BY226" s="392" t="n">
        <v>0</v>
      </c>
      <c r="BZ226" s="392" t="n">
        <v>0</v>
      </c>
      <c r="CA226" s="392" t="n">
        <v>0</v>
      </c>
      <c r="CB226" s="392" t="n">
        <v>0</v>
      </c>
      <c r="CC226" s="392" t="n">
        <v>0</v>
      </c>
      <c r="CD226" s="392" t="n">
        <v>0</v>
      </c>
      <c r="CE226" s="392" t="n">
        <v>0</v>
      </c>
      <c r="CF226" s="392" t="n">
        <v>0</v>
      </c>
      <c r="CG226" s="392" t="n">
        <v>0</v>
      </c>
      <c r="CH226" s="392" t="n">
        <v>0</v>
      </c>
      <c r="CI226" s="392">
        <f>IF(AND(CI225&gt;0,SUM(BV212:CG212)&gt;=Assumptions!$B$43),-MIN(Assumptions!$B$42,CI225),0)</f>
        <v/>
      </c>
      <c r="CJ226" s="392" t="n">
        <v>0</v>
      </c>
      <c r="CK226" s="392" t="n">
        <v>0</v>
      </c>
      <c r="CL226" s="392" t="n">
        <v>0</v>
      </c>
      <c r="CM226" s="392" t="n">
        <v>0</v>
      </c>
      <c r="CN226" s="392" t="n">
        <v>0</v>
      </c>
      <c r="CO226" s="392" t="n">
        <v>0</v>
      </c>
      <c r="CP226" s="392" t="n">
        <v>0</v>
      </c>
      <c r="CQ226" s="392" t="n">
        <v>0</v>
      </c>
      <c r="CR226" s="392" t="n">
        <v>0</v>
      </c>
      <c r="CS226" s="392" t="n">
        <v>0</v>
      </c>
      <c r="CT226" s="392" t="n"/>
      <c r="CU226" s="392" t="n"/>
      <c r="CV226" s="392" t="n"/>
      <c r="CW226" s="392" t="n"/>
      <c r="CX226" s="392" t="n"/>
      <c r="CY226" s="392" t="n"/>
      <c r="CZ226" s="392" t="n"/>
      <c r="DA226" s="392" t="n"/>
      <c r="DB226" s="392" t="n"/>
      <c r="DC226" s="392" t="n"/>
      <c r="DD226" s="392" t="n"/>
      <c r="DE226" s="392" t="n"/>
    </row>
    <row r="227" ht="15" customFormat="1" customHeight="1" s="380">
      <c r="A227" s="425" t="inlineStr">
        <is>
          <t>Ending Balance</t>
        </is>
      </c>
      <c r="B227" s="426" t="n"/>
      <c r="C227" s="426" t="n"/>
      <c r="D227" s="426" t="n"/>
      <c r="E227" s="426">
        <f>MAX(0,E225+E226)</f>
        <v/>
      </c>
      <c r="F227" s="426">
        <f>MAX(0,F225+F226)</f>
        <v/>
      </c>
      <c r="G227" s="426">
        <f>MAX(0,G225+G226)</f>
        <v/>
      </c>
      <c r="H227" s="426">
        <f>MAX(0,H225+H226)</f>
        <v/>
      </c>
      <c r="I227" s="426">
        <f>MAX(0,I225+I226)</f>
        <v/>
      </c>
      <c r="J227" s="426">
        <f>MAX(0,J225+J226)</f>
        <v/>
      </c>
      <c r="K227" s="426">
        <f>MAX(0,K225+K226)</f>
        <v/>
      </c>
      <c r="L227" s="426">
        <f>MAX(0,L225+L226)</f>
        <v/>
      </c>
      <c r="M227" s="426">
        <f>MAX(0,M225+M226)</f>
        <v/>
      </c>
      <c r="N227" s="426">
        <f>MAX(0,N225+N226)</f>
        <v/>
      </c>
      <c r="O227" s="426">
        <f>MAX(0,O225+O226)</f>
        <v/>
      </c>
      <c r="P227" s="426">
        <f>MAX(0,P225+P226)</f>
        <v/>
      </c>
      <c r="Q227" s="426">
        <f>MAX(0,Q225+Q226)</f>
        <v/>
      </c>
      <c r="R227" s="426">
        <f>MAX(0,R225+R226)</f>
        <v/>
      </c>
      <c r="S227" s="426">
        <f>MAX(0,S225+S226)</f>
        <v/>
      </c>
      <c r="T227" s="426">
        <f>MAX(0,T225+T226)</f>
        <v/>
      </c>
      <c r="U227" s="426">
        <f>MAX(0,U225+U226)</f>
        <v/>
      </c>
      <c r="V227" s="426">
        <f>MAX(0,V225+V226)</f>
        <v/>
      </c>
      <c r="W227" s="426">
        <f>MAX(0,W225+W226)</f>
        <v/>
      </c>
      <c r="X227" s="426">
        <f>MAX(0,X225+X226)</f>
        <v/>
      </c>
      <c r="Y227" s="426">
        <f>MAX(0,Y225+Y226)</f>
        <v/>
      </c>
      <c r="Z227" s="426">
        <f>MAX(0,Z225+Z226)</f>
        <v/>
      </c>
      <c r="AA227" s="426">
        <f>MAX(0,AA225+AA226)</f>
        <v/>
      </c>
      <c r="AB227" s="426">
        <f>MAX(0,AB225+AB226)</f>
        <v/>
      </c>
      <c r="AC227" s="426">
        <f>MAX(0,AC225+AC226)</f>
        <v/>
      </c>
      <c r="AD227" s="426">
        <f>MAX(0,AD225+AD226)</f>
        <v/>
      </c>
      <c r="AE227" s="426">
        <f>MAX(0,AE225+AE226)</f>
        <v/>
      </c>
      <c r="AF227" s="426">
        <f>MAX(0,AF225+AF226)</f>
        <v/>
      </c>
      <c r="AG227" s="426">
        <f>MAX(0,AG225+AG226)</f>
        <v/>
      </c>
      <c r="AH227" s="426">
        <f>MAX(0,AH225+AH226)</f>
        <v/>
      </c>
      <c r="AI227" s="426">
        <f>MAX(0,AI225+AI226)</f>
        <v/>
      </c>
      <c r="AJ227" s="426">
        <f>MAX(0,AJ225+AJ226)</f>
        <v/>
      </c>
      <c r="AK227" s="426">
        <f>MAX(0,AK225+AK226)</f>
        <v/>
      </c>
      <c r="AL227" s="426">
        <f>MAX(0,AL225+AL226)</f>
        <v/>
      </c>
      <c r="AM227" s="426">
        <f>MAX(0,AM225+AM226)</f>
        <v/>
      </c>
      <c r="AN227" s="426">
        <f>MAX(0,AN225+AN226)</f>
        <v/>
      </c>
      <c r="AO227" s="426">
        <f>MAX(0,AO225+AO226)</f>
        <v/>
      </c>
      <c r="AP227" s="426">
        <f>MAX(0,AP225+AP226)</f>
        <v/>
      </c>
      <c r="AQ227" s="426">
        <f>MAX(0,AQ225+AQ226)</f>
        <v/>
      </c>
      <c r="AR227" s="426">
        <f>MAX(0,AR225+AR226)</f>
        <v/>
      </c>
      <c r="AS227" s="426">
        <f>MAX(0,AS225+AS226)</f>
        <v/>
      </c>
      <c r="AT227" s="426">
        <f>MAX(0,AT225+AT226)</f>
        <v/>
      </c>
      <c r="AU227" s="426">
        <f>MAX(0,AU225+AU226)</f>
        <v/>
      </c>
      <c r="AV227" s="426">
        <f>MAX(0,AV225+AV226)</f>
        <v/>
      </c>
      <c r="AW227" s="426">
        <f>MAX(0,AW225+AW226)</f>
        <v/>
      </c>
      <c r="AX227" s="426">
        <f>MAX(0,AX225+AX226)</f>
        <v/>
      </c>
      <c r="AY227" s="426">
        <f>MAX(0,AY225+AY226)</f>
        <v/>
      </c>
      <c r="AZ227" s="426">
        <f>MAX(0,AZ225+AZ226)</f>
        <v/>
      </c>
      <c r="BA227" s="426">
        <f>MAX(0,BA225+BA226)</f>
        <v/>
      </c>
      <c r="BB227" s="426">
        <f>MAX(0,BB225+BB226)</f>
        <v/>
      </c>
      <c r="BC227" s="426">
        <f>MAX(0,BC225+BC226)</f>
        <v/>
      </c>
      <c r="BD227" s="426">
        <f>MAX(0,BD225+BD226)</f>
        <v/>
      </c>
      <c r="BE227" s="426">
        <f>MAX(0,BE225+BE226)</f>
        <v/>
      </c>
      <c r="BF227" s="426">
        <f>MAX(0,BF225+BF226)</f>
        <v/>
      </c>
      <c r="BG227" s="426">
        <f>MAX(0,BG225+BG226)</f>
        <v/>
      </c>
      <c r="BH227" s="426">
        <f>MAX(0,BH225+BH226)</f>
        <v/>
      </c>
      <c r="BI227" s="426">
        <f>MAX(0,BI225+BI226)</f>
        <v/>
      </c>
      <c r="BJ227" s="426">
        <f>MAX(0,BJ225+BJ226)</f>
        <v/>
      </c>
      <c r="BK227" s="426">
        <f>MAX(0,BK225+BK226)</f>
        <v/>
      </c>
      <c r="BL227" s="426">
        <f>MAX(0,BL225+BL226)</f>
        <v/>
      </c>
      <c r="BM227" s="426">
        <f>MAX(0,BM225+BM226)</f>
        <v/>
      </c>
      <c r="BN227" s="426">
        <f>MAX(0,BN225+BN226)</f>
        <v/>
      </c>
      <c r="BO227" s="426">
        <f>MAX(0,BO225+BO226)</f>
        <v/>
      </c>
      <c r="BP227" s="426">
        <f>MAX(0,BP225+BP226)</f>
        <v/>
      </c>
      <c r="BQ227" s="426">
        <f>MAX(0,BQ225+BQ226)</f>
        <v/>
      </c>
      <c r="BR227" s="426">
        <f>MAX(0,BR225+BR226)</f>
        <v/>
      </c>
      <c r="BS227" s="426">
        <f>MAX(0,BS225+BS226)</f>
        <v/>
      </c>
      <c r="BT227" s="426">
        <f>MAX(0,BT225+BT226)</f>
        <v/>
      </c>
      <c r="BU227" s="426">
        <f>MAX(0,BU225+BU226)</f>
        <v/>
      </c>
      <c r="BV227" s="426">
        <f>MAX(0,BV225+BV226)</f>
        <v/>
      </c>
      <c r="BW227" s="426">
        <f>MAX(0,BW225+BW226)</f>
        <v/>
      </c>
      <c r="BX227" s="426">
        <f>MAX(0,BX225+BX226)</f>
        <v/>
      </c>
      <c r="BY227" s="426">
        <f>MAX(0,BY225+BY226)</f>
        <v/>
      </c>
      <c r="BZ227" s="426">
        <f>MAX(0,BZ225+BZ226)</f>
        <v/>
      </c>
      <c r="CA227" s="426">
        <f>MAX(0,CA225+CA226)</f>
        <v/>
      </c>
      <c r="CB227" s="426">
        <f>MAX(0,CB225+CB226)</f>
        <v/>
      </c>
      <c r="CC227" s="426">
        <f>MAX(0,CC225+CC226)</f>
        <v/>
      </c>
      <c r="CD227" s="426">
        <f>MAX(0,CD225+CD226)</f>
        <v/>
      </c>
      <c r="CE227" s="426">
        <f>MAX(0,CE225+CE226)</f>
        <v/>
      </c>
      <c r="CF227" s="426">
        <f>MAX(0,CF225+CF226)</f>
        <v/>
      </c>
      <c r="CG227" s="426">
        <f>MAX(0,CG225+CG226)</f>
        <v/>
      </c>
      <c r="CH227" s="426">
        <f>MAX(0,CH225+CH226)</f>
        <v/>
      </c>
      <c r="CI227" s="426">
        <f>MAX(0,CI225+CI226)</f>
        <v/>
      </c>
      <c r="CJ227" s="426">
        <f>MAX(0,CJ225+CJ226)</f>
        <v/>
      </c>
      <c r="CK227" s="426">
        <f>MAX(0,CK225+CK226)</f>
        <v/>
      </c>
      <c r="CL227" s="426">
        <f>MAX(0,CL225+CL226)</f>
        <v/>
      </c>
      <c r="CM227" s="426">
        <f>MAX(0,CM225+CM226)</f>
        <v/>
      </c>
      <c r="CN227" s="426">
        <f>MAX(0,CN225+CN226)</f>
        <v/>
      </c>
      <c r="CO227" s="426">
        <f>MAX(0,CO225+CO226)</f>
        <v/>
      </c>
      <c r="CP227" s="426">
        <f>MAX(0,CP225+CP226)</f>
        <v/>
      </c>
      <c r="CQ227" s="426">
        <f>MAX(0,CQ225+CQ226)</f>
        <v/>
      </c>
      <c r="CR227" s="426">
        <f>MAX(0,CR225+CR226)</f>
        <v/>
      </c>
      <c r="CS227" s="426">
        <f>MAX(0,CS225+CS226)</f>
        <v/>
      </c>
      <c r="CT227" s="426">
        <f>MAX(0,CT225+CT226)</f>
        <v/>
      </c>
      <c r="CU227" s="426">
        <f>MAX(0,CU225+CU226)</f>
        <v/>
      </c>
      <c r="CV227" s="426">
        <f>MAX(0,CV225+CV226)</f>
        <v/>
      </c>
      <c r="CW227" s="426">
        <f>MAX(0,CW225+CW226)</f>
        <v/>
      </c>
      <c r="CX227" s="426">
        <f>MAX(0,CX225+CX226)</f>
        <v/>
      </c>
      <c r="CY227" s="426">
        <f>MAX(0,CY225+CY226)</f>
        <v/>
      </c>
      <c r="CZ227" s="426">
        <f>MAX(0,CZ225+CZ226)</f>
        <v/>
      </c>
      <c r="DA227" s="426">
        <f>MAX(0,DA225+DA226)</f>
        <v/>
      </c>
      <c r="DB227" s="426">
        <f>MAX(0,DB225+DB226)</f>
        <v/>
      </c>
      <c r="DC227" s="426">
        <f>MAX(0,DC225+DC226)</f>
        <v/>
      </c>
      <c r="DD227" s="426">
        <f>MAX(0,DD225+DD226)</f>
        <v/>
      </c>
      <c r="DE227" s="426">
        <f>MAX(0,DE225+DE226)</f>
        <v/>
      </c>
    </row>
    <row r="228" ht="15" customFormat="1" customHeight="1" s="380">
      <c r="A228" s="427" t="n"/>
      <c r="B228" s="428" t="n"/>
      <c r="C228" s="428" t="n"/>
      <c r="D228" s="428" t="n"/>
      <c r="E228" s="428" t="n"/>
      <c r="F228" s="428" t="n"/>
      <c r="G228" s="428" t="n"/>
      <c r="H228" s="428" t="n"/>
      <c r="I228" s="428" t="n"/>
      <c r="J228" s="428" t="n"/>
      <c r="K228" s="428" t="n"/>
      <c r="L228" s="428" t="n"/>
      <c r="M228" s="428" t="n"/>
      <c r="N228" s="428" t="n"/>
      <c r="O228" s="428" t="n"/>
      <c r="P228" s="428" t="n"/>
      <c r="Q228" s="428" t="n"/>
      <c r="R228" s="428" t="n"/>
      <c r="S228" s="428" t="n"/>
      <c r="T228" s="428" t="n"/>
      <c r="U228" s="428" t="n"/>
      <c r="V228" s="428" t="n"/>
      <c r="W228" s="428" t="n"/>
      <c r="X228" s="428" t="n"/>
      <c r="Y228" s="428" t="n"/>
      <c r="Z228" s="428" t="n"/>
      <c r="AA228" s="428" t="n"/>
      <c r="AB228" s="428" t="n"/>
      <c r="AC228" s="428" t="n"/>
      <c r="AD228" s="428" t="n"/>
      <c r="AE228" s="428" t="n"/>
      <c r="AF228" s="428" t="n"/>
      <c r="AG228" s="428" t="n"/>
      <c r="AH228" s="428" t="n"/>
      <c r="AI228" s="428" t="n"/>
      <c r="AJ228" s="428" t="n"/>
      <c r="AK228" s="428" t="n"/>
      <c r="AL228" s="428" t="n"/>
      <c r="AM228" s="428" t="n"/>
      <c r="AN228" s="428" t="n"/>
      <c r="AO228" s="428" t="n"/>
      <c r="AP228" s="428" t="n"/>
      <c r="AQ228" s="428" t="n"/>
      <c r="AR228" s="428" t="n"/>
      <c r="AS228" s="428" t="n"/>
      <c r="AT228" s="428" t="n"/>
      <c r="AU228" s="428" t="n"/>
      <c r="AV228" s="428" t="n"/>
      <c r="AW228" s="428" t="n"/>
      <c r="AX228" s="428" t="n"/>
      <c r="AY228" s="428" t="n"/>
      <c r="AZ228" s="428" t="n"/>
      <c r="BA228" s="428" t="n"/>
      <c r="BB228" s="428" t="n"/>
      <c r="BC228" s="428" t="n"/>
      <c r="BD228" s="428" t="n"/>
      <c r="BE228" s="428" t="n"/>
      <c r="BF228" s="428" t="n"/>
      <c r="BG228" s="428" t="n"/>
      <c r="BH228" s="428" t="n"/>
      <c r="BI228" s="428" t="n"/>
      <c r="BJ228" s="428" t="n"/>
      <c r="BK228" s="428" t="n"/>
      <c r="BL228" s="428" t="n"/>
      <c r="BM228" s="428" t="n"/>
      <c r="BN228" s="428" t="n"/>
      <c r="BO228" s="428" t="n"/>
      <c r="BP228" s="428" t="n"/>
      <c r="BQ228" s="428" t="n"/>
      <c r="BR228" s="428" t="n"/>
      <c r="BS228" s="428" t="n"/>
      <c r="BT228" s="428" t="n"/>
      <c r="BU228" s="428" t="n"/>
      <c r="BV228" s="428" t="n"/>
      <c r="BW228" s="428" t="n"/>
      <c r="BX228" s="428" t="n"/>
      <c r="BY228" s="428" t="n"/>
      <c r="BZ228" s="428" t="n"/>
      <c r="CA228" s="428" t="n"/>
      <c r="CB228" s="428" t="n"/>
      <c r="CC228" s="428" t="n"/>
      <c r="CD228" s="428" t="n"/>
      <c r="CE228" s="428" t="n"/>
      <c r="CF228" s="428" t="n"/>
      <c r="CG228" s="428" t="n"/>
      <c r="CH228" s="428" t="n"/>
      <c r="CI228" s="428" t="n"/>
      <c r="CJ228" s="428" t="n"/>
      <c r="CK228" s="428" t="n"/>
      <c r="CL228" s="428" t="n"/>
      <c r="CM228" s="428" t="n"/>
      <c r="CN228" s="428" t="n"/>
      <c r="CO228" s="428" t="n"/>
      <c r="CP228" s="428" t="n"/>
      <c r="CQ228" s="428" t="n"/>
      <c r="CR228" s="428" t="n"/>
      <c r="CS228" s="428" t="n"/>
      <c r="CT228" s="428" t="n"/>
      <c r="CU228" s="428" t="n"/>
      <c r="CV228" s="428" t="n"/>
      <c r="CW228" s="428" t="n"/>
      <c r="CX228" s="428" t="n"/>
      <c r="CY228" s="428" t="n"/>
      <c r="CZ228" s="428" t="n"/>
      <c r="DA228" s="428" t="n"/>
      <c r="DB228" s="428" t="n"/>
      <c r="DC228" s="428" t="n"/>
      <c r="DD228" s="428" t="n"/>
      <c r="DE228" s="428" t="n"/>
    </row>
    <row r="229" ht="15" customFormat="1" customHeight="1" s="380">
      <c r="A229" s="429" t="inlineStr">
        <is>
          <t>PROJECT INVESTMENT CAPITAL - DEBT FACILITY</t>
        </is>
      </c>
      <c r="B229" s="430" t="n"/>
      <c r="C229" s="430" t="n"/>
      <c r="D229" s="430" t="n"/>
      <c r="E229" s="430" t="n"/>
      <c r="F229" s="430" t="n"/>
      <c r="G229" s="430" t="n"/>
      <c r="H229" s="430" t="n"/>
      <c r="I229" s="430" t="n"/>
      <c r="J229" s="430" t="n"/>
      <c r="K229" s="430" t="n"/>
      <c r="L229" s="430" t="n"/>
      <c r="M229" s="430" t="n"/>
      <c r="N229" s="430" t="n"/>
      <c r="O229" s="430" t="n"/>
      <c r="P229" s="430" t="n"/>
      <c r="Q229" s="430" t="n"/>
      <c r="R229" s="430" t="n"/>
      <c r="S229" s="430" t="n"/>
      <c r="T229" s="430" t="n"/>
      <c r="U229" s="430" t="n"/>
      <c r="V229" s="430" t="n"/>
      <c r="W229" s="430" t="n"/>
      <c r="X229" s="430" t="n"/>
      <c r="Y229" s="430" t="n"/>
      <c r="Z229" s="430" t="n"/>
      <c r="AA229" s="430" t="n"/>
      <c r="AB229" s="430" t="n"/>
      <c r="AC229" s="430" t="n"/>
      <c r="AD229" s="430" t="n"/>
      <c r="AE229" s="430" t="n"/>
      <c r="AF229" s="430" t="n"/>
      <c r="AG229" s="430" t="n"/>
      <c r="AH229" s="430" t="n"/>
      <c r="AI229" s="430" t="n"/>
      <c r="AJ229" s="430" t="n"/>
      <c r="AK229" s="430" t="n"/>
      <c r="AL229" s="430" t="n"/>
      <c r="AM229" s="430" t="n"/>
      <c r="AN229" s="430" t="n"/>
      <c r="AO229" s="430" t="n"/>
      <c r="AP229" s="430" t="n"/>
      <c r="AQ229" s="430" t="n"/>
      <c r="AR229" s="430" t="n"/>
      <c r="AS229" s="430" t="n"/>
      <c r="AT229" s="430" t="n"/>
      <c r="AU229" s="430" t="n"/>
      <c r="AV229" s="430" t="n"/>
      <c r="AW229" s="430" t="n"/>
      <c r="AX229" s="430" t="n"/>
      <c r="AY229" s="430" t="n"/>
      <c r="AZ229" s="430" t="n"/>
      <c r="BA229" s="430" t="n"/>
      <c r="BB229" s="430" t="n"/>
      <c r="BC229" s="430" t="n"/>
      <c r="BD229" s="430" t="n"/>
      <c r="BE229" s="430" t="n"/>
      <c r="BF229" s="430" t="n"/>
      <c r="BG229" s="430" t="n"/>
      <c r="BH229" s="430" t="n"/>
      <c r="BI229" s="430" t="n"/>
      <c r="BJ229" s="430" t="n"/>
      <c r="BK229" s="430" t="n"/>
      <c r="BL229" s="430" t="n"/>
      <c r="BM229" s="430" t="n"/>
      <c r="BN229" s="430" t="n"/>
      <c r="BO229" s="430" t="n"/>
      <c r="BP229" s="430" t="n"/>
      <c r="BQ229" s="430" t="n"/>
      <c r="BR229" s="430" t="n"/>
      <c r="BS229" s="430" t="n"/>
      <c r="BT229" s="430" t="n"/>
      <c r="BU229" s="430" t="n"/>
      <c r="BV229" s="430" t="n"/>
      <c r="BW229" s="430" t="n"/>
      <c r="BX229" s="430" t="n"/>
      <c r="BY229" s="430" t="n"/>
      <c r="BZ229" s="430" t="n"/>
      <c r="CA229" s="430" t="n"/>
      <c r="CB229" s="430" t="n"/>
      <c r="CC229" s="430" t="n"/>
      <c r="CD229" s="430" t="n"/>
      <c r="CE229" s="430" t="n"/>
      <c r="CF229" s="430" t="n"/>
      <c r="CG229" s="430" t="n"/>
      <c r="CH229" s="430" t="n"/>
      <c r="CI229" s="430" t="n"/>
      <c r="CJ229" s="430" t="n"/>
      <c r="CK229" s="430" t="n"/>
      <c r="CL229" s="430" t="n"/>
      <c r="CM229" s="430" t="n"/>
      <c r="CN229" s="430" t="n"/>
      <c r="CO229" s="430" t="n"/>
      <c r="CP229" s="430" t="n"/>
      <c r="CQ229" s="430" t="n"/>
      <c r="CR229" s="430" t="n"/>
      <c r="CS229" s="430" t="n"/>
      <c r="CT229" s="430" t="n"/>
      <c r="CU229" s="430" t="n"/>
      <c r="CV229" s="430" t="n"/>
      <c r="CW229" s="430" t="n"/>
      <c r="CX229" s="430" t="n"/>
      <c r="CY229" s="430" t="n"/>
      <c r="CZ229" s="430" t="n"/>
      <c r="DA229" s="430" t="n"/>
      <c r="DB229" s="430" t="n"/>
      <c r="DC229" s="430" t="n"/>
      <c r="DD229" s="430" t="n"/>
      <c r="DE229" s="430" t="n"/>
    </row>
    <row r="230" ht="15" customFormat="1" customHeight="1" s="380">
      <c r="A230" s="397" t="inlineStr">
        <is>
          <t>Klump - Beginning Balance</t>
        </is>
      </c>
      <c r="B230" s="401" t="n"/>
      <c r="C230" s="401" t="n"/>
      <c r="D230" s="401" t="n"/>
      <c r="E230" s="401">
        <f>IF(AND(Projects!$G$11="Yes",Projects!$C$11&lt;=1),Assumptions!$B$60,0)</f>
        <v/>
      </c>
      <c r="F230" s="401">
        <f>IF(AND(Projects!$G$11="Yes",2=Projects!$C$11),Assumptions!$B$60,E234)</f>
        <v/>
      </c>
      <c r="G230" s="401">
        <f>IF(AND(Projects!$G$11="Yes",3=Projects!$C$11),Assumptions!$B$60,F234)</f>
        <v/>
      </c>
      <c r="H230" s="401">
        <f>IF(AND(Projects!$G$11="Yes",4=Projects!$C$11),Assumptions!$B$60,G234)</f>
        <v/>
      </c>
      <c r="I230" s="401">
        <f>IF(AND(Projects!$G$11="Yes",5=Projects!$C$11),Assumptions!$B$60,H234)</f>
        <v/>
      </c>
      <c r="J230" s="401">
        <f>IF(AND(Projects!$G$11="Yes",6=Projects!$C$11),Assumptions!$B$60,I234)</f>
        <v/>
      </c>
      <c r="K230" s="401">
        <f>IF(AND(Projects!$G$11="Yes",7=Projects!$C$11),Assumptions!$B$60,J234)</f>
        <v/>
      </c>
      <c r="L230" s="401">
        <f>IF(AND(Projects!$G$11="Yes",8=Projects!$C$11),Assumptions!$B$60,K234)</f>
        <v/>
      </c>
      <c r="M230" s="401">
        <f>IF(AND(Projects!$G$11="Yes",9=Projects!$C$11),Assumptions!$B$60,L234)</f>
        <v/>
      </c>
      <c r="N230" s="401">
        <f>IF(AND(Projects!$G$11="Yes",10=Projects!$C$11),Assumptions!$B$60,M234)</f>
        <v/>
      </c>
      <c r="O230" s="401">
        <f>IF(AND(Projects!$G$11="Yes",11=Projects!$C$11),Assumptions!$B$60,N234)</f>
        <v/>
      </c>
      <c r="P230" s="401">
        <f>IF(AND(Projects!$G$11="Yes",12=Projects!$C$11),Assumptions!$B$60,O234)</f>
        <v/>
      </c>
      <c r="Q230" s="401">
        <f>IF(AND(Projects!$G$11="Yes",13=Projects!$C$11),Assumptions!$B$60,P234)</f>
        <v/>
      </c>
      <c r="R230" s="401">
        <f>IF(AND(Projects!$G$11="Yes",14=Projects!$C$11),Assumptions!$B$60,Q234)</f>
        <v/>
      </c>
      <c r="S230" s="401">
        <f>IF(AND(Projects!$G$11="Yes",15=Projects!$C$11),Assumptions!$B$60,R234)</f>
        <v/>
      </c>
      <c r="T230" s="401">
        <f>IF(AND(Projects!$G$11="Yes",16=Projects!$C$11),Assumptions!$B$60,S234)</f>
        <v/>
      </c>
      <c r="U230" s="401">
        <f>IF(AND(Projects!$G$11="Yes",17=Projects!$C$11),Assumptions!$B$60,T234)</f>
        <v/>
      </c>
      <c r="V230" s="401">
        <f>IF(AND(Projects!$G$11="Yes",18=Projects!$C$11),Assumptions!$B$60,U234)</f>
        <v/>
      </c>
      <c r="W230" s="401">
        <f>IF(AND(Projects!$G$11="Yes",19=Projects!$C$11),Assumptions!$B$60,V234)</f>
        <v/>
      </c>
      <c r="X230" s="401">
        <f>IF(AND(Projects!$G$11="Yes",20=Projects!$C$11),Assumptions!$B$60,W234)</f>
        <v/>
      </c>
      <c r="Y230" s="401">
        <f>IF(AND(Projects!$G$11="Yes",21=Projects!$C$11),Assumptions!$B$60,X234)</f>
        <v/>
      </c>
      <c r="Z230" s="401">
        <f>IF(AND(Projects!$G$11="Yes",22=Projects!$C$11),Assumptions!$B$60,Y234)</f>
        <v/>
      </c>
      <c r="AA230" s="401">
        <f>IF(AND(Projects!$G$11="Yes",23=Projects!$C$11),Assumptions!$B$60,Z234)</f>
        <v/>
      </c>
      <c r="AB230" s="401">
        <f>IF(AND(Projects!$G$11="Yes",24=Projects!$C$11),Assumptions!$B$60,AA234)</f>
        <v/>
      </c>
      <c r="AC230" s="401">
        <f>IF(AND(Projects!$G$11="Yes",25=Projects!$C$11),Assumptions!$B$60,AB234)</f>
        <v/>
      </c>
      <c r="AD230" s="401">
        <f>IF(AND(Projects!$G$11="Yes",26=Projects!$C$11),Assumptions!$B$60,AC234)</f>
        <v/>
      </c>
      <c r="AE230" s="401">
        <f>IF(AND(Projects!$G$11="Yes",27=Projects!$C$11),Assumptions!$B$60,AD234)</f>
        <v/>
      </c>
      <c r="AF230" s="401">
        <f>IF(AND(Projects!$G$11="Yes",28=Projects!$C$11),Assumptions!$B$60,AE234)</f>
        <v/>
      </c>
      <c r="AG230" s="401">
        <f>IF(AND(Projects!$G$11="Yes",29=Projects!$C$11),Assumptions!$B$60,AF234)</f>
        <v/>
      </c>
      <c r="AH230" s="401">
        <f>IF(AND(Projects!$G$11="Yes",30=Projects!$C$11),Assumptions!$B$60,AG234)</f>
        <v/>
      </c>
      <c r="AI230" s="401">
        <f>IF(AND(Projects!$G$11="Yes",31=Projects!$C$11),Assumptions!$B$60,AH234)</f>
        <v/>
      </c>
      <c r="AJ230" s="401">
        <f>IF(AND(Projects!$G$11="Yes",32=Projects!$C$11),Assumptions!$B$60,AI234)</f>
        <v/>
      </c>
      <c r="AK230" s="401">
        <f>IF(AND(Projects!$G$11="Yes",33=Projects!$C$11),Assumptions!$B$60,AJ234)</f>
        <v/>
      </c>
      <c r="AL230" s="401">
        <f>IF(AND(Projects!$G$11="Yes",34=Projects!$C$11),Assumptions!$B$60,AK234)</f>
        <v/>
      </c>
      <c r="AM230" s="401">
        <f>IF(AND(Projects!$G$11="Yes",35=Projects!$C$11),Assumptions!$B$60,AL234)</f>
        <v/>
      </c>
      <c r="AN230" s="401">
        <f>IF(AND(Projects!$G$11="Yes",36=Projects!$C$11),Assumptions!$B$60,AM234)</f>
        <v/>
      </c>
      <c r="AO230" s="401">
        <f>IF(AND(Projects!$G$11="Yes",37=Projects!$C$11),Assumptions!$B$60,AN234)</f>
        <v/>
      </c>
      <c r="AP230" s="401">
        <f>IF(AND(Projects!$G$11="Yes",38=Projects!$C$11),Assumptions!$B$60,AO234)</f>
        <v/>
      </c>
      <c r="AQ230" s="401">
        <f>IF(AND(Projects!$G$11="Yes",39=Projects!$C$11),Assumptions!$B$60,AP234)</f>
        <v/>
      </c>
      <c r="AR230" s="401">
        <f>IF(AND(Projects!$G$11="Yes",40=Projects!$C$11),Assumptions!$B$60,AQ234)</f>
        <v/>
      </c>
      <c r="AS230" s="401">
        <f>IF(AND(Projects!$G$11="Yes",41=Projects!$C$11),Assumptions!$B$60,AR234)</f>
        <v/>
      </c>
      <c r="AT230" s="401">
        <f>IF(AND(Projects!$G$11="Yes",42=Projects!$C$11),Assumptions!$B$60,AS234)</f>
        <v/>
      </c>
      <c r="AU230" s="401">
        <f>IF(AND(Projects!$G$11="Yes",43=Projects!$C$11),Assumptions!$B$60,AT234)</f>
        <v/>
      </c>
      <c r="AV230" s="401">
        <f>IF(AND(Projects!$G$11="Yes",44=Projects!$C$11),Assumptions!$B$60,AU234)</f>
        <v/>
      </c>
      <c r="AW230" s="401">
        <f>IF(AND(Projects!$G$11="Yes",45=Projects!$C$11),Assumptions!$B$60,AV234)</f>
        <v/>
      </c>
      <c r="AX230" s="401">
        <f>IF(AND(Projects!$G$11="Yes",46=Projects!$C$11),Assumptions!$B$60,AW234)</f>
        <v/>
      </c>
      <c r="AY230" s="401">
        <f>IF(AND(Projects!$G$11="Yes",47=Projects!$C$11),Assumptions!$B$60,AX234)</f>
        <v/>
      </c>
      <c r="AZ230" s="401">
        <f>IF(AND(Projects!$G$11="Yes",48=Projects!$C$11),Assumptions!$B$60,AY234)</f>
        <v/>
      </c>
      <c r="BA230" s="401">
        <f>IF(AND(Projects!$G$11="Yes",49=Projects!$C$11),Assumptions!$B$60,AZ234)</f>
        <v/>
      </c>
      <c r="BB230" s="401">
        <f>IF(AND(Projects!$G$11="Yes",50=Projects!$C$11),Assumptions!$B$60,BA234)</f>
        <v/>
      </c>
      <c r="BC230" s="401">
        <f>IF(AND(Projects!$G$11="Yes",51=Projects!$C$11),Assumptions!$B$60,BB234)</f>
        <v/>
      </c>
      <c r="BD230" s="401">
        <f>IF(AND(Projects!$G$11="Yes",52=Projects!$C$11),Assumptions!$B$60,BC234)</f>
        <v/>
      </c>
      <c r="BE230" s="401">
        <f>IF(AND(Projects!$G$11="Yes",53=Projects!$C$11),Assumptions!$B$60,BD234)</f>
        <v/>
      </c>
      <c r="BF230" s="401">
        <f>IF(AND(Projects!$G$11="Yes",54=Projects!$C$11),Assumptions!$B$60,BE234)</f>
        <v/>
      </c>
      <c r="BG230" s="401">
        <f>IF(AND(Projects!$G$11="Yes",55=Projects!$C$11),Assumptions!$B$60,BF234)</f>
        <v/>
      </c>
      <c r="BH230" s="401">
        <f>IF(AND(Projects!$G$11="Yes",56=Projects!$C$11),Assumptions!$B$60,BG234)</f>
        <v/>
      </c>
      <c r="BI230" s="401">
        <f>IF(AND(Projects!$G$11="Yes",57=Projects!$C$11),Assumptions!$B$60,BH234)</f>
        <v/>
      </c>
      <c r="BJ230" s="401">
        <f>IF(AND(Projects!$G$11="Yes",58=Projects!$C$11),Assumptions!$B$60,BI234)</f>
        <v/>
      </c>
      <c r="BK230" s="401">
        <f>IF(AND(Projects!$G$11="Yes",59=Projects!$C$11),Assumptions!$B$60,BJ234)</f>
        <v/>
      </c>
      <c r="BL230" s="401">
        <f>IF(AND(Projects!$G$11="Yes",60=Projects!$C$11),Assumptions!$B$60,BK234)</f>
        <v/>
      </c>
      <c r="BM230" s="401">
        <f>IF(AND(Projects!$G$11="Yes",61=Projects!$C$11),Assumptions!$B$60,BL234)</f>
        <v/>
      </c>
      <c r="BN230" s="401">
        <f>IF(AND(Projects!$G$11="Yes",62=Projects!$C$11),Assumptions!$B$60,BM234)</f>
        <v/>
      </c>
      <c r="BO230" s="401">
        <f>IF(AND(Projects!$G$11="Yes",63=Projects!$C$11),Assumptions!$B$60,BN234)</f>
        <v/>
      </c>
      <c r="BP230" s="401">
        <f>IF(AND(Projects!$G$11="Yes",64=Projects!$C$11),Assumptions!$B$60,BO234)</f>
        <v/>
      </c>
      <c r="BQ230" s="401">
        <f>IF(AND(Projects!$G$11="Yes",65=Projects!$C$11),Assumptions!$B$60,BP234)</f>
        <v/>
      </c>
      <c r="BR230" s="401">
        <f>IF(AND(Projects!$G$11="Yes",66=Projects!$C$11),Assumptions!$B$60,BQ234)</f>
        <v/>
      </c>
      <c r="BS230" s="401">
        <f>IF(AND(Projects!$G$11="Yes",67=Projects!$C$11),Assumptions!$B$60,BR234)</f>
        <v/>
      </c>
      <c r="BT230" s="401">
        <f>IF(AND(Projects!$G$11="Yes",68=Projects!$C$11),Assumptions!$B$60,BS234)</f>
        <v/>
      </c>
      <c r="BU230" s="401">
        <f>IF(AND(Projects!$G$11="Yes",69=Projects!$C$11),Assumptions!$B$60,BT234)</f>
        <v/>
      </c>
      <c r="BV230" s="401">
        <f>IF(AND(Projects!$G$11="Yes",70=Projects!$C$11),Assumptions!$B$60,BU234)</f>
        <v/>
      </c>
      <c r="BW230" s="401">
        <f>IF(AND(Projects!$G$11="Yes",71=Projects!$C$11),Assumptions!$B$60,BV234)</f>
        <v/>
      </c>
      <c r="BX230" s="401">
        <f>IF(AND(Projects!$G$11="Yes",72=Projects!$C$11),Assumptions!$B$60,BW234)</f>
        <v/>
      </c>
      <c r="BY230" s="401">
        <f>IF(AND(Projects!$G$11="Yes",73=Projects!$C$11),Assumptions!$B$60,BX234)</f>
        <v/>
      </c>
      <c r="BZ230" s="401">
        <f>IF(AND(Projects!$G$11="Yes",74=Projects!$C$11),Assumptions!$B$60,BY234)</f>
        <v/>
      </c>
      <c r="CA230" s="401">
        <f>IF(AND(Projects!$G$11="Yes",75=Projects!$C$11),Assumptions!$B$60,BZ234)</f>
        <v/>
      </c>
      <c r="CB230" s="401">
        <f>IF(AND(Projects!$G$11="Yes",76=Projects!$C$11),Assumptions!$B$60,CA234)</f>
        <v/>
      </c>
      <c r="CC230" s="401">
        <f>IF(AND(Projects!$G$11="Yes",77=Projects!$C$11),Assumptions!$B$60,CB234)</f>
        <v/>
      </c>
      <c r="CD230" s="401">
        <f>IF(AND(Projects!$G$11="Yes",78=Projects!$C$11),Assumptions!$B$60,CC234)</f>
        <v/>
      </c>
      <c r="CE230" s="401">
        <f>IF(AND(Projects!$G$11="Yes",79=Projects!$C$11),Assumptions!$B$60,CD234)</f>
        <v/>
      </c>
      <c r="CF230" s="401">
        <f>IF(AND(Projects!$G$11="Yes",80=Projects!$C$11),Assumptions!$B$60,CE234)</f>
        <v/>
      </c>
      <c r="CG230" s="401">
        <f>IF(AND(Projects!$G$11="Yes",81=Projects!$C$11),Assumptions!$B$60,CF234)</f>
        <v/>
      </c>
      <c r="CH230" s="401">
        <f>IF(AND(Projects!$G$11="Yes",82=Projects!$C$11),Assumptions!$B$60,CG234)</f>
        <v/>
      </c>
      <c r="CI230" s="401">
        <f>IF(AND(Projects!$G$11="Yes",83=Projects!$C$11),Assumptions!$B$60,CH234)</f>
        <v/>
      </c>
      <c r="CJ230" s="401">
        <f>IF(AND(Projects!$G$11="Yes",84=Projects!$C$11),Assumptions!$B$60,CI234)</f>
        <v/>
      </c>
      <c r="CK230" s="401">
        <f>IF(AND(Projects!$G$11="Yes",85=Projects!$C$11),Assumptions!$B$60,CJ234)</f>
        <v/>
      </c>
      <c r="CL230" s="401">
        <f>IF(AND(Projects!$G$11="Yes",86=Projects!$C$11),Assumptions!$B$60,CK234)</f>
        <v/>
      </c>
      <c r="CM230" s="401">
        <f>IF(AND(Projects!$G$11="Yes",87=Projects!$C$11),Assumptions!$B$60,CL234)</f>
        <v/>
      </c>
      <c r="CN230" s="401">
        <f>IF(AND(Projects!$G$11="Yes",88=Projects!$C$11),Assumptions!$B$60,CM234)</f>
        <v/>
      </c>
      <c r="CO230" s="401">
        <f>IF(AND(Projects!$G$11="Yes",89=Projects!$C$11),Assumptions!$B$60,CN234)</f>
        <v/>
      </c>
      <c r="CP230" s="401">
        <f>IF(AND(Projects!$G$11="Yes",90=Projects!$C$11),Assumptions!$B$60,CO234)</f>
        <v/>
      </c>
      <c r="CQ230" s="401">
        <f>IF(AND(Projects!$G$11="Yes",91=Projects!$C$11),Assumptions!$B$60,CP234)</f>
        <v/>
      </c>
      <c r="CR230" s="401">
        <f>IF(AND(Projects!$G$11="Yes",92=Projects!$C$11),Assumptions!$B$60,CQ234)</f>
        <v/>
      </c>
      <c r="CS230" s="401">
        <f>IF(AND(Projects!$G$11="Yes",93=Projects!$C$11),Assumptions!$B$60,CR234)</f>
        <v/>
      </c>
      <c r="CT230" s="401">
        <f>IF(AND(Projects!$G$11="Yes",94=Projects!$C$11),Assumptions!$B$60,CS234)</f>
        <v/>
      </c>
      <c r="CU230" s="401">
        <f>IF(AND(Projects!$G$11="Yes",95=Projects!$C$11),Assumptions!$B$60,CT234)</f>
        <v/>
      </c>
      <c r="CV230" s="401">
        <f>IF(AND(Projects!$G$11="Yes",96=Projects!$C$11),Assumptions!$B$60,CU234)</f>
        <v/>
      </c>
      <c r="CW230" s="401">
        <f>IF(AND(Projects!$G$11="Yes",97=Projects!$C$11),Assumptions!$B$60,CV234)</f>
        <v/>
      </c>
      <c r="CX230" s="401">
        <f>IF(AND(Projects!$G$11="Yes",98=Projects!$C$11),Assumptions!$B$60,CW234)</f>
        <v/>
      </c>
      <c r="CY230" s="401">
        <f>IF(AND(Projects!$G$11="Yes",99=Projects!$C$11),Assumptions!$B$60,CX234)</f>
        <v/>
      </c>
      <c r="CZ230" s="401">
        <f>IF(AND(Projects!$G$11="Yes",100=Projects!$C$11),Assumptions!$B$60,CY234)</f>
        <v/>
      </c>
      <c r="DA230" s="401">
        <f>IF(AND(Projects!$G$11="Yes",101=Projects!$C$11),Assumptions!$B$60,CZ234)</f>
        <v/>
      </c>
      <c r="DB230" s="401">
        <f>IF(AND(Projects!$G$11="Yes",102=Projects!$C$11),Assumptions!$B$60,DA234)</f>
        <v/>
      </c>
      <c r="DC230" s="401">
        <f>IF(AND(Projects!$G$11="Yes",103=Projects!$C$11),Assumptions!$B$60,DB234)</f>
        <v/>
      </c>
      <c r="DD230" s="401">
        <f>IF(AND(Projects!$G$11="Yes",104=Projects!$C$11),Assumptions!$B$60,DC234)</f>
        <v/>
      </c>
      <c r="DE230" s="401">
        <f>IF(AND(Projects!$G$11="Yes",105=Projects!$C$11),Assumptions!$B$60,DD234)</f>
        <v/>
      </c>
    </row>
    <row r="231" ht="15" customFormat="1" customHeight="1" s="380">
      <c r="A231" s="397" t="inlineStr">
        <is>
          <t>Klump - Quarterly Interest</t>
        </is>
      </c>
      <c r="B231" s="401" t="n"/>
      <c r="C231" s="401" t="n"/>
      <c r="D231" s="401" t="n"/>
      <c r="E231" s="401">
        <f>IF(AND(MOD(1,3)=0,E230&gt;0),E230*Assumptions!$B$59,0)</f>
        <v/>
      </c>
      <c r="F231" s="401">
        <f>IF(AND(MOD(2,3)=0,F230&gt;0),F230*Assumptions!$B$59,0)</f>
        <v/>
      </c>
      <c r="G231" s="401">
        <f>IF(AND(MOD(3,3)=0,G230&gt;0),G230*Assumptions!$B$59,0)</f>
        <v/>
      </c>
      <c r="H231" s="401">
        <f>IF(AND(MOD(4,3)=0,H230&gt;0),H230*Assumptions!$B$59,0)</f>
        <v/>
      </c>
      <c r="I231" s="401">
        <f>IF(AND(MOD(5,3)=0,I230&gt;0),I230*Assumptions!$B$59,0)</f>
        <v/>
      </c>
      <c r="J231" s="401">
        <f>IF(AND(MOD(6,3)=0,J230&gt;0),J230*Assumptions!$B$59,0)</f>
        <v/>
      </c>
      <c r="K231" s="401">
        <f>IF(AND(MOD(7,3)=0,K230&gt;0),K230*Assumptions!$B$59,0)</f>
        <v/>
      </c>
      <c r="L231" s="401">
        <f>IF(AND(MOD(8,3)=0,L230&gt;0),L230*Assumptions!$B$59,0)</f>
        <v/>
      </c>
      <c r="M231" s="401">
        <f>IF(AND(MOD(9,3)=0,M230&gt;0),M230*Assumptions!$B$59,0)</f>
        <v/>
      </c>
      <c r="N231" s="401">
        <f>IF(AND(MOD(10,3)=0,N230&gt;0),N230*Assumptions!$B$59,0)</f>
        <v/>
      </c>
      <c r="O231" s="401">
        <f>IF(AND(MOD(11,3)=0,O230&gt;0),O230*Assumptions!$B$59,0)</f>
        <v/>
      </c>
      <c r="P231" s="401">
        <f>IF(AND(MOD(12,3)=0,P230&gt;0),P230*Assumptions!$B$59,0)</f>
        <v/>
      </c>
      <c r="Q231" s="401">
        <f>IF(AND(MOD(13,3)=0,Q230&gt;0),Q230*Assumptions!$B$59,0)</f>
        <v/>
      </c>
      <c r="R231" s="401">
        <f>IF(AND(MOD(14,3)=0,R230&gt;0),R230*Assumptions!$B$59,0)</f>
        <v/>
      </c>
      <c r="S231" s="401">
        <f>IF(AND(MOD(15,3)=0,S230&gt;0),S230*Assumptions!$B$59,0)</f>
        <v/>
      </c>
      <c r="T231" s="401">
        <f>IF(AND(MOD(16,3)=0,T230&gt;0),T230*Assumptions!$B$59,0)</f>
        <v/>
      </c>
      <c r="U231" s="401">
        <f>IF(AND(MOD(17,3)=0,U230&gt;0),U230*Assumptions!$B$59,0)</f>
        <v/>
      </c>
      <c r="V231" s="401">
        <f>IF(AND(MOD(18,3)=0,V230&gt;0),V230*Assumptions!$B$59,0)</f>
        <v/>
      </c>
      <c r="W231" s="401">
        <f>IF(AND(MOD(19,3)=0,W230&gt;0),W230*Assumptions!$B$59,0)</f>
        <v/>
      </c>
      <c r="X231" s="401">
        <f>IF(AND(MOD(20,3)=0,X230&gt;0),X230*Assumptions!$B$59,0)</f>
        <v/>
      </c>
      <c r="Y231" s="401">
        <f>IF(AND(MOD(21,3)=0,Y230&gt;0),Y230*Assumptions!$B$59,0)</f>
        <v/>
      </c>
      <c r="Z231" s="401">
        <f>IF(AND(MOD(22,3)=0,Z230&gt;0),Z230*Assumptions!$B$59,0)</f>
        <v/>
      </c>
      <c r="AA231" s="401">
        <f>IF(AND(MOD(23,3)=0,AA230&gt;0),AA230*Assumptions!$B$59,0)</f>
        <v/>
      </c>
      <c r="AB231" s="401">
        <f>IF(AND(MOD(24,3)=0,AB230&gt;0),AB230*Assumptions!$B$59,0)</f>
        <v/>
      </c>
      <c r="AC231" s="401">
        <f>IF(AND(MOD(25,3)=0,AC230&gt;0),AC230*Assumptions!$B$59,0)</f>
        <v/>
      </c>
      <c r="AD231" s="401">
        <f>IF(AND(MOD(26,3)=0,AD230&gt;0),AD230*Assumptions!$B$59,0)</f>
        <v/>
      </c>
      <c r="AE231" s="401">
        <f>IF(AND(MOD(27,3)=0,AE230&gt;0),AE230*Assumptions!$B$59,0)</f>
        <v/>
      </c>
      <c r="AF231" s="401">
        <f>IF(AND(MOD(28,3)=0,AF230&gt;0),AF230*Assumptions!$B$59,0)</f>
        <v/>
      </c>
      <c r="AG231" s="401">
        <f>IF(AND(MOD(29,3)=0,AG230&gt;0),AG230*Assumptions!$B$59,0)</f>
        <v/>
      </c>
      <c r="AH231" s="401">
        <f>IF(AND(MOD(30,3)=0,AH230&gt;0),AH230*Assumptions!$B$59,0)</f>
        <v/>
      </c>
      <c r="AI231" s="401">
        <f>IF(AND(MOD(31,3)=0,AI230&gt;0),AI230*Assumptions!$B$59,0)</f>
        <v/>
      </c>
      <c r="AJ231" s="401">
        <f>IF(AND(MOD(32,3)=0,AJ230&gt;0),AJ230*Assumptions!$B$59,0)</f>
        <v/>
      </c>
      <c r="AK231" s="401">
        <f>IF(AND(MOD(33,3)=0,AK230&gt;0),AK230*Assumptions!$B$59,0)</f>
        <v/>
      </c>
      <c r="AL231" s="401">
        <f>IF(AND(MOD(34,3)=0,AL230&gt;0),AL230*Assumptions!$B$59,0)</f>
        <v/>
      </c>
      <c r="AM231" s="401">
        <f>IF(AND(MOD(35,3)=0,AM230&gt;0),AM230*Assumptions!$B$59,0)</f>
        <v/>
      </c>
      <c r="AN231" s="401">
        <f>IF(AND(MOD(36,3)=0,AN230&gt;0),AN230*Assumptions!$B$59,0)</f>
        <v/>
      </c>
      <c r="AO231" s="401">
        <f>IF(AND(MOD(37,3)=0,AO230&gt;0),AO230*Assumptions!$B$59,0)</f>
        <v/>
      </c>
      <c r="AP231" s="401">
        <f>IF(AND(MOD(38,3)=0,AP230&gt;0),AP230*Assumptions!$B$59,0)</f>
        <v/>
      </c>
      <c r="AQ231" s="401">
        <f>IF(AND(MOD(39,3)=0,AQ230&gt;0),AQ230*Assumptions!$B$59,0)</f>
        <v/>
      </c>
      <c r="AR231" s="401">
        <f>IF(AND(MOD(40,3)=0,AR230&gt;0),AR230*Assumptions!$B$59,0)</f>
        <v/>
      </c>
      <c r="AS231" s="401">
        <f>IF(AND(MOD(41,3)=0,AS230&gt;0),AS230*Assumptions!$B$59,0)</f>
        <v/>
      </c>
      <c r="AT231" s="401">
        <f>IF(AND(MOD(42,3)=0,AT230&gt;0),AT230*Assumptions!$B$59,0)</f>
        <v/>
      </c>
      <c r="AU231" s="401">
        <f>IF(AND(MOD(43,3)=0,AU230&gt;0),AU230*Assumptions!$B$59,0)</f>
        <v/>
      </c>
      <c r="AV231" s="401">
        <f>IF(AND(MOD(44,3)=0,AV230&gt;0),AV230*Assumptions!$B$59,0)</f>
        <v/>
      </c>
      <c r="AW231" s="401">
        <f>IF(AND(MOD(45,3)=0,AW230&gt;0),AW230*Assumptions!$B$59,0)</f>
        <v/>
      </c>
      <c r="AX231" s="401">
        <f>IF(AND(MOD(46,3)=0,AX230&gt;0),AX230*Assumptions!$B$59,0)</f>
        <v/>
      </c>
      <c r="AY231" s="401">
        <f>IF(AND(MOD(47,3)=0,AY230&gt;0),AY230*Assumptions!$B$59,0)</f>
        <v/>
      </c>
      <c r="AZ231" s="401">
        <f>IF(AND(MOD(48,3)=0,AZ230&gt;0),AZ230*Assumptions!$B$59,0)</f>
        <v/>
      </c>
      <c r="BA231" s="401">
        <f>IF(AND(MOD(49,3)=0,BA230&gt;0),BA230*Assumptions!$B$59,0)</f>
        <v/>
      </c>
      <c r="BB231" s="401">
        <f>IF(AND(MOD(50,3)=0,BB230&gt;0),BB230*Assumptions!$B$59,0)</f>
        <v/>
      </c>
      <c r="BC231" s="401">
        <f>IF(AND(MOD(51,3)=0,BC230&gt;0),BC230*Assumptions!$B$59,0)</f>
        <v/>
      </c>
      <c r="BD231" s="401">
        <f>IF(AND(MOD(52,3)=0,BD230&gt;0),BD230*Assumptions!$B$59,0)</f>
        <v/>
      </c>
      <c r="BE231" s="401">
        <f>IF(AND(MOD(53,3)=0,BE230&gt;0),BE230*Assumptions!$B$59,0)</f>
        <v/>
      </c>
      <c r="BF231" s="401">
        <f>IF(AND(MOD(54,3)=0,BF230&gt;0),BF230*Assumptions!$B$59,0)</f>
        <v/>
      </c>
      <c r="BG231" s="401">
        <f>IF(AND(MOD(55,3)=0,BG230&gt;0),BG230*Assumptions!$B$59,0)</f>
        <v/>
      </c>
      <c r="BH231" s="401">
        <f>IF(AND(MOD(56,3)=0,BH230&gt;0),BH230*Assumptions!$B$59,0)</f>
        <v/>
      </c>
      <c r="BI231" s="401">
        <f>IF(AND(MOD(57,3)=0,BI230&gt;0),BI230*Assumptions!$B$59,0)</f>
        <v/>
      </c>
      <c r="BJ231" s="401">
        <f>IF(AND(MOD(58,3)=0,BJ230&gt;0),BJ230*Assumptions!$B$59,0)</f>
        <v/>
      </c>
      <c r="BK231" s="401">
        <f>IF(AND(MOD(59,3)=0,BK230&gt;0),BK230*Assumptions!$B$59,0)</f>
        <v/>
      </c>
      <c r="BL231" s="401">
        <f>IF(AND(MOD(60,3)=0,BL230&gt;0),BL230*Assumptions!$B$59,0)</f>
        <v/>
      </c>
      <c r="BM231" s="401">
        <f>IF(AND(MOD(61,3)=0,BM230&gt;0),BM230*Assumptions!$B$59,0)</f>
        <v/>
      </c>
      <c r="BN231" s="401">
        <f>IF(AND(MOD(62,3)=0,BN230&gt;0),BN230*Assumptions!$B$59,0)</f>
        <v/>
      </c>
      <c r="BO231" s="401">
        <f>IF(AND(MOD(63,3)=0,BO230&gt;0),BO230*Assumptions!$B$59,0)</f>
        <v/>
      </c>
      <c r="BP231" s="401">
        <f>IF(AND(MOD(64,3)=0,BP230&gt;0),BP230*Assumptions!$B$59,0)</f>
        <v/>
      </c>
      <c r="BQ231" s="401">
        <f>IF(AND(MOD(65,3)=0,BQ230&gt;0),BQ230*Assumptions!$B$59,0)</f>
        <v/>
      </c>
      <c r="BR231" s="401">
        <f>IF(AND(MOD(66,3)=0,BR230&gt;0),BR230*Assumptions!$B$59,0)</f>
        <v/>
      </c>
      <c r="BS231" s="401">
        <f>IF(AND(MOD(67,3)=0,BS230&gt;0),BS230*Assumptions!$B$59,0)</f>
        <v/>
      </c>
      <c r="BT231" s="401">
        <f>IF(AND(MOD(68,3)=0,BT230&gt;0),BT230*Assumptions!$B$59,0)</f>
        <v/>
      </c>
      <c r="BU231" s="401">
        <f>IF(AND(MOD(69,3)=0,BU230&gt;0),BU230*Assumptions!$B$59,0)</f>
        <v/>
      </c>
      <c r="BV231" s="401">
        <f>IF(AND(MOD(70,3)=0,BV230&gt;0),BV230*Assumptions!$B$59,0)</f>
        <v/>
      </c>
      <c r="BW231" s="401">
        <f>IF(AND(MOD(71,3)=0,BW230&gt;0),BW230*Assumptions!$B$59,0)</f>
        <v/>
      </c>
      <c r="BX231" s="401">
        <f>IF(AND(MOD(72,3)=0,BX230&gt;0),BX230*Assumptions!$B$59,0)</f>
        <v/>
      </c>
      <c r="BY231" s="401">
        <f>IF(AND(MOD(73,3)=0,BY230&gt;0),BY230*Assumptions!$B$59,0)</f>
        <v/>
      </c>
      <c r="BZ231" s="401">
        <f>IF(AND(MOD(74,3)=0,BZ230&gt;0),BZ230*Assumptions!$B$59,0)</f>
        <v/>
      </c>
      <c r="CA231" s="401">
        <f>IF(AND(MOD(75,3)=0,CA230&gt;0),CA230*Assumptions!$B$59,0)</f>
        <v/>
      </c>
      <c r="CB231" s="401">
        <f>IF(AND(MOD(76,3)=0,CB230&gt;0),CB230*Assumptions!$B$59,0)</f>
        <v/>
      </c>
      <c r="CC231" s="401">
        <f>IF(AND(MOD(77,3)=0,CC230&gt;0),CC230*Assumptions!$B$59,0)</f>
        <v/>
      </c>
      <c r="CD231" s="401">
        <f>IF(AND(MOD(78,3)=0,CD230&gt;0),CD230*Assumptions!$B$59,0)</f>
        <v/>
      </c>
      <c r="CE231" s="401">
        <f>IF(AND(MOD(79,3)=0,CE230&gt;0),CE230*Assumptions!$B$59,0)</f>
        <v/>
      </c>
      <c r="CF231" s="401">
        <f>IF(AND(MOD(80,3)=0,CF230&gt;0),CF230*Assumptions!$B$59,0)</f>
        <v/>
      </c>
      <c r="CG231" s="401">
        <f>IF(AND(MOD(81,3)=0,CG230&gt;0),CG230*Assumptions!$B$59,0)</f>
        <v/>
      </c>
      <c r="CH231" s="401">
        <f>IF(AND(MOD(82,3)=0,CH230&gt;0),CH230*Assumptions!$B$59,0)</f>
        <v/>
      </c>
      <c r="CI231" s="401">
        <f>IF(AND(MOD(83,3)=0,CI230&gt;0),CI230*Assumptions!$B$59,0)</f>
        <v/>
      </c>
      <c r="CJ231" s="401">
        <f>IF(AND(MOD(84,3)=0,CJ230&gt;0),CJ230*Assumptions!$B$59,0)</f>
        <v/>
      </c>
      <c r="CK231" s="401">
        <f>IF(AND(MOD(85,3)=0,CK230&gt;0),CK230*Assumptions!$B$59,0)</f>
        <v/>
      </c>
      <c r="CL231" s="401">
        <f>IF(AND(MOD(86,3)=0,CL230&gt;0),CL230*Assumptions!$B$59,0)</f>
        <v/>
      </c>
      <c r="CM231" s="401">
        <f>IF(AND(MOD(87,3)=0,CM230&gt;0),CM230*Assumptions!$B$59,0)</f>
        <v/>
      </c>
      <c r="CN231" s="401">
        <f>IF(AND(MOD(88,3)=0,CN230&gt;0),CN230*Assumptions!$B$59,0)</f>
        <v/>
      </c>
      <c r="CO231" s="401">
        <f>IF(AND(MOD(89,3)=0,CO230&gt;0),CO230*Assumptions!$B$59,0)</f>
        <v/>
      </c>
      <c r="CP231" s="401">
        <f>IF(AND(MOD(90,3)=0,CP230&gt;0),CP230*Assumptions!$B$59,0)</f>
        <v/>
      </c>
      <c r="CQ231" s="401">
        <f>IF(AND(MOD(91,3)=0,CQ230&gt;0),CQ230*Assumptions!$B$59,0)</f>
        <v/>
      </c>
      <c r="CR231" s="401">
        <f>IF(AND(MOD(92,3)=0,CR230&gt;0),CR230*Assumptions!$B$59,0)</f>
        <v/>
      </c>
      <c r="CS231" s="401">
        <f>IF(AND(MOD(93,3)=0,CS230&gt;0),CS230*Assumptions!$B$59,0)</f>
        <v/>
      </c>
      <c r="CT231" s="401">
        <f>IF(AND(MOD(94,3)=0,CT230&gt;0),CT230*Assumptions!$B$59,0)</f>
        <v/>
      </c>
      <c r="CU231" s="401">
        <f>IF(AND(MOD(95,3)=0,CU230&gt;0),CU230*Assumptions!$B$59,0)</f>
        <v/>
      </c>
      <c r="CV231" s="401">
        <f>IF(AND(MOD(96,3)=0,CV230&gt;0),CV230*Assumptions!$B$59,0)</f>
        <v/>
      </c>
      <c r="CW231" s="401">
        <f>IF(AND(MOD(97,3)=0,CW230&gt;0),CW230*Assumptions!$B$59,0)</f>
        <v/>
      </c>
      <c r="CX231" s="401">
        <f>IF(AND(MOD(98,3)=0,CX230&gt;0),CX230*Assumptions!$B$59,0)</f>
        <v/>
      </c>
      <c r="CY231" s="401">
        <f>IF(AND(MOD(99,3)=0,CY230&gt;0),CY230*Assumptions!$B$59,0)</f>
        <v/>
      </c>
      <c r="CZ231" s="401">
        <f>IF(AND(MOD(100,3)=0,CZ230&gt;0),CZ230*Assumptions!$B$59,0)</f>
        <v/>
      </c>
      <c r="DA231" s="401">
        <f>IF(AND(MOD(101,3)=0,DA230&gt;0),DA230*Assumptions!$B$59,0)</f>
        <v/>
      </c>
      <c r="DB231" s="401">
        <f>IF(AND(MOD(102,3)=0,DB230&gt;0),DB230*Assumptions!$B$59,0)</f>
        <v/>
      </c>
      <c r="DC231" s="401">
        <f>IF(AND(MOD(103,3)=0,DC230&gt;0),DC230*Assumptions!$B$59,0)</f>
        <v/>
      </c>
      <c r="DD231" s="401">
        <f>IF(AND(MOD(104,3)=0,DD230&gt;0),DD230*Assumptions!$B$59,0)</f>
        <v/>
      </c>
      <c r="DE231" s="401">
        <f>IF(AND(MOD(105,3)=0,DE230&gt;0),DE230*Assumptions!$B$59,0)</f>
        <v/>
      </c>
    </row>
    <row r="232" ht="15" customFormat="1" customHeight="1" s="380">
      <c r="A232" s="397" t="inlineStr">
        <is>
          <t>Klump - Deal Distribution</t>
        </is>
      </c>
      <c r="B232" s="401" t="n"/>
      <c r="C232" s="401" t="n"/>
      <c r="D232" s="401" t="n"/>
      <c r="E232" s="401" t="n">
        <v>0</v>
      </c>
      <c r="F232" s="401" t="n">
        <v>0</v>
      </c>
      <c r="G232" s="401" t="n">
        <v>0</v>
      </c>
      <c r="H232" s="401" t="n">
        <v>0</v>
      </c>
      <c r="I232" s="401" t="n">
        <v>0</v>
      </c>
      <c r="J232" s="401" t="n">
        <v>0</v>
      </c>
      <c r="K232" s="401" t="n">
        <v>0</v>
      </c>
      <c r="L232" s="401" t="n">
        <v>0</v>
      </c>
      <c r="M232" s="401" t="n">
        <v>0</v>
      </c>
      <c r="N232" s="401" t="n">
        <v>0</v>
      </c>
      <c r="O232" s="401" t="n">
        <v>0</v>
      </c>
      <c r="P232" s="401" t="n">
        <v>0</v>
      </c>
      <c r="Q232" s="401" t="n">
        <v>0</v>
      </c>
      <c r="R232" s="401" t="n">
        <v>0</v>
      </c>
      <c r="S232" s="401" t="n">
        <v>0</v>
      </c>
      <c r="T232" s="401" t="n">
        <v>0</v>
      </c>
      <c r="U232" s="401" t="n">
        <v>0</v>
      </c>
      <c r="V232" s="401" t="n">
        <v>0</v>
      </c>
      <c r="W232" s="401" t="n">
        <v>0</v>
      </c>
      <c r="X232" s="401" t="n">
        <v>0</v>
      </c>
      <c r="Y232" s="401" t="n">
        <v>0</v>
      </c>
      <c r="Z232" s="401" t="n">
        <v>0</v>
      </c>
      <c r="AA232" s="401" t="n">
        <v>0</v>
      </c>
      <c r="AB232" s="401" t="n">
        <v>0</v>
      </c>
      <c r="AC232" s="401" t="n">
        <v>0</v>
      </c>
      <c r="AD232" s="401" t="n">
        <v>0</v>
      </c>
      <c r="AE232" s="401" t="n">
        <v>0</v>
      </c>
      <c r="AF232" s="401" t="n">
        <v>0</v>
      </c>
      <c r="AG232" s="401" t="n">
        <v>0</v>
      </c>
      <c r="AH232" s="401" t="n">
        <v>0</v>
      </c>
      <c r="AI232" s="401" t="n">
        <v>0</v>
      </c>
      <c r="AJ232" s="401" t="n">
        <v>0</v>
      </c>
      <c r="AK232" s="401" t="n">
        <v>0</v>
      </c>
      <c r="AL232" s="401" t="n">
        <v>0</v>
      </c>
      <c r="AM232" s="401" t="n">
        <v>0</v>
      </c>
      <c r="AN232" s="401" t="n">
        <v>0</v>
      </c>
      <c r="AO232" s="401" t="n">
        <v>0</v>
      </c>
      <c r="AP232" s="401" t="n">
        <v>0</v>
      </c>
      <c r="AQ232" s="401" t="n">
        <v>0</v>
      </c>
      <c r="AR232" s="401" t="n">
        <v>0</v>
      </c>
      <c r="AS232" s="401" t="n">
        <v>0</v>
      </c>
      <c r="AT232" s="401" t="n">
        <v>0</v>
      </c>
      <c r="AU232" s="401" t="n">
        <v>0</v>
      </c>
      <c r="AV232" s="401" t="n">
        <v>0</v>
      </c>
      <c r="AW232" s="401" t="n">
        <v>0</v>
      </c>
      <c r="AX232" s="401" t="n">
        <v>0</v>
      </c>
      <c r="AY232" s="401" t="n">
        <v>0</v>
      </c>
      <c r="AZ232" s="401" t="n">
        <v>0</v>
      </c>
      <c r="BA232" s="401" t="n">
        <v>0</v>
      </c>
      <c r="BB232" s="401" t="n">
        <v>0</v>
      </c>
      <c r="BC232" s="401" t="n">
        <v>0</v>
      </c>
      <c r="BD232" s="401" t="n">
        <v>0</v>
      </c>
      <c r="BE232" s="401" t="n">
        <v>0</v>
      </c>
      <c r="BF232" s="401" t="n">
        <v>0</v>
      </c>
      <c r="BG232" s="401" t="n">
        <v>0</v>
      </c>
      <c r="BH232" s="401" t="n">
        <v>0</v>
      </c>
      <c r="BI232" s="401" t="n">
        <v>0</v>
      </c>
      <c r="BJ232" s="401" t="n">
        <v>0</v>
      </c>
      <c r="BK232" s="401" t="n">
        <v>0</v>
      </c>
      <c r="BL232" s="401" t="n">
        <v>0</v>
      </c>
      <c r="BM232" s="401" t="n">
        <v>0</v>
      </c>
      <c r="BN232" s="401" t="n">
        <v>0</v>
      </c>
      <c r="BO232" s="401" t="n">
        <v>0</v>
      </c>
      <c r="BP232" s="401" t="n">
        <v>0</v>
      </c>
      <c r="BQ232" s="401" t="n">
        <v>0</v>
      </c>
      <c r="BR232" s="401" t="n">
        <v>0</v>
      </c>
      <c r="BS232" s="401" t="n">
        <v>0</v>
      </c>
      <c r="BT232" s="401" t="n">
        <v>0</v>
      </c>
      <c r="BU232" s="401" t="n">
        <v>0</v>
      </c>
      <c r="BV232" s="401" t="n">
        <v>0</v>
      </c>
      <c r="BW232" s="401" t="n">
        <v>0</v>
      </c>
      <c r="BX232" s="401" t="n">
        <v>0</v>
      </c>
      <c r="BY232" s="401" t="n">
        <v>0</v>
      </c>
      <c r="BZ232" s="401" t="n">
        <v>0</v>
      </c>
      <c r="CA232" s="401" t="n">
        <v>0</v>
      </c>
      <c r="CB232" s="401" t="n">
        <v>0</v>
      </c>
      <c r="CC232" s="401" t="n">
        <v>0</v>
      </c>
      <c r="CD232" s="401" t="n">
        <v>0</v>
      </c>
      <c r="CE232" s="401" t="n">
        <v>0</v>
      </c>
      <c r="CF232" s="401" t="n">
        <v>0</v>
      </c>
      <c r="CG232" s="401" t="n">
        <v>0</v>
      </c>
      <c r="CH232" s="401" t="n">
        <v>0</v>
      </c>
      <c r="CI232" s="401" t="n">
        <v>0</v>
      </c>
      <c r="CJ232" s="401" t="n">
        <v>0</v>
      </c>
      <c r="CK232" s="401" t="n">
        <v>0</v>
      </c>
      <c r="CL232" s="401" t="n">
        <v>0</v>
      </c>
      <c r="CM232" s="401" t="n">
        <v>0</v>
      </c>
      <c r="CN232" s="401" t="n">
        <v>0</v>
      </c>
      <c r="CO232" s="401" t="n">
        <v>0</v>
      </c>
      <c r="CP232" s="401" t="n">
        <v>0</v>
      </c>
      <c r="CQ232" s="401" t="n">
        <v>0</v>
      </c>
      <c r="CR232" s="401" t="n">
        <v>0</v>
      </c>
      <c r="CS232" s="401" t="n">
        <v>0</v>
      </c>
      <c r="CT232" s="401" t="n"/>
      <c r="CU232" s="401" t="n"/>
      <c r="CV232" s="401" t="n"/>
      <c r="CW232" s="401" t="n"/>
      <c r="CX232" s="401" t="n"/>
      <c r="CY232" s="401" t="n"/>
      <c r="CZ232" s="401" t="n"/>
      <c r="DA232" s="401" t="n"/>
      <c r="DB232" s="401" t="n"/>
      <c r="DC232" s="401" t="n"/>
      <c r="DD232" s="401" t="n"/>
      <c r="DE232" s="401" t="n"/>
    </row>
    <row r="233" ht="15" customFormat="1" customHeight="1" s="380">
      <c r="A233" s="431" t="inlineStr">
        <is>
          <t>Klump - PIK Payment (LIHTC)</t>
        </is>
      </c>
      <c r="B233" s="432" t="n"/>
      <c r="C233" s="432" t="n"/>
      <c r="D233" s="432" t="n"/>
      <c r="E233" s="432" t="n">
        <v>0</v>
      </c>
      <c r="F233" s="432" t="n">
        <v>0</v>
      </c>
      <c r="G233" s="432" t="n">
        <v>0</v>
      </c>
      <c r="H233" s="432" t="n">
        <v>0</v>
      </c>
      <c r="I233" s="432" t="n">
        <v>0</v>
      </c>
      <c r="J233" s="432" t="n">
        <v>0</v>
      </c>
      <c r="K233" s="432" t="n">
        <v>0</v>
      </c>
      <c r="L233" s="432" t="n">
        <v>0</v>
      </c>
      <c r="M233" s="432" t="n">
        <v>0</v>
      </c>
      <c r="N233" s="432" t="n">
        <v>0</v>
      </c>
      <c r="O233" s="432" t="n">
        <v>0</v>
      </c>
      <c r="P233" s="432" t="n">
        <v>0</v>
      </c>
      <c r="Q233" s="432" t="n">
        <v>0</v>
      </c>
      <c r="R233" s="432" t="n">
        <v>0</v>
      </c>
      <c r="S233" s="432" t="n">
        <v>0</v>
      </c>
      <c r="T233" s="432" t="n">
        <v>0</v>
      </c>
      <c r="U233" s="432" t="n">
        <v>0</v>
      </c>
      <c r="V233" s="432" t="n">
        <v>0</v>
      </c>
      <c r="W233" s="432" t="n">
        <v>0</v>
      </c>
      <c r="X233" s="432" t="n">
        <v>0</v>
      </c>
      <c r="Y233" s="432" t="n">
        <v>0</v>
      </c>
      <c r="Z233" s="432" t="n">
        <v>0</v>
      </c>
      <c r="AA233" s="432" t="n">
        <v>0</v>
      </c>
      <c r="AB233" s="432" t="n">
        <v>0</v>
      </c>
      <c r="AC233" s="432" t="n">
        <v>0</v>
      </c>
      <c r="AD233" s="432" t="n">
        <v>0</v>
      </c>
      <c r="AE233" s="432" t="n">
        <v>0</v>
      </c>
      <c r="AF233" s="432" t="n">
        <v>0</v>
      </c>
      <c r="AG233" s="432" t="n">
        <v>0</v>
      </c>
      <c r="AH233" s="432" t="n">
        <v>0</v>
      </c>
      <c r="AI233" s="432" t="n">
        <v>0</v>
      </c>
      <c r="AJ233" s="432" t="n">
        <v>0</v>
      </c>
      <c r="AK233" s="432" t="n">
        <v>0</v>
      </c>
      <c r="AL233" s="432" t="n">
        <v>0</v>
      </c>
      <c r="AM233" s="432" t="n">
        <v>0</v>
      </c>
      <c r="AN233" s="432" t="n">
        <v>0</v>
      </c>
      <c r="AO233" s="432" t="n">
        <v>0</v>
      </c>
      <c r="AP233" s="432" t="n">
        <v>0</v>
      </c>
      <c r="AQ233" s="432" t="n">
        <v>0</v>
      </c>
      <c r="AR233" s="432" t="n">
        <v>0</v>
      </c>
      <c r="AS233" s="432" t="n">
        <v>0</v>
      </c>
      <c r="AT233" s="432" t="n">
        <v>0</v>
      </c>
      <c r="AU233" s="432" t="n">
        <v>0</v>
      </c>
      <c r="AV233" s="432" t="n">
        <v>0</v>
      </c>
      <c r="AW233" s="432" t="n">
        <v>0</v>
      </c>
      <c r="AX233" s="432" t="n">
        <v>0</v>
      </c>
      <c r="AY233" s="432" t="n">
        <v>0</v>
      </c>
      <c r="AZ233" s="432" t="n">
        <v>0</v>
      </c>
      <c r="BA233" s="432" t="n">
        <v>0</v>
      </c>
      <c r="BB233" s="432" t="n">
        <v>0</v>
      </c>
      <c r="BC233" s="432" t="n">
        <v>0</v>
      </c>
      <c r="BD233" s="432" t="n">
        <v>0</v>
      </c>
      <c r="BE233" s="432" t="n">
        <v>0</v>
      </c>
      <c r="BF233" s="432" t="n">
        <v>0</v>
      </c>
      <c r="BG233" s="432" t="n">
        <v>0</v>
      </c>
      <c r="BH233" s="432" t="n">
        <v>0</v>
      </c>
      <c r="BI233" s="432" t="n">
        <v>0</v>
      </c>
      <c r="BJ233" s="432" t="n">
        <v>0</v>
      </c>
      <c r="BK233" s="432" t="n">
        <v>0</v>
      </c>
      <c r="BL233" s="432" t="n">
        <v>0</v>
      </c>
      <c r="BM233" s="432" t="n">
        <v>0</v>
      </c>
      <c r="BN233" s="432" t="n">
        <v>0</v>
      </c>
      <c r="BO233" s="432" t="n">
        <v>0</v>
      </c>
      <c r="BP233" s="432" t="n">
        <v>0</v>
      </c>
      <c r="BQ233" s="432" t="n">
        <v>0</v>
      </c>
      <c r="BR233" s="432" t="n">
        <v>0</v>
      </c>
      <c r="BS233" s="432" t="n">
        <v>0</v>
      </c>
      <c r="BT233" s="432" t="n">
        <v>0</v>
      </c>
      <c r="BU233" s="432" t="n">
        <v>0</v>
      </c>
      <c r="BV233" s="432" t="n">
        <v>0</v>
      </c>
      <c r="BW233" s="432" t="n">
        <v>0</v>
      </c>
      <c r="BX233" s="432" t="n">
        <v>0</v>
      </c>
      <c r="BY233" s="432" t="n">
        <v>0</v>
      </c>
      <c r="BZ233" s="432" t="n">
        <v>0</v>
      </c>
      <c r="CA233" s="432" t="n">
        <v>0</v>
      </c>
      <c r="CB233" s="432" t="n">
        <v>0</v>
      </c>
      <c r="CC233" s="432" t="n">
        <v>0</v>
      </c>
      <c r="CD233" s="432" t="n">
        <v>0</v>
      </c>
      <c r="CE233" s="432" t="n">
        <v>0</v>
      </c>
      <c r="CF233" s="432" t="n">
        <v>0</v>
      </c>
      <c r="CG233" s="432" t="n">
        <v>0</v>
      </c>
      <c r="CH233" s="432" t="n">
        <v>0</v>
      </c>
      <c r="CI233" s="432" t="n">
        <v>0</v>
      </c>
      <c r="CJ233" s="432" t="n">
        <v>0</v>
      </c>
      <c r="CK233" s="432" t="n">
        <v>0</v>
      </c>
      <c r="CL233" s="432" t="n">
        <v>0</v>
      </c>
      <c r="CM233" s="432" t="n">
        <v>0</v>
      </c>
      <c r="CN233" s="432" t="n">
        <v>0</v>
      </c>
      <c r="CO233" s="432" t="n">
        <v>0</v>
      </c>
      <c r="CP233" s="432" t="n">
        <v>0</v>
      </c>
      <c r="CQ233" s="432" t="n">
        <v>0</v>
      </c>
      <c r="CR233" s="432" t="n">
        <v>0</v>
      </c>
      <c r="CS233" s="432" t="n">
        <v>0</v>
      </c>
      <c r="CT233" s="432" t="n"/>
      <c r="CU233" s="432" t="n"/>
      <c r="CV233" s="432" t="n"/>
      <c r="CW233" s="432" t="n"/>
      <c r="CX233" s="432" t="n"/>
      <c r="CY233" s="432" t="n"/>
      <c r="CZ233" s="432" t="n"/>
      <c r="DA233" s="432" t="n"/>
      <c r="DB233" s="432" t="n"/>
      <c r="DC233" s="432" t="n"/>
      <c r="DD233" s="432" t="n"/>
      <c r="DE233" s="432" t="n"/>
    </row>
    <row r="234" ht="15" customFormat="1" customHeight="1" s="380">
      <c r="A234" s="433" t="inlineStr">
        <is>
          <t>Klump - Ending Balance</t>
        </is>
      </c>
      <c r="B234" s="434" t="n"/>
      <c r="C234" s="434" t="n"/>
      <c r="D234" s="434" t="n"/>
      <c r="E234" s="434">
        <f>MAX(0,E230+E231+E232+E233)</f>
        <v/>
      </c>
      <c r="F234" s="434">
        <f>MAX(0,F230+F231+F232+F233)</f>
        <v/>
      </c>
      <c r="G234" s="434">
        <f>MAX(0,G230+G231+G232+G233)</f>
        <v/>
      </c>
      <c r="H234" s="434">
        <f>MAX(0,H230+H231+H232+H233)</f>
        <v/>
      </c>
      <c r="I234" s="434">
        <f>MAX(0,I230+I231+I232+I233)</f>
        <v/>
      </c>
      <c r="J234" s="434">
        <f>MAX(0,J230+J231+J232+J233)</f>
        <v/>
      </c>
      <c r="K234" s="434">
        <f>MAX(0,K230+K231+K232+K233)</f>
        <v/>
      </c>
      <c r="L234" s="434">
        <f>MAX(0,L230+L231+L232+L233)</f>
        <v/>
      </c>
      <c r="M234" s="434">
        <f>MAX(0,M230+M231+M232+M233)</f>
        <v/>
      </c>
      <c r="N234" s="434">
        <f>MAX(0,N230+N231+N232+N233)</f>
        <v/>
      </c>
      <c r="O234" s="434">
        <f>MAX(0,O230+O231+O232+O233)</f>
        <v/>
      </c>
      <c r="P234" s="434">
        <f>MAX(0,P230+P231+P232+P233)</f>
        <v/>
      </c>
      <c r="Q234" s="434">
        <f>MAX(0,Q230+Q231+Q232+Q233)</f>
        <v/>
      </c>
      <c r="R234" s="434">
        <f>MAX(0,R230+R231+R232+R233)</f>
        <v/>
      </c>
      <c r="S234" s="434">
        <f>MAX(0,S230+S231+S232+S233)</f>
        <v/>
      </c>
      <c r="T234" s="434">
        <f>MAX(0,T230+T231+T232+T233)</f>
        <v/>
      </c>
      <c r="U234" s="434">
        <f>MAX(0,U230+U231+U232+U233)</f>
        <v/>
      </c>
      <c r="V234" s="434">
        <f>MAX(0,V230+V231+V232+V233)</f>
        <v/>
      </c>
      <c r="W234" s="434">
        <f>MAX(0,W230+W231+W232+W233)</f>
        <v/>
      </c>
      <c r="X234" s="434">
        <f>MAX(0,X230+X231+X232+X233)</f>
        <v/>
      </c>
      <c r="Y234" s="434">
        <f>MAX(0,Y230+Y231+Y232+Y233)</f>
        <v/>
      </c>
      <c r="Z234" s="434">
        <f>MAX(0,Z230+Z231+Z232+Z233)</f>
        <v/>
      </c>
      <c r="AA234" s="434">
        <f>MAX(0,AA230+AA231+AA232+AA233)</f>
        <v/>
      </c>
      <c r="AB234" s="434">
        <f>MAX(0,AB230+AB231+AB232+AB233)</f>
        <v/>
      </c>
      <c r="AC234" s="434">
        <f>MAX(0,AC230+AC231+AC232+AC233)</f>
        <v/>
      </c>
      <c r="AD234" s="434">
        <f>MAX(0,AD230+AD231+AD232+AD233)</f>
        <v/>
      </c>
      <c r="AE234" s="434">
        <f>MAX(0,AE230+AE231+AE232+AE233)</f>
        <v/>
      </c>
      <c r="AF234" s="434">
        <f>MAX(0,AF230+AF231+AF232+AF233)</f>
        <v/>
      </c>
      <c r="AG234" s="434">
        <f>MAX(0,AG230+AG231+AG232+AG233)</f>
        <v/>
      </c>
      <c r="AH234" s="434">
        <f>MAX(0,AH230+AH231+AH232+AH233)</f>
        <v/>
      </c>
      <c r="AI234" s="434">
        <f>MAX(0,AI230+AI231+AI232+AI233)</f>
        <v/>
      </c>
      <c r="AJ234" s="434">
        <f>MAX(0,AJ230+AJ231+AJ232+AJ233)</f>
        <v/>
      </c>
      <c r="AK234" s="434">
        <f>MAX(0,AK230+AK231+AK232+AK233)</f>
        <v/>
      </c>
      <c r="AL234" s="434">
        <f>MAX(0,AL230+AL231+AL232+AL233)</f>
        <v/>
      </c>
      <c r="AM234" s="434">
        <f>MAX(0,AM230+AM231+AM232+AM233)</f>
        <v/>
      </c>
      <c r="AN234" s="434">
        <f>MAX(0,AN230+AN231+AN232+AN233)</f>
        <v/>
      </c>
      <c r="AO234" s="434">
        <f>MAX(0,AO230+AO231+AO232+AO233)</f>
        <v/>
      </c>
      <c r="AP234" s="434">
        <f>MAX(0,AP230+AP231+AP232+AP233)</f>
        <v/>
      </c>
      <c r="AQ234" s="434">
        <f>MAX(0,AQ230+AQ231+AQ232+AQ233)</f>
        <v/>
      </c>
      <c r="AR234" s="434">
        <f>MAX(0,AR230+AR231+AR232+AR233)</f>
        <v/>
      </c>
      <c r="AS234" s="434">
        <f>MAX(0,AS230+AS231+AS232+AS233)</f>
        <v/>
      </c>
      <c r="AT234" s="434">
        <f>MAX(0,AT230+AT231+AT232+AT233)</f>
        <v/>
      </c>
      <c r="AU234" s="434">
        <f>MAX(0,AU230+AU231+AU232+AU233)</f>
        <v/>
      </c>
      <c r="AV234" s="434">
        <f>MAX(0,AV230+AV231+AV232+AV233)</f>
        <v/>
      </c>
      <c r="AW234" s="434">
        <f>MAX(0,AW230+AW231+AW232+AW233)</f>
        <v/>
      </c>
      <c r="AX234" s="434">
        <f>MAX(0,AX230+AX231+AX232+AX233)</f>
        <v/>
      </c>
      <c r="AY234" s="434">
        <f>MAX(0,AY230+AY231+AY232+AY233)</f>
        <v/>
      </c>
      <c r="AZ234" s="434">
        <f>MAX(0,AZ230+AZ231+AZ232+AZ233)</f>
        <v/>
      </c>
      <c r="BA234" s="434">
        <f>MAX(0,BA230+BA231+BA232+BA233)</f>
        <v/>
      </c>
      <c r="BB234" s="434">
        <f>MAX(0,BB230+BB231+BB232+BB233)</f>
        <v/>
      </c>
      <c r="BC234" s="434">
        <f>MAX(0,BC230+BC231+BC232+BC233)</f>
        <v/>
      </c>
      <c r="BD234" s="434">
        <f>MAX(0,BD230+BD231+BD232+BD233)</f>
        <v/>
      </c>
      <c r="BE234" s="434">
        <f>MAX(0,BE230+BE231+BE232+BE233)</f>
        <v/>
      </c>
      <c r="BF234" s="434">
        <f>MAX(0,BF230+BF231+BF232+BF233)</f>
        <v/>
      </c>
      <c r="BG234" s="434">
        <f>MAX(0,BG230+BG231+BG232+BG233)</f>
        <v/>
      </c>
      <c r="BH234" s="434">
        <f>MAX(0,BH230+BH231+BH232+BH233)</f>
        <v/>
      </c>
      <c r="BI234" s="434">
        <f>MAX(0,BI230+BI231+BI232+BI233)</f>
        <v/>
      </c>
      <c r="BJ234" s="434">
        <f>MAX(0,BJ230+BJ231+BJ232+BJ233)</f>
        <v/>
      </c>
      <c r="BK234" s="434">
        <f>MAX(0,BK230+BK231+BK232+BK233)</f>
        <v/>
      </c>
      <c r="BL234" s="434">
        <f>MAX(0,BL230+BL231+BL232+BL233)</f>
        <v/>
      </c>
      <c r="BM234" s="434">
        <f>MAX(0,BM230+BM231+BM232+BM233)</f>
        <v/>
      </c>
      <c r="BN234" s="434">
        <f>MAX(0,BN230+BN231+BN232+BN233)</f>
        <v/>
      </c>
      <c r="BO234" s="434">
        <f>MAX(0,BO230+BO231+BO232+BO233)</f>
        <v/>
      </c>
      <c r="BP234" s="434">
        <f>MAX(0,BP230+BP231+BP232+BP233)</f>
        <v/>
      </c>
      <c r="BQ234" s="434">
        <f>MAX(0,BQ230+BQ231+BQ232+BQ233)</f>
        <v/>
      </c>
      <c r="BR234" s="434">
        <f>MAX(0,BR230+BR231+BR232+BR233)</f>
        <v/>
      </c>
      <c r="BS234" s="434">
        <f>MAX(0,BS230+BS231+BS232+BS233)</f>
        <v/>
      </c>
      <c r="BT234" s="434">
        <f>MAX(0,BT230+BT231+BT232+BT233)</f>
        <v/>
      </c>
      <c r="BU234" s="434">
        <f>MAX(0,BU230+BU231+BU232+BU233)</f>
        <v/>
      </c>
      <c r="BV234" s="434">
        <f>MAX(0,BV230+BV231+BV232+BV233)</f>
        <v/>
      </c>
      <c r="BW234" s="434">
        <f>MAX(0,BW230+BW231+BW232+BW233)</f>
        <v/>
      </c>
      <c r="BX234" s="434">
        <f>MAX(0,BX230+BX231+BX232+BX233)</f>
        <v/>
      </c>
      <c r="BY234" s="434">
        <f>MAX(0,BY230+BY231+BY232+BY233)</f>
        <v/>
      </c>
      <c r="BZ234" s="434">
        <f>MAX(0,BZ230+BZ231+BZ232+BZ233)</f>
        <v/>
      </c>
      <c r="CA234" s="434">
        <f>MAX(0,CA230+CA231+CA232+CA233)</f>
        <v/>
      </c>
      <c r="CB234" s="434">
        <f>MAX(0,CB230+CB231+CB232+CB233)</f>
        <v/>
      </c>
      <c r="CC234" s="434">
        <f>MAX(0,CC230+CC231+CC232+CC233)</f>
        <v/>
      </c>
      <c r="CD234" s="434">
        <f>MAX(0,CD230+CD231+CD232+CD233)</f>
        <v/>
      </c>
      <c r="CE234" s="434">
        <f>MAX(0,CE230+CE231+CE232+CE233)</f>
        <v/>
      </c>
      <c r="CF234" s="434">
        <f>MAX(0,CF230+CF231+CF232+CF233)</f>
        <v/>
      </c>
      <c r="CG234" s="434">
        <f>MAX(0,CG230+CG231+CG232+CG233)</f>
        <v/>
      </c>
      <c r="CH234" s="434">
        <f>MAX(0,CH230+CH231+CH232+CH233)</f>
        <v/>
      </c>
      <c r="CI234" s="434">
        <f>MAX(0,CI230+CI231+CI232+CI233)</f>
        <v/>
      </c>
      <c r="CJ234" s="434">
        <f>MAX(0,CJ230+CJ231+CJ232+CJ233)</f>
        <v/>
      </c>
      <c r="CK234" s="434">
        <f>MAX(0,CK230+CK231+CK232+CK233)</f>
        <v/>
      </c>
      <c r="CL234" s="434">
        <f>MAX(0,CL230+CL231+CL232+CL233)</f>
        <v/>
      </c>
      <c r="CM234" s="434">
        <f>MAX(0,CM230+CM231+CM232+CM233)</f>
        <v/>
      </c>
      <c r="CN234" s="434">
        <f>MAX(0,CN230+CN231+CN232+CN233)</f>
        <v/>
      </c>
      <c r="CO234" s="434">
        <f>MAX(0,CO230+CO231+CO232+CO233)</f>
        <v/>
      </c>
      <c r="CP234" s="434">
        <f>MAX(0,CP230+CP231+CP232+CP233)</f>
        <v/>
      </c>
      <c r="CQ234" s="434">
        <f>MAX(0,CQ230+CQ231+CQ232+CQ233)</f>
        <v/>
      </c>
      <c r="CR234" s="434">
        <f>MAX(0,CR230+CR231+CR232+CR233)</f>
        <v/>
      </c>
      <c r="CS234" s="434">
        <f>MAX(0,CS230+CS231+CS232+CS233)</f>
        <v/>
      </c>
      <c r="CT234" s="434">
        <f>MAX(0,CT230+CT231+CT232+CT233)</f>
        <v/>
      </c>
      <c r="CU234" s="434">
        <f>MAX(0,CU230+CU231+CU232+CU233)</f>
        <v/>
      </c>
      <c r="CV234" s="434">
        <f>MAX(0,CV230+CV231+CV232+CV233)</f>
        <v/>
      </c>
      <c r="CW234" s="434">
        <f>MAX(0,CW230+CW231+CW232+CW233)</f>
        <v/>
      </c>
      <c r="CX234" s="434">
        <f>MAX(0,CX230+CX231+CX232+CX233)</f>
        <v/>
      </c>
      <c r="CY234" s="434">
        <f>MAX(0,CY230+CY231+CY232+CY233)</f>
        <v/>
      </c>
      <c r="CZ234" s="434">
        <f>MAX(0,CZ230+CZ231+CZ232+CZ233)</f>
        <v/>
      </c>
      <c r="DA234" s="434">
        <f>MAX(0,DA230+DA231+DA232+DA233)</f>
        <v/>
      </c>
      <c r="DB234" s="434">
        <f>MAX(0,DB230+DB231+DB232+DB233)</f>
        <v/>
      </c>
      <c r="DC234" s="434">
        <f>MAX(0,DC230+DC231+DC232+DC233)</f>
        <v/>
      </c>
      <c r="DD234" s="434">
        <f>MAX(0,DD230+DD231+DD232+DD233)</f>
        <v/>
      </c>
      <c r="DE234" s="434">
        <f>MAX(0,DE230+DE231+DE232+DE233)</f>
        <v/>
      </c>
    </row>
    <row r="235" ht="15" customFormat="1" customHeight="1" s="380">
      <c r="A235" s="397" t="inlineStr">
        <is>
          <t>Scott - Beginning Balance</t>
        </is>
      </c>
      <c r="B235" s="401" t="n"/>
      <c r="C235" s="401" t="n"/>
      <c r="D235" s="401" t="n"/>
      <c r="E235" s="401">
        <f>IF(AND(Projects!$G$12="Yes",Projects!$C$12&lt;=1),Assumptions!$B$61,0)</f>
        <v/>
      </c>
      <c r="F235" s="401">
        <f>IF(AND(Projects!$G$12="Yes",2=Projects!$C$12),Assumptions!$B$61,E239)</f>
        <v/>
      </c>
      <c r="G235" s="401">
        <f>IF(AND(Projects!$G$12="Yes",3=Projects!$C$12),Assumptions!$B$61,F239)</f>
        <v/>
      </c>
      <c r="H235" s="401">
        <f>IF(AND(Projects!$G$12="Yes",4=Projects!$C$12),Assumptions!$B$61,G239)</f>
        <v/>
      </c>
      <c r="I235" s="401">
        <f>IF(AND(Projects!$G$12="Yes",5=Projects!$C$12),Assumptions!$B$61,H239)</f>
        <v/>
      </c>
      <c r="J235" s="401">
        <f>IF(AND(Projects!$G$12="Yes",6=Projects!$C$12),Assumptions!$B$61,I239)</f>
        <v/>
      </c>
      <c r="K235" s="401">
        <f>IF(AND(Projects!$G$12="Yes",7=Projects!$C$12),Assumptions!$B$61,J239)</f>
        <v/>
      </c>
      <c r="L235" s="401">
        <f>IF(AND(Projects!$G$12="Yes",8=Projects!$C$12),Assumptions!$B$61,K239)</f>
        <v/>
      </c>
      <c r="M235" s="401">
        <f>IF(AND(Projects!$G$12="Yes",9=Projects!$C$12),Assumptions!$B$61,L239)</f>
        <v/>
      </c>
      <c r="N235" s="401">
        <f>IF(AND(Projects!$G$12="Yes",10=Projects!$C$12),Assumptions!$B$61,M239)</f>
        <v/>
      </c>
      <c r="O235" s="401">
        <f>IF(AND(Projects!$G$12="Yes",11=Projects!$C$12),Assumptions!$B$61,N239)</f>
        <v/>
      </c>
      <c r="P235" s="401">
        <f>IF(AND(Projects!$G$12="Yes",12=Projects!$C$12),Assumptions!$B$61,O239)</f>
        <v/>
      </c>
      <c r="Q235" s="401">
        <f>IF(AND(Projects!$G$12="Yes",13=Projects!$C$12),Assumptions!$B$61,P239)</f>
        <v/>
      </c>
      <c r="R235" s="401">
        <f>IF(AND(Projects!$G$12="Yes",14=Projects!$C$12),Assumptions!$B$61,Q239)</f>
        <v/>
      </c>
      <c r="S235" s="401">
        <f>IF(AND(Projects!$G$12="Yes",15=Projects!$C$12),Assumptions!$B$61,R239)</f>
        <v/>
      </c>
      <c r="T235" s="401">
        <f>IF(AND(Projects!$G$12="Yes",16=Projects!$C$12),Assumptions!$B$61,S239)</f>
        <v/>
      </c>
      <c r="U235" s="401">
        <f>IF(AND(Projects!$G$12="Yes",17=Projects!$C$12),Assumptions!$B$61,T239)</f>
        <v/>
      </c>
      <c r="V235" s="401">
        <f>IF(AND(Projects!$G$12="Yes",18=Projects!$C$12),Assumptions!$B$61,U239)</f>
        <v/>
      </c>
      <c r="W235" s="401">
        <f>IF(AND(Projects!$G$12="Yes",19=Projects!$C$12),Assumptions!$B$61,V239)</f>
        <v/>
      </c>
      <c r="X235" s="401">
        <f>IF(AND(Projects!$G$12="Yes",20=Projects!$C$12),Assumptions!$B$61,W239)</f>
        <v/>
      </c>
      <c r="Y235" s="401">
        <f>IF(AND(Projects!$G$12="Yes",21=Projects!$C$12),Assumptions!$B$61,X239)</f>
        <v/>
      </c>
      <c r="Z235" s="401">
        <f>IF(AND(Projects!$G$12="Yes",22=Projects!$C$12),Assumptions!$B$61,Y239)</f>
        <v/>
      </c>
      <c r="AA235" s="401">
        <f>IF(AND(Projects!$G$12="Yes",23=Projects!$C$12),Assumptions!$B$61,Z239)</f>
        <v/>
      </c>
      <c r="AB235" s="401">
        <f>IF(AND(Projects!$G$12="Yes",24=Projects!$C$12),Assumptions!$B$61,AA239)</f>
        <v/>
      </c>
      <c r="AC235" s="401">
        <f>IF(AND(Projects!$G$12="Yes",25=Projects!$C$12),Assumptions!$B$61,AB239)</f>
        <v/>
      </c>
      <c r="AD235" s="401">
        <f>IF(AND(Projects!$G$12="Yes",26=Projects!$C$12),Assumptions!$B$61,AC239)</f>
        <v/>
      </c>
      <c r="AE235" s="401">
        <f>IF(AND(Projects!$G$12="Yes",27=Projects!$C$12),Assumptions!$B$61,AD239)</f>
        <v/>
      </c>
      <c r="AF235" s="401">
        <f>IF(AND(Projects!$G$12="Yes",28=Projects!$C$12),Assumptions!$B$61,AE239)</f>
        <v/>
      </c>
      <c r="AG235" s="401">
        <f>IF(AND(Projects!$G$12="Yes",29=Projects!$C$12),Assumptions!$B$61,AF239)</f>
        <v/>
      </c>
      <c r="AH235" s="401">
        <f>IF(AND(Projects!$G$12="Yes",30=Projects!$C$12),Assumptions!$B$61,AG239)</f>
        <v/>
      </c>
      <c r="AI235" s="401">
        <f>IF(AND(Projects!$G$12="Yes",31=Projects!$C$12),Assumptions!$B$61,AH239)</f>
        <v/>
      </c>
      <c r="AJ235" s="401">
        <f>IF(AND(Projects!$G$12="Yes",32=Projects!$C$12),Assumptions!$B$61,AI239)</f>
        <v/>
      </c>
      <c r="AK235" s="401">
        <f>IF(AND(Projects!$G$12="Yes",33=Projects!$C$12),Assumptions!$B$61,AJ239)</f>
        <v/>
      </c>
      <c r="AL235" s="401">
        <f>IF(AND(Projects!$G$12="Yes",34=Projects!$C$12),Assumptions!$B$61,AK239)</f>
        <v/>
      </c>
      <c r="AM235" s="401">
        <f>IF(AND(Projects!$G$12="Yes",35=Projects!$C$12),Assumptions!$B$61,AL239)</f>
        <v/>
      </c>
      <c r="AN235" s="401">
        <f>IF(AND(Projects!$G$12="Yes",36=Projects!$C$12),Assumptions!$B$61,AM239)</f>
        <v/>
      </c>
      <c r="AO235" s="401">
        <f>IF(AND(Projects!$G$12="Yes",37=Projects!$C$12),Assumptions!$B$61,AN239)</f>
        <v/>
      </c>
      <c r="AP235" s="401">
        <f>IF(AND(Projects!$G$12="Yes",38=Projects!$C$12),Assumptions!$B$61,AO239)</f>
        <v/>
      </c>
      <c r="AQ235" s="401">
        <f>IF(AND(Projects!$G$12="Yes",39=Projects!$C$12),Assumptions!$B$61,AP239)</f>
        <v/>
      </c>
      <c r="AR235" s="401">
        <f>IF(AND(Projects!$G$12="Yes",40=Projects!$C$12),Assumptions!$B$61,AQ239)</f>
        <v/>
      </c>
      <c r="AS235" s="401">
        <f>IF(AND(Projects!$G$12="Yes",41=Projects!$C$12),Assumptions!$B$61,AR239)</f>
        <v/>
      </c>
      <c r="AT235" s="401">
        <f>IF(AND(Projects!$G$12="Yes",42=Projects!$C$12),Assumptions!$B$61,AS239)</f>
        <v/>
      </c>
      <c r="AU235" s="401">
        <f>IF(AND(Projects!$G$12="Yes",43=Projects!$C$12),Assumptions!$B$61,AT239)</f>
        <v/>
      </c>
      <c r="AV235" s="401">
        <f>IF(AND(Projects!$G$12="Yes",44=Projects!$C$12),Assumptions!$B$61,AU239)</f>
        <v/>
      </c>
      <c r="AW235" s="401">
        <f>IF(AND(Projects!$G$12="Yes",45=Projects!$C$12),Assumptions!$B$61,AV239)</f>
        <v/>
      </c>
      <c r="AX235" s="401">
        <f>IF(AND(Projects!$G$12="Yes",46=Projects!$C$12),Assumptions!$B$61,AW239)</f>
        <v/>
      </c>
      <c r="AY235" s="401">
        <f>IF(AND(Projects!$G$12="Yes",47=Projects!$C$12),Assumptions!$B$61,AX239)</f>
        <v/>
      </c>
      <c r="AZ235" s="401">
        <f>IF(AND(Projects!$G$12="Yes",48=Projects!$C$12),Assumptions!$B$61,AY239)</f>
        <v/>
      </c>
      <c r="BA235" s="401">
        <f>IF(AND(Projects!$G$12="Yes",49=Projects!$C$12),Assumptions!$B$61,AZ239)</f>
        <v/>
      </c>
      <c r="BB235" s="401">
        <f>IF(AND(Projects!$G$12="Yes",50=Projects!$C$12),Assumptions!$B$61,BA239)</f>
        <v/>
      </c>
      <c r="BC235" s="401">
        <f>IF(AND(Projects!$G$12="Yes",51=Projects!$C$12),Assumptions!$B$61,BB239)</f>
        <v/>
      </c>
      <c r="BD235" s="401">
        <f>IF(AND(Projects!$G$12="Yes",52=Projects!$C$12),Assumptions!$B$61,BC239)</f>
        <v/>
      </c>
      <c r="BE235" s="401">
        <f>IF(AND(Projects!$G$12="Yes",53=Projects!$C$12),Assumptions!$B$61,BD239)</f>
        <v/>
      </c>
      <c r="BF235" s="401">
        <f>IF(AND(Projects!$G$12="Yes",54=Projects!$C$12),Assumptions!$B$61,BE239)</f>
        <v/>
      </c>
      <c r="BG235" s="401">
        <f>IF(AND(Projects!$G$12="Yes",55=Projects!$C$12),Assumptions!$B$61,BF239)</f>
        <v/>
      </c>
      <c r="BH235" s="401">
        <f>IF(AND(Projects!$G$12="Yes",56=Projects!$C$12),Assumptions!$B$61,BG239)</f>
        <v/>
      </c>
      <c r="BI235" s="401">
        <f>IF(AND(Projects!$G$12="Yes",57=Projects!$C$12),Assumptions!$B$61,BH239)</f>
        <v/>
      </c>
      <c r="BJ235" s="401">
        <f>IF(AND(Projects!$G$12="Yes",58=Projects!$C$12),Assumptions!$B$61,BI239)</f>
        <v/>
      </c>
      <c r="BK235" s="401">
        <f>IF(AND(Projects!$G$12="Yes",59=Projects!$C$12),Assumptions!$B$61,BJ239)</f>
        <v/>
      </c>
      <c r="BL235" s="401">
        <f>IF(AND(Projects!$G$12="Yes",60=Projects!$C$12),Assumptions!$B$61,BK239)</f>
        <v/>
      </c>
      <c r="BM235" s="401">
        <f>IF(AND(Projects!$G$12="Yes",61=Projects!$C$12),Assumptions!$B$61,BL239)</f>
        <v/>
      </c>
      <c r="BN235" s="401">
        <f>IF(AND(Projects!$G$12="Yes",62=Projects!$C$12),Assumptions!$B$61,BM239)</f>
        <v/>
      </c>
      <c r="BO235" s="401">
        <f>IF(AND(Projects!$G$12="Yes",63=Projects!$C$12),Assumptions!$B$61,BN239)</f>
        <v/>
      </c>
      <c r="BP235" s="401">
        <f>IF(AND(Projects!$G$12="Yes",64=Projects!$C$12),Assumptions!$B$61,BO239)</f>
        <v/>
      </c>
      <c r="BQ235" s="401">
        <f>IF(AND(Projects!$G$12="Yes",65=Projects!$C$12),Assumptions!$B$61,BP239)</f>
        <v/>
      </c>
      <c r="BR235" s="401">
        <f>IF(AND(Projects!$G$12="Yes",66=Projects!$C$12),Assumptions!$B$61,BQ239)</f>
        <v/>
      </c>
      <c r="BS235" s="401">
        <f>IF(AND(Projects!$G$12="Yes",67=Projects!$C$12),Assumptions!$B$61,BR239)</f>
        <v/>
      </c>
      <c r="BT235" s="401">
        <f>IF(AND(Projects!$G$12="Yes",68=Projects!$C$12),Assumptions!$B$61,BS239)</f>
        <v/>
      </c>
      <c r="BU235" s="401">
        <f>IF(AND(Projects!$G$12="Yes",69=Projects!$C$12),Assumptions!$B$61,BT239)</f>
        <v/>
      </c>
      <c r="BV235" s="401">
        <f>IF(AND(Projects!$G$12="Yes",70=Projects!$C$12),Assumptions!$B$61,BU239)</f>
        <v/>
      </c>
      <c r="BW235" s="401">
        <f>IF(AND(Projects!$G$12="Yes",71=Projects!$C$12),Assumptions!$B$61,BV239)</f>
        <v/>
      </c>
      <c r="BX235" s="401">
        <f>IF(AND(Projects!$G$12="Yes",72=Projects!$C$12),Assumptions!$B$61,BW239)</f>
        <v/>
      </c>
      <c r="BY235" s="401">
        <f>IF(AND(Projects!$G$12="Yes",73=Projects!$C$12),Assumptions!$B$61,BX239)</f>
        <v/>
      </c>
      <c r="BZ235" s="401">
        <f>IF(AND(Projects!$G$12="Yes",74=Projects!$C$12),Assumptions!$B$61,BY239)</f>
        <v/>
      </c>
      <c r="CA235" s="401">
        <f>IF(AND(Projects!$G$12="Yes",75=Projects!$C$12),Assumptions!$B$61,BZ239)</f>
        <v/>
      </c>
      <c r="CB235" s="401">
        <f>IF(AND(Projects!$G$12="Yes",76=Projects!$C$12),Assumptions!$B$61,CA239)</f>
        <v/>
      </c>
      <c r="CC235" s="401">
        <f>IF(AND(Projects!$G$12="Yes",77=Projects!$C$12),Assumptions!$B$61,CB239)</f>
        <v/>
      </c>
      <c r="CD235" s="401">
        <f>IF(AND(Projects!$G$12="Yes",78=Projects!$C$12),Assumptions!$B$61,CC239)</f>
        <v/>
      </c>
      <c r="CE235" s="401">
        <f>IF(AND(Projects!$G$12="Yes",79=Projects!$C$12),Assumptions!$B$61,CD239)</f>
        <v/>
      </c>
      <c r="CF235" s="401">
        <f>IF(AND(Projects!$G$12="Yes",80=Projects!$C$12),Assumptions!$B$61,CE239)</f>
        <v/>
      </c>
      <c r="CG235" s="401">
        <f>IF(AND(Projects!$G$12="Yes",81=Projects!$C$12),Assumptions!$B$61,CF239)</f>
        <v/>
      </c>
      <c r="CH235" s="401">
        <f>IF(AND(Projects!$G$12="Yes",82=Projects!$C$12),Assumptions!$B$61,CG239)</f>
        <v/>
      </c>
      <c r="CI235" s="401">
        <f>IF(AND(Projects!$G$12="Yes",83=Projects!$C$12),Assumptions!$B$61,CH239)</f>
        <v/>
      </c>
      <c r="CJ235" s="401">
        <f>IF(AND(Projects!$G$12="Yes",84=Projects!$C$12),Assumptions!$B$61,CI239)</f>
        <v/>
      </c>
      <c r="CK235" s="401">
        <f>IF(AND(Projects!$G$12="Yes",85=Projects!$C$12),Assumptions!$B$61,CJ239)</f>
        <v/>
      </c>
      <c r="CL235" s="401">
        <f>IF(AND(Projects!$G$12="Yes",86=Projects!$C$12),Assumptions!$B$61,CK239)</f>
        <v/>
      </c>
      <c r="CM235" s="401">
        <f>IF(AND(Projects!$G$12="Yes",87=Projects!$C$12),Assumptions!$B$61,CL239)</f>
        <v/>
      </c>
      <c r="CN235" s="401">
        <f>IF(AND(Projects!$G$12="Yes",88=Projects!$C$12),Assumptions!$B$61,CM239)</f>
        <v/>
      </c>
      <c r="CO235" s="401">
        <f>IF(AND(Projects!$G$12="Yes",89=Projects!$C$12),Assumptions!$B$61,CN239)</f>
        <v/>
      </c>
      <c r="CP235" s="401">
        <f>IF(AND(Projects!$G$12="Yes",90=Projects!$C$12),Assumptions!$B$61,CO239)</f>
        <v/>
      </c>
      <c r="CQ235" s="401">
        <f>IF(AND(Projects!$G$12="Yes",91=Projects!$C$12),Assumptions!$B$61,CP239)</f>
        <v/>
      </c>
      <c r="CR235" s="401">
        <f>IF(AND(Projects!$G$12="Yes",92=Projects!$C$12),Assumptions!$B$61,CQ239)</f>
        <v/>
      </c>
      <c r="CS235" s="401">
        <f>IF(AND(Projects!$G$12="Yes",93=Projects!$C$12),Assumptions!$B$61,CR239)</f>
        <v/>
      </c>
      <c r="CT235" s="401">
        <f>IF(AND(Projects!$G$12="Yes",94=Projects!$C$12),Assumptions!$B$61,CS239)</f>
        <v/>
      </c>
      <c r="CU235" s="401">
        <f>IF(AND(Projects!$G$12="Yes",95=Projects!$C$12),Assumptions!$B$61,CT239)</f>
        <v/>
      </c>
      <c r="CV235" s="401">
        <f>IF(AND(Projects!$G$12="Yes",96=Projects!$C$12),Assumptions!$B$61,CU239)</f>
        <v/>
      </c>
      <c r="CW235" s="401">
        <f>IF(AND(Projects!$G$12="Yes",97=Projects!$C$12),Assumptions!$B$61,CV239)</f>
        <v/>
      </c>
      <c r="CX235" s="401">
        <f>IF(AND(Projects!$G$12="Yes",98=Projects!$C$12),Assumptions!$B$61,CW239)</f>
        <v/>
      </c>
      <c r="CY235" s="401">
        <f>IF(AND(Projects!$G$12="Yes",99=Projects!$C$12),Assumptions!$B$61,CX239)</f>
        <v/>
      </c>
      <c r="CZ235" s="401">
        <f>IF(AND(Projects!$G$12="Yes",100=Projects!$C$12),Assumptions!$B$61,CY239)</f>
        <v/>
      </c>
      <c r="DA235" s="401">
        <f>IF(AND(Projects!$G$12="Yes",101=Projects!$C$12),Assumptions!$B$61,CZ239)</f>
        <v/>
      </c>
      <c r="DB235" s="401">
        <f>IF(AND(Projects!$G$12="Yes",102=Projects!$C$12),Assumptions!$B$61,DA239)</f>
        <v/>
      </c>
      <c r="DC235" s="401">
        <f>IF(AND(Projects!$G$12="Yes",103=Projects!$C$12),Assumptions!$B$61,DB239)</f>
        <v/>
      </c>
      <c r="DD235" s="401">
        <f>IF(AND(Projects!$G$12="Yes",104=Projects!$C$12),Assumptions!$B$61,DC239)</f>
        <v/>
      </c>
      <c r="DE235" s="401">
        <f>IF(AND(Projects!$G$12="Yes",105=Projects!$C$12),Assumptions!$B$61,DD239)</f>
        <v/>
      </c>
    </row>
    <row r="236" ht="21.75" customFormat="1" customHeight="1" s="380">
      <c r="A236" s="397" t="inlineStr">
        <is>
          <t>Scott - Quarterly Interest</t>
        </is>
      </c>
      <c r="B236" s="401" t="n"/>
      <c r="C236" s="401" t="n"/>
      <c r="D236" s="401" t="n"/>
      <c r="E236" s="401">
        <f>IF(AND(MOD(1,3)=0,E235&gt;0),E235*Assumptions!$B$59,0)</f>
        <v/>
      </c>
      <c r="F236" s="401">
        <f>IF(AND(MOD(2,3)=0,F235&gt;0),F235*Assumptions!$B$59,0)</f>
        <v/>
      </c>
      <c r="G236" s="401">
        <f>IF(AND(MOD(3,3)=0,G235&gt;0),G235*Assumptions!$B$59,0)</f>
        <v/>
      </c>
      <c r="H236" s="401">
        <f>IF(AND(MOD(4,3)=0,H235&gt;0),H235*Assumptions!$B$59,0)</f>
        <v/>
      </c>
      <c r="I236" s="401">
        <f>IF(AND(MOD(5,3)=0,I235&gt;0),I235*Assumptions!$B$59,0)</f>
        <v/>
      </c>
      <c r="J236" s="401">
        <f>IF(AND(MOD(6,3)=0,J235&gt;0),J235*Assumptions!$B$59,0)</f>
        <v/>
      </c>
      <c r="K236" s="401">
        <f>IF(AND(MOD(7,3)=0,K235&gt;0),K235*Assumptions!$B$59,0)</f>
        <v/>
      </c>
      <c r="L236" s="401">
        <f>IF(AND(MOD(8,3)=0,L235&gt;0),L235*Assumptions!$B$59,0)</f>
        <v/>
      </c>
      <c r="M236" s="401">
        <f>IF(AND(MOD(9,3)=0,M235&gt;0),M235*Assumptions!$B$59,0)</f>
        <v/>
      </c>
      <c r="N236" s="401">
        <f>IF(AND(MOD(10,3)=0,N235&gt;0),N235*Assumptions!$B$59,0)</f>
        <v/>
      </c>
      <c r="O236" s="401">
        <f>IF(AND(MOD(11,3)=0,O235&gt;0),O235*Assumptions!$B$59,0)</f>
        <v/>
      </c>
      <c r="P236" s="401">
        <f>IF(AND(MOD(12,3)=0,P235&gt;0),P235*Assumptions!$B$59,0)</f>
        <v/>
      </c>
      <c r="Q236" s="401">
        <f>IF(AND(MOD(13,3)=0,Q235&gt;0),Q235*Assumptions!$B$59,0)</f>
        <v/>
      </c>
      <c r="R236" s="401">
        <f>IF(AND(MOD(14,3)=0,R235&gt;0),R235*Assumptions!$B$59,0)</f>
        <v/>
      </c>
      <c r="S236" s="401">
        <f>IF(AND(MOD(15,3)=0,S235&gt;0),S235*Assumptions!$B$59,0)</f>
        <v/>
      </c>
      <c r="T236" s="401">
        <f>IF(AND(MOD(16,3)=0,T235&gt;0),T235*Assumptions!$B$59,0)</f>
        <v/>
      </c>
      <c r="U236" s="401">
        <f>IF(AND(MOD(17,3)=0,U235&gt;0),U235*Assumptions!$B$59,0)</f>
        <v/>
      </c>
      <c r="V236" s="401">
        <f>IF(AND(MOD(18,3)=0,V235&gt;0),V235*Assumptions!$B$59,0)</f>
        <v/>
      </c>
      <c r="W236" s="401">
        <f>IF(AND(MOD(19,3)=0,W235&gt;0),W235*Assumptions!$B$59,0)</f>
        <v/>
      </c>
      <c r="X236" s="401">
        <f>IF(AND(MOD(20,3)=0,X235&gt;0),X235*Assumptions!$B$59,0)</f>
        <v/>
      </c>
      <c r="Y236" s="401">
        <f>IF(AND(MOD(21,3)=0,Y235&gt;0),Y235*Assumptions!$B$59,0)</f>
        <v/>
      </c>
      <c r="Z236" s="401">
        <f>IF(AND(MOD(22,3)=0,Z235&gt;0),Z235*Assumptions!$B$59,0)</f>
        <v/>
      </c>
      <c r="AA236" s="401">
        <f>IF(AND(MOD(23,3)=0,AA235&gt;0),AA235*Assumptions!$B$59,0)</f>
        <v/>
      </c>
      <c r="AB236" s="401">
        <f>IF(AND(MOD(24,3)=0,AB235&gt;0),AB235*Assumptions!$B$59,0)</f>
        <v/>
      </c>
      <c r="AC236" s="401">
        <f>IF(AND(MOD(25,3)=0,AC235&gt;0),AC235*Assumptions!$B$59,0)</f>
        <v/>
      </c>
      <c r="AD236" s="401">
        <f>IF(AND(MOD(26,3)=0,AD235&gt;0),AD235*Assumptions!$B$59,0)</f>
        <v/>
      </c>
      <c r="AE236" s="401">
        <f>IF(AND(MOD(27,3)=0,AE235&gt;0),AE235*Assumptions!$B$59,0)</f>
        <v/>
      </c>
      <c r="AF236" s="401">
        <f>IF(AND(MOD(28,3)=0,AF235&gt;0),AF235*Assumptions!$B$59,0)</f>
        <v/>
      </c>
      <c r="AG236" s="401">
        <f>IF(AND(MOD(29,3)=0,AG235&gt;0),AG235*Assumptions!$B$59,0)</f>
        <v/>
      </c>
      <c r="AH236" s="401">
        <f>IF(AND(MOD(30,3)=0,AH235&gt;0),AH235*Assumptions!$B$59,0)</f>
        <v/>
      </c>
      <c r="AI236" s="401">
        <f>IF(AND(MOD(31,3)=0,AI235&gt;0),AI235*Assumptions!$B$59,0)</f>
        <v/>
      </c>
      <c r="AJ236" s="401">
        <f>IF(AND(MOD(32,3)=0,AJ235&gt;0),AJ235*Assumptions!$B$59,0)</f>
        <v/>
      </c>
      <c r="AK236" s="401">
        <f>IF(AND(MOD(33,3)=0,AK235&gt;0),AK235*Assumptions!$B$59,0)</f>
        <v/>
      </c>
      <c r="AL236" s="401">
        <f>IF(AND(MOD(34,3)=0,AL235&gt;0),AL235*Assumptions!$B$59,0)</f>
        <v/>
      </c>
      <c r="AM236" s="401">
        <f>IF(AND(MOD(35,3)=0,AM235&gt;0),AM235*Assumptions!$B$59,0)</f>
        <v/>
      </c>
      <c r="AN236" s="401">
        <f>IF(AND(MOD(36,3)=0,AN235&gt;0),AN235*Assumptions!$B$59,0)</f>
        <v/>
      </c>
      <c r="AO236" s="401">
        <f>IF(AND(MOD(37,3)=0,AO235&gt;0),AO235*Assumptions!$B$59,0)</f>
        <v/>
      </c>
      <c r="AP236" s="401">
        <f>IF(AND(MOD(38,3)=0,AP235&gt;0),AP235*Assumptions!$B$59,0)</f>
        <v/>
      </c>
      <c r="AQ236" s="401">
        <f>IF(AND(MOD(39,3)=0,AQ235&gt;0),AQ235*Assumptions!$B$59,0)</f>
        <v/>
      </c>
      <c r="AR236" s="401">
        <f>IF(AND(MOD(40,3)=0,AR235&gt;0),AR235*Assumptions!$B$59,0)</f>
        <v/>
      </c>
      <c r="AS236" s="401">
        <f>IF(AND(MOD(41,3)=0,AS235&gt;0),AS235*Assumptions!$B$59,0)</f>
        <v/>
      </c>
      <c r="AT236" s="401">
        <f>IF(AND(MOD(42,3)=0,AT235&gt;0),AT235*Assumptions!$B$59,0)</f>
        <v/>
      </c>
      <c r="AU236" s="401">
        <f>IF(AND(MOD(43,3)=0,AU235&gt;0),AU235*Assumptions!$B$59,0)</f>
        <v/>
      </c>
      <c r="AV236" s="401">
        <f>IF(AND(MOD(44,3)=0,AV235&gt;0),AV235*Assumptions!$B$59,0)</f>
        <v/>
      </c>
      <c r="AW236" s="401">
        <f>IF(AND(MOD(45,3)=0,AW235&gt;0),AW235*Assumptions!$B$59,0)</f>
        <v/>
      </c>
      <c r="AX236" s="401">
        <f>IF(AND(MOD(46,3)=0,AX235&gt;0),AX235*Assumptions!$B$59,0)</f>
        <v/>
      </c>
      <c r="AY236" s="401">
        <f>IF(AND(MOD(47,3)=0,AY235&gt;0),AY235*Assumptions!$B$59,0)</f>
        <v/>
      </c>
      <c r="AZ236" s="401">
        <f>IF(AND(MOD(48,3)=0,AZ235&gt;0),AZ235*Assumptions!$B$59,0)</f>
        <v/>
      </c>
      <c r="BA236" s="401">
        <f>IF(AND(MOD(49,3)=0,BA235&gt;0),BA235*Assumptions!$B$59,0)</f>
        <v/>
      </c>
      <c r="BB236" s="401">
        <f>IF(AND(MOD(50,3)=0,BB235&gt;0),BB235*Assumptions!$B$59,0)</f>
        <v/>
      </c>
      <c r="BC236" s="401">
        <f>IF(AND(MOD(51,3)=0,BC235&gt;0),BC235*Assumptions!$B$59,0)</f>
        <v/>
      </c>
      <c r="BD236" s="401">
        <f>IF(AND(MOD(52,3)=0,BD235&gt;0),BD235*Assumptions!$B$59,0)</f>
        <v/>
      </c>
      <c r="BE236" s="401">
        <f>IF(AND(MOD(53,3)=0,BE235&gt;0),BE235*Assumptions!$B$59,0)</f>
        <v/>
      </c>
      <c r="BF236" s="401">
        <f>IF(AND(MOD(54,3)=0,BF235&gt;0),BF235*Assumptions!$B$59,0)</f>
        <v/>
      </c>
      <c r="BG236" s="401">
        <f>IF(AND(MOD(55,3)=0,BG235&gt;0),BG235*Assumptions!$B$59,0)</f>
        <v/>
      </c>
      <c r="BH236" s="401">
        <f>IF(AND(MOD(56,3)=0,BH235&gt;0),BH235*Assumptions!$B$59,0)</f>
        <v/>
      </c>
      <c r="BI236" s="401">
        <f>IF(AND(MOD(57,3)=0,BI235&gt;0),BI235*Assumptions!$B$59,0)</f>
        <v/>
      </c>
      <c r="BJ236" s="401">
        <f>IF(AND(MOD(58,3)=0,BJ235&gt;0),BJ235*Assumptions!$B$59,0)</f>
        <v/>
      </c>
      <c r="BK236" s="401">
        <f>IF(AND(MOD(59,3)=0,BK235&gt;0),BK235*Assumptions!$B$59,0)</f>
        <v/>
      </c>
      <c r="BL236" s="401">
        <f>IF(AND(MOD(60,3)=0,BL235&gt;0),BL235*Assumptions!$B$59,0)</f>
        <v/>
      </c>
      <c r="BM236" s="401">
        <f>IF(AND(MOD(61,3)=0,BM235&gt;0),BM235*Assumptions!$B$59,0)</f>
        <v/>
      </c>
      <c r="BN236" s="401">
        <f>IF(AND(MOD(62,3)=0,BN235&gt;0),BN235*Assumptions!$B$59,0)</f>
        <v/>
      </c>
      <c r="BO236" s="401">
        <f>IF(AND(MOD(63,3)=0,BO235&gt;0),BO235*Assumptions!$B$59,0)</f>
        <v/>
      </c>
      <c r="BP236" s="401">
        <f>IF(AND(MOD(64,3)=0,BP235&gt;0),BP235*Assumptions!$B$59,0)</f>
        <v/>
      </c>
      <c r="BQ236" s="401">
        <f>IF(AND(MOD(65,3)=0,BQ235&gt;0),BQ235*Assumptions!$B$59,0)</f>
        <v/>
      </c>
      <c r="BR236" s="401">
        <f>IF(AND(MOD(66,3)=0,BR235&gt;0),BR235*Assumptions!$B$59,0)</f>
        <v/>
      </c>
      <c r="BS236" s="401">
        <f>IF(AND(MOD(67,3)=0,BS235&gt;0),BS235*Assumptions!$B$59,0)</f>
        <v/>
      </c>
      <c r="BT236" s="401">
        <f>IF(AND(MOD(68,3)=0,BT235&gt;0),BT235*Assumptions!$B$59,0)</f>
        <v/>
      </c>
      <c r="BU236" s="401">
        <f>IF(AND(MOD(69,3)=0,BU235&gt;0),BU235*Assumptions!$B$59,0)</f>
        <v/>
      </c>
      <c r="BV236" s="401">
        <f>IF(AND(MOD(70,3)=0,BV235&gt;0),BV235*Assumptions!$B$59,0)</f>
        <v/>
      </c>
      <c r="BW236" s="401">
        <f>IF(AND(MOD(71,3)=0,BW235&gt;0),BW235*Assumptions!$B$59,0)</f>
        <v/>
      </c>
      <c r="BX236" s="401">
        <f>IF(AND(MOD(72,3)=0,BX235&gt;0),BX235*Assumptions!$B$59,0)</f>
        <v/>
      </c>
      <c r="BY236" s="401">
        <f>IF(AND(MOD(73,3)=0,BY235&gt;0),BY235*Assumptions!$B$59,0)</f>
        <v/>
      </c>
      <c r="BZ236" s="401">
        <f>IF(AND(MOD(74,3)=0,BZ235&gt;0),BZ235*Assumptions!$B$59,0)</f>
        <v/>
      </c>
      <c r="CA236" s="401">
        <f>IF(AND(MOD(75,3)=0,CA235&gt;0),CA235*Assumptions!$B$59,0)</f>
        <v/>
      </c>
      <c r="CB236" s="401">
        <f>IF(AND(MOD(76,3)=0,CB235&gt;0),CB235*Assumptions!$B$59,0)</f>
        <v/>
      </c>
      <c r="CC236" s="401">
        <f>IF(AND(MOD(77,3)=0,CC235&gt;0),CC235*Assumptions!$B$59,0)</f>
        <v/>
      </c>
      <c r="CD236" s="401">
        <f>IF(AND(MOD(78,3)=0,CD235&gt;0),CD235*Assumptions!$B$59,0)</f>
        <v/>
      </c>
      <c r="CE236" s="401">
        <f>IF(AND(MOD(79,3)=0,CE235&gt;0),CE235*Assumptions!$B$59,0)</f>
        <v/>
      </c>
      <c r="CF236" s="401">
        <f>IF(AND(MOD(80,3)=0,CF235&gt;0),CF235*Assumptions!$B$59,0)</f>
        <v/>
      </c>
      <c r="CG236" s="401">
        <f>IF(AND(MOD(81,3)=0,CG235&gt;0),CG235*Assumptions!$B$59,0)</f>
        <v/>
      </c>
      <c r="CH236" s="401">
        <f>IF(AND(MOD(82,3)=0,CH235&gt;0),CH235*Assumptions!$B$59,0)</f>
        <v/>
      </c>
      <c r="CI236" s="401">
        <f>IF(AND(MOD(83,3)=0,CI235&gt;0),CI235*Assumptions!$B$59,0)</f>
        <v/>
      </c>
      <c r="CJ236" s="401">
        <f>IF(AND(MOD(84,3)=0,CJ235&gt;0),CJ235*Assumptions!$B$59,0)</f>
        <v/>
      </c>
      <c r="CK236" s="401">
        <f>IF(AND(MOD(85,3)=0,CK235&gt;0),CK235*Assumptions!$B$59,0)</f>
        <v/>
      </c>
      <c r="CL236" s="401">
        <f>IF(AND(MOD(86,3)=0,CL235&gt;0),CL235*Assumptions!$B$59,0)</f>
        <v/>
      </c>
      <c r="CM236" s="401">
        <f>IF(AND(MOD(87,3)=0,CM235&gt;0),CM235*Assumptions!$B$59,0)</f>
        <v/>
      </c>
      <c r="CN236" s="401">
        <f>IF(AND(MOD(88,3)=0,CN235&gt;0),CN235*Assumptions!$B$59,0)</f>
        <v/>
      </c>
      <c r="CO236" s="401">
        <f>IF(AND(MOD(89,3)=0,CO235&gt;0),CO235*Assumptions!$B$59,0)</f>
        <v/>
      </c>
      <c r="CP236" s="401">
        <f>IF(AND(MOD(90,3)=0,CP235&gt;0),CP235*Assumptions!$B$59,0)</f>
        <v/>
      </c>
      <c r="CQ236" s="401">
        <f>IF(AND(MOD(91,3)=0,CQ235&gt;0),CQ235*Assumptions!$B$59,0)</f>
        <v/>
      </c>
      <c r="CR236" s="401">
        <f>IF(AND(MOD(92,3)=0,CR235&gt;0),CR235*Assumptions!$B$59,0)</f>
        <v/>
      </c>
      <c r="CS236" s="401">
        <f>IF(AND(MOD(93,3)=0,CS235&gt;0),CS235*Assumptions!$B$59,0)</f>
        <v/>
      </c>
      <c r="CT236" s="401">
        <f>IF(AND(MOD(94,3)=0,CT235&gt;0),CT235*Assumptions!$B$59,0)</f>
        <v/>
      </c>
      <c r="CU236" s="401">
        <f>IF(AND(MOD(95,3)=0,CU235&gt;0),CU235*Assumptions!$B$59,0)</f>
        <v/>
      </c>
      <c r="CV236" s="401">
        <f>IF(AND(MOD(96,3)=0,CV235&gt;0),CV235*Assumptions!$B$59,0)</f>
        <v/>
      </c>
      <c r="CW236" s="401">
        <f>IF(AND(MOD(97,3)=0,CW235&gt;0),CW235*Assumptions!$B$59,0)</f>
        <v/>
      </c>
      <c r="CX236" s="401">
        <f>IF(AND(MOD(98,3)=0,CX235&gt;0),CX235*Assumptions!$B$59,0)</f>
        <v/>
      </c>
      <c r="CY236" s="401">
        <f>IF(AND(MOD(99,3)=0,CY235&gt;0),CY235*Assumptions!$B$59,0)</f>
        <v/>
      </c>
      <c r="CZ236" s="401">
        <f>IF(AND(MOD(100,3)=0,CZ235&gt;0),CZ235*Assumptions!$B$59,0)</f>
        <v/>
      </c>
      <c r="DA236" s="401">
        <f>IF(AND(MOD(101,3)=0,DA235&gt;0),DA235*Assumptions!$B$59,0)</f>
        <v/>
      </c>
      <c r="DB236" s="401">
        <f>IF(AND(MOD(102,3)=0,DB235&gt;0),DB235*Assumptions!$B$59,0)</f>
        <v/>
      </c>
      <c r="DC236" s="401">
        <f>IF(AND(MOD(103,3)=0,DC235&gt;0),DC235*Assumptions!$B$59,0)</f>
        <v/>
      </c>
      <c r="DD236" s="401">
        <f>IF(AND(MOD(104,3)=0,DD235&gt;0),DD235*Assumptions!$B$59,0)</f>
        <v/>
      </c>
      <c r="DE236" s="401">
        <f>IF(AND(MOD(105,3)=0,DE235&gt;0),DE235*Assumptions!$B$59,0)</f>
        <v/>
      </c>
    </row>
    <row r="237" ht="15" customFormat="1" customHeight="1" s="380">
      <c r="A237" s="397" t="inlineStr">
        <is>
          <t>Scott - Deal Distribution</t>
        </is>
      </c>
      <c r="B237" s="401" t="n"/>
      <c r="C237" s="401" t="n"/>
      <c r="D237" s="401" t="n"/>
      <c r="E237" s="401" t="n">
        <v>0</v>
      </c>
      <c r="F237" s="401" t="n">
        <v>0</v>
      </c>
      <c r="G237" s="401" t="n">
        <v>0</v>
      </c>
      <c r="H237" s="401" t="n">
        <v>0</v>
      </c>
      <c r="I237" s="401" t="n">
        <v>0</v>
      </c>
      <c r="J237" s="401" t="n">
        <v>0</v>
      </c>
      <c r="K237" s="401" t="n">
        <v>0</v>
      </c>
      <c r="L237" s="401" t="n">
        <v>0</v>
      </c>
      <c r="M237" s="401" t="n">
        <v>0</v>
      </c>
      <c r="N237" s="401" t="n">
        <v>0</v>
      </c>
      <c r="O237" s="401" t="n">
        <v>0</v>
      </c>
      <c r="P237" s="401" t="n">
        <v>0</v>
      </c>
      <c r="Q237" s="401" t="n">
        <v>0</v>
      </c>
      <c r="R237" s="401" t="n">
        <v>0</v>
      </c>
      <c r="S237" s="401" t="n">
        <v>0</v>
      </c>
      <c r="T237" s="401" t="n">
        <v>0</v>
      </c>
      <c r="U237" s="401" t="n">
        <v>0</v>
      </c>
      <c r="V237" s="401" t="n">
        <v>0</v>
      </c>
      <c r="W237" s="401" t="n">
        <v>0</v>
      </c>
      <c r="X237" s="401" t="n">
        <v>0</v>
      </c>
      <c r="Y237" s="401" t="n">
        <v>0</v>
      </c>
      <c r="Z237" s="401" t="n">
        <v>0</v>
      </c>
      <c r="AA237" s="401" t="n">
        <v>0</v>
      </c>
      <c r="AB237" s="401" t="n">
        <v>0</v>
      </c>
      <c r="AC237" s="401" t="n">
        <v>0</v>
      </c>
      <c r="AD237" s="401" t="n">
        <v>0</v>
      </c>
      <c r="AE237" s="401" t="n">
        <v>0</v>
      </c>
      <c r="AF237" s="401" t="n">
        <v>0</v>
      </c>
      <c r="AG237" s="401" t="n">
        <v>0</v>
      </c>
      <c r="AH237" s="401" t="n">
        <v>0</v>
      </c>
      <c r="AI237" s="401" t="n">
        <v>0</v>
      </c>
      <c r="AJ237" s="401" t="n">
        <v>0</v>
      </c>
      <c r="AK237" s="401" t="n">
        <v>0</v>
      </c>
      <c r="AL237" s="401" t="n">
        <v>0</v>
      </c>
      <c r="AM237" s="401" t="n">
        <v>0</v>
      </c>
      <c r="AN237" s="401" t="n">
        <v>0</v>
      </c>
      <c r="AO237" s="401" t="n">
        <v>0</v>
      </c>
      <c r="AP237" s="401" t="n">
        <v>0</v>
      </c>
      <c r="AQ237" s="401" t="n">
        <v>0</v>
      </c>
      <c r="AR237" s="401" t="n">
        <v>0</v>
      </c>
      <c r="AS237" s="401" t="n">
        <v>0</v>
      </c>
      <c r="AT237" s="401" t="n">
        <v>0</v>
      </c>
      <c r="AU237" s="401" t="n">
        <v>0</v>
      </c>
      <c r="AV237" s="401" t="n">
        <v>0</v>
      </c>
      <c r="AW237" s="401" t="n">
        <v>0</v>
      </c>
      <c r="AX237" s="401" t="n">
        <v>0</v>
      </c>
      <c r="AY237" s="401" t="n">
        <v>0</v>
      </c>
      <c r="AZ237" s="401" t="n">
        <v>0</v>
      </c>
      <c r="BA237" s="401" t="n">
        <v>0</v>
      </c>
      <c r="BB237" s="401" t="n">
        <v>0</v>
      </c>
      <c r="BC237" s="401" t="n">
        <v>0</v>
      </c>
      <c r="BD237" s="401" t="n">
        <v>0</v>
      </c>
      <c r="BE237" s="401" t="n">
        <v>0</v>
      </c>
      <c r="BF237" s="401" t="n">
        <v>0</v>
      </c>
      <c r="BG237" s="401" t="n">
        <v>0</v>
      </c>
      <c r="BH237" s="401" t="n">
        <v>0</v>
      </c>
      <c r="BI237" s="401" t="n">
        <v>0</v>
      </c>
      <c r="BJ237" s="401" t="n">
        <v>0</v>
      </c>
      <c r="BK237" s="401" t="n">
        <v>0</v>
      </c>
      <c r="BL237" s="401" t="n">
        <v>0</v>
      </c>
      <c r="BM237" s="401" t="n">
        <v>0</v>
      </c>
      <c r="BN237" s="401" t="n">
        <v>0</v>
      </c>
      <c r="BO237" s="401" t="n">
        <v>0</v>
      </c>
      <c r="BP237" s="401" t="n">
        <v>0</v>
      </c>
      <c r="BQ237" s="401" t="n">
        <v>0</v>
      </c>
      <c r="BR237" s="401" t="n">
        <v>0</v>
      </c>
      <c r="BS237" s="401" t="n">
        <v>0</v>
      </c>
      <c r="BT237" s="401" t="n">
        <v>0</v>
      </c>
      <c r="BU237" s="401" t="n">
        <v>0</v>
      </c>
      <c r="BV237" s="401" t="n">
        <v>0</v>
      </c>
      <c r="BW237" s="401" t="n">
        <v>0</v>
      </c>
      <c r="BX237" s="401" t="n">
        <v>0</v>
      </c>
      <c r="BY237" s="401" t="n">
        <v>0</v>
      </c>
      <c r="BZ237" s="401" t="n">
        <v>0</v>
      </c>
      <c r="CA237" s="401" t="n">
        <v>0</v>
      </c>
      <c r="CB237" s="401" t="n">
        <v>0</v>
      </c>
      <c r="CC237" s="401" t="n">
        <v>0</v>
      </c>
      <c r="CD237" s="401" t="n">
        <v>0</v>
      </c>
      <c r="CE237" s="401" t="n">
        <v>0</v>
      </c>
      <c r="CF237" s="401" t="n">
        <v>0</v>
      </c>
      <c r="CG237" s="401" t="n">
        <v>0</v>
      </c>
      <c r="CH237" s="401" t="n">
        <v>0</v>
      </c>
      <c r="CI237" s="401" t="n">
        <v>0</v>
      </c>
      <c r="CJ237" s="401" t="n">
        <v>0</v>
      </c>
      <c r="CK237" s="401" t="n">
        <v>0</v>
      </c>
      <c r="CL237" s="401" t="n">
        <v>0</v>
      </c>
      <c r="CM237" s="401" t="n">
        <v>0</v>
      </c>
      <c r="CN237" s="401" t="n">
        <v>0</v>
      </c>
      <c r="CO237" s="401" t="n">
        <v>0</v>
      </c>
      <c r="CP237" s="401" t="n">
        <v>0</v>
      </c>
      <c r="CQ237" s="401" t="n">
        <v>0</v>
      </c>
      <c r="CR237" s="401" t="n">
        <v>0</v>
      </c>
      <c r="CS237" s="401" t="n">
        <v>0</v>
      </c>
      <c r="CT237" s="401" t="n"/>
      <c r="CU237" s="401" t="n"/>
      <c r="CV237" s="401" t="n"/>
      <c r="CW237" s="401" t="n"/>
      <c r="CX237" s="401" t="n"/>
      <c r="CY237" s="401" t="n"/>
      <c r="CZ237" s="401" t="n"/>
      <c r="DA237" s="401" t="n"/>
      <c r="DB237" s="401" t="n"/>
      <c r="DC237" s="401" t="n"/>
      <c r="DD237" s="401" t="n"/>
      <c r="DE237" s="401" t="n"/>
    </row>
    <row r="238" ht="15" customFormat="1" customHeight="1" s="380">
      <c r="A238" s="431" t="inlineStr">
        <is>
          <t>Scott - PIK Payment (LIHTC)</t>
        </is>
      </c>
      <c r="B238" s="432" t="n"/>
      <c r="C238" s="432" t="n"/>
      <c r="D238" s="432" t="n"/>
      <c r="E238" s="432" t="n">
        <v>0</v>
      </c>
      <c r="F238" s="432" t="n">
        <v>0</v>
      </c>
      <c r="G238" s="432" t="n">
        <v>0</v>
      </c>
      <c r="H238" s="432" t="n">
        <v>0</v>
      </c>
      <c r="I238" s="432" t="n">
        <v>0</v>
      </c>
      <c r="J238" s="432" t="n">
        <v>0</v>
      </c>
      <c r="K238" s="432" t="n">
        <v>0</v>
      </c>
      <c r="L238" s="432" t="n">
        <v>0</v>
      </c>
      <c r="M238" s="432" t="n">
        <v>0</v>
      </c>
      <c r="N238" s="432" t="n">
        <v>0</v>
      </c>
      <c r="O238" s="432" t="n">
        <v>0</v>
      </c>
      <c r="P238" s="432" t="n">
        <v>0</v>
      </c>
      <c r="Q238" s="432" t="n">
        <v>0</v>
      </c>
      <c r="R238" s="432" t="n">
        <v>0</v>
      </c>
      <c r="S238" s="432" t="n">
        <v>0</v>
      </c>
      <c r="T238" s="432" t="n">
        <v>0</v>
      </c>
      <c r="U238" s="432" t="n">
        <v>0</v>
      </c>
      <c r="V238" s="432" t="n">
        <v>0</v>
      </c>
      <c r="W238" s="432" t="n">
        <v>0</v>
      </c>
      <c r="X238" s="432" t="n">
        <v>0</v>
      </c>
      <c r="Y238" s="432" t="n">
        <v>0</v>
      </c>
      <c r="Z238" s="432" t="n">
        <v>0</v>
      </c>
      <c r="AA238" s="432" t="n">
        <v>0</v>
      </c>
      <c r="AB238" s="432" t="n">
        <v>0</v>
      </c>
      <c r="AC238" s="432" t="n">
        <v>0</v>
      </c>
      <c r="AD238" s="432" t="n">
        <v>0</v>
      </c>
      <c r="AE238" s="432" t="n">
        <v>0</v>
      </c>
      <c r="AF238" s="432" t="n">
        <v>0</v>
      </c>
      <c r="AG238" s="432" t="n">
        <v>0</v>
      </c>
      <c r="AH238" s="432" t="n">
        <v>0</v>
      </c>
      <c r="AI238" s="432" t="n">
        <v>0</v>
      </c>
      <c r="AJ238" s="432" t="n">
        <v>0</v>
      </c>
      <c r="AK238" s="432" t="n">
        <v>0</v>
      </c>
      <c r="AL238" s="432" t="n">
        <v>0</v>
      </c>
      <c r="AM238" s="432" t="n">
        <v>0</v>
      </c>
      <c r="AN238" s="432" t="n">
        <v>0</v>
      </c>
      <c r="AO238" s="432" t="n">
        <v>0</v>
      </c>
      <c r="AP238" s="432" t="n">
        <v>0</v>
      </c>
      <c r="AQ238" s="432" t="n">
        <v>0</v>
      </c>
      <c r="AR238" s="432" t="n">
        <v>0</v>
      </c>
      <c r="AS238" s="432" t="n">
        <v>0</v>
      </c>
      <c r="AT238" s="432" t="n">
        <v>0</v>
      </c>
      <c r="AU238" s="432" t="n">
        <v>0</v>
      </c>
      <c r="AV238" s="432" t="n">
        <v>0</v>
      </c>
      <c r="AW238" s="432" t="n">
        <v>0</v>
      </c>
      <c r="AX238" s="432" t="n">
        <v>0</v>
      </c>
      <c r="AY238" s="432" t="n">
        <v>0</v>
      </c>
      <c r="AZ238" s="432" t="n">
        <v>0</v>
      </c>
      <c r="BA238" s="432" t="n">
        <v>0</v>
      </c>
      <c r="BB238" s="432" t="n">
        <v>0</v>
      </c>
      <c r="BC238" s="432" t="n">
        <v>0</v>
      </c>
      <c r="BD238" s="432" t="n">
        <v>0</v>
      </c>
      <c r="BE238" s="432" t="n">
        <v>0</v>
      </c>
      <c r="BF238" s="432" t="n">
        <v>0</v>
      </c>
      <c r="BG238" s="432" t="n">
        <v>0</v>
      </c>
      <c r="BH238" s="432" t="n">
        <v>0</v>
      </c>
      <c r="BI238" s="432" t="n">
        <v>0</v>
      </c>
      <c r="BJ238" s="432" t="n">
        <v>0</v>
      </c>
      <c r="BK238" s="432" t="n">
        <v>0</v>
      </c>
      <c r="BL238" s="432" t="n">
        <v>0</v>
      </c>
      <c r="BM238" s="432" t="n">
        <v>0</v>
      </c>
      <c r="BN238" s="432" t="n">
        <v>0</v>
      </c>
      <c r="BO238" s="432" t="n">
        <v>0</v>
      </c>
      <c r="BP238" s="432" t="n">
        <v>0</v>
      </c>
      <c r="BQ238" s="432" t="n">
        <v>0</v>
      </c>
      <c r="BR238" s="432" t="n">
        <v>0</v>
      </c>
      <c r="BS238" s="432" t="n">
        <v>0</v>
      </c>
      <c r="BT238" s="432" t="n">
        <v>0</v>
      </c>
      <c r="BU238" s="432" t="n">
        <v>0</v>
      </c>
      <c r="BV238" s="432" t="n">
        <v>0</v>
      </c>
      <c r="BW238" s="432" t="n">
        <v>0</v>
      </c>
      <c r="BX238" s="432" t="n">
        <v>0</v>
      </c>
      <c r="BY238" s="432" t="n">
        <v>0</v>
      </c>
      <c r="BZ238" s="432" t="n">
        <v>0</v>
      </c>
      <c r="CA238" s="432" t="n">
        <v>0</v>
      </c>
      <c r="CB238" s="432" t="n">
        <v>0</v>
      </c>
      <c r="CC238" s="432" t="n">
        <v>0</v>
      </c>
      <c r="CD238" s="432" t="n">
        <v>0</v>
      </c>
      <c r="CE238" s="432" t="n">
        <v>0</v>
      </c>
      <c r="CF238" s="432" t="n">
        <v>0</v>
      </c>
      <c r="CG238" s="432" t="n">
        <v>0</v>
      </c>
      <c r="CH238" s="432" t="n">
        <v>0</v>
      </c>
      <c r="CI238" s="432" t="n">
        <v>0</v>
      </c>
      <c r="CJ238" s="432" t="n">
        <v>0</v>
      </c>
      <c r="CK238" s="432" t="n">
        <v>0</v>
      </c>
      <c r="CL238" s="432" t="n">
        <v>0</v>
      </c>
      <c r="CM238" s="432" t="n">
        <v>0</v>
      </c>
      <c r="CN238" s="432" t="n">
        <v>0</v>
      </c>
      <c r="CO238" s="432" t="n">
        <v>0</v>
      </c>
      <c r="CP238" s="432" t="n">
        <v>0</v>
      </c>
      <c r="CQ238" s="432" t="n">
        <v>0</v>
      </c>
      <c r="CR238" s="432" t="n">
        <v>0</v>
      </c>
      <c r="CS238" s="432" t="n">
        <v>0</v>
      </c>
      <c r="CT238" s="432" t="n"/>
      <c r="CU238" s="432" t="n"/>
      <c r="CV238" s="432" t="n"/>
      <c r="CW238" s="432" t="n"/>
      <c r="CX238" s="432" t="n"/>
      <c r="CY238" s="432" t="n"/>
      <c r="CZ238" s="432" t="n"/>
      <c r="DA238" s="432" t="n"/>
      <c r="DB238" s="432" t="n"/>
      <c r="DC238" s="432" t="n"/>
      <c r="DD238" s="432" t="n"/>
      <c r="DE238" s="432" t="n"/>
    </row>
    <row r="239" ht="15" customFormat="1" customHeight="1" s="380">
      <c r="A239" s="433" t="inlineStr">
        <is>
          <t>Scott - Ending Balance</t>
        </is>
      </c>
      <c r="B239" s="434" t="n"/>
      <c r="C239" s="434" t="n"/>
      <c r="D239" s="434" t="n"/>
      <c r="E239" s="434">
        <f>MAX(0,E235+E236+E237+E238)</f>
        <v/>
      </c>
      <c r="F239" s="434">
        <f>MAX(0,F235+F236+F237+F238)</f>
        <v/>
      </c>
      <c r="G239" s="434">
        <f>MAX(0,G235+G236+G237+G238)</f>
        <v/>
      </c>
      <c r="H239" s="434">
        <f>MAX(0,H235+H236+H237+H238)</f>
        <v/>
      </c>
      <c r="I239" s="434">
        <f>MAX(0,I235+I236+I237+I238)</f>
        <v/>
      </c>
      <c r="J239" s="434">
        <f>MAX(0,J235+J236+J237+J238)</f>
        <v/>
      </c>
      <c r="K239" s="434">
        <f>MAX(0,K235+K236+K237+K238)</f>
        <v/>
      </c>
      <c r="L239" s="434">
        <f>MAX(0,L235+L236+L237+L238)</f>
        <v/>
      </c>
      <c r="M239" s="434">
        <f>MAX(0,M235+M236+M237+M238)</f>
        <v/>
      </c>
      <c r="N239" s="434">
        <f>MAX(0,N235+N236+N237+N238)</f>
        <v/>
      </c>
      <c r="O239" s="434">
        <f>MAX(0,O235+O236+O237+O238)</f>
        <v/>
      </c>
      <c r="P239" s="434">
        <f>MAX(0,P235+P236+P237+P238)</f>
        <v/>
      </c>
      <c r="Q239" s="434">
        <f>MAX(0,Q235+Q236+Q237+Q238)</f>
        <v/>
      </c>
      <c r="R239" s="434">
        <f>MAX(0,R235+R236+R237+R238)</f>
        <v/>
      </c>
      <c r="S239" s="434">
        <f>MAX(0,S235+S236+S237+S238)</f>
        <v/>
      </c>
      <c r="T239" s="434">
        <f>MAX(0,T235+T236+T237+T238)</f>
        <v/>
      </c>
      <c r="U239" s="434">
        <f>MAX(0,U235+U236+U237+U238)</f>
        <v/>
      </c>
      <c r="V239" s="434">
        <f>MAX(0,V235+V236+V237+V238)</f>
        <v/>
      </c>
      <c r="W239" s="434">
        <f>MAX(0,W235+W236+W237+W238)</f>
        <v/>
      </c>
      <c r="X239" s="434">
        <f>MAX(0,X235+X236+X237+X238)</f>
        <v/>
      </c>
      <c r="Y239" s="434">
        <f>MAX(0,Y235+Y236+Y237+Y238)</f>
        <v/>
      </c>
      <c r="Z239" s="434">
        <f>MAX(0,Z235+Z236+Z237+Z238)</f>
        <v/>
      </c>
      <c r="AA239" s="434">
        <f>MAX(0,AA235+AA236+AA237+AA238)</f>
        <v/>
      </c>
      <c r="AB239" s="434">
        <f>MAX(0,AB235+AB236+AB237+AB238)</f>
        <v/>
      </c>
      <c r="AC239" s="434">
        <f>MAX(0,AC235+AC236+AC237+AC238)</f>
        <v/>
      </c>
      <c r="AD239" s="434">
        <f>MAX(0,AD235+AD236+AD237+AD238)</f>
        <v/>
      </c>
      <c r="AE239" s="434">
        <f>MAX(0,AE235+AE236+AE237+AE238)</f>
        <v/>
      </c>
      <c r="AF239" s="434">
        <f>MAX(0,AF235+AF236+AF237+AF238)</f>
        <v/>
      </c>
      <c r="AG239" s="434">
        <f>MAX(0,AG235+AG236+AG237+AG238)</f>
        <v/>
      </c>
      <c r="AH239" s="434">
        <f>MAX(0,AH235+AH236+AH237+AH238)</f>
        <v/>
      </c>
      <c r="AI239" s="434">
        <f>MAX(0,AI235+AI236+AI237+AI238)</f>
        <v/>
      </c>
      <c r="AJ239" s="434">
        <f>MAX(0,AJ235+AJ236+AJ237+AJ238)</f>
        <v/>
      </c>
      <c r="AK239" s="434">
        <f>MAX(0,AK235+AK236+AK237+AK238)</f>
        <v/>
      </c>
      <c r="AL239" s="434">
        <f>MAX(0,AL235+AL236+AL237+AL238)</f>
        <v/>
      </c>
      <c r="AM239" s="434">
        <f>MAX(0,AM235+AM236+AM237+AM238)</f>
        <v/>
      </c>
      <c r="AN239" s="434">
        <f>MAX(0,AN235+AN236+AN237+AN238)</f>
        <v/>
      </c>
      <c r="AO239" s="434">
        <f>MAX(0,AO235+AO236+AO237+AO238)</f>
        <v/>
      </c>
      <c r="AP239" s="434">
        <f>MAX(0,AP235+AP236+AP237+AP238)</f>
        <v/>
      </c>
      <c r="AQ239" s="434">
        <f>MAX(0,AQ235+AQ236+AQ237+AQ238)</f>
        <v/>
      </c>
      <c r="AR239" s="434">
        <f>MAX(0,AR235+AR236+AR237+AR238)</f>
        <v/>
      </c>
      <c r="AS239" s="434">
        <f>MAX(0,AS235+AS236+AS237+AS238)</f>
        <v/>
      </c>
      <c r="AT239" s="434">
        <f>MAX(0,AT235+AT236+AT237+AT238)</f>
        <v/>
      </c>
      <c r="AU239" s="434">
        <f>MAX(0,AU235+AU236+AU237+AU238)</f>
        <v/>
      </c>
      <c r="AV239" s="434">
        <f>MAX(0,AV235+AV236+AV237+AV238)</f>
        <v/>
      </c>
      <c r="AW239" s="434">
        <f>MAX(0,AW235+AW236+AW237+AW238)</f>
        <v/>
      </c>
      <c r="AX239" s="434">
        <f>MAX(0,AX235+AX236+AX237+AX238)</f>
        <v/>
      </c>
      <c r="AY239" s="434">
        <f>MAX(0,AY235+AY236+AY237+AY238)</f>
        <v/>
      </c>
      <c r="AZ239" s="434">
        <f>MAX(0,AZ235+AZ236+AZ237+AZ238)</f>
        <v/>
      </c>
      <c r="BA239" s="434">
        <f>MAX(0,BA235+BA236+BA237+BA238)</f>
        <v/>
      </c>
      <c r="BB239" s="434">
        <f>MAX(0,BB235+BB236+BB237+BB238)</f>
        <v/>
      </c>
      <c r="BC239" s="434">
        <f>MAX(0,BC235+BC236+BC237+BC238)</f>
        <v/>
      </c>
      <c r="BD239" s="434">
        <f>MAX(0,BD235+BD236+BD237+BD238)</f>
        <v/>
      </c>
      <c r="BE239" s="434">
        <f>MAX(0,BE235+BE236+BE237+BE238)</f>
        <v/>
      </c>
      <c r="BF239" s="434">
        <f>MAX(0,BF235+BF236+BF237+BF238)</f>
        <v/>
      </c>
      <c r="BG239" s="434">
        <f>MAX(0,BG235+BG236+BG237+BG238)</f>
        <v/>
      </c>
      <c r="BH239" s="434">
        <f>MAX(0,BH235+BH236+BH237+BH238)</f>
        <v/>
      </c>
      <c r="BI239" s="434">
        <f>MAX(0,BI235+BI236+BI237+BI238)</f>
        <v/>
      </c>
      <c r="BJ239" s="434">
        <f>MAX(0,BJ235+BJ236+BJ237+BJ238)</f>
        <v/>
      </c>
      <c r="BK239" s="434">
        <f>MAX(0,BK235+BK236+BK237+BK238)</f>
        <v/>
      </c>
      <c r="BL239" s="434">
        <f>MAX(0,BL235+BL236+BL237+BL238)</f>
        <v/>
      </c>
      <c r="BM239" s="434">
        <f>MAX(0,BM235+BM236+BM237+BM238)</f>
        <v/>
      </c>
      <c r="BN239" s="434">
        <f>MAX(0,BN235+BN236+BN237+BN238)</f>
        <v/>
      </c>
      <c r="BO239" s="434">
        <f>MAX(0,BO235+BO236+BO237+BO238)</f>
        <v/>
      </c>
      <c r="BP239" s="434">
        <f>MAX(0,BP235+BP236+BP237+BP238)</f>
        <v/>
      </c>
      <c r="BQ239" s="434">
        <f>MAX(0,BQ235+BQ236+BQ237+BQ238)</f>
        <v/>
      </c>
      <c r="BR239" s="434">
        <f>MAX(0,BR235+BR236+BR237+BR238)</f>
        <v/>
      </c>
      <c r="BS239" s="434">
        <f>MAX(0,BS235+BS236+BS237+BS238)</f>
        <v/>
      </c>
      <c r="BT239" s="434">
        <f>MAX(0,BT235+BT236+BT237+BT238)</f>
        <v/>
      </c>
      <c r="BU239" s="434">
        <f>MAX(0,BU235+BU236+BU237+BU238)</f>
        <v/>
      </c>
      <c r="BV239" s="434">
        <f>MAX(0,BV235+BV236+BV237+BV238)</f>
        <v/>
      </c>
      <c r="BW239" s="434">
        <f>MAX(0,BW235+BW236+BW237+BW238)</f>
        <v/>
      </c>
      <c r="BX239" s="434">
        <f>MAX(0,BX235+BX236+BX237+BX238)</f>
        <v/>
      </c>
      <c r="BY239" s="434">
        <f>MAX(0,BY235+BY236+BY237+BY238)</f>
        <v/>
      </c>
      <c r="BZ239" s="434">
        <f>MAX(0,BZ235+BZ236+BZ237+BZ238)</f>
        <v/>
      </c>
      <c r="CA239" s="434">
        <f>MAX(0,CA235+CA236+CA237+CA238)</f>
        <v/>
      </c>
      <c r="CB239" s="434">
        <f>MAX(0,CB235+CB236+CB237+CB238)</f>
        <v/>
      </c>
      <c r="CC239" s="434">
        <f>MAX(0,CC235+CC236+CC237+CC238)</f>
        <v/>
      </c>
      <c r="CD239" s="434">
        <f>MAX(0,CD235+CD236+CD237+CD238)</f>
        <v/>
      </c>
      <c r="CE239" s="434">
        <f>MAX(0,CE235+CE236+CE237+CE238)</f>
        <v/>
      </c>
      <c r="CF239" s="434">
        <f>MAX(0,CF235+CF236+CF237+CF238)</f>
        <v/>
      </c>
      <c r="CG239" s="434">
        <f>MAX(0,CG235+CG236+CG237+CG238)</f>
        <v/>
      </c>
      <c r="CH239" s="434">
        <f>MAX(0,CH235+CH236+CH237+CH238)</f>
        <v/>
      </c>
      <c r="CI239" s="434">
        <f>MAX(0,CI235+CI236+CI237+CI238)</f>
        <v/>
      </c>
      <c r="CJ239" s="434">
        <f>MAX(0,CJ235+CJ236+CJ237+CJ238)</f>
        <v/>
      </c>
      <c r="CK239" s="434">
        <f>MAX(0,CK235+CK236+CK237+CK238)</f>
        <v/>
      </c>
      <c r="CL239" s="434">
        <f>MAX(0,CL235+CL236+CL237+CL238)</f>
        <v/>
      </c>
      <c r="CM239" s="434">
        <f>MAX(0,CM235+CM236+CM237+CM238)</f>
        <v/>
      </c>
      <c r="CN239" s="434">
        <f>MAX(0,CN235+CN236+CN237+CN238)</f>
        <v/>
      </c>
      <c r="CO239" s="434">
        <f>MAX(0,CO235+CO236+CO237+CO238)</f>
        <v/>
      </c>
      <c r="CP239" s="434">
        <f>MAX(0,CP235+CP236+CP237+CP238)</f>
        <v/>
      </c>
      <c r="CQ239" s="434">
        <f>MAX(0,CQ235+CQ236+CQ237+CQ238)</f>
        <v/>
      </c>
      <c r="CR239" s="434">
        <f>MAX(0,CR235+CR236+CR237+CR238)</f>
        <v/>
      </c>
      <c r="CS239" s="434">
        <f>MAX(0,CS235+CS236+CS237+CS238)</f>
        <v/>
      </c>
      <c r="CT239" s="434">
        <f>MAX(0,CT235+CT236+CT237+CT238)</f>
        <v/>
      </c>
      <c r="CU239" s="434">
        <f>MAX(0,CU235+CU236+CU237+CU238)</f>
        <v/>
      </c>
      <c r="CV239" s="434">
        <f>MAX(0,CV235+CV236+CV237+CV238)</f>
        <v/>
      </c>
      <c r="CW239" s="434">
        <f>MAX(0,CW235+CW236+CW237+CW238)</f>
        <v/>
      </c>
      <c r="CX239" s="434">
        <f>MAX(0,CX235+CX236+CX237+CX238)</f>
        <v/>
      </c>
      <c r="CY239" s="434">
        <f>MAX(0,CY235+CY236+CY237+CY238)</f>
        <v/>
      </c>
      <c r="CZ239" s="434">
        <f>MAX(0,CZ235+CZ236+CZ237+CZ238)</f>
        <v/>
      </c>
      <c r="DA239" s="434">
        <f>MAX(0,DA235+DA236+DA237+DA238)</f>
        <v/>
      </c>
      <c r="DB239" s="434">
        <f>MAX(0,DB235+DB236+DB237+DB238)</f>
        <v/>
      </c>
      <c r="DC239" s="434">
        <f>MAX(0,DC235+DC236+DC237+DC238)</f>
        <v/>
      </c>
      <c r="DD239" s="434">
        <f>MAX(0,DD235+DD236+DD237+DD238)</f>
        <v/>
      </c>
      <c r="DE239" s="434">
        <f>MAX(0,DE235+DE236+DE237+DE238)</f>
        <v/>
      </c>
    </row>
    <row r="240" ht="15" customFormat="1" customHeight="1" s="380">
      <c r="A240" s="435" t="inlineStr">
        <is>
          <t>3rd St - Beginning Balance</t>
        </is>
      </c>
      <c r="B240" s="436" t="n"/>
      <c r="C240" s="436" t="n"/>
      <c r="D240" s="436" t="n"/>
      <c r="E240" s="436">
        <f>IF(Projects!$G$14="Yes",Assumptions!$B$75,0)</f>
        <v/>
      </c>
      <c r="F240" s="436">
        <f>E244</f>
        <v/>
      </c>
      <c r="G240" s="436">
        <f>IF(Projects!$G$14="Yes",F244+Assumptions!$B$76*0.2,F244)</f>
        <v/>
      </c>
      <c r="H240" s="436">
        <f>G244</f>
        <v/>
      </c>
      <c r="I240" s="436">
        <f>H244</f>
        <v/>
      </c>
      <c r="J240" s="436">
        <f>IF(Projects!$G$14="Yes",I244+Assumptions!$B$76*0.2,I244)</f>
        <v/>
      </c>
      <c r="K240" s="436">
        <f>J244</f>
        <v/>
      </c>
      <c r="L240" s="436">
        <f>K244</f>
        <v/>
      </c>
      <c r="M240" s="436">
        <f>L244</f>
        <v/>
      </c>
      <c r="N240" s="436">
        <f>IF(Projects!$G$14="Yes",M244+Assumptions!$B$76*0.1,M244)</f>
        <v/>
      </c>
      <c r="O240" s="436">
        <f>N244</f>
        <v/>
      </c>
      <c r="P240" s="436">
        <f>O244</f>
        <v/>
      </c>
      <c r="Q240" s="436">
        <f>P244</f>
        <v/>
      </c>
      <c r="R240" s="436">
        <f>Q244</f>
        <v/>
      </c>
      <c r="S240" s="436">
        <f>IF(Projects!$G$14="Yes",R244+Assumptions!$B$76*0.1,R244)</f>
        <v/>
      </c>
      <c r="T240" s="436">
        <f>S244</f>
        <v/>
      </c>
      <c r="U240" s="436">
        <f>T244</f>
        <v/>
      </c>
      <c r="V240" s="436">
        <f>U244</f>
        <v/>
      </c>
      <c r="W240" s="436">
        <f>V244</f>
        <v/>
      </c>
      <c r="X240" s="436">
        <f>W244</f>
        <v/>
      </c>
      <c r="Y240" s="436">
        <f>IF(Projects!$G$14="Yes",X244+Assumptions!$B$76*0.1,X244)</f>
        <v/>
      </c>
      <c r="Z240" s="436">
        <f>Y244</f>
        <v/>
      </c>
      <c r="AA240" s="436">
        <f>Z244</f>
        <v/>
      </c>
      <c r="AB240" s="436">
        <f>AA244</f>
        <v/>
      </c>
      <c r="AC240" s="436">
        <f>AB244</f>
        <v/>
      </c>
      <c r="AD240" s="436">
        <f>AC244</f>
        <v/>
      </c>
      <c r="AE240" s="436">
        <f>IF(Projects!$G$14="Yes",AD244+Assumptions!$B$76,AD244)</f>
        <v/>
      </c>
      <c r="AF240" s="436">
        <f>AE244</f>
        <v/>
      </c>
      <c r="AG240" s="436">
        <f>AF244</f>
        <v/>
      </c>
      <c r="AH240" s="436">
        <f>AG244</f>
        <v/>
      </c>
      <c r="AI240" s="436">
        <f>AH244</f>
        <v/>
      </c>
      <c r="AJ240" s="436">
        <f>AI244</f>
        <v/>
      </c>
      <c r="AK240" s="436">
        <f>AJ244</f>
        <v/>
      </c>
      <c r="AL240" s="436">
        <f>AK244</f>
        <v/>
      </c>
      <c r="AM240" s="436">
        <f>AL244</f>
        <v/>
      </c>
      <c r="AN240" s="436">
        <f>AM244</f>
        <v/>
      </c>
      <c r="AO240" s="436">
        <f>AN244</f>
        <v/>
      </c>
      <c r="AP240" s="436">
        <f>AO244</f>
        <v/>
      </c>
      <c r="AQ240" s="436">
        <f>AP244</f>
        <v/>
      </c>
      <c r="AR240" s="436">
        <f>AQ244</f>
        <v/>
      </c>
      <c r="AS240" s="436">
        <f>AR244</f>
        <v/>
      </c>
      <c r="AT240" s="436">
        <f>AS244</f>
        <v/>
      </c>
      <c r="AU240" s="436">
        <f>AT244</f>
        <v/>
      </c>
      <c r="AV240" s="436">
        <f>AU244</f>
        <v/>
      </c>
      <c r="AW240" s="436">
        <f>AV244</f>
        <v/>
      </c>
      <c r="AX240" s="436">
        <f>AW244</f>
        <v/>
      </c>
      <c r="AY240" s="436">
        <f>AX244</f>
        <v/>
      </c>
      <c r="AZ240" s="436">
        <f>AY244</f>
        <v/>
      </c>
      <c r="BA240" s="436">
        <f>AZ244</f>
        <v/>
      </c>
      <c r="BB240" s="436">
        <f>BA244</f>
        <v/>
      </c>
      <c r="BC240" s="436">
        <f>BB244</f>
        <v/>
      </c>
      <c r="BD240" s="436">
        <f>BC244</f>
        <v/>
      </c>
      <c r="BE240" s="436">
        <f>BD244</f>
        <v/>
      </c>
      <c r="BF240" s="436">
        <f>BE244</f>
        <v/>
      </c>
      <c r="BG240" s="436">
        <f>BF244</f>
        <v/>
      </c>
      <c r="BH240" s="436">
        <f>BG244</f>
        <v/>
      </c>
      <c r="BI240" s="436">
        <f>BH244</f>
        <v/>
      </c>
      <c r="BJ240" s="436">
        <f>BI244</f>
        <v/>
      </c>
      <c r="BK240" s="436">
        <f>BJ244</f>
        <v/>
      </c>
      <c r="BL240" s="436">
        <f>BK244</f>
        <v/>
      </c>
      <c r="BM240" s="436">
        <f>BL244</f>
        <v/>
      </c>
      <c r="BN240" s="436">
        <f>BM244</f>
        <v/>
      </c>
      <c r="BO240" s="436">
        <f>BN244</f>
        <v/>
      </c>
      <c r="BP240" s="436">
        <f>BO244</f>
        <v/>
      </c>
      <c r="BQ240" s="436">
        <f>BP244</f>
        <v/>
      </c>
      <c r="BR240" s="436">
        <f>BQ244</f>
        <v/>
      </c>
      <c r="BS240" s="436">
        <f>BR244</f>
        <v/>
      </c>
      <c r="BT240" s="436">
        <f>BS244</f>
        <v/>
      </c>
      <c r="BU240" s="436">
        <f>BT244</f>
        <v/>
      </c>
      <c r="BV240" s="436">
        <f>BU244</f>
        <v/>
      </c>
      <c r="BW240" s="436">
        <f>BV244</f>
        <v/>
      </c>
      <c r="BX240" s="436">
        <f>BW244</f>
        <v/>
      </c>
      <c r="BY240" s="436">
        <f>BX244</f>
        <v/>
      </c>
      <c r="BZ240" s="436">
        <f>BY244</f>
        <v/>
      </c>
      <c r="CA240" s="436">
        <f>BZ244</f>
        <v/>
      </c>
      <c r="CB240" s="436">
        <f>CA244</f>
        <v/>
      </c>
      <c r="CC240" s="436">
        <f>CB244</f>
        <v/>
      </c>
      <c r="CD240" s="436">
        <f>CC244</f>
        <v/>
      </c>
      <c r="CE240" s="436">
        <f>CD244</f>
        <v/>
      </c>
      <c r="CF240" s="436">
        <f>CE244</f>
        <v/>
      </c>
      <c r="CG240" s="436">
        <f>CF244</f>
        <v/>
      </c>
      <c r="CH240" s="436">
        <f>CG244</f>
        <v/>
      </c>
      <c r="CI240" s="436">
        <f>CH244</f>
        <v/>
      </c>
      <c r="CJ240" s="436">
        <f>CI244</f>
        <v/>
      </c>
      <c r="CK240" s="436">
        <f>CJ244</f>
        <v/>
      </c>
      <c r="CL240" s="436">
        <f>CK244</f>
        <v/>
      </c>
      <c r="CM240" s="436">
        <f>CL244</f>
        <v/>
      </c>
      <c r="CN240" s="436">
        <f>CM244</f>
        <v/>
      </c>
      <c r="CO240" s="436">
        <f>CN244</f>
        <v/>
      </c>
      <c r="CP240" s="436">
        <f>CO244</f>
        <v/>
      </c>
      <c r="CQ240" s="436">
        <f>CP244</f>
        <v/>
      </c>
      <c r="CR240" s="436">
        <f>CQ244</f>
        <v/>
      </c>
      <c r="CS240" s="436">
        <f>CR244</f>
        <v/>
      </c>
      <c r="CT240" s="436">
        <f>CS244</f>
        <v/>
      </c>
      <c r="CU240" s="436">
        <f>CT244</f>
        <v/>
      </c>
      <c r="CV240" s="436">
        <f>CU244</f>
        <v/>
      </c>
      <c r="CW240" s="436">
        <f>CV244</f>
        <v/>
      </c>
      <c r="CX240" s="436">
        <f>CW244</f>
        <v/>
      </c>
      <c r="CY240" s="436">
        <f>CX244</f>
        <v/>
      </c>
      <c r="CZ240" s="436">
        <f>CY244</f>
        <v/>
      </c>
      <c r="DA240" s="436">
        <f>CZ244</f>
        <v/>
      </c>
      <c r="DB240" s="436">
        <f>DA244</f>
        <v/>
      </c>
      <c r="DC240" s="436">
        <f>DB244</f>
        <v/>
      </c>
      <c r="DD240" s="436">
        <f>DC244</f>
        <v/>
      </c>
      <c r="DE240" s="436">
        <f>DD244</f>
        <v/>
      </c>
    </row>
    <row r="241" ht="15" customFormat="1" customHeight="1" s="380">
      <c r="A241" s="435" t="inlineStr">
        <is>
          <t>3rd St - Quarterly Interest</t>
        </is>
      </c>
      <c r="B241" s="436" t="n"/>
      <c r="C241" s="436" t="n"/>
      <c r="D241" s="436" t="n"/>
      <c r="E241" s="436">
        <f>IF(AND(MOD(1,3)=0,E240&gt;0),E240*Assumptions!$B$59,0)</f>
        <v/>
      </c>
      <c r="F241" s="436">
        <f>IF(AND(MOD(2,3)=0,F240&gt;0),F240*Assumptions!$B$59,0)</f>
        <v/>
      </c>
      <c r="G241" s="436">
        <f>IF(AND(MOD(3,3)=0,G240&gt;0),G240*Assumptions!$B$59,0)</f>
        <v/>
      </c>
      <c r="H241" s="436">
        <f>IF(AND(MOD(4,3)=0,H240&gt;0),H240*Assumptions!$B$59,0)</f>
        <v/>
      </c>
      <c r="I241" s="436">
        <f>IF(AND(MOD(5,3)=0,I240&gt;0),I240*Assumptions!$B$59,0)</f>
        <v/>
      </c>
      <c r="J241" s="436">
        <f>IF(AND(MOD(6,3)=0,J240&gt;0),J240*Assumptions!$B$59,0)</f>
        <v/>
      </c>
      <c r="K241" s="436">
        <f>IF(AND(MOD(7,3)=0,K240&gt;0),K240*Assumptions!$B$59,0)</f>
        <v/>
      </c>
      <c r="L241" s="436">
        <f>IF(AND(MOD(8,3)=0,L240&gt;0),L240*Assumptions!$B$59,0)</f>
        <v/>
      </c>
      <c r="M241" s="436">
        <f>IF(AND(MOD(9,3)=0,M240&gt;0),M240*Assumptions!$B$59,0)</f>
        <v/>
      </c>
      <c r="N241" s="436">
        <f>IF(AND(MOD(10,3)=0,N240&gt;0),N240*Assumptions!$B$59,0)</f>
        <v/>
      </c>
      <c r="O241" s="436">
        <f>IF(AND(MOD(11,3)=0,O240&gt;0),O240*Assumptions!$B$59,0)</f>
        <v/>
      </c>
      <c r="P241" s="436">
        <f>IF(AND(MOD(12,3)=0,P240&gt;0),P240*Assumptions!$B$59,0)</f>
        <v/>
      </c>
      <c r="Q241" s="436">
        <f>IF(AND(MOD(13,3)=0,Q240&gt;0),Q240*Assumptions!$B$59,0)</f>
        <v/>
      </c>
      <c r="R241" s="436">
        <f>IF(AND(MOD(14,3)=0,R240&gt;0),R240*Assumptions!$B$59,0)</f>
        <v/>
      </c>
      <c r="S241" s="436">
        <f>IF(AND(MOD(15,3)=0,S240&gt;0),S240*Assumptions!$B$59,0)</f>
        <v/>
      </c>
      <c r="T241" s="436">
        <f>IF(AND(MOD(16,3)=0,T240&gt;0),T240*Assumptions!$B$59,0)</f>
        <v/>
      </c>
      <c r="U241" s="436">
        <f>IF(AND(MOD(17,3)=0,U240&gt;0),U240*Assumptions!$B$59,0)</f>
        <v/>
      </c>
      <c r="V241" s="436">
        <f>IF(AND(MOD(18,3)=0,V240&gt;0),V240*Assumptions!$B$59,0)</f>
        <v/>
      </c>
      <c r="W241" s="436">
        <f>IF(AND(MOD(19,3)=0,W240&gt;0),W240*Assumptions!$B$59,0)</f>
        <v/>
      </c>
      <c r="X241" s="436">
        <f>IF(AND(MOD(20,3)=0,X240&gt;0),X240*Assumptions!$B$59,0)</f>
        <v/>
      </c>
      <c r="Y241" s="436">
        <f>IF(AND(MOD(21,3)=0,Y240&gt;0),Y240*Assumptions!$B$59,0)</f>
        <v/>
      </c>
      <c r="Z241" s="436">
        <f>IF(AND(MOD(22,3)=0,Z240&gt;0),Z240*Assumptions!$B$59,0)</f>
        <v/>
      </c>
      <c r="AA241" s="436">
        <f>IF(AND(MOD(23,3)=0,AA240&gt;0),AA240*Assumptions!$B$59,0)</f>
        <v/>
      </c>
      <c r="AB241" s="436">
        <f>IF(AND(MOD(24,3)=0,AB240&gt;0),AB240*Assumptions!$B$59,0)</f>
        <v/>
      </c>
      <c r="AC241" s="436">
        <f>IF(AND(MOD(25,3)=0,AC240&gt;0),AC240*Assumptions!$B$59,0)</f>
        <v/>
      </c>
      <c r="AD241" s="436">
        <f>IF(AND(MOD(26,3)=0,AD240&gt;0),AD240*Assumptions!$B$59,0)</f>
        <v/>
      </c>
      <c r="AE241" s="436">
        <f>IF(AND(MOD(27,3)=0,AE240&gt;0),AE240*Assumptions!$B$59,0)</f>
        <v/>
      </c>
      <c r="AF241" s="436">
        <f>IF(AND(MOD(28,3)=0,AF240&gt;0),AF240*Assumptions!$B$59,0)</f>
        <v/>
      </c>
      <c r="AG241" s="436">
        <f>IF(AND(MOD(29,3)=0,AG240&gt;0),AG240*Assumptions!$B$59,0)</f>
        <v/>
      </c>
      <c r="AH241" s="436">
        <f>IF(AND(MOD(30,3)=0,AH240&gt;0),AH240*Assumptions!$B$59,0)</f>
        <v/>
      </c>
      <c r="AI241" s="436">
        <f>IF(AND(MOD(31,3)=0,AI240&gt;0),AI240*Assumptions!$B$59,0)</f>
        <v/>
      </c>
      <c r="AJ241" s="436">
        <f>IF(AND(MOD(32,3)=0,AJ240&gt;0),AJ240*Assumptions!$B$59,0)</f>
        <v/>
      </c>
      <c r="AK241" s="436">
        <f>IF(AND(MOD(33,3)=0,AK240&gt;0),AK240*Assumptions!$B$59,0)</f>
        <v/>
      </c>
      <c r="AL241" s="436">
        <f>IF(AND(MOD(34,3)=0,AL240&gt;0),AL240*Assumptions!$B$59,0)</f>
        <v/>
      </c>
      <c r="AM241" s="436">
        <f>IF(AND(MOD(35,3)=0,AM240&gt;0),AM240*Assumptions!$B$59,0)</f>
        <v/>
      </c>
      <c r="AN241" s="436">
        <f>IF(AND(MOD(36,3)=0,AN240&gt;0),AN240*Assumptions!$B$59,0)</f>
        <v/>
      </c>
      <c r="AO241" s="436">
        <f>IF(AND(MOD(37,3)=0,AO240&gt;0),AO240*Assumptions!$B$59,0)</f>
        <v/>
      </c>
      <c r="AP241" s="436">
        <f>IF(AND(MOD(38,3)=0,AP240&gt;0),AP240*Assumptions!$B$59,0)</f>
        <v/>
      </c>
      <c r="AQ241" s="436">
        <f>IF(AND(MOD(39,3)=0,AQ240&gt;0),AQ240*Assumptions!$B$59,0)</f>
        <v/>
      </c>
      <c r="AR241" s="436">
        <f>IF(AND(MOD(40,3)=0,AR240&gt;0),AR240*Assumptions!$B$59,0)</f>
        <v/>
      </c>
      <c r="AS241" s="436">
        <f>IF(AND(MOD(41,3)=0,AS240&gt;0),AS240*Assumptions!$B$59,0)</f>
        <v/>
      </c>
      <c r="AT241" s="436">
        <f>IF(AND(MOD(42,3)=0,AT240&gt;0),AT240*Assumptions!$B$59,0)</f>
        <v/>
      </c>
      <c r="AU241" s="436">
        <f>IF(AND(MOD(43,3)=0,AU240&gt;0),AU240*Assumptions!$B$59,0)</f>
        <v/>
      </c>
      <c r="AV241" s="436">
        <f>IF(AND(MOD(44,3)=0,AV240&gt;0),AV240*Assumptions!$B$59,0)</f>
        <v/>
      </c>
      <c r="AW241" s="436">
        <f>IF(AND(MOD(45,3)=0,AW240&gt;0),AW240*Assumptions!$B$59,0)</f>
        <v/>
      </c>
      <c r="AX241" s="436">
        <f>IF(AND(MOD(46,3)=0,AX240&gt;0),AX240*Assumptions!$B$59,0)</f>
        <v/>
      </c>
      <c r="AY241" s="436">
        <f>IF(AND(MOD(47,3)=0,AY240&gt;0),AY240*Assumptions!$B$59,0)</f>
        <v/>
      </c>
      <c r="AZ241" s="436">
        <f>IF(AND(MOD(48,3)=0,AZ240&gt;0),AZ240*Assumptions!$B$59,0)</f>
        <v/>
      </c>
      <c r="BA241" s="436">
        <f>IF(AND(MOD(49,3)=0,BA240&gt;0),BA240*Assumptions!$B$59,0)</f>
        <v/>
      </c>
      <c r="BB241" s="436">
        <f>IF(AND(MOD(50,3)=0,BB240&gt;0),BB240*Assumptions!$B$59,0)</f>
        <v/>
      </c>
      <c r="BC241" s="436">
        <f>IF(AND(MOD(51,3)=0,BC240&gt;0),BC240*Assumptions!$B$59,0)</f>
        <v/>
      </c>
      <c r="BD241" s="436">
        <f>IF(AND(MOD(52,3)=0,BD240&gt;0),BD240*Assumptions!$B$59,0)</f>
        <v/>
      </c>
      <c r="BE241" s="436">
        <f>IF(AND(MOD(53,3)=0,BE240&gt;0),BE240*Assumptions!$B$59,0)</f>
        <v/>
      </c>
      <c r="BF241" s="436">
        <f>IF(AND(MOD(54,3)=0,BF240&gt;0),BF240*Assumptions!$B$59,0)</f>
        <v/>
      </c>
      <c r="BG241" s="436">
        <f>IF(AND(MOD(55,3)=0,BG240&gt;0),BG240*Assumptions!$B$59,0)</f>
        <v/>
      </c>
      <c r="BH241" s="436">
        <f>IF(AND(MOD(56,3)=0,BH240&gt;0),BH240*Assumptions!$B$59,0)</f>
        <v/>
      </c>
      <c r="BI241" s="436">
        <f>IF(AND(MOD(57,3)=0,BI240&gt;0),BI240*Assumptions!$B$59,0)</f>
        <v/>
      </c>
      <c r="BJ241" s="436">
        <f>IF(AND(MOD(58,3)=0,BJ240&gt;0),BJ240*Assumptions!$B$59,0)</f>
        <v/>
      </c>
      <c r="BK241" s="436">
        <f>IF(AND(MOD(59,3)=0,BK240&gt;0),BK240*Assumptions!$B$59,0)</f>
        <v/>
      </c>
      <c r="BL241" s="436">
        <f>IF(AND(MOD(60,3)=0,BL240&gt;0),BL240*Assumptions!$B$59,0)</f>
        <v/>
      </c>
      <c r="BM241" s="436">
        <f>IF(AND(MOD(61,3)=0,BM240&gt;0),BM240*Assumptions!$B$59,0)</f>
        <v/>
      </c>
      <c r="BN241" s="436">
        <f>IF(AND(MOD(62,3)=0,BN240&gt;0),BN240*Assumptions!$B$59,0)</f>
        <v/>
      </c>
      <c r="BO241" s="436">
        <f>IF(AND(MOD(63,3)=0,BO240&gt;0),BO240*Assumptions!$B$59,0)</f>
        <v/>
      </c>
      <c r="BP241" s="436">
        <f>IF(AND(MOD(64,3)=0,BP240&gt;0),BP240*Assumptions!$B$59,0)</f>
        <v/>
      </c>
      <c r="BQ241" s="436">
        <f>IF(AND(MOD(65,3)=0,BQ240&gt;0),BQ240*Assumptions!$B$59,0)</f>
        <v/>
      </c>
      <c r="BR241" s="436">
        <f>IF(AND(MOD(66,3)=0,BR240&gt;0),BR240*Assumptions!$B$59,0)</f>
        <v/>
      </c>
      <c r="BS241" s="436">
        <f>IF(AND(MOD(67,3)=0,BS240&gt;0),BS240*Assumptions!$B$59,0)</f>
        <v/>
      </c>
      <c r="BT241" s="436">
        <f>IF(AND(MOD(68,3)=0,BT240&gt;0),BT240*Assumptions!$B$59,0)</f>
        <v/>
      </c>
      <c r="BU241" s="436">
        <f>IF(AND(MOD(69,3)=0,BU240&gt;0),BU240*Assumptions!$B$59,0)</f>
        <v/>
      </c>
      <c r="BV241" s="436">
        <f>IF(AND(MOD(70,3)=0,BV240&gt;0),BV240*Assumptions!$B$59,0)</f>
        <v/>
      </c>
      <c r="BW241" s="436">
        <f>IF(AND(MOD(71,3)=0,BW240&gt;0),BW240*Assumptions!$B$59,0)</f>
        <v/>
      </c>
      <c r="BX241" s="436">
        <f>IF(AND(MOD(72,3)=0,BX240&gt;0),BX240*Assumptions!$B$59,0)</f>
        <v/>
      </c>
      <c r="BY241" s="436">
        <f>IF(AND(MOD(73,3)=0,BY240&gt;0),BY240*Assumptions!$B$59,0)</f>
        <v/>
      </c>
      <c r="BZ241" s="436">
        <f>IF(AND(MOD(74,3)=0,BZ240&gt;0),BZ240*Assumptions!$B$59,0)</f>
        <v/>
      </c>
      <c r="CA241" s="436">
        <f>IF(AND(MOD(75,3)=0,CA240&gt;0),CA240*Assumptions!$B$59,0)</f>
        <v/>
      </c>
      <c r="CB241" s="436">
        <f>IF(AND(MOD(76,3)=0,CB240&gt;0),CB240*Assumptions!$B$59,0)</f>
        <v/>
      </c>
      <c r="CC241" s="436">
        <f>IF(AND(MOD(77,3)=0,CC240&gt;0),CC240*Assumptions!$B$59,0)</f>
        <v/>
      </c>
      <c r="CD241" s="436">
        <f>IF(AND(MOD(78,3)=0,CD240&gt;0),CD240*Assumptions!$B$59,0)</f>
        <v/>
      </c>
      <c r="CE241" s="436">
        <f>IF(AND(MOD(79,3)=0,CE240&gt;0),CE240*Assumptions!$B$59,0)</f>
        <v/>
      </c>
      <c r="CF241" s="436">
        <f>IF(AND(MOD(80,3)=0,CF240&gt;0),CF240*Assumptions!$B$59,0)</f>
        <v/>
      </c>
      <c r="CG241" s="436">
        <f>IF(AND(MOD(81,3)=0,CG240&gt;0),CG240*Assumptions!$B$59,0)</f>
        <v/>
      </c>
      <c r="CH241" s="436">
        <f>IF(AND(MOD(82,3)=0,CH240&gt;0),CH240*Assumptions!$B$59,0)</f>
        <v/>
      </c>
      <c r="CI241" s="436">
        <f>IF(AND(MOD(83,3)=0,CI240&gt;0),CI240*Assumptions!$B$59,0)</f>
        <v/>
      </c>
      <c r="CJ241" s="436">
        <f>IF(AND(MOD(84,3)=0,CJ240&gt;0),CJ240*Assumptions!$B$59,0)</f>
        <v/>
      </c>
      <c r="CK241" s="436">
        <f>IF(AND(MOD(85,3)=0,CK240&gt;0),CK240*Assumptions!$B$59,0)</f>
        <v/>
      </c>
      <c r="CL241" s="436">
        <f>IF(AND(MOD(86,3)=0,CL240&gt;0),CL240*Assumptions!$B$59,0)</f>
        <v/>
      </c>
      <c r="CM241" s="436">
        <f>IF(AND(MOD(87,3)=0,CM240&gt;0),CM240*Assumptions!$B$59,0)</f>
        <v/>
      </c>
      <c r="CN241" s="436">
        <f>IF(AND(MOD(88,3)=0,CN240&gt;0),CN240*Assumptions!$B$59,0)</f>
        <v/>
      </c>
      <c r="CO241" s="436">
        <f>IF(AND(MOD(89,3)=0,CO240&gt;0),CO240*Assumptions!$B$59,0)</f>
        <v/>
      </c>
      <c r="CP241" s="436">
        <f>IF(AND(MOD(90,3)=0,CP240&gt;0),CP240*Assumptions!$B$59,0)</f>
        <v/>
      </c>
      <c r="CQ241" s="436">
        <f>IF(AND(MOD(91,3)=0,CQ240&gt;0),CQ240*Assumptions!$B$59,0)</f>
        <v/>
      </c>
      <c r="CR241" s="436">
        <f>IF(AND(MOD(92,3)=0,CR240&gt;0),CR240*Assumptions!$B$59,0)</f>
        <v/>
      </c>
      <c r="CS241" s="436">
        <f>IF(AND(MOD(93,3)=0,CS240&gt;0),CS240*Assumptions!$B$59,0)</f>
        <v/>
      </c>
      <c r="CT241" s="436">
        <f>IF(AND(MOD(94,3)=0,CT240&gt;0),CT240*Assumptions!$B$59,0)</f>
        <v/>
      </c>
      <c r="CU241" s="436">
        <f>IF(AND(MOD(95,3)=0,CU240&gt;0),CU240*Assumptions!$B$59,0)</f>
        <v/>
      </c>
      <c r="CV241" s="436">
        <f>IF(AND(MOD(96,3)=0,CV240&gt;0),CV240*Assumptions!$B$59,0)</f>
        <v/>
      </c>
      <c r="CW241" s="436">
        <f>IF(AND(MOD(97,3)=0,CW240&gt;0),CW240*Assumptions!$B$59,0)</f>
        <v/>
      </c>
      <c r="CX241" s="436">
        <f>IF(AND(MOD(98,3)=0,CX240&gt;0),CX240*Assumptions!$B$59,0)</f>
        <v/>
      </c>
      <c r="CY241" s="436">
        <f>IF(AND(MOD(99,3)=0,CY240&gt;0),CY240*Assumptions!$B$59,0)</f>
        <v/>
      </c>
      <c r="CZ241" s="436">
        <f>IF(AND(MOD(100,3)=0,CZ240&gt;0),CZ240*Assumptions!$B$59,0)</f>
        <v/>
      </c>
      <c r="DA241" s="436">
        <f>IF(AND(MOD(101,3)=0,DA240&gt;0),DA240*Assumptions!$B$59,0)</f>
        <v/>
      </c>
      <c r="DB241" s="436">
        <f>IF(AND(MOD(102,3)=0,DB240&gt;0),DB240*Assumptions!$B$59,0)</f>
        <v/>
      </c>
      <c r="DC241" s="436">
        <f>IF(AND(MOD(103,3)=0,DC240&gt;0),DC240*Assumptions!$B$59,0)</f>
        <v/>
      </c>
      <c r="DD241" s="436">
        <f>IF(AND(MOD(104,3)=0,DD240&gt;0),DD240*Assumptions!$B$59,0)</f>
        <v/>
      </c>
      <c r="DE241" s="436">
        <f>IF(AND(MOD(105,3)=0,DE240&gt;0),DE240*Assumptions!$B$59,0)</f>
        <v/>
      </c>
    </row>
    <row r="242" ht="15" customFormat="1" customHeight="1" s="380">
      <c r="A242" s="435" t="inlineStr">
        <is>
          <t>3rd St - Deal Distribution</t>
        </is>
      </c>
      <c r="B242" s="436" t="n"/>
      <c r="C242" s="436" t="n"/>
      <c r="D242" s="436" t="n"/>
      <c r="E242" s="436" t="n">
        <v>0</v>
      </c>
      <c r="F242" s="436" t="n">
        <v>0</v>
      </c>
      <c r="G242" s="436" t="n">
        <v>0</v>
      </c>
      <c r="H242" s="436" t="n">
        <v>0</v>
      </c>
      <c r="I242" s="436" t="n">
        <v>0</v>
      </c>
      <c r="J242" s="436" t="n">
        <v>0</v>
      </c>
      <c r="K242" s="436" t="n">
        <v>0</v>
      </c>
      <c r="L242" s="436" t="n">
        <v>0</v>
      </c>
      <c r="M242" s="436" t="n">
        <v>0</v>
      </c>
      <c r="N242" s="436" t="n">
        <v>0</v>
      </c>
      <c r="O242" s="436" t="n">
        <v>0</v>
      </c>
      <c r="P242" s="436" t="n">
        <v>0</v>
      </c>
      <c r="Q242" s="436" t="n">
        <v>0</v>
      </c>
      <c r="R242" s="436" t="n">
        <v>0</v>
      </c>
      <c r="S242" s="436" t="n">
        <v>0</v>
      </c>
      <c r="T242" s="436" t="n">
        <v>0</v>
      </c>
      <c r="U242" s="436" t="n">
        <v>0</v>
      </c>
      <c r="V242" s="436" t="n">
        <v>0</v>
      </c>
      <c r="W242" s="436" t="n">
        <v>0</v>
      </c>
      <c r="X242" s="436" t="n">
        <v>0</v>
      </c>
      <c r="Y242" s="436" t="n">
        <v>0</v>
      </c>
      <c r="Z242" s="436" t="n">
        <v>0</v>
      </c>
      <c r="AA242" s="436" t="n">
        <v>0</v>
      </c>
      <c r="AB242" s="436" t="n">
        <v>0</v>
      </c>
      <c r="AC242" s="436" t="n">
        <v>0</v>
      </c>
      <c r="AD242" s="436" t="n">
        <v>0</v>
      </c>
      <c r="AE242" s="436">
        <f>IF(Projects!$G$14="Yes",Assumptions!$B$77,0)</f>
        <v/>
      </c>
      <c r="AF242" s="436" t="n">
        <v>0</v>
      </c>
      <c r="AG242" s="436" t="n">
        <v>0</v>
      </c>
      <c r="AH242" s="436" t="n">
        <v>0</v>
      </c>
      <c r="AI242" s="436" t="n">
        <v>0</v>
      </c>
      <c r="AJ242" s="436" t="n">
        <v>0</v>
      </c>
      <c r="AK242" s="436" t="n">
        <v>0</v>
      </c>
      <c r="AL242" s="436" t="n">
        <v>0</v>
      </c>
      <c r="AM242" s="436" t="n">
        <v>0</v>
      </c>
      <c r="AN242" s="436" t="n">
        <v>0</v>
      </c>
      <c r="AO242" s="436" t="n">
        <v>0</v>
      </c>
      <c r="AP242" s="436" t="n">
        <v>0</v>
      </c>
      <c r="AQ242" s="436" t="n">
        <v>0</v>
      </c>
      <c r="AR242" s="436" t="n">
        <v>0</v>
      </c>
      <c r="AS242" s="436" t="n">
        <v>0</v>
      </c>
      <c r="AT242" s="436" t="n">
        <v>0</v>
      </c>
      <c r="AU242" s="436" t="n">
        <v>0</v>
      </c>
      <c r="AV242" s="436" t="n">
        <v>0</v>
      </c>
      <c r="AW242" s="436" t="n">
        <v>0</v>
      </c>
      <c r="AX242" s="436" t="n">
        <v>0</v>
      </c>
      <c r="AY242" s="436" t="n">
        <v>0</v>
      </c>
      <c r="AZ242" s="436" t="n">
        <v>0</v>
      </c>
      <c r="BA242" s="436" t="n">
        <v>0</v>
      </c>
      <c r="BB242" s="436" t="n">
        <v>0</v>
      </c>
      <c r="BC242" s="436" t="n">
        <v>0</v>
      </c>
      <c r="BD242" s="436" t="n">
        <v>0</v>
      </c>
      <c r="BE242" s="436" t="n">
        <v>0</v>
      </c>
      <c r="BF242" s="436" t="n">
        <v>0</v>
      </c>
      <c r="BG242" s="436" t="n">
        <v>0</v>
      </c>
      <c r="BH242" s="436" t="n">
        <v>0</v>
      </c>
      <c r="BI242" s="436" t="n">
        <v>0</v>
      </c>
      <c r="BJ242" s="436" t="n">
        <v>0</v>
      </c>
      <c r="BK242" s="436" t="n">
        <v>0</v>
      </c>
      <c r="BL242" s="436" t="n">
        <v>0</v>
      </c>
      <c r="BM242" s="436" t="n">
        <v>0</v>
      </c>
      <c r="BN242" s="436" t="n">
        <v>0</v>
      </c>
      <c r="BO242" s="436" t="n">
        <v>0</v>
      </c>
      <c r="BP242" s="436" t="n">
        <v>0</v>
      </c>
      <c r="BQ242" s="436" t="n">
        <v>0</v>
      </c>
      <c r="BR242" s="436" t="n">
        <v>0</v>
      </c>
      <c r="BS242" s="436" t="n">
        <v>0</v>
      </c>
      <c r="BT242" s="436" t="n">
        <v>0</v>
      </c>
      <c r="BU242" s="436" t="n">
        <v>0</v>
      </c>
      <c r="BV242" s="436" t="n">
        <v>0</v>
      </c>
      <c r="BW242" s="436" t="n">
        <v>0</v>
      </c>
      <c r="BX242" s="436" t="n">
        <v>0</v>
      </c>
      <c r="BY242" s="436" t="n">
        <v>0</v>
      </c>
      <c r="BZ242" s="436" t="n">
        <v>0</v>
      </c>
      <c r="CA242" s="436" t="n">
        <v>0</v>
      </c>
      <c r="CB242" s="436" t="n">
        <v>0</v>
      </c>
      <c r="CC242" s="436" t="n">
        <v>0</v>
      </c>
      <c r="CD242" s="436" t="n">
        <v>0</v>
      </c>
      <c r="CE242" s="436" t="n">
        <v>0</v>
      </c>
      <c r="CF242" s="436" t="n">
        <v>0</v>
      </c>
      <c r="CG242" s="436" t="n">
        <v>0</v>
      </c>
      <c r="CH242" s="436" t="n">
        <v>0</v>
      </c>
      <c r="CI242" s="436" t="n">
        <v>0</v>
      </c>
      <c r="CJ242" s="436" t="n">
        <v>0</v>
      </c>
      <c r="CK242" s="436" t="n">
        <v>0</v>
      </c>
      <c r="CL242" s="436" t="n">
        <v>0</v>
      </c>
      <c r="CM242" s="436" t="n">
        <v>0</v>
      </c>
      <c r="CN242" s="436" t="n">
        <v>0</v>
      </c>
      <c r="CO242" s="436" t="n">
        <v>0</v>
      </c>
      <c r="CP242" s="436" t="n">
        <v>0</v>
      </c>
      <c r="CQ242" s="436" t="n">
        <v>0</v>
      </c>
      <c r="CR242" s="436" t="n">
        <v>0</v>
      </c>
      <c r="CS242" s="436" t="n">
        <v>0</v>
      </c>
      <c r="CT242" s="436" t="n"/>
      <c r="CU242" s="436" t="n"/>
      <c r="CV242" s="436" t="n"/>
      <c r="CW242" s="436" t="n"/>
      <c r="CX242" s="436" t="n"/>
      <c r="CY242" s="436" t="n"/>
      <c r="CZ242" s="436" t="n"/>
      <c r="DA242" s="436" t="n"/>
      <c r="DB242" s="436" t="n"/>
      <c r="DC242" s="436" t="n"/>
      <c r="DD242" s="436" t="n"/>
      <c r="DE242" s="436" t="n"/>
    </row>
    <row r="243" ht="15" customFormat="1" customHeight="1" s="380">
      <c r="A243" s="437" t="inlineStr">
        <is>
          <t>3rd St - PIK Payment (LIHTC)</t>
        </is>
      </c>
      <c r="B243" s="438" t="n"/>
      <c r="C243" s="438" t="n"/>
      <c r="D243" s="438" t="n"/>
      <c r="E243" s="438">
        <f>-MIN(E240+E241+E242,MAX(0,E166-Helpers!C26))</f>
        <v/>
      </c>
      <c r="F243" s="438">
        <f>-MIN(F240+F241+F242,MAX(0,F166-Helpers!D26))</f>
        <v/>
      </c>
      <c r="G243" s="438">
        <f>-MIN(G240+G241+G242,MAX(0,G166-Helpers!E26))</f>
        <v/>
      </c>
      <c r="H243" s="438">
        <f>-MIN(H240+H241+H242,MAX(0,H166-Helpers!F26))</f>
        <v/>
      </c>
      <c r="I243" s="438">
        <f>-MIN(I240+I241+I242,MAX(0,I166-Helpers!G26))</f>
        <v/>
      </c>
      <c r="J243" s="438">
        <f>-MIN(J240+J241+J242,MAX(0,J166-Helpers!H26))</f>
        <v/>
      </c>
      <c r="K243" s="438">
        <f>-MIN(K240+K241+K242,MAX(0,K166-Helpers!I26))</f>
        <v/>
      </c>
      <c r="L243" s="438">
        <f>-MIN(L240+L241+L242,MAX(0,L166-Helpers!J26))</f>
        <v/>
      </c>
      <c r="M243" s="438">
        <f>-MIN(M240+M241+M242,MAX(0,M166-Helpers!K26))</f>
        <v/>
      </c>
      <c r="N243" s="438">
        <f>-MIN(N240+N241+N242,MAX(0,N166-Helpers!L26))</f>
        <v/>
      </c>
      <c r="O243" s="438">
        <f>-MIN(O240+O241+O242,MAX(0,O166-Helpers!M26))</f>
        <v/>
      </c>
      <c r="P243" s="438">
        <f>-MIN(P240+P241+P242,MAX(0,P166-Helpers!N26))</f>
        <v/>
      </c>
      <c r="Q243" s="438">
        <f>-MIN(Q240+Q241+Q242,MAX(0,Q166-Helpers!O26))</f>
        <v/>
      </c>
      <c r="R243" s="438">
        <f>-MIN(R240+R241+R242,MAX(0,R166-Helpers!P26))</f>
        <v/>
      </c>
      <c r="S243" s="438">
        <f>-MIN(S240+S241+S242,MAX(0,S166-Helpers!Q26))</f>
        <v/>
      </c>
      <c r="T243" s="438">
        <f>-MIN(T240+T241+T242,MAX(0,T166-Helpers!R26))</f>
        <v/>
      </c>
      <c r="U243" s="438">
        <f>-MIN(U240+U241+U242,MAX(0,U166-Helpers!S26))</f>
        <v/>
      </c>
      <c r="V243" s="438">
        <f>-MIN(V240+V241+V242,MAX(0,V166-Helpers!T26))</f>
        <v/>
      </c>
      <c r="W243" s="438">
        <f>-MIN(W240+W241+W242,MAX(0,W166-Helpers!U26))</f>
        <v/>
      </c>
      <c r="X243" s="438">
        <f>-MIN(X240+X241+X242,MAX(0,X166-Helpers!V26))</f>
        <v/>
      </c>
      <c r="Y243" s="438">
        <f>-MIN(Y240+Y241+Y242,MAX(0,Y166-Helpers!W26))</f>
        <v/>
      </c>
      <c r="Z243" s="438">
        <f>-MIN(Z240+Z241+Z242,MAX(0,Z166-Helpers!X26))</f>
        <v/>
      </c>
      <c r="AA243" s="438">
        <f>-MIN(AA240+AA241+AA242,MAX(0,AA166-Helpers!Y26))</f>
        <v/>
      </c>
      <c r="AB243" s="438">
        <f>-MIN(AB240+AB241+AB242,MAX(0,AB166-Helpers!Z26))</f>
        <v/>
      </c>
      <c r="AC243" s="438">
        <f>-MIN(AC240+AC241+AC242,MAX(0,AC166-Helpers!AA26))</f>
        <v/>
      </c>
      <c r="AD243" s="438">
        <f>-MIN(AD240+AD241+AD242,MAX(0,AD166-Helpers!AB26))</f>
        <v/>
      </c>
      <c r="AE243" s="438">
        <f>-MIN(AE240+AE241+AE242,MAX(0,AE166-Helpers!AC26))</f>
        <v/>
      </c>
      <c r="AF243" s="438">
        <f>-MIN(AF240+AF241+AF242,MAX(0,AF166-Helpers!AD26))</f>
        <v/>
      </c>
      <c r="AG243" s="438">
        <f>-MIN(AG240+AG241+AG242,MAX(0,AG166-Helpers!AE26))</f>
        <v/>
      </c>
      <c r="AH243" s="438">
        <f>-MIN(AH240+AH241+AH242,MAX(0,AH166-Helpers!AF26))</f>
        <v/>
      </c>
      <c r="AI243" s="438">
        <f>-MIN(AI240+AI241+AI242,MAX(0,AI166-Helpers!AG26))</f>
        <v/>
      </c>
      <c r="AJ243" s="438">
        <f>-MIN(AJ240+AJ241+AJ242,MAX(0,AJ166-Helpers!AH26))</f>
        <v/>
      </c>
      <c r="AK243" s="438">
        <f>-MIN(AK240+AK241+AK242,MAX(0,AK166-Helpers!AI26))</f>
        <v/>
      </c>
      <c r="AL243" s="438">
        <f>-MIN(AL240+AL241+AL242,MAX(0,AL166-Helpers!AJ26))</f>
        <v/>
      </c>
      <c r="AM243" s="438">
        <f>-MIN(AM240+AM241+AM242,MAX(0,AM166-Helpers!AK26))</f>
        <v/>
      </c>
      <c r="AN243" s="438">
        <f>-MIN(AN240+AN241+AN242,MAX(0,AN166-Helpers!AL26))</f>
        <v/>
      </c>
      <c r="AO243" s="438">
        <f>-MIN(AO240+AO241+AO242,MAX(0,AO166-Helpers!AM26))</f>
        <v/>
      </c>
      <c r="AP243" s="438">
        <f>-MIN(AP240+AP241+AP242,MAX(0,AP166-Helpers!AN26))</f>
        <v/>
      </c>
      <c r="AQ243" s="438">
        <f>-MIN(AQ240+AQ241+AQ242,MAX(0,AQ166-Helpers!AO26))</f>
        <v/>
      </c>
      <c r="AR243" s="438">
        <f>-MIN(AR240+AR241+AR242,MAX(0,AR166-Helpers!AP26))</f>
        <v/>
      </c>
      <c r="AS243" s="438">
        <f>-MIN(AS240+AS241+AS242,MAX(0,AS166-Helpers!AQ26))</f>
        <v/>
      </c>
      <c r="AT243" s="438">
        <f>-MIN(AT240+AT241+AT242,MAX(0,AT166-Helpers!AR26))</f>
        <v/>
      </c>
      <c r="AU243" s="438">
        <f>-MIN(AU240+AU241+AU242,MAX(0,AU166-Helpers!AS26))</f>
        <v/>
      </c>
      <c r="AV243" s="438">
        <f>-MIN(AV240+AV241+AV242,MAX(0,AV166-Helpers!AT26))</f>
        <v/>
      </c>
      <c r="AW243" s="438">
        <f>-MIN(AW240+AW241+AW242,MAX(0,AW166-Helpers!AU26))</f>
        <v/>
      </c>
      <c r="AX243" s="438">
        <f>-MIN(AX240+AX241+AX242,MAX(0,AX166-Helpers!AV26))</f>
        <v/>
      </c>
      <c r="AY243" s="438">
        <f>-MIN(AY240+AY241+AY242,MAX(0,AY166-Helpers!AW26))</f>
        <v/>
      </c>
      <c r="AZ243" s="438">
        <f>-MIN(AZ240+AZ241+AZ242,MAX(0,AZ166-Helpers!AX26))</f>
        <v/>
      </c>
      <c r="BA243" s="438">
        <f>-MIN(BA240+BA241+BA242,MAX(0,BA166-Helpers!AY26))</f>
        <v/>
      </c>
      <c r="BB243" s="438">
        <f>-MIN(BB240+BB241+BB242,MAX(0,BB166-Helpers!AZ26))</f>
        <v/>
      </c>
      <c r="BC243" s="438">
        <f>-MIN(BC240+BC241+BC242,MAX(0,BC166-Helpers!BA26))</f>
        <v/>
      </c>
      <c r="BD243" s="438">
        <f>-MIN(BD240+BD241+BD242,MAX(0,BD166-Helpers!BB26))</f>
        <v/>
      </c>
      <c r="BE243" s="438">
        <f>-MIN(BE240+BE241+BE242,MAX(0,BE166-Helpers!BC26))</f>
        <v/>
      </c>
      <c r="BF243" s="438">
        <f>-MIN(BF240+BF241+BF242,MAX(0,BF166-Helpers!BD26))</f>
        <v/>
      </c>
      <c r="BG243" s="438">
        <f>-MIN(BG240+BG241+BG242,MAX(0,BG166-Helpers!BE26))</f>
        <v/>
      </c>
      <c r="BH243" s="438">
        <f>-MIN(BH240+BH241+BH242,MAX(0,BH166-Helpers!BF26))</f>
        <v/>
      </c>
      <c r="BI243" s="438">
        <f>-MIN(BI240+BI241+BI242,MAX(0,BI166-Helpers!BG26))</f>
        <v/>
      </c>
      <c r="BJ243" s="438">
        <f>-MIN(BJ240+BJ241+BJ242,MAX(0,BJ166-Helpers!BH26))</f>
        <v/>
      </c>
      <c r="BK243" s="438">
        <f>-MIN(BK240+BK241+BK242,MAX(0,BK166-Helpers!BI26))</f>
        <v/>
      </c>
      <c r="BL243" s="438">
        <f>-MIN(BL240+BL241+BL242,MAX(0,BL166-Helpers!BJ26))</f>
        <v/>
      </c>
      <c r="BM243" s="438">
        <f>-MIN(BM240+BM241+BM242,MAX(0,BM166-Helpers!BK26))</f>
        <v/>
      </c>
      <c r="BN243" s="438">
        <f>-MIN(BN240+BN241+BN242,MAX(0,BN166-Helpers!BL26))</f>
        <v/>
      </c>
      <c r="BO243" s="438">
        <f>-MIN(BO240+BO241+BO242,MAX(0,BO166-Helpers!BM26))</f>
        <v/>
      </c>
      <c r="BP243" s="438">
        <f>-MIN(BP240+BP241+BP242,MAX(0,BP166-Helpers!BN26))</f>
        <v/>
      </c>
      <c r="BQ243" s="438">
        <f>-MIN(BQ240+BQ241+BQ242,MAX(0,BQ166-Helpers!BO26))</f>
        <v/>
      </c>
      <c r="BR243" s="438">
        <f>-MIN(BR240+BR241+BR242,MAX(0,BR166-Helpers!BP26))</f>
        <v/>
      </c>
      <c r="BS243" s="438">
        <f>-MIN(BS240+BS241+BS242,MAX(0,BS166-Helpers!BQ26))</f>
        <v/>
      </c>
      <c r="BT243" s="438">
        <f>-MIN(BT240+BT241+BT242,MAX(0,BT166-Helpers!BR26))</f>
        <v/>
      </c>
      <c r="BU243" s="438">
        <f>-MIN(BU240+BU241+BU242,MAX(0,BU166-Helpers!BS26))</f>
        <v/>
      </c>
      <c r="BV243" s="438">
        <f>-MIN(BV240+BV241+BV242,MAX(0,BV166-Helpers!BT26))</f>
        <v/>
      </c>
      <c r="BW243" s="438">
        <f>-MIN(BW240+BW241+BW242,MAX(0,BW166-Helpers!BU26))</f>
        <v/>
      </c>
      <c r="BX243" s="438">
        <f>-MIN(BX240+BX241+BX242,MAX(0,BX166-Helpers!BV26))</f>
        <v/>
      </c>
      <c r="BY243" s="438">
        <f>-MIN(BY240+BY241+BY242,MAX(0,BY166-Helpers!BW26))</f>
        <v/>
      </c>
      <c r="BZ243" s="438">
        <f>-MIN(BZ240+BZ241+BZ242,MAX(0,BZ166-Helpers!BX26))</f>
        <v/>
      </c>
      <c r="CA243" s="438">
        <f>-MIN(CA240+CA241+CA242,MAX(0,CA166-Helpers!BY26))</f>
        <v/>
      </c>
      <c r="CB243" s="438">
        <f>-MIN(CB240+CB241+CB242,MAX(0,CB166-Helpers!BZ26))</f>
        <v/>
      </c>
      <c r="CC243" s="438">
        <f>-MIN(CC240+CC241+CC242,MAX(0,CC166-Helpers!CA26))</f>
        <v/>
      </c>
      <c r="CD243" s="438">
        <f>-MIN(CD240+CD241+CD242,MAX(0,CD166-Helpers!CB26))</f>
        <v/>
      </c>
      <c r="CE243" s="438">
        <f>-MIN(CE240+CE241+CE242,MAX(0,CE166-Helpers!CC26))</f>
        <v/>
      </c>
      <c r="CF243" s="438">
        <f>-MIN(CF240+CF241+CF242,MAX(0,CF166-Helpers!CD26))</f>
        <v/>
      </c>
      <c r="CG243" s="438">
        <f>-MIN(CG240+CG241+CG242,MAX(0,CG166-Helpers!CE26))</f>
        <v/>
      </c>
      <c r="CH243" s="438">
        <f>-MIN(CH240+CH241+CH242,MAX(0,CH166-Helpers!CF26))</f>
        <v/>
      </c>
      <c r="CI243" s="438">
        <f>-MIN(CI240+CI241+CI242,MAX(0,CI166-Helpers!CG26))</f>
        <v/>
      </c>
      <c r="CJ243" s="438">
        <f>-MIN(CJ240+CJ241+CJ242,MAX(0,CJ166-Helpers!CH26))</f>
        <v/>
      </c>
      <c r="CK243" s="438">
        <f>-MIN(CK240+CK241+CK242,MAX(0,CK166-Helpers!CI26))</f>
        <v/>
      </c>
      <c r="CL243" s="438">
        <f>-MIN(CL240+CL241+CL242,MAX(0,CL166-Helpers!CJ26))</f>
        <v/>
      </c>
      <c r="CM243" s="438">
        <f>-MIN(CM240+CM241+CM242,MAX(0,CM166-Helpers!CK26))</f>
        <v/>
      </c>
      <c r="CN243" s="438">
        <f>-MIN(CN240+CN241+CN242,MAX(0,CN166-Helpers!CL26))</f>
        <v/>
      </c>
      <c r="CO243" s="438">
        <f>-MIN(CO240+CO241+CO242,MAX(0,CO166-Helpers!CM26))</f>
        <v/>
      </c>
      <c r="CP243" s="438">
        <f>-MIN(CP240+CP241+CP242,MAX(0,CP166-Helpers!CN26))</f>
        <v/>
      </c>
      <c r="CQ243" s="438">
        <f>-MIN(CQ240+CQ241+CQ242,MAX(0,CQ166-Helpers!CO26))</f>
        <v/>
      </c>
      <c r="CR243" s="438">
        <f>-MIN(CR240+CR241+CR242,MAX(0,CR166-Helpers!CP26))</f>
        <v/>
      </c>
      <c r="CS243" s="438">
        <f>-MIN(CS240+CS241+CS242,MAX(0,CS166-Helpers!CQ26))</f>
        <v/>
      </c>
      <c r="CT243" s="438">
        <f>-MIN(CT240+CT241+CT242,MAX(0,CT166-Helpers!CR26))</f>
        <v/>
      </c>
      <c r="CU243" s="438">
        <f>-MIN(CU240+CU241+CU242,MAX(0,CU166-Helpers!CS26))</f>
        <v/>
      </c>
      <c r="CV243" s="438">
        <f>-MIN(CV240+CV241+CV242,MAX(0,CV166-Helpers!CT26))</f>
        <v/>
      </c>
      <c r="CW243" s="438">
        <f>-MIN(CW240+CW241+CW242,MAX(0,CW166-Helpers!CU26))</f>
        <v/>
      </c>
      <c r="CX243" s="438">
        <f>-MIN(CX240+CX241+CX242,MAX(0,CX166-Helpers!CV26))</f>
        <v/>
      </c>
      <c r="CY243" s="438">
        <f>-MIN(CY240+CY241+CY242,MAX(0,CY166-Helpers!CW26))</f>
        <v/>
      </c>
      <c r="CZ243" s="438">
        <f>-MIN(CZ240+CZ241+CZ242,MAX(0,CZ166-Helpers!CX26))</f>
        <v/>
      </c>
      <c r="DA243" s="438">
        <f>-MIN(DA240+DA241+DA242,MAX(0,DA166-Helpers!CY26))</f>
        <v/>
      </c>
      <c r="DB243" s="438">
        <f>-MIN(DB240+DB241+DB242,MAX(0,DB166-Helpers!CZ26))</f>
        <v/>
      </c>
      <c r="DC243" s="438">
        <f>-MIN(DC240+DC241+DC242,MAX(0,DC166-Helpers!DA26))</f>
        <v/>
      </c>
      <c r="DD243" s="438">
        <f>-MIN(DD240+DD241+DD242,MAX(0,DD166-Helpers!DB26))</f>
        <v/>
      </c>
      <c r="DE243" s="438">
        <f>-MIN(DE240+DE241+DE242,MAX(0,DE166-Helpers!DC26))</f>
        <v/>
      </c>
    </row>
    <row r="244" ht="15" customFormat="1" customHeight="1" s="380">
      <c r="A244" s="433" t="inlineStr">
        <is>
          <t>3rd St - Ending Balance</t>
        </is>
      </c>
      <c r="B244" s="434" t="n"/>
      <c r="C244" s="434" t="n"/>
      <c r="D244" s="434" t="n"/>
      <c r="E244" s="434">
        <f>MAX(0,E240+E241+E242+E243)</f>
        <v/>
      </c>
      <c r="F244" s="434">
        <f>MAX(0,F240+F241+F242+F243)</f>
        <v/>
      </c>
      <c r="G244" s="434">
        <f>MAX(0,G240+G241+G242+G243)</f>
        <v/>
      </c>
      <c r="H244" s="434">
        <f>MAX(0,H240+H241+H242+H243)</f>
        <v/>
      </c>
      <c r="I244" s="434">
        <f>MAX(0,I240+I241+I242+I243)</f>
        <v/>
      </c>
      <c r="J244" s="434">
        <f>MAX(0,J240+J241+J242+J243)</f>
        <v/>
      </c>
      <c r="K244" s="434">
        <f>MAX(0,K240+K241+K242+K243)</f>
        <v/>
      </c>
      <c r="L244" s="434">
        <f>MAX(0,L240+L241+L242+L243)</f>
        <v/>
      </c>
      <c r="M244" s="434">
        <f>MAX(0,M240+M241+M242+M243)</f>
        <v/>
      </c>
      <c r="N244" s="434">
        <f>MAX(0,N240+N241+N242+N243)</f>
        <v/>
      </c>
      <c r="O244" s="434">
        <f>MAX(0,O240+O241+O242+O243)</f>
        <v/>
      </c>
      <c r="P244" s="434">
        <f>MAX(0,P240+P241+P242+P243)</f>
        <v/>
      </c>
      <c r="Q244" s="434">
        <f>MAX(0,Q240+Q241+Q242+Q243)</f>
        <v/>
      </c>
      <c r="R244" s="434">
        <f>MAX(0,R240+R241+R242+R243)</f>
        <v/>
      </c>
      <c r="S244" s="434">
        <f>MAX(0,S240+S241+S242+S243)</f>
        <v/>
      </c>
      <c r="T244" s="434">
        <f>MAX(0,T240+T241+T242+T243)</f>
        <v/>
      </c>
      <c r="U244" s="434">
        <f>MAX(0,U240+U241+U242+U243)</f>
        <v/>
      </c>
      <c r="V244" s="434">
        <f>MAX(0,V240+V241+V242+V243)</f>
        <v/>
      </c>
      <c r="W244" s="434">
        <f>MAX(0,W240+W241+W242+W243)</f>
        <v/>
      </c>
      <c r="X244" s="434">
        <f>MAX(0,X240+X241+X242+X243)</f>
        <v/>
      </c>
      <c r="Y244" s="434">
        <f>MAX(0,Y240+Y241+Y242+Y243)</f>
        <v/>
      </c>
      <c r="Z244" s="434">
        <f>MAX(0,Z240+Z241+Z242+Z243)</f>
        <v/>
      </c>
      <c r="AA244" s="434">
        <f>MAX(0,AA240+AA241+AA242+AA243)</f>
        <v/>
      </c>
      <c r="AB244" s="434">
        <f>MAX(0,AB240+AB241+AB242+AB243)</f>
        <v/>
      </c>
      <c r="AC244" s="434">
        <f>MAX(0,AC240+AC241+AC242+AC243)</f>
        <v/>
      </c>
      <c r="AD244" s="434">
        <f>MAX(0,AD240+AD241+AD242+AD243)</f>
        <v/>
      </c>
      <c r="AE244" s="434">
        <f>MAX(0,AE240+AE241+AE242+AE243)</f>
        <v/>
      </c>
      <c r="AF244" s="434">
        <f>MAX(0,AF240+AF241+AF242+AF243)</f>
        <v/>
      </c>
      <c r="AG244" s="434">
        <f>MAX(0,AG240+AG241+AG242+AG243)</f>
        <v/>
      </c>
      <c r="AH244" s="434">
        <f>MAX(0,AH240+AH241+AH242+AH243)</f>
        <v/>
      </c>
      <c r="AI244" s="434">
        <f>MAX(0,AI240+AI241+AI242+AI243)</f>
        <v/>
      </c>
      <c r="AJ244" s="434">
        <f>MAX(0,AJ240+AJ241+AJ242+AJ243)</f>
        <v/>
      </c>
      <c r="AK244" s="434">
        <f>MAX(0,AK240+AK241+AK242+AK243)</f>
        <v/>
      </c>
      <c r="AL244" s="434">
        <f>MAX(0,AL240+AL241+AL242+AL243)</f>
        <v/>
      </c>
      <c r="AM244" s="434">
        <f>MAX(0,AM240+AM241+AM242+AM243)</f>
        <v/>
      </c>
      <c r="AN244" s="434">
        <f>MAX(0,AN240+AN241+AN242+AN243)</f>
        <v/>
      </c>
      <c r="AO244" s="434">
        <f>MAX(0,AO240+AO241+AO242+AO243)</f>
        <v/>
      </c>
      <c r="AP244" s="434">
        <f>MAX(0,AP240+AP241+AP242+AP243)</f>
        <v/>
      </c>
      <c r="AQ244" s="434">
        <f>MAX(0,AQ240+AQ241+AQ242+AQ243)</f>
        <v/>
      </c>
      <c r="AR244" s="434">
        <f>MAX(0,AR240+AR241+AR242+AR243)</f>
        <v/>
      </c>
      <c r="AS244" s="434">
        <f>MAX(0,AS240+AS241+AS242+AS243)</f>
        <v/>
      </c>
      <c r="AT244" s="434">
        <f>MAX(0,AT240+AT241+AT242+AT243)</f>
        <v/>
      </c>
      <c r="AU244" s="434">
        <f>MAX(0,AU240+AU241+AU242+AU243)</f>
        <v/>
      </c>
      <c r="AV244" s="434">
        <f>MAX(0,AV240+AV241+AV242+AV243)</f>
        <v/>
      </c>
      <c r="AW244" s="434">
        <f>MAX(0,AW240+AW241+AW242+AW243)</f>
        <v/>
      </c>
      <c r="AX244" s="434">
        <f>MAX(0,AX240+AX241+AX242+AX243)</f>
        <v/>
      </c>
      <c r="AY244" s="434">
        <f>MAX(0,AY240+AY241+AY242+AY243)</f>
        <v/>
      </c>
      <c r="AZ244" s="434">
        <f>MAX(0,AZ240+AZ241+AZ242+AZ243)</f>
        <v/>
      </c>
      <c r="BA244" s="434">
        <f>MAX(0,BA240+BA241+BA242+BA243)</f>
        <v/>
      </c>
      <c r="BB244" s="434">
        <f>MAX(0,BB240+BB241+BB242+BB243)</f>
        <v/>
      </c>
      <c r="BC244" s="434">
        <f>MAX(0,BC240+BC241+BC242+BC243)</f>
        <v/>
      </c>
      <c r="BD244" s="434">
        <f>MAX(0,BD240+BD241+BD242+BD243)</f>
        <v/>
      </c>
      <c r="BE244" s="434">
        <f>MAX(0,BE240+BE241+BE242+BE243)</f>
        <v/>
      </c>
      <c r="BF244" s="434">
        <f>MAX(0,BF240+BF241+BF242+BF243)</f>
        <v/>
      </c>
      <c r="BG244" s="434">
        <f>MAX(0,BG240+BG241+BG242+BG243)</f>
        <v/>
      </c>
      <c r="BH244" s="434">
        <f>MAX(0,BH240+BH241+BH242+BH243)</f>
        <v/>
      </c>
      <c r="BI244" s="434">
        <f>MAX(0,BI240+BI241+BI242+BI243)</f>
        <v/>
      </c>
      <c r="BJ244" s="434">
        <f>MAX(0,BJ240+BJ241+BJ242+BJ243)</f>
        <v/>
      </c>
      <c r="BK244" s="434">
        <f>MAX(0,BK240+BK241+BK242+BK243)</f>
        <v/>
      </c>
      <c r="BL244" s="434">
        <f>MAX(0,BL240+BL241+BL242+BL243)</f>
        <v/>
      </c>
      <c r="BM244" s="434">
        <f>MAX(0,BM240+BM241+BM242+BM243)</f>
        <v/>
      </c>
      <c r="BN244" s="434">
        <f>MAX(0,BN240+BN241+BN242+BN243)</f>
        <v/>
      </c>
      <c r="BO244" s="434">
        <f>MAX(0,BO240+BO241+BO242+BO243)</f>
        <v/>
      </c>
      <c r="BP244" s="434">
        <f>MAX(0,BP240+BP241+BP242+BP243)</f>
        <v/>
      </c>
      <c r="BQ244" s="434">
        <f>MAX(0,BQ240+BQ241+BQ242+BQ243)</f>
        <v/>
      </c>
      <c r="BR244" s="434">
        <f>MAX(0,BR240+BR241+BR242+BR243)</f>
        <v/>
      </c>
      <c r="BS244" s="434">
        <f>MAX(0,BS240+BS241+BS242+BS243)</f>
        <v/>
      </c>
      <c r="BT244" s="434">
        <f>MAX(0,BT240+BT241+BT242+BT243)</f>
        <v/>
      </c>
      <c r="BU244" s="434">
        <f>MAX(0,BU240+BU241+BU242+BU243)</f>
        <v/>
      </c>
      <c r="BV244" s="434">
        <f>MAX(0,BV240+BV241+BV242+BV243)</f>
        <v/>
      </c>
      <c r="BW244" s="434">
        <f>MAX(0,BW240+BW241+BW242+BW243)</f>
        <v/>
      </c>
      <c r="BX244" s="434">
        <f>MAX(0,BX240+BX241+BX242+BX243)</f>
        <v/>
      </c>
      <c r="BY244" s="434">
        <f>MAX(0,BY240+BY241+BY242+BY243)</f>
        <v/>
      </c>
      <c r="BZ244" s="434">
        <f>MAX(0,BZ240+BZ241+BZ242+BZ243)</f>
        <v/>
      </c>
      <c r="CA244" s="434">
        <f>MAX(0,CA240+CA241+CA242+CA243)</f>
        <v/>
      </c>
      <c r="CB244" s="434">
        <f>MAX(0,CB240+CB241+CB242+CB243)</f>
        <v/>
      </c>
      <c r="CC244" s="434">
        <f>MAX(0,CC240+CC241+CC242+CC243)</f>
        <v/>
      </c>
      <c r="CD244" s="434">
        <f>MAX(0,CD240+CD241+CD242+CD243)</f>
        <v/>
      </c>
      <c r="CE244" s="434">
        <f>MAX(0,CE240+CE241+CE242+CE243)</f>
        <v/>
      </c>
      <c r="CF244" s="434">
        <f>MAX(0,CF240+CF241+CF242+CF243)</f>
        <v/>
      </c>
      <c r="CG244" s="434">
        <f>MAX(0,CG240+CG241+CG242+CG243)</f>
        <v/>
      </c>
      <c r="CH244" s="434">
        <f>MAX(0,CH240+CH241+CH242+CH243)</f>
        <v/>
      </c>
      <c r="CI244" s="434">
        <f>MAX(0,CI240+CI241+CI242+CI243)</f>
        <v/>
      </c>
      <c r="CJ244" s="434">
        <f>MAX(0,CJ240+CJ241+CJ242+CJ243)</f>
        <v/>
      </c>
      <c r="CK244" s="434">
        <f>MAX(0,CK240+CK241+CK242+CK243)</f>
        <v/>
      </c>
      <c r="CL244" s="434">
        <f>MAX(0,CL240+CL241+CL242+CL243)</f>
        <v/>
      </c>
      <c r="CM244" s="434">
        <f>MAX(0,CM240+CM241+CM242+CM243)</f>
        <v/>
      </c>
      <c r="CN244" s="434">
        <f>MAX(0,CN240+CN241+CN242+CN243)</f>
        <v/>
      </c>
      <c r="CO244" s="434">
        <f>MAX(0,CO240+CO241+CO242+CO243)</f>
        <v/>
      </c>
      <c r="CP244" s="434">
        <f>MAX(0,CP240+CP241+CP242+CP243)</f>
        <v/>
      </c>
      <c r="CQ244" s="434">
        <f>MAX(0,CQ240+CQ241+CQ242+CQ243)</f>
        <v/>
      </c>
      <c r="CR244" s="434">
        <f>MAX(0,CR240+CR241+CR242+CR243)</f>
        <v/>
      </c>
      <c r="CS244" s="434">
        <f>MAX(0,CS240+CS241+CS242+CS243)</f>
        <v/>
      </c>
      <c r="CT244" s="434">
        <f>MAX(0,CT240+CT241+CT242+CT243)</f>
        <v/>
      </c>
      <c r="CU244" s="434">
        <f>MAX(0,CU240+CU241+CU242+CU243)</f>
        <v/>
      </c>
      <c r="CV244" s="434">
        <f>MAX(0,CV240+CV241+CV242+CV243)</f>
        <v/>
      </c>
      <c r="CW244" s="434">
        <f>MAX(0,CW240+CW241+CW242+CW243)</f>
        <v/>
      </c>
      <c r="CX244" s="434">
        <f>MAX(0,CX240+CX241+CX242+CX243)</f>
        <v/>
      </c>
      <c r="CY244" s="434">
        <f>MAX(0,CY240+CY241+CY242+CY243)</f>
        <v/>
      </c>
      <c r="CZ244" s="434">
        <f>MAX(0,CZ240+CZ241+CZ242+CZ243)</f>
        <v/>
      </c>
      <c r="DA244" s="434">
        <f>MAX(0,DA240+DA241+DA242+DA243)</f>
        <v/>
      </c>
      <c r="DB244" s="434">
        <f>MAX(0,DB240+DB241+DB242+DB243)</f>
        <v/>
      </c>
      <c r="DC244" s="434">
        <f>MAX(0,DC240+DC241+DC242+DC243)</f>
        <v/>
      </c>
      <c r="DD244" s="434">
        <f>MAX(0,DD240+DD241+DD242+DD243)</f>
        <v/>
      </c>
      <c r="DE244" s="434">
        <f>MAX(0,DE240+DE241+DE242+DE243)</f>
        <v/>
      </c>
    </row>
    <row r="245" ht="15" customFormat="1" customHeight="1" s="380">
      <c r="A245" s="435" t="inlineStr">
        <is>
          <t>Reseda - Beginning Balance</t>
        </is>
      </c>
      <c r="B245" s="436" t="n"/>
      <c r="C245" s="436" t="n"/>
      <c r="D245" s="436" t="n"/>
      <c r="E245" s="436">
        <f>IF(Projects!$G$13="Yes",Assumptions!$B$71,0)</f>
        <v/>
      </c>
      <c r="F245" s="436">
        <f>E249+IF(AND(Projects!$G$13="Yes",2&lt;=Assumptions!$B$73),Assumptions!$B$72,0)</f>
        <v/>
      </c>
      <c r="G245" s="436">
        <f>F249+IF(AND(Projects!$G$13="Yes",3&lt;=Assumptions!$B$73),Assumptions!$B$72,0)</f>
        <v/>
      </c>
      <c r="H245" s="436">
        <f>G249+IF(AND(Projects!$G$13="Yes",4&lt;=Assumptions!$B$73),Assumptions!$B$72,0)</f>
        <v/>
      </c>
      <c r="I245" s="436">
        <f>H249+IF(AND(Projects!$G$13="Yes",5&lt;=Assumptions!$B$73),Assumptions!$B$72,0)</f>
        <v/>
      </c>
      <c r="J245" s="436">
        <f>I249+IF(AND(Projects!$G$13="Yes",6&lt;=Assumptions!$B$73),Assumptions!$B$72,0)</f>
        <v/>
      </c>
      <c r="K245" s="436">
        <f>J249+IF(AND(Projects!$G$13="Yes",7&lt;=Assumptions!$B$73),Assumptions!$B$72,0)</f>
        <v/>
      </c>
      <c r="L245" s="436">
        <f>K249+IF(AND(Projects!$G$13="Yes",8&lt;=Assumptions!$B$73),Assumptions!$B$72,0)</f>
        <v/>
      </c>
      <c r="M245" s="436">
        <f>L249+IF(AND(Projects!$G$13="Yes",9&lt;=Assumptions!$B$73),Assumptions!$B$72,0)</f>
        <v/>
      </c>
      <c r="N245" s="436">
        <f>M249+IF(AND(Projects!$G$13="Yes",10&lt;=Assumptions!$B$73),Assumptions!$B$72,0)</f>
        <v/>
      </c>
      <c r="O245" s="436">
        <f>N249+IF(AND(Projects!$G$13="Yes",11&lt;=Assumptions!$B$73),Assumptions!$B$72,0)</f>
        <v/>
      </c>
      <c r="P245" s="436">
        <f>O249+IF(AND(Projects!$G$13="Yes",12&lt;=Assumptions!$B$73),Assumptions!$B$72,0)</f>
        <v/>
      </c>
      <c r="Q245" s="436">
        <f>P249+IF(AND(Projects!$G$13="Yes",13&lt;=Assumptions!$B$73),Assumptions!$B$72,0)</f>
        <v/>
      </c>
      <c r="R245" s="436">
        <f>Q249+IF(AND(Projects!$G$13="Yes",14&lt;=Assumptions!$B$73),Assumptions!$B$72,0)</f>
        <v/>
      </c>
      <c r="S245" s="436">
        <f>R249+IF(AND(Projects!$G$13="Yes",15&lt;=Assumptions!$B$73),Assumptions!$B$72,0)</f>
        <v/>
      </c>
      <c r="T245" s="436">
        <f>S249+IF(AND(Projects!$G$13="Yes",16&lt;=Assumptions!$B$73),Assumptions!$B$72,0)</f>
        <v/>
      </c>
      <c r="U245" s="436">
        <f>T249+IF(AND(Projects!$G$13="Yes",17&lt;=Assumptions!$B$73),Assumptions!$B$72,0)</f>
        <v/>
      </c>
      <c r="V245" s="436">
        <f>U249+IF(AND(Projects!$G$13="Yes",18&lt;=Assumptions!$B$73),Assumptions!$B$72,0)</f>
        <v/>
      </c>
      <c r="W245" s="436">
        <f>V249+IF(AND(Projects!$G$13="Yes",19&lt;=Assumptions!$B$73),Assumptions!$B$72,0)</f>
        <v/>
      </c>
      <c r="X245" s="436">
        <f>W249+IF(AND(Projects!$G$13="Yes",20&lt;=Assumptions!$B$73),Assumptions!$B$72,0)</f>
        <v/>
      </c>
      <c r="Y245" s="436">
        <f>X249+IF(AND(Projects!$G$13="Yes",21&lt;=Assumptions!$B$73),Assumptions!$B$72,0)</f>
        <v/>
      </c>
      <c r="Z245" s="436">
        <f>Y249+IF(AND(Projects!$G$13="Yes",22&lt;=Assumptions!$B$73),Assumptions!$B$72,0)</f>
        <v/>
      </c>
      <c r="AA245" s="436">
        <f>Z249+IF(AND(Projects!$G$13="Yes",23&lt;=Assumptions!$B$73),Assumptions!$B$72,0)</f>
        <v/>
      </c>
      <c r="AB245" s="436">
        <f>AA249+IF(AND(Projects!$G$13="Yes",24&lt;=Assumptions!$B$73),Assumptions!$B$72,0)</f>
        <v/>
      </c>
      <c r="AC245" s="436">
        <f>AB249+IF(AND(Projects!$G$13="Yes",25&lt;=Assumptions!$B$73),Assumptions!$B$72,0)</f>
        <v/>
      </c>
      <c r="AD245" s="436">
        <f>AC249+IF(AND(Projects!$G$13="Yes",26&lt;=Assumptions!$B$73),Assumptions!$B$72,0)</f>
        <v/>
      </c>
      <c r="AE245" s="436">
        <f>AD249+IF(AND(Projects!$G$13="Yes",27&lt;=Assumptions!$B$73),Assumptions!$B$72,0)</f>
        <v/>
      </c>
      <c r="AF245" s="436">
        <f>AE249+IF(AND(Projects!$G$13="Yes",28&lt;=Assumptions!$B$73),Assumptions!$B$72,0)</f>
        <v/>
      </c>
      <c r="AG245" s="436">
        <f>AF249+IF(AND(Projects!$G$13="Yes",29&lt;=Assumptions!$B$73),Assumptions!$B$72,0)</f>
        <v/>
      </c>
      <c r="AH245" s="436">
        <f>AG249+IF(AND(Projects!$G$13="Yes",30&lt;=Assumptions!$B$73),Assumptions!$B$72,0)</f>
        <v/>
      </c>
      <c r="AI245" s="436">
        <f>AH249+IF(AND(Projects!$G$13="Yes",31&lt;=Assumptions!$B$73),Assumptions!$B$72,0)</f>
        <v/>
      </c>
      <c r="AJ245" s="436">
        <f>AI249+IF(AND(Projects!$G$13="Yes",32&lt;=Assumptions!$B$73),Assumptions!$B$72,0)</f>
        <v/>
      </c>
      <c r="AK245" s="436">
        <f>AJ249+IF(AND(Projects!$G$13="Yes",33&lt;=Assumptions!$B$73),Assumptions!$B$72,0)</f>
        <v/>
      </c>
      <c r="AL245" s="436">
        <f>AK249+IF(AND(Projects!$G$13="Yes",34&lt;=Assumptions!$B$73),Assumptions!$B$72,0)</f>
        <v/>
      </c>
      <c r="AM245" s="436">
        <f>AL249+IF(AND(Projects!$G$13="Yes",35&lt;=Assumptions!$B$73),Assumptions!$B$72,0)</f>
        <v/>
      </c>
      <c r="AN245" s="436">
        <f>AM249+IF(AND(Projects!$G$13="Yes",36&lt;=Assumptions!$B$73),Assumptions!$B$72,0)</f>
        <v/>
      </c>
      <c r="AO245" s="436">
        <f>AN249+IF(AND(Projects!$G$13="Yes",37&lt;=Assumptions!$B$73),Assumptions!$B$72,0)</f>
        <v/>
      </c>
      <c r="AP245" s="436">
        <f>AO249+IF(AND(Projects!$G$13="Yes",38&lt;=Assumptions!$B$73),Assumptions!$B$72,0)</f>
        <v/>
      </c>
      <c r="AQ245" s="436">
        <f>AP249+IF(AND(Projects!$G$13="Yes",39&lt;=Assumptions!$B$73),Assumptions!$B$72,0)</f>
        <v/>
      </c>
      <c r="AR245" s="436">
        <f>AQ249+IF(AND(Projects!$G$13="Yes",40&lt;=Assumptions!$B$73),Assumptions!$B$72,0)</f>
        <v/>
      </c>
      <c r="AS245" s="436">
        <f>AR249+IF(AND(Projects!$G$13="Yes",41&lt;=Assumptions!$B$73),Assumptions!$B$72,0)</f>
        <v/>
      </c>
      <c r="AT245" s="436">
        <f>AS249+IF(AND(Projects!$G$13="Yes",42&lt;=Assumptions!$B$73),Assumptions!$B$72,0)</f>
        <v/>
      </c>
      <c r="AU245" s="436">
        <f>AT249+IF(AND(Projects!$G$13="Yes",43&lt;=Assumptions!$B$73),Assumptions!$B$72,0)</f>
        <v/>
      </c>
      <c r="AV245" s="436">
        <f>AU249+IF(AND(Projects!$G$13="Yes",44&lt;=Assumptions!$B$73),Assumptions!$B$72,0)</f>
        <v/>
      </c>
      <c r="AW245" s="436">
        <f>AV249+IF(AND(Projects!$G$13="Yes",45&lt;=Assumptions!$B$73),Assumptions!$B$72,0)</f>
        <v/>
      </c>
      <c r="AX245" s="436">
        <f>AW249+IF(AND(Projects!$G$13="Yes",46&lt;=Assumptions!$B$73),Assumptions!$B$72,0)</f>
        <v/>
      </c>
      <c r="AY245" s="436">
        <f>AX249+IF(AND(Projects!$G$13="Yes",47&lt;=Assumptions!$B$73),Assumptions!$B$72,0)</f>
        <v/>
      </c>
      <c r="AZ245" s="436">
        <f>AY249+IF(AND(Projects!$G$13="Yes",48&lt;=Assumptions!$B$73),Assumptions!$B$72,0)</f>
        <v/>
      </c>
      <c r="BA245" s="436">
        <f>AZ249+IF(AND(Projects!$G$13="Yes",49&lt;=Assumptions!$B$73),Assumptions!$B$72,0)</f>
        <v/>
      </c>
      <c r="BB245" s="436">
        <f>BA249+IF(AND(Projects!$G$13="Yes",50&lt;=Assumptions!$B$73),Assumptions!$B$72,0)</f>
        <v/>
      </c>
      <c r="BC245" s="436">
        <f>BB249+IF(AND(Projects!$G$13="Yes",51&lt;=Assumptions!$B$73),Assumptions!$B$72,0)</f>
        <v/>
      </c>
      <c r="BD245" s="436">
        <f>BC249+IF(AND(Projects!$G$13="Yes",52&lt;=Assumptions!$B$73),Assumptions!$B$72,0)</f>
        <v/>
      </c>
      <c r="BE245" s="436">
        <f>BD249+IF(AND(Projects!$G$13="Yes",53&lt;=Assumptions!$B$73),Assumptions!$B$72,0)</f>
        <v/>
      </c>
      <c r="BF245" s="436">
        <f>BE249+IF(AND(Projects!$G$13="Yes",54&lt;=Assumptions!$B$73),Assumptions!$B$72,0)</f>
        <v/>
      </c>
      <c r="BG245" s="436">
        <f>BF249+IF(AND(Projects!$G$13="Yes",55&lt;=Assumptions!$B$73),Assumptions!$B$72,0)</f>
        <v/>
      </c>
      <c r="BH245" s="436">
        <f>BG249+IF(AND(Projects!$G$13="Yes",56&lt;=Assumptions!$B$73),Assumptions!$B$72,0)</f>
        <v/>
      </c>
      <c r="BI245" s="436">
        <f>BH249+IF(AND(Projects!$G$13="Yes",57&lt;=Assumptions!$B$73),Assumptions!$B$72,0)</f>
        <v/>
      </c>
      <c r="BJ245" s="436">
        <f>BI249+IF(AND(Projects!$G$13="Yes",58&lt;=Assumptions!$B$73),Assumptions!$B$72,0)</f>
        <v/>
      </c>
      <c r="BK245" s="436">
        <f>BJ249+IF(AND(Projects!$G$13="Yes",59&lt;=Assumptions!$B$73),Assumptions!$B$72,0)</f>
        <v/>
      </c>
      <c r="BL245" s="436">
        <f>BK249+IF(AND(Projects!$G$13="Yes",60&lt;=Assumptions!$B$73),Assumptions!$B$72,0)</f>
        <v/>
      </c>
      <c r="BM245" s="436">
        <f>BL249+IF(AND(Projects!$G$13="Yes",61&lt;=Assumptions!$B$73),Assumptions!$B$72,0)</f>
        <v/>
      </c>
      <c r="BN245" s="436">
        <f>BM249+IF(AND(Projects!$G$13="Yes",62&lt;=Assumptions!$B$73),Assumptions!$B$72,0)</f>
        <v/>
      </c>
      <c r="BO245" s="436">
        <f>BN249+IF(AND(Projects!$G$13="Yes",63&lt;=Assumptions!$B$73),Assumptions!$B$72,0)</f>
        <v/>
      </c>
      <c r="BP245" s="436">
        <f>BO249+IF(AND(Projects!$G$13="Yes",64&lt;=Assumptions!$B$73),Assumptions!$B$72,0)</f>
        <v/>
      </c>
      <c r="BQ245" s="436">
        <f>BP249+IF(AND(Projects!$G$13="Yes",65&lt;=Assumptions!$B$73),Assumptions!$B$72,0)</f>
        <v/>
      </c>
      <c r="BR245" s="436">
        <f>BQ249+IF(AND(Projects!$G$13="Yes",66&lt;=Assumptions!$B$73),Assumptions!$B$72,0)</f>
        <v/>
      </c>
      <c r="BS245" s="436">
        <f>BR249+IF(AND(Projects!$G$13="Yes",67&lt;=Assumptions!$B$73),Assumptions!$B$72,0)</f>
        <v/>
      </c>
      <c r="BT245" s="436">
        <f>BS249+IF(AND(Projects!$G$13="Yes",68&lt;=Assumptions!$B$73),Assumptions!$B$72,0)</f>
        <v/>
      </c>
      <c r="BU245" s="436">
        <f>BT249+IF(AND(Projects!$G$13="Yes",69&lt;=Assumptions!$B$73),Assumptions!$B$72,0)</f>
        <v/>
      </c>
      <c r="BV245" s="436">
        <f>BU249+IF(AND(Projects!$G$13="Yes",70&lt;=Assumptions!$B$73),Assumptions!$B$72,0)</f>
        <v/>
      </c>
      <c r="BW245" s="436">
        <f>BV249+IF(AND(Projects!$G$13="Yes",71&lt;=Assumptions!$B$73),Assumptions!$B$72,0)</f>
        <v/>
      </c>
      <c r="BX245" s="436">
        <f>BW249+IF(AND(Projects!$G$13="Yes",72&lt;=Assumptions!$B$73),Assumptions!$B$72,0)</f>
        <v/>
      </c>
      <c r="BY245" s="436">
        <f>BX249+IF(AND(Projects!$G$13="Yes",73&lt;=Assumptions!$B$73),Assumptions!$B$72,0)</f>
        <v/>
      </c>
      <c r="BZ245" s="436">
        <f>BY249+IF(AND(Projects!$G$13="Yes",74&lt;=Assumptions!$B$73),Assumptions!$B$72,0)</f>
        <v/>
      </c>
      <c r="CA245" s="436">
        <f>BZ249+IF(AND(Projects!$G$13="Yes",75&lt;=Assumptions!$B$73),Assumptions!$B$72,0)</f>
        <v/>
      </c>
      <c r="CB245" s="436">
        <f>CA249+IF(AND(Projects!$G$13="Yes",76&lt;=Assumptions!$B$73),Assumptions!$B$72,0)</f>
        <v/>
      </c>
      <c r="CC245" s="436">
        <f>CB249+IF(AND(Projects!$G$13="Yes",77&lt;=Assumptions!$B$73),Assumptions!$B$72,0)</f>
        <v/>
      </c>
      <c r="CD245" s="436">
        <f>CC249+IF(AND(Projects!$G$13="Yes",78&lt;=Assumptions!$B$73),Assumptions!$B$72,0)</f>
        <v/>
      </c>
      <c r="CE245" s="436">
        <f>CD249+IF(AND(Projects!$G$13="Yes",79&lt;=Assumptions!$B$73),Assumptions!$B$72,0)</f>
        <v/>
      </c>
      <c r="CF245" s="436">
        <f>CE249+IF(AND(Projects!$G$13="Yes",80&lt;=Assumptions!$B$73),Assumptions!$B$72,0)</f>
        <v/>
      </c>
      <c r="CG245" s="436">
        <f>CF249+IF(AND(Projects!$G$13="Yes",81&lt;=Assumptions!$B$73),Assumptions!$B$72,0)</f>
        <v/>
      </c>
      <c r="CH245" s="436">
        <f>CG249+IF(AND(Projects!$G$13="Yes",82&lt;=Assumptions!$B$73),Assumptions!$B$72,0)</f>
        <v/>
      </c>
      <c r="CI245" s="436">
        <f>CH249+IF(AND(Projects!$G$13="Yes",83&lt;=Assumptions!$B$73),Assumptions!$B$72,0)</f>
        <v/>
      </c>
      <c r="CJ245" s="436">
        <f>CI249+IF(AND(Projects!$G$13="Yes",84&lt;=Assumptions!$B$73),Assumptions!$B$72,0)</f>
        <v/>
      </c>
      <c r="CK245" s="436">
        <f>CJ249+IF(AND(Projects!$G$13="Yes",85&lt;=Assumptions!$B$73),Assumptions!$B$72,0)</f>
        <v/>
      </c>
      <c r="CL245" s="436">
        <f>CK249+IF(AND(Projects!$G$13="Yes",86&lt;=Assumptions!$B$73),Assumptions!$B$72,0)</f>
        <v/>
      </c>
      <c r="CM245" s="436">
        <f>CL249+IF(AND(Projects!$G$13="Yes",87&lt;=Assumptions!$B$73),Assumptions!$B$72,0)</f>
        <v/>
      </c>
      <c r="CN245" s="436">
        <f>CM249+IF(AND(Projects!$G$13="Yes",88&lt;=Assumptions!$B$73),Assumptions!$B$72,0)</f>
        <v/>
      </c>
      <c r="CO245" s="436">
        <f>CN249+IF(AND(Projects!$G$13="Yes",89&lt;=Assumptions!$B$73),Assumptions!$B$72,0)</f>
        <v/>
      </c>
      <c r="CP245" s="436">
        <f>CO249+IF(AND(Projects!$G$13="Yes",90&lt;=Assumptions!$B$73),Assumptions!$B$72,0)</f>
        <v/>
      </c>
      <c r="CQ245" s="436">
        <f>CP249+IF(AND(Projects!$G$13="Yes",91&lt;=Assumptions!$B$73),Assumptions!$B$72,0)</f>
        <v/>
      </c>
      <c r="CR245" s="436">
        <f>CQ249+IF(AND(Projects!$G$13="Yes",92&lt;=Assumptions!$B$73),Assumptions!$B$72,0)</f>
        <v/>
      </c>
      <c r="CS245" s="436">
        <f>CR249+IF(AND(Projects!$G$13="Yes",93&lt;=Assumptions!$B$73),Assumptions!$B$72,0)</f>
        <v/>
      </c>
      <c r="CT245" s="436">
        <f>CS249+IF(AND(Projects!$G$13="Yes",94&lt;=Assumptions!$B$73),Assumptions!$B$72,0)</f>
        <v/>
      </c>
      <c r="CU245" s="436">
        <f>CT249+IF(AND(Projects!$G$13="Yes",95&lt;=Assumptions!$B$73),Assumptions!$B$72,0)</f>
        <v/>
      </c>
      <c r="CV245" s="436">
        <f>CU249+IF(AND(Projects!$G$13="Yes",96&lt;=Assumptions!$B$73),Assumptions!$B$72,0)</f>
        <v/>
      </c>
      <c r="CW245" s="436">
        <f>CV249+IF(AND(Projects!$G$13="Yes",97&lt;=Assumptions!$B$73),Assumptions!$B$72,0)</f>
        <v/>
      </c>
      <c r="CX245" s="436">
        <f>CW249+IF(AND(Projects!$G$13="Yes",98&lt;=Assumptions!$B$73),Assumptions!$B$72,0)</f>
        <v/>
      </c>
      <c r="CY245" s="436">
        <f>CX249+IF(AND(Projects!$G$13="Yes",99&lt;=Assumptions!$B$73),Assumptions!$B$72,0)</f>
        <v/>
      </c>
      <c r="CZ245" s="436">
        <f>CY249+IF(AND(Projects!$G$13="Yes",100&lt;=Assumptions!$B$73),Assumptions!$B$72,0)</f>
        <v/>
      </c>
      <c r="DA245" s="436">
        <f>CZ249+IF(AND(Projects!$G$13="Yes",101&lt;=Assumptions!$B$73),Assumptions!$B$72,0)</f>
        <v/>
      </c>
      <c r="DB245" s="436">
        <f>DA249+IF(AND(Projects!$G$13="Yes",102&lt;=Assumptions!$B$73),Assumptions!$B$72,0)</f>
        <v/>
      </c>
      <c r="DC245" s="436">
        <f>DB249+IF(AND(Projects!$G$13="Yes",103&lt;=Assumptions!$B$73),Assumptions!$B$72,0)</f>
        <v/>
      </c>
      <c r="DD245" s="436">
        <f>DC249+IF(AND(Projects!$G$13="Yes",104&lt;=Assumptions!$B$73),Assumptions!$B$72,0)</f>
        <v/>
      </c>
      <c r="DE245" s="436">
        <f>DD249+IF(AND(Projects!$G$13="Yes",105&lt;=Assumptions!$B$73),Assumptions!$B$72,0)</f>
        <v/>
      </c>
    </row>
    <row r="246" ht="15" customFormat="1" customHeight="1" s="380">
      <c r="A246" s="435" t="inlineStr">
        <is>
          <t>Reseda - Quarterly Interest</t>
        </is>
      </c>
      <c r="B246" s="436" t="n"/>
      <c r="C246" s="436" t="n"/>
      <c r="D246" s="436" t="n"/>
      <c r="E246" s="436">
        <f>IF(AND(MOD(1,3)=0,E245&gt;0),E245*Assumptions!$B$59,0)</f>
        <v/>
      </c>
      <c r="F246" s="436">
        <f>IF(AND(MOD(2,3)=0,F245&gt;0),F245*Assumptions!$B$59,0)</f>
        <v/>
      </c>
      <c r="G246" s="436">
        <f>IF(AND(MOD(3,3)=0,G245&gt;0),G245*Assumptions!$B$59,0)</f>
        <v/>
      </c>
      <c r="H246" s="436">
        <f>IF(AND(MOD(4,3)=0,H245&gt;0),H245*Assumptions!$B$59,0)</f>
        <v/>
      </c>
      <c r="I246" s="436">
        <f>IF(AND(MOD(5,3)=0,I245&gt;0),I245*Assumptions!$B$59,0)</f>
        <v/>
      </c>
      <c r="J246" s="436">
        <f>IF(AND(MOD(6,3)=0,J245&gt;0),J245*Assumptions!$B$59,0)</f>
        <v/>
      </c>
      <c r="K246" s="436">
        <f>IF(AND(MOD(7,3)=0,K245&gt;0),K245*Assumptions!$B$59,0)</f>
        <v/>
      </c>
      <c r="L246" s="436">
        <f>IF(AND(MOD(8,3)=0,L245&gt;0),L245*Assumptions!$B$59,0)</f>
        <v/>
      </c>
      <c r="M246" s="436">
        <f>IF(AND(MOD(9,3)=0,M245&gt;0),M245*Assumptions!$B$59,0)</f>
        <v/>
      </c>
      <c r="N246" s="436">
        <f>IF(AND(MOD(10,3)=0,N245&gt;0),N245*Assumptions!$B$59,0)</f>
        <v/>
      </c>
      <c r="O246" s="436">
        <f>IF(AND(MOD(11,3)=0,O245&gt;0),O245*Assumptions!$B$59,0)</f>
        <v/>
      </c>
      <c r="P246" s="436">
        <f>IF(AND(MOD(12,3)=0,P245&gt;0),P245*Assumptions!$B$59,0)</f>
        <v/>
      </c>
      <c r="Q246" s="436">
        <f>IF(AND(MOD(13,3)=0,Q245&gt;0),Q245*Assumptions!$B$59,0)</f>
        <v/>
      </c>
      <c r="R246" s="436">
        <f>IF(AND(MOD(14,3)=0,R245&gt;0),R245*Assumptions!$B$59,0)</f>
        <v/>
      </c>
      <c r="S246" s="436">
        <f>IF(AND(MOD(15,3)=0,S245&gt;0),S245*Assumptions!$B$59,0)</f>
        <v/>
      </c>
      <c r="T246" s="436">
        <f>IF(AND(MOD(16,3)=0,T245&gt;0),T245*Assumptions!$B$59,0)</f>
        <v/>
      </c>
      <c r="U246" s="436">
        <f>IF(AND(MOD(17,3)=0,U245&gt;0),U245*Assumptions!$B$59,0)</f>
        <v/>
      </c>
      <c r="V246" s="436">
        <f>IF(AND(MOD(18,3)=0,V245&gt;0),V245*Assumptions!$B$59,0)</f>
        <v/>
      </c>
      <c r="W246" s="436">
        <f>IF(AND(MOD(19,3)=0,W245&gt;0),W245*Assumptions!$B$59,0)</f>
        <v/>
      </c>
      <c r="X246" s="436">
        <f>IF(AND(MOD(20,3)=0,X245&gt;0),X245*Assumptions!$B$59,0)</f>
        <v/>
      </c>
      <c r="Y246" s="436">
        <f>IF(AND(MOD(21,3)=0,Y245&gt;0),Y245*Assumptions!$B$59,0)</f>
        <v/>
      </c>
      <c r="Z246" s="436">
        <f>IF(AND(MOD(22,3)=0,Z245&gt;0),Z245*Assumptions!$B$59,0)</f>
        <v/>
      </c>
      <c r="AA246" s="436">
        <f>IF(AND(MOD(23,3)=0,AA245&gt;0),AA245*Assumptions!$B$59,0)</f>
        <v/>
      </c>
      <c r="AB246" s="436">
        <f>IF(AND(MOD(24,3)=0,AB245&gt;0),AB245*Assumptions!$B$59,0)</f>
        <v/>
      </c>
      <c r="AC246" s="436">
        <f>IF(AND(MOD(25,3)=0,AC245&gt;0),AC245*Assumptions!$B$59,0)</f>
        <v/>
      </c>
      <c r="AD246" s="436">
        <f>IF(AND(MOD(26,3)=0,AD245&gt;0),AD245*Assumptions!$B$59,0)</f>
        <v/>
      </c>
      <c r="AE246" s="436">
        <f>IF(AND(MOD(27,3)=0,AE245&gt;0),AE245*Assumptions!$B$59,0)</f>
        <v/>
      </c>
      <c r="AF246" s="436">
        <f>IF(AND(MOD(28,3)=0,AF245&gt;0),AF245*Assumptions!$B$59,0)</f>
        <v/>
      </c>
      <c r="AG246" s="436">
        <f>IF(AND(MOD(29,3)=0,AG245&gt;0),AG245*Assumptions!$B$59,0)</f>
        <v/>
      </c>
      <c r="AH246" s="436">
        <f>IF(AND(MOD(30,3)=0,AH245&gt;0),AH245*Assumptions!$B$59,0)</f>
        <v/>
      </c>
      <c r="AI246" s="436">
        <f>IF(AND(MOD(31,3)=0,AI245&gt;0),AI245*Assumptions!$B$59,0)</f>
        <v/>
      </c>
      <c r="AJ246" s="436">
        <f>IF(AND(MOD(32,3)=0,AJ245&gt;0),AJ245*Assumptions!$B$59,0)</f>
        <v/>
      </c>
      <c r="AK246" s="436">
        <f>IF(AND(MOD(33,3)=0,AK245&gt;0),AK245*Assumptions!$B$59,0)</f>
        <v/>
      </c>
      <c r="AL246" s="436">
        <f>IF(AND(MOD(34,3)=0,AL245&gt;0),AL245*Assumptions!$B$59,0)</f>
        <v/>
      </c>
      <c r="AM246" s="436">
        <f>IF(AND(MOD(35,3)=0,AM245&gt;0),AM245*Assumptions!$B$59,0)</f>
        <v/>
      </c>
      <c r="AN246" s="436">
        <f>IF(AND(MOD(36,3)=0,AN245&gt;0),AN245*Assumptions!$B$59,0)</f>
        <v/>
      </c>
      <c r="AO246" s="436">
        <f>IF(AND(MOD(37,3)=0,AO245&gt;0),AO245*Assumptions!$B$59,0)</f>
        <v/>
      </c>
      <c r="AP246" s="436">
        <f>IF(AND(MOD(38,3)=0,AP245&gt;0),AP245*Assumptions!$B$59,0)</f>
        <v/>
      </c>
      <c r="AQ246" s="436">
        <f>IF(AND(MOD(39,3)=0,AQ245&gt;0),AQ245*Assumptions!$B$59,0)</f>
        <v/>
      </c>
      <c r="AR246" s="436">
        <f>IF(AND(MOD(40,3)=0,AR245&gt;0),AR245*Assumptions!$B$59,0)</f>
        <v/>
      </c>
      <c r="AS246" s="436">
        <f>IF(AND(MOD(41,3)=0,AS245&gt;0),AS245*Assumptions!$B$59,0)</f>
        <v/>
      </c>
      <c r="AT246" s="436">
        <f>IF(AND(MOD(42,3)=0,AT245&gt;0),AT245*Assumptions!$B$59,0)</f>
        <v/>
      </c>
      <c r="AU246" s="436">
        <f>IF(AND(MOD(43,3)=0,AU245&gt;0),AU245*Assumptions!$B$59,0)</f>
        <v/>
      </c>
      <c r="AV246" s="436">
        <f>IF(AND(MOD(44,3)=0,AV245&gt;0),AV245*Assumptions!$B$59,0)</f>
        <v/>
      </c>
      <c r="AW246" s="436">
        <f>IF(AND(MOD(45,3)=0,AW245&gt;0),AW245*Assumptions!$B$59,0)</f>
        <v/>
      </c>
      <c r="AX246" s="436">
        <f>IF(AND(MOD(46,3)=0,AX245&gt;0),AX245*Assumptions!$B$59,0)</f>
        <v/>
      </c>
      <c r="AY246" s="436">
        <f>IF(AND(MOD(47,3)=0,AY245&gt;0),AY245*Assumptions!$B$59,0)</f>
        <v/>
      </c>
      <c r="AZ246" s="436">
        <f>IF(AND(MOD(48,3)=0,AZ245&gt;0),AZ245*Assumptions!$B$59,0)</f>
        <v/>
      </c>
      <c r="BA246" s="436">
        <f>IF(AND(MOD(49,3)=0,BA245&gt;0),BA245*Assumptions!$B$59,0)</f>
        <v/>
      </c>
      <c r="BB246" s="436">
        <f>IF(AND(MOD(50,3)=0,BB245&gt;0),BB245*Assumptions!$B$59,0)</f>
        <v/>
      </c>
      <c r="BC246" s="436">
        <f>IF(AND(MOD(51,3)=0,BC245&gt;0),BC245*Assumptions!$B$59,0)</f>
        <v/>
      </c>
      <c r="BD246" s="436">
        <f>IF(AND(MOD(52,3)=0,BD245&gt;0),BD245*Assumptions!$B$59,0)</f>
        <v/>
      </c>
      <c r="BE246" s="436">
        <f>IF(AND(MOD(53,3)=0,BE245&gt;0),BE245*Assumptions!$B$59,0)</f>
        <v/>
      </c>
      <c r="BF246" s="436">
        <f>IF(AND(MOD(54,3)=0,BF245&gt;0),BF245*Assumptions!$B$59,0)</f>
        <v/>
      </c>
      <c r="BG246" s="436">
        <f>IF(AND(MOD(55,3)=0,BG245&gt;0),BG245*Assumptions!$B$59,0)</f>
        <v/>
      </c>
      <c r="BH246" s="436">
        <f>IF(AND(MOD(56,3)=0,BH245&gt;0),BH245*Assumptions!$B$59,0)</f>
        <v/>
      </c>
      <c r="BI246" s="436">
        <f>IF(AND(MOD(57,3)=0,BI245&gt;0),BI245*Assumptions!$B$59,0)</f>
        <v/>
      </c>
      <c r="BJ246" s="436">
        <f>IF(AND(MOD(58,3)=0,BJ245&gt;0),BJ245*Assumptions!$B$59,0)</f>
        <v/>
      </c>
      <c r="BK246" s="436">
        <f>IF(AND(MOD(59,3)=0,BK245&gt;0),BK245*Assumptions!$B$59,0)</f>
        <v/>
      </c>
      <c r="BL246" s="436">
        <f>IF(AND(MOD(60,3)=0,BL245&gt;0),BL245*Assumptions!$B$59,0)</f>
        <v/>
      </c>
      <c r="BM246" s="436">
        <f>IF(AND(MOD(61,3)=0,BM245&gt;0),BM245*Assumptions!$B$59,0)</f>
        <v/>
      </c>
      <c r="BN246" s="436">
        <f>IF(AND(MOD(62,3)=0,BN245&gt;0),BN245*Assumptions!$B$59,0)</f>
        <v/>
      </c>
      <c r="BO246" s="436">
        <f>IF(AND(MOD(63,3)=0,BO245&gt;0),BO245*Assumptions!$B$59,0)</f>
        <v/>
      </c>
      <c r="BP246" s="436">
        <f>IF(AND(MOD(64,3)=0,BP245&gt;0),BP245*Assumptions!$B$59,0)</f>
        <v/>
      </c>
      <c r="BQ246" s="436">
        <f>IF(AND(MOD(65,3)=0,BQ245&gt;0),BQ245*Assumptions!$B$59,0)</f>
        <v/>
      </c>
      <c r="BR246" s="436">
        <f>IF(AND(MOD(66,3)=0,BR245&gt;0),BR245*Assumptions!$B$59,0)</f>
        <v/>
      </c>
      <c r="BS246" s="436">
        <f>IF(AND(MOD(67,3)=0,BS245&gt;0),BS245*Assumptions!$B$59,0)</f>
        <v/>
      </c>
      <c r="BT246" s="436">
        <f>IF(AND(MOD(68,3)=0,BT245&gt;0),BT245*Assumptions!$B$59,0)</f>
        <v/>
      </c>
      <c r="BU246" s="436">
        <f>IF(AND(MOD(69,3)=0,BU245&gt;0),BU245*Assumptions!$B$59,0)</f>
        <v/>
      </c>
      <c r="BV246" s="436">
        <f>IF(AND(MOD(70,3)=0,BV245&gt;0),BV245*Assumptions!$B$59,0)</f>
        <v/>
      </c>
      <c r="BW246" s="436">
        <f>IF(AND(MOD(71,3)=0,BW245&gt;0),BW245*Assumptions!$B$59,0)</f>
        <v/>
      </c>
      <c r="BX246" s="436">
        <f>IF(AND(MOD(72,3)=0,BX245&gt;0),BX245*Assumptions!$B$59,0)</f>
        <v/>
      </c>
      <c r="BY246" s="436">
        <f>IF(AND(MOD(73,3)=0,BY245&gt;0),BY245*Assumptions!$B$59,0)</f>
        <v/>
      </c>
      <c r="BZ246" s="436">
        <f>IF(AND(MOD(74,3)=0,BZ245&gt;0),BZ245*Assumptions!$B$59,0)</f>
        <v/>
      </c>
      <c r="CA246" s="436">
        <f>IF(AND(MOD(75,3)=0,CA245&gt;0),CA245*Assumptions!$B$59,0)</f>
        <v/>
      </c>
      <c r="CB246" s="436">
        <f>IF(AND(MOD(76,3)=0,CB245&gt;0),CB245*Assumptions!$B$59,0)</f>
        <v/>
      </c>
      <c r="CC246" s="436">
        <f>IF(AND(MOD(77,3)=0,CC245&gt;0),CC245*Assumptions!$B$59,0)</f>
        <v/>
      </c>
      <c r="CD246" s="436">
        <f>IF(AND(MOD(78,3)=0,CD245&gt;0),CD245*Assumptions!$B$59,0)</f>
        <v/>
      </c>
      <c r="CE246" s="436">
        <f>IF(AND(MOD(79,3)=0,CE245&gt;0),CE245*Assumptions!$B$59,0)</f>
        <v/>
      </c>
      <c r="CF246" s="436">
        <f>IF(AND(MOD(80,3)=0,CF245&gt;0),CF245*Assumptions!$B$59,0)</f>
        <v/>
      </c>
      <c r="CG246" s="436">
        <f>IF(AND(MOD(81,3)=0,CG245&gt;0),CG245*Assumptions!$B$59,0)</f>
        <v/>
      </c>
      <c r="CH246" s="436">
        <f>IF(AND(MOD(82,3)=0,CH245&gt;0),CH245*Assumptions!$B$59,0)</f>
        <v/>
      </c>
      <c r="CI246" s="436">
        <f>IF(AND(MOD(83,3)=0,CI245&gt;0),CI245*Assumptions!$B$59,0)</f>
        <v/>
      </c>
      <c r="CJ246" s="436">
        <f>IF(AND(MOD(84,3)=0,CJ245&gt;0),CJ245*Assumptions!$B$59,0)</f>
        <v/>
      </c>
      <c r="CK246" s="436">
        <f>IF(AND(MOD(85,3)=0,CK245&gt;0),CK245*Assumptions!$B$59,0)</f>
        <v/>
      </c>
      <c r="CL246" s="436">
        <f>IF(AND(MOD(86,3)=0,CL245&gt;0),CL245*Assumptions!$B$59,0)</f>
        <v/>
      </c>
      <c r="CM246" s="436">
        <f>IF(AND(MOD(87,3)=0,CM245&gt;0),CM245*Assumptions!$B$59,0)</f>
        <v/>
      </c>
      <c r="CN246" s="436">
        <f>IF(AND(MOD(88,3)=0,CN245&gt;0),CN245*Assumptions!$B$59,0)</f>
        <v/>
      </c>
      <c r="CO246" s="436">
        <f>IF(AND(MOD(89,3)=0,CO245&gt;0),CO245*Assumptions!$B$59,0)</f>
        <v/>
      </c>
      <c r="CP246" s="436">
        <f>IF(AND(MOD(90,3)=0,CP245&gt;0),CP245*Assumptions!$B$59,0)</f>
        <v/>
      </c>
      <c r="CQ246" s="436">
        <f>IF(AND(MOD(91,3)=0,CQ245&gt;0),CQ245*Assumptions!$B$59,0)</f>
        <v/>
      </c>
      <c r="CR246" s="436">
        <f>IF(AND(MOD(92,3)=0,CR245&gt;0),CR245*Assumptions!$B$59,0)</f>
        <v/>
      </c>
      <c r="CS246" s="436">
        <f>IF(AND(MOD(93,3)=0,CS245&gt;0),CS245*Assumptions!$B$59,0)</f>
        <v/>
      </c>
      <c r="CT246" s="436">
        <f>IF(AND(MOD(94,3)=0,CT245&gt;0),CT245*Assumptions!$B$59,0)</f>
        <v/>
      </c>
      <c r="CU246" s="436">
        <f>IF(AND(MOD(95,3)=0,CU245&gt;0),CU245*Assumptions!$B$59,0)</f>
        <v/>
      </c>
      <c r="CV246" s="436">
        <f>IF(AND(MOD(96,3)=0,CV245&gt;0),CV245*Assumptions!$B$59,0)</f>
        <v/>
      </c>
      <c r="CW246" s="436">
        <f>IF(AND(MOD(97,3)=0,CW245&gt;0),CW245*Assumptions!$B$59,0)</f>
        <v/>
      </c>
      <c r="CX246" s="436">
        <f>IF(AND(MOD(98,3)=0,CX245&gt;0),CX245*Assumptions!$B$59,0)</f>
        <v/>
      </c>
      <c r="CY246" s="436">
        <f>IF(AND(MOD(99,3)=0,CY245&gt;0),CY245*Assumptions!$B$59,0)</f>
        <v/>
      </c>
      <c r="CZ246" s="436">
        <f>IF(AND(MOD(100,3)=0,CZ245&gt;0),CZ245*Assumptions!$B$59,0)</f>
        <v/>
      </c>
      <c r="DA246" s="436">
        <f>IF(AND(MOD(101,3)=0,DA245&gt;0),DA245*Assumptions!$B$59,0)</f>
        <v/>
      </c>
      <c r="DB246" s="436">
        <f>IF(AND(MOD(102,3)=0,DB245&gt;0),DB245*Assumptions!$B$59,0)</f>
        <v/>
      </c>
      <c r="DC246" s="436">
        <f>IF(AND(MOD(103,3)=0,DC245&gt;0),DC245*Assumptions!$B$59,0)</f>
        <v/>
      </c>
      <c r="DD246" s="436">
        <f>IF(AND(MOD(104,3)=0,DD245&gt;0),DD245*Assumptions!$B$59,0)</f>
        <v/>
      </c>
      <c r="DE246" s="436">
        <f>IF(AND(MOD(105,3)=0,DE245&gt;0),DE245*Assumptions!$B$59,0)</f>
        <v/>
      </c>
    </row>
    <row r="247" ht="15" customFormat="1" customHeight="1" s="380">
      <c r="A247" s="435" t="inlineStr">
        <is>
          <t>Reseda - Deal Distribution</t>
        </is>
      </c>
      <c r="B247" s="436" t="n"/>
      <c r="C247" s="436" t="n"/>
      <c r="D247" s="436" t="n"/>
      <c r="E247" s="436" t="n">
        <v>0</v>
      </c>
      <c r="F247" s="436" t="n">
        <v>0</v>
      </c>
      <c r="G247" s="436" t="n">
        <v>0</v>
      </c>
      <c r="H247" s="436" t="n">
        <v>0</v>
      </c>
      <c r="I247" s="436" t="n">
        <v>0</v>
      </c>
      <c r="J247" s="436" t="n">
        <v>0</v>
      </c>
      <c r="K247" s="436" t="n">
        <v>0</v>
      </c>
      <c r="L247" s="436" t="n">
        <v>0</v>
      </c>
      <c r="M247" s="436" t="n">
        <v>0</v>
      </c>
      <c r="N247" s="436" t="n">
        <v>0</v>
      </c>
      <c r="O247" s="436" t="n">
        <v>0</v>
      </c>
      <c r="P247" s="436" t="n">
        <v>0</v>
      </c>
      <c r="Q247" s="436">
        <f>IF(Projects!$G$13="Yes",Assumptions!$B$74,0)</f>
        <v/>
      </c>
      <c r="R247" s="436" t="n">
        <v>0</v>
      </c>
      <c r="S247" s="436" t="n">
        <v>0</v>
      </c>
      <c r="T247" s="436" t="n">
        <v>0</v>
      </c>
      <c r="U247" s="436" t="n">
        <v>0</v>
      </c>
      <c r="V247" s="436" t="n">
        <v>0</v>
      </c>
      <c r="W247" s="436" t="n">
        <v>0</v>
      </c>
      <c r="X247" s="436" t="n">
        <v>0</v>
      </c>
      <c r="Y247" s="436" t="n">
        <v>0</v>
      </c>
      <c r="Z247" s="436" t="n">
        <v>0</v>
      </c>
      <c r="AA247" s="436" t="n">
        <v>0</v>
      </c>
      <c r="AB247" s="436" t="n">
        <v>0</v>
      </c>
      <c r="AC247" s="436" t="n">
        <v>0</v>
      </c>
      <c r="AD247" s="436" t="n">
        <v>0</v>
      </c>
      <c r="AE247" s="436" t="n">
        <v>0</v>
      </c>
      <c r="AF247" s="436" t="n">
        <v>0</v>
      </c>
      <c r="AG247" s="436" t="n">
        <v>0</v>
      </c>
      <c r="AH247" s="436" t="n">
        <v>0</v>
      </c>
      <c r="AI247" s="436" t="n">
        <v>0</v>
      </c>
      <c r="AJ247" s="436" t="n">
        <v>0</v>
      </c>
      <c r="AK247" s="436" t="n">
        <v>0</v>
      </c>
      <c r="AL247" s="436" t="n">
        <v>0</v>
      </c>
      <c r="AM247" s="436" t="n">
        <v>0</v>
      </c>
      <c r="AN247" s="436" t="n">
        <v>0</v>
      </c>
      <c r="AO247" s="436" t="n">
        <v>0</v>
      </c>
      <c r="AP247" s="436" t="n">
        <v>0</v>
      </c>
      <c r="AQ247" s="436" t="n">
        <v>0</v>
      </c>
      <c r="AR247" s="436" t="n">
        <v>0</v>
      </c>
      <c r="AS247" s="436" t="n">
        <v>0</v>
      </c>
      <c r="AT247" s="436" t="n">
        <v>0</v>
      </c>
      <c r="AU247" s="436" t="n">
        <v>0</v>
      </c>
      <c r="AV247" s="436" t="n">
        <v>0</v>
      </c>
      <c r="AW247" s="436" t="n">
        <v>0</v>
      </c>
      <c r="AX247" s="436" t="n">
        <v>0</v>
      </c>
      <c r="AY247" s="436" t="n">
        <v>0</v>
      </c>
      <c r="AZ247" s="436" t="n">
        <v>0</v>
      </c>
      <c r="BA247" s="436" t="n">
        <v>0</v>
      </c>
      <c r="BB247" s="436" t="n">
        <v>0</v>
      </c>
      <c r="BC247" s="436" t="n">
        <v>0</v>
      </c>
      <c r="BD247" s="436" t="n">
        <v>0</v>
      </c>
      <c r="BE247" s="436" t="n">
        <v>0</v>
      </c>
      <c r="BF247" s="436" t="n">
        <v>0</v>
      </c>
      <c r="BG247" s="436" t="n">
        <v>0</v>
      </c>
      <c r="BH247" s="436" t="n">
        <v>0</v>
      </c>
      <c r="BI247" s="436" t="n">
        <v>0</v>
      </c>
      <c r="BJ247" s="436" t="n">
        <v>0</v>
      </c>
      <c r="BK247" s="436" t="n">
        <v>0</v>
      </c>
      <c r="BL247" s="436" t="n">
        <v>0</v>
      </c>
      <c r="BM247" s="436" t="n">
        <v>0</v>
      </c>
      <c r="BN247" s="436" t="n">
        <v>0</v>
      </c>
      <c r="BO247" s="436" t="n">
        <v>0</v>
      </c>
      <c r="BP247" s="436" t="n">
        <v>0</v>
      </c>
      <c r="BQ247" s="436" t="n">
        <v>0</v>
      </c>
      <c r="BR247" s="436" t="n">
        <v>0</v>
      </c>
      <c r="BS247" s="436" t="n">
        <v>0</v>
      </c>
      <c r="BT247" s="436" t="n">
        <v>0</v>
      </c>
      <c r="BU247" s="436" t="n">
        <v>0</v>
      </c>
      <c r="BV247" s="436" t="n">
        <v>0</v>
      </c>
      <c r="BW247" s="436" t="n">
        <v>0</v>
      </c>
      <c r="BX247" s="436" t="n">
        <v>0</v>
      </c>
      <c r="BY247" s="436" t="n">
        <v>0</v>
      </c>
      <c r="BZ247" s="436" t="n">
        <v>0</v>
      </c>
      <c r="CA247" s="436" t="n">
        <v>0</v>
      </c>
      <c r="CB247" s="436" t="n">
        <v>0</v>
      </c>
      <c r="CC247" s="436" t="n">
        <v>0</v>
      </c>
      <c r="CD247" s="436" t="n">
        <v>0</v>
      </c>
      <c r="CE247" s="436" t="n">
        <v>0</v>
      </c>
      <c r="CF247" s="436" t="n">
        <v>0</v>
      </c>
      <c r="CG247" s="436" t="n">
        <v>0</v>
      </c>
      <c r="CH247" s="436" t="n">
        <v>0</v>
      </c>
      <c r="CI247" s="436" t="n">
        <v>0</v>
      </c>
      <c r="CJ247" s="436" t="n">
        <v>0</v>
      </c>
      <c r="CK247" s="436" t="n">
        <v>0</v>
      </c>
      <c r="CL247" s="436" t="n">
        <v>0</v>
      </c>
      <c r="CM247" s="436" t="n">
        <v>0</v>
      </c>
      <c r="CN247" s="436" t="n">
        <v>0</v>
      </c>
      <c r="CO247" s="436" t="n">
        <v>0</v>
      </c>
      <c r="CP247" s="436" t="n">
        <v>0</v>
      </c>
      <c r="CQ247" s="436" t="n">
        <v>0</v>
      </c>
      <c r="CR247" s="436" t="n">
        <v>0</v>
      </c>
      <c r="CS247" s="436" t="n">
        <v>0</v>
      </c>
      <c r="CT247" s="436" t="n"/>
      <c r="CU247" s="436" t="n"/>
      <c r="CV247" s="436" t="n"/>
      <c r="CW247" s="436" t="n"/>
      <c r="CX247" s="436" t="n"/>
      <c r="CY247" s="436" t="n"/>
      <c r="CZ247" s="436" t="n"/>
      <c r="DA247" s="436" t="n"/>
      <c r="DB247" s="436" t="n"/>
      <c r="DC247" s="436" t="n"/>
      <c r="DD247" s="436" t="n"/>
      <c r="DE247" s="436" t="n"/>
    </row>
    <row r="248" ht="15" customFormat="1" customHeight="1" s="380">
      <c r="A248" s="437" t="inlineStr">
        <is>
          <t>Reseda - PIK Payment (LIHTC)</t>
        </is>
      </c>
      <c r="B248" s="438" t="n"/>
      <c r="C248" s="438" t="n"/>
      <c r="D248" s="438" t="n"/>
      <c r="E248" s="438">
        <f>-MIN(E245+E246+E247,MAX(0,E165-Helpers!C23))</f>
        <v/>
      </c>
      <c r="F248" s="438">
        <f>-MIN(F245+F246+F247,MAX(0,F165-Helpers!D23))</f>
        <v/>
      </c>
      <c r="G248" s="438">
        <f>-MIN(G245+G246+G247,MAX(0,G165-Helpers!E23))</f>
        <v/>
      </c>
      <c r="H248" s="438">
        <f>-MIN(H245+H246+H247,MAX(0,H165-Helpers!F23))</f>
        <v/>
      </c>
      <c r="I248" s="438">
        <f>-MIN(I245+I246+I247,MAX(0,I165-Helpers!G23))</f>
        <v/>
      </c>
      <c r="J248" s="438">
        <f>-MIN(J245+J246+J247,MAX(0,J165-Helpers!H23))</f>
        <v/>
      </c>
      <c r="K248" s="438">
        <f>-MIN(K245+K246+K247,MAX(0,K165-Helpers!I23))</f>
        <v/>
      </c>
      <c r="L248" s="438">
        <f>-MIN(L245+L246+L247,MAX(0,L165-Helpers!J23))</f>
        <v/>
      </c>
      <c r="M248" s="438">
        <f>-MIN(M245+M246+M247,MAX(0,M165-Helpers!K23))</f>
        <v/>
      </c>
      <c r="N248" s="438">
        <f>-MIN(N245+N246+N247,MAX(0,N165-Helpers!L23))</f>
        <v/>
      </c>
      <c r="O248" s="438">
        <f>-MIN(O245+O246+O247,MAX(0,O165-Helpers!M23))</f>
        <v/>
      </c>
      <c r="P248" s="438">
        <f>-MIN(P245+P246+P247,MAX(0,P165-Helpers!N23))</f>
        <v/>
      </c>
      <c r="Q248" s="438">
        <f>-MIN(Q245+Q246+Q247,MAX(0,Q165-Helpers!O23))</f>
        <v/>
      </c>
      <c r="R248" s="438">
        <f>-MIN(R245+R246+R247,MAX(0,R165-Helpers!P23))</f>
        <v/>
      </c>
      <c r="S248" s="438">
        <f>-MIN(S245+S246+S247,MAX(0,S165-Helpers!Q23))</f>
        <v/>
      </c>
      <c r="T248" s="438">
        <f>-MIN(T245+T246+T247,MAX(0,T165-Helpers!R23))</f>
        <v/>
      </c>
      <c r="U248" s="438">
        <f>-MIN(U245+U246+U247,MAX(0,U165-Helpers!S23))</f>
        <v/>
      </c>
      <c r="V248" s="438">
        <f>-MIN(V245+V246+V247,MAX(0,V165-Helpers!T23))</f>
        <v/>
      </c>
      <c r="W248" s="438">
        <f>-MIN(W245+W246+W247,MAX(0,W165-Helpers!U23))</f>
        <v/>
      </c>
      <c r="X248" s="438">
        <f>-MIN(X245+X246+X247,MAX(0,X165-Helpers!V23))</f>
        <v/>
      </c>
      <c r="Y248" s="438">
        <f>-MIN(Y245+Y246+Y247,MAX(0,Y165-Helpers!W23))</f>
        <v/>
      </c>
      <c r="Z248" s="438">
        <f>-MIN(Z245+Z246+Z247,MAX(0,Z165-Helpers!X23))</f>
        <v/>
      </c>
      <c r="AA248" s="438">
        <f>-MIN(AA245+AA246+AA247,MAX(0,AA165-Helpers!Y23))</f>
        <v/>
      </c>
      <c r="AB248" s="438">
        <f>-MIN(AB245+AB246+AB247,MAX(0,AB165-Helpers!Z23))</f>
        <v/>
      </c>
      <c r="AC248" s="438">
        <f>-MIN(AC245+AC246+AC247,MAX(0,AC165-Helpers!AA23))</f>
        <v/>
      </c>
      <c r="AD248" s="438">
        <f>-MIN(AD245+AD246+AD247,MAX(0,AD165-Helpers!AB23))</f>
        <v/>
      </c>
      <c r="AE248" s="438">
        <f>-MIN(AE245+AE246+AE247,MAX(0,AE165-Helpers!AC23))</f>
        <v/>
      </c>
      <c r="AF248" s="438">
        <f>-MIN(AF245+AF246+AF247,MAX(0,AF165-Helpers!AD23))</f>
        <v/>
      </c>
      <c r="AG248" s="438">
        <f>-MIN(AG245+AG246+AG247,MAX(0,AG165-Helpers!AE23))</f>
        <v/>
      </c>
      <c r="AH248" s="438">
        <f>-MIN(AH245+AH246+AH247,MAX(0,AH165-Helpers!AF23))</f>
        <v/>
      </c>
      <c r="AI248" s="438">
        <f>-MIN(AI245+AI246+AI247,MAX(0,AI165-Helpers!AG23))</f>
        <v/>
      </c>
      <c r="AJ248" s="438">
        <f>-MIN(AJ245+AJ246+AJ247,MAX(0,AJ165-Helpers!AH23))</f>
        <v/>
      </c>
      <c r="AK248" s="438">
        <f>-MIN(AK245+AK246+AK247,MAX(0,AK165-Helpers!AI23))</f>
        <v/>
      </c>
      <c r="AL248" s="438">
        <f>-MIN(AL245+AL246+AL247,MAX(0,AL165-Helpers!AJ23))</f>
        <v/>
      </c>
      <c r="AM248" s="438">
        <f>-MIN(AM245+AM246+AM247,MAX(0,AM165-Helpers!AK23))</f>
        <v/>
      </c>
      <c r="AN248" s="438">
        <f>-MIN(AN245+AN246+AN247,MAX(0,AN165-Helpers!AL23))</f>
        <v/>
      </c>
      <c r="AO248" s="438">
        <f>-MIN(AO245+AO246+AO247,MAX(0,AO165-Helpers!AM23))</f>
        <v/>
      </c>
      <c r="AP248" s="438">
        <f>-MIN(AP245+AP246+AP247,MAX(0,AP165-Helpers!AN23))</f>
        <v/>
      </c>
      <c r="AQ248" s="438">
        <f>-MIN(AQ245+AQ246+AQ247,MAX(0,AQ165-Helpers!AO23))</f>
        <v/>
      </c>
      <c r="AR248" s="438">
        <f>-MIN(AR245+AR246+AR247,MAX(0,AR165-Helpers!AP23))</f>
        <v/>
      </c>
      <c r="AS248" s="438">
        <f>-MIN(AS245+AS246+AS247,MAX(0,AS165-Helpers!AQ23))</f>
        <v/>
      </c>
      <c r="AT248" s="438">
        <f>-MIN(AT245+AT246+AT247,MAX(0,AT165-Helpers!AR23))</f>
        <v/>
      </c>
      <c r="AU248" s="438">
        <f>-MIN(AU245+AU246+AU247,MAX(0,AU165-Helpers!AS23))</f>
        <v/>
      </c>
      <c r="AV248" s="438">
        <f>-MIN(AV245+AV246+AV247,MAX(0,AV165-Helpers!AT23))</f>
        <v/>
      </c>
      <c r="AW248" s="438">
        <f>-MIN(AW245+AW246+AW247,MAX(0,AW165-Helpers!AU23))</f>
        <v/>
      </c>
      <c r="AX248" s="438">
        <f>-MIN(AX245+AX246+AX247,MAX(0,AX165-Helpers!AV23))</f>
        <v/>
      </c>
      <c r="AY248" s="438">
        <f>-MIN(AY245+AY246+AY247,MAX(0,AY165-Helpers!AW23))</f>
        <v/>
      </c>
      <c r="AZ248" s="438">
        <f>-MIN(AZ245+AZ246+AZ247,MAX(0,AZ165-Helpers!AX23))</f>
        <v/>
      </c>
      <c r="BA248" s="438">
        <f>-MIN(BA245+BA246+BA247,MAX(0,BA165-Helpers!AY23))</f>
        <v/>
      </c>
      <c r="BB248" s="438">
        <f>-MIN(BB245+BB246+BB247,MAX(0,BB165-Helpers!AZ23))</f>
        <v/>
      </c>
      <c r="BC248" s="438">
        <f>-MIN(BC245+BC246+BC247,MAX(0,BC165-Helpers!BA23))</f>
        <v/>
      </c>
      <c r="BD248" s="438">
        <f>-MIN(BD245+BD246+BD247,MAX(0,BD165-Helpers!BB23))</f>
        <v/>
      </c>
      <c r="BE248" s="438">
        <f>-MIN(BE245+BE246+BE247,MAX(0,BE165-Helpers!BC23))</f>
        <v/>
      </c>
      <c r="BF248" s="438">
        <f>-MIN(BF245+BF246+BF247,MAX(0,BF165-Helpers!BD23))</f>
        <v/>
      </c>
      <c r="BG248" s="438">
        <f>-MIN(BG245+BG246+BG247,MAX(0,BG165-Helpers!BE23))</f>
        <v/>
      </c>
      <c r="BH248" s="438">
        <f>-MIN(BH245+BH246+BH247,MAX(0,BH165-Helpers!BF23))</f>
        <v/>
      </c>
      <c r="BI248" s="438">
        <f>-MIN(BI245+BI246+BI247,MAX(0,BI165-Helpers!BG23))</f>
        <v/>
      </c>
      <c r="BJ248" s="438">
        <f>-MIN(BJ245+BJ246+BJ247,MAX(0,BJ165-Helpers!BH23))</f>
        <v/>
      </c>
      <c r="BK248" s="438">
        <f>-MIN(BK245+BK246+BK247,MAX(0,BK165-Helpers!BI23))</f>
        <v/>
      </c>
      <c r="BL248" s="438">
        <f>-MIN(BL245+BL246+BL247,MAX(0,BL165-Helpers!BJ23))</f>
        <v/>
      </c>
      <c r="BM248" s="438">
        <f>-MIN(BM245+BM246+BM247,MAX(0,BM165-Helpers!BK23))</f>
        <v/>
      </c>
      <c r="BN248" s="438">
        <f>-MIN(BN245+BN246+BN247,MAX(0,BN165-Helpers!BL23))</f>
        <v/>
      </c>
      <c r="BO248" s="438">
        <f>-MIN(BO245+BO246+BO247,MAX(0,BO165-Helpers!BM23))</f>
        <v/>
      </c>
      <c r="BP248" s="438">
        <f>-MIN(BP245+BP246+BP247,MAX(0,BP165-Helpers!BN23))</f>
        <v/>
      </c>
      <c r="BQ248" s="438">
        <f>-MIN(BQ245+BQ246+BQ247,MAX(0,BQ165-Helpers!BO23))</f>
        <v/>
      </c>
      <c r="BR248" s="438">
        <f>-MIN(BR245+BR246+BR247,MAX(0,BR165-Helpers!BP23))</f>
        <v/>
      </c>
      <c r="BS248" s="438">
        <f>-MIN(BS245+BS246+BS247,MAX(0,BS165-Helpers!BQ23))</f>
        <v/>
      </c>
      <c r="BT248" s="438">
        <f>-MIN(BT245+BT246+BT247,MAX(0,BT165-Helpers!BR23))</f>
        <v/>
      </c>
      <c r="BU248" s="438">
        <f>-MIN(BU245+BU246+BU247,MAX(0,BU165-Helpers!BS23))</f>
        <v/>
      </c>
      <c r="BV248" s="438">
        <f>-MIN(BV245+BV246+BV247,MAX(0,BV165-Helpers!BT23))</f>
        <v/>
      </c>
      <c r="BW248" s="438">
        <f>-MIN(BW245+BW246+BW247,MAX(0,BW165-Helpers!BU23))</f>
        <v/>
      </c>
      <c r="BX248" s="438">
        <f>-MIN(BX245+BX246+BX247,MAX(0,BX165-Helpers!BV23))</f>
        <v/>
      </c>
      <c r="BY248" s="438">
        <f>-MIN(BY245+BY246+BY247,MAX(0,BY165-Helpers!BW23))</f>
        <v/>
      </c>
      <c r="BZ248" s="438">
        <f>-MIN(BZ245+BZ246+BZ247,MAX(0,BZ165-Helpers!BX23))</f>
        <v/>
      </c>
      <c r="CA248" s="438">
        <f>-MIN(CA245+CA246+CA247,MAX(0,CA165-Helpers!BY23))</f>
        <v/>
      </c>
      <c r="CB248" s="438">
        <f>-MIN(CB245+CB246+CB247,MAX(0,CB165-Helpers!BZ23))</f>
        <v/>
      </c>
      <c r="CC248" s="438">
        <f>-MIN(CC245+CC246+CC247,MAX(0,CC165-Helpers!CA23))</f>
        <v/>
      </c>
      <c r="CD248" s="438">
        <f>-MIN(CD245+CD246+CD247,MAX(0,CD165-Helpers!CB23))</f>
        <v/>
      </c>
      <c r="CE248" s="438">
        <f>-MIN(CE245+CE246+CE247,MAX(0,CE165-Helpers!CC23))</f>
        <v/>
      </c>
      <c r="CF248" s="438">
        <f>-MIN(CF245+CF246+CF247,MAX(0,CF165-Helpers!CD23))</f>
        <v/>
      </c>
      <c r="CG248" s="438">
        <f>-MIN(CG245+CG246+CG247,MAX(0,CG165-Helpers!CE23))</f>
        <v/>
      </c>
      <c r="CH248" s="438">
        <f>-MIN(CH245+CH246+CH247,MAX(0,CH165-Helpers!CF23))</f>
        <v/>
      </c>
      <c r="CI248" s="438">
        <f>-MIN(CI245+CI246+CI247,MAX(0,CI165-Helpers!CG23))</f>
        <v/>
      </c>
      <c r="CJ248" s="438">
        <f>-MIN(CJ245+CJ246+CJ247,MAX(0,CJ165-Helpers!CH23))</f>
        <v/>
      </c>
      <c r="CK248" s="438">
        <f>-MIN(CK245+CK246+CK247,MAX(0,CK165-Helpers!CI23))</f>
        <v/>
      </c>
      <c r="CL248" s="438">
        <f>-MIN(CL245+CL246+CL247,MAX(0,CL165-Helpers!CJ23))</f>
        <v/>
      </c>
      <c r="CM248" s="438">
        <f>-MIN(CM245+CM246+CM247,MAX(0,CM165-Helpers!CK23))</f>
        <v/>
      </c>
      <c r="CN248" s="438">
        <f>-MIN(CN245+CN246+CN247,MAX(0,CN165-Helpers!CL23))</f>
        <v/>
      </c>
      <c r="CO248" s="438">
        <f>-MIN(CO245+CO246+CO247,MAX(0,CO165-Helpers!CM23))</f>
        <v/>
      </c>
      <c r="CP248" s="438">
        <f>-MIN(CP245+CP246+CP247,MAX(0,CP165-Helpers!CN23))</f>
        <v/>
      </c>
      <c r="CQ248" s="438">
        <f>-MIN(CQ245+CQ246+CQ247,MAX(0,CQ165-Helpers!CO23))</f>
        <v/>
      </c>
      <c r="CR248" s="438">
        <f>-MIN(CR245+CR246+CR247,MAX(0,CR165-Helpers!CP23))</f>
        <v/>
      </c>
      <c r="CS248" s="438">
        <f>-MIN(CS245+CS246+CS247,MAX(0,CS165-Helpers!CQ23))</f>
        <v/>
      </c>
      <c r="CT248" s="438">
        <f>-MIN(CT245+CT246+CT247,MAX(0,CT165-Helpers!CR23))</f>
        <v/>
      </c>
      <c r="CU248" s="438">
        <f>-MIN(CU245+CU246+CU247,MAX(0,CU165-Helpers!CS23))</f>
        <v/>
      </c>
      <c r="CV248" s="438">
        <f>-MIN(CV245+CV246+CV247,MAX(0,CV165-Helpers!CT23))</f>
        <v/>
      </c>
      <c r="CW248" s="438">
        <f>-MIN(CW245+CW246+CW247,MAX(0,CW165-Helpers!CU23))</f>
        <v/>
      </c>
      <c r="CX248" s="438">
        <f>-MIN(CX245+CX246+CX247,MAX(0,CX165-Helpers!CV23))</f>
        <v/>
      </c>
      <c r="CY248" s="438">
        <f>-MIN(CY245+CY246+CY247,MAX(0,CY165-Helpers!CW23))</f>
        <v/>
      </c>
      <c r="CZ248" s="438">
        <f>-MIN(CZ245+CZ246+CZ247,MAX(0,CZ165-Helpers!CX23))</f>
        <v/>
      </c>
      <c r="DA248" s="438">
        <f>-MIN(DA245+DA246+DA247,MAX(0,DA165-Helpers!CY23))</f>
        <v/>
      </c>
      <c r="DB248" s="438">
        <f>-MIN(DB245+DB246+DB247,MAX(0,DB165-Helpers!CZ23))</f>
        <v/>
      </c>
      <c r="DC248" s="438">
        <f>-MIN(DC245+DC246+DC247,MAX(0,DC165-Helpers!DA23))</f>
        <v/>
      </c>
      <c r="DD248" s="438">
        <f>-MIN(DD245+DD246+DD247,MAX(0,DD165-Helpers!DB23))</f>
        <v/>
      </c>
      <c r="DE248" s="438">
        <f>-MIN(DE245+DE246+DE247,MAX(0,DE165-Helpers!DC23))</f>
        <v/>
      </c>
    </row>
    <row r="249" ht="15" customFormat="1" customHeight="1" s="380">
      <c r="A249" s="439" t="inlineStr">
        <is>
          <t>Reseda - Ending Balance</t>
        </is>
      </c>
      <c r="B249" s="440" t="n"/>
      <c r="C249" s="440" t="n"/>
      <c r="D249" s="440" t="n"/>
      <c r="E249" s="440">
        <f>MAX(0,E245+E246+E247+E248)</f>
        <v/>
      </c>
      <c r="F249" s="440">
        <f>MAX(0,F245+F246+F247+F248)</f>
        <v/>
      </c>
      <c r="G249" s="440">
        <f>MAX(0,G245+G246+G247+G248)</f>
        <v/>
      </c>
      <c r="H249" s="440">
        <f>MAX(0,H245+H246+H247+H248)</f>
        <v/>
      </c>
      <c r="I249" s="440">
        <f>MAX(0,I245+I246+I247+I248)</f>
        <v/>
      </c>
      <c r="J249" s="440">
        <f>MAX(0,J245+J246+J247+J248)</f>
        <v/>
      </c>
      <c r="K249" s="440">
        <f>MAX(0,K245+K246+K247+K248)</f>
        <v/>
      </c>
      <c r="L249" s="440">
        <f>MAX(0,L245+L246+L247+L248)</f>
        <v/>
      </c>
      <c r="M249" s="440">
        <f>MAX(0,M245+M246+M247+M248)</f>
        <v/>
      </c>
      <c r="N249" s="440">
        <f>MAX(0,N245+N246+N247+N248)</f>
        <v/>
      </c>
      <c r="O249" s="440">
        <f>MAX(0,O245+O246+O247+O248)</f>
        <v/>
      </c>
      <c r="P249" s="440">
        <f>MAX(0,P245+P246+P247+P248)</f>
        <v/>
      </c>
      <c r="Q249" s="440">
        <f>MAX(0,Q245+Q246+Q247+Q248)</f>
        <v/>
      </c>
      <c r="R249" s="440">
        <f>MAX(0,R245+R246+R247+R248)</f>
        <v/>
      </c>
      <c r="S249" s="440">
        <f>MAX(0,S245+S246+S247+S248)</f>
        <v/>
      </c>
      <c r="T249" s="440">
        <f>MAX(0,T245+T246+T247+T248)</f>
        <v/>
      </c>
      <c r="U249" s="440">
        <f>MAX(0,U245+U246+U247+U248)</f>
        <v/>
      </c>
      <c r="V249" s="440">
        <f>MAX(0,V245+V246+V247+V248)</f>
        <v/>
      </c>
      <c r="W249" s="440">
        <f>MAX(0,W245+W246+W247+W248)</f>
        <v/>
      </c>
      <c r="X249" s="440">
        <f>MAX(0,X245+X246+X247+X248)</f>
        <v/>
      </c>
      <c r="Y249" s="440">
        <f>MAX(0,Y245+Y246+Y247+Y248)</f>
        <v/>
      </c>
      <c r="Z249" s="440">
        <f>MAX(0,Z245+Z246+Z247+Z248)</f>
        <v/>
      </c>
      <c r="AA249" s="440">
        <f>MAX(0,AA245+AA246+AA247+AA248)</f>
        <v/>
      </c>
      <c r="AB249" s="440">
        <f>MAX(0,AB245+AB246+AB247+AB248)</f>
        <v/>
      </c>
      <c r="AC249" s="440">
        <f>MAX(0,AC245+AC246+AC247+AC248)</f>
        <v/>
      </c>
      <c r="AD249" s="440">
        <f>MAX(0,AD245+AD246+AD247+AD248)</f>
        <v/>
      </c>
      <c r="AE249" s="440">
        <f>MAX(0,AE245+AE246+AE247+AE248)</f>
        <v/>
      </c>
      <c r="AF249" s="440">
        <f>MAX(0,AF245+AF246+AF247+AF248)</f>
        <v/>
      </c>
      <c r="AG249" s="440">
        <f>MAX(0,AG245+AG246+AG247+AG248)</f>
        <v/>
      </c>
      <c r="AH249" s="440">
        <f>MAX(0,AH245+AH246+AH247+AH248)</f>
        <v/>
      </c>
      <c r="AI249" s="440">
        <f>MAX(0,AI245+AI246+AI247+AI248)</f>
        <v/>
      </c>
      <c r="AJ249" s="440">
        <f>MAX(0,AJ245+AJ246+AJ247+AJ248)</f>
        <v/>
      </c>
      <c r="AK249" s="440">
        <f>MAX(0,AK245+AK246+AK247+AK248)</f>
        <v/>
      </c>
      <c r="AL249" s="440">
        <f>MAX(0,AL245+AL246+AL247+AL248)</f>
        <v/>
      </c>
      <c r="AM249" s="440">
        <f>MAX(0,AM245+AM246+AM247+AM248)</f>
        <v/>
      </c>
      <c r="AN249" s="440">
        <f>MAX(0,AN245+AN246+AN247+AN248)</f>
        <v/>
      </c>
      <c r="AO249" s="440">
        <f>MAX(0,AO245+AO246+AO247+AO248)</f>
        <v/>
      </c>
      <c r="AP249" s="440">
        <f>MAX(0,AP245+AP246+AP247+AP248)</f>
        <v/>
      </c>
      <c r="AQ249" s="440">
        <f>MAX(0,AQ245+AQ246+AQ247+AQ248)</f>
        <v/>
      </c>
      <c r="AR249" s="440">
        <f>MAX(0,AR245+AR246+AR247+AR248)</f>
        <v/>
      </c>
      <c r="AS249" s="440">
        <f>MAX(0,AS245+AS246+AS247+AS248)</f>
        <v/>
      </c>
      <c r="AT249" s="440">
        <f>MAX(0,AT245+AT246+AT247+AT248)</f>
        <v/>
      </c>
      <c r="AU249" s="440">
        <f>MAX(0,AU245+AU246+AU247+AU248)</f>
        <v/>
      </c>
      <c r="AV249" s="440">
        <f>MAX(0,AV245+AV246+AV247+AV248)</f>
        <v/>
      </c>
      <c r="AW249" s="440">
        <f>MAX(0,AW245+AW246+AW247+AW248)</f>
        <v/>
      </c>
      <c r="AX249" s="440">
        <f>MAX(0,AX245+AX246+AX247+AX248)</f>
        <v/>
      </c>
      <c r="AY249" s="440">
        <f>MAX(0,AY245+AY246+AY247+AY248)</f>
        <v/>
      </c>
      <c r="AZ249" s="440">
        <f>MAX(0,AZ245+AZ246+AZ247+AZ248)</f>
        <v/>
      </c>
      <c r="BA249" s="440">
        <f>MAX(0,BA245+BA246+BA247+BA248)</f>
        <v/>
      </c>
      <c r="BB249" s="440">
        <f>MAX(0,BB245+BB246+BB247+BB248)</f>
        <v/>
      </c>
      <c r="BC249" s="440">
        <f>MAX(0,BC245+BC246+BC247+BC248)</f>
        <v/>
      </c>
      <c r="BD249" s="440">
        <f>MAX(0,BD245+BD246+BD247+BD248)</f>
        <v/>
      </c>
      <c r="BE249" s="440">
        <f>MAX(0,BE245+BE246+BE247+BE248)</f>
        <v/>
      </c>
      <c r="BF249" s="440">
        <f>MAX(0,BF245+BF246+BF247+BF248)</f>
        <v/>
      </c>
      <c r="BG249" s="440">
        <f>MAX(0,BG245+BG246+BG247+BG248)</f>
        <v/>
      </c>
      <c r="BH249" s="440">
        <f>MAX(0,BH245+BH246+BH247+BH248)</f>
        <v/>
      </c>
      <c r="BI249" s="440">
        <f>MAX(0,BI245+BI246+BI247+BI248)</f>
        <v/>
      </c>
      <c r="BJ249" s="440">
        <f>MAX(0,BJ245+BJ246+BJ247+BJ248)</f>
        <v/>
      </c>
      <c r="BK249" s="440">
        <f>MAX(0,BK245+BK246+BK247+BK248)</f>
        <v/>
      </c>
      <c r="BL249" s="440">
        <f>MAX(0,BL245+BL246+BL247+BL248)</f>
        <v/>
      </c>
      <c r="BM249" s="440">
        <f>MAX(0,BM245+BM246+BM247+BM248)</f>
        <v/>
      </c>
      <c r="BN249" s="440">
        <f>MAX(0,BN245+BN246+BN247+BN248)</f>
        <v/>
      </c>
      <c r="BO249" s="440">
        <f>MAX(0,BO245+BO246+BO247+BO248)</f>
        <v/>
      </c>
      <c r="BP249" s="440">
        <f>MAX(0,BP245+BP246+BP247+BP248)</f>
        <v/>
      </c>
      <c r="BQ249" s="440">
        <f>MAX(0,BQ245+BQ246+BQ247+BQ248)</f>
        <v/>
      </c>
      <c r="BR249" s="440">
        <f>MAX(0,BR245+BR246+BR247+BR248)</f>
        <v/>
      </c>
      <c r="BS249" s="440">
        <f>MAX(0,BS245+BS246+BS247+BS248)</f>
        <v/>
      </c>
      <c r="BT249" s="440">
        <f>MAX(0,BT245+BT246+BT247+BT248)</f>
        <v/>
      </c>
      <c r="BU249" s="440">
        <f>MAX(0,BU245+BU246+BU247+BU248)</f>
        <v/>
      </c>
      <c r="BV249" s="440">
        <f>MAX(0,BV245+BV246+BV247+BV248)</f>
        <v/>
      </c>
      <c r="BW249" s="440">
        <f>MAX(0,BW245+BW246+BW247+BW248)</f>
        <v/>
      </c>
      <c r="BX249" s="440">
        <f>MAX(0,BX245+BX246+BX247+BX248)</f>
        <v/>
      </c>
      <c r="BY249" s="440">
        <f>MAX(0,BY245+BY246+BY247+BY248)</f>
        <v/>
      </c>
      <c r="BZ249" s="440">
        <f>MAX(0,BZ245+BZ246+BZ247+BZ248)</f>
        <v/>
      </c>
      <c r="CA249" s="440">
        <f>MAX(0,CA245+CA246+CA247+CA248)</f>
        <v/>
      </c>
      <c r="CB249" s="440">
        <f>MAX(0,CB245+CB246+CB247+CB248)</f>
        <v/>
      </c>
      <c r="CC249" s="440">
        <f>MAX(0,CC245+CC246+CC247+CC248)</f>
        <v/>
      </c>
      <c r="CD249" s="440">
        <f>MAX(0,CD245+CD246+CD247+CD248)</f>
        <v/>
      </c>
      <c r="CE249" s="440">
        <f>MAX(0,CE245+CE246+CE247+CE248)</f>
        <v/>
      </c>
      <c r="CF249" s="440">
        <f>MAX(0,CF245+CF246+CF247+CF248)</f>
        <v/>
      </c>
      <c r="CG249" s="440">
        <f>MAX(0,CG245+CG246+CG247+CG248)</f>
        <v/>
      </c>
      <c r="CH249" s="440">
        <f>MAX(0,CH245+CH246+CH247+CH248)</f>
        <v/>
      </c>
      <c r="CI249" s="440">
        <f>MAX(0,CI245+CI246+CI247+CI248)</f>
        <v/>
      </c>
      <c r="CJ249" s="440">
        <f>MAX(0,CJ245+CJ246+CJ247+CJ248)</f>
        <v/>
      </c>
      <c r="CK249" s="440">
        <f>MAX(0,CK245+CK246+CK247+CK248)</f>
        <v/>
      </c>
      <c r="CL249" s="440">
        <f>MAX(0,CL245+CL246+CL247+CL248)</f>
        <v/>
      </c>
      <c r="CM249" s="440">
        <f>MAX(0,CM245+CM246+CM247+CM248)</f>
        <v/>
      </c>
      <c r="CN249" s="440">
        <f>MAX(0,CN245+CN246+CN247+CN248)</f>
        <v/>
      </c>
      <c r="CO249" s="440">
        <f>MAX(0,CO245+CO246+CO247+CO248)</f>
        <v/>
      </c>
      <c r="CP249" s="440">
        <f>MAX(0,CP245+CP246+CP247+CP248)</f>
        <v/>
      </c>
      <c r="CQ249" s="440">
        <f>MAX(0,CQ245+CQ246+CQ247+CQ248)</f>
        <v/>
      </c>
      <c r="CR249" s="440">
        <f>MAX(0,CR245+CR246+CR247+CR248)</f>
        <v/>
      </c>
      <c r="CS249" s="440">
        <f>MAX(0,CS245+CS246+CS247+CS248)</f>
        <v/>
      </c>
      <c r="CT249" s="440">
        <f>MAX(0,CT245+CT246+CT247+CT248)</f>
        <v/>
      </c>
      <c r="CU249" s="440">
        <f>MAX(0,CU245+CU246+CU247+CU248)</f>
        <v/>
      </c>
      <c r="CV249" s="440">
        <f>MAX(0,CV245+CV246+CV247+CV248)</f>
        <v/>
      </c>
      <c r="CW249" s="440">
        <f>MAX(0,CW245+CW246+CW247+CW248)</f>
        <v/>
      </c>
      <c r="CX249" s="440">
        <f>MAX(0,CX245+CX246+CX247+CX248)</f>
        <v/>
      </c>
      <c r="CY249" s="440">
        <f>MAX(0,CY245+CY246+CY247+CY248)</f>
        <v/>
      </c>
      <c r="CZ249" s="440">
        <f>MAX(0,CZ245+CZ246+CZ247+CZ248)</f>
        <v/>
      </c>
      <c r="DA249" s="440">
        <f>MAX(0,DA245+DA246+DA247+DA248)</f>
        <v/>
      </c>
      <c r="DB249" s="440">
        <f>MAX(0,DB245+DB246+DB247+DB248)</f>
        <v/>
      </c>
      <c r="DC249" s="440">
        <f>MAX(0,DC245+DC246+DC247+DC248)</f>
        <v/>
      </c>
      <c r="DD249" s="440">
        <f>MAX(0,DD245+DD246+DD247+DD248)</f>
        <v/>
      </c>
      <c r="DE249" s="440">
        <f>MAX(0,DE245+DE246+DE247+DE248)</f>
        <v/>
      </c>
    </row>
    <row r="250" ht="15" customFormat="1" customHeight="1" s="380">
      <c r="A250" s="441" t="n"/>
      <c r="B250" s="442" t="n"/>
      <c r="C250" s="442" t="n"/>
      <c r="D250" s="442" t="n"/>
      <c r="E250" s="442" t="n"/>
      <c r="F250" s="442" t="n"/>
      <c r="G250" s="442" t="n"/>
      <c r="H250" s="442" t="n"/>
      <c r="I250" s="442" t="n"/>
      <c r="J250" s="442" t="n"/>
      <c r="K250" s="442" t="n"/>
      <c r="L250" s="442" t="n"/>
      <c r="M250" s="442" t="n"/>
      <c r="N250" s="442" t="n"/>
      <c r="O250" s="442" t="n"/>
      <c r="P250" s="442" t="n"/>
      <c r="Q250" s="442" t="n"/>
      <c r="R250" s="442" t="n"/>
      <c r="S250" s="442" t="n"/>
      <c r="T250" s="442" t="n"/>
      <c r="U250" s="442" t="n"/>
      <c r="V250" s="442" t="n"/>
      <c r="W250" s="442" t="n"/>
      <c r="X250" s="442" t="n"/>
      <c r="Y250" s="442" t="n"/>
      <c r="Z250" s="442" t="n"/>
      <c r="AA250" s="442" t="n"/>
      <c r="AB250" s="442" t="n"/>
      <c r="AC250" s="442" t="n"/>
      <c r="AD250" s="442" t="n"/>
      <c r="AE250" s="442" t="n"/>
      <c r="AF250" s="442" t="n"/>
      <c r="AG250" s="442" t="n"/>
      <c r="AH250" s="442" t="n"/>
      <c r="AI250" s="442" t="n"/>
      <c r="AJ250" s="442" t="n"/>
      <c r="AK250" s="442" t="n"/>
      <c r="AL250" s="442" t="n"/>
      <c r="AM250" s="442" t="n"/>
      <c r="AN250" s="442" t="n"/>
      <c r="AO250" s="442" t="n"/>
      <c r="AP250" s="442" t="n"/>
      <c r="AQ250" s="442" t="n"/>
      <c r="AR250" s="442" t="n"/>
      <c r="AS250" s="442" t="n"/>
      <c r="AT250" s="442" t="n"/>
      <c r="AU250" s="442" t="n"/>
      <c r="AV250" s="442" t="n"/>
      <c r="AW250" s="442" t="n"/>
      <c r="AX250" s="442" t="n"/>
      <c r="AY250" s="442" t="n"/>
      <c r="AZ250" s="442" t="n"/>
      <c r="BA250" s="442" t="n"/>
      <c r="BB250" s="442" t="n"/>
      <c r="BC250" s="442" t="n"/>
      <c r="BD250" s="442" t="n"/>
      <c r="BE250" s="442" t="n"/>
      <c r="BF250" s="442" t="n"/>
      <c r="BG250" s="442" t="n"/>
      <c r="BH250" s="442" t="n"/>
      <c r="BI250" s="442" t="n"/>
      <c r="BJ250" s="442" t="n"/>
      <c r="BK250" s="442" t="n"/>
      <c r="BL250" s="442" t="n"/>
      <c r="BM250" s="442" t="n"/>
      <c r="BN250" s="442" t="n"/>
      <c r="BO250" s="442" t="n"/>
      <c r="BP250" s="442" t="n"/>
      <c r="BQ250" s="442" t="n"/>
      <c r="BR250" s="442" t="n"/>
      <c r="BS250" s="442" t="n"/>
      <c r="BT250" s="442" t="n"/>
      <c r="BU250" s="442" t="n"/>
      <c r="BV250" s="442" t="n"/>
      <c r="BW250" s="442" t="n"/>
      <c r="BX250" s="442" t="n"/>
      <c r="BY250" s="442" t="n"/>
      <c r="BZ250" s="442" t="n"/>
      <c r="CA250" s="442" t="n"/>
      <c r="CB250" s="442" t="n"/>
      <c r="CC250" s="442" t="n"/>
      <c r="CD250" s="442" t="n"/>
      <c r="CE250" s="442" t="n"/>
      <c r="CF250" s="442" t="n"/>
      <c r="CG250" s="442" t="n"/>
      <c r="CH250" s="442" t="n"/>
      <c r="CI250" s="442" t="n"/>
      <c r="CJ250" s="442" t="n"/>
      <c r="CK250" s="442" t="n"/>
      <c r="CL250" s="442" t="n"/>
      <c r="CM250" s="442" t="n"/>
      <c r="CN250" s="442" t="n"/>
      <c r="CO250" s="442" t="n"/>
      <c r="CP250" s="442" t="n"/>
      <c r="CQ250" s="442" t="n"/>
      <c r="CR250" s="442" t="n"/>
      <c r="CS250" s="442" t="n"/>
      <c r="CT250" s="442" t="n"/>
      <c r="CU250" s="442" t="n"/>
      <c r="CV250" s="442" t="n"/>
      <c r="CW250" s="442" t="n"/>
      <c r="CX250" s="442" t="n"/>
      <c r="CY250" s="442" t="n"/>
      <c r="CZ250" s="442" t="n"/>
      <c r="DA250" s="442" t="n"/>
      <c r="DB250" s="442" t="n"/>
      <c r="DC250" s="442" t="n"/>
      <c r="DD250" s="442" t="n"/>
      <c r="DE250" s="442" t="n"/>
    </row>
    <row r="251" ht="15" customFormat="1" customHeight="1" s="380">
      <c r="A251" s="443" t="inlineStr">
        <is>
          <t>BONDING OUTSTANDING</t>
        </is>
      </c>
      <c r="B251" s="444" t="n"/>
      <c r="C251" s="444" t="n"/>
      <c r="D251" s="444" t="n"/>
      <c r="E251" s="444" t="n"/>
      <c r="F251" s="444" t="n"/>
      <c r="G251" s="444" t="n"/>
      <c r="H251" s="444" t="n"/>
      <c r="I251" s="444" t="n"/>
      <c r="J251" s="444" t="n"/>
      <c r="K251" s="444" t="n"/>
      <c r="L251" s="444" t="n"/>
      <c r="M251" s="444" t="n"/>
      <c r="N251" s="444" t="n"/>
      <c r="O251" s="444" t="n"/>
      <c r="P251" s="444" t="n"/>
      <c r="Q251" s="444" t="n"/>
      <c r="R251" s="444" t="n"/>
      <c r="S251" s="444" t="n"/>
      <c r="T251" s="444" t="n"/>
      <c r="U251" s="444" t="n"/>
      <c r="V251" s="444" t="n"/>
      <c r="W251" s="444" t="n"/>
      <c r="X251" s="444" t="n"/>
      <c r="Y251" s="444" t="n"/>
      <c r="Z251" s="444" t="n"/>
      <c r="AA251" s="444" t="n"/>
      <c r="AB251" s="444" t="n"/>
      <c r="AC251" s="444" t="n"/>
      <c r="AD251" s="444" t="n"/>
      <c r="AE251" s="444" t="n"/>
      <c r="AF251" s="444" t="n"/>
      <c r="AG251" s="444" t="n"/>
      <c r="AH251" s="444" t="n"/>
      <c r="AI251" s="444" t="n"/>
      <c r="AJ251" s="444" t="n"/>
      <c r="AK251" s="444" t="n"/>
      <c r="AL251" s="444" t="n"/>
      <c r="AM251" s="444" t="n"/>
      <c r="AN251" s="444" t="n"/>
      <c r="AO251" s="444" t="n"/>
      <c r="AP251" s="444" t="n"/>
      <c r="AQ251" s="444" t="n"/>
      <c r="AR251" s="444" t="n"/>
      <c r="AS251" s="444" t="n"/>
      <c r="AT251" s="444" t="n"/>
      <c r="AU251" s="444" t="n"/>
      <c r="AV251" s="444" t="n"/>
      <c r="AW251" s="444" t="n"/>
      <c r="AX251" s="444" t="n"/>
      <c r="AY251" s="444" t="n"/>
      <c r="AZ251" s="444" t="n"/>
      <c r="BA251" s="444" t="n"/>
      <c r="BB251" s="444" t="n"/>
      <c r="BC251" s="444" t="n"/>
      <c r="BD251" s="444" t="n"/>
      <c r="BE251" s="444" t="n"/>
      <c r="BF251" s="444" t="n"/>
      <c r="BG251" s="444" t="n"/>
      <c r="BH251" s="444" t="n"/>
      <c r="BI251" s="444" t="n"/>
      <c r="BJ251" s="444" t="n"/>
      <c r="BK251" s="444" t="n"/>
      <c r="BL251" s="444" t="n"/>
      <c r="BM251" s="444" t="n"/>
      <c r="BN251" s="444" t="n"/>
      <c r="BO251" s="444" t="n"/>
      <c r="BP251" s="444" t="n"/>
      <c r="BQ251" s="444" t="n"/>
      <c r="BR251" s="444" t="n"/>
      <c r="BS251" s="444" t="n"/>
      <c r="BT251" s="444" t="n"/>
      <c r="BU251" s="444" t="n"/>
      <c r="BV251" s="444" t="n"/>
      <c r="BW251" s="444" t="n"/>
      <c r="BX251" s="444" t="n"/>
      <c r="BY251" s="444" t="n"/>
      <c r="BZ251" s="444" t="n"/>
      <c r="CA251" s="444" t="n"/>
      <c r="CB251" s="444" t="n"/>
      <c r="CC251" s="444" t="n"/>
      <c r="CD251" s="444" t="n"/>
      <c r="CE251" s="444" t="n"/>
      <c r="CF251" s="444" t="n"/>
      <c r="CG251" s="444" t="n"/>
      <c r="CH251" s="444" t="n"/>
      <c r="CI251" s="444" t="n"/>
      <c r="CJ251" s="444" t="n"/>
      <c r="CK251" s="444" t="n"/>
      <c r="CL251" s="444" t="n"/>
      <c r="CM251" s="444" t="n"/>
      <c r="CN251" s="444" t="n"/>
      <c r="CO251" s="444" t="n"/>
      <c r="CP251" s="444" t="n"/>
      <c r="CQ251" s="444" t="n"/>
      <c r="CR251" s="444" t="n"/>
      <c r="CS251" s="444" t="n"/>
      <c r="CT251" s="444" t="n"/>
      <c r="CU251" s="444" t="n"/>
      <c r="CV251" s="444" t="n"/>
      <c r="CW251" s="444" t="n"/>
      <c r="CX251" s="444" t="n"/>
      <c r="CY251" s="444" t="n"/>
      <c r="CZ251" s="444" t="n"/>
      <c r="DA251" s="444" t="n"/>
      <c r="DB251" s="444" t="n"/>
      <c r="DC251" s="444" t="n"/>
      <c r="DD251" s="444" t="n"/>
      <c r="DE251" s="444" t="n"/>
    </row>
    <row r="252" ht="15" customFormat="1" customHeight="1" s="380">
      <c r="A252" s="397" t="inlineStr">
        <is>
          <t>Califa</t>
        </is>
      </c>
      <c r="B252" s="392" t="n"/>
      <c r="C252" s="392" t="n"/>
      <c r="D252" s="392" t="n"/>
      <c r="E252" s="392">
        <f>Helpers!C8</f>
        <v/>
      </c>
      <c r="F252" s="392">
        <f>Helpers!D8</f>
        <v/>
      </c>
      <c r="G252" s="392">
        <f>Helpers!E8</f>
        <v/>
      </c>
      <c r="H252" s="392">
        <f>Helpers!F8</f>
        <v/>
      </c>
      <c r="I252" s="392">
        <f>Helpers!G8</f>
        <v/>
      </c>
      <c r="J252" s="392">
        <f>Helpers!H8</f>
        <v/>
      </c>
      <c r="K252" s="392">
        <f>Helpers!I8</f>
        <v/>
      </c>
      <c r="L252" s="392">
        <f>Helpers!J8</f>
        <v/>
      </c>
      <c r="M252" s="392">
        <f>Helpers!K8</f>
        <v/>
      </c>
      <c r="N252" s="392">
        <f>Helpers!L8</f>
        <v/>
      </c>
      <c r="O252" s="392">
        <f>Helpers!M8</f>
        <v/>
      </c>
      <c r="P252" s="392">
        <f>Helpers!N8</f>
        <v/>
      </c>
      <c r="Q252" s="392">
        <f>Helpers!O8</f>
        <v/>
      </c>
      <c r="R252" s="392">
        <f>Helpers!P8</f>
        <v/>
      </c>
      <c r="S252" s="392">
        <f>Helpers!Q8</f>
        <v/>
      </c>
      <c r="T252" s="392">
        <f>Helpers!R8</f>
        <v/>
      </c>
      <c r="U252" s="392">
        <f>Helpers!S8</f>
        <v/>
      </c>
      <c r="V252" s="392">
        <f>Helpers!T8</f>
        <v/>
      </c>
      <c r="W252" s="392">
        <f>Helpers!U8</f>
        <v/>
      </c>
      <c r="X252" s="392">
        <f>Helpers!V8</f>
        <v/>
      </c>
      <c r="Y252" s="392">
        <f>Helpers!W8</f>
        <v/>
      </c>
      <c r="Z252" s="392">
        <f>Helpers!X8</f>
        <v/>
      </c>
      <c r="AA252" s="392">
        <f>Helpers!Y8</f>
        <v/>
      </c>
      <c r="AB252" s="392">
        <f>Helpers!Z8</f>
        <v/>
      </c>
      <c r="AC252" s="392">
        <f>Helpers!AA8</f>
        <v/>
      </c>
      <c r="AD252" s="392">
        <f>Helpers!AB8</f>
        <v/>
      </c>
      <c r="AE252" s="392">
        <f>Helpers!AC8</f>
        <v/>
      </c>
      <c r="AF252" s="392">
        <f>Helpers!AD8</f>
        <v/>
      </c>
      <c r="AG252" s="392">
        <f>Helpers!AE8</f>
        <v/>
      </c>
      <c r="AH252" s="392">
        <f>Helpers!AF8</f>
        <v/>
      </c>
      <c r="AI252" s="392">
        <f>Helpers!AG8</f>
        <v/>
      </c>
      <c r="AJ252" s="392">
        <f>Helpers!AH8</f>
        <v/>
      </c>
      <c r="AK252" s="392">
        <f>Helpers!AI8</f>
        <v/>
      </c>
      <c r="AL252" s="392">
        <f>Helpers!AJ8</f>
        <v/>
      </c>
      <c r="AM252" s="392">
        <f>Helpers!AK8</f>
        <v/>
      </c>
      <c r="AN252" s="392">
        <f>Helpers!AL8</f>
        <v/>
      </c>
      <c r="AO252" s="392">
        <f>Helpers!AM8</f>
        <v/>
      </c>
      <c r="AP252" s="392">
        <f>Helpers!AN8</f>
        <v/>
      </c>
      <c r="AQ252" s="392">
        <f>Helpers!AO8</f>
        <v/>
      </c>
      <c r="AR252" s="392">
        <f>Helpers!AP8</f>
        <v/>
      </c>
      <c r="AS252" s="392">
        <f>Helpers!AQ8</f>
        <v/>
      </c>
      <c r="AT252" s="392">
        <f>Helpers!AR8</f>
        <v/>
      </c>
      <c r="AU252" s="392">
        <f>Helpers!AS8</f>
        <v/>
      </c>
      <c r="AV252" s="392">
        <f>Helpers!AT8</f>
        <v/>
      </c>
      <c r="AW252" s="392">
        <f>Helpers!AU8</f>
        <v/>
      </c>
      <c r="AX252" s="392">
        <f>Helpers!AV8</f>
        <v/>
      </c>
      <c r="AY252" s="392">
        <f>Helpers!AW8</f>
        <v/>
      </c>
      <c r="AZ252" s="392">
        <f>Helpers!AX8</f>
        <v/>
      </c>
      <c r="BA252" s="392">
        <f>Helpers!AY8</f>
        <v/>
      </c>
      <c r="BB252" s="392">
        <f>Helpers!AZ8</f>
        <v/>
      </c>
      <c r="BC252" s="392">
        <f>Helpers!BA8</f>
        <v/>
      </c>
      <c r="BD252" s="392">
        <f>Helpers!BB8</f>
        <v/>
      </c>
      <c r="BE252" s="392">
        <f>Helpers!BC8</f>
        <v/>
      </c>
      <c r="BF252" s="392">
        <f>Helpers!BD8</f>
        <v/>
      </c>
      <c r="BG252" s="392">
        <f>Helpers!BE8</f>
        <v/>
      </c>
      <c r="BH252" s="392">
        <f>Helpers!BF8</f>
        <v/>
      </c>
      <c r="BI252" s="392">
        <f>Helpers!BG8</f>
        <v/>
      </c>
      <c r="BJ252" s="392">
        <f>Helpers!BH8</f>
        <v/>
      </c>
      <c r="BK252" s="392">
        <f>Helpers!BI8</f>
        <v/>
      </c>
      <c r="BL252" s="392">
        <f>Helpers!BJ8</f>
        <v/>
      </c>
      <c r="BM252" s="392">
        <f>Helpers!BK8</f>
        <v/>
      </c>
      <c r="BN252" s="392">
        <f>Helpers!BL8</f>
        <v/>
      </c>
      <c r="BO252" s="392">
        <f>Helpers!BM8</f>
        <v/>
      </c>
      <c r="BP252" s="392">
        <f>Helpers!BN8</f>
        <v/>
      </c>
      <c r="BQ252" s="392">
        <f>Helpers!BO8</f>
        <v/>
      </c>
      <c r="BR252" s="392">
        <f>Helpers!BP8</f>
        <v/>
      </c>
      <c r="BS252" s="392">
        <f>Helpers!BQ8</f>
        <v/>
      </c>
      <c r="BT252" s="392">
        <f>Helpers!BR8</f>
        <v/>
      </c>
      <c r="BU252" s="392">
        <f>Helpers!BS8</f>
        <v/>
      </c>
      <c r="BV252" s="392">
        <f>Helpers!BT8</f>
        <v/>
      </c>
      <c r="BW252" s="392">
        <f>Helpers!BU8</f>
        <v/>
      </c>
      <c r="BX252" s="392">
        <f>Helpers!BV8</f>
        <v/>
      </c>
      <c r="BY252" s="392">
        <f>Helpers!BW8</f>
        <v/>
      </c>
      <c r="BZ252" s="392">
        <f>Helpers!BX8</f>
        <v/>
      </c>
      <c r="CA252" s="392">
        <f>Helpers!BY8</f>
        <v/>
      </c>
      <c r="CB252" s="392">
        <f>Helpers!BZ8</f>
        <v/>
      </c>
      <c r="CC252" s="392">
        <f>Helpers!CA8</f>
        <v/>
      </c>
      <c r="CD252" s="392">
        <f>Helpers!CB8</f>
        <v/>
      </c>
      <c r="CE252" s="392">
        <f>Helpers!CC8</f>
        <v/>
      </c>
      <c r="CF252" s="392">
        <f>Helpers!CD8</f>
        <v/>
      </c>
      <c r="CG252" s="392">
        <f>Helpers!CE8</f>
        <v/>
      </c>
      <c r="CH252" s="392">
        <f>Helpers!CF8</f>
        <v/>
      </c>
      <c r="CI252" s="392">
        <f>Helpers!CG8</f>
        <v/>
      </c>
      <c r="CJ252" s="392">
        <f>Helpers!CH8</f>
        <v/>
      </c>
      <c r="CK252" s="392">
        <f>Helpers!CI8</f>
        <v/>
      </c>
      <c r="CL252" s="392">
        <f>Helpers!CJ8</f>
        <v/>
      </c>
      <c r="CM252" s="392">
        <f>Helpers!CK8</f>
        <v/>
      </c>
      <c r="CN252" s="392">
        <f>Helpers!CL8</f>
        <v/>
      </c>
      <c r="CO252" s="392">
        <f>Helpers!CM8</f>
        <v/>
      </c>
      <c r="CP252" s="392">
        <f>Helpers!CN8</f>
        <v/>
      </c>
      <c r="CQ252" s="392">
        <f>Helpers!CO8</f>
        <v/>
      </c>
      <c r="CR252" s="392">
        <f>Helpers!CP8</f>
        <v/>
      </c>
      <c r="CS252" s="392">
        <f>Helpers!CQ8</f>
        <v/>
      </c>
      <c r="CT252" s="392">
        <f>Helpers!CR8</f>
        <v/>
      </c>
      <c r="CU252" s="392">
        <f>Helpers!CS8</f>
        <v/>
      </c>
      <c r="CV252" s="392">
        <f>Helpers!CT8</f>
        <v/>
      </c>
      <c r="CW252" s="392">
        <f>Helpers!CU8</f>
        <v/>
      </c>
      <c r="CX252" s="392">
        <f>Helpers!CV8</f>
        <v/>
      </c>
      <c r="CY252" s="392">
        <f>Helpers!CW8</f>
        <v/>
      </c>
      <c r="CZ252" s="392">
        <f>Helpers!CX8</f>
        <v/>
      </c>
      <c r="DA252" s="392">
        <f>Helpers!CY8</f>
        <v/>
      </c>
      <c r="DB252" s="392">
        <f>Helpers!CZ8</f>
        <v/>
      </c>
      <c r="DC252" s="392">
        <f>Helpers!DA8</f>
        <v/>
      </c>
      <c r="DD252" s="392">
        <f>Helpers!DB8</f>
        <v/>
      </c>
      <c r="DE252" s="392">
        <f>Helpers!DC8</f>
        <v/>
      </c>
    </row>
    <row r="253" ht="15" customFormat="1" customHeight="1" s="380">
      <c r="A253" s="397" t="inlineStr">
        <is>
          <t>Whipple</t>
        </is>
      </c>
      <c r="B253" s="392" t="n"/>
      <c r="C253" s="392" t="n"/>
      <c r="D253" s="392" t="n"/>
      <c r="E253" s="392">
        <f>Helpers!C9</f>
        <v/>
      </c>
      <c r="F253" s="392">
        <f>Helpers!D9</f>
        <v/>
      </c>
      <c r="G253" s="392">
        <f>Helpers!E9</f>
        <v/>
      </c>
      <c r="H253" s="392">
        <f>Helpers!F9</f>
        <v/>
      </c>
      <c r="I253" s="392">
        <f>Helpers!G9</f>
        <v/>
      </c>
      <c r="J253" s="392">
        <f>Helpers!H9</f>
        <v/>
      </c>
      <c r="K253" s="392">
        <f>Helpers!I9</f>
        <v/>
      </c>
      <c r="L253" s="392">
        <f>Helpers!J9</f>
        <v/>
      </c>
      <c r="M253" s="392">
        <f>Helpers!K9</f>
        <v/>
      </c>
      <c r="N253" s="392">
        <f>Helpers!L9</f>
        <v/>
      </c>
      <c r="O253" s="392">
        <f>Helpers!M9</f>
        <v/>
      </c>
      <c r="P253" s="392">
        <f>Helpers!N9</f>
        <v/>
      </c>
      <c r="Q253" s="392">
        <f>Helpers!O9</f>
        <v/>
      </c>
      <c r="R253" s="392">
        <f>Helpers!P9</f>
        <v/>
      </c>
      <c r="S253" s="392">
        <f>Helpers!Q9</f>
        <v/>
      </c>
      <c r="T253" s="392">
        <f>Helpers!R9</f>
        <v/>
      </c>
      <c r="U253" s="392">
        <f>Helpers!S9</f>
        <v/>
      </c>
      <c r="V253" s="392">
        <f>Helpers!T9</f>
        <v/>
      </c>
      <c r="W253" s="392">
        <f>Helpers!U9</f>
        <v/>
      </c>
      <c r="X253" s="392">
        <f>Helpers!V9</f>
        <v/>
      </c>
      <c r="Y253" s="392">
        <f>Helpers!W9</f>
        <v/>
      </c>
      <c r="Z253" s="392">
        <f>Helpers!X9</f>
        <v/>
      </c>
      <c r="AA253" s="392">
        <f>Helpers!Y9</f>
        <v/>
      </c>
      <c r="AB253" s="392">
        <f>Helpers!Z9</f>
        <v/>
      </c>
      <c r="AC253" s="392">
        <f>Helpers!AA9</f>
        <v/>
      </c>
      <c r="AD253" s="392">
        <f>Helpers!AB9</f>
        <v/>
      </c>
      <c r="AE253" s="392">
        <f>Helpers!AC9</f>
        <v/>
      </c>
      <c r="AF253" s="392">
        <f>Helpers!AD9</f>
        <v/>
      </c>
      <c r="AG253" s="392">
        <f>Helpers!AE9</f>
        <v/>
      </c>
      <c r="AH253" s="392">
        <f>Helpers!AF9</f>
        <v/>
      </c>
      <c r="AI253" s="392">
        <f>Helpers!AG9</f>
        <v/>
      </c>
      <c r="AJ253" s="392">
        <f>Helpers!AH9</f>
        <v/>
      </c>
      <c r="AK253" s="392">
        <f>Helpers!AI9</f>
        <v/>
      </c>
      <c r="AL253" s="392">
        <f>Helpers!AJ9</f>
        <v/>
      </c>
      <c r="AM253" s="392">
        <f>Helpers!AK9</f>
        <v/>
      </c>
      <c r="AN253" s="392">
        <f>Helpers!AL9</f>
        <v/>
      </c>
      <c r="AO253" s="392">
        <f>Helpers!AM9</f>
        <v/>
      </c>
      <c r="AP253" s="392">
        <f>Helpers!AN9</f>
        <v/>
      </c>
      <c r="AQ253" s="392">
        <f>Helpers!AO9</f>
        <v/>
      </c>
      <c r="AR253" s="392">
        <f>Helpers!AP9</f>
        <v/>
      </c>
      <c r="AS253" s="392">
        <f>Helpers!AQ9</f>
        <v/>
      </c>
      <c r="AT253" s="392">
        <f>Helpers!AR9</f>
        <v/>
      </c>
      <c r="AU253" s="392">
        <f>Helpers!AS9</f>
        <v/>
      </c>
      <c r="AV253" s="392">
        <f>Helpers!AT9</f>
        <v/>
      </c>
      <c r="AW253" s="392">
        <f>Helpers!AU9</f>
        <v/>
      </c>
      <c r="AX253" s="392">
        <f>Helpers!AV9</f>
        <v/>
      </c>
      <c r="AY253" s="392">
        <f>Helpers!AW9</f>
        <v/>
      </c>
      <c r="AZ253" s="392">
        <f>Helpers!AX9</f>
        <v/>
      </c>
      <c r="BA253" s="392">
        <f>Helpers!AY9</f>
        <v/>
      </c>
      <c r="BB253" s="392">
        <f>Helpers!AZ9</f>
        <v/>
      </c>
      <c r="BC253" s="392">
        <f>Helpers!BA9</f>
        <v/>
      </c>
      <c r="BD253" s="392">
        <f>Helpers!BB9</f>
        <v/>
      </c>
      <c r="BE253" s="392">
        <f>Helpers!BC9</f>
        <v/>
      </c>
      <c r="BF253" s="392">
        <f>Helpers!BD9</f>
        <v/>
      </c>
      <c r="BG253" s="392">
        <f>Helpers!BE9</f>
        <v/>
      </c>
      <c r="BH253" s="392">
        <f>Helpers!BF9</f>
        <v/>
      </c>
      <c r="BI253" s="392">
        <f>Helpers!BG9</f>
        <v/>
      </c>
      <c r="BJ253" s="392">
        <f>Helpers!BH9</f>
        <v/>
      </c>
      <c r="BK253" s="392">
        <f>Helpers!BI9</f>
        <v/>
      </c>
      <c r="BL253" s="392">
        <f>Helpers!BJ9</f>
        <v/>
      </c>
      <c r="BM253" s="392">
        <f>Helpers!BK9</f>
        <v/>
      </c>
      <c r="BN253" s="392">
        <f>Helpers!BL9</f>
        <v/>
      </c>
      <c r="BO253" s="392">
        <f>Helpers!BM9</f>
        <v/>
      </c>
      <c r="BP253" s="392">
        <f>Helpers!BN9</f>
        <v/>
      </c>
      <c r="BQ253" s="392">
        <f>Helpers!BO9</f>
        <v/>
      </c>
      <c r="BR253" s="392">
        <f>Helpers!BP9</f>
        <v/>
      </c>
      <c r="BS253" s="392">
        <f>Helpers!BQ9</f>
        <v/>
      </c>
      <c r="BT253" s="392">
        <f>Helpers!BR9</f>
        <v/>
      </c>
      <c r="BU253" s="392">
        <f>Helpers!BS9</f>
        <v/>
      </c>
      <c r="BV253" s="392">
        <f>Helpers!BT9</f>
        <v/>
      </c>
      <c r="BW253" s="392">
        <f>Helpers!BU9</f>
        <v/>
      </c>
      <c r="BX253" s="392">
        <f>Helpers!BV9</f>
        <v/>
      </c>
      <c r="BY253" s="392">
        <f>Helpers!BW9</f>
        <v/>
      </c>
      <c r="BZ253" s="392">
        <f>Helpers!BX9</f>
        <v/>
      </c>
      <c r="CA253" s="392">
        <f>Helpers!BY9</f>
        <v/>
      </c>
      <c r="CB253" s="392">
        <f>Helpers!BZ9</f>
        <v/>
      </c>
      <c r="CC253" s="392">
        <f>Helpers!CA9</f>
        <v/>
      </c>
      <c r="CD253" s="392">
        <f>Helpers!CB9</f>
        <v/>
      </c>
      <c r="CE253" s="392">
        <f>Helpers!CC9</f>
        <v/>
      </c>
      <c r="CF253" s="392">
        <f>Helpers!CD9</f>
        <v/>
      </c>
      <c r="CG253" s="392">
        <f>Helpers!CE9</f>
        <v/>
      </c>
      <c r="CH253" s="392">
        <f>Helpers!CF9</f>
        <v/>
      </c>
      <c r="CI253" s="392">
        <f>Helpers!CG9</f>
        <v/>
      </c>
      <c r="CJ253" s="392">
        <f>Helpers!CH9</f>
        <v/>
      </c>
      <c r="CK253" s="392">
        <f>Helpers!CI9</f>
        <v/>
      </c>
      <c r="CL253" s="392">
        <f>Helpers!CJ9</f>
        <v/>
      </c>
      <c r="CM253" s="392">
        <f>Helpers!CK9</f>
        <v/>
      </c>
      <c r="CN253" s="392">
        <f>Helpers!CL9</f>
        <v/>
      </c>
      <c r="CO253" s="392">
        <f>Helpers!CM9</f>
        <v/>
      </c>
      <c r="CP253" s="392">
        <f>Helpers!CN9</f>
        <v/>
      </c>
      <c r="CQ253" s="392">
        <f>Helpers!CO9</f>
        <v/>
      </c>
      <c r="CR253" s="392">
        <f>Helpers!CP9</f>
        <v/>
      </c>
      <c r="CS253" s="392">
        <f>Helpers!CQ9</f>
        <v/>
      </c>
      <c r="CT253" s="392">
        <f>Helpers!CR9</f>
        <v/>
      </c>
      <c r="CU253" s="392">
        <f>Helpers!CS9</f>
        <v/>
      </c>
      <c r="CV253" s="392">
        <f>Helpers!CT9</f>
        <v/>
      </c>
      <c r="CW253" s="392">
        <f>Helpers!CU9</f>
        <v/>
      </c>
      <c r="CX253" s="392">
        <f>Helpers!CV9</f>
        <v/>
      </c>
      <c r="CY253" s="392">
        <f>Helpers!CW9</f>
        <v/>
      </c>
      <c r="CZ253" s="392">
        <f>Helpers!CX9</f>
        <v/>
      </c>
      <c r="DA253" s="392">
        <f>Helpers!CY9</f>
        <v/>
      </c>
      <c r="DB253" s="392">
        <f>Helpers!CZ9</f>
        <v/>
      </c>
      <c r="DC253" s="392">
        <f>Helpers!DA9</f>
        <v/>
      </c>
      <c r="DD253" s="392">
        <f>Helpers!DB9</f>
        <v/>
      </c>
      <c r="DE253" s="392">
        <f>Helpers!DC9</f>
        <v/>
      </c>
    </row>
    <row r="254" ht="15" customFormat="1" customHeight="1" s="380">
      <c r="A254" s="397" t="inlineStr">
        <is>
          <t>Francis</t>
        </is>
      </c>
      <c r="B254" s="392" t="n"/>
      <c r="C254" s="392" t="n"/>
      <c r="D254" s="392" t="n"/>
      <c r="E254" s="392">
        <f>Helpers!C10</f>
        <v/>
      </c>
      <c r="F254" s="392">
        <f>Helpers!D10</f>
        <v/>
      </c>
      <c r="G254" s="392">
        <f>Helpers!E10</f>
        <v/>
      </c>
      <c r="H254" s="392">
        <f>Helpers!F10</f>
        <v/>
      </c>
      <c r="I254" s="392">
        <f>Helpers!G10</f>
        <v/>
      </c>
      <c r="J254" s="392">
        <f>Helpers!H10</f>
        <v/>
      </c>
      <c r="K254" s="392">
        <f>Helpers!I10</f>
        <v/>
      </c>
      <c r="L254" s="392">
        <f>Helpers!J10</f>
        <v/>
      </c>
      <c r="M254" s="392">
        <f>Helpers!K10</f>
        <v/>
      </c>
      <c r="N254" s="392">
        <f>Helpers!L10</f>
        <v/>
      </c>
      <c r="O254" s="392">
        <f>Helpers!M10</f>
        <v/>
      </c>
      <c r="P254" s="392">
        <f>Helpers!N10</f>
        <v/>
      </c>
      <c r="Q254" s="392">
        <f>Helpers!O10</f>
        <v/>
      </c>
      <c r="R254" s="392">
        <f>Helpers!P10</f>
        <v/>
      </c>
      <c r="S254" s="392">
        <f>Helpers!Q10</f>
        <v/>
      </c>
      <c r="T254" s="392">
        <f>Helpers!R10</f>
        <v/>
      </c>
      <c r="U254" s="392">
        <f>Helpers!S10</f>
        <v/>
      </c>
      <c r="V254" s="392">
        <f>Helpers!T10</f>
        <v/>
      </c>
      <c r="W254" s="392">
        <f>Helpers!U10</f>
        <v/>
      </c>
      <c r="X254" s="392">
        <f>Helpers!V10</f>
        <v/>
      </c>
      <c r="Y254" s="392">
        <f>Helpers!W10</f>
        <v/>
      </c>
      <c r="Z254" s="392">
        <f>Helpers!X10</f>
        <v/>
      </c>
      <c r="AA254" s="392">
        <f>Helpers!Y10</f>
        <v/>
      </c>
      <c r="AB254" s="392">
        <f>Helpers!Z10</f>
        <v/>
      </c>
      <c r="AC254" s="392">
        <f>Helpers!AA10</f>
        <v/>
      </c>
      <c r="AD254" s="392">
        <f>Helpers!AB10</f>
        <v/>
      </c>
      <c r="AE254" s="392">
        <f>Helpers!AC10</f>
        <v/>
      </c>
      <c r="AF254" s="392">
        <f>Helpers!AD10</f>
        <v/>
      </c>
      <c r="AG254" s="392">
        <f>Helpers!AE10</f>
        <v/>
      </c>
      <c r="AH254" s="392">
        <f>Helpers!AF10</f>
        <v/>
      </c>
      <c r="AI254" s="392">
        <f>Helpers!AG10</f>
        <v/>
      </c>
      <c r="AJ254" s="392">
        <f>Helpers!AH10</f>
        <v/>
      </c>
      <c r="AK254" s="392">
        <f>Helpers!AI10</f>
        <v/>
      </c>
      <c r="AL254" s="392">
        <f>Helpers!AJ10</f>
        <v/>
      </c>
      <c r="AM254" s="392">
        <f>Helpers!AK10</f>
        <v/>
      </c>
      <c r="AN254" s="392">
        <f>Helpers!AL10</f>
        <v/>
      </c>
      <c r="AO254" s="392">
        <f>Helpers!AM10</f>
        <v/>
      </c>
      <c r="AP254" s="392">
        <f>Helpers!AN10</f>
        <v/>
      </c>
      <c r="AQ254" s="392">
        <f>Helpers!AO10</f>
        <v/>
      </c>
      <c r="AR254" s="392">
        <f>Helpers!AP10</f>
        <v/>
      </c>
      <c r="AS254" s="392">
        <f>Helpers!AQ10</f>
        <v/>
      </c>
      <c r="AT254" s="392">
        <f>Helpers!AR10</f>
        <v/>
      </c>
      <c r="AU254" s="392">
        <f>Helpers!AS10</f>
        <v/>
      </c>
      <c r="AV254" s="392">
        <f>Helpers!AT10</f>
        <v/>
      </c>
      <c r="AW254" s="392">
        <f>Helpers!AU10</f>
        <v/>
      </c>
      <c r="AX254" s="392">
        <f>Helpers!AV10</f>
        <v/>
      </c>
      <c r="AY254" s="392">
        <f>Helpers!AW10</f>
        <v/>
      </c>
      <c r="AZ254" s="392">
        <f>Helpers!AX10</f>
        <v/>
      </c>
      <c r="BA254" s="392">
        <f>Helpers!AY10</f>
        <v/>
      </c>
      <c r="BB254" s="392">
        <f>Helpers!AZ10</f>
        <v/>
      </c>
      <c r="BC254" s="392">
        <f>Helpers!BA10</f>
        <v/>
      </c>
      <c r="BD254" s="392">
        <f>Helpers!BB10</f>
        <v/>
      </c>
      <c r="BE254" s="392">
        <f>Helpers!BC10</f>
        <v/>
      </c>
      <c r="BF254" s="392">
        <f>Helpers!BD10</f>
        <v/>
      </c>
      <c r="BG254" s="392">
        <f>Helpers!BE10</f>
        <v/>
      </c>
      <c r="BH254" s="392">
        <f>Helpers!BF10</f>
        <v/>
      </c>
      <c r="BI254" s="392">
        <f>Helpers!BG10</f>
        <v/>
      </c>
      <c r="BJ254" s="392">
        <f>Helpers!BH10</f>
        <v/>
      </c>
      <c r="BK254" s="392">
        <f>Helpers!BI10</f>
        <v/>
      </c>
      <c r="BL254" s="392">
        <f>Helpers!BJ10</f>
        <v/>
      </c>
      <c r="BM254" s="392">
        <f>Helpers!BK10</f>
        <v/>
      </c>
      <c r="BN254" s="392">
        <f>Helpers!BL10</f>
        <v/>
      </c>
      <c r="BO254" s="392">
        <f>Helpers!BM10</f>
        <v/>
      </c>
      <c r="BP254" s="392">
        <f>Helpers!BN10</f>
        <v/>
      </c>
      <c r="BQ254" s="392">
        <f>Helpers!BO10</f>
        <v/>
      </c>
      <c r="BR254" s="392">
        <f>Helpers!BP10</f>
        <v/>
      </c>
      <c r="BS254" s="392">
        <f>Helpers!BQ10</f>
        <v/>
      </c>
      <c r="BT254" s="392">
        <f>Helpers!BR10</f>
        <v/>
      </c>
      <c r="BU254" s="392">
        <f>Helpers!BS10</f>
        <v/>
      </c>
      <c r="BV254" s="392">
        <f>Helpers!BT10</f>
        <v/>
      </c>
      <c r="BW254" s="392">
        <f>Helpers!BU10</f>
        <v/>
      </c>
      <c r="BX254" s="392">
        <f>Helpers!BV10</f>
        <v/>
      </c>
      <c r="BY254" s="392">
        <f>Helpers!BW10</f>
        <v/>
      </c>
      <c r="BZ254" s="392">
        <f>Helpers!BX10</f>
        <v/>
      </c>
      <c r="CA254" s="392">
        <f>Helpers!BY10</f>
        <v/>
      </c>
      <c r="CB254" s="392">
        <f>Helpers!BZ10</f>
        <v/>
      </c>
      <c r="CC254" s="392">
        <f>Helpers!CA10</f>
        <v/>
      </c>
      <c r="CD254" s="392">
        <f>Helpers!CB10</f>
        <v/>
      </c>
      <c r="CE254" s="392">
        <f>Helpers!CC10</f>
        <v/>
      </c>
      <c r="CF254" s="392">
        <f>Helpers!CD10</f>
        <v/>
      </c>
      <c r="CG254" s="392">
        <f>Helpers!CE10</f>
        <v/>
      </c>
      <c r="CH254" s="392">
        <f>Helpers!CF10</f>
        <v/>
      </c>
      <c r="CI254" s="392">
        <f>Helpers!CG10</f>
        <v/>
      </c>
      <c r="CJ254" s="392">
        <f>Helpers!CH10</f>
        <v/>
      </c>
      <c r="CK254" s="392">
        <f>Helpers!CI10</f>
        <v/>
      </c>
      <c r="CL254" s="392">
        <f>Helpers!CJ10</f>
        <v/>
      </c>
      <c r="CM254" s="392">
        <f>Helpers!CK10</f>
        <v/>
      </c>
      <c r="CN254" s="392">
        <f>Helpers!CL10</f>
        <v/>
      </c>
      <c r="CO254" s="392">
        <f>Helpers!CM10</f>
        <v/>
      </c>
      <c r="CP254" s="392">
        <f>Helpers!CN10</f>
        <v/>
      </c>
      <c r="CQ254" s="392">
        <f>Helpers!CO10</f>
        <v/>
      </c>
      <c r="CR254" s="392">
        <f>Helpers!CP10</f>
        <v/>
      </c>
      <c r="CS254" s="392">
        <f>Helpers!CQ10</f>
        <v/>
      </c>
      <c r="CT254" s="392">
        <f>Helpers!CR10</f>
        <v/>
      </c>
      <c r="CU254" s="392">
        <f>Helpers!CS10</f>
        <v/>
      </c>
      <c r="CV254" s="392">
        <f>Helpers!CT10</f>
        <v/>
      </c>
      <c r="CW254" s="392">
        <f>Helpers!CU10</f>
        <v/>
      </c>
      <c r="CX254" s="392">
        <f>Helpers!CV10</f>
        <v/>
      </c>
      <c r="CY254" s="392">
        <f>Helpers!CW10</f>
        <v/>
      </c>
      <c r="CZ254" s="392">
        <f>Helpers!CX10</f>
        <v/>
      </c>
      <c r="DA254" s="392">
        <f>Helpers!CY10</f>
        <v/>
      </c>
      <c r="DB254" s="392">
        <f>Helpers!CZ10</f>
        <v/>
      </c>
      <c r="DC254" s="392">
        <f>Helpers!DA10</f>
        <v/>
      </c>
      <c r="DD254" s="392">
        <f>Helpers!DB10</f>
        <v/>
      </c>
      <c r="DE254" s="392">
        <f>Helpers!DC10</f>
        <v/>
      </c>
    </row>
    <row r="255" ht="15" customFormat="1" customHeight="1" s="380">
      <c r="A255" s="397" t="inlineStr">
        <is>
          <t>Lexington</t>
        </is>
      </c>
      <c r="B255" s="392" t="n"/>
      <c r="C255" s="392" t="n"/>
      <c r="D255" s="392" t="n"/>
      <c r="E255" s="392">
        <f>Helpers!C11</f>
        <v/>
      </c>
      <c r="F255" s="392">
        <f>Helpers!D11</f>
        <v/>
      </c>
      <c r="G255" s="392">
        <f>Helpers!E11</f>
        <v/>
      </c>
      <c r="H255" s="392">
        <f>Helpers!F11</f>
        <v/>
      </c>
      <c r="I255" s="392">
        <f>Helpers!G11</f>
        <v/>
      </c>
      <c r="J255" s="392">
        <f>Helpers!H11</f>
        <v/>
      </c>
      <c r="K255" s="392">
        <f>Helpers!I11</f>
        <v/>
      </c>
      <c r="L255" s="392">
        <f>Helpers!J11</f>
        <v/>
      </c>
      <c r="M255" s="392">
        <f>Helpers!K11</f>
        <v/>
      </c>
      <c r="N255" s="392">
        <f>Helpers!L11</f>
        <v/>
      </c>
      <c r="O255" s="392">
        <f>Helpers!M11</f>
        <v/>
      </c>
      <c r="P255" s="392">
        <f>Helpers!N11</f>
        <v/>
      </c>
      <c r="Q255" s="392">
        <f>Helpers!O11</f>
        <v/>
      </c>
      <c r="R255" s="392">
        <f>Helpers!P11</f>
        <v/>
      </c>
      <c r="S255" s="392">
        <f>Helpers!Q11</f>
        <v/>
      </c>
      <c r="T255" s="392">
        <f>Helpers!R11</f>
        <v/>
      </c>
      <c r="U255" s="392">
        <f>Helpers!S11</f>
        <v/>
      </c>
      <c r="V255" s="392">
        <f>Helpers!T11</f>
        <v/>
      </c>
      <c r="W255" s="392">
        <f>Helpers!U11</f>
        <v/>
      </c>
      <c r="X255" s="392">
        <f>Helpers!V11</f>
        <v/>
      </c>
      <c r="Y255" s="392">
        <f>Helpers!W11</f>
        <v/>
      </c>
      <c r="Z255" s="392">
        <f>Helpers!X11</f>
        <v/>
      </c>
      <c r="AA255" s="392">
        <f>Helpers!Y11</f>
        <v/>
      </c>
      <c r="AB255" s="392">
        <f>Helpers!Z11</f>
        <v/>
      </c>
      <c r="AC255" s="392">
        <f>Helpers!AA11</f>
        <v/>
      </c>
      <c r="AD255" s="392">
        <f>Helpers!AB11</f>
        <v/>
      </c>
      <c r="AE255" s="392">
        <f>Helpers!AC11</f>
        <v/>
      </c>
      <c r="AF255" s="392">
        <f>Helpers!AD11</f>
        <v/>
      </c>
      <c r="AG255" s="392">
        <f>Helpers!AE11</f>
        <v/>
      </c>
      <c r="AH255" s="392">
        <f>Helpers!AF11</f>
        <v/>
      </c>
      <c r="AI255" s="392">
        <f>Helpers!AG11</f>
        <v/>
      </c>
      <c r="AJ255" s="392">
        <f>Helpers!AH11</f>
        <v/>
      </c>
      <c r="AK255" s="392">
        <f>Helpers!AI11</f>
        <v/>
      </c>
      <c r="AL255" s="392">
        <f>Helpers!AJ11</f>
        <v/>
      </c>
      <c r="AM255" s="392">
        <f>Helpers!AK11</f>
        <v/>
      </c>
      <c r="AN255" s="392">
        <f>Helpers!AL11</f>
        <v/>
      </c>
      <c r="AO255" s="392">
        <f>Helpers!AM11</f>
        <v/>
      </c>
      <c r="AP255" s="392">
        <f>Helpers!AN11</f>
        <v/>
      </c>
      <c r="AQ255" s="392">
        <f>Helpers!AO11</f>
        <v/>
      </c>
      <c r="AR255" s="392">
        <f>Helpers!AP11</f>
        <v/>
      </c>
      <c r="AS255" s="392">
        <f>Helpers!AQ11</f>
        <v/>
      </c>
      <c r="AT255" s="392">
        <f>Helpers!AR11</f>
        <v/>
      </c>
      <c r="AU255" s="392">
        <f>Helpers!AS11</f>
        <v/>
      </c>
      <c r="AV255" s="392">
        <f>Helpers!AT11</f>
        <v/>
      </c>
      <c r="AW255" s="392">
        <f>Helpers!AU11</f>
        <v/>
      </c>
      <c r="AX255" s="392">
        <f>Helpers!AV11</f>
        <v/>
      </c>
      <c r="AY255" s="392">
        <f>Helpers!AW11</f>
        <v/>
      </c>
      <c r="AZ255" s="392">
        <f>Helpers!AX11</f>
        <v/>
      </c>
      <c r="BA255" s="392">
        <f>Helpers!AY11</f>
        <v/>
      </c>
      <c r="BB255" s="392">
        <f>Helpers!AZ11</f>
        <v/>
      </c>
      <c r="BC255" s="392">
        <f>Helpers!BA11</f>
        <v/>
      </c>
      <c r="BD255" s="392">
        <f>Helpers!BB11</f>
        <v/>
      </c>
      <c r="BE255" s="392">
        <f>Helpers!BC11</f>
        <v/>
      </c>
      <c r="BF255" s="392">
        <f>Helpers!BD11</f>
        <v/>
      </c>
      <c r="BG255" s="392">
        <f>Helpers!BE11</f>
        <v/>
      </c>
      <c r="BH255" s="392">
        <f>Helpers!BF11</f>
        <v/>
      </c>
      <c r="BI255" s="392">
        <f>Helpers!BG11</f>
        <v/>
      </c>
      <c r="BJ255" s="392">
        <f>Helpers!BH11</f>
        <v/>
      </c>
      <c r="BK255" s="392">
        <f>Helpers!BI11</f>
        <v/>
      </c>
      <c r="BL255" s="392">
        <f>Helpers!BJ11</f>
        <v/>
      </c>
      <c r="BM255" s="392">
        <f>Helpers!BK11</f>
        <v/>
      </c>
      <c r="BN255" s="392">
        <f>Helpers!BL11</f>
        <v/>
      </c>
      <c r="BO255" s="392">
        <f>Helpers!BM11</f>
        <v/>
      </c>
      <c r="BP255" s="392">
        <f>Helpers!BN11</f>
        <v/>
      </c>
      <c r="BQ255" s="392">
        <f>Helpers!BO11</f>
        <v/>
      </c>
      <c r="BR255" s="392">
        <f>Helpers!BP11</f>
        <v/>
      </c>
      <c r="BS255" s="392">
        <f>Helpers!BQ11</f>
        <v/>
      </c>
      <c r="BT255" s="392">
        <f>Helpers!BR11</f>
        <v/>
      </c>
      <c r="BU255" s="392">
        <f>Helpers!BS11</f>
        <v/>
      </c>
      <c r="BV255" s="392">
        <f>Helpers!BT11</f>
        <v/>
      </c>
      <c r="BW255" s="392">
        <f>Helpers!BU11</f>
        <v/>
      </c>
      <c r="BX255" s="392">
        <f>Helpers!BV11</f>
        <v/>
      </c>
      <c r="BY255" s="392">
        <f>Helpers!BW11</f>
        <v/>
      </c>
      <c r="BZ255" s="392">
        <f>Helpers!BX11</f>
        <v/>
      </c>
      <c r="CA255" s="392">
        <f>Helpers!BY11</f>
        <v/>
      </c>
      <c r="CB255" s="392">
        <f>Helpers!BZ11</f>
        <v/>
      </c>
      <c r="CC255" s="392">
        <f>Helpers!CA11</f>
        <v/>
      </c>
      <c r="CD255" s="392">
        <f>Helpers!CB11</f>
        <v/>
      </c>
      <c r="CE255" s="392">
        <f>Helpers!CC11</f>
        <v/>
      </c>
      <c r="CF255" s="392">
        <f>Helpers!CD11</f>
        <v/>
      </c>
      <c r="CG255" s="392">
        <f>Helpers!CE11</f>
        <v/>
      </c>
      <c r="CH255" s="392">
        <f>Helpers!CF11</f>
        <v/>
      </c>
      <c r="CI255" s="392">
        <f>Helpers!CG11</f>
        <v/>
      </c>
      <c r="CJ255" s="392">
        <f>Helpers!CH11</f>
        <v/>
      </c>
      <c r="CK255" s="392">
        <f>Helpers!CI11</f>
        <v/>
      </c>
      <c r="CL255" s="392">
        <f>Helpers!CJ11</f>
        <v/>
      </c>
      <c r="CM255" s="392">
        <f>Helpers!CK11</f>
        <v/>
      </c>
      <c r="CN255" s="392">
        <f>Helpers!CL11</f>
        <v/>
      </c>
      <c r="CO255" s="392">
        <f>Helpers!CM11</f>
        <v/>
      </c>
      <c r="CP255" s="392">
        <f>Helpers!CN11</f>
        <v/>
      </c>
      <c r="CQ255" s="392">
        <f>Helpers!CO11</f>
        <v/>
      </c>
      <c r="CR255" s="392">
        <f>Helpers!CP11</f>
        <v/>
      </c>
      <c r="CS255" s="392">
        <f>Helpers!CQ11</f>
        <v/>
      </c>
      <c r="CT255" s="392">
        <f>Helpers!CR11</f>
        <v/>
      </c>
      <c r="CU255" s="392">
        <f>Helpers!CS11</f>
        <v/>
      </c>
      <c r="CV255" s="392">
        <f>Helpers!CT11</f>
        <v/>
      </c>
      <c r="CW255" s="392">
        <f>Helpers!CU11</f>
        <v/>
      </c>
      <c r="CX255" s="392">
        <f>Helpers!CV11</f>
        <v/>
      </c>
      <c r="CY255" s="392">
        <f>Helpers!CW11</f>
        <v/>
      </c>
      <c r="CZ255" s="392">
        <f>Helpers!CX11</f>
        <v/>
      </c>
      <c r="DA255" s="392">
        <f>Helpers!CY11</f>
        <v/>
      </c>
      <c r="DB255" s="392">
        <f>Helpers!CZ11</f>
        <v/>
      </c>
      <c r="DC255" s="392">
        <f>Helpers!DA11</f>
        <v/>
      </c>
      <c r="DD255" s="392">
        <f>Helpers!DB11</f>
        <v/>
      </c>
      <c r="DE255" s="392">
        <f>Helpers!DC11</f>
        <v/>
      </c>
    </row>
    <row r="256" ht="15" customFormat="1" customHeight="1" s="380">
      <c r="A256" s="397" t="inlineStr">
        <is>
          <t>Denny</t>
        </is>
      </c>
      <c r="B256" s="392" t="n"/>
      <c r="C256" s="392" t="n"/>
      <c r="D256" s="392" t="n"/>
      <c r="E256" s="392">
        <f>Helpers!C12</f>
        <v/>
      </c>
      <c r="F256" s="392">
        <f>Helpers!D12</f>
        <v/>
      </c>
      <c r="G256" s="392">
        <f>Helpers!E12</f>
        <v/>
      </c>
      <c r="H256" s="392">
        <f>Helpers!F12</f>
        <v/>
      </c>
      <c r="I256" s="392">
        <f>Helpers!G12</f>
        <v/>
      </c>
      <c r="J256" s="392">
        <f>Helpers!H12</f>
        <v/>
      </c>
      <c r="K256" s="392">
        <f>Helpers!I12</f>
        <v/>
      </c>
      <c r="L256" s="392">
        <f>Helpers!J12</f>
        <v/>
      </c>
      <c r="M256" s="392">
        <f>Helpers!K12</f>
        <v/>
      </c>
      <c r="N256" s="392">
        <f>Helpers!L12</f>
        <v/>
      </c>
      <c r="O256" s="392">
        <f>Helpers!M12</f>
        <v/>
      </c>
      <c r="P256" s="392">
        <f>Helpers!N12</f>
        <v/>
      </c>
      <c r="Q256" s="392">
        <f>Helpers!O12</f>
        <v/>
      </c>
      <c r="R256" s="392">
        <f>Helpers!P12</f>
        <v/>
      </c>
      <c r="S256" s="392">
        <f>Helpers!Q12</f>
        <v/>
      </c>
      <c r="T256" s="392">
        <f>Helpers!R12</f>
        <v/>
      </c>
      <c r="U256" s="392">
        <f>Helpers!S12</f>
        <v/>
      </c>
      <c r="V256" s="392">
        <f>Helpers!T12</f>
        <v/>
      </c>
      <c r="W256" s="392">
        <f>Helpers!U12</f>
        <v/>
      </c>
      <c r="X256" s="392">
        <f>Helpers!V12</f>
        <v/>
      </c>
      <c r="Y256" s="392">
        <f>Helpers!W12</f>
        <v/>
      </c>
      <c r="Z256" s="392">
        <f>Helpers!X12</f>
        <v/>
      </c>
      <c r="AA256" s="392">
        <f>Helpers!Y12</f>
        <v/>
      </c>
      <c r="AB256" s="392">
        <f>Helpers!Z12</f>
        <v/>
      </c>
      <c r="AC256" s="392">
        <f>Helpers!AA12</f>
        <v/>
      </c>
      <c r="AD256" s="392">
        <f>Helpers!AB12</f>
        <v/>
      </c>
      <c r="AE256" s="392">
        <f>Helpers!AC12</f>
        <v/>
      </c>
      <c r="AF256" s="392">
        <f>Helpers!AD12</f>
        <v/>
      </c>
      <c r="AG256" s="392">
        <f>Helpers!AE12</f>
        <v/>
      </c>
      <c r="AH256" s="392">
        <f>Helpers!AF12</f>
        <v/>
      </c>
      <c r="AI256" s="392">
        <f>Helpers!AG12</f>
        <v/>
      </c>
      <c r="AJ256" s="392">
        <f>Helpers!AH12</f>
        <v/>
      </c>
      <c r="AK256" s="392">
        <f>Helpers!AI12</f>
        <v/>
      </c>
      <c r="AL256" s="392">
        <f>Helpers!AJ12</f>
        <v/>
      </c>
      <c r="AM256" s="392">
        <f>Helpers!AK12</f>
        <v/>
      </c>
      <c r="AN256" s="392">
        <f>Helpers!AL12</f>
        <v/>
      </c>
      <c r="AO256" s="392">
        <f>Helpers!AM12</f>
        <v/>
      </c>
      <c r="AP256" s="392">
        <f>Helpers!AN12</f>
        <v/>
      </c>
      <c r="AQ256" s="392">
        <f>Helpers!AO12</f>
        <v/>
      </c>
      <c r="AR256" s="392">
        <f>Helpers!AP12</f>
        <v/>
      </c>
      <c r="AS256" s="392">
        <f>Helpers!AQ12</f>
        <v/>
      </c>
      <c r="AT256" s="392">
        <f>Helpers!AR12</f>
        <v/>
      </c>
      <c r="AU256" s="392">
        <f>Helpers!AS12</f>
        <v/>
      </c>
      <c r="AV256" s="392">
        <f>Helpers!AT12</f>
        <v/>
      </c>
      <c r="AW256" s="392">
        <f>Helpers!AU12</f>
        <v/>
      </c>
      <c r="AX256" s="392">
        <f>Helpers!AV12</f>
        <v/>
      </c>
      <c r="AY256" s="392">
        <f>Helpers!AW12</f>
        <v/>
      </c>
      <c r="AZ256" s="392">
        <f>Helpers!AX12</f>
        <v/>
      </c>
      <c r="BA256" s="392">
        <f>Helpers!AY12</f>
        <v/>
      </c>
      <c r="BB256" s="392">
        <f>Helpers!AZ12</f>
        <v/>
      </c>
      <c r="BC256" s="392">
        <f>Helpers!BA12</f>
        <v/>
      </c>
      <c r="BD256" s="392">
        <f>Helpers!BB12</f>
        <v/>
      </c>
      <c r="BE256" s="392">
        <f>Helpers!BC12</f>
        <v/>
      </c>
      <c r="BF256" s="392">
        <f>Helpers!BD12</f>
        <v/>
      </c>
      <c r="BG256" s="392">
        <f>Helpers!BE12</f>
        <v/>
      </c>
      <c r="BH256" s="392">
        <f>Helpers!BF12</f>
        <v/>
      </c>
      <c r="BI256" s="392">
        <f>Helpers!BG12</f>
        <v/>
      </c>
      <c r="BJ256" s="392">
        <f>Helpers!BH12</f>
        <v/>
      </c>
      <c r="BK256" s="392">
        <f>Helpers!BI12</f>
        <v/>
      </c>
      <c r="BL256" s="392">
        <f>Helpers!BJ12</f>
        <v/>
      </c>
      <c r="BM256" s="392">
        <f>Helpers!BK12</f>
        <v/>
      </c>
      <c r="BN256" s="392">
        <f>Helpers!BL12</f>
        <v/>
      </c>
      <c r="BO256" s="392">
        <f>Helpers!BM12</f>
        <v/>
      </c>
      <c r="BP256" s="392">
        <f>Helpers!BN12</f>
        <v/>
      </c>
      <c r="BQ256" s="392">
        <f>Helpers!BO12</f>
        <v/>
      </c>
      <c r="BR256" s="392">
        <f>Helpers!BP12</f>
        <v/>
      </c>
      <c r="BS256" s="392">
        <f>Helpers!BQ12</f>
        <v/>
      </c>
      <c r="BT256" s="392">
        <f>Helpers!BR12</f>
        <v/>
      </c>
      <c r="BU256" s="392">
        <f>Helpers!BS12</f>
        <v/>
      </c>
      <c r="BV256" s="392">
        <f>Helpers!BT12</f>
        <v/>
      </c>
      <c r="BW256" s="392">
        <f>Helpers!BU12</f>
        <v/>
      </c>
      <c r="BX256" s="392">
        <f>Helpers!BV12</f>
        <v/>
      </c>
      <c r="BY256" s="392">
        <f>Helpers!BW12</f>
        <v/>
      </c>
      <c r="BZ256" s="392">
        <f>Helpers!BX12</f>
        <v/>
      </c>
      <c r="CA256" s="392">
        <f>Helpers!BY12</f>
        <v/>
      </c>
      <c r="CB256" s="392">
        <f>Helpers!BZ12</f>
        <v/>
      </c>
      <c r="CC256" s="392">
        <f>Helpers!CA12</f>
        <v/>
      </c>
      <c r="CD256" s="392">
        <f>Helpers!CB12</f>
        <v/>
      </c>
      <c r="CE256" s="392">
        <f>Helpers!CC12</f>
        <v/>
      </c>
      <c r="CF256" s="392">
        <f>Helpers!CD12</f>
        <v/>
      </c>
      <c r="CG256" s="392">
        <f>Helpers!CE12</f>
        <v/>
      </c>
      <c r="CH256" s="392">
        <f>Helpers!CF12</f>
        <v/>
      </c>
      <c r="CI256" s="392">
        <f>Helpers!CG12</f>
        <v/>
      </c>
      <c r="CJ256" s="392">
        <f>Helpers!CH12</f>
        <v/>
      </c>
      <c r="CK256" s="392">
        <f>Helpers!CI12</f>
        <v/>
      </c>
      <c r="CL256" s="392">
        <f>Helpers!CJ12</f>
        <v/>
      </c>
      <c r="CM256" s="392">
        <f>Helpers!CK12</f>
        <v/>
      </c>
      <c r="CN256" s="392">
        <f>Helpers!CL12</f>
        <v/>
      </c>
      <c r="CO256" s="392">
        <f>Helpers!CM12</f>
        <v/>
      </c>
      <c r="CP256" s="392">
        <f>Helpers!CN12</f>
        <v/>
      </c>
      <c r="CQ256" s="392">
        <f>Helpers!CO12</f>
        <v/>
      </c>
      <c r="CR256" s="392">
        <f>Helpers!CP12</f>
        <v/>
      </c>
      <c r="CS256" s="392">
        <f>Helpers!CQ12</f>
        <v/>
      </c>
      <c r="CT256" s="392">
        <f>Helpers!CR12</f>
        <v/>
      </c>
      <c r="CU256" s="392">
        <f>Helpers!CS12</f>
        <v/>
      </c>
      <c r="CV256" s="392">
        <f>Helpers!CT12</f>
        <v/>
      </c>
      <c r="CW256" s="392">
        <f>Helpers!CU12</f>
        <v/>
      </c>
      <c r="CX256" s="392">
        <f>Helpers!CV12</f>
        <v/>
      </c>
      <c r="CY256" s="392">
        <f>Helpers!CW12</f>
        <v/>
      </c>
      <c r="CZ256" s="392">
        <f>Helpers!CX12</f>
        <v/>
      </c>
      <c r="DA256" s="392">
        <f>Helpers!CY12</f>
        <v/>
      </c>
      <c r="DB256" s="392">
        <f>Helpers!CZ12</f>
        <v/>
      </c>
      <c r="DC256" s="392">
        <f>Helpers!DA12</f>
        <v/>
      </c>
      <c r="DD256" s="392">
        <f>Helpers!DB12</f>
        <v/>
      </c>
      <c r="DE256" s="392">
        <f>Helpers!DC12</f>
        <v/>
      </c>
    </row>
    <row r="257" ht="15" customFormat="1" customHeight="1" s="380">
      <c r="A257" s="397" t="inlineStr">
        <is>
          <t>Acama</t>
        </is>
      </c>
      <c r="B257" s="392" t="n"/>
      <c r="C257" s="392" t="n"/>
      <c r="D257" s="392" t="n"/>
      <c r="E257" s="392">
        <f>Helpers!C13</f>
        <v/>
      </c>
      <c r="F257" s="392">
        <f>Helpers!D13</f>
        <v/>
      </c>
      <c r="G257" s="392">
        <f>Helpers!E13</f>
        <v/>
      </c>
      <c r="H257" s="392">
        <f>Helpers!F13</f>
        <v/>
      </c>
      <c r="I257" s="392">
        <f>Helpers!G13</f>
        <v/>
      </c>
      <c r="J257" s="392">
        <f>Helpers!H13</f>
        <v/>
      </c>
      <c r="K257" s="392">
        <f>Helpers!I13</f>
        <v/>
      </c>
      <c r="L257" s="392">
        <f>Helpers!J13</f>
        <v/>
      </c>
      <c r="M257" s="392">
        <f>Helpers!K13</f>
        <v/>
      </c>
      <c r="N257" s="392">
        <f>Helpers!L13</f>
        <v/>
      </c>
      <c r="O257" s="392">
        <f>Helpers!M13</f>
        <v/>
      </c>
      <c r="P257" s="392">
        <f>Helpers!N13</f>
        <v/>
      </c>
      <c r="Q257" s="392">
        <f>Helpers!O13</f>
        <v/>
      </c>
      <c r="R257" s="392">
        <f>Helpers!P13</f>
        <v/>
      </c>
      <c r="S257" s="392">
        <f>Helpers!Q13</f>
        <v/>
      </c>
      <c r="T257" s="392">
        <f>Helpers!R13</f>
        <v/>
      </c>
      <c r="U257" s="392">
        <f>Helpers!S13</f>
        <v/>
      </c>
      <c r="V257" s="392">
        <f>Helpers!T13</f>
        <v/>
      </c>
      <c r="W257" s="392">
        <f>Helpers!U13</f>
        <v/>
      </c>
      <c r="X257" s="392">
        <f>Helpers!V13</f>
        <v/>
      </c>
      <c r="Y257" s="392">
        <f>Helpers!W13</f>
        <v/>
      </c>
      <c r="Z257" s="392">
        <f>Helpers!X13</f>
        <v/>
      </c>
      <c r="AA257" s="392">
        <f>Helpers!Y13</f>
        <v/>
      </c>
      <c r="AB257" s="392">
        <f>Helpers!Z13</f>
        <v/>
      </c>
      <c r="AC257" s="392">
        <f>Helpers!AA13</f>
        <v/>
      </c>
      <c r="AD257" s="392">
        <f>Helpers!AB13</f>
        <v/>
      </c>
      <c r="AE257" s="392">
        <f>Helpers!AC13</f>
        <v/>
      </c>
      <c r="AF257" s="392">
        <f>Helpers!AD13</f>
        <v/>
      </c>
      <c r="AG257" s="392">
        <f>Helpers!AE13</f>
        <v/>
      </c>
      <c r="AH257" s="392">
        <f>Helpers!AF13</f>
        <v/>
      </c>
      <c r="AI257" s="392">
        <f>Helpers!AG13</f>
        <v/>
      </c>
      <c r="AJ257" s="392">
        <f>Helpers!AH13</f>
        <v/>
      </c>
      <c r="AK257" s="392">
        <f>Helpers!AI13</f>
        <v/>
      </c>
      <c r="AL257" s="392">
        <f>Helpers!AJ13</f>
        <v/>
      </c>
      <c r="AM257" s="392">
        <f>Helpers!AK13</f>
        <v/>
      </c>
      <c r="AN257" s="392">
        <f>Helpers!AL13</f>
        <v/>
      </c>
      <c r="AO257" s="392">
        <f>Helpers!AM13</f>
        <v/>
      </c>
      <c r="AP257" s="392">
        <f>Helpers!AN13</f>
        <v/>
      </c>
      <c r="AQ257" s="392">
        <f>Helpers!AO13</f>
        <v/>
      </c>
      <c r="AR257" s="392">
        <f>Helpers!AP13</f>
        <v/>
      </c>
      <c r="AS257" s="392">
        <f>Helpers!AQ13</f>
        <v/>
      </c>
      <c r="AT257" s="392">
        <f>Helpers!AR13</f>
        <v/>
      </c>
      <c r="AU257" s="392">
        <f>Helpers!AS13</f>
        <v/>
      </c>
      <c r="AV257" s="392">
        <f>Helpers!AT13</f>
        <v/>
      </c>
      <c r="AW257" s="392">
        <f>Helpers!AU13</f>
        <v/>
      </c>
      <c r="AX257" s="392">
        <f>Helpers!AV13</f>
        <v/>
      </c>
      <c r="AY257" s="392">
        <f>Helpers!AW13</f>
        <v/>
      </c>
      <c r="AZ257" s="392">
        <f>Helpers!AX13</f>
        <v/>
      </c>
      <c r="BA257" s="392">
        <f>Helpers!AY13</f>
        <v/>
      </c>
      <c r="BB257" s="392">
        <f>Helpers!AZ13</f>
        <v/>
      </c>
      <c r="BC257" s="392">
        <f>Helpers!BA13</f>
        <v/>
      </c>
      <c r="BD257" s="392">
        <f>Helpers!BB13</f>
        <v/>
      </c>
      <c r="BE257" s="392">
        <f>Helpers!BC13</f>
        <v/>
      </c>
      <c r="BF257" s="392">
        <f>Helpers!BD13</f>
        <v/>
      </c>
      <c r="BG257" s="392">
        <f>Helpers!BE13</f>
        <v/>
      </c>
      <c r="BH257" s="392">
        <f>Helpers!BF13</f>
        <v/>
      </c>
      <c r="BI257" s="392">
        <f>Helpers!BG13</f>
        <v/>
      </c>
      <c r="BJ257" s="392">
        <f>Helpers!BH13</f>
        <v/>
      </c>
      <c r="BK257" s="392">
        <f>Helpers!BI13</f>
        <v/>
      </c>
      <c r="BL257" s="392">
        <f>Helpers!BJ13</f>
        <v/>
      </c>
      <c r="BM257" s="392">
        <f>Helpers!BK13</f>
        <v/>
      </c>
      <c r="BN257" s="392">
        <f>Helpers!BL13</f>
        <v/>
      </c>
      <c r="BO257" s="392">
        <f>Helpers!BM13</f>
        <v/>
      </c>
      <c r="BP257" s="392">
        <f>Helpers!BN13</f>
        <v/>
      </c>
      <c r="BQ257" s="392">
        <f>Helpers!BO13</f>
        <v/>
      </c>
      <c r="BR257" s="392">
        <f>Helpers!BP13</f>
        <v/>
      </c>
      <c r="BS257" s="392">
        <f>Helpers!BQ13</f>
        <v/>
      </c>
      <c r="BT257" s="392">
        <f>Helpers!BR13</f>
        <v/>
      </c>
      <c r="BU257" s="392">
        <f>Helpers!BS13</f>
        <v/>
      </c>
      <c r="BV257" s="392">
        <f>Helpers!BT13</f>
        <v/>
      </c>
      <c r="BW257" s="392">
        <f>Helpers!BU13</f>
        <v/>
      </c>
      <c r="BX257" s="392">
        <f>Helpers!BV13</f>
        <v/>
      </c>
      <c r="BY257" s="392">
        <f>Helpers!BW13</f>
        <v/>
      </c>
      <c r="BZ257" s="392">
        <f>Helpers!BX13</f>
        <v/>
      </c>
      <c r="CA257" s="392">
        <f>Helpers!BY13</f>
        <v/>
      </c>
      <c r="CB257" s="392">
        <f>Helpers!BZ13</f>
        <v/>
      </c>
      <c r="CC257" s="392">
        <f>Helpers!CA13</f>
        <v/>
      </c>
      <c r="CD257" s="392">
        <f>Helpers!CB13</f>
        <v/>
      </c>
      <c r="CE257" s="392">
        <f>Helpers!CC13</f>
        <v/>
      </c>
      <c r="CF257" s="392">
        <f>Helpers!CD13</f>
        <v/>
      </c>
      <c r="CG257" s="392">
        <f>Helpers!CE13</f>
        <v/>
      </c>
      <c r="CH257" s="392">
        <f>Helpers!CF13</f>
        <v/>
      </c>
      <c r="CI257" s="392">
        <f>Helpers!CG13</f>
        <v/>
      </c>
      <c r="CJ257" s="392">
        <f>Helpers!CH13</f>
        <v/>
      </c>
      <c r="CK257" s="392">
        <f>Helpers!CI13</f>
        <v/>
      </c>
      <c r="CL257" s="392">
        <f>Helpers!CJ13</f>
        <v/>
      </c>
      <c r="CM257" s="392">
        <f>Helpers!CK13</f>
        <v/>
      </c>
      <c r="CN257" s="392">
        <f>Helpers!CL13</f>
        <v/>
      </c>
      <c r="CO257" s="392">
        <f>Helpers!CM13</f>
        <v/>
      </c>
      <c r="CP257" s="392">
        <f>Helpers!CN13</f>
        <v/>
      </c>
      <c r="CQ257" s="392">
        <f>Helpers!CO13</f>
        <v/>
      </c>
      <c r="CR257" s="392">
        <f>Helpers!CP13</f>
        <v/>
      </c>
      <c r="CS257" s="392">
        <f>Helpers!CQ13</f>
        <v/>
      </c>
      <c r="CT257" s="392">
        <f>Helpers!CR13</f>
        <v/>
      </c>
      <c r="CU257" s="392">
        <f>Helpers!CS13</f>
        <v/>
      </c>
      <c r="CV257" s="392">
        <f>Helpers!CT13</f>
        <v/>
      </c>
      <c r="CW257" s="392">
        <f>Helpers!CU13</f>
        <v/>
      </c>
      <c r="CX257" s="392">
        <f>Helpers!CV13</f>
        <v/>
      </c>
      <c r="CY257" s="392">
        <f>Helpers!CW13</f>
        <v/>
      </c>
      <c r="CZ257" s="392">
        <f>Helpers!CX13</f>
        <v/>
      </c>
      <c r="DA257" s="392">
        <f>Helpers!CY13</f>
        <v/>
      </c>
      <c r="DB257" s="392">
        <f>Helpers!CZ13</f>
        <v/>
      </c>
      <c r="DC257" s="392">
        <f>Helpers!DA13</f>
        <v/>
      </c>
      <c r="DD257" s="392">
        <f>Helpers!DB13</f>
        <v/>
      </c>
      <c r="DE257" s="392">
        <f>Helpers!DC13</f>
        <v/>
      </c>
    </row>
    <row r="258" ht="15" customFormat="1" customHeight="1" s="380">
      <c r="A258" s="397" t="inlineStr">
        <is>
          <t>Reseda</t>
        </is>
      </c>
      <c r="B258" s="392" t="n"/>
      <c r="C258" s="392" t="n"/>
      <c r="D258" s="392" t="n"/>
      <c r="E258" s="392">
        <f>Helpers!C14</f>
        <v/>
      </c>
      <c r="F258" s="392">
        <f>Helpers!D14</f>
        <v/>
      </c>
      <c r="G258" s="392">
        <f>Helpers!E14</f>
        <v/>
      </c>
      <c r="H258" s="392">
        <f>Helpers!F14</f>
        <v/>
      </c>
      <c r="I258" s="392">
        <f>Helpers!G14</f>
        <v/>
      </c>
      <c r="J258" s="392">
        <f>Helpers!H14</f>
        <v/>
      </c>
      <c r="K258" s="392">
        <f>Helpers!I14</f>
        <v/>
      </c>
      <c r="L258" s="392">
        <f>Helpers!J14</f>
        <v/>
      </c>
      <c r="M258" s="392">
        <f>Helpers!K14</f>
        <v/>
      </c>
      <c r="N258" s="392">
        <f>Helpers!L14</f>
        <v/>
      </c>
      <c r="O258" s="392">
        <f>Helpers!M14</f>
        <v/>
      </c>
      <c r="P258" s="392">
        <f>Helpers!N14</f>
        <v/>
      </c>
      <c r="Q258" s="392">
        <f>Helpers!O14</f>
        <v/>
      </c>
      <c r="R258" s="392">
        <f>Helpers!P14</f>
        <v/>
      </c>
      <c r="S258" s="392">
        <f>Helpers!Q14</f>
        <v/>
      </c>
      <c r="T258" s="392">
        <f>Helpers!R14</f>
        <v/>
      </c>
      <c r="U258" s="392">
        <f>Helpers!S14</f>
        <v/>
      </c>
      <c r="V258" s="392">
        <f>Helpers!T14</f>
        <v/>
      </c>
      <c r="W258" s="392">
        <f>Helpers!U14</f>
        <v/>
      </c>
      <c r="X258" s="392">
        <f>Helpers!V14</f>
        <v/>
      </c>
      <c r="Y258" s="392">
        <f>Helpers!W14</f>
        <v/>
      </c>
      <c r="Z258" s="392">
        <f>Helpers!X14</f>
        <v/>
      </c>
      <c r="AA258" s="392">
        <f>Helpers!Y14</f>
        <v/>
      </c>
      <c r="AB258" s="392">
        <f>Helpers!Z14</f>
        <v/>
      </c>
      <c r="AC258" s="392">
        <f>Helpers!AA14</f>
        <v/>
      </c>
      <c r="AD258" s="392">
        <f>Helpers!AB14</f>
        <v/>
      </c>
      <c r="AE258" s="392">
        <f>Helpers!AC14</f>
        <v/>
      </c>
      <c r="AF258" s="392">
        <f>Helpers!AD14</f>
        <v/>
      </c>
      <c r="AG258" s="392">
        <f>Helpers!AE14</f>
        <v/>
      </c>
      <c r="AH258" s="392">
        <f>Helpers!AF14</f>
        <v/>
      </c>
      <c r="AI258" s="392">
        <f>Helpers!AG14</f>
        <v/>
      </c>
      <c r="AJ258" s="392">
        <f>Helpers!AH14</f>
        <v/>
      </c>
      <c r="AK258" s="392">
        <f>Helpers!AI14</f>
        <v/>
      </c>
      <c r="AL258" s="392">
        <f>Helpers!AJ14</f>
        <v/>
      </c>
      <c r="AM258" s="392">
        <f>Helpers!AK14</f>
        <v/>
      </c>
      <c r="AN258" s="392">
        <f>Helpers!AL14</f>
        <v/>
      </c>
      <c r="AO258" s="392">
        <f>Helpers!AM14</f>
        <v/>
      </c>
      <c r="AP258" s="392">
        <f>Helpers!AN14</f>
        <v/>
      </c>
      <c r="AQ258" s="392">
        <f>Helpers!AO14</f>
        <v/>
      </c>
      <c r="AR258" s="392">
        <f>Helpers!AP14</f>
        <v/>
      </c>
      <c r="AS258" s="392">
        <f>Helpers!AQ14</f>
        <v/>
      </c>
      <c r="AT258" s="392">
        <f>Helpers!AR14</f>
        <v/>
      </c>
      <c r="AU258" s="392">
        <f>Helpers!AS14</f>
        <v/>
      </c>
      <c r="AV258" s="392">
        <f>Helpers!AT14</f>
        <v/>
      </c>
      <c r="AW258" s="392">
        <f>Helpers!AU14</f>
        <v/>
      </c>
      <c r="AX258" s="392">
        <f>Helpers!AV14</f>
        <v/>
      </c>
      <c r="AY258" s="392">
        <f>Helpers!AW14</f>
        <v/>
      </c>
      <c r="AZ258" s="392">
        <f>Helpers!AX14</f>
        <v/>
      </c>
      <c r="BA258" s="392">
        <f>Helpers!AY14</f>
        <v/>
      </c>
      <c r="BB258" s="392">
        <f>Helpers!AZ14</f>
        <v/>
      </c>
      <c r="BC258" s="392">
        <f>Helpers!BA14</f>
        <v/>
      </c>
      <c r="BD258" s="392">
        <f>Helpers!BB14</f>
        <v/>
      </c>
      <c r="BE258" s="392">
        <f>Helpers!BC14</f>
        <v/>
      </c>
      <c r="BF258" s="392">
        <f>Helpers!BD14</f>
        <v/>
      </c>
      <c r="BG258" s="392">
        <f>Helpers!BE14</f>
        <v/>
      </c>
      <c r="BH258" s="392">
        <f>Helpers!BF14</f>
        <v/>
      </c>
      <c r="BI258" s="392">
        <f>Helpers!BG14</f>
        <v/>
      </c>
      <c r="BJ258" s="392">
        <f>Helpers!BH14</f>
        <v/>
      </c>
      <c r="BK258" s="392">
        <f>Helpers!BI14</f>
        <v/>
      </c>
      <c r="BL258" s="392">
        <f>Helpers!BJ14</f>
        <v/>
      </c>
      <c r="BM258" s="392">
        <f>Helpers!BK14</f>
        <v/>
      </c>
      <c r="BN258" s="392">
        <f>Helpers!BL14</f>
        <v/>
      </c>
      <c r="BO258" s="392">
        <f>Helpers!BM14</f>
        <v/>
      </c>
      <c r="BP258" s="392">
        <f>Helpers!BN14</f>
        <v/>
      </c>
      <c r="BQ258" s="392">
        <f>Helpers!BO14</f>
        <v/>
      </c>
      <c r="BR258" s="392">
        <f>Helpers!BP14</f>
        <v/>
      </c>
      <c r="BS258" s="392">
        <f>Helpers!BQ14</f>
        <v/>
      </c>
      <c r="BT258" s="392">
        <f>Helpers!BR14</f>
        <v/>
      </c>
      <c r="BU258" s="392">
        <f>Helpers!BS14</f>
        <v/>
      </c>
      <c r="BV258" s="392">
        <f>Helpers!BT14</f>
        <v/>
      </c>
      <c r="BW258" s="392">
        <f>Helpers!BU14</f>
        <v/>
      </c>
      <c r="BX258" s="392">
        <f>Helpers!BV14</f>
        <v/>
      </c>
      <c r="BY258" s="392">
        <f>Helpers!BW14</f>
        <v/>
      </c>
      <c r="BZ258" s="392">
        <f>Helpers!BX14</f>
        <v/>
      </c>
      <c r="CA258" s="392">
        <f>Helpers!BY14</f>
        <v/>
      </c>
      <c r="CB258" s="392">
        <f>Helpers!BZ14</f>
        <v/>
      </c>
      <c r="CC258" s="392">
        <f>Helpers!CA14</f>
        <v/>
      </c>
      <c r="CD258" s="392">
        <f>Helpers!CB14</f>
        <v/>
      </c>
      <c r="CE258" s="392">
        <f>Helpers!CC14</f>
        <v/>
      </c>
      <c r="CF258" s="392">
        <f>Helpers!CD14</f>
        <v/>
      </c>
      <c r="CG258" s="392">
        <f>Helpers!CE14</f>
        <v/>
      </c>
      <c r="CH258" s="392">
        <f>Helpers!CF14</f>
        <v/>
      </c>
      <c r="CI258" s="392">
        <f>Helpers!CG14</f>
        <v/>
      </c>
      <c r="CJ258" s="392">
        <f>Helpers!CH14</f>
        <v/>
      </c>
      <c r="CK258" s="392">
        <f>Helpers!CI14</f>
        <v/>
      </c>
      <c r="CL258" s="392">
        <f>Helpers!CJ14</f>
        <v/>
      </c>
      <c r="CM258" s="392">
        <f>Helpers!CK14</f>
        <v/>
      </c>
      <c r="CN258" s="392">
        <f>Helpers!CL14</f>
        <v/>
      </c>
      <c r="CO258" s="392">
        <f>Helpers!CM14</f>
        <v/>
      </c>
      <c r="CP258" s="392">
        <f>Helpers!CN14</f>
        <v/>
      </c>
      <c r="CQ258" s="392">
        <f>Helpers!CO14</f>
        <v/>
      </c>
      <c r="CR258" s="392">
        <f>Helpers!CP14</f>
        <v/>
      </c>
      <c r="CS258" s="392">
        <f>Helpers!CQ14</f>
        <v/>
      </c>
      <c r="CT258" s="392">
        <f>Helpers!CR14</f>
        <v/>
      </c>
      <c r="CU258" s="392">
        <f>Helpers!CS14</f>
        <v/>
      </c>
      <c r="CV258" s="392">
        <f>Helpers!CT14</f>
        <v/>
      </c>
      <c r="CW258" s="392">
        <f>Helpers!CU14</f>
        <v/>
      </c>
      <c r="CX258" s="392">
        <f>Helpers!CV14</f>
        <v/>
      </c>
      <c r="CY258" s="392">
        <f>Helpers!CW14</f>
        <v/>
      </c>
      <c r="CZ258" s="392">
        <f>Helpers!CX14</f>
        <v/>
      </c>
      <c r="DA258" s="392">
        <f>Helpers!CY14</f>
        <v/>
      </c>
      <c r="DB258" s="392">
        <f>Helpers!CZ14</f>
        <v/>
      </c>
      <c r="DC258" s="392">
        <f>Helpers!DA14</f>
        <v/>
      </c>
      <c r="DD258" s="392">
        <f>Helpers!DB14</f>
        <v/>
      </c>
      <c r="DE258" s="392">
        <f>Helpers!DC14</f>
        <v/>
      </c>
    </row>
    <row r="259" ht="15" customFormat="1" customHeight="1" s="380">
      <c r="A259" s="397" t="inlineStr">
        <is>
          <t>3rd St</t>
        </is>
      </c>
      <c r="B259" s="392" t="n"/>
      <c r="C259" s="392" t="n"/>
      <c r="D259" s="392" t="n"/>
      <c r="E259" s="392">
        <f>Helpers!C15</f>
        <v/>
      </c>
      <c r="F259" s="392">
        <f>Helpers!D15</f>
        <v/>
      </c>
      <c r="G259" s="392">
        <f>Helpers!E15</f>
        <v/>
      </c>
      <c r="H259" s="392">
        <f>Helpers!F15</f>
        <v/>
      </c>
      <c r="I259" s="392">
        <f>Helpers!G15</f>
        <v/>
      </c>
      <c r="J259" s="392">
        <f>Helpers!H15</f>
        <v/>
      </c>
      <c r="K259" s="392">
        <f>Helpers!I15</f>
        <v/>
      </c>
      <c r="L259" s="392">
        <f>Helpers!J15</f>
        <v/>
      </c>
      <c r="M259" s="392">
        <f>Helpers!K15</f>
        <v/>
      </c>
      <c r="N259" s="392">
        <f>Helpers!L15</f>
        <v/>
      </c>
      <c r="O259" s="392">
        <f>Helpers!M15</f>
        <v/>
      </c>
      <c r="P259" s="392">
        <f>Helpers!N15</f>
        <v/>
      </c>
      <c r="Q259" s="392">
        <f>Helpers!O15</f>
        <v/>
      </c>
      <c r="R259" s="392">
        <f>Helpers!P15</f>
        <v/>
      </c>
      <c r="S259" s="392">
        <f>Helpers!Q15</f>
        <v/>
      </c>
      <c r="T259" s="392">
        <f>Helpers!R15</f>
        <v/>
      </c>
      <c r="U259" s="392">
        <f>Helpers!S15</f>
        <v/>
      </c>
      <c r="V259" s="392">
        <f>Helpers!T15</f>
        <v/>
      </c>
      <c r="W259" s="392">
        <f>Helpers!U15</f>
        <v/>
      </c>
      <c r="X259" s="392">
        <f>Helpers!V15</f>
        <v/>
      </c>
      <c r="Y259" s="392">
        <f>Helpers!W15</f>
        <v/>
      </c>
      <c r="Z259" s="392">
        <f>Helpers!X15</f>
        <v/>
      </c>
      <c r="AA259" s="392">
        <f>Helpers!Y15</f>
        <v/>
      </c>
      <c r="AB259" s="392">
        <f>Helpers!Z15</f>
        <v/>
      </c>
      <c r="AC259" s="392">
        <f>Helpers!AA15</f>
        <v/>
      </c>
      <c r="AD259" s="392">
        <f>Helpers!AB15</f>
        <v/>
      </c>
      <c r="AE259" s="392">
        <f>Helpers!AC15</f>
        <v/>
      </c>
      <c r="AF259" s="392">
        <f>Helpers!AD15</f>
        <v/>
      </c>
      <c r="AG259" s="392">
        <f>Helpers!AE15</f>
        <v/>
      </c>
      <c r="AH259" s="392">
        <f>Helpers!AF15</f>
        <v/>
      </c>
      <c r="AI259" s="392">
        <f>Helpers!AG15</f>
        <v/>
      </c>
      <c r="AJ259" s="392">
        <f>Helpers!AH15</f>
        <v/>
      </c>
      <c r="AK259" s="392">
        <f>Helpers!AI15</f>
        <v/>
      </c>
      <c r="AL259" s="392">
        <f>Helpers!AJ15</f>
        <v/>
      </c>
      <c r="AM259" s="392">
        <f>Helpers!AK15</f>
        <v/>
      </c>
      <c r="AN259" s="392">
        <f>Helpers!AL15</f>
        <v/>
      </c>
      <c r="AO259" s="392">
        <f>Helpers!AM15</f>
        <v/>
      </c>
      <c r="AP259" s="392">
        <f>Helpers!AN15</f>
        <v/>
      </c>
      <c r="AQ259" s="392">
        <f>Helpers!AO15</f>
        <v/>
      </c>
      <c r="AR259" s="392">
        <f>Helpers!AP15</f>
        <v/>
      </c>
      <c r="AS259" s="392">
        <f>Helpers!AQ15</f>
        <v/>
      </c>
      <c r="AT259" s="392">
        <f>Helpers!AR15</f>
        <v/>
      </c>
      <c r="AU259" s="392">
        <f>Helpers!AS15</f>
        <v/>
      </c>
      <c r="AV259" s="392">
        <f>Helpers!AT15</f>
        <v/>
      </c>
      <c r="AW259" s="392">
        <f>Helpers!AU15</f>
        <v/>
      </c>
      <c r="AX259" s="392">
        <f>Helpers!AV15</f>
        <v/>
      </c>
      <c r="AY259" s="392">
        <f>Helpers!AW15</f>
        <v/>
      </c>
      <c r="AZ259" s="392">
        <f>Helpers!AX15</f>
        <v/>
      </c>
      <c r="BA259" s="392">
        <f>Helpers!AY15</f>
        <v/>
      </c>
      <c r="BB259" s="392">
        <f>Helpers!AZ15</f>
        <v/>
      </c>
      <c r="BC259" s="392">
        <f>Helpers!BA15</f>
        <v/>
      </c>
      <c r="BD259" s="392">
        <f>Helpers!BB15</f>
        <v/>
      </c>
      <c r="BE259" s="392">
        <f>Helpers!BC15</f>
        <v/>
      </c>
      <c r="BF259" s="392">
        <f>Helpers!BD15</f>
        <v/>
      </c>
      <c r="BG259" s="392">
        <f>Helpers!BE15</f>
        <v/>
      </c>
      <c r="BH259" s="392">
        <f>Helpers!BF15</f>
        <v/>
      </c>
      <c r="BI259" s="392">
        <f>Helpers!BG15</f>
        <v/>
      </c>
      <c r="BJ259" s="392">
        <f>Helpers!BH15</f>
        <v/>
      </c>
      <c r="BK259" s="392">
        <f>Helpers!BI15</f>
        <v/>
      </c>
      <c r="BL259" s="392">
        <f>Helpers!BJ15</f>
        <v/>
      </c>
      <c r="BM259" s="392">
        <f>Helpers!BK15</f>
        <v/>
      </c>
      <c r="BN259" s="392">
        <f>Helpers!BL15</f>
        <v/>
      </c>
      <c r="BO259" s="392">
        <f>Helpers!BM15</f>
        <v/>
      </c>
      <c r="BP259" s="392">
        <f>Helpers!BN15</f>
        <v/>
      </c>
      <c r="BQ259" s="392">
        <f>Helpers!BO15</f>
        <v/>
      </c>
      <c r="BR259" s="392">
        <f>Helpers!BP15</f>
        <v/>
      </c>
      <c r="BS259" s="392">
        <f>Helpers!BQ15</f>
        <v/>
      </c>
      <c r="BT259" s="392">
        <f>Helpers!BR15</f>
        <v/>
      </c>
      <c r="BU259" s="392">
        <f>Helpers!BS15</f>
        <v/>
      </c>
      <c r="BV259" s="392">
        <f>Helpers!BT15</f>
        <v/>
      </c>
      <c r="BW259" s="392">
        <f>Helpers!BU15</f>
        <v/>
      </c>
      <c r="BX259" s="392">
        <f>Helpers!BV15</f>
        <v/>
      </c>
      <c r="BY259" s="392">
        <f>Helpers!BW15</f>
        <v/>
      </c>
      <c r="BZ259" s="392">
        <f>Helpers!BX15</f>
        <v/>
      </c>
      <c r="CA259" s="392">
        <f>Helpers!BY15</f>
        <v/>
      </c>
      <c r="CB259" s="392">
        <f>Helpers!BZ15</f>
        <v/>
      </c>
      <c r="CC259" s="392">
        <f>Helpers!CA15</f>
        <v/>
      </c>
      <c r="CD259" s="392">
        <f>Helpers!CB15</f>
        <v/>
      </c>
      <c r="CE259" s="392">
        <f>Helpers!CC15</f>
        <v/>
      </c>
      <c r="CF259" s="392">
        <f>Helpers!CD15</f>
        <v/>
      </c>
      <c r="CG259" s="392">
        <f>Helpers!CE15</f>
        <v/>
      </c>
      <c r="CH259" s="392">
        <f>Helpers!CF15</f>
        <v/>
      </c>
      <c r="CI259" s="392">
        <f>Helpers!CG15</f>
        <v/>
      </c>
      <c r="CJ259" s="392">
        <f>Helpers!CH15</f>
        <v/>
      </c>
      <c r="CK259" s="392">
        <f>Helpers!CI15</f>
        <v/>
      </c>
      <c r="CL259" s="392">
        <f>Helpers!CJ15</f>
        <v/>
      </c>
      <c r="CM259" s="392">
        <f>Helpers!CK15</f>
        <v/>
      </c>
      <c r="CN259" s="392">
        <f>Helpers!CL15</f>
        <v/>
      </c>
      <c r="CO259" s="392">
        <f>Helpers!CM15</f>
        <v/>
      </c>
      <c r="CP259" s="392">
        <f>Helpers!CN15</f>
        <v/>
      </c>
      <c r="CQ259" s="392">
        <f>Helpers!CO15</f>
        <v/>
      </c>
      <c r="CR259" s="392">
        <f>Helpers!CP15</f>
        <v/>
      </c>
      <c r="CS259" s="392">
        <f>Helpers!CQ15</f>
        <v/>
      </c>
      <c r="CT259" s="392">
        <f>Helpers!CR15</f>
        <v/>
      </c>
      <c r="CU259" s="392">
        <f>Helpers!CS15</f>
        <v/>
      </c>
      <c r="CV259" s="392">
        <f>Helpers!CT15</f>
        <v/>
      </c>
      <c r="CW259" s="392">
        <f>Helpers!CU15</f>
        <v/>
      </c>
      <c r="CX259" s="392">
        <f>Helpers!CV15</f>
        <v/>
      </c>
      <c r="CY259" s="392">
        <f>Helpers!CW15</f>
        <v/>
      </c>
      <c r="CZ259" s="392">
        <f>Helpers!CX15</f>
        <v/>
      </c>
      <c r="DA259" s="392">
        <f>Helpers!CY15</f>
        <v/>
      </c>
      <c r="DB259" s="392">
        <f>Helpers!CZ15</f>
        <v/>
      </c>
      <c r="DC259" s="392">
        <f>Helpers!DA15</f>
        <v/>
      </c>
      <c r="DD259" s="392">
        <f>Helpers!DB15</f>
        <v/>
      </c>
      <c r="DE259" s="392">
        <f>Helpers!DC15</f>
        <v/>
      </c>
    </row>
    <row r="260" ht="15" customFormat="1" customHeight="1" s="380">
      <c r="A260" s="408" t="inlineStr">
        <is>
          <t>Total Bonding Outstanding</t>
        </is>
      </c>
      <c r="B260" s="409" t="n"/>
      <c r="C260" s="409" t="n"/>
      <c r="D260" s="409" t="n"/>
      <c r="E260" s="409">
        <f>SUM(E252:E259)+E261</f>
        <v/>
      </c>
      <c r="F260" s="409">
        <f>SUM(F252:F259)+F261</f>
        <v/>
      </c>
      <c r="G260" s="409">
        <f>SUM(G252:G259)+G261</f>
        <v/>
      </c>
      <c r="H260" s="409">
        <f>SUM(H252:H259)+H261</f>
        <v/>
      </c>
      <c r="I260" s="409">
        <f>SUM(I252:I259)+I261</f>
        <v/>
      </c>
      <c r="J260" s="409">
        <f>SUM(J252:J259)+J261</f>
        <v/>
      </c>
      <c r="K260" s="409">
        <f>SUM(K252:K259)+K261</f>
        <v/>
      </c>
      <c r="L260" s="409">
        <f>SUM(L252:L259)+L261</f>
        <v/>
      </c>
      <c r="M260" s="409">
        <f>SUM(M252:M259)+M261</f>
        <v/>
      </c>
      <c r="N260" s="409">
        <f>SUM(N252:N259)+N261</f>
        <v/>
      </c>
      <c r="O260" s="409">
        <f>SUM(O252:O259)+O261</f>
        <v/>
      </c>
      <c r="P260" s="409">
        <f>SUM(P252:P259)+P261</f>
        <v/>
      </c>
      <c r="Q260" s="409">
        <f>SUM(Q252:Q259)+Q261</f>
        <v/>
      </c>
      <c r="R260" s="409">
        <f>SUM(R252:R259)+R261</f>
        <v/>
      </c>
      <c r="S260" s="409">
        <f>SUM(S252:S259)+S261</f>
        <v/>
      </c>
      <c r="T260" s="409">
        <f>SUM(T252:T259)+T261</f>
        <v/>
      </c>
      <c r="U260" s="409">
        <f>SUM(U252:U259)+U261</f>
        <v/>
      </c>
      <c r="V260" s="409">
        <f>SUM(V252:V259)+V261</f>
        <v/>
      </c>
      <c r="W260" s="409">
        <f>SUM(W252:W259)+W261</f>
        <v/>
      </c>
      <c r="X260" s="409">
        <f>SUM(X252:X259)+X261</f>
        <v/>
      </c>
      <c r="Y260" s="409">
        <f>SUM(Y252:Y259)+Y261</f>
        <v/>
      </c>
      <c r="Z260" s="409">
        <f>SUM(Z252:Z259)+Z261</f>
        <v/>
      </c>
      <c r="AA260" s="409">
        <f>SUM(AA252:AA259)+AA261</f>
        <v/>
      </c>
      <c r="AB260" s="409">
        <f>SUM(AB252:AB259)+AB261</f>
        <v/>
      </c>
      <c r="AC260" s="409">
        <f>SUM(AC252:AC259)+AC261</f>
        <v/>
      </c>
      <c r="AD260" s="409">
        <f>SUM(AD252:AD259)+AD261</f>
        <v/>
      </c>
      <c r="AE260" s="409">
        <f>SUM(AE252:AE259)+AE261</f>
        <v/>
      </c>
      <c r="AF260" s="409">
        <f>SUM(AF252:AF259)+AF261</f>
        <v/>
      </c>
      <c r="AG260" s="409">
        <f>SUM(AG252:AG259)+AG261</f>
        <v/>
      </c>
      <c r="AH260" s="409">
        <f>SUM(AH252:AH259)+AH261</f>
        <v/>
      </c>
      <c r="AI260" s="409">
        <f>SUM(AI252:AI259)+AI261</f>
        <v/>
      </c>
      <c r="AJ260" s="409">
        <f>SUM(AJ252:AJ259)+AJ261</f>
        <v/>
      </c>
      <c r="AK260" s="409">
        <f>SUM(AK252:AK259)+AK261</f>
        <v/>
      </c>
      <c r="AL260" s="409">
        <f>SUM(AL252:AL259)+AL261</f>
        <v/>
      </c>
      <c r="AM260" s="409">
        <f>SUM(AM252:AM259)+AM261</f>
        <v/>
      </c>
      <c r="AN260" s="409">
        <f>SUM(AN252:AN259)+AN261</f>
        <v/>
      </c>
      <c r="AO260" s="409">
        <f>SUM(AO252:AO259)+AO261</f>
        <v/>
      </c>
      <c r="AP260" s="409">
        <f>SUM(AP252:AP259)+AP261</f>
        <v/>
      </c>
      <c r="AQ260" s="409">
        <f>SUM(AQ252:AQ259)+AQ261</f>
        <v/>
      </c>
      <c r="AR260" s="409">
        <f>SUM(AR252:AR259)+AR261</f>
        <v/>
      </c>
      <c r="AS260" s="409">
        <f>SUM(AS252:AS259)+AS261</f>
        <v/>
      </c>
      <c r="AT260" s="409">
        <f>SUM(AT252:AT259)+AT261</f>
        <v/>
      </c>
      <c r="AU260" s="409">
        <f>SUM(AU252:AU259)+AU261</f>
        <v/>
      </c>
      <c r="AV260" s="409">
        <f>SUM(AV252:AV259)+AV261</f>
        <v/>
      </c>
      <c r="AW260" s="409">
        <f>SUM(AW252:AW259)+AW261</f>
        <v/>
      </c>
      <c r="AX260" s="409">
        <f>SUM(AX252:AX259)+AX261</f>
        <v/>
      </c>
      <c r="AY260" s="409">
        <f>SUM(AY252:AY259)+AY261</f>
        <v/>
      </c>
      <c r="AZ260" s="409">
        <f>SUM(AZ252:AZ259)+AZ261</f>
        <v/>
      </c>
      <c r="BA260" s="409">
        <f>SUM(BA252:BA259)+BA261</f>
        <v/>
      </c>
      <c r="BB260" s="409">
        <f>SUM(BB252:BB259)+BB261</f>
        <v/>
      </c>
      <c r="BC260" s="409">
        <f>SUM(BC252:BC259)+BC261</f>
        <v/>
      </c>
      <c r="BD260" s="409">
        <f>SUM(BD252:BD259)+BD261</f>
        <v/>
      </c>
      <c r="BE260" s="409">
        <f>SUM(BE252:BE259)+BE261</f>
        <v/>
      </c>
      <c r="BF260" s="409">
        <f>SUM(BF252:BF259)+BF261</f>
        <v/>
      </c>
      <c r="BG260" s="409">
        <f>SUM(BG252:BG259)+BG261</f>
        <v/>
      </c>
      <c r="BH260" s="409">
        <f>SUM(BH252:BH259)+BH261</f>
        <v/>
      </c>
      <c r="BI260" s="409">
        <f>SUM(BI252:BI259)+BI261</f>
        <v/>
      </c>
      <c r="BJ260" s="409">
        <f>SUM(BJ252:BJ259)+BJ261</f>
        <v/>
      </c>
      <c r="BK260" s="409">
        <f>SUM(BK252:BK259)+BK261</f>
        <v/>
      </c>
      <c r="BL260" s="409">
        <f>SUM(BL252:BL259)+BL261</f>
        <v/>
      </c>
      <c r="BM260" s="409">
        <f>SUM(BM252:BM259)+BM261</f>
        <v/>
      </c>
      <c r="BN260" s="409">
        <f>SUM(BN252:BN259)+BN261</f>
        <v/>
      </c>
      <c r="BO260" s="409">
        <f>SUM(BO252:BO259)+BO261</f>
        <v/>
      </c>
      <c r="BP260" s="409">
        <f>SUM(BP252:BP259)+BP261</f>
        <v/>
      </c>
      <c r="BQ260" s="409">
        <f>SUM(BQ252:BQ259)+BQ261</f>
        <v/>
      </c>
      <c r="BR260" s="409">
        <f>SUM(BR252:BR259)+BR261</f>
        <v/>
      </c>
      <c r="BS260" s="409">
        <f>SUM(BS252:BS259)+BS261</f>
        <v/>
      </c>
      <c r="BT260" s="409">
        <f>SUM(BT252:BT259)+BT261</f>
        <v/>
      </c>
      <c r="BU260" s="409">
        <f>SUM(BU252:BU259)+BU261</f>
        <v/>
      </c>
      <c r="BV260" s="409">
        <f>SUM(BV252:BV259)+BV261</f>
        <v/>
      </c>
      <c r="BW260" s="409">
        <f>SUM(BW252:BW259)+BW261</f>
        <v/>
      </c>
      <c r="BX260" s="409">
        <f>SUM(BX252:BX259)+BX261</f>
        <v/>
      </c>
      <c r="BY260" s="409">
        <f>SUM(BY252:BY259)+BY261</f>
        <v/>
      </c>
      <c r="BZ260" s="409">
        <f>SUM(BZ252:BZ259)+BZ261</f>
        <v/>
      </c>
      <c r="CA260" s="409">
        <f>SUM(CA252:CA259)+CA261</f>
        <v/>
      </c>
      <c r="CB260" s="409">
        <f>SUM(CB252:CB259)+CB261</f>
        <v/>
      </c>
      <c r="CC260" s="409">
        <f>SUM(CC252:CC259)+CC261</f>
        <v/>
      </c>
      <c r="CD260" s="409">
        <f>SUM(CD252:CD259)+CD261</f>
        <v/>
      </c>
      <c r="CE260" s="409">
        <f>SUM(CE252:CE259)+CE261</f>
        <v/>
      </c>
      <c r="CF260" s="409">
        <f>SUM(CF252:CF259)+CF261</f>
        <v/>
      </c>
      <c r="CG260" s="409">
        <f>SUM(CG252:CG259)+CG261</f>
        <v/>
      </c>
      <c r="CH260" s="409">
        <f>SUM(CH252:CH259)+CH261</f>
        <v/>
      </c>
      <c r="CI260" s="409">
        <f>SUM(CI252:CI259)+CI261</f>
        <v/>
      </c>
      <c r="CJ260" s="409">
        <f>SUM(CJ252:CJ259)+CJ261</f>
        <v/>
      </c>
      <c r="CK260" s="409">
        <f>SUM(CK252:CK259)+CK261</f>
        <v/>
      </c>
      <c r="CL260" s="409">
        <f>SUM(CL252:CL259)+CL261</f>
        <v/>
      </c>
      <c r="CM260" s="409">
        <f>SUM(CM252:CM259)+CM261</f>
        <v/>
      </c>
      <c r="CN260" s="409">
        <f>SUM(CN252:CN259)+CN261</f>
        <v/>
      </c>
      <c r="CO260" s="409">
        <f>SUM(CO252:CO259)+CO261</f>
        <v/>
      </c>
      <c r="CP260" s="409">
        <f>SUM(CP252:CP259)+CP261</f>
        <v/>
      </c>
      <c r="CQ260" s="409">
        <f>SUM(CQ252:CQ259)+CQ261</f>
        <v/>
      </c>
      <c r="CR260" s="409">
        <f>SUM(CR252:CR259)+CR261</f>
        <v/>
      </c>
      <c r="CS260" s="409">
        <f>SUM(CS252:CS259)+CS261</f>
        <v/>
      </c>
      <c r="CT260" s="409">
        <f>SUM(CT252:CT259)+CT261</f>
        <v/>
      </c>
      <c r="CU260" s="409">
        <f>SUM(CU252:CU259)+CU261</f>
        <v/>
      </c>
      <c r="CV260" s="409">
        <f>SUM(CV252:CV259)+CV261</f>
        <v/>
      </c>
      <c r="CW260" s="409">
        <f>SUM(CW252:CW259)+CW261</f>
        <v/>
      </c>
      <c r="CX260" s="409">
        <f>SUM(CX252:CX259)+CX261</f>
        <v/>
      </c>
      <c r="CY260" s="409">
        <f>SUM(CY252:CY259)+CY261</f>
        <v/>
      </c>
      <c r="CZ260" s="409">
        <f>SUM(CZ252:CZ259)+CZ261</f>
        <v/>
      </c>
      <c r="DA260" s="409">
        <f>SUM(DA252:DA259)+DA261</f>
        <v/>
      </c>
      <c r="DB260" s="409">
        <f>SUM(DB252:DB259)+DB261</f>
        <v/>
      </c>
      <c r="DC260" s="409">
        <f>SUM(DC252:DC259)+DC261</f>
        <v/>
      </c>
      <c r="DD260" s="409">
        <f>SUM(DD252:DD259)+DD261</f>
        <v/>
      </c>
      <c r="DE260" s="409">
        <f>SUM(DE252:DE259)+DE261</f>
        <v/>
      </c>
    </row>
    <row r="261" ht="15" customFormat="1" customHeight="1" s="380">
      <c r="A261" s="382" t="inlineStr">
        <is>
          <t xml:space="preserve">  HVN BD deals, bonded (included in total above)</t>
        </is>
      </c>
      <c r="B261" s="392" t="n"/>
      <c r="C261" s="392" t="n"/>
      <c r="D261" s="392" t="n"/>
      <c r="E261" s="392">
        <f>IF(AND(Projects!$G$17="Yes",Projects!$F$17="Yes",E$3&gt;=Projects!$C$17,E$3&lt;Projects!$C$17+Projects!$D$17),Projects!$B$17*(1-SUMPRODUCT((Curves!$B$4:$AR$4)*(COLUMN(Curves!$B$4:$AR$4)-COLUMN(Curves!$B$4)+1&lt;=E$3-Projects!$C$17+1))),0)+IF(AND(Projects!$G$18="Yes",Projects!$F$18="Yes",E$3&gt;=Projects!$C$18,E$3&lt;Projects!$C$18+Projects!$D$18),Projects!$B$18*(1-SUMPRODUCT((Curves!$B$4:$AR$4)*(COLUMN(Curves!$B$4:$AR$4)-COLUMN(Curves!$B$4)+1&lt;=E$3-Projects!$C$18+1))),0)+IF(AND(Projects!$G$19="Yes",Projects!$F$19="Yes",E$3&gt;=Projects!$C$19,E$3&lt;Projects!$C$19+Projects!$D$19),Projects!$B$19*(1-SUMPRODUCT((Curves!$B$4:$AR$4)*(COLUMN(Curves!$B$4:$AR$4)-COLUMN(Curves!$B$4)+1&lt;=E$3-Projects!$C$19+1))),0)+IF(AND(Projects!$G$23="Yes",Projects!$F$23="Yes",E$3&gt;=Projects!$C$23,E$3&lt;Projects!$C$23+Projects!$D$23),Projects!$B$23*(1-SUMPRODUCT((Curves!$B$4:$AR$4)*(COLUMN(Curves!$B$4:$AR$4)-COLUMN(Curves!$B$4)+1&lt;=E$3-Projects!$C$23+1))),0)+IF(AND(Projects!$G$28="Yes",Projects!$F$28="Yes",E$3&gt;=Projects!$C$28,E$3&lt;Projects!$C$28+Projects!$D$28),Projects!$B$28*(1-SUMPRODUCT((Curves!$B$4:$AR$4)*(COLUMN(Curves!$B$4:$AR$4)-COLUMN(Curves!$B$4)+1&lt;=E$3-Projects!$C$28+1))),0)+IF(AND(Projects!$G$34="Yes",Projects!$F$34="Yes",E$3&gt;=Projects!$C$34,E$3&lt;Projects!$C$34+Projects!$D$34),Projects!$B$34*(1-SUMPRODUCT((Curves!$B$4:$AR$4)*(COLUMN(Curves!$B$4:$AR$4)-COLUMN(Curves!$B$4)+1&lt;=E$3-Projects!$C$34+1))),0)+IF(AND(Projects!$G$40="Yes",Projects!$F$40="Yes",E$3&gt;=Projects!$C$40,E$3&lt;Projects!$C$40+Projects!$D$40),Projects!$B$40*(1-SUMPRODUCT((Curves!$B$4:$AR$4)*(COLUMN(Curves!$B$4:$AR$4)-COLUMN(Curves!$B$4)+1&lt;=E$3-Projects!$C$40+1))),0)+IF(AND(Projects!$G$46="Yes",Projects!$F$46="Yes",E$3&gt;=Projects!$C$46,E$3&lt;Projects!$C$46+Projects!$D$46),Projects!$B$46*(1-SUMPRODUCT((Curves!$B$4:$AR$4)*(COLUMN(Curves!$B$4:$AR$4)-COLUMN(Curves!$B$4)+1&lt;=E$3-Projects!$C$46+1))),0)</f>
        <v/>
      </c>
      <c r="F261" s="392">
        <f>IF(AND(Projects!$G$17="Yes",Projects!$F$17="Yes",F$3&gt;=Projects!$C$17,F$3&lt;Projects!$C$17+Projects!$D$17),Projects!$B$17*(1-SUMPRODUCT((Curves!$B$4:$AR$4)*(COLUMN(Curves!$B$4:$AR$4)-COLUMN(Curves!$B$4)+1&lt;=F$3-Projects!$C$17+1))),0)+IF(AND(Projects!$G$18="Yes",Projects!$F$18="Yes",F$3&gt;=Projects!$C$18,F$3&lt;Projects!$C$18+Projects!$D$18),Projects!$B$18*(1-SUMPRODUCT((Curves!$B$4:$AR$4)*(COLUMN(Curves!$B$4:$AR$4)-COLUMN(Curves!$B$4)+1&lt;=F$3-Projects!$C$18+1))),0)+IF(AND(Projects!$G$19="Yes",Projects!$F$19="Yes",F$3&gt;=Projects!$C$19,F$3&lt;Projects!$C$19+Projects!$D$19),Projects!$B$19*(1-SUMPRODUCT((Curves!$B$4:$AR$4)*(COLUMN(Curves!$B$4:$AR$4)-COLUMN(Curves!$B$4)+1&lt;=F$3-Projects!$C$19+1))),0)+IF(AND(Projects!$G$23="Yes",Projects!$F$23="Yes",F$3&gt;=Projects!$C$23,F$3&lt;Projects!$C$23+Projects!$D$23),Projects!$B$23*(1-SUMPRODUCT((Curves!$B$4:$AR$4)*(COLUMN(Curves!$B$4:$AR$4)-COLUMN(Curves!$B$4)+1&lt;=F$3-Projects!$C$23+1))),0)+IF(AND(Projects!$G$28="Yes",Projects!$F$28="Yes",F$3&gt;=Projects!$C$28,F$3&lt;Projects!$C$28+Projects!$D$28),Projects!$B$28*(1-SUMPRODUCT((Curves!$B$4:$AR$4)*(COLUMN(Curves!$B$4:$AR$4)-COLUMN(Curves!$B$4)+1&lt;=F$3-Projects!$C$28+1))),0)+IF(AND(Projects!$G$34="Yes",Projects!$F$34="Yes",F$3&gt;=Projects!$C$34,F$3&lt;Projects!$C$34+Projects!$D$34),Projects!$B$34*(1-SUMPRODUCT((Curves!$B$4:$AR$4)*(COLUMN(Curves!$B$4:$AR$4)-COLUMN(Curves!$B$4)+1&lt;=F$3-Projects!$C$34+1))),0)+IF(AND(Projects!$G$40="Yes",Projects!$F$40="Yes",F$3&gt;=Projects!$C$40,F$3&lt;Projects!$C$40+Projects!$D$40),Projects!$B$40*(1-SUMPRODUCT((Curves!$B$4:$AR$4)*(COLUMN(Curves!$B$4:$AR$4)-COLUMN(Curves!$B$4)+1&lt;=F$3-Projects!$C$40+1))),0)+IF(AND(Projects!$G$46="Yes",Projects!$F$46="Yes",F$3&gt;=Projects!$C$46,F$3&lt;Projects!$C$46+Projects!$D$46),Projects!$B$46*(1-SUMPRODUCT((Curves!$B$4:$AR$4)*(COLUMN(Curves!$B$4:$AR$4)-COLUMN(Curves!$B$4)+1&lt;=F$3-Projects!$C$46+1))),0)</f>
        <v/>
      </c>
      <c r="G261" s="392">
        <f>IF(AND(Projects!$G$17="Yes",Projects!$F$17="Yes",G$3&gt;=Projects!$C$17,G$3&lt;Projects!$C$17+Projects!$D$17),Projects!$B$17*(1-SUMPRODUCT((Curves!$B$4:$AR$4)*(COLUMN(Curves!$B$4:$AR$4)-COLUMN(Curves!$B$4)+1&lt;=G$3-Projects!$C$17+1))),0)+IF(AND(Projects!$G$18="Yes",Projects!$F$18="Yes",G$3&gt;=Projects!$C$18,G$3&lt;Projects!$C$18+Projects!$D$18),Projects!$B$18*(1-SUMPRODUCT((Curves!$B$4:$AR$4)*(COLUMN(Curves!$B$4:$AR$4)-COLUMN(Curves!$B$4)+1&lt;=G$3-Projects!$C$18+1))),0)+IF(AND(Projects!$G$19="Yes",Projects!$F$19="Yes",G$3&gt;=Projects!$C$19,G$3&lt;Projects!$C$19+Projects!$D$19),Projects!$B$19*(1-SUMPRODUCT((Curves!$B$4:$AR$4)*(COLUMN(Curves!$B$4:$AR$4)-COLUMN(Curves!$B$4)+1&lt;=G$3-Projects!$C$19+1))),0)+IF(AND(Projects!$G$23="Yes",Projects!$F$23="Yes",G$3&gt;=Projects!$C$23,G$3&lt;Projects!$C$23+Projects!$D$23),Projects!$B$23*(1-SUMPRODUCT((Curves!$B$4:$AR$4)*(COLUMN(Curves!$B$4:$AR$4)-COLUMN(Curves!$B$4)+1&lt;=G$3-Projects!$C$23+1))),0)+IF(AND(Projects!$G$28="Yes",Projects!$F$28="Yes",G$3&gt;=Projects!$C$28,G$3&lt;Projects!$C$28+Projects!$D$28),Projects!$B$28*(1-SUMPRODUCT((Curves!$B$4:$AR$4)*(COLUMN(Curves!$B$4:$AR$4)-COLUMN(Curves!$B$4)+1&lt;=G$3-Projects!$C$28+1))),0)+IF(AND(Projects!$G$34="Yes",Projects!$F$34="Yes",G$3&gt;=Projects!$C$34,G$3&lt;Projects!$C$34+Projects!$D$34),Projects!$B$34*(1-SUMPRODUCT((Curves!$B$4:$AR$4)*(COLUMN(Curves!$B$4:$AR$4)-COLUMN(Curves!$B$4)+1&lt;=G$3-Projects!$C$34+1))),0)+IF(AND(Projects!$G$40="Yes",Projects!$F$40="Yes",G$3&gt;=Projects!$C$40,G$3&lt;Projects!$C$40+Projects!$D$40),Projects!$B$40*(1-SUMPRODUCT((Curves!$B$4:$AR$4)*(COLUMN(Curves!$B$4:$AR$4)-COLUMN(Curves!$B$4)+1&lt;=G$3-Projects!$C$40+1))),0)+IF(AND(Projects!$G$46="Yes",Projects!$F$46="Yes",G$3&gt;=Projects!$C$46,G$3&lt;Projects!$C$46+Projects!$D$46),Projects!$B$46*(1-SUMPRODUCT((Curves!$B$4:$AR$4)*(COLUMN(Curves!$B$4:$AR$4)-COLUMN(Curves!$B$4)+1&lt;=G$3-Projects!$C$46+1))),0)</f>
        <v/>
      </c>
      <c r="H261" s="392">
        <f>IF(AND(Projects!$G$17="Yes",Projects!$F$17="Yes",H$3&gt;=Projects!$C$17,H$3&lt;Projects!$C$17+Projects!$D$17),Projects!$B$17*(1-SUMPRODUCT((Curves!$B$4:$AR$4)*(COLUMN(Curves!$B$4:$AR$4)-COLUMN(Curves!$B$4)+1&lt;=H$3-Projects!$C$17+1))),0)+IF(AND(Projects!$G$18="Yes",Projects!$F$18="Yes",H$3&gt;=Projects!$C$18,H$3&lt;Projects!$C$18+Projects!$D$18),Projects!$B$18*(1-SUMPRODUCT((Curves!$B$4:$AR$4)*(COLUMN(Curves!$B$4:$AR$4)-COLUMN(Curves!$B$4)+1&lt;=H$3-Projects!$C$18+1))),0)+IF(AND(Projects!$G$19="Yes",Projects!$F$19="Yes",H$3&gt;=Projects!$C$19,H$3&lt;Projects!$C$19+Projects!$D$19),Projects!$B$19*(1-SUMPRODUCT((Curves!$B$4:$AR$4)*(COLUMN(Curves!$B$4:$AR$4)-COLUMN(Curves!$B$4)+1&lt;=H$3-Projects!$C$19+1))),0)+IF(AND(Projects!$G$23="Yes",Projects!$F$23="Yes",H$3&gt;=Projects!$C$23,H$3&lt;Projects!$C$23+Projects!$D$23),Projects!$B$23*(1-SUMPRODUCT((Curves!$B$4:$AR$4)*(COLUMN(Curves!$B$4:$AR$4)-COLUMN(Curves!$B$4)+1&lt;=H$3-Projects!$C$23+1))),0)+IF(AND(Projects!$G$28="Yes",Projects!$F$28="Yes",H$3&gt;=Projects!$C$28,H$3&lt;Projects!$C$28+Projects!$D$28),Projects!$B$28*(1-SUMPRODUCT((Curves!$B$4:$AR$4)*(COLUMN(Curves!$B$4:$AR$4)-COLUMN(Curves!$B$4)+1&lt;=H$3-Projects!$C$28+1))),0)+IF(AND(Projects!$G$34="Yes",Projects!$F$34="Yes",H$3&gt;=Projects!$C$34,H$3&lt;Projects!$C$34+Projects!$D$34),Projects!$B$34*(1-SUMPRODUCT((Curves!$B$4:$AR$4)*(COLUMN(Curves!$B$4:$AR$4)-COLUMN(Curves!$B$4)+1&lt;=H$3-Projects!$C$34+1))),0)+IF(AND(Projects!$G$40="Yes",Projects!$F$40="Yes",H$3&gt;=Projects!$C$40,H$3&lt;Projects!$C$40+Projects!$D$40),Projects!$B$40*(1-SUMPRODUCT((Curves!$B$4:$AR$4)*(COLUMN(Curves!$B$4:$AR$4)-COLUMN(Curves!$B$4)+1&lt;=H$3-Projects!$C$40+1))),0)+IF(AND(Projects!$G$46="Yes",Projects!$F$46="Yes",H$3&gt;=Projects!$C$46,H$3&lt;Projects!$C$46+Projects!$D$46),Projects!$B$46*(1-SUMPRODUCT((Curves!$B$4:$AR$4)*(COLUMN(Curves!$B$4:$AR$4)-COLUMN(Curves!$B$4)+1&lt;=H$3-Projects!$C$46+1))),0)</f>
        <v/>
      </c>
      <c r="I261" s="392">
        <f>IF(AND(Projects!$G$17="Yes",Projects!$F$17="Yes",I$3&gt;=Projects!$C$17,I$3&lt;Projects!$C$17+Projects!$D$17),Projects!$B$17*(1-SUMPRODUCT((Curves!$B$4:$AR$4)*(COLUMN(Curves!$B$4:$AR$4)-COLUMN(Curves!$B$4)+1&lt;=I$3-Projects!$C$17+1))),0)+IF(AND(Projects!$G$18="Yes",Projects!$F$18="Yes",I$3&gt;=Projects!$C$18,I$3&lt;Projects!$C$18+Projects!$D$18),Projects!$B$18*(1-SUMPRODUCT((Curves!$B$4:$AR$4)*(COLUMN(Curves!$B$4:$AR$4)-COLUMN(Curves!$B$4)+1&lt;=I$3-Projects!$C$18+1))),0)+IF(AND(Projects!$G$19="Yes",Projects!$F$19="Yes",I$3&gt;=Projects!$C$19,I$3&lt;Projects!$C$19+Projects!$D$19),Projects!$B$19*(1-SUMPRODUCT((Curves!$B$4:$AR$4)*(COLUMN(Curves!$B$4:$AR$4)-COLUMN(Curves!$B$4)+1&lt;=I$3-Projects!$C$19+1))),0)+IF(AND(Projects!$G$23="Yes",Projects!$F$23="Yes",I$3&gt;=Projects!$C$23,I$3&lt;Projects!$C$23+Projects!$D$23),Projects!$B$23*(1-SUMPRODUCT((Curves!$B$4:$AR$4)*(COLUMN(Curves!$B$4:$AR$4)-COLUMN(Curves!$B$4)+1&lt;=I$3-Projects!$C$23+1))),0)+IF(AND(Projects!$G$28="Yes",Projects!$F$28="Yes",I$3&gt;=Projects!$C$28,I$3&lt;Projects!$C$28+Projects!$D$28),Projects!$B$28*(1-SUMPRODUCT((Curves!$B$4:$AR$4)*(COLUMN(Curves!$B$4:$AR$4)-COLUMN(Curves!$B$4)+1&lt;=I$3-Projects!$C$28+1))),0)+IF(AND(Projects!$G$34="Yes",Projects!$F$34="Yes",I$3&gt;=Projects!$C$34,I$3&lt;Projects!$C$34+Projects!$D$34),Projects!$B$34*(1-SUMPRODUCT((Curves!$B$4:$AR$4)*(COLUMN(Curves!$B$4:$AR$4)-COLUMN(Curves!$B$4)+1&lt;=I$3-Projects!$C$34+1))),0)+IF(AND(Projects!$G$40="Yes",Projects!$F$40="Yes",I$3&gt;=Projects!$C$40,I$3&lt;Projects!$C$40+Projects!$D$40),Projects!$B$40*(1-SUMPRODUCT((Curves!$B$4:$AR$4)*(COLUMN(Curves!$B$4:$AR$4)-COLUMN(Curves!$B$4)+1&lt;=I$3-Projects!$C$40+1))),0)+IF(AND(Projects!$G$46="Yes",Projects!$F$46="Yes",I$3&gt;=Projects!$C$46,I$3&lt;Projects!$C$46+Projects!$D$46),Projects!$B$46*(1-SUMPRODUCT((Curves!$B$4:$AR$4)*(COLUMN(Curves!$B$4:$AR$4)-COLUMN(Curves!$B$4)+1&lt;=I$3-Projects!$C$46+1))),0)</f>
        <v/>
      </c>
      <c r="J261" s="392">
        <f>IF(AND(Projects!$G$17="Yes",Projects!$F$17="Yes",J$3&gt;=Projects!$C$17,J$3&lt;Projects!$C$17+Projects!$D$17),Projects!$B$17*(1-SUMPRODUCT((Curves!$B$4:$AR$4)*(COLUMN(Curves!$B$4:$AR$4)-COLUMN(Curves!$B$4)+1&lt;=J$3-Projects!$C$17+1))),0)+IF(AND(Projects!$G$18="Yes",Projects!$F$18="Yes",J$3&gt;=Projects!$C$18,J$3&lt;Projects!$C$18+Projects!$D$18),Projects!$B$18*(1-SUMPRODUCT((Curves!$B$4:$AR$4)*(COLUMN(Curves!$B$4:$AR$4)-COLUMN(Curves!$B$4)+1&lt;=J$3-Projects!$C$18+1))),0)+IF(AND(Projects!$G$19="Yes",Projects!$F$19="Yes",J$3&gt;=Projects!$C$19,J$3&lt;Projects!$C$19+Projects!$D$19),Projects!$B$19*(1-SUMPRODUCT((Curves!$B$4:$AR$4)*(COLUMN(Curves!$B$4:$AR$4)-COLUMN(Curves!$B$4)+1&lt;=J$3-Projects!$C$19+1))),0)+IF(AND(Projects!$G$23="Yes",Projects!$F$23="Yes",J$3&gt;=Projects!$C$23,J$3&lt;Projects!$C$23+Projects!$D$23),Projects!$B$23*(1-SUMPRODUCT((Curves!$B$4:$AR$4)*(COLUMN(Curves!$B$4:$AR$4)-COLUMN(Curves!$B$4)+1&lt;=J$3-Projects!$C$23+1))),0)+IF(AND(Projects!$G$28="Yes",Projects!$F$28="Yes",J$3&gt;=Projects!$C$28,J$3&lt;Projects!$C$28+Projects!$D$28),Projects!$B$28*(1-SUMPRODUCT((Curves!$B$4:$AR$4)*(COLUMN(Curves!$B$4:$AR$4)-COLUMN(Curves!$B$4)+1&lt;=J$3-Projects!$C$28+1))),0)+IF(AND(Projects!$G$34="Yes",Projects!$F$34="Yes",J$3&gt;=Projects!$C$34,J$3&lt;Projects!$C$34+Projects!$D$34),Projects!$B$34*(1-SUMPRODUCT((Curves!$B$4:$AR$4)*(COLUMN(Curves!$B$4:$AR$4)-COLUMN(Curves!$B$4)+1&lt;=J$3-Projects!$C$34+1))),0)+IF(AND(Projects!$G$40="Yes",Projects!$F$40="Yes",J$3&gt;=Projects!$C$40,J$3&lt;Projects!$C$40+Projects!$D$40),Projects!$B$40*(1-SUMPRODUCT((Curves!$B$4:$AR$4)*(COLUMN(Curves!$B$4:$AR$4)-COLUMN(Curves!$B$4)+1&lt;=J$3-Projects!$C$40+1))),0)+IF(AND(Projects!$G$46="Yes",Projects!$F$46="Yes",J$3&gt;=Projects!$C$46,J$3&lt;Projects!$C$46+Projects!$D$46),Projects!$B$46*(1-SUMPRODUCT((Curves!$B$4:$AR$4)*(COLUMN(Curves!$B$4:$AR$4)-COLUMN(Curves!$B$4)+1&lt;=J$3-Projects!$C$46+1))),0)</f>
        <v/>
      </c>
      <c r="K261" s="392">
        <f>IF(AND(Projects!$G$17="Yes",Projects!$F$17="Yes",K$3&gt;=Projects!$C$17,K$3&lt;Projects!$C$17+Projects!$D$17),Projects!$B$17*(1-SUMPRODUCT((Curves!$B$4:$AR$4)*(COLUMN(Curves!$B$4:$AR$4)-COLUMN(Curves!$B$4)+1&lt;=K$3-Projects!$C$17+1))),0)+IF(AND(Projects!$G$18="Yes",Projects!$F$18="Yes",K$3&gt;=Projects!$C$18,K$3&lt;Projects!$C$18+Projects!$D$18),Projects!$B$18*(1-SUMPRODUCT((Curves!$B$4:$AR$4)*(COLUMN(Curves!$B$4:$AR$4)-COLUMN(Curves!$B$4)+1&lt;=K$3-Projects!$C$18+1))),0)+IF(AND(Projects!$G$19="Yes",Projects!$F$19="Yes",K$3&gt;=Projects!$C$19,K$3&lt;Projects!$C$19+Projects!$D$19),Projects!$B$19*(1-SUMPRODUCT((Curves!$B$4:$AR$4)*(COLUMN(Curves!$B$4:$AR$4)-COLUMN(Curves!$B$4)+1&lt;=K$3-Projects!$C$19+1))),0)+IF(AND(Projects!$G$23="Yes",Projects!$F$23="Yes",K$3&gt;=Projects!$C$23,K$3&lt;Projects!$C$23+Projects!$D$23),Projects!$B$23*(1-SUMPRODUCT((Curves!$B$4:$AR$4)*(COLUMN(Curves!$B$4:$AR$4)-COLUMN(Curves!$B$4)+1&lt;=K$3-Projects!$C$23+1))),0)+IF(AND(Projects!$G$28="Yes",Projects!$F$28="Yes",K$3&gt;=Projects!$C$28,K$3&lt;Projects!$C$28+Projects!$D$28),Projects!$B$28*(1-SUMPRODUCT((Curves!$B$4:$AR$4)*(COLUMN(Curves!$B$4:$AR$4)-COLUMN(Curves!$B$4)+1&lt;=K$3-Projects!$C$28+1))),0)+IF(AND(Projects!$G$34="Yes",Projects!$F$34="Yes",K$3&gt;=Projects!$C$34,K$3&lt;Projects!$C$34+Projects!$D$34),Projects!$B$34*(1-SUMPRODUCT((Curves!$B$4:$AR$4)*(COLUMN(Curves!$B$4:$AR$4)-COLUMN(Curves!$B$4)+1&lt;=K$3-Projects!$C$34+1))),0)+IF(AND(Projects!$G$40="Yes",Projects!$F$40="Yes",K$3&gt;=Projects!$C$40,K$3&lt;Projects!$C$40+Projects!$D$40),Projects!$B$40*(1-SUMPRODUCT((Curves!$B$4:$AR$4)*(COLUMN(Curves!$B$4:$AR$4)-COLUMN(Curves!$B$4)+1&lt;=K$3-Projects!$C$40+1))),0)+IF(AND(Projects!$G$46="Yes",Projects!$F$46="Yes",K$3&gt;=Projects!$C$46,K$3&lt;Projects!$C$46+Projects!$D$46),Projects!$B$46*(1-SUMPRODUCT((Curves!$B$4:$AR$4)*(COLUMN(Curves!$B$4:$AR$4)-COLUMN(Curves!$B$4)+1&lt;=K$3-Projects!$C$46+1))),0)</f>
        <v/>
      </c>
      <c r="L261" s="392">
        <f>IF(AND(Projects!$G$17="Yes",Projects!$F$17="Yes",L$3&gt;=Projects!$C$17,L$3&lt;Projects!$C$17+Projects!$D$17),Projects!$B$17*(1-SUMPRODUCT((Curves!$B$4:$AR$4)*(COLUMN(Curves!$B$4:$AR$4)-COLUMN(Curves!$B$4)+1&lt;=L$3-Projects!$C$17+1))),0)+IF(AND(Projects!$G$18="Yes",Projects!$F$18="Yes",L$3&gt;=Projects!$C$18,L$3&lt;Projects!$C$18+Projects!$D$18),Projects!$B$18*(1-SUMPRODUCT((Curves!$B$4:$AR$4)*(COLUMN(Curves!$B$4:$AR$4)-COLUMN(Curves!$B$4)+1&lt;=L$3-Projects!$C$18+1))),0)+IF(AND(Projects!$G$19="Yes",Projects!$F$19="Yes",L$3&gt;=Projects!$C$19,L$3&lt;Projects!$C$19+Projects!$D$19),Projects!$B$19*(1-SUMPRODUCT((Curves!$B$4:$AR$4)*(COLUMN(Curves!$B$4:$AR$4)-COLUMN(Curves!$B$4)+1&lt;=L$3-Projects!$C$19+1))),0)+IF(AND(Projects!$G$23="Yes",Projects!$F$23="Yes",L$3&gt;=Projects!$C$23,L$3&lt;Projects!$C$23+Projects!$D$23),Projects!$B$23*(1-SUMPRODUCT((Curves!$B$4:$AR$4)*(COLUMN(Curves!$B$4:$AR$4)-COLUMN(Curves!$B$4)+1&lt;=L$3-Projects!$C$23+1))),0)+IF(AND(Projects!$G$28="Yes",Projects!$F$28="Yes",L$3&gt;=Projects!$C$28,L$3&lt;Projects!$C$28+Projects!$D$28),Projects!$B$28*(1-SUMPRODUCT((Curves!$B$4:$AR$4)*(COLUMN(Curves!$B$4:$AR$4)-COLUMN(Curves!$B$4)+1&lt;=L$3-Projects!$C$28+1))),0)+IF(AND(Projects!$G$34="Yes",Projects!$F$34="Yes",L$3&gt;=Projects!$C$34,L$3&lt;Projects!$C$34+Projects!$D$34),Projects!$B$34*(1-SUMPRODUCT((Curves!$B$4:$AR$4)*(COLUMN(Curves!$B$4:$AR$4)-COLUMN(Curves!$B$4)+1&lt;=L$3-Projects!$C$34+1))),0)+IF(AND(Projects!$G$40="Yes",Projects!$F$40="Yes",L$3&gt;=Projects!$C$40,L$3&lt;Projects!$C$40+Projects!$D$40),Projects!$B$40*(1-SUMPRODUCT((Curves!$B$4:$AR$4)*(COLUMN(Curves!$B$4:$AR$4)-COLUMN(Curves!$B$4)+1&lt;=L$3-Projects!$C$40+1))),0)+IF(AND(Projects!$G$46="Yes",Projects!$F$46="Yes",L$3&gt;=Projects!$C$46,L$3&lt;Projects!$C$46+Projects!$D$46),Projects!$B$46*(1-SUMPRODUCT((Curves!$B$4:$AR$4)*(COLUMN(Curves!$B$4:$AR$4)-COLUMN(Curves!$B$4)+1&lt;=L$3-Projects!$C$46+1))),0)</f>
        <v/>
      </c>
      <c r="M261" s="392">
        <f>IF(AND(Projects!$G$17="Yes",Projects!$F$17="Yes",M$3&gt;=Projects!$C$17,M$3&lt;Projects!$C$17+Projects!$D$17),Projects!$B$17*(1-SUMPRODUCT((Curves!$B$4:$AR$4)*(COLUMN(Curves!$B$4:$AR$4)-COLUMN(Curves!$B$4)+1&lt;=M$3-Projects!$C$17+1))),0)+IF(AND(Projects!$G$18="Yes",Projects!$F$18="Yes",M$3&gt;=Projects!$C$18,M$3&lt;Projects!$C$18+Projects!$D$18),Projects!$B$18*(1-SUMPRODUCT((Curves!$B$4:$AR$4)*(COLUMN(Curves!$B$4:$AR$4)-COLUMN(Curves!$B$4)+1&lt;=M$3-Projects!$C$18+1))),0)+IF(AND(Projects!$G$19="Yes",Projects!$F$19="Yes",M$3&gt;=Projects!$C$19,M$3&lt;Projects!$C$19+Projects!$D$19),Projects!$B$19*(1-SUMPRODUCT((Curves!$B$4:$AR$4)*(COLUMN(Curves!$B$4:$AR$4)-COLUMN(Curves!$B$4)+1&lt;=M$3-Projects!$C$19+1))),0)+IF(AND(Projects!$G$23="Yes",Projects!$F$23="Yes",M$3&gt;=Projects!$C$23,M$3&lt;Projects!$C$23+Projects!$D$23),Projects!$B$23*(1-SUMPRODUCT((Curves!$B$4:$AR$4)*(COLUMN(Curves!$B$4:$AR$4)-COLUMN(Curves!$B$4)+1&lt;=M$3-Projects!$C$23+1))),0)+IF(AND(Projects!$G$28="Yes",Projects!$F$28="Yes",M$3&gt;=Projects!$C$28,M$3&lt;Projects!$C$28+Projects!$D$28),Projects!$B$28*(1-SUMPRODUCT((Curves!$B$4:$AR$4)*(COLUMN(Curves!$B$4:$AR$4)-COLUMN(Curves!$B$4)+1&lt;=M$3-Projects!$C$28+1))),0)+IF(AND(Projects!$G$34="Yes",Projects!$F$34="Yes",M$3&gt;=Projects!$C$34,M$3&lt;Projects!$C$34+Projects!$D$34),Projects!$B$34*(1-SUMPRODUCT((Curves!$B$4:$AR$4)*(COLUMN(Curves!$B$4:$AR$4)-COLUMN(Curves!$B$4)+1&lt;=M$3-Projects!$C$34+1))),0)+IF(AND(Projects!$G$40="Yes",Projects!$F$40="Yes",M$3&gt;=Projects!$C$40,M$3&lt;Projects!$C$40+Projects!$D$40),Projects!$B$40*(1-SUMPRODUCT((Curves!$B$4:$AR$4)*(COLUMN(Curves!$B$4:$AR$4)-COLUMN(Curves!$B$4)+1&lt;=M$3-Projects!$C$40+1))),0)+IF(AND(Projects!$G$46="Yes",Projects!$F$46="Yes",M$3&gt;=Projects!$C$46,M$3&lt;Projects!$C$46+Projects!$D$46),Projects!$B$46*(1-SUMPRODUCT((Curves!$B$4:$AR$4)*(COLUMN(Curves!$B$4:$AR$4)-COLUMN(Curves!$B$4)+1&lt;=M$3-Projects!$C$46+1))),0)</f>
        <v/>
      </c>
      <c r="N261" s="392">
        <f>IF(AND(Projects!$G$17="Yes",Projects!$F$17="Yes",N$3&gt;=Projects!$C$17,N$3&lt;Projects!$C$17+Projects!$D$17),Projects!$B$17*(1-SUMPRODUCT((Curves!$B$4:$AR$4)*(COLUMN(Curves!$B$4:$AR$4)-COLUMN(Curves!$B$4)+1&lt;=N$3-Projects!$C$17+1))),0)+IF(AND(Projects!$G$18="Yes",Projects!$F$18="Yes",N$3&gt;=Projects!$C$18,N$3&lt;Projects!$C$18+Projects!$D$18),Projects!$B$18*(1-SUMPRODUCT((Curves!$B$4:$AR$4)*(COLUMN(Curves!$B$4:$AR$4)-COLUMN(Curves!$B$4)+1&lt;=N$3-Projects!$C$18+1))),0)+IF(AND(Projects!$G$19="Yes",Projects!$F$19="Yes",N$3&gt;=Projects!$C$19,N$3&lt;Projects!$C$19+Projects!$D$19),Projects!$B$19*(1-SUMPRODUCT((Curves!$B$4:$AR$4)*(COLUMN(Curves!$B$4:$AR$4)-COLUMN(Curves!$B$4)+1&lt;=N$3-Projects!$C$19+1))),0)+IF(AND(Projects!$G$23="Yes",Projects!$F$23="Yes",N$3&gt;=Projects!$C$23,N$3&lt;Projects!$C$23+Projects!$D$23),Projects!$B$23*(1-SUMPRODUCT((Curves!$B$4:$AR$4)*(COLUMN(Curves!$B$4:$AR$4)-COLUMN(Curves!$B$4)+1&lt;=N$3-Projects!$C$23+1))),0)+IF(AND(Projects!$G$28="Yes",Projects!$F$28="Yes",N$3&gt;=Projects!$C$28,N$3&lt;Projects!$C$28+Projects!$D$28),Projects!$B$28*(1-SUMPRODUCT((Curves!$B$4:$AR$4)*(COLUMN(Curves!$B$4:$AR$4)-COLUMN(Curves!$B$4)+1&lt;=N$3-Projects!$C$28+1))),0)+IF(AND(Projects!$G$34="Yes",Projects!$F$34="Yes",N$3&gt;=Projects!$C$34,N$3&lt;Projects!$C$34+Projects!$D$34),Projects!$B$34*(1-SUMPRODUCT((Curves!$B$4:$AR$4)*(COLUMN(Curves!$B$4:$AR$4)-COLUMN(Curves!$B$4)+1&lt;=N$3-Projects!$C$34+1))),0)+IF(AND(Projects!$G$40="Yes",Projects!$F$40="Yes",N$3&gt;=Projects!$C$40,N$3&lt;Projects!$C$40+Projects!$D$40),Projects!$B$40*(1-SUMPRODUCT((Curves!$B$4:$AR$4)*(COLUMN(Curves!$B$4:$AR$4)-COLUMN(Curves!$B$4)+1&lt;=N$3-Projects!$C$40+1))),0)+IF(AND(Projects!$G$46="Yes",Projects!$F$46="Yes",N$3&gt;=Projects!$C$46,N$3&lt;Projects!$C$46+Projects!$D$46),Projects!$B$46*(1-SUMPRODUCT((Curves!$B$4:$AR$4)*(COLUMN(Curves!$B$4:$AR$4)-COLUMN(Curves!$B$4)+1&lt;=N$3-Projects!$C$46+1))),0)</f>
        <v/>
      </c>
      <c r="O261" s="392">
        <f>IF(AND(Projects!$G$17="Yes",Projects!$F$17="Yes",O$3&gt;=Projects!$C$17,O$3&lt;Projects!$C$17+Projects!$D$17),Projects!$B$17*(1-SUMPRODUCT((Curves!$B$4:$AR$4)*(COLUMN(Curves!$B$4:$AR$4)-COLUMN(Curves!$B$4)+1&lt;=O$3-Projects!$C$17+1))),0)+IF(AND(Projects!$G$18="Yes",Projects!$F$18="Yes",O$3&gt;=Projects!$C$18,O$3&lt;Projects!$C$18+Projects!$D$18),Projects!$B$18*(1-SUMPRODUCT((Curves!$B$4:$AR$4)*(COLUMN(Curves!$B$4:$AR$4)-COLUMN(Curves!$B$4)+1&lt;=O$3-Projects!$C$18+1))),0)+IF(AND(Projects!$G$19="Yes",Projects!$F$19="Yes",O$3&gt;=Projects!$C$19,O$3&lt;Projects!$C$19+Projects!$D$19),Projects!$B$19*(1-SUMPRODUCT((Curves!$B$4:$AR$4)*(COLUMN(Curves!$B$4:$AR$4)-COLUMN(Curves!$B$4)+1&lt;=O$3-Projects!$C$19+1))),0)+IF(AND(Projects!$G$23="Yes",Projects!$F$23="Yes",O$3&gt;=Projects!$C$23,O$3&lt;Projects!$C$23+Projects!$D$23),Projects!$B$23*(1-SUMPRODUCT((Curves!$B$4:$AR$4)*(COLUMN(Curves!$B$4:$AR$4)-COLUMN(Curves!$B$4)+1&lt;=O$3-Projects!$C$23+1))),0)+IF(AND(Projects!$G$28="Yes",Projects!$F$28="Yes",O$3&gt;=Projects!$C$28,O$3&lt;Projects!$C$28+Projects!$D$28),Projects!$B$28*(1-SUMPRODUCT((Curves!$B$4:$AR$4)*(COLUMN(Curves!$B$4:$AR$4)-COLUMN(Curves!$B$4)+1&lt;=O$3-Projects!$C$28+1))),0)+IF(AND(Projects!$G$34="Yes",Projects!$F$34="Yes",O$3&gt;=Projects!$C$34,O$3&lt;Projects!$C$34+Projects!$D$34),Projects!$B$34*(1-SUMPRODUCT((Curves!$B$4:$AR$4)*(COLUMN(Curves!$B$4:$AR$4)-COLUMN(Curves!$B$4)+1&lt;=O$3-Projects!$C$34+1))),0)+IF(AND(Projects!$G$40="Yes",Projects!$F$40="Yes",O$3&gt;=Projects!$C$40,O$3&lt;Projects!$C$40+Projects!$D$40),Projects!$B$40*(1-SUMPRODUCT((Curves!$B$4:$AR$4)*(COLUMN(Curves!$B$4:$AR$4)-COLUMN(Curves!$B$4)+1&lt;=O$3-Projects!$C$40+1))),0)+IF(AND(Projects!$G$46="Yes",Projects!$F$46="Yes",O$3&gt;=Projects!$C$46,O$3&lt;Projects!$C$46+Projects!$D$46),Projects!$B$46*(1-SUMPRODUCT((Curves!$B$4:$AR$4)*(COLUMN(Curves!$B$4:$AR$4)-COLUMN(Curves!$B$4)+1&lt;=O$3-Projects!$C$46+1))),0)</f>
        <v/>
      </c>
      <c r="P261" s="392">
        <f>IF(AND(Projects!$G$17="Yes",Projects!$F$17="Yes",P$3&gt;=Projects!$C$17,P$3&lt;Projects!$C$17+Projects!$D$17),Projects!$B$17*(1-SUMPRODUCT((Curves!$B$4:$AR$4)*(COLUMN(Curves!$B$4:$AR$4)-COLUMN(Curves!$B$4)+1&lt;=P$3-Projects!$C$17+1))),0)+IF(AND(Projects!$G$18="Yes",Projects!$F$18="Yes",P$3&gt;=Projects!$C$18,P$3&lt;Projects!$C$18+Projects!$D$18),Projects!$B$18*(1-SUMPRODUCT((Curves!$B$4:$AR$4)*(COLUMN(Curves!$B$4:$AR$4)-COLUMN(Curves!$B$4)+1&lt;=P$3-Projects!$C$18+1))),0)+IF(AND(Projects!$G$19="Yes",Projects!$F$19="Yes",P$3&gt;=Projects!$C$19,P$3&lt;Projects!$C$19+Projects!$D$19),Projects!$B$19*(1-SUMPRODUCT((Curves!$B$4:$AR$4)*(COLUMN(Curves!$B$4:$AR$4)-COLUMN(Curves!$B$4)+1&lt;=P$3-Projects!$C$19+1))),0)+IF(AND(Projects!$G$23="Yes",Projects!$F$23="Yes",P$3&gt;=Projects!$C$23,P$3&lt;Projects!$C$23+Projects!$D$23),Projects!$B$23*(1-SUMPRODUCT((Curves!$B$4:$AR$4)*(COLUMN(Curves!$B$4:$AR$4)-COLUMN(Curves!$B$4)+1&lt;=P$3-Projects!$C$23+1))),0)+IF(AND(Projects!$G$28="Yes",Projects!$F$28="Yes",P$3&gt;=Projects!$C$28,P$3&lt;Projects!$C$28+Projects!$D$28),Projects!$B$28*(1-SUMPRODUCT((Curves!$B$4:$AR$4)*(COLUMN(Curves!$B$4:$AR$4)-COLUMN(Curves!$B$4)+1&lt;=P$3-Projects!$C$28+1))),0)+IF(AND(Projects!$G$34="Yes",Projects!$F$34="Yes",P$3&gt;=Projects!$C$34,P$3&lt;Projects!$C$34+Projects!$D$34),Projects!$B$34*(1-SUMPRODUCT((Curves!$B$4:$AR$4)*(COLUMN(Curves!$B$4:$AR$4)-COLUMN(Curves!$B$4)+1&lt;=P$3-Projects!$C$34+1))),0)+IF(AND(Projects!$G$40="Yes",Projects!$F$40="Yes",P$3&gt;=Projects!$C$40,P$3&lt;Projects!$C$40+Projects!$D$40),Projects!$B$40*(1-SUMPRODUCT((Curves!$B$4:$AR$4)*(COLUMN(Curves!$B$4:$AR$4)-COLUMN(Curves!$B$4)+1&lt;=P$3-Projects!$C$40+1))),0)+IF(AND(Projects!$G$46="Yes",Projects!$F$46="Yes",P$3&gt;=Projects!$C$46,P$3&lt;Projects!$C$46+Projects!$D$46),Projects!$B$46*(1-SUMPRODUCT((Curves!$B$4:$AR$4)*(COLUMN(Curves!$B$4:$AR$4)-COLUMN(Curves!$B$4)+1&lt;=P$3-Projects!$C$46+1))),0)</f>
        <v/>
      </c>
      <c r="Q261" s="392">
        <f>IF(AND(Projects!$G$17="Yes",Projects!$F$17="Yes",Q$3&gt;=Projects!$C$17,Q$3&lt;Projects!$C$17+Projects!$D$17),Projects!$B$17*(1-SUMPRODUCT((Curves!$B$4:$AR$4)*(COLUMN(Curves!$B$4:$AR$4)-COLUMN(Curves!$B$4)+1&lt;=Q$3-Projects!$C$17+1))),0)+IF(AND(Projects!$G$18="Yes",Projects!$F$18="Yes",Q$3&gt;=Projects!$C$18,Q$3&lt;Projects!$C$18+Projects!$D$18),Projects!$B$18*(1-SUMPRODUCT((Curves!$B$4:$AR$4)*(COLUMN(Curves!$B$4:$AR$4)-COLUMN(Curves!$B$4)+1&lt;=Q$3-Projects!$C$18+1))),0)+IF(AND(Projects!$G$19="Yes",Projects!$F$19="Yes",Q$3&gt;=Projects!$C$19,Q$3&lt;Projects!$C$19+Projects!$D$19),Projects!$B$19*(1-SUMPRODUCT((Curves!$B$4:$AR$4)*(COLUMN(Curves!$B$4:$AR$4)-COLUMN(Curves!$B$4)+1&lt;=Q$3-Projects!$C$19+1))),0)+IF(AND(Projects!$G$23="Yes",Projects!$F$23="Yes",Q$3&gt;=Projects!$C$23,Q$3&lt;Projects!$C$23+Projects!$D$23),Projects!$B$23*(1-SUMPRODUCT((Curves!$B$4:$AR$4)*(COLUMN(Curves!$B$4:$AR$4)-COLUMN(Curves!$B$4)+1&lt;=Q$3-Projects!$C$23+1))),0)+IF(AND(Projects!$G$28="Yes",Projects!$F$28="Yes",Q$3&gt;=Projects!$C$28,Q$3&lt;Projects!$C$28+Projects!$D$28),Projects!$B$28*(1-SUMPRODUCT((Curves!$B$4:$AR$4)*(COLUMN(Curves!$B$4:$AR$4)-COLUMN(Curves!$B$4)+1&lt;=Q$3-Projects!$C$28+1))),0)+IF(AND(Projects!$G$34="Yes",Projects!$F$34="Yes",Q$3&gt;=Projects!$C$34,Q$3&lt;Projects!$C$34+Projects!$D$34),Projects!$B$34*(1-SUMPRODUCT((Curves!$B$4:$AR$4)*(COLUMN(Curves!$B$4:$AR$4)-COLUMN(Curves!$B$4)+1&lt;=Q$3-Projects!$C$34+1))),0)+IF(AND(Projects!$G$40="Yes",Projects!$F$40="Yes",Q$3&gt;=Projects!$C$40,Q$3&lt;Projects!$C$40+Projects!$D$40),Projects!$B$40*(1-SUMPRODUCT((Curves!$B$4:$AR$4)*(COLUMN(Curves!$B$4:$AR$4)-COLUMN(Curves!$B$4)+1&lt;=Q$3-Projects!$C$40+1))),0)+IF(AND(Projects!$G$46="Yes",Projects!$F$46="Yes",Q$3&gt;=Projects!$C$46,Q$3&lt;Projects!$C$46+Projects!$D$46),Projects!$B$46*(1-SUMPRODUCT((Curves!$B$4:$AR$4)*(COLUMN(Curves!$B$4:$AR$4)-COLUMN(Curves!$B$4)+1&lt;=Q$3-Projects!$C$46+1))),0)</f>
        <v/>
      </c>
      <c r="R261" s="392">
        <f>IF(AND(Projects!$G$17="Yes",Projects!$F$17="Yes",R$3&gt;=Projects!$C$17,R$3&lt;Projects!$C$17+Projects!$D$17),Projects!$B$17*(1-SUMPRODUCT((Curves!$B$4:$AR$4)*(COLUMN(Curves!$B$4:$AR$4)-COLUMN(Curves!$B$4)+1&lt;=R$3-Projects!$C$17+1))),0)+IF(AND(Projects!$G$18="Yes",Projects!$F$18="Yes",R$3&gt;=Projects!$C$18,R$3&lt;Projects!$C$18+Projects!$D$18),Projects!$B$18*(1-SUMPRODUCT((Curves!$B$4:$AR$4)*(COLUMN(Curves!$B$4:$AR$4)-COLUMN(Curves!$B$4)+1&lt;=R$3-Projects!$C$18+1))),0)+IF(AND(Projects!$G$19="Yes",Projects!$F$19="Yes",R$3&gt;=Projects!$C$19,R$3&lt;Projects!$C$19+Projects!$D$19),Projects!$B$19*(1-SUMPRODUCT((Curves!$B$4:$AR$4)*(COLUMN(Curves!$B$4:$AR$4)-COLUMN(Curves!$B$4)+1&lt;=R$3-Projects!$C$19+1))),0)+IF(AND(Projects!$G$23="Yes",Projects!$F$23="Yes",R$3&gt;=Projects!$C$23,R$3&lt;Projects!$C$23+Projects!$D$23),Projects!$B$23*(1-SUMPRODUCT((Curves!$B$4:$AR$4)*(COLUMN(Curves!$B$4:$AR$4)-COLUMN(Curves!$B$4)+1&lt;=R$3-Projects!$C$23+1))),0)+IF(AND(Projects!$G$28="Yes",Projects!$F$28="Yes",R$3&gt;=Projects!$C$28,R$3&lt;Projects!$C$28+Projects!$D$28),Projects!$B$28*(1-SUMPRODUCT((Curves!$B$4:$AR$4)*(COLUMN(Curves!$B$4:$AR$4)-COLUMN(Curves!$B$4)+1&lt;=R$3-Projects!$C$28+1))),0)+IF(AND(Projects!$G$34="Yes",Projects!$F$34="Yes",R$3&gt;=Projects!$C$34,R$3&lt;Projects!$C$34+Projects!$D$34),Projects!$B$34*(1-SUMPRODUCT((Curves!$B$4:$AR$4)*(COLUMN(Curves!$B$4:$AR$4)-COLUMN(Curves!$B$4)+1&lt;=R$3-Projects!$C$34+1))),0)+IF(AND(Projects!$G$40="Yes",Projects!$F$40="Yes",R$3&gt;=Projects!$C$40,R$3&lt;Projects!$C$40+Projects!$D$40),Projects!$B$40*(1-SUMPRODUCT((Curves!$B$4:$AR$4)*(COLUMN(Curves!$B$4:$AR$4)-COLUMN(Curves!$B$4)+1&lt;=R$3-Projects!$C$40+1))),0)+IF(AND(Projects!$G$46="Yes",Projects!$F$46="Yes",R$3&gt;=Projects!$C$46,R$3&lt;Projects!$C$46+Projects!$D$46),Projects!$B$46*(1-SUMPRODUCT((Curves!$B$4:$AR$4)*(COLUMN(Curves!$B$4:$AR$4)-COLUMN(Curves!$B$4)+1&lt;=R$3-Projects!$C$46+1))),0)</f>
        <v/>
      </c>
      <c r="S261" s="392">
        <f>IF(AND(Projects!$G$17="Yes",Projects!$F$17="Yes",S$3&gt;=Projects!$C$17,S$3&lt;Projects!$C$17+Projects!$D$17),Projects!$B$17*(1-SUMPRODUCT((Curves!$B$4:$AR$4)*(COLUMN(Curves!$B$4:$AR$4)-COLUMN(Curves!$B$4)+1&lt;=S$3-Projects!$C$17+1))),0)+IF(AND(Projects!$G$18="Yes",Projects!$F$18="Yes",S$3&gt;=Projects!$C$18,S$3&lt;Projects!$C$18+Projects!$D$18),Projects!$B$18*(1-SUMPRODUCT((Curves!$B$4:$AR$4)*(COLUMN(Curves!$B$4:$AR$4)-COLUMN(Curves!$B$4)+1&lt;=S$3-Projects!$C$18+1))),0)+IF(AND(Projects!$G$19="Yes",Projects!$F$19="Yes",S$3&gt;=Projects!$C$19,S$3&lt;Projects!$C$19+Projects!$D$19),Projects!$B$19*(1-SUMPRODUCT((Curves!$B$4:$AR$4)*(COLUMN(Curves!$B$4:$AR$4)-COLUMN(Curves!$B$4)+1&lt;=S$3-Projects!$C$19+1))),0)+IF(AND(Projects!$G$23="Yes",Projects!$F$23="Yes",S$3&gt;=Projects!$C$23,S$3&lt;Projects!$C$23+Projects!$D$23),Projects!$B$23*(1-SUMPRODUCT((Curves!$B$4:$AR$4)*(COLUMN(Curves!$B$4:$AR$4)-COLUMN(Curves!$B$4)+1&lt;=S$3-Projects!$C$23+1))),0)+IF(AND(Projects!$G$28="Yes",Projects!$F$28="Yes",S$3&gt;=Projects!$C$28,S$3&lt;Projects!$C$28+Projects!$D$28),Projects!$B$28*(1-SUMPRODUCT((Curves!$B$4:$AR$4)*(COLUMN(Curves!$B$4:$AR$4)-COLUMN(Curves!$B$4)+1&lt;=S$3-Projects!$C$28+1))),0)+IF(AND(Projects!$G$34="Yes",Projects!$F$34="Yes",S$3&gt;=Projects!$C$34,S$3&lt;Projects!$C$34+Projects!$D$34),Projects!$B$34*(1-SUMPRODUCT((Curves!$B$4:$AR$4)*(COLUMN(Curves!$B$4:$AR$4)-COLUMN(Curves!$B$4)+1&lt;=S$3-Projects!$C$34+1))),0)+IF(AND(Projects!$G$40="Yes",Projects!$F$40="Yes",S$3&gt;=Projects!$C$40,S$3&lt;Projects!$C$40+Projects!$D$40),Projects!$B$40*(1-SUMPRODUCT((Curves!$B$4:$AR$4)*(COLUMN(Curves!$B$4:$AR$4)-COLUMN(Curves!$B$4)+1&lt;=S$3-Projects!$C$40+1))),0)+IF(AND(Projects!$G$46="Yes",Projects!$F$46="Yes",S$3&gt;=Projects!$C$46,S$3&lt;Projects!$C$46+Projects!$D$46),Projects!$B$46*(1-SUMPRODUCT((Curves!$B$4:$AR$4)*(COLUMN(Curves!$B$4:$AR$4)-COLUMN(Curves!$B$4)+1&lt;=S$3-Projects!$C$46+1))),0)</f>
        <v/>
      </c>
      <c r="T261" s="392">
        <f>IF(AND(Projects!$G$17="Yes",Projects!$F$17="Yes",T$3&gt;=Projects!$C$17,T$3&lt;Projects!$C$17+Projects!$D$17),Projects!$B$17*(1-SUMPRODUCT((Curves!$B$4:$AR$4)*(COLUMN(Curves!$B$4:$AR$4)-COLUMN(Curves!$B$4)+1&lt;=T$3-Projects!$C$17+1))),0)+IF(AND(Projects!$G$18="Yes",Projects!$F$18="Yes",T$3&gt;=Projects!$C$18,T$3&lt;Projects!$C$18+Projects!$D$18),Projects!$B$18*(1-SUMPRODUCT((Curves!$B$4:$AR$4)*(COLUMN(Curves!$B$4:$AR$4)-COLUMN(Curves!$B$4)+1&lt;=T$3-Projects!$C$18+1))),0)+IF(AND(Projects!$G$19="Yes",Projects!$F$19="Yes",T$3&gt;=Projects!$C$19,T$3&lt;Projects!$C$19+Projects!$D$19),Projects!$B$19*(1-SUMPRODUCT((Curves!$B$4:$AR$4)*(COLUMN(Curves!$B$4:$AR$4)-COLUMN(Curves!$B$4)+1&lt;=T$3-Projects!$C$19+1))),0)+IF(AND(Projects!$G$23="Yes",Projects!$F$23="Yes",T$3&gt;=Projects!$C$23,T$3&lt;Projects!$C$23+Projects!$D$23),Projects!$B$23*(1-SUMPRODUCT((Curves!$B$4:$AR$4)*(COLUMN(Curves!$B$4:$AR$4)-COLUMN(Curves!$B$4)+1&lt;=T$3-Projects!$C$23+1))),0)+IF(AND(Projects!$G$28="Yes",Projects!$F$28="Yes",T$3&gt;=Projects!$C$28,T$3&lt;Projects!$C$28+Projects!$D$28),Projects!$B$28*(1-SUMPRODUCT((Curves!$B$4:$AR$4)*(COLUMN(Curves!$B$4:$AR$4)-COLUMN(Curves!$B$4)+1&lt;=T$3-Projects!$C$28+1))),0)+IF(AND(Projects!$G$34="Yes",Projects!$F$34="Yes",T$3&gt;=Projects!$C$34,T$3&lt;Projects!$C$34+Projects!$D$34),Projects!$B$34*(1-SUMPRODUCT((Curves!$B$4:$AR$4)*(COLUMN(Curves!$B$4:$AR$4)-COLUMN(Curves!$B$4)+1&lt;=T$3-Projects!$C$34+1))),0)+IF(AND(Projects!$G$40="Yes",Projects!$F$40="Yes",T$3&gt;=Projects!$C$40,T$3&lt;Projects!$C$40+Projects!$D$40),Projects!$B$40*(1-SUMPRODUCT((Curves!$B$4:$AR$4)*(COLUMN(Curves!$B$4:$AR$4)-COLUMN(Curves!$B$4)+1&lt;=T$3-Projects!$C$40+1))),0)+IF(AND(Projects!$G$46="Yes",Projects!$F$46="Yes",T$3&gt;=Projects!$C$46,T$3&lt;Projects!$C$46+Projects!$D$46),Projects!$B$46*(1-SUMPRODUCT((Curves!$B$4:$AR$4)*(COLUMN(Curves!$B$4:$AR$4)-COLUMN(Curves!$B$4)+1&lt;=T$3-Projects!$C$46+1))),0)</f>
        <v/>
      </c>
      <c r="U261" s="392">
        <f>IF(AND(Projects!$G$17="Yes",Projects!$F$17="Yes",U$3&gt;=Projects!$C$17,U$3&lt;Projects!$C$17+Projects!$D$17),Projects!$B$17*(1-SUMPRODUCT((Curves!$B$4:$AR$4)*(COLUMN(Curves!$B$4:$AR$4)-COLUMN(Curves!$B$4)+1&lt;=U$3-Projects!$C$17+1))),0)+IF(AND(Projects!$G$18="Yes",Projects!$F$18="Yes",U$3&gt;=Projects!$C$18,U$3&lt;Projects!$C$18+Projects!$D$18),Projects!$B$18*(1-SUMPRODUCT((Curves!$B$4:$AR$4)*(COLUMN(Curves!$B$4:$AR$4)-COLUMN(Curves!$B$4)+1&lt;=U$3-Projects!$C$18+1))),0)+IF(AND(Projects!$G$19="Yes",Projects!$F$19="Yes",U$3&gt;=Projects!$C$19,U$3&lt;Projects!$C$19+Projects!$D$19),Projects!$B$19*(1-SUMPRODUCT((Curves!$B$4:$AR$4)*(COLUMN(Curves!$B$4:$AR$4)-COLUMN(Curves!$B$4)+1&lt;=U$3-Projects!$C$19+1))),0)+IF(AND(Projects!$G$23="Yes",Projects!$F$23="Yes",U$3&gt;=Projects!$C$23,U$3&lt;Projects!$C$23+Projects!$D$23),Projects!$B$23*(1-SUMPRODUCT((Curves!$B$4:$AR$4)*(COLUMN(Curves!$B$4:$AR$4)-COLUMN(Curves!$B$4)+1&lt;=U$3-Projects!$C$23+1))),0)+IF(AND(Projects!$G$28="Yes",Projects!$F$28="Yes",U$3&gt;=Projects!$C$28,U$3&lt;Projects!$C$28+Projects!$D$28),Projects!$B$28*(1-SUMPRODUCT((Curves!$B$4:$AR$4)*(COLUMN(Curves!$B$4:$AR$4)-COLUMN(Curves!$B$4)+1&lt;=U$3-Projects!$C$28+1))),0)+IF(AND(Projects!$G$34="Yes",Projects!$F$34="Yes",U$3&gt;=Projects!$C$34,U$3&lt;Projects!$C$34+Projects!$D$34),Projects!$B$34*(1-SUMPRODUCT((Curves!$B$4:$AR$4)*(COLUMN(Curves!$B$4:$AR$4)-COLUMN(Curves!$B$4)+1&lt;=U$3-Projects!$C$34+1))),0)+IF(AND(Projects!$G$40="Yes",Projects!$F$40="Yes",U$3&gt;=Projects!$C$40,U$3&lt;Projects!$C$40+Projects!$D$40),Projects!$B$40*(1-SUMPRODUCT((Curves!$B$4:$AR$4)*(COLUMN(Curves!$B$4:$AR$4)-COLUMN(Curves!$B$4)+1&lt;=U$3-Projects!$C$40+1))),0)+IF(AND(Projects!$G$46="Yes",Projects!$F$46="Yes",U$3&gt;=Projects!$C$46,U$3&lt;Projects!$C$46+Projects!$D$46),Projects!$B$46*(1-SUMPRODUCT((Curves!$B$4:$AR$4)*(COLUMN(Curves!$B$4:$AR$4)-COLUMN(Curves!$B$4)+1&lt;=U$3-Projects!$C$46+1))),0)</f>
        <v/>
      </c>
      <c r="V261" s="392">
        <f>IF(AND(Projects!$G$17="Yes",Projects!$F$17="Yes",V$3&gt;=Projects!$C$17,V$3&lt;Projects!$C$17+Projects!$D$17),Projects!$B$17*(1-SUMPRODUCT((Curves!$B$4:$AR$4)*(COLUMN(Curves!$B$4:$AR$4)-COLUMN(Curves!$B$4)+1&lt;=V$3-Projects!$C$17+1))),0)+IF(AND(Projects!$G$18="Yes",Projects!$F$18="Yes",V$3&gt;=Projects!$C$18,V$3&lt;Projects!$C$18+Projects!$D$18),Projects!$B$18*(1-SUMPRODUCT((Curves!$B$4:$AR$4)*(COLUMN(Curves!$B$4:$AR$4)-COLUMN(Curves!$B$4)+1&lt;=V$3-Projects!$C$18+1))),0)+IF(AND(Projects!$G$19="Yes",Projects!$F$19="Yes",V$3&gt;=Projects!$C$19,V$3&lt;Projects!$C$19+Projects!$D$19),Projects!$B$19*(1-SUMPRODUCT((Curves!$B$4:$AR$4)*(COLUMN(Curves!$B$4:$AR$4)-COLUMN(Curves!$B$4)+1&lt;=V$3-Projects!$C$19+1))),0)+IF(AND(Projects!$G$23="Yes",Projects!$F$23="Yes",V$3&gt;=Projects!$C$23,V$3&lt;Projects!$C$23+Projects!$D$23),Projects!$B$23*(1-SUMPRODUCT((Curves!$B$4:$AR$4)*(COLUMN(Curves!$B$4:$AR$4)-COLUMN(Curves!$B$4)+1&lt;=V$3-Projects!$C$23+1))),0)+IF(AND(Projects!$G$28="Yes",Projects!$F$28="Yes",V$3&gt;=Projects!$C$28,V$3&lt;Projects!$C$28+Projects!$D$28),Projects!$B$28*(1-SUMPRODUCT((Curves!$B$4:$AR$4)*(COLUMN(Curves!$B$4:$AR$4)-COLUMN(Curves!$B$4)+1&lt;=V$3-Projects!$C$28+1))),0)+IF(AND(Projects!$G$34="Yes",Projects!$F$34="Yes",V$3&gt;=Projects!$C$34,V$3&lt;Projects!$C$34+Projects!$D$34),Projects!$B$34*(1-SUMPRODUCT((Curves!$B$4:$AR$4)*(COLUMN(Curves!$B$4:$AR$4)-COLUMN(Curves!$B$4)+1&lt;=V$3-Projects!$C$34+1))),0)+IF(AND(Projects!$G$40="Yes",Projects!$F$40="Yes",V$3&gt;=Projects!$C$40,V$3&lt;Projects!$C$40+Projects!$D$40),Projects!$B$40*(1-SUMPRODUCT((Curves!$B$4:$AR$4)*(COLUMN(Curves!$B$4:$AR$4)-COLUMN(Curves!$B$4)+1&lt;=V$3-Projects!$C$40+1))),0)+IF(AND(Projects!$G$46="Yes",Projects!$F$46="Yes",V$3&gt;=Projects!$C$46,V$3&lt;Projects!$C$46+Projects!$D$46),Projects!$B$46*(1-SUMPRODUCT((Curves!$B$4:$AR$4)*(COLUMN(Curves!$B$4:$AR$4)-COLUMN(Curves!$B$4)+1&lt;=V$3-Projects!$C$46+1))),0)</f>
        <v/>
      </c>
      <c r="W261" s="392">
        <f>IF(AND(Projects!$G$17="Yes",Projects!$F$17="Yes",W$3&gt;=Projects!$C$17,W$3&lt;Projects!$C$17+Projects!$D$17),Projects!$B$17*(1-SUMPRODUCT((Curves!$B$4:$AR$4)*(COLUMN(Curves!$B$4:$AR$4)-COLUMN(Curves!$B$4)+1&lt;=W$3-Projects!$C$17+1))),0)+IF(AND(Projects!$G$18="Yes",Projects!$F$18="Yes",W$3&gt;=Projects!$C$18,W$3&lt;Projects!$C$18+Projects!$D$18),Projects!$B$18*(1-SUMPRODUCT((Curves!$B$4:$AR$4)*(COLUMN(Curves!$B$4:$AR$4)-COLUMN(Curves!$B$4)+1&lt;=W$3-Projects!$C$18+1))),0)+IF(AND(Projects!$G$19="Yes",Projects!$F$19="Yes",W$3&gt;=Projects!$C$19,W$3&lt;Projects!$C$19+Projects!$D$19),Projects!$B$19*(1-SUMPRODUCT((Curves!$B$4:$AR$4)*(COLUMN(Curves!$B$4:$AR$4)-COLUMN(Curves!$B$4)+1&lt;=W$3-Projects!$C$19+1))),0)+IF(AND(Projects!$G$23="Yes",Projects!$F$23="Yes",W$3&gt;=Projects!$C$23,W$3&lt;Projects!$C$23+Projects!$D$23),Projects!$B$23*(1-SUMPRODUCT((Curves!$B$4:$AR$4)*(COLUMN(Curves!$B$4:$AR$4)-COLUMN(Curves!$B$4)+1&lt;=W$3-Projects!$C$23+1))),0)+IF(AND(Projects!$G$28="Yes",Projects!$F$28="Yes",W$3&gt;=Projects!$C$28,W$3&lt;Projects!$C$28+Projects!$D$28),Projects!$B$28*(1-SUMPRODUCT((Curves!$B$4:$AR$4)*(COLUMN(Curves!$B$4:$AR$4)-COLUMN(Curves!$B$4)+1&lt;=W$3-Projects!$C$28+1))),0)+IF(AND(Projects!$G$34="Yes",Projects!$F$34="Yes",W$3&gt;=Projects!$C$34,W$3&lt;Projects!$C$34+Projects!$D$34),Projects!$B$34*(1-SUMPRODUCT((Curves!$B$4:$AR$4)*(COLUMN(Curves!$B$4:$AR$4)-COLUMN(Curves!$B$4)+1&lt;=W$3-Projects!$C$34+1))),0)+IF(AND(Projects!$G$40="Yes",Projects!$F$40="Yes",W$3&gt;=Projects!$C$40,W$3&lt;Projects!$C$40+Projects!$D$40),Projects!$B$40*(1-SUMPRODUCT((Curves!$B$4:$AR$4)*(COLUMN(Curves!$B$4:$AR$4)-COLUMN(Curves!$B$4)+1&lt;=W$3-Projects!$C$40+1))),0)+IF(AND(Projects!$G$46="Yes",Projects!$F$46="Yes",W$3&gt;=Projects!$C$46,W$3&lt;Projects!$C$46+Projects!$D$46),Projects!$B$46*(1-SUMPRODUCT((Curves!$B$4:$AR$4)*(COLUMN(Curves!$B$4:$AR$4)-COLUMN(Curves!$B$4)+1&lt;=W$3-Projects!$C$46+1))),0)</f>
        <v/>
      </c>
      <c r="X261" s="392">
        <f>IF(AND(Projects!$G$17="Yes",Projects!$F$17="Yes",X$3&gt;=Projects!$C$17,X$3&lt;Projects!$C$17+Projects!$D$17),Projects!$B$17*(1-SUMPRODUCT((Curves!$B$4:$AR$4)*(COLUMN(Curves!$B$4:$AR$4)-COLUMN(Curves!$B$4)+1&lt;=X$3-Projects!$C$17+1))),0)+IF(AND(Projects!$G$18="Yes",Projects!$F$18="Yes",X$3&gt;=Projects!$C$18,X$3&lt;Projects!$C$18+Projects!$D$18),Projects!$B$18*(1-SUMPRODUCT((Curves!$B$4:$AR$4)*(COLUMN(Curves!$B$4:$AR$4)-COLUMN(Curves!$B$4)+1&lt;=X$3-Projects!$C$18+1))),0)+IF(AND(Projects!$G$19="Yes",Projects!$F$19="Yes",X$3&gt;=Projects!$C$19,X$3&lt;Projects!$C$19+Projects!$D$19),Projects!$B$19*(1-SUMPRODUCT((Curves!$B$4:$AR$4)*(COLUMN(Curves!$B$4:$AR$4)-COLUMN(Curves!$B$4)+1&lt;=X$3-Projects!$C$19+1))),0)+IF(AND(Projects!$G$23="Yes",Projects!$F$23="Yes",X$3&gt;=Projects!$C$23,X$3&lt;Projects!$C$23+Projects!$D$23),Projects!$B$23*(1-SUMPRODUCT((Curves!$B$4:$AR$4)*(COLUMN(Curves!$B$4:$AR$4)-COLUMN(Curves!$B$4)+1&lt;=X$3-Projects!$C$23+1))),0)+IF(AND(Projects!$G$28="Yes",Projects!$F$28="Yes",X$3&gt;=Projects!$C$28,X$3&lt;Projects!$C$28+Projects!$D$28),Projects!$B$28*(1-SUMPRODUCT((Curves!$B$4:$AR$4)*(COLUMN(Curves!$B$4:$AR$4)-COLUMN(Curves!$B$4)+1&lt;=X$3-Projects!$C$28+1))),0)+IF(AND(Projects!$G$34="Yes",Projects!$F$34="Yes",X$3&gt;=Projects!$C$34,X$3&lt;Projects!$C$34+Projects!$D$34),Projects!$B$34*(1-SUMPRODUCT((Curves!$B$4:$AR$4)*(COLUMN(Curves!$B$4:$AR$4)-COLUMN(Curves!$B$4)+1&lt;=X$3-Projects!$C$34+1))),0)+IF(AND(Projects!$G$40="Yes",Projects!$F$40="Yes",X$3&gt;=Projects!$C$40,X$3&lt;Projects!$C$40+Projects!$D$40),Projects!$B$40*(1-SUMPRODUCT((Curves!$B$4:$AR$4)*(COLUMN(Curves!$B$4:$AR$4)-COLUMN(Curves!$B$4)+1&lt;=X$3-Projects!$C$40+1))),0)+IF(AND(Projects!$G$46="Yes",Projects!$F$46="Yes",X$3&gt;=Projects!$C$46,X$3&lt;Projects!$C$46+Projects!$D$46),Projects!$B$46*(1-SUMPRODUCT((Curves!$B$4:$AR$4)*(COLUMN(Curves!$B$4:$AR$4)-COLUMN(Curves!$B$4)+1&lt;=X$3-Projects!$C$46+1))),0)</f>
        <v/>
      </c>
      <c r="Y261" s="392">
        <f>IF(AND(Projects!$G$17="Yes",Projects!$F$17="Yes",Y$3&gt;=Projects!$C$17,Y$3&lt;Projects!$C$17+Projects!$D$17),Projects!$B$17*(1-SUMPRODUCT((Curves!$B$4:$AR$4)*(COLUMN(Curves!$B$4:$AR$4)-COLUMN(Curves!$B$4)+1&lt;=Y$3-Projects!$C$17+1))),0)+IF(AND(Projects!$G$18="Yes",Projects!$F$18="Yes",Y$3&gt;=Projects!$C$18,Y$3&lt;Projects!$C$18+Projects!$D$18),Projects!$B$18*(1-SUMPRODUCT((Curves!$B$4:$AR$4)*(COLUMN(Curves!$B$4:$AR$4)-COLUMN(Curves!$B$4)+1&lt;=Y$3-Projects!$C$18+1))),0)+IF(AND(Projects!$G$19="Yes",Projects!$F$19="Yes",Y$3&gt;=Projects!$C$19,Y$3&lt;Projects!$C$19+Projects!$D$19),Projects!$B$19*(1-SUMPRODUCT((Curves!$B$4:$AR$4)*(COLUMN(Curves!$B$4:$AR$4)-COLUMN(Curves!$B$4)+1&lt;=Y$3-Projects!$C$19+1))),0)+IF(AND(Projects!$G$23="Yes",Projects!$F$23="Yes",Y$3&gt;=Projects!$C$23,Y$3&lt;Projects!$C$23+Projects!$D$23),Projects!$B$23*(1-SUMPRODUCT((Curves!$B$4:$AR$4)*(COLUMN(Curves!$B$4:$AR$4)-COLUMN(Curves!$B$4)+1&lt;=Y$3-Projects!$C$23+1))),0)+IF(AND(Projects!$G$28="Yes",Projects!$F$28="Yes",Y$3&gt;=Projects!$C$28,Y$3&lt;Projects!$C$28+Projects!$D$28),Projects!$B$28*(1-SUMPRODUCT((Curves!$B$4:$AR$4)*(COLUMN(Curves!$B$4:$AR$4)-COLUMN(Curves!$B$4)+1&lt;=Y$3-Projects!$C$28+1))),0)+IF(AND(Projects!$G$34="Yes",Projects!$F$34="Yes",Y$3&gt;=Projects!$C$34,Y$3&lt;Projects!$C$34+Projects!$D$34),Projects!$B$34*(1-SUMPRODUCT((Curves!$B$4:$AR$4)*(COLUMN(Curves!$B$4:$AR$4)-COLUMN(Curves!$B$4)+1&lt;=Y$3-Projects!$C$34+1))),0)+IF(AND(Projects!$G$40="Yes",Projects!$F$40="Yes",Y$3&gt;=Projects!$C$40,Y$3&lt;Projects!$C$40+Projects!$D$40),Projects!$B$40*(1-SUMPRODUCT((Curves!$B$4:$AR$4)*(COLUMN(Curves!$B$4:$AR$4)-COLUMN(Curves!$B$4)+1&lt;=Y$3-Projects!$C$40+1))),0)+IF(AND(Projects!$G$46="Yes",Projects!$F$46="Yes",Y$3&gt;=Projects!$C$46,Y$3&lt;Projects!$C$46+Projects!$D$46),Projects!$B$46*(1-SUMPRODUCT((Curves!$B$4:$AR$4)*(COLUMN(Curves!$B$4:$AR$4)-COLUMN(Curves!$B$4)+1&lt;=Y$3-Projects!$C$46+1))),0)</f>
        <v/>
      </c>
      <c r="Z261" s="392">
        <f>IF(AND(Projects!$G$17="Yes",Projects!$F$17="Yes",Z$3&gt;=Projects!$C$17,Z$3&lt;Projects!$C$17+Projects!$D$17),Projects!$B$17*(1-SUMPRODUCT((Curves!$B$4:$AR$4)*(COLUMN(Curves!$B$4:$AR$4)-COLUMN(Curves!$B$4)+1&lt;=Z$3-Projects!$C$17+1))),0)+IF(AND(Projects!$G$18="Yes",Projects!$F$18="Yes",Z$3&gt;=Projects!$C$18,Z$3&lt;Projects!$C$18+Projects!$D$18),Projects!$B$18*(1-SUMPRODUCT((Curves!$B$4:$AR$4)*(COLUMN(Curves!$B$4:$AR$4)-COLUMN(Curves!$B$4)+1&lt;=Z$3-Projects!$C$18+1))),0)+IF(AND(Projects!$G$19="Yes",Projects!$F$19="Yes",Z$3&gt;=Projects!$C$19,Z$3&lt;Projects!$C$19+Projects!$D$19),Projects!$B$19*(1-SUMPRODUCT((Curves!$B$4:$AR$4)*(COLUMN(Curves!$B$4:$AR$4)-COLUMN(Curves!$B$4)+1&lt;=Z$3-Projects!$C$19+1))),0)+IF(AND(Projects!$G$23="Yes",Projects!$F$23="Yes",Z$3&gt;=Projects!$C$23,Z$3&lt;Projects!$C$23+Projects!$D$23),Projects!$B$23*(1-SUMPRODUCT((Curves!$B$4:$AR$4)*(COLUMN(Curves!$B$4:$AR$4)-COLUMN(Curves!$B$4)+1&lt;=Z$3-Projects!$C$23+1))),0)+IF(AND(Projects!$G$28="Yes",Projects!$F$28="Yes",Z$3&gt;=Projects!$C$28,Z$3&lt;Projects!$C$28+Projects!$D$28),Projects!$B$28*(1-SUMPRODUCT((Curves!$B$4:$AR$4)*(COLUMN(Curves!$B$4:$AR$4)-COLUMN(Curves!$B$4)+1&lt;=Z$3-Projects!$C$28+1))),0)+IF(AND(Projects!$G$34="Yes",Projects!$F$34="Yes",Z$3&gt;=Projects!$C$34,Z$3&lt;Projects!$C$34+Projects!$D$34),Projects!$B$34*(1-SUMPRODUCT((Curves!$B$4:$AR$4)*(COLUMN(Curves!$B$4:$AR$4)-COLUMN(Curves!$B$4)+1&lt;=Z$3-Projects!$C$34+1))),0)+IF(AND(Projects!$G$40="Yes",Projects!$F$40="Yes",Z$3&gt;=Projects!$C$40,Z$3&lt;Projects!$C$40+Projects!$D$40),Projects!$B$40*(1-SUMPRODUCT((Curves!$B$4:$AR$4)*(COLUMN(Curves!$B$4:$AR$4)-COLUMN(Curves!$B$4)+1&lt;=Z$3-Projects!$C$40+1))),0)+IF(AND(Projects!$G$46="Yes",Projects!$F$46="Yes",Z$3&gt;=Projects!$C$46,Z$3&lt;Projects!$C$46+Projects!$D$46),Projects!$B$46*(1-SUMPRODUCT((Curves!$B$4:$AR$4)*(COLUMN(Curves!$B$4:$AR$4)-COLUMN(Curves!$B$4)+1&lt;=Z$3-Projects!$C$46+1))),0)</f>
        <v/>
      </c>
      <c r="AA261" s="392">
        <f>IF(AND(Projects!$G$17="Yes",Projects!$F$17="Yes",AA$3&gt;=Projects!$C$17,AA$3&lt;Projects!$C$17+Projects!$D$17),Projects!$B$17*(1-SUMPRODUCT((Curves!$B$4:$AR$4)*(COLUMN(Curves!$B$4:$AR$4)-COLUMN(Curves!$B$4)+1&lt;=AA$3-Projects!$C$17+1))),0)+IF(AND(Projects!$G$18="Yes",Projects!$F$18="Yes",AA$3&gt;=Projects!$C$18,AA$3&lt;Projects!$C$18+Projects!$D$18),Projects!$B$18*(1-SUMPRODUCT((Curves!$B$4:$AR$4)*(COLUMN(Curves!$B$4:$AR$4)-COLUMN(Curves!$B$4)+1&lt;=AA$3-Projects!$C$18+1))),0)+IF(AND(Projects!$G$19="Yes",Projects!$F$19="Yes",AA$3&gt;=Projects!$C$19,AA$3&lt;Projects!$C$19+Projects!$D$19),Projects!$B$19*(1-SUMPRODUCT((Curves!$B$4:$AR$4)*(COLUMN(Curves!$B$4:$AR$4)-COLUMN(Curves!$B$4)+1&lt;=AA$3-Projects!$C$19+1))),0)+IF(AND(Projects!$G$23="Yes",Projects!$F$23="Yes",AA$3&gt;=Projects!$C$23,AA$3&lt;Projects!$C$23+Projects!$D$23),Projects!$B$23*(1-SUMPRODUCT((Curves!$B$4:$AR$4)*(COLUMN(Curves!$B$4:$AR$4)-COLUMN(Curves!$B$4)+1&lt;=AA$3-Projects!$C$23+1))),0)+IF(AND(Projects!$G$28="Yes",Projects!$F$28="Yes",AA$3&gt;=Projects!$C$28,AA$3&lt;Projects!$C$28+Projects!$D$28),Projects!$B$28*(1-SUMPRODUCT((Curves!$B$4:$AR$4)*(COLUMN(Curves!$B$4:$AR$4)-COLUMN(Curves!$B$4)+1&lt;=AA$3-Projects!$C$28+1))),0)+IF(AND(Projects!$G$34="Yes",Projects!$F$34="Yes",AA$3&gt;=Projects!$C$34,AA$3&lt;Projects!$C$34+Projects!$D$34),Projects!$B$34*(1-SUMPRODUCT((Curves!$B$4:$AR$4)*(COLUMN(Curves!$B$4:$AR$4)-COLUMN(Curves!$B$4)+1&lt;=AA$3-Projects!$C$34+1))),0)+IF(AND(Projects!$G$40="Yes",Projects!$F$40="Yes",AA$3&gt;=Projects!$C$40,AA$3&lt;Projects!$C$40+Projects!$D$40),Projects!$B$40*(1-SUMPRODUCT((Curves!$B$4:$AR$4)*(COLUMN(Curves!$B$4:$AR$4)-COLUMN(Curves!$B$4)+1&lt;=AA$3-Projects!$C$40+1))),0)+IF(AND(Projects!$G$46="Yes",Projects!$F$46="Yes",AA$3&gt;=Projects!$C$46,AA$3&lt;Projects!$C$46+Projects!$D$46),Projects!$B$46*(1-SUMPRODUCT((Curves!$B$4:$AR$4)*(COLUMN(Curves!$B$4:$AR$4)-COLUMN(Curves!$B$4)+1&lt;=AA$3-Projects!$C$46+1))),0)</f>
        <v/>
      </c>
      <c r="AB261" s="392">
        <f>IF(AND(Projects!$G$17="Yes",Projects!$F$17="Yes",AB$3&gt;=Projects!$C$17,AB$3&lt;Projects!$C$17+Projects!$D$17),Projects!$B$17*(1-SUMPRODUCT((Curves!$B$4:$AR$4)*(COLUMN(Curves!$B$4:$AR$4)-COLUMN(Curves!$B$4)+1&lt;=AB$3-Projects!$C$17+1))),0)+IF(AND(Projects!$G$18="Yes",Projects!$F$18="Yes",AB$3&gt;=Projects!$C$18,AB$3&lt;Projects!$C$18+Projects!$D$18),Projects!$B$18*(1-SUMPRODUCT((Curves!$B$4:$AR$4)*(COLUMN(Curves!$B$4:$AR$4)-COLUMN(Curves!$B$4)+1&lt;=AB$3-Projects!$C$18+1))),0)+IF(AND(Projects!$G$19="Yes",Projects!$F$19="Yes",AB$3&gt;=Projects!$C$19,AB$3&lt;Projects!$C$19+Projects!$D$19),Projects!$B$19*(1-SUMPRODUCT((Curves!$B$4:$AR$4)*(COLUMN(Curves!$B$4:$AR$4)-COLUMN(Curves!$B$4)+1&lt;=AB$3-Projects!$C$19+1))),0)+IF(AND(Projects!$G$23="Yes",Projects!$F$23="Yes",AB$3&gt;=Projects!$C$23,AB$3&lt;Projects!$C$23+Projects!$D$23),Projects!$B$23*(1-SUMPRODUCT((Curves!$B$4:$AR$4)*(COLUMN(Curves!$B$4:$AR$4)-COLUMN(Curves!$B$4)+1&lt;=AB$3-Projects!$C$23+1))),0)+IF(AND(Projects!$G$28="Yes",Projects!$F$28="Yes",AB$3&gt;=Projects!$C$28,AB$3&lt;Projects!$C$28+Projects!$D$28),Projects!$B$28*(1-SUMPRODUCT((Curves!$B$4:$AR$4)*(COLUMN(Curves!$B$4:$AR$4)-COLUMN(Curves!$B$4)+1&lt;=AB$3-Projects!$C$28+1))),0)+IF(AND(Projects!$G$34="Yes",Projects!$F$34="Yes",AB$3&gt;=Projects!$C$34,AB$3&lt;Projects!$C$34+Projects!$D$34),Projects!$B$34*(1-SUMPRODUCT((Curves!$B$4:$AR$4)*(COLUMN(Curves!$B$4:$AR$4)-COLUMN(Curves!$B$4)+1&lt;=AB$3-Projects!$C$34+1))),0)+IF(AND(Projects!$G$40="Yes",Projects!$F$40="Yes",AB$3&gt;=Projects!$C$40,AB$3&lt;Projects!$C$40+Projects!$D$40),Projects!$B$40*(1-SUMPRODUCT((Curves!$B$4:$AR$4)*(COLUMN(Curves!$B$4:$AR$4)-COLUMN(Curves!$B$4)+1&lt;=AB$3-Projects!$C$40+1))),0)+IF(AND(Projects!$G$46="Yes",Projects!$F$46="Yes",AB$3&gt;=Projects!$C$46,AB$3&lt;Projects!$C$46+Projects!$D$46),Projects!$B$46*(1-SUMPRODUCT((Curves!$B$4:$AR$4)*(COLUMN(Curves!$B$4:$AR$4)-COLUMN(Curves!$B$4)+1&lt;=AB$3-Projects!$C$46+1))),0)</f>
        <v/>
      </c>
      <c r="AC261" s="392">
        <f>IF(AND(Projects!$G$17="Yes",Projects!$F$17="Yes",AC$3&gt;=Projects!$C$17,AC$3&lt;Projects!$C$17+Projects!$D$17),Projects!$B$17*(1-SUMPRODUCT((Curves!$B$4:$AR$4)*(COLUMN(Curves!$B$4:$AR$4)-COLUMN(Curves!$B$4)+1&lt;=AC$3-Projects!$C$17+1))),0)+IF(AND(Projects!$G$18="Yes",Projects!$F$18="Yes",AC$3&gt;=Projects!$C$18,AC$3&lt;Projects!$C$18+Projects!$D$18),Projects!$B$18*(1-SUMPRODUCT((Curves!$B$4:$AR$4)*(COLUMN(Curves!$B$4:$AR$4)-COLUMN(Curves!$B$4)+1&lt;=AC$3-Projects!$C$18+1))),0)+IF(AND(Projects!$G$19="Yes",Projects!$F$19="Yes",AC$3&gt;=Projects!$C$19,AC$3&lt;Projects!$C$19+Projects!$D$19),Projects!$B$19*(1-SUMPRODUCT((Curves!$B$4:$AR$4)*(COLUMN(Curves!$B$4:$AR$4)-COLUMN(Curves!$B$4)+1&lt;=AC$3-Projects!$C$19+1))),0)+IF(AND(Projects!$G$23="Yes",Projects!$F$23="Yes",AC$3&gt;=Projects!$C$23,AC$3&lt;Projects!$C$23+Projects!$D$23),Projects!$B$23*(1-SUMPRODUCT((Curves!$B$4:$AR$4)*(COLUMN(Curves!$B$4:$AR$4)-COLUMN(Curves!$B$4)+1&lt;=AC$3-Projects!$C$23+1))),0)+IF(AND(Projects!$G$28="Yes",Projects!$F$28="Yes",AC$3&gt;=Projects!$C$28,AC$3&lt;Projects!$C$28+Projects!$D$28),Projects!$B$28*(1-SUMPRODUCT((Curves!$B$4:$AR$4)*(COLUMN(Curves!$B$4:$AR$4)-COLUMN(Curves!$B$4)+1&lt;=AC$3-Projects!$C$28+1))),0)+IF(AND(Projects!$G$34="Yes",Projects!$F$34="Yes",AC$3&gt;=Projects!$C$34,AC$3&lt;Projects!$C$34+Projects!$D$34),Projects!$B$34*(1-SUMPRODUCT((Curves!$B$4:$AR$4)*(COLUMN(Curves!$B$4:$AR$4)-COLUMN(Curves!$B$4)+1&lt;=AC$3-Projects!$C$34+1))),0)+IF(AND(Projects!$G$40="Yes",Projects!$F$40="Yes",AC$3&gt;=Projects!$C$40,AC$3&lt;Projects!$C$40+Projects!$D$40),Projects!$B$40*(1-SUMPRODUCT((Curves!$B$4:$AR$4)*(COLUMN(Curves!$B$4:$AR$4)-COLUMN(Curves!$B$4)+1&lt;=AC$3-Projects!$C$40+1))),0)+IF(AND(Projects!$G$46="Yes",Projects!$F$46="Yes",AC$3&gt;=Projects!$C$46,AC$3&lt;Projects!$C$46+Projects!$D$46),Projects!$B$46*(1-SUMPRODUCT((Curves!$B$4:$AR$4)*(COLUMN(Curves!$B$4:$AR$4)-COLUMN(Curves!$B$4)+1&lt;=AC$3-Projects!$C$46+1))),0)</f>
        <v/>
      </c>
      <c r="AD261" s="392">
        <f>IF(AND(Projects!$G$17="Yes",Projects!$F$17="Yes",AD$3&gt;=Projects!$C$17,AD$3&lt;Projects!$C$17+Projects!$D$17),Projects!$B$17*(1-SUMPRODUCT((Curves!$B$4:$AR$4)*(COLUMN(Curves!$B$4:$AR$4)-COLUMN(Curves!$B$4)+1&lt;=AD$3-Projects!$C$17+1))),0)+IF(AND(Projects!$G$18="Yes",Projects!$F$18="Yes",AD$3&gt;=Projects!$C$18,AD$3&lt;Projects!$C$18+Projects!$D$18),Projects!$B$18*(1-SUMPRODUCT((Curves!$B$4:$AR$4)*(COLUMN(Curves!$B$4:$AR$4)-COLUMN(Curves!$B$4)+1&lt;=AD$3-Projects!$C$18+1))),0)+IF(AND(Projects!$G$19="Yes",Projects!$F$19="Yes",AD$3&gt;=Projects!$C$19,AD$3&lt;Projects!$C$19+Projects!$D$19),Projects!$B$19*(1-SUMPRODUCT((Curves!$B$4:$AR$4)*(COLUMN(Curves!$B$4:$AR$4)-COLUMN(Curves!$B$4)+1&lt;=AD$3-Projects!$C$19+1))),0)+IF(AND(Projects!$G$23="Yes",Projects!$F$23="Yes",AD$3&gt;=Projects!$C$23,AD$3&lt;Projects!$C$23+Projects!$D$23),Projects!$B$23*(1-SUMPRODUCT((Curves!$B$4:$AR$4)*(COLUMN(Curves!$B$4:$AR$4)-COLUMN(Curves!$B$4)+1&lt;=AD$3-Projects!$C$23+1))),0)+IF(AND(Projects!$G$28="Yes",Projects!$F$28="Yes",AD$3&gt;=Projects!$C$28,AD$3&lt;Projects!$C$28+Projects!$D$28),Projects!$B$28*(1-SUMPRODUCT((Curves!$B$4:$AR$4)*(COLUMN(Curves!$B$4:$AR$4)-COLUMN(Curves!$B$4)+1&lt;=AD$3-Projects!$C$28+1))),0)+IF(AND(Projects!$G$34="Yes",Projects!$F$34="Yes",AD$3&gt;=Projects!$C$34,AD$3&lt;Projects!$C$34+Projects!$D$34),Projects!$B$34*(1-SUMPRODUCT((Curves!$B$4:$AR$4)*(COLUMN(Curves!$B$4:$AR$4)-COLUMN(Curves!$B$4)+1&lt;=AD$3-Projects!$C$34+1))),0)+IF(AND(Projects!$G$40="Yes",Projects!$F$40="Yes",AD$3&gt;=Projects!$C$40,AD$3&lt;Projects!$C$40+Projects!$D$40),Projects!$B$40*(1-SUMPRODUCT((Curves!$B$4:$AR$4)*(COLUMN(Curves!$B$4:$AR$4)-COLUMN(Curves!$B$4)+1&lt;=AD$3-Projects!$C$40+1))),0)+IF(AND(Projects!$G$46="Yes",Projects!$F$46="Yes",AD$3&gt;=Projects!$C$46,AD$3&lt;Projects!$C$46+Projects!$D$46),Projects!$B$46*(1-SUMPRODUCT((Curves!$B$4:$AR$4)*(COLUMN(Curves!$B$4:$AR$4)-COLUMN(Curves!$B$4)+1&lt;=AD$3-Projects!$C$46+1))),0)</f>
        <v/>
      </c>
      <c r="AE261" s="392">
        <f>IF(AND(Projects!$G$17="Yes",Projects!$F$17="Yes",AE$3&gt;=Projects!$C$17,AE$3&lt;Projects!$C$17+Projects!$D$17),Projects!$B$17*(1-SUMPRODUCT((Curves!$B$4:$AR$4)*(COLUMN(Curves!$B$4:$AR$4)-COLUMN(Curves!$B$4)+1&lt;=AE$3-Projects!$C$17+1))),0)+IF(AND(Projects!$G$18="Yes",Projects!$F$18="Yes",AE$3&gt;=Projects!$C$18,AE$3&lt;Projects!$C$18+Projects!$D$18),Projects!$B$18*(1-SUMPRODUCT((Curves!$B$4:$AR$4)*(COLUMN(Curves!$B$4:$AR$4)-COLUMN(Curves!$B$4)+1&lt;=AE$3-Projects!$C$18+1))),0)+IF(AND(Projects!$G$19="Yes",Projects!$F$19="Yes",AE$3&gt;=Projects!$C$19,AE$3&lt;Projects!$C$19+Projects!$D$19),Projects!$B$19*(1-SUMPRODUCT((Curves!$B$4:$AR$4)*(COLUMN(Curves!$B$4:$AR$4)-COLUMN(Curves!$B$4)+1&lt;=AE$3-Projects!$C$19+1))),0)+IF(AND(Projects!$G$23="Yes",Projects!$F$23="Yes",AE$3&gt;=Projects!$C$23,AE$3&lt;Projects!$C$23+Projects!$D$23),Projects!$B$23*(1-SUMPRODUCT((Curves!$B$4:$AR$4)*(COLUMN(Curves!$B$4:$AR$4)-COLUMN(Curves!$B$4)+1&lt;=AE$3-Projects!$C$23+1))),0)+IF(AND(Projects!$G$28="Yes",Projects!$F$28="Yes",AE$3&gt;=Projects!$C$28,AE$3&lt;Projects!$C$28+Projects!$D$28),Projects!$B$28*(1-SUMPRODUCT((Curves!$B$4:$AR$4)*(COLUMN(Curves!$B$4:$AR$4)-COLUMN(Curves!$B$4)+1&lt;=AE$3-Projects!$C$28+1))),0)+IF(AND(Projects!$G$34="Yes",Projects!$F$34="Yes",AE$3&gt;=Projects!$C$34,AE$3&lt;Projects!$C$34+Projects!$D$34),Projects!$B$34*(1-SUMPRODUCT((Curves!$B$4:$AR$4)*(COLUMN(Curves!$B$4:$AR$4)-COLUMN(Curves!$B$4)+1&lt;=AE$3-Projects!$C$34+1))),0)+IF(AND(Projects!$G$40="Yes",Projects!$F$40="Yes",AE$3&gt;=Projects!$C$40,AE$3&lt;Projects!$C$40+Projects!$D$40),Projects!$B$40*(1-SUMPRODUCT((Curves!$B$4:$AR$4)*(COLUMN(Curves!$B$4:$AR$4)-COLUMN(Curves!$B$4)+1&lt;=AE$3-Projects!$C$40+1))),0)+IF(AND(Projects!$G$46="Yes",Projects!$F$46="Yes",AE$3&gt;=Projects!$C$46,AE$3&lt;Projects!$C$46+Projects!$D$46),Projects!$B$46*(1-SUMPRODUCT((Curves!$B$4:$AR$4)*(COLUMN(Curves!$B$4:$AR$4)-COLUMN(Curves!$B$4)+1&lt;=AE$3-Projects!$C$46+1))),0)</f>
        <v/>
      </c>
      <c r="AF261" s="392">
        <f>IF(AND(Projects!$G$17="Yes",Projects!$F$17="Yes",AF$3&gt;=Projects!$C$17,AF$3&lt;Projects!$C$17+Projects!$D$17),Projects!$B$17*(1-SUMPRODUCT((Curves!$B$4:$AR$4)*(COLUMN(Curves!$B$4:$AR$4)-COLUMN(Curves!$B$4)+1&lt;=AF$3-Projects!$C$17+1))),0)+IF(AND(Projects!$G$18="Yes",Projects!$F$18="Yes",AF$3&gt;=Projects!$C$18,AF$3&lt;Projects!$C$18+Projects!$D$18),Projects!$B$18*(1-SUMPRODUCT((Curves!$B$4:$AR$4)*(COLUMN(Curves!$B$4:$AR$4)-COLUMN(Curves!$B$4)+1&lt;=AF$3-Projects!$C$18+1))),0)+IF(AND(Projects!$G$19="Yes",Projects!$F$19="Yes",AF$3&gt;=Projects!$C$19,AF$3&lt;Projects!$C$19+Projects!$D$19),Projects!$B$19*(1-SUMPRODUCT((Curves!$B$4:$AR$4)*(COLUMN(Curves!$B$4:$AR$4)-COLUMN(Curves!$B$4)+1&lt;=AF$3-Projects!$C$19+1))),0)+IF(AND(Projects!$G$23="Yes",Projects!$F$23="Yes",AF$3&gt;=Projects!$C$23,AF$3&lt;Projects!$C$23+Projects!$D$23),Projects!$B$23*(1-SUMPRODUCT((Curves!$B$4:$AR$4)*(COLUMN(Curves!$B$4:$AR$4)-COLUMN(Curves!$B$4)+1&lt;=AF$3-Projects!$C$23+1))),0)+IF(AND(Projects!$G$28="Yes",Projects!$F$28="Yes",AF$3&gt;=Projects!$C$28,AF$3&lt;Projects!$C$28+Projects!$D$28),Projects!$B$28*(1-SUMPRODUCT((Curves!$B$4:$AR$4)*(COLUMN(Curves!$B$4:$AR$4)-COLUMN(Curves!$B$4)+1&lt;=AF$3-Projects!$C$28+1))),0)+IF(AND(Projects!$G$34="Yes",Projects!$F$34="Yes",AF$3&gt;=Projects!$C$34,AF$3&lt;Projects!$C$34+Projects!$D$34),Projects!$B$34*(1-SUMPRODUCT((Curves!$B$4:$AR$4)*(COLUMN(Curves!$B$4:$AR$4)-COLUMN(Curves!$B$4)+1&lt;=AF$3-Projects!$C$34+1))),0)+IF(AND(Projects!$G$40="Yes",Projects!$F$40="Yes",AF$3&gt;=Projects!$C$40,AF$3&lt;Projects!$C$40+Projects!$D$40),Projects!$B$40*(1-SUMPRODUCT((Curves!$B$4:$AR$4)*(COLUMN(Curves!$B$4:$AR$4)-COLUMN(Curves!$B$4)+1&lt;=AF$3-Projects!$C$40+1))),0)+IF(AND(Projects!$G$46="Yes",Projects!$F$46="Yes",AF$3&gt;=Projects!$C$46,AF$3&lt;Projects!$C$46+Projects!$D$46),Projects!$B$46*(1-SUMPRODUCT((Curves!$B$4:$AR$4)*(COLUMN(Curves!$B$4:$AR$4)-COLUMN(Curves!$B$4)+1&lt;=AF$3-Projects!$C$46+1))),0)</f>
        <v/>
      </c>
      <c r="AG261" s="392">
        <f>IF(AND(Projects!$G$17="Yes",Projects!$F$17="Yes",AG$3&gt;=Projects!$C$17,AG$3&lt;Projects!$C$17+Projects!$D$17),Projects!$B$17*(1-SUMPRODUCT((Curves!$B$4:$AR$4)*(COLUMN(Curves!$B$4:$AR$4)-COLUMN(Curves!$B$4)+1&lt;=AG$3-Projects!$C$17+1))),0)+IF(AND(Projects!$G$18="Yes",Projects!$F$18="Yes",AG$3&gt;=Projects!$C$18,AG$3&lt;Projects!$C$18+Projects!$D$18),Projects!$B$18*(1-SUMPRODUCT((Curves!$B$4:$AR$4)*(COLUMN(Curves!$B$4:$AR$4)-COLUMN(Curves!$B$4)+1&lt;=AG$3-Projects!$C$18+1))),0)+IF(AND(Projects!$G$19="Yes",Projects!$F$19="Yes",AG$3&gt;=Projects!$C$19,AG$3&lt;Projects!$C$19+Projects!$D$19),Projects!$B$19*(1-SUMPRODUCT((Curves!$B$4:$AR$4)*(COLUMN(Curves!$B$4:$AR$4)-COLUMN(Curves!$B$4)+1&lt;=AG$3-Projects!$C$19+1))),0)+IF(AND(Projects!$G$23="Yes",Projects!$F$23="Yes",AG$3&gt;=Projects!$C$23,AG$3&lt;Projects!$C$23+Projects!$D$23),Projects!$B$23*(1-SUMPRODUCT((Curves!$B$4:$AR$4)*(COLUMN(Curves!$B$4:$AR$4)-COLUMN(Curves!$B$4)+1&lt;=AG$3-Projects!$C$23+1))),0)+IF(AND(Projects!$G$28="Yes",Projects!$F$28="Yes",AG$3&gt;=Projects!$C$28,AG$3&lt;Projects!$C$28+Projects!$D$28),Projects!$B$28*(1-SUMPRODUCT((Curves!$B$4:$AR$4)*(COLUMN(Curves!$B$4:$AR$4)-COLUMN(Curves!$B$4)+1&lt;=AG$3-Projects!$C$28+1))),0)+IF(AND(Projects!$G$34="Yes",Projects!$F$34="Yes",AG$3&gt;=Projects!$C$34,AG$3&lt;Projects!$C$34+Projects!$D$34),Projects!$B$34*(1-SUMPRODUCT((Curves!$B$4:$AR$4)*(COLUMN(Curves!$B$4:$AR$4)-COLUMN(Curves!$B$4)+1&lt;=AG$3-Projects!$C$34+1))),0)+IF(AND(Projects!$G$40="Yes",Projects!$F$40="Yes",AG$3&gt;=Projects!$C$40,AG$3&lt;Projects!$C$40+Projects!$D$40),Projects!$B$40*(1-SUMPRODUCT((Curves!$B$4:$AR$4)*(COLUMN(Curves!$B$4:$AR$4)-COLUMN(Curves!$B$4)+1&lt;=AG$3-Projects!$C$40+1))),0)+IF(AND(Projects!$G$46="Yes",Projects!$F$46="Yes",AG$3&gt;=Projects!$C$46,AG$3&lt;Projects!$C$46+Projects!$D$46),Projects!$B$46*(1-SUMPRODUCT((Curves!$B$4:$AR$4)*(COLUMN(Curves!$B$4:$AR$4)-COLUMN(Curves!$B$4)+1&lt;=AG$3-Projects!$C$46+1))),0)</f>
        <v/>
      </c>
      <c r="AH261" s="392">
        <f>IF(AND(Projects!$G$17="Yes",Projects!$F$17="Yes",AH$3&gt;=Projects!$C$17,AH$3&lt;Projects!$C$17+Projects!$D$17),Projects!$B$17*(1-SUMPRODUCT((Curves!$B$4:$AR$4)*(COLUMN(Curves!$B$4:$AR$4)-COLUMN(Curves!$B$4)+1&lt;=AH$3-Projects!$C$17+1))),0)+IF(AND(Projects!$G$18="Yes",Projects!$F$18="Yes",AH$3&gt;=Projects!$C$18,AH$3&lt;Projects!$C$18+Projects!$D$18),Projects!$B$18*(1-SUMPRODUCT((Curves!$B$4:$AR$4)*(COLUMN(Curves!$B$4:$AR$4)-COLUMN(Curves!$B$4)+1&lt;=AH$3-Projects!$C$18+1))),0)+IF(AND(Projects!$G$19="Yes",Projects!$F$19="Yes",AH$3&gt;=Projects!$C$19,AH$3&lt;Projects!$C$19+Projects!$D$19),Projects!$B$19*(1-SUMPRODUCT((Curves!$B$4:$AR$4)*(COLUMN(Curves!$B$4:$AR$4)-COLUMN(Curves!$B$4)+1&lt;=AH$3-Projects!$C$19+1))),0)+IF(AND(Projects!$G$23="Yes",Projects!$F$23="Yes",AH$3&gt;=Projects!$C$23,AH$3&lt;Projects!$C$23+Projects!$D$23),Projects!$B$23*(1-SUMPRODUCT((Curves!$B$4:$AR$4)*(COLUMN(Curves!$B$4:$AR$4)-COLUMN(Curves!$B$4)+1&lt;=AH$3-Projects!$C$23+1))),0)+IF(AND(Projects!$G$28="Yes",Projects!$F$28="Yes",AH$3&gt;=Projects!$C$28,AH$3&lt;Projects!$C$28+Projects!$D$28),Projects!$B$28*(1-SUMPRODUCT((Curves!$B$4:$AR$4)*(COLUMN(Curves!$B$4:$AR$4)-COLUMN(Curves!$B$4)+1&lt;=AH$3-Projects!$C$28+1))),0)+IF(AND(Projects!$G$34="Yes",Projects!$F$34="Yes",AH$3&gt;=Projects!$C$34,AH$3&lt;Projects!$C$34+Projects!$D$34),Projects!$B$34*(1-SUMPRODUCT((Curves!$B$4:$AR$4)*(COLUMN(Curves!$B$4:$AR$4)-COLUMN(Curves!$B$4)+1&lt;=AH$3-Projects!$C$34+1))),0)+IF(AND(Projects!$G$40="Yes",Projects!$F$40="Yes",AH$3&gt;=Projects!$C$40,AH$3&lt;Projects!$C$40+Projects!$D$40),Projects!$B$40*(1-SUMPRODUCT((Curves!$B$4:$AR$4)*(COLUMN(Curves!$B$4:$AR$4)-COLUMN(Curves!$B$4)+1&lt;=AH$3-Projects!$C$40+1))),0)+IF(AND(Projects!$G$46="Yes",Projects!$F$46="Yes",AH$3&gt;=Projects!$C$46,AH$3&lt;Projects!$C$46+Projects!$D$46),Projects!$B$46*(1-SUMPRODUCT((Curves!$B$4:$AR$4)*(COLUMN(Curves!$B$4:$AR$4)-COLUMN(Curves!$B$4)+1&lt;=AH$3-Projects!$C$46+1))),0)</f>
        <v/>
      </c>
      <c r="AI261" s="392">
        <f>IF(AND(Projects!$G$17="Yes",Projects!$F$17="Yes",AI$3&gt;=Projects!$C$17,AI$3&lt;Projects!$C$17+Projects!$D$17),Projects!$B$17*(1-SUMPRODUCT((Curves!$B$4:$AR$4)*(COLUMN(Curves!$B$4:$AR$4)-COLUMN(Curves!$B$4)+1&lt;=AI$3-Projects!$C$17+1))),0)+IF(AND(Projects!$G$18="Yes",Projects!$F$18="Yes",AI$3&gt;=Projects!$C$18,AI$3&lt;Projects!$C$18+Projects!$D$18),Projects!$B$18*(1-SUMPRODUCT((Curves!$B$4:$AR$4)*(COLUMN(Curves!$B$4:$AR$4)-COLUMN(Curves!$B$4)+1&lt;=AI$3-Projects!$C$18+1))),0)+IF(AND(Projects!$G$19="Yes",Projects!$F$19="Yes",AI$3&gt;=Projects!$C$19,AI$3&lt;Projects!$C$19+Projects!$D$19),Projects!$B$19*(1-SUMPRODUCT((Curves!$B$4:$AR$4)*(COLUMN(Curves!$B$4:$AR$4)-COLUMN(Curves!$B$4)+1&lt;=AI$3-Projects!$C$19+1))),0)+IF(AND(Projects!$G$23="Yes",Projects!$F$23="Yes",AI$3&gt;=Projects!$C$23,AI$3&lt;Projects!$C$23+Projects!$D$23),Projects!$B$23*(1-SUMPRODUCT((Curves!$B$4:$AR$4)*(COLUMN(Curves!$B$4:$AR$4)-COLUMN(Curves!$B$4)+1&lt;=AI$3-Projects!$C$23+1))),0)+IF(AND(Projects!$G$28="Yes",Projects!$F$28="Yes",AI$3&gt;=Projects!$C$28,AI$3&lt;Projects!$C$28+Projects!$D$28),Projects!$B$28*(1-SUMPRODUCT((Curves!$B$4:$AR$4)*(COLUMN(Curves!$B$4:$AR$4)-COLUMN(Curves!$B$4)+1&lt;=AI$3-Projects!$C$28+1))),0)+IF(AND(Projects!$G$34="Yes",Projects!$F$34="Yes",AI$3&gt;=Projects!$C$34,AI$3&lt;Projects!$C$34+Projects!$D$34),Projects!$B$34*(1-SUMPRODUCT((Curves!$B$4:$AR$4)*(COLUMN(Curves!$B$4:$AR$4)-COLUMN(Curves!$B$4)+1&lt;=AI$3-Projects!$C$34+1))),0)+IF(AND(Projects!$G$40="Yes",Projects!$F$40="Yes",AI$3&gt;=Projects!$C$40,AI$3&lt;Projects!$C$40+Projects!$D$40),Projects!$B$40*(1-SUMPRODUCT((Curves!$B$4:$AR$4)*(COLUMN(Curves!$B$4:$AR$4)-COLUMN(Curves!$B$4)+1&lt;=AI$3-Projects!$C$40+1))),0)+IF(AND(Projects!$G$46="Yes",Projects!$F$46="Yes",AI$3&gt;=Projects!$C$46,AI$3&lt;Projects!$C$46+Projects!$D$46),Projects!$B$46*(1-SUMPRODUCT((Curves!$B$4:$AR$4)*(COLUMN(Curves!$B$4:$AR$4)-COLUMN(Curves!$B$4)+1&lt;=AI$3-Projects!$C$46+1))),0)</f>
        <v/>
      </c>
      <c r="AJ261" s="392">
        <f>IF(AND(Projects!$G$17="Yes",Projects!$F$17="Yes",AJ$3&gt;=Projects!$C$17,AJ$3&lt;Projects!$C$17+Projects!$D$17),Projects!$B$17*(1-SUMPRODUCT((Curves!$B$4:$AR$4)*(COLUMN(Curves!$B$4:$AR$4)-COLUMN(Curves!$B$4)+1&lt;=AJ$3-Projects!$C$17+1))),0)+IF(AND(Projects!$G$18="Yes",Projects!$F$18="Yes",AJ$3&gt;=Projects!$C$18,AJ$3&lt;Projects!$C$18+Projects!$D$18),Projects!$B$18*(1-SUMPRODUCT((Curves!$B$4:$AR$4)*(COLUMN(Curves!$B$4:$AR$4)-COLUMN(Curves!$B$4)+1&lt;=AJ$3-Projects!$C$18+1))),0)+IF(AND(Projects!$G$19="Yes",Projects!$F$19="Yes",AJ$3&gt;=Projects!$C$19,AJ$3&lt;Projects!$C$19+Projects!$D$19),Projects!$B$19*(1-SUMPRODUCT((Curves!$B$4:$AR$4)*(COLUMN(Curves!$B$4:$AR$4)-COLUMN(Curves!$B$4)+1&lt;=AJ$3-Projects!$C$19+1))),0)+IF(AND(Projects!$G$23="Yes",Projects!$F$23="Yes",AJ$3&gt;=Projects!$C$23,AJ$3&lt;Projects!$C$23+Projects!$D$23),Projects!$B$23*(1-SUMPRODUCT((Curves!$B$4:$AR$4)*(COLUMN(Curves!$B$4:$AR$4)-COLUMN(Curves!$B$4)+1&lt;=AJ$3-Projects!$C$23+1))),0)+IF(AND(Projects!$G$28="Yes",Projects!$F$28="Yes",AJ$3&gt;=Projects!$C$28,AJ$3&lt;Projects!$C$28+Projects!$D$28),Projects!$B$28*(1-SUMPRODUCT((Curves!$B$4:$AR$4)*(COLUMN(Curves!$B$4:$AR$4)-COLUMN(Curves!$B$4)+1&lt;=AJ$3-Projects!$C$28+1))),0)+IF(AND(Projects!$G$34="Yes",Projects!$F$34="Yes",AJ$3&gt;=Projects!$C$34,AJ$3&lt;Projects!$C$34+Projects!$D$34),Projects!$B$34*(1-SUMPRODUCT((Curves!$B$4:$AR$4)*(COLUMN(Curves!$B$4:$AR$4)-COLUMN(Curves!$B$4)+1&lt;=AJ$3-Projects!$C$34+1))),0)+IF(AND(Projects!$G$40="Yes",Projects!$F$40="Yes",AJ$3&gt;=Projects!$C$40,AJ$3&lt;Projects!$C$40+Projects!$D$40),Projects!$B$40*(1-SUMPRODUCT((Curves!$B$4:$AR$4)*(COLUMN(Curves!$B$4:$AR$4)-COLUMN(Curves!$B$4)+1&lt;=AJ$3-Projects!$C$40+1))),0)+IF(AND(Projects!$G$46="Yes",Projects!$F$46="Yes",AJ$3&gt;=Projects!$C$46,AJ$3&lt;Projects!$C$46+Projects!$D$46),Projects!$B$46*(1-SUMPRODUCT((Curves!$B$4:$AR$4)*(COLUMN(Curves!$B$4:$AR$4)-COLUMN(Curves!$B$4)+1&lt;=AJ$3-Projects!$C$46+1))),0)</f>
        <v/>
      </c>
      <c r="AK261" s="392">
        <f>IF(AND(Projects!$G$17="Yes",Projects!$F$17="Yes",AK$3&gt;=Projects!$C$17,AK$3&lt;Projects!$C$17+Projects!$D$17),Projects!$B$17*(1-SUMPRODUCT((Curves!$B$4:$AR$4)*(COLUMN(Curves!$B$4:$AR$4)-COLUMN(Curves!$B$4)+1&lt;=AK$3-Projects!$C$17+1))),0)+IF(AND(Projects!$G$18="Yes",Projects!$F$18="Yes",AK$3&gt;=Projects!$C$18,AK$3&lt;Projects!$C$18+Projects!$D$18),Projects!$B$18*(1-SUMPRODUCT((Curves!$B$4:$AR$4)*(COLUMN(Curves!$B$4:$AR$4)-COLUMN(Curves!$B$4)+1&lt;=AK$3-Projects!$C$18+1))),0)+IF(AND(Projects!$G$19="Yes",Projects!$F$19="Yes",AK$3&gt;=Projects!$C$19,AK$3&lt;Projects!$C$19+Projects!$D$19),Projects!$B$19*(1-SUMPRODUCT((Curves!$B$4:$AR$4)*(COLUMN(Curves!$B$4:$AR$4)-COLUMN(Curves!$B$4)+1&lt;=AK$3-Projects!$C$19+1))),0)+IF(AND(Projects!$G$23="Yes",Projects!$F$23="Yes",AK$3&gt;=Projects!$C$23,AK$3&lt;Projects!$C$23+Projects!$D$23),Projects!$B$23*(1-SUMPRODUCT((Curves!$B$4:$AR$4)*(COLUMN(Curves!$B$4:$AR$4)-COLUMN(Curves!$B$4)+1&lt;=AK$3-Projects!$C$23+1))),0)+IF(AND(Projects!$G$28="Yes",Projects!$F$28="Yes",AK$3&gt;=Projects!$C$28,AK$3&lt;Projects!$C$28+Projects!$D$28),Projects!$B$28*(1-SUMPRODUCT((Curves!$B$4:$AR$4)*(COLUMN(Curves!$B$4:$AR$4)-COLUMN(Curves!$B$4)+1&lt;=AK$3-Projects!$C$28+1))),0)+IF(AND(Projects!$G$34="Yes",Projects!$F$34="Yes",AK$3&gt;=Projects!$C$34,AK$3&lt;Projects!$C$34+Projects!$D$34),Projects!$B$34*(1-SUMPRODUCT((Curves!$B$4:$AR$4)*(COLUMN(Curves!$B$4:$AR$4)-COLUMN(Curves!$B$4)+1&lt;=AK$3-Projects!$C$34+1))),0)+IF(AND(Projects!$G$40="Yes",Projects!$F$40="Yes",AK$3&gt;=Projects!$C$40,AK$3&lt;Projects!$C$40+Projects!$D$40),Projects!$B$40*(1-SUMPRODUCT((Curves!$B$4:$AR$4)*(COLUMN(Curves!$B$4:$AR$4)-COLUMN(Curves!$B$4)+1&lt;=AK$3-Projects!$C$40+1))),0)+IF(AND(Projects!$G$46="Yes",Projects!$F$46="Yes",AK$3&gt;=Projects!$C$46,AK$3&lt;Projects!$C$46+Projects!$D$46),Projects!$B$46*(1-SUMPRODUCT((Curves!$B$4:$AR$4)*(COLUMN(Curves!$B$4:$AR$4)-COLUMN(Curves!$B$4)+1&lt;=AK$3-Projects!$C$46+1))),0)</f>
        <v/>
      </c>
      <c r="AL261" s="392">
        <f>IF(AND(Projects!$G$17="Yes",Projects!$F$17="Yes",AL$3&gt;=Projects!$C$17,AL$3&lt;Projects!$C$17+Projects!$D$17),Projects!$B$17*(1-SUMPRODUCT((Curves!$B$4:$AR$4)*(COLUMN(Curves!$B$4:$AR$4)-COLUMN(Curves!$B$4)+1&lt;=AL$3-Projects!$C$17+1))),0)+IF(AND(Projects!$G$18="Yes",Projects!$F$18="Yes",AL$3&gt;=Projects!$C$18,AL$3&lt;Projects!$C$18+Projects!$D$18),Projects!$B$18*(1-SUMPRODUCT((Curves!$B$4:$AR$4)*(COLUMN(Curves!$B$4:$AR$4)-COLUMN(Curves!$B$4)+1&lt;=AL$3-Projects!$C$18+1))),0)+IF(AND(Projects!$G$19="Yes",Projects!$F$19="Yes",AL$3&gt;=Projects!$C$19,AL$3&lt;Projects!$C$19+Projects!$D$19),Projects!$B$19*(1-SUMPRODUCT((Curves!$B$4:$AR$4)*(COLUMN(Curves!$B$4:$AR$4)-COLUMN(Curves!$B$4)+1&lt;=AL$3-Projects!$C$19+1))),0)+IF(AND(Projects!$G$23="Yes",Projects!$F$23="Yes",AL$3&gt;=Projects!$C$23,AL$3&lt;Projects!$C$23+Projects!$D$23),Projects!$B$23*(1-SUMPRODUCT((Curves!$B$4:$AR$4)*(COLUMN(Curves!$B$4:$AR$4)-COLUMN(Curves!$B$4)+1&lt;=AL$3-Projects!$C$23+1))),0)+IF(AND(Projects!$G$28="Yes",Projects!$F$28="Yes",AL$3&gt;=Projects!$C$28,AL$3&lt;Projects!$C$28+Projects!$D$28),Projects!$B$28*(1-SUMPRODUCT((Curves!$B$4:$AR$4)*(COLUMN(Curves!$B$4:$AR$4)-COLUMN(Curves!$B$4)+1&lt;=AL$3-Projects!$C$28+1))),0)+IF(AND(Projects!$G$34="Yes",Projects!$F$34="Yes",AL$3&gt;=Projects!$C$34,AL$3&lt;Projects!$C$34+Projects!$D$34),Projects!$B$34*(1-SUMPRODUCT((Curves!$B$4:$AR$4)*(COLUMN(Curves!$B$4:$AR$4)-COLUMN(Curves!$B$4)+1&lt;=AL$3-Projects!$C$34+1))),0)+IF(AND(Projects!$G$40="Yes",Projects!$F$40="Yes",AL$3&gt;=Projects!$C$40,AL$3&lt;Projects!$C$40+Projects!$D$40),Projects!$B$40*(1-SUMPRODUCT((Curves!$B$4:$AR$4)*(COLUMN(Curves!$B$4:$AR$4)-COLUMN(Curves!$B$4)+1&lt;=AL$3-Projects!$C$40+1))),0)+IF(AND(Projects!$G$46="Yes",Projects!$F$46="Yes",AL$3&gt;=Projects!$C$46,AL$3&lt;Projects!$C$46+Projects!$D$46),Projects!$B$46*(1-SUMPRODUCT((Curves!$B$4:$AR$4)*(COLUMN(Curves!$B$4:$AR$4)-COLUMN(Curves!$B$4)+1&lt;=AL$3-Projects!$C$46+1))),0)</f>
        <v/>
      </c>
      <c r="AM261" s="392">
        <f>IF(AND(Projects!$G$17="Yes",Projects!$F$17="Yes",AM$3&gt;=Projects!$C$17,AM$3&lt;Projects!$C$17+Projects!$D$17),Projects!$B$17*(1-SUMPRODUCT((Curves!$B$4:$AR$4)*(COLUMN(Curves!$B$4:$AR$4)-COLUMN(Curves!$B$4)+1&lt;=AM$3-Projects!$C$17+1))),0)+IF(AND(Projects!$G$18="Yes",Projects!$F$18="Yes",AM$3&gt;=Projects!$C$18,AM$3&lt;Projects!$C$18+Projects!$D$18),Projects!$B$18*(1-SUMPRODUCT((Curves!$B$4:$AR$4)*(COLUMN(Curves!$B$4:$AR$4)-COLUMN(Curves!$B$4)+1&lt;=AM$3-Projects!$C$18+1))),0)+IF(AND(Projects!$G$19="Yes",Projects!$F$19="Yes",AM$3&gt;=Projects!$C$19,AM$3&lt;Projects!$C$19+Projects!$D$19),Projects!$B$19*(1-SUMPRODUCT((Curves!$B$4:$AR$4)*(COLUMN(Curves!$B$4:$AR$4)-COLUMN(Curves!$B$4)+1&lt;=AM$3-Projects!$C$19+1))),0)+IF(AND(Projects!$G$23="Yes",Projects!$F$23="Yes",AM$3&gt;=Projects!$C$23,AM$3&lt;Projects!$C$23+Projects!$D$23),Projects!$B$23*(1-SUMPRODUCT((Curves!$B$4:$AR$4)*(COLUMN(Curves!$B$4:$AR$4)-COLUMN(Curves!$B$4)+1&lt;=AM$3-Projects!$C$23+1))),0)+IF(AND(Projects!$G$28="Yes",Projects!$F$28="Yes",AM$3&gt;=Projects!$C$28,AM$3&lt;Projects!$C$28+Projects!$D$28),Projects!$B$28*(1-SUMPRODUCT((Curves!$B$4:$AR$4)*(COLUMN(Curves!$B$4:$AR$4)-COLUMN(Curves!$B$4)+1&lt;=AM$3-Projects!$C$28+1))),0)+IF(AND(Projects!$G$34="Yes",Projects!$F$34="Yes",AM$3&gt;=Projects!$C$34,AM$3&lt;Projects!$C$34+Projects!$D$34),Projects!$B$34*(1-SUMPRODUCT((Curves!$B$4:$AR$4)*(COLUMN(Curves!$B$4:$AR$4)-COLUMN(Curves!$B$4)+1&lt;=AM$3-Projects!$C$34+1))),0)+IF(AND(Projects!$G$40="Yes",Projects!$F$40="Yes",AM$3&gt;=Projects!$C$40,AM$3&lt;Projects!$C$40+Projects!$D$40),Projects!$B$40*(1-SUMPRODUCT((Curves!$B$4:$AR$4)*(COLUMN(Curves!$B$4:$AR$4)-COLUMN(Curves!$B$4)+1&lt;=AM$3-Projects!$C$40+1))),0)+IF(AND(Projects!$G$46="Yes",Projects!$F$46="Yes",AM$3&gt;=Projects!$C$46,AM$3&lt;Projects!$C$46+Projects!$D$46),Projects!$B$46*(1-SUMPRODUCT((Curves!$B$4:$AR$4)*(COLUMN(Curves!$B$4:$AR$4)-COLUMN(Curves!$B$4)+1&lt;=AM$3-Projects!$C$46+1))),0)</f>
        <v/>
      </c>
      <c r="AN261" s="392">
        <f>IF(AND(Projects!$G$17="Yes",Projects!$F$17="Yes",AN$3&gt;=Projects!$C$17,AN$3&lt;Projects!$C$17+Projects!$D$17),Projects!$B$17*(1-SUMPRODUCT((Curves!$B$4:$AR$4)*(COLUMN(Curves!$B$4:$AR$4)-COLUMN(Curves!$B$4)+1&lt;=AN$3-Projects!$C$17+1))),0)+IF(AND(Projects!$G$18="Yes",Projects!$F$18="Yes",AN$3&gt;=Projects!$C$18,AN$3&lt;Projects!$C$18+Projects!$D$18),Projects!$B$18*(1-SUMPRODUCT((Curves!$B$4:$AR$4)*(COLUMN(Curves!$B$4:$AR$4)-COLUMN(Curves!$B$4)+1&lt;=AN$3-Projects!$C$18+1))),0)+IF(AND(Projects!$G$19="Yes",Projects!$F$19="Yes",AN$3&gt;=Projects!$C$19,AN$3&lt;Projects!$C$19+Projects!$D$19),Projects!$B$19*(1-SUMPRODUCT((Curves!$B$4:$AR$4)*(COLUMN(Curves!$B$4:$AR$4)-COLUMN(Curves!$B$4)+1&lt;=AN$3-Projects!$C$19+1))),0)+IF(AND(Projects!$G$23="Yes",Projects!$F$23="Yes",AN$3&gt;=Projects!$C$23,AN$3&lt;Projects!$C$23+Projects!$D$23),Projects!$B$23*(1-SUMPRODUCT((Curves!$B$4:$AR$4)*(COLUMN(Curves!$B$4:$AR$4)-COLUMN(Curves!$B$4)+1&lt;=AN$3-Projects!$C$23+1))),0)+IF(AND(Projects!$G$28="Yes",Projects!$F$28="Yes",AN$3&gt;=Projects!$C$28,AN$3&lt;Projects!$C$28+Projects!$D$28),Projects!$B$28*(1-SUMPRODUCT((Curves!$B$4:$AR$4)*(COLUMN(Curves!$B$4:$AR$4)-COLUMN(Curves!$B$4)+1&lt;=AN$3-Projects!$C$28+1))),0)+IF(AND(Projects!$G$34="Yes",Projects!$F$34="Yes",AN$3&gt;=Projects!$C$34,AN$3&lt;Projects!$C$34+Projects!$D$34),Projects!$B$34*(1-SUMPRODUCT((Curves!$B$4:$AR$4)*(COLUMN(Curves!$B$4:$AR$4)-COLUMN(Curves!$B$4)+1&lt;=AN$3-Projects!$C$34+1))),0)+IF(AND(Projects!$G$40="Yes",Projects!$F$40="Yes",AN$3&gt;=Projects!$C$40,AN$3&lt;Projects!$C$40+Projects!$D$40),Projects!$B$40*(1-SUMPRODUCT((Curves!$B$4:$AR$4)*(COLUMN(Curves!$B$4:$AR$4)-COLUMN(Curves!$B$4)+1&lt;=AN$3-Projects!$C$40+1))),0)+IF(AND(Projects!$G$46="Yes",Projects!$F$46="Yes",AN$3&gt;=Projects!$C$46,AN$3&lt;Projects!$C$46+Projects!$D$46),Projects!$B$46*(1-SUMPRODUCT((Curves!$B$4:$AR$4)*(COLUMN(Curves!$B$4:$AR$4)-COLUMN(Curves!$B$4)+1&lt;=AN$3-Projects!$C$46+1))),0)</f>
        <v/>
      </c>
      <c r="AO261" s="392">
        <f>IF(AND(Projects!$G$17="Yes",Projects!$F$17="Yes",AO$3&gt;=Projects!$C$17,AO$3&lt;Projects!$C$17+Projects!$D$17),Projects!$B$17*(1-SUMPRODUCT((Curves!$B$4:$AR$4)*(COLUMN(Curves!$B$4:$AR$4)-COLUMN(Curves!$B$4)+1&lt;=AO$3-Projects!$C$17+1))),0)+IF(AND(Projects!$G$18="Yes",Projects!$F$18="Yes",AO$3&gt;=Projects!$C$18,AO$3&lt;Projects!$C$18+Projects!$D$18),Projects!$B$18*(1-SUMPRODUCT((Curves!$B$4:$AR$4)*(COLUMN(Curves!$B$4:$AR$4)-COLUMN(Curves!$B$4)+1&lt;=AO$3-Projects!$C$18+1))),0)+IF(AND(Projects!$G$19="Yes",Projects!$F$19="Yes",AO$3&gt;=Projects!$C$19,AO$3&lt;Projects!$C$19+Projects!$D$19),Projects!$B$19*(1-SUMPRODUCT((Curves!$B$4:$AR$4)*(COLUMN(Curves!$B$4:$AR$4)-COLUMN(Curves!$B$4)+1&lt;=AO$3-Projects!$C$19+1))),0)+IF(AND(Projects!$G$23="Yes",Projects!$F$23="Yes",AO$3&gt;=Projects!$C$23,AO$3&lt;Projects!$C$23+Projects!$D$23),Projects!$B$23*(1-SUMPRODUCT((Curves!$B$4:$AR$4)*(COLUMN(Curves!$B$4:$AR$4)-COLUMN(Curves!$B$4)+1&lt;=AO$3-Projects!$C$23+1))),0)+IF(AND(Projects!$G$28="Yes",Projects!$F$28="Yes",AO$3&gt;=Projects!$C$28,AO$3&lt;Projects!$C$28+Projects!$D$28),Projects!$B$28*(1-SUMPRODUCT((Curves!$B$4:$AR$4)*(COLUMN(Curves!$B$4:$AR$4)-COLUMN(Curves!$B$4)+1&lt;=AO$3-Projects!$C$28+1))),0)+IF(AND(Projects!$G$34="Yes",Projects!$F$34="Yes",AO$3&gt;=Projects!$C$34,AO$3&lt;Projects!$C$34+Projects!$D$34),Projects!$B$34*(1-SUMPRODUCT((Curves!$B$4:$AR$4)*(COLUMN(Curves!$B$4:$AR$4)-COLUMN(Curves!$B$4)+1&lt;=AO$3-Projects!$C$34+1))),0)+IF(AND(Projects!$G$40="Yes",Projects!$F$40="Yes",AO$3&gt;=Projects!$C$40,AO$3&lt;Projects!$C$40+Projects!$D$40),Projects!$B$40*(1-SUMPRODUCT((Curves!$B$4:$AR$4)*(COLUMN(Curves!$B$4:$AR$4)-COLUMN(Curves!$B$4)+1&lt;=AO$3-Projects!$C$40+1))),0)+IF(AND(Projects!$G$46="Yes",Projects!$F$46="Yes",AO$3&gt;=Projects!$C$46,AO$3&lt;Projects!$C$46+Projects!$D$46),Projects!$B$46*(1-SUMPRODUCT((Curves!$B$4:$AR$4)*(COLUMN(Curves!$B$4:$AR$4)-COLUMN(Curves!$B$4)+1&lt;=AO$3-Projects!$C$46+1))),0)</f>
        <v/>
      </c>
      <c r="AP261" s="392">
        <f>IF(AND(Projects!$G$17="Yes",Projects!$F$17="Yes",AP$3&gt;=Projects!$C$17,AP$3&lt;Projects!$C$17+Projects!$D$17),Projects!$B$17*(1-SUMPRODUCT((Curves!$B$4:$AR$4)*(COLUMN(Curves!$B$4:$AR$4)-COLUMN(Curves!$B$4)+1&lt;=AP$3-Projects!$C$17+1))),0)+IF(AND(Projects!$G$18="Yes",Projects!$F$18="Yes",AP$3&gt;=Projects!$C$18,AP$3&lt;Projects!$C$18+Projects!$D$18),Projects!$B$18*(1-SUMPRODUCT((Curves!$B$4:$AR$4)*(COLUMN(Curves!$B$4:$AR$4)-COLUMN(Curves!$B$4)+1&lt;=AP$3-Projects!$C$18+1))),0)+IF(AND(Projects!$G$19="Yes",Projects!$F$19="Yes",AP$3&gt;=Projects!$C$19,AP$3&lt;Projects!$C$19+Projects!$D$19),Projects!$B$19*(1-SUMPRODUCT((Curves!$B$4:$AR$4)*(COLUMN(Curves!$B$4:$AR$4)-COLUMN(Curves!$B$4)+1&lt;=AP$3-Projects!$C$19+1))),0)+IF(AND(Projects!$G$23="Yes",Projects!$F$23="Yes",AP$3&gt;=Projects!$C$23,AP$3&lt;Projects!$C$23+Projects!$D$23),Projects!$B$23*(1-SUMPRODUCT((Curves!$B$4:$AR$4)*(COLUMN(Curves!$B$4:$AR$4)-COLUMN(Curves!$B$4)+1&lt;=AP$3-Projects!$C$23+1))),0)+IF(AND(Projects!$G$28="Yes",Projects!$F$28="Yes",AP$3&gt;=Projects!$C$28,AP$3&lt;Projects!$C$28+Projects!$D$28),Projects!$B$28*(1-SUMPRODUCT((Curves!$B$4:$AR$4)*(COLUMN(Curves!$B$4:$AR$4)-COLUMN(Curves!$B$4)+1&lt;=AP$3-Projects!$C$28+1))),0)+IF(AND(Projects!$G$34="Yes",Projects!$F$34="Yes",AP$3&gt;=Projects!$C$34,AP$3&lt;Projects!$C$34+Projects!$D$34),Projects!$B$34*(1-SUMPRODUCT((Curves!$B$4:$AR$4)*(COLUMN(Curves!$B$4:$AR$4)-COLUMN(Curves!$B$4)+1&lt;=AP$3-Projects!$C$34+1))),0)+IF(AND(Projects!$G$40="Yes",Projects!$F$40="Yes",AP$3&gt;=Projects!$C$40,AP$3&lt;Projects!$C$40+Projects!$D$40),Projects!$B$40*(1-SUMPRODUCT((Curves!$B$4:$AR$4)*(COLUMN(Curves!$B$4:$AR$4)-COLUMN(Curves!$B$4)+1&lt;=AP$3-Projects!$C$40+1))),0)+IF(AND(Projects!$G$46="Yes",Projects!$F$46="Yes",AP$3&gt;=Projects!$C$46,AP$3&lt;Projects!$C$46+Projects!$D$46),Projects!$B$46*(1-SUMPRODUCT((Curves!$B$4:$AR$4)*(COLUMN(Curves!$B$4:$AR$4)-COLUMN(Curves!$B$4)+1&lt;=AP$3-Projects!$C$46+1))),0)</f>
        <v/>
      </c>
      <c r="AQ261" s="392">
        <f>IF(AND(Projects!$G$17="Yes",Projects!$F$17="Yes",AQ$3&gt;=Projects!$C$17,AQ$3&lt;Projects!$C$17+Projects!$D$17),Projects!$B$17*(1-SUMPRODUCT((Curves!$B$4:$AR$4)*(COLUMN(Curves!$B$4:$AR$4)-COLUMN(Curves!$B$4)+1&lt;=AQ$3-Projects!$C$17+1))),0)+IF(AND(Projects!$G$18="Yes",Projects!$F$18="Yes",AQ$3&gt;=Projects!$C$18,AQ$3&lt;Projects!$C$18+Projects!$D$18),Projects!$B$18*(1-SUMPRODUCT((Curves!$B$4:$AR$4)*(COLUMN(Curves!$B$4:$AR$4)-COLUMN(Curves!$B$4)+1&lt;=AQ$3-Projects!$C$18+1))),0)+IF(AND(Projects!$G$19="Yes",Projects!$F$19="Yes",AQ$3&gt;=Projects!$C$19,AQ$3&lt;Projects!$C$19+Projects!$D$19),Projects!$B$19*(1-SUMPRODUCT((Curves!$B$4:$AR$4)*(COLUMN(Curves!$B$4:$AR$4)-COLUMN(Curves!$B$4)+1&lt;=AQ$3-Projects!$C$19+1))),0)+IF(AND(Projects!$G$23="Yes",Projects!$F$23="Yes",AQ$3&gt;=Projects!$C$23,AQ$3&lt;Projects!$C$23+Projects!$D$23),Projects!$B$23*(1-SUMPRODUCT((Curves!$B$4:$AR$4)*(COLUMN(Curves!$B$4:$AR$4)-COLUMN(Curves!$B$4)+1&lt;=AQ$3-Projects!$C$23+1))),0)+IF(AND(Projects!$G$28="Yes",Projects!$F$28="Yes",AQ$3&gt;=Projects!$C$28,AQ$3&lt;Projects!$C$28+Projects!$D$28),Projects!$B$28*(1-SUMPRODUCT((Curves!$B$4:$AR$4)*(COLUMN(Curves!$B$4:$AR$4)-COLUMN(Curves!$B$4)+1&lt;=AQ$3-Projects!$C$28+1))),0)+IF(AND(Projects!$G$34="Yes",Projects!$F$34="Yes",AQ$3&gt;=Projects!$C$34,AQ$3&lt;Projects!$C$34+Projects!$D$34),Projects!$B$34*(1-SUMPRODUCT((Curves!$B$4:$AR$4)*(COLUMN(Curves!$B$4:$AR$4)-COLUMN(Curves!$B$4)+1&lt;=AQ$3-Projects!$C$34+1))),0)+IF(AND(Projects!$G$40="Yes",Projects!$F$40="Yes",AQ$3&gt;=Projects!$C$40,AQ$3&lt;Projects!$C$40+Projects!$D$40),Projects!$B$40*(1-SUMPRODUCT((Curves!$B$4:$AR$4)*(COLUMN(Curves!$B$4:$AR$4)-COLUMN(Curves!$B$4)+1&lt;=AQ$3-Projects!$C$40+1))),0)+IF(AND(Projects!$G$46="Yes",Projects!$F$46="Yes",AQ$3&gt;=Projects!$C$46,AQ$3&lt;Projects!$C$46+Projects!$D$46),Projects!$B$46*(1-SUMPRODUCT((Curves!$B$4:$AR$4)*(COLUMN(Curves!$B$4:$AR$4)-COLUMN(Curves!$B$4)+1&lt;=AQ$3-Projects!$C$46+1))),0)</f>
        <v/>
      </c>
      <c r="AR261" s="392">
        <f>IF(AND(Projects!$G$17="Yes",Projects!$F$17="Yes",AR$3&gt;=Projects!$C$17,AR$3&lt;Projects!$C$17+Projects!$D$17),Projects!$B$17*(1-SUMPRODUCT((Curves!$B$4:$AR$4)*(COLUMN(Curves!$B$4:$AR$4)-COLUMN(Curves!$B$4)+1&lt;=AR$3-Projects!$C$17+1))),0)+IF(AND(Projects!$G$18="Yes",Projects!$F$18="Yes",AR$3&gt;=Projects!$C$18,AR$3&lt;Projects!$C$18+Projects!$D$18),Projects!$B$18*(1-SUMPRODUCT((Curves!$B$4:$AR$4)*(COLUMN(Curves!$B$4:$AR$4)-COLUMN(Curves!$B$4)+1&lt;=AR$3-Projects!$C$18+1))),0)+IF(AND(Projects!$G$19="Yes",Projects!$F$19="Yes",AR$3&gt;=Projects!$C$19,AR$3&lt;Projects!$C$19+Projects!$D$19),Projects!$B$19*(1-SUMPRODUCT((Curves!$B$4:$AR$4)*(COLUMN(Curves!$B$4:$AR$4)-COLUMN(Curves!$B$4)+1&lt;=AR$3-Projects!$C$19+1))),0)+IF(AND(Projects!$G$23="Yes",Projects!$F$23="Yes",AR$3&gt;=Projects!$C$23,AR$3&lt;Projects!$C$23+Projects!$D$23),Projects!$B$23*(1-SUMPRODUCT((Curves!$B$4:$AR$4)*(COLUMN(Curves!$B$4:$AR$4)-COLUMN(Curves!$B$4)+1&lt;=AR$3-Projects!$C$23+1))),0)+IF(AND(Projects!$G$28="Yes",Projects!$F$28="Yes",AR$3&gt;=Projects!$C$28,AR$3&lt;Projects!$C$28+Projects!$D$28),Projects!$B$28*(1-SUMPRODUCT((Curves!$B$4:$AR$4)*(COLUMN(Curves!$B$4:$AR$4)-COLUMN(Curves!$B$4)+1&lt;=AR$3-Projects!$C$28+1))),0)+IF(AND(Projects!$G$34="Yes",Projects!$F$34="Yes",AR$3&gt;=Projects!$C$34,AR$3&lt;Projects!$C$34+Projects!$D$34),Projects!$B$34*(1-SUMPRODUCT((Curves!$B$4:$AR$4)*(COLUMN(Curves!$B$4:$AR$4)-COLUMN(Curves!$B$4)+1&lt;=AR$3-Projects!$C$34+1))),0)+IF(AND(Projects!$G$40="Yes",Projects!$F$40="Yes",AR$3&gt;=Projects!$C$40,AR$3&lt;Projects!$C$40+Projects!$D$40),Projects!$B$40*(1-SUMPRODUCT((Curves!$B$4:$AR$4)*(COLUMN(Curves!$B$4:$AR$4)-COLUMN(Curves!$B$4)+1&lt;=AR$3-Projects!$C$40+1))),0)+IF(AND(Projects!$G$46="Yes",Projects!$F$46="Yes",AR$3&gt;=Projects!$C$46,AR$3&lt;Projects!$C$46+Projects!$D$46),Projects!$B$46*(1-SUMPRODUCT((Curves!$B$4:$AR$4)*(COLUMN(Curves!$B$4:$AR$4)-COLUMN(Curves!$B$4)+1&lt;=AR$3-Projects!$C$46+1))),0)</f>
        <v/>
      </c>
      <c r="AS261" s="392">
        <f>IF(AND(Projects!$G$17="Yes",Projects!$F$17="Yes",AS$3&gt;=Projects!$C$17,AS$3&lt;Projects!$C$17+Projects!$D$17),Projects!$B$17*(1-SUMPRODUCT((Curves!$B$4:$AR$4)*(COLUMN(Curves!$B$4:$AR$4)-COLUMN(Curves!$B$4)+1&lt;=AS$3-Projects!$C$17+1))),0)+IF(AND(Projects!$G$18="Yes",Projects!$F$18="Yes",AS$3&gt;=Projects!$C$18,AS$3&lt;Projects!$C$18+Projects!$D$18),Projects!$B$18*(1-SUMPRODUCT((Curves!$B$4:$AR$4)*(COLUMN(Curves!$B$4:$AR$4)-COLUMN(Curves!$B$4)+1&lt;=AS$3-Projects!$C$18+1))),0)+IF(AND(Projects!$G$19="Yes",Projects!$F$19="Yes",AS$3&gt;=Projects!$C$19,AS$3&lt;Projects!$C$19+Projects!$D$19),Projects!$B$19*(1-SUMPRODUCT((Curves!$B$4:$AR$4)*(COLUMN(Curves!$B$4:$AR$4)-COLUMN(Curves!$B$4)+1&lt;=AS$3-Projects!$C$19+1))),0)+IF(AND(Projects!$G$23="Yes",Projects!$F$23="Yes",AS$3&gt;=Projects!$C$23,AS$3&lt;Projects!$C$23+Projects!$D$23),Projects!$B$23*(1-SUMPRODUCT((Curves!$B$4:$AR$4)*(COLUMN(Curves!$B$4:$AR$4)-COLUMN(Curves!$B$4)+1&lt;=AS$3-Projects!$C$23+1))),0)+IF(AND(Projects!$G$28="Yes",Projects!$F$28="Yes",AS$3&gt;=Projects!$C$28,AS$3&lt;Projects!$C$28+Projects!$D$28),Projects!$B$28*(1-SUMPRODUCT((Curves!$B$4:$AR$4)*(COLUMN(Curves!$B$4:$AR$4)-COLUMN(Curves!$B$4)+1&lt;=AS$3-Projects!$C$28+1))),0)+IF(AND(Projects!$G$34="Yes",Projects!$F$34="Yes",AS$3&gt;=Projects!$C$34,AS$3&lt;Projects!$C$34+Projects!$D$34),Projects!$B$34*(1-SUMPRODUCT((Curves!$B$4:$AR$4)*(COLUMN(Curves!$B$4:$AR$4)-COLUMN(Curves!$B$4)+1&lt;=AS$3-Projects!$C$34+1))),0)+IF(AND(Projects!$G$40="Yes",Projects!$F$40="Yes",AS$3&gt;=Projects!$C$40,AS$3&lt;Projects!$C$40+Projects!$D$40),Projects!$B$40*(1-SUMPRODUCT((Curves!$B$4:$AR$4)*(COLUMN(Curves!$B$4:$AR$4)-COLUMN(Curves!$B$4)+1&lt;=AS$3-Projects!$C$40+1))),0)+IF(AND(Projects!$G$46="Yes",Projects!$F$46="Yes",AS$3&gt;=Projects!$C$46,AS$3&lt;Projects!$C$46+Projects!$D$46),Projects!$B$46*(1-SUMPRODUCT((Curves!$B$4:$AR$4)*(COLUMN(Curves!$B$4:$AR$4)-COLUMN(Curves!$B$4)+1&lt;=AS$3-Projects!$C$46+1))),0)</f>
        <v/>
      </c>
      <c r="AT261" s="392">
        <f>IF(AND(Projects!$G$17="Yes",Projects!$F$17="Yes",AT$3&gt;=Projects!$C$17,AT$3&lt;Projects!$C$17+Projects!$D$17),Projects!$B$17*(1-SUMPRODUCT((Curves!$B$4:$AR$4)*(COLUMN(Curves!$B$4:$AR$4)-COLUMN(Curves!$B$4)+1&lt;=AT$3-Projects!$C$17+1))),0)+IF(AND(Projects!$G$18="Yes",Projects!$F$18="Yes",AT$3&gt;=Projects!$C$18,AT$3&lt;Projects!$C$18+Projects!$D$18),Projects!$B$18*(1-SUMPRODUCT((Curves!$B$4:$AR$4)*(COLUMN(Curves!$B$4:$AR$4)-COLUMN(Curves!$B$4)+1&lt;=AT$3-Projects!$C$18+1))),0)+IF(AND(Projects!$G$19="Yes",Projects!$F$19="Yes",AT$3&gt;=Projects!$C$19,AT$3&lt;Projects!$C$19+Projects!$D$19),Projects!$B$19*(1-SUMPRODUCT((Curves!$B$4:$AR$4)*(COLUMN(Curves!$B$4:$AR$4)-COLUMN(Curves!$B$4)+1&lt;=AT$3-Projects!$C$19+1))),0)+IF(AND(Projects!$G$23="Yes",Projects!$F$23="Yes",AT$3&gt;=Projects!$C$23,AT$3&lt;Projects!$C$23+Projects!$D$23),Projects!$B$23*(1-SUMPRODUCT((Curves!$B$4:$AR$4)*(COLUMN(Curves!$B$4:$AR$4)-COLUMN(Curves!$B$4)+1&lt;=AT$3-Projects!$C$23+1))),0)+IF(AND(Projects!$G$28="Yes",Projects!$F$28="Yes",AT$3&gt;=Projects!$C$28,AT$3&lt;Projects!$C$28+Projects!$D$28),Projects!$B$28*(1-SUMPRODUCT((Curves!$B$4:$AR$4)*(COLUMN(Curves!$B$4:$AR$4)-COLUMN(Curves!$B$4)+1&lt;=AT$3-Projects!$C$28+1))),0)+IF(AND(Projects!$G$34="Yes",Projects!$F$34="Yes",AT$3&gt;=Projects!$C$34,AT$3&lt;Projects!$C$34+Projects!$D$34),Projects!$B$34*(1-SUMPRODUCT((Curves!$B$4:$AR$4)*(COLUMN(Curves!$B$4:$AR$4)-COLUMN(Curves!$B$4)+1&lt;=AT$3-Projects!$C$34+1))),0)+IF(AND(Projects!$G$40="Yes",Projects!$F$40="Yes",AT$3&gt;=Projects!$C$40,AT$3&lt;Projects!$C$40+Projects!$D$40),Projects!$B$40*(1-SUMPRODUCT((Curves!$B$4:$AR$4)*(COLUMN(Curves!$B$4:$AR$4)-COLUMN(Curves!$B$4)+1&lt;=AT$3-Projects!$C$40+1))),0)+IF(AND(Projects!$G$46="Yes",Projects!$F$46="Yes",AT$3&gt;=Projects!$C$46,AT$3&lt;Projects!$C$46+Projects!$D$46),Projects!$B$46*(1-SUMPRODUCT((Curves!$B$4:$AR$4)*(COLUMN(Curves!$B$4:$AR$4)-COLUMN(Curves!$B$4)+1&lt;=AT$3-Projects!$C$46+1))),0)</f>
        <v/>
      </c>
      <c r="AU261" s="392">
        <f>IF(AND(Projects!$G$17="Yes",Projects!$F$17="Yes",AU$3&gt;=Projects!$C$17,AU$3&lt;Projects!$C$17+Projects!$D$17),Projects!$B$17*(1-SUMPRODUCT((Curves!$B$4:$AR$4)*(COLUMN(Curves!$B$4:$AR$4)-COLUMN(Curves!$B$4)+1&lt;=AU$3-Projects!$C$17+1))),0)+IF(AND(Projects!$G$18="Yes",Projects!$F$18="Yes",AU$3&gt;=Projects!$C$18,AU$3&lt;Projects!$C$18+Projects!$D$18),Projects!$B$18*(1-SUMPRODUCT((Curves!$B$4:$AR$4)*(COLUMN(Curves!$B$4:$AR$4)-COLUMN(Curves!$B$4)+1&lt;=AU$3-Projects!$C$18+1))),0)+IF(AND(Projects!$G$19="Yes",Projects!$F$19="Yes",AU$3&gt;=Projects!$C$19,AU$3&lt;Projects!$C$19+Projects!$D$19),Projects!$B$19*(1-SUMPRODUCT((Curves!$B$4:$AR$4)*(COLUMN(Curves!$B$4:$AR$4)-COLUMN(Curves!$B$4)+1&lt;=AU$3-Projects!$C$19+1))),0)+IF(AND(Projects!$G$23="Yes",Projects!$F$23="Yes",AU$3&gt;=Projects!$C$23,AU$3&lt;Projects!$C$23+Projects!$D$23),Projects!$B$23*(1-SUMPRODUCT((Curves!$B$4:$AR$4)*(COLUMN(Curves!$B$4:$AR$4)-COLUMN(Curves!$B$4)+1&lt;=AU$3-Projects!$C$23+1))),0)+IF(AND(Projects!$G$28="Yes",Projects!$F$28="Yes",AU$3&gt;=Projects!$C$28,AU$3&lt;Projects!$C$28+Projects!$D$28),Projects!$B$28*(1-SUMPRODUCT((Curves!$B$4:$AR$4)*(COLUMN(Curves!$B$4:$AR$4)-COLUMN(Curves!$B$4)+1&lt;=AU$3-Projects!$C$28+1))),0)+IF(AND(Projects!$G$34="Yes",Projects!$F$34="Yes",AU$3&gt;=Projects!$C$34,AU$3&lt;Projects!$C$34+Projects!$D$34),Projects!$B$34*(1-SUMPRODUCT((Curves!$B$4:$AR$4)*(COLUMN(Curves!$B$4:$AR$4)-COLUMN(Curves!$B$4)+1&lt;=AU$3-Projects!$C$34+1))),0)+IF(AND(Projects!$G$40="Yes",Projects!$F$40="Yes",AU$3&gt;=Projects!$C$40,AU$3&lt;Projects!$C$40+Projects!$D$40),Projects!$B$40*(1-SUMPRODUCT((Curves!$B$4:$AR$4)*(COLUMN(Curves!$B$4:$AR$4)-COLUMN(Curves!$B$4)+1&lt;=AU$3-Projects!$C$40+1))),0)+IF(AND(Projects!$G$46="Yes",Projects!$F$46="Yes",AU$3&gt;=Projects!$C$46,AU$3&lt;Projects!$C$46+Projects!$D$46),Projects!$B$46*(1-SUMPRODUCT((Curves!$B$4:$AR$4)*(COLUMN(Curves!$B$4:$AR$4)-COLUMN(Curves!$B$4)+1&lt;=AU$3-Projects!$C$46+1))),0)</f>
        <v/>
      </c>
      <c r="AV261" s="392">
        <f>IF(AND(Projects!$G$17="Yes",Projects!$F$17="Yes",AV$3&gt;=Projects!$C$17,AV$3&lt;Projects!$C$17+Projects!$D$17),Projects!$B$17*(1-SUMPRODUCT((Curves!$B$4:$AR$4)*(COLUMN(Curves!$B$4:$AR$4)-COLUMN(Curves!$B$4)+1&lt;=AV$3-Projects!$C$17+1))),0)+IF(AND(Projects!$G$18="Yes",Projects!$F$18="Yes",AV$3&gt;=Projects!$C$18,AV$3&lt;Projects!$C$18+Projects!$D$18),Projects!$B$18*(1-SUMPRODUCT((Curves!$B$4:$AR$4)*(COLUMN(Curves!$B$4:$AR$4)-COLUMN(Curves!$B$4)+1&lt;=AV$3-Projects!$C$18+1))),0)+IF(AND(Projects!$G$19="Yes",Projects!$F$19="Yes",AV$3&gt;=Projects!$C$19,AV$3&lt;Projects!$C$19+Projects!$D$19),Projects!$B$19*(1-SUMPRODUCT((Curves!$B$4:$AR$4)*(COLUMN(Curves!$B$4:$AR$4)-COLUMN(Curves!$B$4)+1&lt;=AV$3-Projects!$C$19+1))),0)+IF(AND(Projects!$G$23="Yes",Projects!$F$23="Yes",AV$3&gt;=Projects!$C$23,AV$3&lt;Projects!$C$23+Projects!$D$23),Projects!$B$23*(1-SUMPRODUCT((Curves!$B$4:$AR$4)*(COLUMN(Curves!$B$4:$AR$4)-COLUMN(Curves!$B$4)+1&lt;=AV$3-Projects!$C$23+1))),0)+IF(AND(Projects!$G$28="Yes",Projects!$F$28="Yes",AV$3&gt;=Projects!$C$28,AV$3&lt;Projects!$C$28+Projects!$D$28),Projects!$B$28*(1-SUMPRODUCT((Curves!$B$4:$AR$4)*(COLUMN(Curves!$B$4:$AR$4)-COLUMN(Curves!$B$4)+1&lt;=AV$3-Projects!$C$28+1))),0)+IF(AND(Projects!$G$34="Yes",Projects!$F$34="Yes",AV$3&gt;=Projects!$C$34,AV$3&lt;Projects!$C$34+Projects!$D$34),Projects!$B$34*(1-SUMPRODUCT((Curves!$B$4:$AR$4)*(COLUMN(Curves!$B$4:$AR$4)-COLUMN(Curves!$B$4)+1&lt;=AV$3-Projects!$C$34+1))),0)+IF(AND(Projects!$G$40="Yes",Projects!$F$40="Yes",AV$3&gt;=Projects!$C$40,AV$3&lt;Projects!$C$40+Projects!$D$40),Projects!$B$40*(1-SUMPRODUCT((Curves!$B$4:$AR$4)*(COLUMN(Curves!$B$4:$AR$4)-COLUMN(Curves!$B$4)+1&lt;=AV$3-Projects!$C$40+1))),0)+IF(AND(Projects!$G$46="Yes",Projects!$F$46="Yes",AV$3&gt;=Projects!$C$46,AV$3&lt;Projects!$C$46+Projects!$D$46),Projects!$B$46*(1-SUMPRODUCT((Curves!$B$4:$AR$4)*(COLUMN(Curves!$B$4:$AR$4)-COLUMN(Curves!$B$4)+1&lt;=AV$3-Projects!$C$46+1))),0)</f>
        <v/>
      </c>
      <c r="AW261" s="392">
        <f>IF(AND(Projects!$G$17="Yes",Projects!$F$17="Yes",AW$3&gt;=Projects!$C$17,AW$3&lt;Projects!$C$17+Projects!$D$17),Projects!$B$17*(1-SUMPRODUCT((Curves!$B$4:$AR$4)*(COLUMN(Curves!$B$4:$AR$4)-COLUMN(Curves!$B$4)+1&lt;=AW$3-Projects!$C$17+1))),0)+IF(AND(Projects!$G$18="Yes",Projects!$F$18="Yes",AW$3&gt;=Projects!$C$18,AW$3&lt;Projects!$C$18+Projects!$D$18),Projects!$B$18*(1-SUMPRODUCT((Curves!$B$4:$AR$4)*(COLUMN(Curves!$B$4:$AR$4)-COLUMN(Curves!$B$4)+1&lt;=AW$3-Projects!$C$18+1))),0)+IF(AND(Projects!$G$19="Yes",Projects!$F$19="Yes",AW$3&gt;=Projects!$C$19,AW$3&lt;Projects!$C$19+Projects!$D$19),Projects!$B$19*(1-SUMPRODUCT((Curves!$B$4:$AR$4)*(COLUMN(Curves!$B$4:$AR$4)-COLUMN(Curves!$B$4)+1&lt;=AW$3-Projects!$C$19+1))),0)+IF(AND(Projects!$G$23="Yes",Projects!$F$23="Yes",AW$3&gt;=Projects!$C$23,AW$3&lt;Projects!$C$23+Projects!$D$23),Projects!$B$23*(1-SUMPRODUCT((Curves!$B$4:$AR$4)*(COLUMN(Curves!$B$4:$AR$4)-COLUMN(Curves!$B$4)+1&lt;=AW$3-Projects!$C$23+1))),0)+IF(AND(Projects!$G$28="Yes",Projects!$F$28="Yes",AW$3&gt;=Projects!$C$28,AW$3&lt;Projects!$C$28+Projects!$D$28),Projects!$B$28*(1-SUMPRODUCT((Curves!$B$4:$AR$4)*(COLUMN(Curves!$B$4:$AR$4)-COLUMN(Curves!$B$4)+1&lt;=AW$3-Projects!$C$28+1))),0)+IF(AND(Projects!$G$34="Yes",Projects!$F$34="Yes",AW$3&gt;=Projects!$C$34,AW$3&lt;Projects!$C$34+Projects!$D$34),Projects!$B$34*(1-SUMPRODUCT((Curves!$B$4:$AR$4)*(COLUMN(Curves!$B$4:$AR$4)-COLUMN(Curves!$B$4)+1&lt;=AW$3-Projects!$C$34+1))),0)+IF(AND(Projects!$G$40="Yes",Projects!$F$40="Yes",AW$3&gt;=Projects!$C$40,AW$3&lt;Projects!$C$40+Projects!$D$40),Projects!$B$40*(1-SUMPRODUCT((Curves!$B$4:$AR$4)*(COLUMN(Curves!$B$4:$AR$4)-COLUMN(Curves!$B$4)+1&lt;=AW$3-Projects!$C$40+1))),0)+IF(AND(Projects!$G$46="Yes",Projects!$F$46="Yes",AW$3&gt;=Projects!$C$46,AW$3&lt;Projects!$C$46+Projects!$D$46),Projects!$B$46*(1-SUMPRODUCT((Curves!$B$4:$AR$4)*(COLUMN(Curves!$B$4:$AR$4)-COLUMN(Curves!$B$4)+1&lt;=AW$3-Projects!$C$46+1))),0)</f>
        <v/>
      </c>
      <c r="AX261" s="392">
        <f>IF(AND(Projects!$G$17="Yes",Projects!$F$17="Yes",AX$3&gt;=Projects!$C$17,AX$3&lt;Projects!$C$17+Projects!$D$17),Projects!$B$17*(1-SUMPRODUCT((Curves!$B$4:$AR$4)*(COLUMN(Curves!$B$4:$AR$4)-COLUMN(Curves!$B$4)+1&lt;=AX$3-Projects!$C$17+1))),0)+IF(AND(Projects!$G$18="Yes",Projects!$F$18="Yes",AX$3&gt;=Projects!$C$18,AX$3&lt;Projects!$C$18+Projects!$D$18),Projects!$B$18*(1-SUMPRODUCT((Curves!$B$4:$AR$4)*(COLUMN(Curves!$B$4:$AR$4)-COLUMN(Curves!$B$4)+1&lt;=AX$3-Projects!$C$18+1))),0)+IF(AND(Projects!$G$19="Yes",Projects!$F$19="Yes",AX$3&gt;=Projects!$C$19,AX$3&lt;Projects!$C$19+Projects!$D$19),Projects!$B$19*(1-SUMPRODUCT((Curves!$B$4:$AR$4)*(COLUMN(Curves!$B$4:$AR$4)-COLUMN(Curves!$B$4)+1&lt;=AX$3-Projects!$C$19+1))),0)+IF(AND(Projects!$G$23="Yes",Projects!$F$23="Yes",AX$3&gt;=Projects!$C$23,AX$3&lt;Projects!$C$23+Projects!$D$23),Projects!$B$23*(1-SUMPRODUCT((Curves!$B$4:$AR$4)*(COLUMN(Curves!$B$4:$AR$4)-COLUMN(Curves!$B$4)+1&lt;=AX$3-Projects!$C$23+1))),0)+IF(AND(Projects!$G$28="Yes",Projects!$F$28="Yes",AX$3&gt;=Projects!$C$28,AX$3&lt;Projects!$C$28+Projects!$D$28),Projects!$B$28*(1-SUMPRODUCT((Curves!$B$4:$AR$4)*(COLUMN(Curves!$B$4:$AR$4)-COLUMN(Curves!$B$4)+1&lt;=AX$3-Projects!$C$28+1))),0)+IF(AND(Projects!$G$34="Yes",Projects!$F$34="Yes",AX$3&gt;=Projects!$C$34,AX$3&lt;Projects!$C$34+Projects!$D$34),Projects!$B$34*(1-SUMPRODUCT((Curves!$B$4:$AR$4)*(COLUMN(Curves!$B$4:$AR$4)-COLUMN(Curves!$B$4)+1&lt;=AX$3-Projects!$C$34+1))),0)+IF(AND(Projects!$G$40="Yes",Projects!$F$40="Yes",AX$3&gt;=Projects!$C$40,AX$3&lt;Projects!$C$40+Projects!$D$40),Projects!$B$40*(1-SUMPRODUCT((Curves!$B$4:$AR$4)*(COLUMN(Curves!$B$4:$AR$4)-COLUMN(Curves!$B$4)+1&lt;=AX$3-Projects!$C$40+1))),0)+IF(AND(Projects!$G$46="Yes",Projects!$F$46="Yes",AX$3&gt;=Projects!$C$46,AX$3&lt;Projects!$C$46+Projects!$D$46),Projects!$B$46*(1-SUMPRODUCT((Curves!$B$4:$AR$4)*(COLUMN(Curves!$B$4:$AR$4)-COLUMN(Curves!$B$4)+1&lt;=AX$3-Projects!$C$46+1))),0)</f>
        <v/>
      </c>
      <c r="AY261" s="392">
        <f>IF(AND(Projects!$G$17="Yes",Projects!$F$17="Yes",AY$3&gt;=Projects!$C$17,AY$3&lt;Projects!$C$17+Projects!$D$17),Projects!$B$17*(1-SUMPRODUCT((Curves!$B$4:$AR$4)*(COLUMN(Curves!$B$4:$AR$4)-COLUMN(Curves!$B$4)+1&lt;=AY$3-Projects!$C$17+1))),0)+IF(AND(Projects!$G$18="Yes",Projects!$F$18="Yes",AY$3&gt;=Projects!$C$18,AY$3&lt;Projects!$C$18+Projects!$D$18),Projects!$B$18*(1-SUMPRODUCT((Curves!$B$4:$AR$4)*(COLUMN(Curves!$B$4:$AR$4)-COLUMN(Curves!$B$4)+1&lt;=AY$3-Projects!$C$18+1))),0)+IF(AND(Projects!$G$19="Yes",Projects!$F$19="Yes",AY$3&gt;=Projects!$C$19,AY$3&lt;Projects!$C$19+Projects!$D$19),Projects!$B$19*(1-SUMPRODUCT((Curves!$B$4:$AR$4)*(COLUMN(Curves!$B$4:$AR$4)-COLUMN(Curves!$B$4)+1&lt;=AY$3-Projects!$C$19+1))),0)+IF(AND(Projects!$G$23="Yes",Projects!$F$23="Yes",AY$3&gt;=Projects!$C$23,AY$3&lt;Projects!$C$23+Projects!$D$23),Projects!$B$23*(1-SUMPRODUCT((Curves!$B$4:$AR$4)*(COLUMN(Curves!$B$4:$AR$4)-COLUMN(Curves!$B$4)+1&lt;=AY$3-Projects!$C$23+1))),0)+IF(AND(Projects!$G$28="Yes",Projects!$F$28="Yes",AY$3&gt;=Projects!$C$28,AY$3&lt;Projects!$C$28+Projects!$D$28),Projects!$B$28*(1-SUMPRODUCT((Curves!$B$4:$AR$4)*(COLUMN(Curves!$B$4:$AR$4)-COLUMN(Curves!$B$4)+1&lt;=AY$3-Projects!$C$28+1))),0)+IF(AND(Projects!$G$34="Yes",Projects!$F$34="Yes",AY$3&gt;=Projects!$C$34,AY$3&lt;Projects!$C$34+Projects!$D$34),Projects!$B$34*(1-SUMPRODUCT((Curves!$B$4:$AR$4)*(COLUMN(Curves!$B$4:$AR$4)-COLUMN(Curves!$B$4)+1&lt;=AY$3-Projects!$C$34+1))),0)+IF(AND(Projects!$G$40="Yes",Projects!$F$40="Yes",AY$3&gt;=Projects!$C$40,AY$3&lt;Projects!$C$40+Projects!$D$40),Projects!$B$40*(1-SUMPRODUCT((Curves!$B$4:$AR$4)*(COLUMN(Curves!$B$4:$AR$4)-COLUMN(Curves!$B$4)+1&lt;=AY$3-Projects!$C$40+1))),0)+IF(AND(Projects!$G$46="Yes",Projects!$F$46="Yes",AY$3&gt;=Projects!$C$46,AY$3&lt;Projects!$C$46+Projects!$D$46),Projects!$B$46*(1-SUMPRODUCT((Curves!$B$4:$AR$4)*(COLUMN(Curves!$B$4:$AR$4)-COLUMN(Curves!$B$4)+1&lt;=AY$3-Projects!$C$46+1))),0)</f>
        <v/>
      </c>
      <c r="AZ261" s="392">
        <f>IF(AND(Projects!$G$17="Yes",Projects!$F$17="Yes",AZ$3&gt;=Projects!$C$17,AZ$3&lt;Projects!$C$17+Projects!$D$17),Projects!$B$17*(1-SUMPRODUCT((Curves!$B$4:$AR$4)*(COLUMN(Curves!$B$4:$AR$4)-COLUMN(Curves!$B$4)+1&lt;=AZ$3-Projects!$C$17+1))),0)+IF(AND(Projects!$G$18="Yes",Projects!$F$18="Yes",AZ$3&gt;=Projects!$C$18,AZ$3&lt;Projects!$C$18+Projects!$D$18),Projects!$B$18*(1-SUMPRODUCT((Curves!$B$4:$AR$4)*(COLUMN(Curves!$B$4:$AR$4)-COLUMN(Curves!$B$4)+1&lt;=AZ$3-Projects!$C$18+1))),0)+IF(AND(Projects!$G$19="Yes",Projects!$F$19="Yes",AZ$3&gt;=Projects!$C$19,AZ$3&lt;Projects!$C$19+Projects!$D$19),Projects!$B$19*(1-SUMPRODUCT((Curves!$B$4:$AR$4)*(COLUMN(Curves!$B$4:$AR$4)-COLUMN(Curves!$B$4)+1&lt;=AZ$3-Projects!$C$19+1))),0)+IF(AND(Projects!$G$23="Yes",Projects!$F$23="Yes",AZ$3&gt;=Projects!$C$23,AZ$3&lt;Projects!$C$23+Projects!$D$23),Projects!$B$23*(1-SUMPRODUCT((Curves!$B$4:$AR$4)*(COLUMN(Curves!$B$4:$AR$4)-COLUMN(Curves!$B$4)+1&lt;=AZ$3-Projects!$C$23+1))),0)+IF(AND(Projects!$G$28="Yes",Projects!$F$28="Yes",AZ$3&gt;=Projects!$C$28,AZ$3&lt;Projects!$C$28+Projects!$D$28),Projects!$B$28*(1-SUMPRODUCT((Curves!$B$4:$AR$4)*(COLUMN(Curves!$B$4:$AR$4)-COLUMN(Curves!$B$4)+1&lt;=AZ$3-Projects!$C$28+1))),0)+IF(AND(Projects!$G$34="Yes",Projects!$F$34="Yes",AZ$3&gt;=Projects!$C$34,AZ$3&lt;Projects!$C$34+Projects!$D$34),Projects!$B$34*(1-SUMPRODUCT((Curves!$B$4:$AR$4)*(COLUMN(Curves!$B$4:$AR$4)-COLUMN(Curves!$B$4)+1&lt;=AZ$3-Projects!$C$34+1))),0)+IF(AND(Projects!$G$40="Yes",Projects!$F$40="Yes",AZ$3&gt;=Projects!$C$40,AZ$3&lt;Projects!$C$40+Projects!$D$40),Projects!$B$40*(1-SUMPRODUCT((Curves!$B$4:$AR$4)*(COLUMN(Curves!$B$4:$AR$4)-COLUMN(Curves!$B$4)+1&lt;=AZ$3-Projects!$C$40+1))),0)+IF(AND(Projects!$G$46="Yes",Projects!$F$46="Yes",AZ$3&gt;=Projects!$C$46,AZ$3&lt;Projects!$C$46+Projects!$D$46),Projects!$B$46*(1-SUMPRODUCT((Curves!$B$4:$AR$4)*(COLUMN(Curves!$B$4:$AR$4)-COLUMN(Curves!$B$4)+1&lt;=AZ$3-Projects!$C$46+1))),0)</f>
        <v/>
      </c>
      <c r="BA261" s="392">
        <f>IF(AND(Projects!$G$17="Yes",Projects!$F$17="Yes",BA$3&gt;=Projects!$C$17,BA$3&lt;Projects!$C$17+Projects!$D$17),Projects!$B$17*(1-SUMPRODUCT((Curves!$B$4:$AR$4)*(COLUMN(Curves!$B$4:$AR$4)-COLUMN(Curves!$B$4)+1&lt;=BA$3-Projects!$C$17+1))),0)+IF(AND(Projects!$G$18="Yes",Projects!$F$18="Yes",BA$3&gt;=Projects!$C$18,BA$3&lt;Projects!$C$18+Projects!$D$18),Projects!$B$18*(1-SUMPRODUCT((Curves!$B$4:$AR$4)*(COLUMN(Curves!$B$4:$AR$4)-COLUMN(Curves!$B$4)+1&lt;=BA$3-Projects!$C$18+1))),0)+IF(AND(Projects!$G$19="Yes",Projects!$F$19="Yes",BA$3&gt;=Projects!$C$19,BA$3&lt;Projects!$C$19+Projects!$D$19),Projects!$B$19*(1-SUMPRODUCT((Curves!$B$4:$AR$4)*(COLUMN(Curves!$B$4:$AR$4)-COLUMN(Curves!$B$4)+1&lt;=BA$3-Projects!$C$19+1))),0)+IF(AND(Projects!$G$23="Yes",Projects!$F$23="Yes",BA$3&gt;=Projects!$C$23,BA$3&lt;Projects!$C$23+Projects!$D$23),Projects!$B$23*(1-SUMPRODUCT((Curves!$B$4:$AR$4)*(COLUMN(Curves!$B$4:$AR$4)-COLUMN(Curves!$B$4)+1&lt;=BA$3-Projects!$C$23+1))),0)+IF(AND(Projects!$G$28="Yes",Projects!$F$28="Yes",BA$3&gt;=Projects!$C$28,BA$3&lt;Projects!$C$28+Projects!$D$28),Projects!$B$28*(1-SUMPRODUCT((Curves!$B$4:$AR$4)*(COLUMN(Curves!$B$4:$AR$4)-COLUMN(Curves!$B$4)+1&lt;=BA$3-Projects!$C$28+1))),0)+IF(AND(Projects!$G$34="Yes",Projects!$F$34="Yes",BA$3&gt;=Projects!$C$34,BA$3&lt;Projects!$C$34+Projects!$D$34),Projects!$B$34*(1-SUMPRODUCT((Curves!$B$4:$AR$4)*(COLUMN(Curves!$B$4:$AR$4)-COLUMN(Curves!$B$4)+1&lt;=BA$3-Projects!$C$34+1))),0)+IF(AND(Projects!$G$40="Yes",Projects!$F$40="Yes",BA$3&gt;=Projects!$C$40,BA$3&lt;Projects!$C$40+Projects!$D$40),Projects!$B$40*(1-SUMPRODUCT((Curves!$B$4:$AR$4)*(COLUMN(Curves!$B$4:$AR$4)-COLUMN(Curves!$B$4)+1&lt;=BA$3-Projects!$C$40+1))),0)+IF(AND(Projects!$G$46="Yes",Projects!$F$46="Yes",BA$3&gt;=Projects!$C$46,BA$3&lt;Projects!$C$46+Projects!$D$46),Projects!$B$46*(1-SUMPRODUCT((Curves!$B$4:$AR$4)*(COLUMN(Curves!$B$4:$AR$4)-COLUMN(Curves!$B$4)+1&lt;=BA$3-Projects!$C$46+1))),0)</f>
        <v/>
      </c>
      <c r="BB261" s="392">
        <f>IF(AND(Projects!$G$17="Yes",Projects!$F$17="Yes",BB$3&gt;=Projects!$C$17,BB$3&lt;Projects!$C$17+Projects!$D$17),Projects!$B$17*(1-SUMPRODUCT((Curves!$B$4:$AR$4)*(COLUMN(Curves!$B$4:$AR$4)-COLUMN(Curves!$B$4)+1&lt;=BB$3-Projects!$C$17+1))),0)+IF(AND(Projects!$G$18="Yes",Projects!$F$18="Yes",BB$3&gt;=Projects!$C$18,BB$3&lt;Projects!$C$18+Projects!$D$18),Projects!$B$18*(1-SUMPRODUCT((Curves!$B$4:$AR$4)*(COLUMN(Curves!$B$4:$AR$4)-COLUMN(Curves!$B$4)+1&lt;=BB$3-Projects!$C$18+1))),0)+IF(AND(Projects!$G$19="Yes",Projects!$F$19="Yes",BB$3&gt;=Projects!$C$19,BB$3&lt;Projects!$C$19+Projects!$D$19),Projects!$B$19*(1-SUMPRODUCT((Curves!$B$4:$AR$4)*(COLUMN(Curves!$B$4:$AR$4)-COLUMN(Curves!$B$4)+1&lt;=BB$3-Projects!$C$19+1))),0)+IF(AND(Projects!$G$23="Yes",Projects!$F$23="Yes",BB$3&gt;=Projects!$C$23,BB$3&lt;Projects!$C$23+Projects!$D$23),Projects!$B$23*(1-SUMPRODUCT((Curves!$B$4:$AR$4)*(COLUMN(Curves!$B$4:$AR$4)-COLUMN(Curves!$B$4)+1&lt;=BB$3-Projects!$C$23+1))),0)+IF(AND(Projects!$G$28="Yes",Projects!$F$28="Yes",BB$3&gt;=Projects!$C$28,BB$3&lt;Projects!$C$28+Projects!$D$28),Projects!$B$28*(1-SUMPRODUCT((Curves!$B$4:$AR$4)*(COLUMN(Curves!$B$4:$AR$4)-COLUMN(Curves!$B$4)+1&lt;=BB$3-Projects!$C$28+1))),0)+IF(AND(Projects!$G$34="Yes",Projects!$F$34="Yes",BB$3&gt;=Projects!$C$34,BB$3&lt;Projects!$C$34+Projects!$D$34),Projects!$B$34*(1-SUMPRODUCT((Curves!$B$4:$AR$4)*(COLUMN(Curves!$B$4:$AR$4)-COLUMN(Curves!$B$4)+1&lt;=BB$3-Projects!$C$34+1))),0)+IF(AND(Projects!$G$40="Yes",Projects!$F$40="Yes",BB$3&gt;=Projects!$C$40,BB$3&lt;Projects!$C$40+Projects!$D$40),Projects!$B$40*(1-SUMPRODUCT((Curves!$B$4:$AR$4)*(COLUMN(Curves!$B$4:$AR$4)-COLUMN(Curves!$B$4)+1&lt;=BB$3-Projects!$C$40+1))),0)+IF(AND(Projects!$G$46="Yes",Projects!$F$46="Yes",BB$3&gt;=Projects!$C$46,BB$3&lt;Projects!$C$46+Projects!$D$46),Projects!$B$46*(1-SUMPRODUCT((Curves!$B$4:$AR$4)*(COLUMN(Curves!$B$4:$AR$4)-COLUMN(Curves!$B$4)+1&lt;=BB$3-Projects!$C$46+1))),0)</f>
        <v/>
      </c>
      <c r="BC261" s="392">
        <f>IF(AND(Projects!$G$17="Yes",Projects!$F$17="Yes",BC$3&gt;=Projects!$C$17,BC$3&lt;Projects!$C$17+Projects!$D$17),Projects!$B$17*(1-SUMPRODUCT((Curves!$B$4:$AR$4)*(COLUMN(Curves!$B$4:$AR$4)-COLUMN(Curves!$B$4)+1&lt;=BC$3-Projects!$C$17+1))),0)+IF(AND(Projects!$G$18="Yes",Projects!$F$18="Yes",BC$3&gt;=Projects!$C$18,BC$3&lt;Projects!$C$18+Projects!$D$18),Projects!$B$18*(1-SUMPRODUCT((Curves!$B$4:$AR$4)*(COLUMN(Curves!$B$4:$AR$4)-COLUMN(Curves!$B$4)+1&lt;=BC$3-Projects!$C$18+1))),0)+IF(AND(Projects!$G$19="Yes",Projects!$F$19="Yes",BC$3&gt;=Projects!$C$19,BC$3&lt;Projects!$C$19+Projects!$D$19),Projects!$B$19*(1-SUMPRODUCT((Curves!$B$4:$AR$4)*(COLUMN(Curves!$B$4:$AR$4)-COLUMN(Curves!$B$4)+1&lt;=BC$3-Projects!$C$19+1))),0)+IF(AND(Projects!$G$23="Yes",Projects!$F$23="Yes",BC$3&gt;=Projects!$C$23,BC$3&lt;Projects!$C$23+Projects!$D$23),Projects!$B$23*(1-SUMPRODUCT((Curves!$B$4:$AR$4)*(COLUMN(Curves!$B$4:$AR$4)-COLUMN(Curves!$B$4)+1&lt;=BC$3-Projects!$C$23+1))),0)+IF(AND(Projects!$G$28="Yes",Projects!$F$28="Yes",BC$3&gt;=Projects!$C$28,BC$3&lt;Projects!$C$28+Projects!$D$28),Projects!$B$28*(1-SUMPRODUCT((Curves!$B$4:$AR$4)*(COLUMN(Curves!$B$4:$AR$4)-COLUMN(Curves!$B$4)+1&lt;=BC$3-Projects!$C$28+1))),0)+IF(AND(Projects!$G$34="Yes",Projects!$F$34="Yes",BC$3&gt;=Projects!$C$34,BC$3&lt;Projects!$C$34+Projects!$D$34),Projects!$B$34*(1-SUMPRODUCT((Curves!$B$4:$AR$4)*(COLUMN(Curves!$B$4:$AR$4)-COLUMN(Curves!$B$4)+1&lt;=BC$3-Projects!$C$34+1))),0)+IF(AND(Projects!$G$40="Yes",Projects!$F$40="Yes",BC$3&gt;=Projects!$C$40,BC$3&lt;Projects!$C$40+Projects!$D$40),Projects!$B$40*(1-SUMPRODUCT((Curves!$B$4:$AR$4)*(COLUMN(Curves!$B$4:$AR$4)-COLUMN(Curves!$B$4)+1&lt;=BC$3-Projects!$C$40+1))),0)+IF(AND(Projects!$G$46="Yes",Projects!$F$46="Yes",BC$3&gt;=Projects!$C$46,BC$3&lt;Projects!$C$46+Projects!$D$46),Projects!$B$46*(1-SUMPRODUCT((Curves!$B$4:$AR$4)*(COLUMN(Curves!$B$4:$AR$4)-COLUMN(Curves!$B$4)+1&lt;=BC$3-Projects!$C$46+1))),0)</f>
        <v/>
      </c>
      <c r="BD261" s="392">
        <f>IF(AND(Projects!$G$17="Yes",Projects!$F$17="Yes",BD$3&gt;=Projects!$C$17,BD$3&lt;Projects!$C$17+Projects!$D$17),Projects!$B$17*(1-SUMPRODUCT((Curves!$B$4:$AR$4)*(COLUMN(Curves!$B$4:$AR$4)-COLUMN(Curves!$B$4)+1&lt;=BD$3-Projects!$C$17+1))),0)+IF(AND(Projects!$G$18="Yes",Projects!$F$18="Yes",BD$3&gt;=Projects!$C$18,BD$3&lt;Projects!$C$18+Projects!$D$18),Projects!$B$18*(1-SUMPRODUCT((Curves!$B$4:$AR$4)*(COLUMN(Curves!$B$4:$AR$4)-COLUMN(Curves!$B$4)+1&lt;=BD$3-Projects!$C$18+1))),0)+IF(AND(Projects!$G$19="Yes",Projects!$F$19="Yes",BD$3&gt;=Projects!$C$19,BD$3&lt;Projects!$C$19+Projects!$D$19),Projects!$B$19*(1-SUMPRODUCT((Curves!$B$4:$AR$4)*(COLUMN(Curves!$B$4:$AR$4)-COLUMN(Curves!$B$4)+1&lt;=BD$3-Projects!$C$19+1))),0)+IF(AND(Projects!$G$23="Yes",Projects!$F$23="Yes",BD$3&gt;=Projects!$C$23,BD$3&lt;Projects!$C$23+Projects!$D$23),Projects!$B$23*(1-SUMPRODUCT((Curves!$B$4:$AR$4)*(COLUMN(Curves!$B$4:$AR$4)-COLUMN(Curves!$B$4)+1&lt;=BD$3-Projects!$C$23+1))),0)+IF(AND(Projects!$G$28="Yes",Projects!$F$28="Yes",BD$3&gt;=Projects!$C$28,BD$3&lt;Projects!$C$28+Projects!$D$28),Projects!$B$28*(1-SUMPRODUCT((Curves!$B$4:$AR$4)*(COLUMN(Curves!$B$4:$AR$4)-COLUMN(Curves!$B$4)+1&lt;=BD$3-Projects!$C$28+1))),0)+IF(AND(Projects!$G$34="Yes",Projects!$F$34="Yes",BD$3&gt;=Projects!$C$34,BD$3&lt;Projects!$C$34+Projects!$D$34),Projects!$B$34*(1-SUMPRODUCT((Curves!$B$4:$AR$4)*(COLUMN(Curves!$B$4:$AR$4)-COLUMN(Curves!$B$4)+1&lt;=BD$3-Projects!$C$34+1))),0)+IF(AND(Projects!$G$40="Yes",Projects!$F$40="Yes",BD$3&gt;=Projects!$C$40,BD$3&lt;Projects!$C$40+Projects!$D$40),Projects!$B$40*(1-SUMPRODUCT((Curves!$B$4:$AR$4)*(COLUMN(Curves!$B$4:$AR$4)-COLUMN(Curves!$B$4)+1&lt;=BD$3-Projects!$C$40+1))),0)+IF(AND(Projects!$G$46="Yes",Projects!$F$46="Yes",BD$3&gt;=Projects!$C$46,BD$3&lt;Projects!$C$46+Projects!$D$46),Projects!$B$46*(1-SUMPRODUCT((Curves!$B$4:$AR$4)*(COLUMN(Curves!$B$4:$AR$4)-COLUMN(Curves!$B$4)+1&lt;=BD$3-Projects!$C$46+1))),0)</f>
        <v/>
      </c>
      <c r="BE261" s="392">
        <f>IF(AND(Projects!$G$17="Yes",Projects!$F$17="Yes",BE$3&gt;=Projects!$C$17,BE$3&lt;Projects!$C$17+Projects!$D$17),Projects!$B$17*(1-SUMPRODUCT((Curves!$B$4:$AR$4)*(COLUMN(Curves!$B$4:$AR$4)-COLUMN(Curves!$B$4)+1&lt;=BE$3-Projects!$C$17+1))),0)+IF(AND(Projects!$G$18="Yes",Projects!$F$18="Yes",BE$3&gt;=Projects!$C$18,BE$3&lt;Projects!$C$18+Projects!$D$18),Projects!$B$18*(1-SUMPRODUCT((Curves!$B$4:$AR$4)*(COLUMN(Curves!$B$4:$AR$4)-COLUMN(Curves!$B$4)+1&lt;=BE$3-Projects!$C$18+1))),0)+IF(AND(Projects!$G$19="Yes",Projects!$F$19="Yes",BE$3&gt;=Projects!$C$19,BE$3&lt;Projects!$C$19+Projects!$D$19),Projects!$B$19*(1-SUMPRODUCT((Curves!$B$4:$AR$4)*(COLUMN(Curves!$B$4:$AR$4)-COLUMN(Curves!$B$4)+1&lt;=BE$3-Projects!$C$19+1))),0)+IF(AND(Projects!$G$23="Yes",Projects!$F$23="Yes",BE$3&gt;=Projects!$C$23,BE$3&lt;Projects!$C$23+Projects!$D$23),Projects!$B$23*(1-SUMPRODUCT((Curves!$B$4:$AR$4)*(COLUMN(Curves!$B$4:$AR$4)-COLUMN(Curves!$B$4)+1&lt;=BE$3-Projects!$C$23+1))),0)+IF(AND(Projects!$G$28="Yes",Projects!$F$28="Yes",BE$3&gt;=Projects!$C$28,BE$3&lt;Projects!$C$28+Projects!$D$28),Projects!$B$28*(1-SUMPRODUCT((Curves!$B$4:$AR$4)*(COLUMN(Curves!$B$4:$AR$4)-COLUMN(Curves!$B$4)+1&lt;=BE$3-Projects!$C$28+1))),0)+IF(AND(Projects!$G$34="Yes",Projects!$F$34="Yes",BE$3&gt;=Projects!$C$34,BE$3&lt;Projects!$C$34+Projects!$D$34),Projects!$B$34*(1-SUMPRODUCT((Curves!$B$4:$AR$4)*(COLUMN(Curves!$B$4:$AR$4)-COLUMN(Curves!$B$4)+1&lt;=BE$3-Projects!$C$34+1))),0)+IF(AND(Projects!$G$40="Yes",Projects!$F$40="Yes",BE$3&gt;=Projects!$C$40,BE$3&lt;Projects!$C$40+Projects!$D$40),Projects!$B$40*(1-SUMPRODUCT((Curves!$B$4:$AR$4)*(COLUMN(Curves!$B$4:$AR$4)-COLUMN(Curves!$B$4)+1&lt;=BE$3-Projects!$C$40+1))),0)+IF(AND(Projects!$G$46="Yes",Projects!$F$46="Yes",BE$3&gt;=Projects!$C$46,BE$3&lt;Projects!$C$46+Projects!$D$46),Projects!$B$46*(1-SUMPRODUCT((Curves!$B$4:$AR$4)*(COLUMN(Curves!$B$4:$AR$4)-COLUMN(Curves!$B$4)+1&lt;=BE$3-Projects!$C$46+1))),0)</f>
        <v/>
      </c>
      <c r="BF261" s="392">
        <f>IF(AND(Projects!$G$17="Yes",Projects!$F$17="Yes",BF$3&gt;=Projects!$C$17,BF$3&lt;Projects!$C$17+Projects!$D$17),Projects!$B$17*(1-SUMPRODUCT((Curves!$B$4:$AR$4)*(COLUMN(Curves!$B$4:$AR$4)-COLUMN(Curves!$B$4)+1&lt;=BF$3-Projects!$C$17+1))),0)+IF(AND(Projects!$G$18="Yes",Projects!$F$18="Yes",BF$3&gt;=Projects!$C$18,BF$3&lt;Projects!$C$18+Projects!$D$18),Projects!$B$18*(1-SUMPRODUCT((Curves!$B$4:$AR$4)*(COLUMN(Curves!$B$4:$AR$4)-COLUMN(Curves!$B$4)+1&lt;=BF$3-Projects!$C$18+1))),0)+IF(AND(Projects!$G$19="Yes",Projects!$F$19="Yes",BF$3&gt;=Projects!$C$19,BF$3&lt;Projects!$C$19+Projects!$D$19),Projects!$B$19*(1-SUMPRODUCT((Curves!$B$4:$AR$4)*(COLUMN(Curves!$B$4:$AR$4)-COLUMN(Curves!$B$4)+1&lt;=BF$3-Projects!$C$19+1))),0)+IF(AND(Projects!$G$23="Yes",Projects!$F$23="Yes",BF$3&gt;=Projects!$C$23,BF$3&lt;Projects!$C$23+Projects!$D$23),Projects!$B$23*(1-SUMPRODUCT((Curves!$B$4:$AR$4)*(COLUMN(Curves!$B$4:$AR$4)-COLUMN(Curves!$B$4)+1&lt;=BF$3-Projects!$C$23+1))),0)+IF(AND(Projects!$G$28="Yes",Projects!$F$28="Yes",BF$3&gt;=Projects!$C$28,BF$3&lt;Projects!$C$28+Projects!$D$28),Projects!$B$28*(1-SUMPRODUCT((Curves!$B$4:$AR$4)*(COLUMN(Curves!$B$4:$AR$4)-COLUMN(Curves!$B$4)+1&lt;=BF$3-Projects!$C$28+1))),0)+IF(AND(Projects!$G$34="Yes",Projects!$F$34="Yes",BF$3&gt;=Projects!$C$34,BF$3&lt;Projects!$C$34+Projects!$D$34),Projects!$B$34*(1-SUMPRODUCT((Curves!$B$4:$AR$4)*(COLUMN(Curves!$B$4:$AR$4)-COLUMN(Curves!$B$4)+1&lt;=BF$3-Projects!$C$34+1))),0)+IF(AND(Projects!$G$40="Yes",Projects!$F$40="Yes",BF$3&gt;=Projects!$C$40,BF$3&lt;Projects!$C$40+Projects!$D$40),Projects!$B$40*(1-SUMPRODUCT((Curves!$B$4:$AR$4)*(COLUMN(Curves!$B$4:$AR$4)-COLUMN(Curves!$B$4)+1&lt;=BF$3-Projects!$C$40+1))),0)+IF(AND(Projects!$G$46="Yes",Projects!$F$46="Yes",BF$3&gt;=Projects!$C$46,BF$3&lt;Projects!$C$46+Projects!$D$46),Projects!$B$46*(1-SUMPRODUCT((Curves!$B$4:$AR$4)*(COLUMN(Curves!$B$4:$AR$4)-COLUMN(Curves!$B$4)+1&lt;=BF$3-Projects!$C$46+1))),0)</f>
        <v/>
      </c>
      <c r="BG261" s="392">
        <f>IF(AND(Projects!$G$17="Yes",Projects!$F$17="Yes",BG$3&gt;=Projects!$C$17,BG$3&lt;Projects!$C$17+Projects!$D$17),Projects!$B$17*(1-SUMPRODUCT((Curves!$B$4:$AR$4)*(COLUMN(Curves!$B$4:$AR$4)-COLUMN(Curves!$B$4)+1&lt;=BG$3-Projects!$C$17+1))),0)+IF(AND(Projects!$G$18="Yes",Projects!$F$18="Yes",BG$3&gt;=Projects!$C$18,BG$3&lt;Projects!$C$18+Projects!$D$18),Projects!$B$18*(1-SUMPRODUCT((Curves!$B$4:$AR$4)*(COLUMN(Curves!$B$4:$AR$4)-COLUMN(Curves!$B$4)+1&lt;=BG$3-Projects!$C$18+1))),0)+IF(AND(Projects!$G$19="Yes",Projects!$F$19="Yes",BG$3&gt;=Projects!$C$19,BG$3&lt;Projects!$C$19+Projects!$D$19),Projects!$B$19*(1-SUMPRODUCT((Curves!$B$4:$AR$4)*(COLUMN(Curves!$B$4:$AR$4)-COLUMN(Curves!$B$4)+1&lt;=BG$3-Projects!$C$19+1))),0)+IF(AND(Projects!$G$23="Yes",Projects!$F$23="Yes",BG$3&gt;=Projects!$C$23,BG$3&lt;Projects!$C$23+Projects!$D$23),Projects!$B$23*(1-SUMPRODUCT((Curves!$B$4:$AR$4)*(COLUMN(Curves!$B$4:$AR$4)-COLUMN(Curves!$B$4)+1&lt;=BG$3-Projects!$C$23+1))),0)+IF(AND(Projects!$G$28="Yes",Projects!$F$28="Yes",BG$3&gt;=Projects!$C$28,BG$3&lt;Projects!$C$28+Projects!$D$28),Projects!$B$28*(1-SUMPRODUCT((Curves!$B$4:$AR$4)*(COLUMN(Curves!$B$4:$AR$4)-COLUMN(Curves!$B$4)+1&lt;=BG$3-Projects!$C$28+1))),0)+IF(AND(Projects!$G$34="Yes",Projects!$F$34="Yes",BG$3&gt;=Projects!$C$34,BG$3&lt;Projects!$C$34+Projects!$D$34),Projects!$B$34*(1-SUMPRODUCT((Curves!$B$4:$AR$4)*(COLUMN(Curves!$B$4:$AR$4)-COLUMN(Curves!$B$4)+1&lt;=BG$3-Projects!$C$34+1))),0)+IF(AND(Projects!$G$40="Yes",Projects!$F$40="Yes",BG$3&gt;=Projects!$C$40,BG$3&lt;Projects!$C$40+Projects!$D$40),Projects!$B$40*(1-SUMPRODUCT((Curves!$B$4:$AR$4)*(COLUMN(Curves!$B$4:$AR$4)-COLUMN(Curves!$B$4)+1&lt;=BG$3-Projects!$C$40+1))),0)+IF(AND(Projects!$G$46="Yes",Projects!$F$46="Yes",BG$3&gt;=Projects!$C$46,BG$3&lt;Projects!$C$46+Projects!$D$46),Projects!$B$46*(1-SUMPRODUCT((Curves!$B$4:$AR$4)*(COLUMN(Curves!$B$4:$AR$4)-COLUMN(Curves!$B$4)+1&lt;=BG$3-Projects!$C$46+1))),0)</f>
        <v/>
      </c>
      <c r="BH261" s="392">
        <f>IF(AND(Projects!$G$17="Yes",Projects!$F$17="Yes",BH$3&gt;=Projects!$C$17,BH$3&lt;Projects!$C$17+Projects!$D$17),Projects!$B$17*(1-SUMPRODUCT((Curves!$B$4:$AR$4)*(COLUMN(Curves!$B$4:$AR$4)-COLUMN(Curves!$B$4)+1&lt;=BH$3-Projects!$C$17+1))),0)+IF(AND(Projects!$G$18="Yes",Projects!$F$18="Yes",BH$3&gt;=Projects!$C$18,BH$3&lt;Projects!$C$18+Projects!$D$18),Projects!$B$18*(1-SUMPRODUCT((Curves!$B$4:$AR$4)*(COLUMN(Curves!$B$4:$AR$4)-COLUMN(Curves!$B$4)+1&lt;=BH$3-Projects!$C$18+1))),0)+IF(AND(Projects!$G$19="Yes",Projects!$F$19="Yes",BH$3&gt;=Projects!$C$19,BH$3&lt;Projects!$C$19+Projects!$D$19),Projects!$B$19*(1-SUMPRODUCT((Curves!$B$4:$AR$4)*(COLUMN(Curves!$B$4:$AR$4)-COLUMN(Curves!$B$4)+1&lt;=BH$3-Projects!$C$19+1))),0)+IF(AND(Projects!$G$23="Yes",Projects!$F$23="Yes",BH$3&gt;=Projects!$C$23,BH$3&lt;Projects!$C$23+Projects!$D$23),Projects!$B$23*(1-SUMPRODUCT((Curves!$B$4:$AR$4)*(COLUMN(Curves!$B$4:$AR$4)-COLUMN(Curves!$B$4)+1&lt;=BH$3-Projects!$C$23+1))),0)+IF(AND(Projects!$G$28="Yes",Projects!$F$28="Yes",BH$3&gt;=Projects!$C$28,BH$3&lt;Projects!$C$28+Projects!$D$28),Projects!$B$28*(1-SUMPRODUCT((Curves!$B$4:$AR$4)*(COLUMN(Curves!$B$4:$AR$4)-COLUMN(Curves!$B$4)+1&lt;=BH$3-Projects!$C$28+1))),0)+IF(AND(Projects!$G$34="Yes",Projects!$F$34="Yes",BH$3&gt;=Projects!$C$34,BH$3&lt;Projects!$C$34+Projects!$D$34),Projects!$B$34*(1-SUMPRODUCT((Curves!$B$4:$AR$4)*(COLUMN(Curves!$B$4:$AR$4)-COLUMN(Curves!$B$4)+1&lt;=BH$3-Projects!$C$34+1))),0)+IF(AND(Projects!$G$40="Yes",Projects!$F$40="Yes",BH$3&gt;=Projects!$C$40,BH$3&lt;Projects!$C$40+Projects!$D$40),Projects!$B$40*(1-SUMPRODUCT((Curves!$B$4:$AR$4)*(COLUMN(Curves!$B$4:$AR$4)-COLUMN(Curves!$B$4)+1&lt;=BH$3-Projects!$C$40+1))),0)+IF(AND(Projects!$G$46="Yes",Projects!$F$46="Yes",BH$3&gt;=Projects!$C$46,BH$3&lt;Projects!$C$46+Projects!$D$46),Projects!$B$46*(1-SUMPRODUCT((Curves!$B$4:$AR$4)*(COLUMN(Curves!$B$4:$AR$4)-COLUMN(Curves!$B$4)+1&lt;=BH$3-Projects!$C$46+1))),0)</f>
        <v/>
      </c>
      <c r="BI261" s="392">
        <f>IF(AND(Projects!$G$17="Yes",Projects!$F$17="Yes",BI$3&gt;=Projects!$C$17,BI$3&lt;Projects!$C$17+Projects!$D$17),Projects!$B$17*(1-SUMPRODUCT((Curves!$B$4:$AR$4)*(COLUMN(Curves!$B$4:$AR$4)-COLUMN(Curves!$B$4)+1&lt;=BI$3-Projects!$C$17+1))),0)+IF(AND(Projects!$G$18="Yes",Projects!$F$18="Yes",BI$3&gt;=Projects!$C$18,BI$3&lt;Projects!$C$18+Projects!$D$18),Projects!$B$18*(1-SUMPRODUCT((Curves!$B$4:$AR$4)*(COLUMN(Curves!$B$4:$AR$4)-COLUMN(Curves!$B$4)+1&lt;=BI$3-Projects!$C$18+1))),0)+IF(AND(Projects!$G$19="Yes",Projects!$F$19="Yes",BI$3&gt;=Projects!$C$19,BI$3&lt;Projects!$C$19+Projects!$D$19),Projects!$B$19*(1-SUMPRODUCT((Curves!$B$4:$AR$4)*(COLUMN(Curves!$B$4:$AR$4)-COLUMN(Curves!$B$4)+1&lt;=BI$3-Projects!$C$19+1))),0)+IF(AND(Projects!$G$23="Yes",Projects!$F$23="Yes",BI$3&gt;=Projects!$C$23,BI$3&lt;Projects!$C$23+Projects!$D$23),Projects!$B$23*(1-SUMPRODUCT((Curves!$B$4:$AR$4)*(COLUMN(Curves!$B$4:$AR$4)-COLUMN(Curves!$B$4)+1&lt;=BI$3-Projects!$C$23+1))),0)+IF(AND(Projects!$G$28="Yes",Projects!$F$28="Yes",BI$3&gt;=Projects!$C$28,BI$3&lt;Projects!$C$28+Projects!$D$28),Projects!$B$28*(1-SUMPRODUCT((Curves!$B$4:$AR$4)*(COLUMN(Curves!$B$4:$AR$4)-COLUMN(Curves!$B$4)+1&lt;=BI$3-Projects!$C$28+1))),0)+IF(AND(Projects!$G$34="Yes",Projects!$F$34="Yes",BI$3&gt;=Projects!$C$34,BI$3&lt;Projects!$C$34+Projects!$D$34),Projects!$B$34*(1-SUMPRODUCT((Curves!$B$4:$AR$4)*(COLUMN(Curves!$B$4:$AR$4)-COLUMN(Curves!$B$4)+1&lt;=BI$3-Projects!$C$34+1))),0)+IF(AND(Projects!$G$40="Yes",Projects!$F$40="Yes",BI$3&gt;=Projects!$C$40,BI$3&lt;Projects!$C$40+Projects!$D$40),Projects!$B$40*(1-SUMPRODUCT((Curves!$B$4:$AR$4)*(COLUMN(Curves!$B$4:$AR$4)-COLUMN(Curves!$B$4)+1&lt;=BI$3-Projects!$C$40+1))),0)+IF(AND(Projects!$G$46="Yes",Projects!$F$46="Yes",BI$3&gt;=Projects!$C$46,BI$3&lt;Projects!$C$46+Projects!$D$46),Projects!$B$46*(1-SUMPRODUCT((Curves!$B$4:$AR$4)*(COLUMN(Curves!$B$4:$AR$4)-COLUMN(Curves!$B$4)+1&lt;=BI$3-Projects!$C$46+1))),0)</f>
        <v/>
      </c>
      <c r="BJ261" s="392">
        <f>IF(AND(Projects!$G$17="Yes",Projects!$F$17="Yes",BJ$3&gt;=Projects!$C$17,BJ$3&lt;Projects!$C$17+Projects!$D$17),Projects!$B$17*(1-SUMPRODUCT((Curves!$B$4:$AR$4)*(COLUMN(Curves!$B$4:$AR$4)-COLUMN(Curves!$B$4)+1&lt;=BJ$3-Projects!$C$17+1))),0)+IF(AND(Projects!$G$18="Yes",Projects!$F$18="Yes",BJ$3&gt;=Projects!$C$18,BJ$3&lt;Projects!$C$18+Projects!$D$18),Projects!$B$18*(1-SUMPRODUCT((Curves!$B$4:$AR$4)*(COLUMN(Curves!$B$4:$AR$4)-COLUMN(Curves!$B$4)+1&lt;=BJ$3-Projects!$C$18+1))),0)+IF(AND(Projects!$G$19="Yes",Projects!$F$19="Yes",BJ$3&gt;=Projects!$C$19,BJ$3&lt;Projects!$C$19+Projects!$D$19),Projects!$B$19*(1-SUMPRODUCT((Curves!$B$4:$AR$4)*(COLUMN(Curves!$B$4:$AR$4)-COLUMN(Curves!$B$4)+1&lt;=BJ$3-Projects!$C$19+1))),0)+IF(AND(Projects!$G$23="Yes",Projects!$F$23="Yes",BJ$3&gt;=Projects!$C$23,BJ$3&lt;Projects!$C$23+Projects!$D$23),Projects!$B$23*(1-SUMPRODUCT((Curves!$B$4:$AR$4)*(COLUMN(Curves!$B$4:$AR$4)-COLUMN(Curves!$B$4)+1&lt;=BJ$3-Projects!$C$23+1))),0)+IF(AND(Projects!$G$28="Yes",Projects!$F$28="Yes",BJ$3&gt;=Projects!$C$28,BJ$3&lt;Projects!$C$28+Projects!$D$28),Projects!$B$28*(1-SUMPRODUCT((Curves!$B$4:$AR$4)*(COLUMN(Curves!$B$4:$AR$4)-COLUMN(Curves!$B$4)+1&lt;=BJ$3-Projects!$C$28+1))),0)+IF(AND(Projects!$G$34="Yes",Projects!$F$34="Yes",BJ$3&gt;=Projects!$C$34,BJ$3&lt;Projects!$C$34+Projects!$D$34),Projects!$B$34*(1-SUMPRODUCT((Curves!$B$4:$AR$4)*(COLUMN(Curves!$B$4:$AR$4)-COLUMN(Curves!$B$4)+1&lt;=BJ$3-Projects!$C$34+1))),0)+IF(AND(Projects!$G$40="Yes",Projects!$F$40="Yes",BJ$3&gt;=Projects!$C$40,BJ$3&lt;Projects!$C$40+Projects!$D$40),Projects!$B$40*(1-SUMPRODUCT((Curves!$B$4:$AR$4)*(COLUMN(Curves!$B$4:$AR$4)-COLUMN(Curves!$B$4)+1&lt;=BJ$3-Projects!$C$40+1))),0)+IF(AND(Projects!$G$46="Yes",Projects!$F$46="Yes",BJ$3&gt;=Projects!$C$46,BJ$3&lt;Projects!$C$46+Projects!$D$46),Projects!$B$46*(1-SUMPRODUCT((Curves!$B$4:$AR$4)*(COLUMN(Curves!$B$4:$AR$4)-COLUMN(Curves!$B$4)+1&lt;=BJ$3-Projects!$C$46+1))),0)</f>
        <v/>
      </c>
      <c r="BK261" s="392">
        <f>IF(AND(Projects!$G$17="Yes",Projects!$F$17="Yes",BK$3&gt;=Projects!$C$17,BK$3&lt;Projects!$C$17+Projects!$D$17),Projects!$B$17*(1-SUMPRODUCT((Curves!$B$4:$AR$4)*(COLUMN(Curves!$B$4:$AR$4)-COLUMN(Curves!$B$4)+1&lt;=BK$3-Projects!$C$17+1))),0)+IF(AND(Projects!$G$18="Yes",Projects!$F$18="Yes",BK$3&gt;=Projects!$C$18,BK$3&lt;Projects!$C$18+Projects!$D$18),Projects!$B$18*(1-SUMPRODUCT((Curves!$B$4:$AR$4)*(COLUMN(Curves!$B$4:$AR$4)-COLUMN(Curves!$B$4)+1&lt;=BK$3-Projects!$C$18+1))),0)+IF(AND(Projects!$G$19="Yes",Projects!$F$19="Yes",BK$3&gt;=Projects!$C$19,BK$3&lt;Projects!$C$19+Projects!$D$19),Projects!$B$19*(1-SUMPRODUCT((Curves!$B$4:$AR$4)*(COLUMN(Curves!$B$4:$AR$4)-COLUMN(Curves!$B$4)+1&lt;=BK$3-Projects!$C$19+1))),0)+IF(AND(Projects!$G$23="Yes",Projects!$F$23="Yes",BK$3&gt;=Projects!$C$23,BK$3&lt;Projects!$C$23+Projects!$D$23),Projects!$B$23*(1-SUMPRODUCT((Curves!$B$4:$AR$4)*(COLUMN(Curves!$B$4:$AR$4)-COLUMN(Curves!$B$4)+1&lt;=BK$3-Projects!$C$23+1))),0)+IF(AND(Projects!$G$28="Yes",Projects!$F$28="Yes",BK$3&gt;=Projects!$C$28,BK$3&lt;Projects!$C$28+Projects!$D$28),Projects!$B$28*(1-SUMPRODUCT((Curves!$B$4:$AR$4)*(COLUMN(Curves!$B$4:$AR$4)-COLUMN(Curves!$B$4)+1&lt;=BK$3-Projects!$C$28+1))),0)+IF(AND(Projects!$G$34="Yes",Projects!$F$34="Yes",BK$3&gt;=Projects!$C$34,BK$3&lt;Projects!$C$34+Projects!$D$34),Projects!$B$34*(1-SUMPRODUCT((Curves!$B$4:$AR$4)*(COLUMN(Curves!$B$4:$AR$4)-COLUMN(Curves!$B$4)+1&lt;=BK$3-Projects!$C$34+1))),0)+IF(AND(Projects!$G$40="Yes",Projects!$F$40="Yes",BK$3&gt;=Projects!$C$40,BK$3&lt;Projects!$C$40+Projects!$D$40),Projects!$B$40*(1-SUMPRODUCT((Curves!$B$4:$AR$4)*(COLUMN(Curves!$B$4:$AR$4)-COLUMN(Curves!$B$4)+1&lt;=BK$3-Projects!$C$40+1))),0)+IF(AND(Projects!$G$46="Yes",Projects!$F$46="Yes",BK$3&gt;=Projects!$C$46,BK$3&lt;Projects!$C$46+Projects!$D$46),Projects!$B$46*(1-SUMPRODUCT((Curves!$B$4:$AR$4)*(COLUMN(Curves!$B$4:$AR$4)-COLUMN(Curves!$B$4)+1&lt;=BK$3-Projects!$C$46+1))),0)</f>
        <v/>
      </c>
      <c r="BL261" s="392">
        <f>IF(AND(Projects!$G$17="Yes",Projects!$F$17="Yes",BL$3&gt;=Projects!$C$17,BL$3&lt;Projects!$C$17+Projects!$D$17),Projects!$B$17*(1-SUMPRODUCT((Curves!$B$4:$AR$4)*(COLUMN(Curves!$B$4:$AR$4)-COLUMN(Curves!$B$4)+1&lt;=BL$3-Projects!$C$17+1))),0)+IF(AND(Projects!$G$18="Yes",Projects!$F$18="Yes",BL$3&gt;=Projects!$C$18,BL$3&lt;Projects!$C$18+Projects!$D$18),Projects!$B$18*(1-SUMPRODUCT((Curves!$B$4:$AR$4)*(COLUMN(Curves!$B$4:$AR$4)-COLUMN(Curves!$B$4)+1&lt;=BL$3-Projects!$C$18+1))),0)+IF(AND(Projects!$G$19="Yes",Projects!$F$19="Yes",BL$3&gt;=Projects!$C$19,BL$3&lt;Projects!$C$19+Projects!$D$19),Projects!$B$19*(1-SUMPRODUCT((Curves!$B$4:$AR$4)*(COLUMN(Curves!$B$4:$AR$4)-COLUMN(Curves!$B$4)+1&lt;=BL$3-Projects!$C$19+1))),0)+IF(AND(Projects!$G$23="Yes",Projects!$F$23="Yes",BL$3&gt;=Projects!$C$23,BL$3&lt;Projects!$C$23+Projects!$D$23),Projects!$B$23*(1-SUMPRODUCT((Curves!$B$4:$AR$4)*(COLUMN(Curves!$B$4:$AR$4)-COLUMN(Curves!$B$4)+1&lt;=BL$3-Projects!$C$23+1))),0)+IF(AND(Projects!$G$28="Yes",Projects!$F$28="Yes",BL$3&gt;=Projects!$C$28,BL$3&lt;Projects!$C$28+Projects!$D$28),Projects!$B$28*(1-SUMPRODUCT((Curves!$B$4:$AR$4)*(COLUMN(Curves!$B$4:$AR$4)-COLUMN(Curves!$B$4)+1&lt;=BL$3-Projects!$C$28+1))),0)+IF(AND(Projects!$G$34="Yes",Projects!$F$34="Yes",BL$3&gt;=Projects!$C$34,BL$3&lt;Projects!$C$34+Projects!$D$34),Projects!$B$34*(1-SUMPRODUCT((Curves!$B$4:$AR$4)*(COLUMN(Curves!$B$4:$AR$4)-COLUMN(Curves!$B$4)+1&lt;=BL$3-Projects!$C$34+1))),0)+IF(AND(Projects!$G$40="Yes",Projects!$F$40="Yes",BL$3&gt;=Projects!$C$40,BL$3&lt;Projects!$C$40+Projects!$D$40),Projects!$B$40*(1-SUMPRODUCT((Curves!$B$4:$AR$4)*(COLUMN(Curves!$B$4:$AR$4)-COLUMN(Curves!$B$4)+1&lt;=BL$3-Projects!$C$40+1))),0)+IF(AND(Projects!$G$46="Yes",Projects!$F$46="Yes",BL$3&gt;=Projects!$C$46,BL$3&lt;Projects!$C$46+Projects!$D$46),Projects!$B$46*(1-SUMPRODUCT((Curves!$B$4:$AR$4)*(COLUMN(Curves!$B$4:$AR$4)-COLUMN(Curves!$B$4)+1&lt;=BL$3-Projects!$C$46+1))),0)</f>
        <v/>
      </c>
      <c r="BM261" s="392">
        <f>IF(AND(Projects!$G$17="Yes",Projects!$F$17="Yes",BM$3&gt;=Projects!$C$17,BM$3&lt;Projects!$C$17+Projects!$D$17),Projects!$B$17*(1-SUMPRODUCT((Curves!$B$4:$AR$4)*(COLUMN(Curves!$B$4:$AR$4)-COLUMN(Curves!$B$4)+1&lt;=BM$3-Projects!$C$17+1))),0)+IF(AND(Projects!$G$18="Yes",Projects!$F$18="Yes",BM$3&gt;=Projects!$C$18,BM$3&lt;Projects!$C$18+Projects!$D$18),Projects!$B$18*(1-SUMPRODUCT((Curves!$B$4:$AR$4)*(COLUMN(Curves!$B$4:$AR$4)-COLUMN(Curves!$B$4)+1&lt;=BM$3-Projects!$C$18+1))),0)+IF(AND(Projects!$G$19="Yes",Projects!$F$19="Yes",BM$3&gt;=Projects!$C$19,BM$3&lt;Projects!$C$19+Projects!$D$19),Projects!$B$19*(1-SUMPRODUCT((Curves!$B$4:$AR$4)*(COLUMN(Curves!$B$4:$AR$4)-COLUMN(Curves!$B$4)+1&lt;=BM$3-Projects!$C$19+1))),0)+IF(AND(Projects!$G$23="Yes",Projects!$F$23="Yes",BM$3&gt;=Projects!$C$23,BM$3&lt;Projects!$C$23+Projects!$D$23),Projects!$B$23*(1-SUMPRODUCT((Curves!$B$4:$AR$4)*(COLUMN(Curves!$B$4:$AR$4)-COLUMN(Curves!$B$4)+1&lt;=BM$3-Projects!$C$23+1))),0)+IF(AND(Projects!$G$28="Yes",Projects!$F$28="Yes",BM$3&gt;=Projects!$C$28,BM$3&lt;Projects!$C$28+Projects!$D$28),Projects!$B$28*(1-SUMPRODUCT((Curves!$B$4:$AR$4)*(COLUMN(Curves!$B$4:$AR$4)-COLUMN(Curves!$B$4)+1&lt;=BM$3-Projects!$C$28+1))),0)+IF(AND(Projects!$G$34="Yes",Projects!$F$34="Yes",BM$3&gt;=Projects!$C$34,BM$3&lt;Projects!$C$34+Projects!$D$34),Projects!$B$34*(1-SUMPRODUCT((Curves!$B$4:$AR$4)*(COLUMN(Curves!$B$4:$AR$4)-COLUMN(Curves!$B$4)+1&lt;=BM$3-Projects!$C$34+1))),0)+IF(AND(Projects!$G$40="Yes",Projects!$F$40="Yes",BM$3&gt;=Projects!$C$40,BM$3&lt;Projects!$C$40+Projects!$D$40),Projects!$B$40*(1-SUMPRODUCT((Curves!$B$4:$AR$4)*(COLUMN(Curves!$B$4:$AR$4)-COLUMN(Curves!$B$4)+1&lt;=BM$3-Projects!$C$40+1))),0)+IF(AND(Projects!$G$46="Yes",Projects!$F$46="Yes",BM$3&gt;=Projects!$C$46,BM$3&lt;Projects!$C$46+Projects!$D$46),Projects!$B$46*(1-SUMPRODUCT((Curves!$B$4:$AR$4)*(COLUMN(Curves!$B$4:$AR$4)-COLUMN(Curves!$B$4)+1&lt;=BM$3-Projects!$C$46+1))),0)</f>
        <v/>
      </c>
      <c r="BN261" s="392">
        <f>IF(AND(Projects!$G$17="Yes",Projects!$F$17="Yes",BN$3&gt;=Projects!$C$17,BN$3&lt;Projects!$C$17+Projects!$D$17),Projects!$B$17*(1-SUMPRODUCT((Curves!$B$4:$AR$4)*(COLUMN(Curves!$B$4:$AR$4)-COLUMN(Curves!$B$4)+1&lt;=BN$3-Projects!$C$17+1))),0)+IF(AND(Projects!$G$18="Yes",Projects!$F$18="Yes",BN$3&gt;=Projects!$C$18,BN$3&lt;Projects!$C$18+Projects!$D$18),Projects!$B$18*(1-SUMPRODUCT((Curves!$B$4:$AR$4)*(COLUMN(Curves!$B$4:$AR$4)-COLUMN(Curves!$B$4)+1&lt;=BN$3-Projects!$C$18+1))),0)+IF(AND(Projects!$G$19="Yes",Projects!$F$19="Yes",BN$3&gt;=Projects!$C$19,BN$3&lt;Projects!$C$19+Projects!$D$19),Projects!$B$19*(1-SUMPRODUCT((Curves!$B$4:$AR$4)*(COLUMN(Curves!$B$4:$AR$4)-COLUMN(Curves!$B$4)+1&lt;=BN$3-Projects!$C$19+1))),0)+IF(AND(Projects!$G$23="Yes",Projects!$F$23="Yes",BN$3&gt;=Projects!$C$23,BN$3&lt;Projects!$C$23+Projects!$D$23),Projects!$B$23*(1-SUMPRODUCT((Curves!$B$4:$AR$4)*(COLUMN(Curves!$B$4:$AR$4)-COLUMN(Curves!$B$4)+1&lt;=BN$3-Projects!$C$23+1))),0)+IF(AND(Projects!$G$28="Yes",Projects!$F$28="Yes",BN$3&gt;=Projects!$C$28,BN$3&lt;Projects!$C$28+Projects!$D$28),Projects!$B$28*(1-SUMPRODUCT((Curves!$B$4:$AR$4)*(COLUMN(Curves!$B$4:$AR$4)-COLUMN(Curves!$B$4)+1&lt;=BN$3-Projects!$C$28+1))),0)+IF(AND(Projects!$G$34="Yes",Projects!$F$34="Yes",BN$3&gt;=Projects!$C$34,BN$3&lt;Projects!$C$34+Projects!$D$34),Projects!$B$34*(1-SUMPRODUCT((Curves!$B$4:$AR$4)*(COLUMN(Curves!$B$4:$AR$4)-COLUMN(Curves!$B$4)+1&lt;=BN$3-Projects!$C$34+1))),0)+IF(AND(Projects!$G$40="Yes",Projects!$F$40="Yes",BN$3&gt;=Projects!$C$40,BN$3&lt;Projects!$C$40+Projects!$D$40),Projects!$B$40*(1-SUMPRODUCT((Curves!$B$4:$AR$4)*(COLUMN(Curves!$B$4:$AR$4)-COLUMN(Curves!$B$4)+1&lt;=BN$3-Projects!$C$40+1))),0)+IF(AND(Projects!$G$46="Yes",Projects!$F$46="Yes",BN$3&gt;=Projects!$C$46,BN$3&lt;Projects!$C$46+Projects!$D$46),Projects!$B$46*(1-SUMPRODUCT((Curves!$B$4:$AR$4)*(COLUMN(Curves!$B$4:$AR$4)-COLUMN(Curves!$B$4)+1&lt;=BN$3-Projects!$C$46+1))),0)</f>
        <v/>
      </c>
      <c r="BO261" s="392">
        <f>IF(AND(Projects!$G$17="Yes",Projects!$F$17="Yes",BO$3&gt;=Projects!$C$17,BO$3&lt;Projects!$C$17+Projects!$D$17),Projects!$B$17*(1-SUMPRODUCT((Curves!$B$4:$AR$4)*(COLUMN(Curves!$B$4:$AR$4)-COLUMN(Curves!$B$4)+1&lt;=BO$3-Projects!$C$17+1))),0)+IF(AND(Projects!$G$18="Yes",Projects!$F$18="Yes",BO$3&gt;=Projects!$C$18,BO$3&lt;Projects!$C$18+Projects!$D$18),Projects!$B$18*(1-SUMPRODUCT((Curves!$B$4:$AR$4)*(COLUMN(Curves!$B$4:$AR$4)-COLUMN(Curves!$B$4)+1&lt;=BO$3-Projects!$C$18+1))),0)+IF(AND(Projects!$G$19="Yes",Projects!$F$19="Yes",BO$3&gt;=Projects!$C$19,BO$3&lt;Projects!$C$19+Projects!$D$19),Projects!$B$19*(1-SUMPRODUCT((Curves!$B$4:$AR$4)*(COLUMN(Curves!$B$4:$AR$4)-COLUMN(Curves!$B$4)+1&lt;=BO$3-Projects!$C$19+1))),0)+IF(AND(Projects!$G$23="Yes",Projects!$F$23="Yes",BO$3&gt;=Projects!$C$23,BO$3&lt;Projects!$C$23+Projects!$D$23),Projects!$B$23*(1-SUMPRODUCT((Curves!$B$4:$AR$4)*(COLUMN(Curves!$B$4:$AR$4)-COLUMN(Curves!$B$4)+1&lt;=BO$3-Projects!$C$23+1))),0)+IF(AND(Projects!$G$28="Yes",Projects!$F$28="Yes",BO$3&gt;=Projects!$C$28,BO$3&lt;Projects!$C$28+Projects!$D$28),Projects!$B$28*(1-SUMPRODUCT((Curves!$B$4:$AR$4)*(COLUMN(Curves!$B$4:$AR$4)-COLUMN(Curves!$B$4)+1&lt;=BO$3-Projects!$C$28+1))),0)+IF(AND(Projects!$G$34="Yes",Projects!$F$34="Yes",BO$3&gt;=Projects!$C$34,BO$3&lt;Projects!$C$34+Projects!$D$34),Projects!$B$34*(1-SUMPRODUCT((Curves!$B$4:$AR$4)*(COLUMN(Curves!$B$4:$AR$4)-COLUMN(Curves!$B$4)+1&lt;=BO$3-Projects!$C$34+1))),0)+IF(AND(Projects!$G$40="Yes",Projects!$F$40="Yes",BO$3&gt;=Projects!$C$40,BO$3&lt;Projects!$C$40+Projects!$D$40),Projects!$B$40*(1-SUMPRODUCT((Curves!$B$4:$AR$4)*(COLUMN(Curves!$B$4:$AR$4)-COLUMN(Curves!$B$4)+1&lt;=BO$3-Projects!$C$40+1))),0)+IF(AND(Projects!$G$46="Yes",Projects!$F$46="Yes",BO$3&gt;=Projects!$C$46,BO$3&lt;Projects!$C$46+Projects!$D$46),Projects!$B$46*(1-SUMPRODUCT((Curves!$B$4:$AR$4)*(COLUMN(Curves!$B$4:$AR$4)-COLUMN(Curves!$B$4)+1&lt;=BO$3-Projects!$C$46+1))),0)</f>
        <v/>
      </c>
      <c r="BP261" s="392">
        <f>IF(AND(Projects!$G$17="Yes",Projects!$F$17="Yes",BP$3&gt;=Projects!$C$17,BP$3&lt;Projects!$C$17+Projects!$D$17),Projects!$B$17*(1-SUMPRODUCT((Curves!$B$4:$AR$4)*(COLUMN(Curves!$B$4:$AR$4)-COLUMN(Curves!$B$4)+1&lt;=BP$3-Projects!$C$17+1))),0)+IF(AND(Projects!$G$18="Yes",Projects!$F$18="Yes",BP$3&gt;=Projects!$C$18,BP$3&lt;Projects!$C$18+Projects!$D$18),Projects!$B$18*(1-SUMPRODUCT((Curves!$B$4:$AR$4)*(COLUMN(Curves!$B$4:$AR$4)-COLUMN(Curves!$B$4)+1&lt;=BP$3-Projects!$C$18+1))),0)+IF(AND(Projects!$G$19="Yes",Projects!$F$19="Yes",BP$3&gt;=Projects!$C$19,BP$3&lt;Projects!$C$19+Projects!$D$19),Projects!$B$19*(1-SUMPRODUCT((Curves!$B$4:$AR$4)*(COLUMN(Curves!$B$4:$AR$4)-COLUMN(Curves!$B$4)+1&lt;=BP$3-Projects!$C$19+1))),0)+IF(AND(Projects!$G$23="Yes",Projects!$F$23="Yes",BP$3&gt;=Projects!$C$23,BP$3&lt;Projects!$C$23+Projects!$D$23),Projects!$B$23*(1-SUMPRODUCT((Curves!$B$4:$AR$4)*(COLUMN(Curves!$B$4:$AR$4)-COLUMN(Curves!$B$4)+1&lt;=BP$3-Projects!$C$23+1))),0)+IF(AND(Projects!$G$28="Yes",Projects!$F$28="Yes",BP$3&gt;=Projects!$C$28,BP$3&lt;Projects!$C$28+Projects!$D$28),Projects!$B$28*(1-SUMPRODUCT((Curves!$B$4:$AR$4)*(COLUMN(Curves!$B$4:$AR$4)-COLUMN(Curves!$B$4)+1&lt;=BP$3-Projects!$C$28+1))),0)+IF(AND(Projects!$G$34="Yes",Projects!$F$34="Yes",BP$3&gt;=Projects!$C$34,BP$3&lt;Projects!$C$34+Projects!$D$34),Projects!$B$34*(1-SUMPRODUCT((Curves!$B$4:$AR$4)*(COLUMN(Curves!$B$4:$AR$4)-COLUMN(Curves!$B$4)+1&lt;=BP$3-Projects!$C$34+1))),0)+IF(AND(Projects!$G$40="Yes",Projects!$F$40="Yes",BP$3&gt;=Projects!$C$40,BP$3&lt;Projects!$C$40+Projects!$D$40),Projects!$B$40*(1-SUMPRODUCT((Curves!$B$4:$AR$4)*(COLUMN(Curves!$B$4:$AR$4)-COLUMN(Curves!$B$4)+1&lt;=BP$3-Projects!$C$40+1))),0)+IF(AND(Projects!$G$46="Yes",Projects!$F$46="Yes",BP$3&gt;=Projects!$C$46,BP$3&lt;Projects!$C$46+Projects!$D$46),Projects!$B$46*(1-SUMPRODUCT((Curves!$B$4:$AR$4)*(COLUMN(Curves!$B$4:$AR$4)-COLUMN(Curves!$B$4)+1&lt;=BP$3-Projects!$C$46+1))),0)</f>
        <v/>
      </c>
      <c r="BQ261" s="392">
        <f>IF(AND(Projects!$G$17="Yes",Projects!$F$17="Yes",BQ$3&gt;=Projects!$C$17,BQ$3&lt;Projects!$C$17+Projects!$D$17),Projects!$B$17*(1-SUMPRODUCT((Curves!$B$4:$AR$4)*(COLUMN(Curves!$B$4:$AR$4)-COLUMN(Curves!$B$4)+1&lt;=BQ$3-Projects!$C$17+1))),0)+IF(AND(Projects!$G$18="Yes",Projects!$F$18="Yes",BQ$3&gt;=Projects!$C$18,BQ$3&lt;Projects!$C$18+Projects!$D$18),Projects!$B$18*(1-SUMPRODUCT((Curves!$B$4:$AR$4)*(COLUMN(Curves!$B$4:$AR$4)-COLUMN(Curves!$B$4)+1&lt;=BQ$3-Projects!$C$18+1))),0)+IF(AND(Projects!$G$19="Yes",Projects!$F$19="Yes",BQ$3&gt;=Projects!$C$19,BQ$3&lt;Projects!$C$19+Projects!$D$19),Projects!$B$19*(1-SUMPRODUCT((Curves!$B$4:$AR$4)*(COLUMN(Curves!$B$4:$AR$4)-COLUMN(Curves!$B$4)+1&lt;=BQ$3-Projects!$C$19+1))),0)+IF(AND(Projects!$G$23="Yes",Projects!$F$23="Yes",BQ$3&gt;=Projects!$C$23,BQ$3&lt;Projects!$C$23+Projects!$D$23),Projects!$B$23*(1-SUMPRODUCT((Curves!$B$4:$AR$4)*(COLUMN(Curves!$B$4:$AR$4)-COLUMN(Curves!$B$4)+1&lt;=BQ$3-Projects!$C$23+1))),0)+IF(AND(Projects!$G$28="Yes",Projects!$F$28="Yes",BQ$3&gt;=Projects!$C$28,BQ$3&lt;Projects!$C$28+Projects!$D$28),Projects!$B$28*(1-SUMPRODUCT((Curves!$B$4:$AR$4)*(COLUMN(Curves!$B$4:$AR$4)-COLUMN(Curves!$B$4)+1&lt;=BQ$3-Projects!$C$28+1))),0)+IF(AND(Projects!$G$34="Yes",Projects!$F$34="Yes",BQ$3&gt;=Projects!$C$34,BQ$3&lt;Projects!$C$34+Projects!$D$34),Projects!$B$34*(1-SUMPRODUCT((Curves!$B$4:$AR$4)*(COLUMN(Curves!$B$4:$AR$4)-COLUMN(Curves!$B$4)+1&lt;=BQ$3-Projects!$C$34+1))),0)+IF(AND(Projects!$G$40="Yes",Projects!$F$40="Yes",BQ$3&gt;=Projects!$C$40,BQ$3&lt;Projects!$C$40+Projects!$D$40),Projects!$B$40*(1-SUMPRODUCT((Curves!$B$4:$AR$4)*(COLUMN(Curves!$B$4:$AR$4)-COLUMN(Curves!$B$4)+1&lt;=BQ$3-Projects!$C$40+1))),0)+IF(AND(Projects!$G$46="Yes",Projects!$F$46="Yes",BQ$3&gt;=Projects!$C$46,BQ$3&lt;Projects!$C$46+Projects!$D$46),Projects!$B$46*(1-SUMPRODUCT((Curves!$B$4:$AR$4)*(COLUMN(Curves!$B$4:$AR$4)-COLUMN(Curves!$B$4)+1&lt;=BQ$3-Projects!$C$46+1))),0)</f>
        <v/>
      </c>
      <c r="BR261" s="392">
        <f>IF(AND(Projects!$G$17="Yes",Projects!$F$17="Yes",BR$3&gt;=Projects!$C$17,BR$3&lt;Projects!$C$17+Projects!$D$17),Projects!$B$17*(1-SUMPRODUCT((Curves!$B$4:$AR$4)*(COLUMN(Curves!$B$4:$AR$4)-COLUMN(Curves!$B$4)+1&lt;=BR$3-Projects!$C$17+1))),0)+IF(AND(Projects!$G$18="Yes",Projects!$F$18="Yes",BR$3&gt;=Projects!$C$18,BR$3&lt;Projects!$C$18+Projects!$D$18),Projects!$B$18*(1-SUMPRODUCT((Curves!$B$4:$AR$4)*(COLUMN(Curves!$B$4:$AR$4)-COLUMN(Curves!$B$4)+1&lt;=BR$3-Projects!$C$18+1))),0)+IF(AND(Projects!$G$19="Yes",Projects!$F$19="Yes",BR$3&gt;=Projects!$C$19,BR$3&lt;Projects!$C$19+Projects!$D$19),Projects!$B$19*(1-SUMPRODUCT((Curves!$B$4:$AR$4)*(COLUMN(Curves!$B$4:$AR$4)-COLUMN(Curves!$B$4)+1&lt;=BR$3-Projects!$C$19+1))),0)+IF(AND(Projects!$G$23="Yes",Projects!$F$23="Yes",BR$3&gt;=Projects!$C$23,BR$3&lt;Projects!$C$23+Projects!$D$23),Projects!$B$23*(1-SUMPRODUCT((Curves!$B$4:$AR$4)*(COLUMN(Curves!$B$4:$AR$4)-COLUMN(Curves!$B$4)+1&lt;=BR$3-Projects!$C$23+1))),0)+IF(AND(Projects!$G$28="Yes",Projects!$F$28="Yes",BR$3&gt;=Projects!$C$28,BR$3&lt;Projects!$C$28+Projects!$D$28),Projects!$B$28*(1-SUMPRODUCT((Curves!$B$4:$AR$4)*(COLUMN(Curves!$B$4:$AR$4)-COLUMN(Curves!$B$4)+1&lt;=BR$3-Projects!$C$28+1))),0)+IF(AND(Projects!$G$34="Yes",Projects!$F$34="Yes",BR$3&gt;=Projects!$C$34,BR$3&lt;Projects!$C$34+Projects!$D$34),Projects!$B$34*(1-SUMPRODUCT((Curves!$B$4:$AR$4)*(COLUMN(Curves!$B$4:$AR$4)-COLUMN(Curves!$B$4)+1&lt;=BR$3-Projects!$C$34+1))),0)+IF(AND(Projects!$G$40="Yes",Projects!$F$40="Yes",BR$3&gt;=Projects!$C$40,BR$3&lt;Projects!$C$40+Projects!$D$40),Projects!$B$40*(1-SUMPRODUCT((Curves!$B$4:$AR$4)*(COLUMN(Curves!$B$4:$AR$4)-COLUMN(Curves!$B$4)+1&lt;=BR$3-Projects!$C$40+1))),0)+IF(AND(Projects!$G$46="Yes",Projects!$F$46="Yes",BR$3&gt;=Projects!$C$46,BR$3&lt;Projects!$C$46+Projects!$D$46),Projects!$B$46*(1-SUMPRODUCT((Curves!$B$4:$AR$4)*(COLUMN(Curves!$B$4:$AR$4)-COLUMN(Curves!$B$4)+1&lt;=BR$3-Projects!$C$46+1))),0)</f>
        <v/>
      </c>
      <c r="BS261" s="392">
        <f>IF(AND(Projects!$G$17="Yes",Projects!$F$17="Yes",BS$3&gt;=Projects!$C$17,BS$3&lt;Projects!$C$17+Projects!$D$17),Projects!$B$17*(1-SUMPRODUCT((Curves!$B$4:$AR$4)*(COLUMN(Curves!$B$4:$AR$4)-COLUMN(Curves!$B$4)+1&lt;=BS$3-Projects!$C$17+1))),0)+IF(AND(Projects!$G$18="Yes",Projects!$F$18="Yes",BS$3&gt;=Projects!$C$18,BS$3&lt;Projects!$C$18+Projects!$D$18),Projects!$B$18*(1-SUMPRODUCT((Curves!$B$4:$AR$4)*(COLUMN(Curves!$B$4:$AR$4)-COLUMN(Curves!$B$4)+1&lt;=BS$3-Projects!$C$18+1))),0)+IF(AND(Projects!$G$19="Yes",Projects!$F$19="Yes",BS$3&gt;=Projects!$C$19,BS$3&lt;Projects!$C$19+Projects!$D$19),Projects!$B$19*(1-SUMPRODUCT((Curves!$B$4:$AR$4)*(COLUMN(Curves!$B$4:$AR$4)-COLUMN(Curves!$B$4)+1&lt;=BS$3-Projects!$C$19+1))),0)+IF(AND(Projects!$G$23="Yes",Projects!$F$23="Yes",BS$3&gt;=Projects!$C$23,BS$3&lt;Projects!$C$23+Projects!$D$23),Projects!$B$23*(1-SUMPRODUCT((Curves!$B$4:$AR$4)*(COLUMN(Curves!$B$4:$AR$4)-COLUMN(Curves!$B$4)+1&lt;=BS$3-Projects!$C$23+1))),0)+IF(AND(Projects!$G$28="Yes",Projects!$F$28="Yes",BS$3&gt;=Projects!$C$28,BS$3&lt;Projects!$C$28+Projects!$D$28),Projects!$B$28*(1-SUMPRODUCT((Curves!$B$4:$AR$4)*(COLUMN(Curves!$B$4:$AR$4)-COLUMN(Curves!$B$4)+1&lt;=BS$3-Projects!$C$28+1))),0)+IF(AND(Projects!$G$34="Yes",Projects!$F$34="Yes",BS$3&gt;=Projects!$C$34,BS$3&lt;Projects!$C$34+Projects!$D$34),Projects!$B$34*(1-SUMPRODUCT((Curves!$B$4:$AR$4)*(COLUMN(Curves!$B$4:$AR$4)-COLUMN(Curves!$B$4)+1&lt;=BS$3-Projects!$C$34+1))),0)+IF(AND(Projects!$G$40="Yes",Projects!$F$40="Yes",BS$3&gt;=Projects!$C$40,BS$3&lt;Projects!$C$40+Projects!$D$40),Projects!$B$40*(1-SUMPRODUCT((Curves!$B$4:$AR$4)*(COLUMN(Curves!$B$4:$AR$4)-COLUMN(Curves!$B$4)+1&lt;=BS$3-Projects!$C$40+1))),0)+IF(AND(Projects!$G$46="Yes",Projects!$F$46="Yes",BS$3&gt;=Projects!$C$46,BS$3&lt;Projects!$C$46+Projects!$D$46),Projects!$B$46*(1-SUMPRODUCT((Curves!$B$4:$AR$4)*(COLUMN(Curves!$B$4:$AR$4)-COLUMN(Curves!$B$4)+1&lt;=BS$3-Projects!$C$46+1))),0)</f>
        <v/>
      </c>
      <c r="BT261" s="392">
        <f>IF(AND(Projects!$G$17="Yes",Projects!$F$17="Yes",BT$3&gt;=Projects!$C$17,BT$3&lt;Projects!$C$17+Projects!$D$17),Projects!$B$17*(1-SUMPRODUCT((Curves!$B$4:$AR$4)*(COLUMN(Curves!$B$4:$AR$4)-COLUMN(Curves!$B$4)+1&lt;=BT$3-Projects!$C$17+1))),0)+IF(AND(Projects!$G$18="Yes",Projects!$F$18="Yes",BT$3&gt;=Projects!$C$18,BT$3&lt;Projects!$C$18+Projects!$D$18),Projects!$B$18*(1-SUMPRODUCT((Curves!$B$4:$AR$4)*(COLUMN(Curves!$B$4:$AR$4)-COLUMN(Curves!$B$4)+1&lt;=BT$3-Projects!$C$18+1))),0)+IF(AND(Projects!$G$19="Yes",Projects!$F$19="Yes",BT$3&gt;=Projects!$C$19,BT$3&lt;Projects!$C$19+Projects!$D$19),Projects!$B$19*(1-SUMPRODUCT((Curves!$B$4:$AR$4)*(COLUMN(Curves!$B$4:$AR$4)-COLUMN(Curves!$B$4)+1&lt;=BT$3-Projects!$C$19+1))),0)+IF(AND(Projects!$G$23="Yes",Projects!$F$23="Yes",BT$3&gt;=Projects!$C$23,BT$3&lt;Projects!$C$23+Projects!$D$23),Projects!$B$23*(1-SUMPRODUCT((Curves!$B$4:$AR$4)*(COLUMN(Curves!$B$4:$AR$4)-COLUMN(Curves!$B$4)+1&lt;=BT$3-Projects!$C$23+1))),0)+IF(AND(Projects!$G$28="Yes",Projects!$F$28="Yes",BT$3&gt;=Projects!$C$28,BT$3&lt;Projects!$C$28+Projects!$D$28),Projects!$B$28*(1-SUMPRODUCT((Curves!$B$4:$AR$4)*(COLUMN(Curves!$B$4:$AR$4)-COLUMN(Curves!$B$4)+1&lt;=BT$3-Projects!$C$28+1))),0)+IF(AND(Projects!$G$34="Yes",Projects!$F$34="Yes",BT$3&gt;=Projects!$C$34,BT$3&lt;Projects!$C$34+Projects!$D$34),Projects!$B$34*(1-SUMPRODUCT((Curves!$B$4:$AR$4)*(COLUMN(Curves!$B$4:$AR$4)-COLUMN(Curves!$B$4)+1&lt;=BT$3-Projects!$C$34+1))),0)+IF(AND(Projects!$G$40="Yes",Projects!$F$40="Yes",BT$3&gt;=Projects!$C$40,BT$3&lt;Projects!$C$40+Projects!$D$40),Projects!$B$40*(1-SUMPRODUCT((Curves!$B$4:$AR$4)*(COLUMN(Curves!$B$4:$AR$4)-COLUMN(Curves!$B$4)+1&lt;=BT$3-Projects!$C$40+1))),0)+IF(AND(Projects!$G$46="Yes",Projects!$F$46="Yes",BT$3&gt;=Projects!$C$46,BT$3&lt;Projects!$C$46+Projects!$D$46),Projects!$B$46*(1-SUMPRODUCT((Curves!$B$4:$AR$4)*(COLUMN(Curves!$B$4:$AR$4)-COLUMN(Curves!$B$4)+1&lt;=BT$3-Projects!$C$46+1))),0)</f>
        <v/>
      </c>
      <c r="BU261" s="392">
        <f>IF(AND(Projects!$G$17="Yes",Projects!$F$17="Yes",BU$3&gt;=Projects!$C$17,BU$3&lt;Projects!$C$17+Projects!$D$17),Projects!$B$17*(1-SUMPRODUCT((Curves!$B$4:$AR$4)*(COLUMN(Curves!$B$4:$AR$4)-COLUMN(Curves!$B$4)+1&lt;=BU$3-Projects!$C$17+1))),0)+IF(AND(Projects!$G$18="Yes",Projects!$F$18="Yes",BU$3&gt;=Projects!$C$18,BU$3&lt;Projects!$C$18+Projects!$D$18),Projects!$B$18*(1-SUMPRODUCT((Curves!$B$4:$AR$4)*(COLUMN(Curves!$B$4:$AR$4)-COLUMN(Curves!$B$4)+1&lt;=BU$3-Projects!$C$18+1))),0)+IF(AND(Projects!$G$19="Yes",Projects!$F$19="Yes",BU$3&gt;=Projects!$C$19,BU$3&lt;Projects!$C$19+Projects!$D$19),Projects!$B$19*(1-SUMPRODUCT((Curves!$B$4:$AR$4)*(COLUMN(Curves!$B$4:$AR$4)-COLUMN(Curves!$B$4)+1&lt;=BU$3-Projects!$C$19+1))),0)+IF(AND(Projects!$G$23="Yes",Projects!$F$23="Yes",BU$3&gt;=Projects!$C$23,BU$3&lt;Projects!$C$23+Projects!$D$23),Projects!$B$23*(1-SUMPRODUCT((Curves!$B$4:$AR$4)*(COLUMN(Curves!$B$4:$AR$4)-COLUMN(Curves!$B$4)+1&lt;=BU$3-Projects!$C$23+1))),0)+IF(AND(Projects!$G$28="Yes",Projects!$F$28="Yes",BU$3&gt;=Projects!$C$28,BU$3&lt;Projects!$C$28+Projects!$D$28),Projects!$B$28*(1-SUMPRODUCT((Curves!$B$4:$AR$4)*(COLUMN(Curves!$B$4:$AR$4)-COLUMN(Curves!$B$4)+1&lt;=BU$3-Projects!$C$28+1))),0)+IF(AND(Projects!$G$34="Yes",Projects!$F$34="Yes",BU$3&gt;=Projects!$C$34,BU$3&lt;Projects!$C$34+Projects!$D$34),Projects!$B$34*(1-SUMPRODUCT((Curves!$B$4:$AR$4)*(COLUMN(Curves!$B$4:$AR$4)-COLUMN(Curves!$B$4)+1&lt;=BU$3-Projects!$C$34+1))),0)+IF(AND(Projects!$G$40="Yes",Projects!$F$40="Yes",BU$3&gt;=Projects!$C$40,BU$3&lt;Projects!$C$40+Projects!$D$40),Projects!$B$40*(1-SUMPRODUCT((Curves!$B$4:$AR$4)*(COLUMN(Curves!$B$4:$AR$4)-COLUMN(Curves!$B$4)+1&lt;=BU$3-Projects!$C$40+1))),0)+IF(AND(Projects!$G$46="Yes",Projects!$F$46="Yes",BU$3&gt;=Projects!$C$46,BU$3&lt;Projects!$C$46+Projects!$D$46),Projects!$B$46*(1-SUMPRODUCT((Curves!$B$4:$AR$4)*(COLUMN(Curves!$B$4:$AR$4)-COLUMN(Curves!$B$4)+1&lt;=BU$3-Projects!$C$46+1))),0)</f>
        <v/>
      </c>
      <c r="BV261" s="392">
        <f>IF(AND(Projects!$G$17="Yes",Projects!$F$17="Yes",BV$3&gt;=Projects!$C$17,BV$3&lt;Projects!$C$17+Projects!$D$17),Projects!$B$17*(1-SUMPRODUCT((Curves!$B$4:$AR$4)*(COLUMN(Curves!$B$4:$AR$4)-COLUMN(Curves!$B$4)+1&lt;=BV$3-Projects!$C$17+1))),0)+IF(AND(Projects!$G$18="Yes",Projects!$F$18="Yes",BV$3&gt;=Projects!$C$18,BV$3&lt;Projects!$C$18+Projects!$D$18),Projects!$B$18*(1-SUMPRODUCT((Curves!$B$4:$AR$4)*(COLUMN(Curves!$B$4:$AR$4)-COLUMN(Curves!$B$4)+1&lt;=BV$3-Projects!$C$18+1))),0)+IF(AND(Projects!$G$19="Yes",Projects!$F$19="Yes",BV$3&gt;=Projects!$C$19,BV$3&lt;Projects!$C$19+Projects!$D$19),Projects!$B$19*(1-SUMPRODUCT((Curves!$B$4:$AR$4)*(COLUMN(Curves!$B$4:$AR$4)-COLUMN(Curves!$B$4)+1&lt;=BV$3-Projects!$C$19+1))),0)+IF(AND(Projects!$G$23="Yes",Projects!$F$23="Yes",BV$3&gt;=Projects!$C$23,BV$3&lt;Projects!$C$23+Projects!$D$23),Projects!$B$23*(1-SUMPRODUCT((Curves!$B$4:$AR$4)*(COLUMN(Curves!$B$4:$AR$4)-COLUMN(Curves!$B$4)+1&lt;=BV$3-Projects!$C$23+1))),0)+IF(AND(Projects!$G$28="Yes",Projects!$F$28="Yes",BV$3&gt;=Projects!$C$28,BV$3&lt;Projects!$C$28+Projects!$D$28),Projects!$B$28*(1-SUMPRODUCT((Curves!$B$4:$AR$4)*(COLUMN(Curves!$B$4:$AR$4)-COLUMN(Curves!$B$4)+1&lt;=BV$3-Projects!$C$28+1))),0)+IF(AND(Projects!$G$34="Yes",Projects!$F$34="Yes",BV$3&gt;=Projects!$C$34,BV$3&lt;Projects!$C$34+Projects!$D$34),Projects!$B$34*(1-SUMPRODUCT((Curves!$B$4:$AR$4)*(COLUMN(Curves!$B$4:$AR$4)-COLUMN(Curves!$B$4)+1&lt;=BV$3-Projects!$C$34+1))),0)+IF(AND(Projects!$G$40="Yes",Projects!$F$40="Yes",BV$3&gt;=Projects!$C$40,BV$3&lt;Projects!$C$40+Projects!$D$40),Projects!$B$40*(1-SUMPRODUCT((Curves!$B$4:$AR$4)*(COLUMN(Curves!$B$4:$AR$4)-COLUMN(Curves!$B$4)+1&lt;=BV$3-Projects!$C$40+1))),0)+IF(AND(Projects!$G$46="Yes",Projects!$F$46="Yes",BV$3&gt;=Projects!$C$46,BV$3&lt;Projects!$C$46+Projects!$D$46),Projects!$B$46*(1-SUMPRODUCT((Curves!$B$4:$AR$4)*(COLUMN(Curves!$B$4:$AR$4)-COLUMN(Curves!$B$4)+1&lt;=BV$3-Projects!$C$46+1))),0)</f>
        <v/>
      </c>
      <c r="BW261" s="392">
        <f>IF(AND(Projects!$G$17="Yes",Projects!$F$17="Yes",BW$3&gt;=Projects!$C$17,BW$3&lt;Projects!$C$17+Projects!$D$17),Projects!$B$17*(1-SUMPRODUCT((Curves!$B$4:$AR$4)*(COLUMN(Curves!$B$4:$AR$4)-COLUMN(Curves!$B$4)+1&lt;=BW$3-Projects!$C$17+1))),0)+IF(AND(Projects!$G$18="Yes",Projects!$F$18="Yes",BW$3&gt;=Projects!$C$18,BW$3&lt;Projects!$C$18+Projects!$D$18),Projects!$B$18*(1-SUMPRODUCT((Curves!$B$4:$AR$4)*(COLUMN(Curves!$B$4:$AR$4)-COLUMN(Curves!$B$4)+1&lt;=BW$3-Projects!$C$18+1))),0)+IF(AND(Projects!$G$19="Yes",Projects!$F$19="Yes",BW$3&gt;=Projects!$C$19,BW$3&lt;Projects!$C$19+Projects!$D$19),Projects!$B$19*(1-SUMPRODUCT((Curves!$B$4:$AR$4)*(COLUMN(Curves!$B$4:$AR$4)-COLUMN(Curves!$B$4)+1&lt;=BW$3-Projects!$C$19+1))),0)+IF(AND(Projects!$G$23="Yes",Projects!$F$23="Yes",BW$3&gt;=Projects!$C$23,BW$3&lt;Projects!$C$23+Projects!$D$23),Projects!$B$23*(1-SUMPRODUCT((Curves!$B$4:$AR$4)*(COLUMN(Curves!$B$4:$AR$4)-COLUMN(Curves!$B$4)+1&lt;=BW$3-Projects!$C$23+1))),0)+IF(AND(Projects!$G$28="Yes",Projects!$F$28="Yes",BW$3&gt;=Projects!$C$28,BW$3&lt;Projects!$C$28+Projects!$D$28),Projects!$B$28*(1-SUMPRODUCT((Curves!$B$4:$AR$4)*(COLUMN(Curves!$B$4:$AR$4)-COLUMN(Curves!$B$4)+1&lt;=BW$3-Projects!$C$28+1))),0)+IF(AND(Projects!$G$34="Yes",Projects!$F$34="Yes",BW$3&gt;=Projects!$C$34,BW$3&lt;Projects!$C$34+Projects!$D$34),Projects!$B$34*(1-SUMPRODUCT((Curves!$B$4:$AR$4)*(COLUMN(Curves!$B$4:$AR$4)-COLUMN(Curves!$B$4)+1&lt;=BW$3-Projects!$C$34+1))),0)+IF(AND(Projects!$G$40="Yes",Projects!$F$40="Yes",BW$3&gt;=Projects!$C$40,BW$3&lt;Projects!$C$40+Projects!$D$40),Projects!$B$40*(1-SUMPRODUCT((Curves!$B$4:$AR$4)*(COLUMN(Curves!$B$4:$AR$4)-COLUMN(Curves!$B$4)+1&lt;=BW$3-Projects!$C$40+1))),0)+IF(AND(Projects!$G$46="Yes",Projects!$F$46="Yes",BW$3&gt;=Projects!$C$46,BW$3&lt;Projects!$C$46+Projects!$D$46),Projects!$B$46*(1-SUMPRODUCT((Curves!$B$4:$AR$4)*(COLUMN(Curves!$B$4:$AR$4)-COLUMN(Curves!$B$4)+1&lt;=BW$3-Projects!$C$46+1))),0)</f>
        <v/>
      </c>
      <c r="BX261" s="392">
        <f>IF(AND(Projects!$G$17="Yes",Projects!$F$17="Yes",BX$3&gt;=Projects!$C$17,BX$3&lt;Projects!$C$17+Projects!$D$17),Projects!$B$17*(1-SUMPRODUCT((Curves!$B$4:$AR$4)*(COLUMN(Curves!$B$4:$AR$4)-COLUMN(Curves!$B$4)+1&lt;=BX$3-Projects!$C$17+1))),0)+IF(AND(Projects!$G$18="Yes",Projects!$F$18="Yes",BX$3&gt;=Projects!$C$18,BX$3&lt;Projects!$C$18+Projects!$D$18),Projects!$B$18*(1-SUMPRODUCT((Curves!$B$4:$AR$4)*(COLUMN(Curves!$B$4:$AR$4)-COLUMN(Curves!$B$4)+1&lt;=BX$3-Projects!$C$18+1))),0)+IF(AND(Projects!$G$19="Yes",Projects!$F$19="Yes",BX$3&gt;=Projects!$C$19,BX$3&lt;Projects!$C$19+Projects!$D$19),Projects!$B$19*(1-SUMPRODUCT((Curves!$B$4:$AR$4)*(COLUMN(Curves!$B$4:$AR$4)-COLUMN(Curves!$B$4)+1&lt;=BX$3-Projects!$C$19+1))),0)+IF(AND(Projects!$G$23="Yes",Projects!$F$23="Yes",BX$3&gt;=Projects!$C$23,BX$3&lt;Projects!$C$23+Projects!$D$23),Projects!$B$23*(1-SUMPRODUCT((Curves!$B$4:$AR$4)*(COLUMN(Curves!$B$4:$AR$4)-COLUMN(Curves!$B$4)+1&lt;=BX$3-Projects!$C$23+1))),0)+IF(AND(Projects!$G$28="Yes",Projects!$F$28="Yes",BX$3&gt;=Projects!$C$28,BX$3&lt;Projects!$C$28+Projects!$D$28),Projects!$B$28*(1-SUMPRODUCT((Curves!$B$4:$AR$4)*(COLUMN(Curves!$B$4:$AR$4)-COLUMN(Curves!$B$4)+1&lt;=BX$3-Projects!$C$28+1))),0)+IF(AND(Projects!$G$34="Yes",Projects!$F$34="Yes",BX$3&gt;=Projects!$C$34,BX$3&lt;Projects!$C$34+Projects!$D$34),Projects!$B$34*(1-SUMPRODUCT((Curves!$B$4:$AR$4)*(COLUMN(Curves!$B$4:$AR$4)-COLUMN(Curves!$B$4)+1&lt;=BX$3-Projects!$C$34+1))),0)+IF(AND(Projects!$G$40="Yes",Projects!$F$40="Yes",BX$3&gt;=Projects!$C$40,BX$3&lt;Projects!$C$40+Projects!$D$40),Projects!$B$40*(1-SUMPRODUCT((Curves!$B$4:$AR$4)*(COLUMN(Curves!$B$4:$AR$4)-COLUMN(Curves!$B$4)+1&lt;=BX$3-Projects!$C$40+1))),0)+IF(AND(Projects!$G$46="Yes",Projects!$F$46="Yes",BX$3&gt;=Projects!$C$46,BX$3&lt;Projects!$C$46+Projects!$D$46),Projects!$B$46*(1-SUMPRODUCT((Curves!$B$4:$AR$4)*(COLUMN(Curves!$B$4:$AR$4)-COLUMN(Curves!$B$4)+1&lt;=BX$3-Projects!$C$46+1))),0)</f>
        <v/>
      </c>
      <c r="BY261" s="392">
        <f>IF(AND(Projects!$G$17="Yes",Projects!$F$17="Yes",BY$3&gt;=Projects!$C$17,BY$3&lt;Projects!$C$17+Projects!$D$17),Projects!$B$17*(1-SUMPRODUCT((Curves!$B$4:$AR$4)*(COLUMN(Curves!$B$4:$AR$4)-COLUMN(Curves!$B$4)+1&lt;=BY$3-Projects!$C$17+1))),0)+IF(AND(Projects!$G$18="Yes",Projects!$F$18="Yes",BY$3&gt;=Projects!$C$18,BY$3&lt;Projects!$C$18+Projects!$D$18),Projects!$B$18*(1-SUMPRODUCT((Curves!$B$4:$AR$4)*(COLUMN(Curves!$B$4:$AR$4)-COLUMN(Curves!$B$4)+1&lt;=BY$3-Projects!$C$18+1))),0)+IF(AND(Projects!$G$19="Yes",Projects!$F$19="Yes",BY$3&gt;=Projects!$C$19,BY$3&lt;Projects!$C$19+Projects!$D$19),Projects!$B$19*(1-SUMPRODUCT((Curves!$B$4:$AR$4)*(COLUMN(Curves!$B$4:$AR$4)-COLUMN(Curves!$B$4)+1&lt;=BY$3-Projects!$C$19+1))),0)+IF(AND(Projects!$G$23="Yes",Projects!$F$23="Yes",BY$3&gt;=Projects!$C$23,BY$3&lt;Projects!$C$23+Projects!$D$23),Projects!$B$23*(1-SUMPRODUCT((Curves!$B$4:$AR$4)*(COLUMN(Curves!$B$4:$AR$4)-COLUMN(Curves!$B$4)+1&lt;=BY$3-Projects!$C$23+1))),0)+IF(AND(Projects!$G$28="Yes",Projects!$F$28="Yes",BY$3&gt;=Projects!$C$28,BY$3&lt;Projects!$C$28+Projects!$D$28),Projects!$B$28*(1-SUMPRODUCT((Curves!$B$4:$AR$4)*(COLUMN(Curves!$B$4:$AR$4)-COLUMN(Curves!$B$4)+1&lt;=BY$3-Projects!$C$28+1))),0)+IF(AND(Projects!$G$34="Yes",Projects!$F$34="Yes",BY$3&gt;=Projects!$C$34,BY$3&lt;Projects!$C$34+Projects!$D$34),Projects!$B$34*(1-SUMPRODUCT((Curves!$B$4:$AR$4)*(COLUMN(Curves!$B$4:$AR$4)-COLUMN(Curves!$B$4)+1&lt;=BY$3-Projects!$C$34+1))),0)+IF(AND(Projects!$G$40="Yes",Projects!$F$40="Yes",BY$3&gt;=Projects!$C$40,BY$3&lt;Projects!$C$40+Projects!$D$40),Projects!$B$40*(1-SUMPRODUCT((Curves!$B$4:$AR$4)*(COLUMN(Curves!$B$4:$AR$4)-COLUMN(Curves!$B$4)+1&lt;=BY$3-Projects!$C$40+1))),0)+IF(AND(Projects!$G$46="Yes",Projects!$F$46="Yes",BY$3&gt;=Projects!$C$46,BY$3&lt;Projects!$C$46+Projects!$D$46),Projects!$B$46*(1-SUMPRODUCT((Curves!$B$4:$AR$4)*(COLUMN(Curves!$B$4:$AR$4)-COLUMN(Curves!$B$4)+1&lt;=BY$3-Projects!$C$46+1))),0)</f>
        <v/>
      </c>
      <c r="BZ261" s="392">
        <f>IF(AND(Projects!$G$17="Yes",Projects!$F$17="Yes",BZ$3&gt;=Projects!$C$17,BZ$3&lt;Projects!$C$17+Projects!$D$17),Projects!$B$17*(1-SUMPRODUCT((Curves!$B$4:$AR$4)*(COLUMN(Curves!$B$4:$AR$4)-COLUMN(Curves!$B$4)+1&lt;=BZ$3-Projects!$C$17+1))),0)+IF(AND(Projects!$G$18="Yes",Projects!$F$18="Yes",BZ$3&gt;=Projects!$C$18,BZ$3&lt;Projects!$C$18+Projects!$D$18),Projects!$B$18*(1-SUMPRODUCT((Curves!$B$4:$AR$4)*(COLUMN(Curves!$B$4:$AR$4)-COLUMN(Curves!$B$4)+1&lt;=BZ$3-Projects!$C$18+1))),0)+IF(AND(Projects!$G$19="Yes",Projects!$F$19="Yes",BZ$3&gt;=Projects!$C$19,BZ$3&lt;Projects!$C$19+Projects!$D$19),Projects!$B$19*(1-SUMPRODUCT((Curves!$B$4:$AR$4)*(COLUMN(Curves!$B$4:$AR$4)-COLUMN(Curves!$B$4)+1&lt;=BZ$3-Projects!$C$19+1))),0)+IF(AND(Projects!$G$23="Yes",Projects!$F$23="Yes",BZ$3&gt;=Projects!$C$23,BZ$3&lt;Projects!$C$23+Projects!$D$23),Projects!$B$23*(1-SUMPRODUCT((Curves!$B$4:$AR$4)*(COLUMN(Curves!$B$4:$AR$4)-COLUMN(Curves!$B$4)+1&lt;=BZ$3-Projects!$C$23+1))),0)+IF(AND(Projects!$G$28="Yes",Projects!$F$28="Yes",BZ$3&gt;=Projects!$C$28,BZ$3&lt;Projects!$C$28+Projects!$D$28),Projects!$B$28*(1-SUMPRODUCT((Curves!$B$4:$AR$4)*(COLUMN(Curves!$B$4:$AR$4)-COLUMN(Curves!$B$4)+1&lt;=BZ$3-Projects!$C$28+1))),0)+IF(AND(Projects!$G$34="Yes",Projects!$F$34="Yes",BZ$3&gt;=Projects!$C$34,BZ$3&lt;Projects!$C$34+Projects!$D$34),Projects!$B$34*(1-SUMPRODUCT((Curves!$B$4:$AR$4)*(COLUMN(Curves!$B$4:$AR$4)-COLUMN(Curves!$B$4)+1&lt;=BZ$3-Projects!$C$34+1))),0)+IF(AND(Projects!$G$40="Yes",Projects!$F$40="Yes",BZ$3&gt;=Projects!$C$40,BZ$3&lt;Projects!$C$40+Projects!$D$40),Projects!$B$40*(1-SUMPRODUCT((Curves!$B$4:$AR$4)*(COLUMN(Curves!$B$4:$AR$4)-COLUMN(Curves!$B$4)+1&lt;=BZ$3-Projects!$C$40+1))),0)+IF(AND(Projects!$G$46="Yes",Projects!$F$46="Yes",BZ$3&gt;=Projects!$C$46,BZ$3&lt;Projects!$C$46+Projects!$D$46),Projects!$B$46*(1-SUMPRODUCT((Curves!$B$4:$AR$4)*(COLUMN(Curves!$B$4:$AR$4)-COLUMN(Curves!$B$4)+1&lt;=BZ$3-Projects!$C$46+1))),0)</f>
        <v/>
      </c>
      <c r="CA261" s="392">
        <f>IF(AND(Projects!$G$17="Yes",Projects!$F$17="Yes",CA$3&gt;=Projects!$C$17,CA$3&lt;Projects!$C$17+Projects!$D$17),Projects!$B$17*(1-SUMPRODUCT((Curves!$B$4:$AR$4)*(COLUMN(Curves!$B$4:$AR$4)-COLUMN(Curves!$B$4)+1&lt;=CA$3-Projects!$C$17+1))),0)+IF(AND(Projects!$G$18="Yes",Projects!$F$18="Yes",CA$3&gt;=Projects!$C$18,CA$3&lt;Projects!$C$18+Projects!$D$18),Projects!$B$18*(1-SUMPRODUCT((Curves!$B$4:$AR$4)*(COLUMN(Curves!$B$4:$AR$4)-COLUMN(Curves!$B$4)+1&lt;=CA$3-Projects!$C$18+1))),0)+IF(AND(Projects!$G$19="Yes",Projects!$F$19="Yes",CA$3&gt;=Projects!$C$19,CA$3&lt;Projects!$C$19+Projects!$D$19),Projects!$B$19*(1-SUMPRODUCT((Curves!$B$4:$AR$4)*(COLUMN(Curves!$B$4:$AR$4)-COLUMN(Curves!$B$4)+1&lt;=CA$3-Projects!$C$19+1))),0)+IF(AND(Projects!$G$23="Yes",Projects!$F$23="Yes",CA$3&gt;=Projects!$C$23,CA$3&lt;Projects!$C$23+Projects!$D$23),Projects!$B$23*(1-SUMPRODUCT((Curves!$B$4:$AR$4)*(COLUMN(Curves!$B$4:$AR$4)-COLUMN(Curves!$B$4)+1&lt;=CA$3-Projects!$C$23+1))),0)+IF(AND(Projects!$G$28="Yes",Projects!$F$28="Yes",CA$3&gt;=Projects!$C$28,CA$3&lt;Projects!$C$28+Projects!$D$28),Projects!$B$28*(1-SUMPRODUCT((Curves!$B$4:$AR$4)*(COLUMN(Curves!$B$4:$AR$4)-COLUMN(Curves!$B$4)+1&lt;=CA$3-Projects!$C$28+1))),0)+IF(AND(Projects!$G$34="Yes",Projects!$F$34="Yes",CA$3&gt;=Projects!$C$34,CA$3&lt;Projects!$C$34+Projects!$D$34),Projects!$B$34*(1-SUMPRODUCT((Curves!$B$4:$AR$4)*(COLUMN(Curves!$B$4:$AR$4)-COLUMN(Curves!$B$4)+1&lt;=CA$3-Projects!$C$34+1))),0)+IF(AND(Projects!$G$40="Yes",Projects!$F$40="Yes",CA$3&gt;=Projects!$C$40,CA$3&lt;Projects!$C$40+Projects!$D$40),Projects!$B$40*(1-SUMPRODUCT((Curves!$B$4:$AR$4)*(COLUMN(Curves!$B$4:$AR$4)-COLUMN(Curves!$B$4)+1&lt;=CA$3-Projects!$C$40+1))),0)+IF(AND(Projects!$G$46="Yes",Projects!$F$46="Yes",CA$3&gt;=Projects!$C$46,CA$3&lt;Projects!$C$46+Projects!$D$46),Projects!$B$46*(1-SUMPRODUCT((Curves!$B$4:$AR$4)*(COLUMN(Curves!$B$4:$AR$4)-COLUMN(Curves!$B$4)+1&lt;=CA$3-Projects!$C$46+1))),0)</f>
        <v/>
      </c>
      <c r="CB261" s="392">
        <f>IF(AND(Projects!$G$17="Yes",Projects!$F$17="Yes",CB$3&gt;=Projects!$C$17,CB$3&lt;Projects!$C$17+Projects!$D$17),Projects!$B$17*(1-SUMPRODUCT((Curves!$B$4:$AR$4)*(COLUMN(Curves!$B$4:$AR$4)-COLUMN(Curves!$B$4)+1&lt;=CB$3-Projects!$C$17+1))),0)+IF(AND(Projects!$G$18="Yes",Projects!$F$18="Yes",CB$3&gt;=Projects!$C$18,CB$3&lt;Projects!$C$18+Projects!$D$18),Projects!$B$18*(1-SUMPRODUCT((Curves!$B$4:$AR$4)*(COLUMN(Curves!$B$4:$AR$4)-COLUMN(Curves!$B$4)+1&lt;=CB$3-Projects!$C$18+1))),0)+IF(AND(Projects!$G$19="Yes",Projects!$F$19="Yes",CB$3&gt;=Projects!$C$19,CB$3&lt;Projects!$C$19+Projects!$D$19),Projects!$B$19*(1-SUMPRODUCT((Curves!$B$4:$AR$4)*(COLUMN(Curves!$B$4:$AR$4)-COLUMN(Curves!$B$4)+1&lt;=CB$3-Projects!$C$19+1))),0)+IF(AND(Projects!$G$23="Yes",Projects!$F$23="Yes",CB$3&gt;=Projects!$C$23,CB$3&lt;Projects!$C$23+Projects!$D$23),Projects!$B$23*(1-SUMPRODUCT((Curves!$B$4:$AR$4)*(COLUMN(Curves!$B$4:$AR$4)-COLUMN(Curves!$B$4)+1&lt;=CB$3-Projects!$C$23+1))),0)+IF(AND(Projects!$G$28="Yes",Projects!$F$28="Yes",CB$3&gt;=Projects!$C$28,CB$3&lt;Projects!$C$28+Projects!$D$28),Projects!$B$28*(1-SUMPRODUCT((Curves!$B$4:$AR$4)*(COLUMN(Curves!$B$4:$AR$4)-COLUMN(Curves!$B$4)+1&lt;=CB$3-Projects!$C$28+1))),0)+IF(AND(Projects!$G$34="Yes",Projects!$F$34="Yes",CB$3&gt;=Projects!$C$34,CB$3&lt;Projects!$C$34+Projects!$D$34),Projects!$B$34*(1-SUMPRODUCT((Curves!$B$4:$AR$4)*(COLUMN(Curves!$B$4:$AR$4)-COLUMN(Curves!$B$4)+1&lt;=CB$3-Projects!$C$34+1))),0)+IF(AND(Projects!$G$40="Yes",Projects!$F$40="Yes",CB$3&gt;=Projects!$C$40,CB$3&lt;Projects!$C$40+Projects!$D$40),Projects!$B$40*(1-SUMPRODUCT((Curves!$B$4:$AR$4)*(COLUMN(Curves!$B$4:$AR$4)-COLUMN(Curves!$B$4)+1&lt;=CB$3-Projects!$C$40+1))),0)+IF(AND(Projects!$G$46="Yes",Projects!$F$46="Yes",CB$3&gt;=Projects!$C$46,CB$3&lt;Projects!$C$46+Projects!$D$46),Projects!$B$46*(1-SUMPRODUCT((Curves!$B$4:$AR$4)*(COLUMN(Curves!$B$4:$AR$4)-COLUMN(Curves!$B$4)+1&lt;=CB$3-Projects!$C$46+1))),0)</f>
        <v/>
      </c>
      <c r="CC261" s="392">
        <f>IF(AND(Projects!$G$17="Yes",Projects!$F$17="Yes",CC$3&gt;=Projects!$C$17,CC$3&lt;Projects!$C$17+Projects!$D$17),Projects!$B$17*(1-SUMPRODUCT((Curves!$B$4:$AR$4)*(COLUMN(Curves!$B$4:$AR$4)-COLUMN(Curves!$B$4)+1&lt;=CC$3-Projects!$C$17+1))),0)+IF(AND(Projects!$G$18="Yes",Projects!$F$18="Yes",CC$3&gt;=Projects!$C$18,CC$3&lt;Projects!$C$18+Projects!$D$18),Projects!$B$18*(1-SUMPRODUCT((Curves!$B$4:$AR$4)*(COLUMN(Curves!$B$4:$AR$4)-COLUMN(Curves!$B$4)+1&lt;=CC$3-Projects!$C$18+1))),0)+IF(AND(Projects!$G$19="Yes",Projects!$F$19="Yes",CC$3&gt;=Projects!$C$19,CC$3&lt;Projects!$C$19+Projects!$D$19),Projects!$B$19*(1-SUMPRODUCT((Curves!$B$4:$AR$4)*(COLUMN(Curves!$B$4:$AR$4)-COLUMN(Curves!$B$4)+1&lt;=CC$3-Projects!$C$19+1))),0)+IF(AND(Projects!$G$23="Yes",Projects!$F$23="Yes",CC$3&gt;=Projects!$C$23,CC$3&lt;Projects!$C$23+Projects!$D$23),Projects!$B$23*(1-SUMPRODUCT((Curves!$B$4:$AR$4)*(COLUMN(Curves!$B$4:$AR$4)-COLUMN(Curves!$B$4)+1&lt;=CC$3-Projects!$C$23+1))),0)+IF(AND(Projects!$G$28="Yes",Projects!$F$28="Yes",CC$3&gt;=Projects!$C$28,CC$3&lt;Projects!$C$28+Projects!$D$28),Projects!$B$28*(1-SUMPRODUCT((Curves!$B$4:$AR$4)*(COLUMN(Curves!$B$4:$AR$4)-COLUMN(Curves!$B$4)+1&lt;=CC$3-Projects!$C$28+1))),0)+IF(AND(Projects!$G$34="Yes",Projects!$F$34="Yes",CC$3&gt;=Projects!$C$34,CC$3&lt;Projects!$C$34+Projects!$D$34),Projects!$B$34*(1-SUMPRODUCT((Curves!$B$4:$AR$4)*(COLUMN(Curves!$B$4:$AR$4)-COLUMN(Curves!$B$4)+1&lt;=CC$3-Projects!$C$34+1))),0)+IF(AND(Projects!$G$40="Yes",Projects!$F$40="Yes",CC$3&gt;=Projects!$C$40,CC$3&lt;Projects!$C$40+Projects!$D$40),Projects!$B$40*(1-SUMPRODUCT((Curves!$B$4:$AR$4)*(COLUMN(Curves!$B$4:$AR$4)-COLUMN(Curves!$B$4)+1&lt;=CC$3-Projects!$C$40+1))),0)+IF(AND(Projects!$G$46="Yes",Projects!$F$46="Yes",CC$3&gt;=Projects!$C$46,CC$3&lt;Projects!$C$46+Projects!$D$46),Projects!$B$46*(1-SUMPRODUCT((Curves!$B$4:$AR$4)*(COLUMN(Curves!$B$4:$AR$4)-COLUMN(Curves!$B$4)+1&lt;=CC$3-Projects!$C$46+1))),0)</f>
        <v/>
      </c>
      <c r="CD261" s="392">
        <f>IF(AND(Projects!$G$17="Yes",Projects!$F$17="Yes",CD$3&gt;=Projects!$C$17,CD$3&lt;Projects!$C$17+Projects!$D$17),Projects!$B$17*(1-SUMPRODUCT((Curves!$B$4:$AR$4)*(COLUMN(Curves!$B$4:$AR$4)-COLUMN(Curves!$B$4)+1&lt;=CD$3-Projects!$C$17+1))),0)+IF(AND(Projects!$G$18="Yes",Projects!$F$18="Yes",CD$3&gt;=Projects!$C$18,CD$3&lt;Projects!$C$18+Projects!$D$18),Projects!$B$18*(1-SUMPRODUCT((Curves!$B$4:$AR$4)*(COLUMN(Curves!$B$4:$AR$4)-COLUMN(Curves!$B$4)+1&lt;=CD$3-Projects!$C$18+1))),0)+IF(AND(Projects!$G$19="Yes",Projects!$F$19="Yes",CD$3&gt;=Projects!$C$19,CD$3&lt;Projects!$C$19+Projects!$D$19),Projects!$B$19*(1-SUMPRODUCT((Curves!$B$4:$AR$4)*(COLUMN(Curves!$B$4:$AR$4)-COLUMN(Curves!$B$4)+1&lt;=CD$3-Projects!$C$19+1))),0)+IF(AND(Projects!$G$23="Yes",Projects!$F$23="Yes",CD$3&gt;=Projects!$C$23,CD$3&lt;Projects!$C$23+Projects!$D$23),Projects!$B$23*(1-SUMPRODUCT((Curves!$B$4:$AR$4)*(COLUMN(Curves!$B$4:$AR$4)-COLUMN(Curves!$B$4)+1&lt;=CD$3-Projects!$C$23+1))),0)+IF(AND(Projects!$G$28="Yes",Projects!$F$28="Yes",CD$3&gt;=Projects!$C$28,CD$3&lt;Projects!$C$28+Projects!$D$28),Projects!$B$28*(1-SUMPRODUCT((Curves!$B$4:$AR$4)*(COLUMN(Curves!$B$4:$AR$4)-COLUMN(Curves!$B$4)+1&lt;=CD$3-Projects!$C$28+1))),0)+IF(AND(Projects!$G$34="Yes",Projects!$F$34="Yes",CD$3&gt;=Projects!$C$34,CD$3&lt;Projects!$C$34+Projects!$D$34),Projects!$B$34*(1-SUMPRODUCT((Curves!$B$4:$AR$4)*(COLUMN(Curves!$B$4:$AR$4)-COLUMN(Curves!$B$4)+1&lt;=CD$3-Projects!$C$34+1))),0)+IF(AND(Projects!$G$40="Yes",Projects!$F$40="Yes",CD$3&gt;=Projects!$C$40,CD$3&lt;Projects!$C$40+Projects!$D$40),Projects!$B$40*(1-SUMPRODUCT((Curves!$B$4:$AR$4)*(COLUMN(Curves!$B$4:$AR$4)-COLUMN(Curves!$B$4)+1&lt;=CD$3-Projects!$C$40+1))),0)+IF(AND(Projects!$G$46="Yes",Projects!$F$46="Yes",CD$3&gt;=Projects!$C$46,CD$3&lt;Projects!$C$46+Projects!$D$46),Projects!$B$46*(1-SUMPRODUCT((Curves!$B$4:$AR$4)*(COLUMN(Curves!$B$4:$AR$4)-COLUMN(Curves!$B$4)+1&lt;=CD$3-Projects!$C$46+1))),0)</f>
        <v/>
      </c>
      <c r="CE261" s="392">
        <f>IF(AND(Projects!$G$17="Yes",Projects!$F$17="Yes",CE$3&gt;=Projects!$C$17,CE$3&lt;Projects!$C$17+Projects!$D$17),Projects!$B$17*(1-SUMPRODUCT((Curves!$B$4:$AR$4)*(COLUMN(Curves!$B$4:$AR$4)-COLUMN(Curves!$B$4)+1&lt;=CE$3-Projects!$C$17+1))),0)+IF(AND(Projects!$G$18="Yes",Projects!$F$18="Yes",CE$3&gt;=Projects!$C$18,CE$3&lt;Projects!$C$18+Projects!$D$18),Projects!$B$18*(1-SUMPRODUCT((Curves!$B$4:$AR$4)*(COLUMN(Curves!$B$4:$AR$4)-COLUMN(Curves!$B$4)+1&lt;=CE$3-Projects!$C$18+1))),0)+IF(AND(Projects!$G$19="Yes",Projects!$F$19="Yes",CE$3&gt;=Projects!$C$19,CE$3&lt;Projects!$C$19+Projects!$D$19),Projects!$B$19*(1-SUMPRODUCT((Curves!$B$4:$AR$4)*(COLUMN(Curves!$B$4:$AR$4)-COLUMN(Curves!$B$4)+1&lt;=CE$3-Projects!$C$19+1))),0)+IF(AND(Projects!$G$23="Yes",Projects!$F$23="Yes",CE$3&gt;=Projects!$C$23,CE$3&lt;Projects!$C$23+Projects!$D$23),Projects!$B$23*(1-SUMPRODUCT((Curves!$B$4:$AR$4)*(COLUMN(Curves!$B$4:$AR$4)-COLUMN(Curves!$B$4)+1&lt;=CE$3-Projects!$C$23+1))),0)+IF(AND(Projects!$G$28="Yes",Projects!$F$28="Yes",CE$3&gt;=Projects!$C$28,CE$3&lt;Projects!$C$28+Projects!$D$28),Projects!$B$28*(1-SUMPRODUCT((Curves!$B$4:$AR$4)*(COLUMN(Curves!$B$4:$AR$4)-COLUMN(Curves!$B$4)+1&lt;=CE$3-Projects!$C$28+1))),0)+IF(AND(Projects!$G$34="Yes",Projects!$F$34="Yes",CE$3&gt;=Projects!$C$34,CE$3&lt;Projects!$C$34+Projects!$D$34),Projects!$B$34*(1-SUMPRODUCT((Curves!$B$4:$AR$4)*(COLUMN(Curves!$B$4:$AR$4)-COLUMN(Curves!$B$4)+1&lt;=CE$3-Projects!$C$34+1))),0)+IF(AND(Projects!$G$40="Yes",Projects!$F$40="Yes",CE$3&gt;=Projects!$C$40,CE$3&lt;Projects!$C$40+Projects!$D$40),Projects!$B$40*(1-SUMPRODUCT((Curves!$B$4:$AR$4)*(COLUMN(Curves!$B$4:$AR$4)-COLUMN(Curves!$B$4)+1&lt;=CE$3-Projects!$C$40+1))),0)+IF(AND(Projects!$G$46="Yes",Projects!$F$46="Yes",CE$3&gt;=Projects!$C$46,CE$3&lt;Projects!$C$46+Projects!$D$46),Projects!$B$46*(1-SUMPRODUCT((Curves!$B$4:$AR$4)*(COLUMN(Curves!$B$4:$AR$4)-COLUMN(Curves!$B$4)+1&lt;=CE$3-Projects!$C$46+1))),0)</f>
        <v/>
      </c>
      <c r="CF261" s="392">
        <f>IF(AND(Projects!$G$17="Yes",Projects!$F$17="Yes",CF$3&gt;=Projects!$C$17,CF$3&lt;Projects!$C$17+Projects!$D$17),Projects!$B$17*(1-SUMPRODUCT((Curves!$B$4:$AR$4)*(COLUMN(Curves!$B$4:$AR$4)-COLUMN(Curves!$B$4)+1&lt;=CF$3-Projects!$C$17+1))),0)+IF(AND(Projects!$G$18="Yes",Projects!$F$18="Yes",CF$3&gt;=Projects!$C$18,CF$3&lt;Projects!$C$18+Projects!$D$18),Projects!$B$18*(1-SUMPRODUCT((Curves!$B$4:$AR$4)*(COLUMN(Curves!$B$4:$AR$4)-COLUMN(Curves!$B$4)+1&lt;=CF$3-Projects!$C$18+1))),0)+IF(AND(Projects!$G$19="Yes",Projects!$F$19="Yes",CF$3&gt;=Projects!$C$19,CF$3&lt;Projects!$C$19+Projects!$D$19),Projects!$B$19*(1-SUMPRODUCT((Curves!$B$4:$AR$4)*(COLUMN(Curves!$B$4:$AR$4)-COLUMN(Curves!$B$4)+1&lt;=CF$3-Projects!$C$19+1))),0)+IF(AND(Projects!$G$23="Yes",Projects!$F$23="Yes",CF$3&gt;=Projects!$C$23,CF$3&lt;Projects!$C$23+Projects!$D$23),Projects!$B$23*(1-SUMPRODUCT((Curves!$B$4:$AR$4)*(COLUMN(Curves!$B$4:$AR$4)-COLUMN(Curves!$B$4)+1&lt;=CF$3-Projects!$C$23+1))),0)+IF(AND(Projects!$G$28="Yes",Projects!$F$28="Yes",CF$3&gt;=Projects!$C$28,CF$3&lt;Projects!$C$28+Projects!$D$28),Projects!$B$28*(1-SUMPRODUCT((Curves!$B$4:$AR$4)*(COLUMN(Curves!$B$4:$AR$4)-COLUMN(Curves!$B$4)+1&lt;=CF$3-Projects!$C$28+1))),0)+IF(AND(Projects!$G$34="Yes",Projects!$F$34="Yes",CF$3&gt;=Projects!$C$34,CF$3&lt;Projects!$C$34+Projects!$D$34),Projects!$B$34*(1-SUMPRODUCT((Curves!$B$4:$AR$4)*(COLUMN(Curves!$B$4:$AR$4)-COLUMN(Curves!$B$4)+1&lt;=CF$3-Projects!$C$34+1))),0)+IF(AND(Projects!$G$40="Yes",Projects!$F$40="Yes",CF$3&gt;=Projects!$C$40,CF$3&lt;Projects!$C$40+Projects!$D$40),Projects!$B$40*(1-SUMPRODUCT((Curves!$B$4:$AR$4)*(COLUMN(Curves!$B$4:$AR$4)-COLUMN(Curves!$B$4)+1&lt;=CF$3-Projects!$C$40+1))),0)+IF(AND(Projects!$G$46="Yes",Projects!$F$46="Yes",CF$3&gt;=Projects!$C$46,CF$3&lt;Projects!$C$46+Projects!$D$46),Projects!$B$46*(1-SUMPRODUCT((Curves!$B$4:$AR$4)*(COLUMN(Curves!$B$4:$AR$4)-COLUMN(Curves!$B$4)+1&lt;=CF$3-Projects!$C$46+1))),0)</f>
        <v/>
      </c>
      <c r="CG261" s="392">
        <f>IF(AND(Projects!$G$17="Yes",Projects!$F$17="Yes",CG$3&gt;=Projects!$C$17,CG$3&lt;Projects!$C$17+Projects!$D$17),Projects!$B$17*(1-SUMPRODUCT((Curves!$B$4:$AR$4)*(COLUMN(Curves!$B$4:$AR$4)-COLUMN(Curves!$B$4)+1&lt;=CG$3-Projects!$C$17+1))),0)+IF(AND(Projects!$G$18="Yes",Projects!$F$18="Yes",CG$3&gt;=Projects!$C$18,CG$3&lt;Projects!$C$18+Projects!$D$18),Projects!$B$18*(1-SUMPRODUCT((Curves!$B$4:$AR$4)*(COLUMN(Curves!$B$4:$AR$4)-COLUMN(Curves!$B$4)+1&lt;=CG$3-Projects!$C$18+1))),0)+IF(AND(Projects!$G$19="Yes",Projects!$F$19="Yes",CG$3&gt;=Projects!$C$19,CG$3&lt;Projects!$C$19+Projects!$D$19),Projects!$B$19*(1-SUMPRODUCT((Curves!$B$4:$AR$4)*(COLUMN(Curves!$B$4:$AR$4)-COLUMN(Curves!$B$4)+1&lt;=CG$3-Projects!$C$19+1))),0)+IF(AND(Projects!$G$23="Yes",Projects!$F$23="Yes",CG$3&gt;=Projects!$C$23,CG$3&lt;Projects!$C$23+Projects!$D$23),Projects!$B$23*(1-SUMPRODUCT((Curves!$B$4:$AR$4)*(COLUMN(Curves!$B$4:$AR$4)-COLUMN(Curves!$B$4)+1&lt;=CG$3-Projects!$C$23+1))),0)+IF(AND(Projects!$G$28="Yes",Projects!$F$28="Yes",CG$3&gt;=Projects!$C$28,CG$3&lt;Projects!$C$28+Projects!$D$28),Projects!$B$28*(1-SUMPRODUCT((Curves!$B$4:$AR$4)*(COLUMN(Curves!$B$4:$AR$4)-COLUMN(Curves!$B$4)+1&lt;=CG$3-Projects!$C$28+1))),0)+IF(AND(Projects!$G$34="Yes",Projects!$F$34="Yes",CG$3&gt;=Projects!$C$34,CG$3&lt;Projects!$C$34+Projects!$D$34),Projects!$B$34*(1-SUMPRODUCT((Curves!$B$4:$AR$4)*(COLUMN(Curves!$B$4:$AR$4)-COLUMN(Curves!$B$4)+1&lt;=CG$3-Projects!$C$34+1))),0)+IF(AND(Projects!$G$40="Yes",Projects!$F$40="Yes",CG$3&gt;=Projects!$C$40,CG$3&lt;Projects!$C$40+Projects!$D$40),Projects!$B$40*(1-SUMPRODUCT((Curves!$B$4:$AR$4)*(COLUMN(Curves!$B$4:$AR$4)-COLUMN(Curves!$B$4)+1&lt;=CG$3-Projects!$C$40+1))),0)+IF(AND(Projects!$G$46="Yes",Projects!$F$46="Yes",CG$3&gt;=Projects!$C$46,CG$3&lt;Projects!$C$46+Projects!$D$46),Projects!$B$46*(1-SUMPRODUCT((Curves!$B$4:$AR$4)*(COLUMN(Curves!$B$4:$AR$4)-COLUMN(Curves!$B$4)+1&lt;=CG$3-Projects!$C$46+1))),0)</f>
        <v/>
      </c>
      <c r="CH261" s="392">
        <f>IF(AND(Projects!$G$17="Yes",Projects!$F$17="Yes",CH$3&gt;=Projects!$C$17,CH$3&lt;Projects!$C$17+Projects!$D$17),Projects!$B$17*(1-SUMPRODUCT((Curves!$B$4:$AR$4)*(COLUMN(Curves!$B$4:$AR$4)-COLUMN(Curves!$B$4)+1&lt;=CH$3-Projects!$C$17+1))),0)+IF(AND(Projects!$G$18="Yes",Projects!$F$18="Yes",CH$3&gt;=Projects!$C$18,CH$3&lt;Projects!$C$18+Projects!$D$18),Projects!$B$18*(1-SUMPRODUCT((Curves!$B$4:$AR$4)*(COLUMN(Curves!$B$4:$AR$4)-COLUMN(Curves!$B$4)+1&lt;=CH$3-Projects!$C$18+1))),0)+IF(AND(Projects!$G$19="Yes",Projects!$F$19="Yes",CH$3&gt;=Projects!$C$19,CH$3&lt;Projects!$C$19+Projects!$D$19),Projects!$B$19*(1-SUMPRODUCT((Curves!$B$4:$AR$4)*(COLUMN(Curves!$B$4:$AR$4)-COLUMN(Curves!$B$4)+1&lt;=CH$3-Projects!$C$19+1))),0)+IF(AND(Projects!$G$23="Yes",Projects!$F$23="Yes",CH$3&gt;=Projects!$C$23,CH$3&lt;Projects!$C$23+Projects!$D$23),Projects!$B$23*(1-SUMPRODUCT((Curves!$B$4:$AR$4)*(COLUMN(Curves!$B$4:$AR$4)-COLUMN(Curves!$B$4)+1&lt;=CH$3-Projects!$C$23+1))),0)+IF(AND(Projects!$G$28="Yes",Projects!$F$28="Yes",CH$3&gt;=Projects!$C$28,CH$3&lt;Projects!$C$28+Projects!$D$28),Projects!$B$28*(1-SUMPRODUCT((Curves!$B$4:$AR$4)*(COLUMN(Curves!$B$4:$AR$4)-COLUMN(Curves!$B$4)+1&lt;=CH$3-Projects!$C$28+1))),0)+IF(AND(Projects!$G$34="Yes",Projects!$F$34="Yes",CH$3&gt;=Projects!$C$34,CH$3&lt;Projects!$C$34+Projects!$D$34),Projects!$B$34*(1-SUMPRODUCT((Curves!$B$4:$AR$4)*(COLUMN(Curves!$B$4:$AR$4)-COLUMN(Curves!$B$4)+1&lt;=CH$3-Projects!$C$34+1))),0)+IF(AND(Projects!$G$40="Yes",Projects!$F$40="Yes",CH$3&gt;=Projects!$C$40,CH$3&lt;Projects!$C$40+Projects!$D$40),Projects!$B$40*(1-SUMPRODUCT((Curves!$B$4:$AR$4)*(COLUMN(Curves!$B$4:$AR$4)-COLUMN(Curves!$B$4)+1&lt;=CH$3-Projects!$C$40+1))),0)+IF(AND(Projects!$G$46="Yes",Projects!$F$46="Yes",CH$3&gt;=Projects!$C$46,CH$3&lt;Projects!$C$46+Projects!$D$46),Projects!$B$46*(1-SUMPRODUCT((Curves!$B$4:$AR$4)*(COLUMN(Curves!$B$4:$AR$4)-COLUMN(Curves!$B$4)+1&lt;=CH$3-Projects!$C$46+1))),0)</f>
        <v/>
      </c>
      <c r="CI261" s="392">
        <f>IF(AND(Projects!$G$17="Yes",Projects!$F$17="Yes",CI$3&gt;=Projects!$C$17,CI$3&lt;Projects!$C$17+Projects!$D$17),Projects!$B$17*(1-SUMPRODUCT((Curves!$B$4:$AR$4)*(COLUMN(Curves!$B$4:$AR$4)-COLUMN(Curves!$B$4)+1&lt;=CI$3-Projects!$C$17+1))),0)+IF(AND(Projects!$G$18="Yes",Projects!$F$18="Yes",CI$3&gt;=Projects!$C$18,CI$3&lt;Projects!$C$18+Projects!$D$18),Projects!$B$18*(1-SUMPRODUCT((Curves!$B$4:$AR$4)*(COLUMN(Curves!$B$4:$AR$4)-COLUMN(Curves!$B$4)+1&lt;=CI$3-Projects!$C$18+1))),0)+IF(AND(Projects!$G$19="Yes",Projects!$F$19="Yes",CI$3&gt;=Projects!$C$19,CI$3&lt;Projects!$C$19+Projects!$D$19),Projects!$B$19*(1-SUMPRODUCT((Curves!$B$4:$AR$4)*(COLUMN(Curves!$B$4:$AR$4)-COLUMN(Curves!$B$4)+1&lt;=CI$3-Projects!$C$19+1))),0)+IF(AND(Projects!$G$23="Yes",Projects!$F$23="Yes",CI$3&gt;=Projects!$C$23,CI$3&lt;Projects!$C$23+Projects!$D$23),Projects!$B$23*(1-SUMPRODUCT((Curves!$B$4:$AR$4)*(COLUMN(Curves!$B$4:$AR$4)-COLUMN(Curves!$B$4)+1&lt;=CI$3-Projects!$C$23+1))),0)+IF(AND(Projects!$G$28="Yes",Projects!$F$28="Yes",CI$3&gt;=Projects!$C$28,CI$3&lt;Projects!$C$28+Projects!$D$28),Projects!$B$28*(1-SUMPRODUCT((Curves!$B$4:$AR$4)*(COLUMN(Curves!$B$4:$AR$4)-COLUMN(Curves!$B$4)+1&lt;=CI$3-Projects!$C$28+1))),0)+IF(AND(Projects!$G$34="Yes",Projects!$F$34="Yes",CI$3&gt;=Projects!$C$34,CI$3&lt;Projects!$C$34+Projects!$D$34),Projects!$B$34*(1-SUMPRODUCT((Curves!$B$4:$AR$4)*(COLUMN(Curves!$B$4:$AR$4)-COLUMN(Curves!$B$4)+1&lt;=CI$3-Projects!$C$34+1))),0)+IF(AND(Projects!$G$40="Yes",Projects!$F$40="Yes",CI$3&gt;=Projects!$C$40,CI$3&lt;Projects!$C$40+Projects!$D$40),Projects!$B$40*(1-SUMPRODUCT((Curves!$B$4:$AR$4)*(COLUMN(Curves!$B$4:$AR$4)-COLUMN(Curves!$B$4)+1&lt;=CI$3-Projects!$C$40+1))),0)+IF(AND(Projects!$G$46="Yes",Projects!$F$46="Yes",CI$3&gt;=Projects!$C$46,CI$3&lt;Projects!$C$46+Projects!$D$46),Projects!$B$46*(1-SUMPRODUCT((Curves!$B$4:$AR$4)*(COLUMN(Curves!$B$4:$AR$4)-COLUMN(Curves!$B$4)+1&lt;=CI$3-Projects!$C$46+1))),0)</f>
        <v/>
      </c>
      <c r="CJ261" s="392">
        <f>IF(AND(Projects!$G$17="Yes",Projects!$F$17="Yes",CJ$3&gt;=Projects!$C$17,CJ$3&lt;Projects!$C$17+Projects!$D$17),Projects!$B$17*(1-SUMPRODUCT((Curves!$B$4:$AR$4)*(COLUMN(Curves!$B$4:$AR$4)-COLUMN(Curves!$B$4)+1&lt;=CJ$3-Projects!$C$17+1))),0)+IF(AND(Projects!$G$18="Yes",Projects!$F$18="Yes",CJ$3&gt;=Projects!$C$18,CJ$3&lt;Projects!$C$18+Projects!$D$18),Projects!$B$18*(1-SUMPRODUCT((Curves!$B$4:$AR$4)*(COLUMN(Curves!$B$4:$AR$4)-COLUMN(Curves!$B$4)+1&lt;=CJ$3-Projects!$C$18+1))),0)+IF(AND(Projects!$G$19="Yes",Projects!$F$19="Yes",CJ$3&gt;=Projects!$C$19,CJ$3&lt;Projects!$C$19+Projects!$D$19),Projects!$B$19*(1-SUMPRODUCT((Curves!$B$4:$AR$4)*(COLUMN(Curves!$B$4:$AR$4)-COLUMN(Curves!$B$4)+1&lt;=CJ$3-Projects!$C$19+1))),0)+IF(AND(Projects!$G$23="Yes",Projects!$F$23="Yes",CJ$3&gt;=Projects!$C$23,CJ$3&lt;Projects!$C$23+Projects!$D$23),Projects!$B$23*(1-SUMPRODUCT((Curves!$B$4:$AR$4)*(COLUMN(Curves!$B$4:$AR$4)-COLUMN(Curves!$B$4)+1&lt;=CJ$3-Projects!$C$23+1))),0)+IF(AND(Projects!$G$28="Yes",Projects!$F$28="Yes",CJ$3&gt;=Projects!$C$28,CJ$3&lt;Projects!$C$28+Projects!$D$28),Projects!$B$28*(1-SUMPRODUCT((Curves!$B$4:$AR$4)*(COLUMN(Curves!$B$4:$AR$4)-COLUMN(Curves!$B$4)+1&lt;=CJ$3-Projects!$C$28+1))),0)+IF(AND(Projects!$G$34="Yes",Projects!$F$34="Yes",CJ$3&gt;=Projects!$C$34,CJ$3&lt;Projects!$C$34+Projects!$D$34),Projects!$B$34*(1-SUMPRODUCT((Curves!$B$4:$AR$4)*(COLUMN(Curves!$B$4:$AR$4)-COLUMN(Curves!$B$4)+1&lt;=CJ$3-Projects!$C$34+1))),0)+IF(AND(Projects!$G$40="Yes",Projects!$F$40="Yes",CJ$3&gt;=Projects!$C$40,CJ$3&lt;Projects!$C$40+Projects!$D$40),Projects!$B$40*(1-SUMPRODUCT((Curves!$B$4:$AR$4)*(COLUMN(Curves!$B$4:$AR$4)-COLUMN(Curves!$B$4)+1&lt;=CJ$3-Projects!$C$40+1))),0)+IF(AND(Projects!$G$46="Yes",Projects!$F$46="Yes",CJ$3&gt;=Projects!$C$46,CJ$3&lt;Projects!$C$46+Projects!$D$46),Projects!$B$46*(1-SUMPRODUCT((Curves!$B$4:$AR$4)*(COLUMN(Curves!$B$4:$AR$4)-COLUMN(Curves!$B$4)+1&lt;=CJ$3-Projects!$C$46+1))),0)</f>
        <v/>
      </c>
      <c r="CK261" s="392">
        <f>IF(AND(Projects!$G$17="Yes",Projects!$F$17="Yes",CK$3&gt;=Projects!$C$17,CK$3&lt;Projects!$C$17+Projects!$D$17),Projects!$B$17*(1-SUMPRODUCT((Curves!$B$4:$AR$4)*(COLUMN(Curves!$B$4:$AR$4)-COLUMN(Curves!$B$4)+1&lt;=CK$3-Projects!$C$17+1))),0)+IF(AND(Projects!$G$18="Yes",Projects!$F$18="Yes",CK$3&gt;=Projects!$C$18,CK$3&lt;Projects!$C$18+Projects!$D$18),Projects!$B$18*(1-SUMPRODUCT((Curves!$B$4:$AR$4)*(COLUMN(Curves!$B$4:$AR$4)-COLUMN(Curves!$B$4)+1&lt;=CK$3-Projects!$C$18+1))),0)+IF(AND(Projects!$G$19="Yes",Projects!$F$19="Yes",CK$3&gt;=Projects!$C$19,CK$3&lt;Projects!$C$19+Projects!$D$19),Projects!$B$19*(1-SUMPRODUCT((Curves!$B$4:$AR$4)*(COLUMN(Curves!$B$4:$AR$4)-COLUMN(Curves!$B$4)+1&lt;=CK$3-Projects!$C$19+1))),0)+IF(AND(Projects!$G$23="Yes",Projects!$F$23="Yes",CK$3&gt;=Projects!$C$23,CK$3&lt;Projects!$C$23+Projects!$D$23),Projects!$B$23*(1-SUMPRODUCT((Curves!$B$4:$AR$4)*(COLUMN(Curves!$B$4:$AR$4)-COLUMN(Curves!$B$4)+1&lt;=CK$3-Projects!$C$23+1))),0)+IF(AND(Projects!$G$28="Yes",Projects!$F$28="Yes",CK$3&gt;=Projects!$C$28,CK$3&lt;Projects!$C$28+Projects!$D$28),Projects!$B$28*(1-SUMPRODUCT((Curves!$B$4:$AR$4)*(COLUMN(Curves!$B$4:$AR$4)-COLUMN(Curves!$B$4)+1&lt;=CK$3-Projects!$C$28+1))),0)+IF(AND(Projects!$G$34="Yes",Projects!$F$34="Yes",CK$3&gt;=Projects!$C$34,CK$3&lt;Projects!$C$34+Projects!$D$34),Projects!$B$34*(1-SUMPRODUCT((Curves!$B$4:$AR$4)*(COLUMN(Curves!$B$4:$AR$4)-COLUMN(Curves!$B$4)+1&lt;=CK$3-Projects!$C$34+1))),0)+IF(AND(Projects!$G$40="Yes",Projects!$F$40="Yes",CK$3&gt;=Projects!$C$40,CK$3&lt;Projects!$C$40+Projects!$D$40),Projects!$B$40*(1-SUMPRODUCT((Curves!$B$4:$AR$4)*(COLUMN(Curves!$B$4:$AR$4)-COLUMN(Curves!$B$4)+1&lt;=CK$3-Projects!$C$40+1))),0)+IF(AND(Projects!$G$46="Yes",Projects!$F$46="Yes",CK$3&gt;=Projects!$C$46,CK$3&lt;Projects!$C$46+Projects!$D$46),Projects!$B$46*(1-SUMPRODUCT((Curves!$B$4:$AR$4)*(COLUMN(Curves!$B$4:$AR$4)-COLUMN(Curves!$B$4)+1&lt;=CK$3-Projects!$C$46+1))),0)</f>
        <v/>
      </c>
      <c r="CL261" s="392">
        <f>IF(AND(Projects!$G$17="Yes",Projects!$F$17="Yes",CL$3&gt;=Projects!$C$17,CL$3&lt;Projects!$C$17+Projects!$D$17),Projects!$B$17*(1-SUMPRODUCT((Curves!$B$4:$AR$4)*(COLUMN(Curves!$B$4:$AR$4)-COLUMN(Curves!$B$4)+1&lt;=CL$3-Projects!$C$17+1))),0)+IF(AND(Projects!$G$18="Yes",Projects!$F$18="Yes",CL$3&gt;=Projects!$C$18,CL$3&lt;Projects!$C$18+Projects!$D$18),Projects!$B$18*(1-SUMPRODUCT((Curves!$B$4:$AR$4)*(COLUMN(Curves!$B$4:$AR$4)-COLUMN(Curves!$B$4)+1&lt;=CL$3-Projects!$C$18+1))),0)+IF(AND(Projects!$G$19="Yes",Projects!$F$19="Yes",CL$3&gt;=Projects!$C$19,CL$3&lt;Projects!$C$19+Projects!$D$19),Projects!$B$19*(1-SUMPRODUCT((Curves!$B$4:$AR$4)*(COLUMN(Curves!$B$4:$AR$4)-COLUMN(Curves!$B$4)+1&lt;=CL$3-Projects!$C$19+1))),0)+IF(AND(Projects!$G$23="Yes",Projects!$F$23="Yes",CL$3&gt;=Projects!$C$23,CL$3&lt;Projects!$C$23+Projects!$D$23),Projects!$B$23*(1-SUMPRODUCT((Curves!$B$4:$AR$4)*(COLUMN(Curves!$B$4:$AR$4)-COLUMN(Curves!$B$4)+1&lt;=CL$3-Projects!$C$23+1))),0)+IF(AND(Projects!$G$28="Yes",Projects!$F$28="Yes",CL$3&gt;=Projects!$C$28,CL$3&lt;Projects!$C$28+Projects!$D$28),Projects!$B$28*(1-SUMPRODUCT((Curves!$B$4:$AR$4)*(COLUMN(Curves!$B$4:$AR$4)-COLUMN(Curves!$B$4)+1&lt;=CL$3-Projects!$C$28+1))),0)+IF(AND(Projects!$G$34="Yes",Projects!$F$34="Yes",CL$3&gt;=Projects!$C$34,CL$3&lt;Projects!$C$34+Projects!$D$34),Projects!$B$34*(1-SUMPRODUCT((Curves!$B$4:$AR$4)*(COLUMN(Curves!$B$4:$AR$4)-COLUMN(Curves!$B$4)+1&lt;=CL$3-Projects!$C$34+1))),0)+IF(AND(Projects!$G$40="Yes",Projects!$F$40="Yes",CL$3&gt;=Projects!$C$40,CL$3&lt;Projects!$C$40+Projects!$D$40),Projects!$B$40*(1-SUMPRODUCT((Curves!$B$4:$AR$4)*(COLUMN(Curves!$B$4:$AR$4)-COLUMN(Curves!$B$4)+1&lt;=CL$3-Projects!$C$40+1))),0)+IF(AND(Projects!$G$46="Yes",Projects!$F$46="Yes",CL$3&gt;=Projects!$C$46,CL$3&lt;Projects!$C$46+Projects!$D$46),Projects!$B$46*(1-SUMPRODUCT((Curves!$B$4:$AR$4)*(COLUMN(Curves!$B$4:$AR$4)-COLUMN(Curves!$B$4)+1&lt;=CL$3-Projects!$C$46+1))),0)</f>
        <v/>
      </c>
      <c r="CM261" s="392">
        <f>IF(AND(Projects!$G$17="Yes",Projects!$F$17="Yes",CM$3&gt;=Projects!$C$17,CM$3&lt;Projects!$C$17+Projects!$D$17),Projects!$B$17*(1-SUMPRODUCT((Curves!$B$4:$AR$4)*(COLUMN(Curves!$B$4:$AR$4)-COLUMN(Curves!$B$4)+1&lt;=CM$3-Projects!$C$17+1))),0)+IF(AND(Projects!$G$18="Yes",Projects!$F$18="Yes",CM$3&gt;=Projects!$C$18,CM$3&lt;Projects!$C$18+Projects!$D$18),Projects!$B$18*(1-SUMPRODUCT((Curves!$B$4:$AR$4)*(COLUMN(Curves!$B$4:$AR$4)-COLUMN(Curves!$B$4)+1&lt;=CM$3-Projects!$C$18+1))),0)+IF(AND(Projects!$G$19="Yes",Projects!$F$19="Yes",CM$3&gt;=Projects!$C$19,CM$3&lt;Projects!$C$19+Projects!$D$19),Projects!$B$19*(1-SUMPRODUCT((Curves!$B$4:$AR$4)*(COLUMN(Curves!$B$4:$AR$4)-COLUMN(Curves!$B$4)+1&lt;=CM$3-Projects!$C$19+1))),0)+IF(AND(Projects!$G$23="Yes",Projects!$F$23="Yes",CM$3&gt;=Projects!$C$23,CM$3&lt;Projects!$C$23+Projects!$D$23),Projects!$B$23*(1-SUMPRODUCT((Curves!$B$4:$AR$4)*(COLUMN(Curves!$B$4:$AR$4)-COLUMN(Curves!$B$4)+1&lt;=CM$3-Projects!$C$23+1))),0)+IF(AND(Projects!$G$28="Yes",Projects!$F$28="Yes",CM$3&gt;=Projects!$C$28,CM$3&lt;Projects!$C$28+Projects!$D$28),Projects!$B$28*(1-SUMPRODUCT((Curves!$B$4:$AR$4)*(COLUMN(Curves!$B$4:$AR$4)-COLUMN(Curves!$B$4)+1&lt;=CM$3-Projects!$C$28+1))),0)+IF(AND(Projects!$G$34="Yes",Projects!$F$34="Yes",CM$3&gt;=Projects!$C$34,CM$3&lt;Projects!$C$34+Projects!$D$34),Projects!$B$34*(1-SUMPRODUCT((Curves!$B$4:$AR$4)*(COLUMN(Curves!$B$4:$AR$4)-COLUMN(Curves!$B$4)+1&lt;=CM$3-Projects!$C$34+1))),0)+IF(AND(Projects!$G$40="Yes",Projects!$F$40="Yes",CM$3&gt;=Projects!$C$40,CM$3&lt;Projects!$C$40+Projects!$D$40),Projects!$B$40*(1-SUMPRODUCT((Curves!$B$4:$AR$4)*(COLUMN(Curves!$B$4:$AR$4)-COLUMN(Curves!$B$4)+1&lt;=CM$3-Projects!$C$40+1))),0)+IF(AND(Projects!$G$46="Yes",Projects!$F$46="Yes",CM$3&gt;=Projects!$C$46,CM$3&lt;Projects!$C$46+Projects!$D$46),Projects!$B$46*(1-SUMPRODUCT((Curves!$B$4:$AR$4)*(COLUMN(Curves!$B$4:$AR$4)-COLUMN(Curves!$B$4)+1&lt;=CM$3-Projects!$C$46+1))),0)</f>
        <v/>
      </c>
      <c r="CN261" s="392">
        <f>IF(AND(Projects!$G$17="Yes",Projects!$F$17="Yes",CN$3&gt;=Projects!$C$17,CN$3&lt;Projects!$C$17+Projects!$D$17),Projects!$B$17*(1-SUMPRODUCT((Curves!$B$4:$AR$4)*(COLUMN(Curves!$B$4:$AR$4)-COLUMN(Curves!$B$4)+1&lt;=CN$3-Projects!$C$17+1))),0)+IF(AND(Projects!$G$18="Yes",Projects!$F$18="Yes",CN$3&gt;=Projects!$C$18,CN$3&lt;Projects!$C$18+Projects!$D$18),Projects!$B$18*(1-SUMPRODUCT((Curves!$B$4:$AR$4)*(COLUMN(Curves!$B$4:$AR$4)-COLUMN(Curves!$B$4)+1&lt;=CN$3-Projects!$C$18+1))),0)+IF(AND(Projects!$G$19="Yes",Projects!$F$19="Yes",CN$3&gt;=Projects!$C$19,CN$3&lt;Projects!$C$19+Projects!$D$19),Projects!$B$19*(1-SUMPRODUCT((Curves!$B$4:$AR$4)*(COLUMN(Curves!$B$4:$AR$4)-COLUMN(Curves!$B$4)+1&lt;=CN$3-Projects!$C$19+1))),0)+IF(AND(Projects!$G$23="Yes",Projects!$F$23="Yes",CN$3&gt;=Projects!$C$23,CN$3&lt;Projects!$C$23+Projects!$D$23),Projects!$B$23*(1-SUMPRODUCT((Curves!$B$4:$AR$4)*(COLUMN(Curves!$B$4:$AR$4)-COLUMN(Curves!$B$4)+1&lt;=CN$3-Projects!$C$23+1))),0)+IF(AND(Projects!$G$28="Yes",Projects!$F$28="Yes",CN$3&gt;=Projects!$C$28,CN$3&lt;Projects!$C$28+Projects!$D$28),Projects!$B$28*(1-SUMPRODUCT((Curves!$B$4:$AR$4)*(COLUMN(Curves!$B$4:$AR$4)-COLUMN(Curves!$B$4)+1&lt;=CN$3-Projects!$C$28+1))),0)+IF(AND(Projects!$G$34="Yes",Projects!$F$34="Yes",CN$3&gt;=Projects!$C$34,CN$3&lt;Projects!$C$34+Projects!$D$34),Projects!$B$34*(1-SUMPRODUCT((Curves!$B$4:$AR$4)*(COLUMN(Curves!$B$4:$AR$4)-COLUMN(Curves!$B$4)+1&lt;=CN$3-Projects!$C$34+1))),0)+IF(AND(Projects!$G$40="Yes",Projects!$F$40="Yes",CN$3&gt;=Projects!$C$40,CN$3&lt;Projects!$C$40+Projects!$D$40),Projects!$B$40*(1-SUMPRODUCT((Curves!$B$4:$AR$4)*(COLUMN(Curves!$B$4:$AR$4)-COLUMN(Curves!$B$4)+1&lt;=CN$3-Projects!$C$40+1))),0)+IF(AND(Projects!$G$46="Yes",Projects!$F$46="Yes",CN$3&gt;=Projects!$C$46,CN$3&lt;Projects!$C$46+Projects!$D$46),Projects!$B$46*(1-SUMPRODUCT((Curves!$B$4:$AR$4)*(COLUMN(Curves!$B$4:$AR$4)-COLUMN(Curves!$B$4)+1&lt;=CN$3-Projects!$C$46+1))),0)</f>
        <v/>
      </c>
      <c r="CO261" s="392">
        <f>IF(AND(Projects!$G$17="Yes",Projects!$F$17="Yes",CO$3&gt;=Projects!$C$17,CO$3&lt;Projects!$C$17+Projects!$D$17),Projects!$B$17*(1-SUMPRODUCT((Curves!$B$4:$AR$4)*(COLUMN(Curves!$B$4:$AR$4)-COLUMN(Curves!$B$4)+1&lt;=CO$3-Projects!$C$17+1))),0)+IF(AND(Projects!$G$18="Yes",Projects!$F$18="Yes",CO$3&gt;=Projects!$C$18,CO$3&lt;Projects!$C$18+Projects!$D$18),Projects!$B$18*(1-SUMPRODUCT((Curves!$B$4:$AR$4)*(COLUMN(Curves!$B$4:$AR$4)-COLUMN(Curves!$B$4)+1&lt;=CO$3-Projects!$C$18+1))),0)+IF(AND(Projects!$G$19="Yes",Projects!$F$19="Yes",CO$3&gt;=Projects!$C$19,CO$3&lt;Projects!$C$19+Projects!$D$19),Projects!$B$19*(1-SUMPRODUCT((Curves!$B$4:$AR$4)*(COLUMN(Curves!$B$4:$AR$4)-COLUMN(Curves!$B$4)+1&lt;=CO$3-Projects!$C$19+1))),0)+IF(AND(Projects!$G$23="Yes",Projects!$F$23="Yes",CO$3&gt;=Projects!$C$23,CO$3&lt;Projects!$C$23+Projects!$D$23),Projects!$B$23*(1-SUMPRODUCT((Curves!$B$4:$AR$4)*(COLUMN(Curves!$B$4:$AR$4)-COLUMN(Curves!$B$4)+1&lt;=CO$3-Projects!$C$23+1))),0)+IF(AND(Projects!$G$28="Yes",Projects!$F$28="Yes",CO$3&gt;=Projects!$C$28,CO$3&lt;Projects!$C$28+Projects!$D$28),Projects!$B$28*(1-SUMPRODUCT((Curves!$B$4:$AR$4)*(COLUMN(Curves!$B$4:$AR$4)-COLUMN(Curves!$B$4)+1&lt;=CO$3-Projects!$C$28+1))),0)+IF(AND(Projects!$G$34="Yes",Projects!$F$34="Yes",CO$3&gt;=Projects!$C$34,CO$3&lt;Projects!$C$34+Projects!$D$34),Projects!$B$34*(1-SUMPRODUCT((Curves!$B$4:$AR$4)*(COLUMN(Curves!$B$4:$AR$4)-COLUMN(Curves!$B$4)+1&lt;=CO$3-Projects!$C$34+1))),0)+IF(AND(Projects!$G$40="Yes",Projects!$F$40="Yes",CO$3&gt;=Projects!$C$40,CO$3&lt;Projects!$C$40+Projects!$D$40),Projects!$B$40*(1-SUMPRODUCT((Curves!$B$4:$AR$4)*(COLUMN(Curves!$B$4:$AR$4)-COLUMN(Curves!$B$4)+1&lt;=CO$3-Projects!$C$40+1))),0)+IF(AND(Projects!$G$46="Yes",Projects!$F$46="Yes",CO$3&gt;=Projects!$C$46,CO$3&lt;Projects!$C$46+Projects!$D$46),Projects!$B$46*(1-SUMPRODUCT((Curves!$B$4:$AR$4)*(COLUMN(Curves!$B$4:$AR$4)-COLUMN(Curves!$B$4)+1&lt;=CO$3-Projects!$C$46+1))),0)</f>
        <v/>
      </c>
      <c r="CP261" s="392">
        <f>IF(AND(Projects!$G$17="Yes",Projects!$F$17="Yes",CP$3&gt;=Projects!$C$17,CP$3&lt;Projects!$C$17+Projects!$D$17),Projects!$B$17*(1-SUMPRODUCT((Curves!$B$4:$AR$4)*(COLUMN(Curves!$B$4:$AR$4)-COLUMN(Curves!$B$4)+1&lt;=CP$3-Projects!$C$17+1))),0)+IF(AND(Projects!$G$18="Yes",Projects!$F$18="Yes",CP$3&gt;=Projects!$C$18,CP$3&lt;Projects!$C$18+Projects!$D$18),Projects!$B$18*(1-SUMPRODUCT((Curves!$B$4:$AR$4)*(COLUMN(Curves!$B$4:$AR$4)-COLUMN(Curves!$B$4)+1&lt;=CP$3-Projects!$C$18+1))),0)+IF(AND(Projects!$G$19="Yes",Projects!$F$19="Yes",CP$3&gt;=Projects!$C$19,CP$3&lt;Projects!$C$19+Projects!$D$19),Projects!$B$19*(1-SUMPRODUCT((Curves!$B$4:$AR$4)*(COLUMN(Curves!$B$4:$AR$4)-COLUMN(Curves!$B$4)+1&lt;=CP$3-Projects!$C$19+1))),0)+IF(AND(Projects!$G$23="Yes",Projects!$F$23="Yes",CP$3&gt;=Projects!$C$23,CP$3&lt;Projects!$C$23+Projects!$D$23),Projects!$B$23*(1-SUMPRODUCT((Curves!$B$4:$AR$4)*(COLUMN(Curves!$B$4:$AR$4)-COLUMN(Curves!$B$4)+1&lt;=CP$3-Projects!$C$23+1))),0)+IF(AND(Projects!$G$28="Yes",Projects!$F$28="Yes",CP$3&gt;=Projects!$C$28,CP$3&lt;Projects!$C$28+Projects!$D$28),Projects!$B$28*(1-SUMPRODUCT((Curves!$B$4:$AR$4)*(COLUMN(Curves!$B$4:$AR$4)-COLUMN(Curves!$B$4)+1&lt;=CP$3-Projects!$C$28+1))),0)+IF(AND(Projects!$G$34="Yes",Projects!$F$34="Yes",CP$3&gt;=Projects!$C$34,CP$3&lt;Projects!$C$34+Projects!$D$34),Projects!$B$34*(1-SUMPRODUCT((Curves!$B$4:$AR$4)*(COLUMN(Curves!$B$4:$AR$4)-COLUMN(Curves!$B$4)+1&lt;=CP$3-Projects!$C$34+1))),0)+IF(AND(Projects!$G$40="Yes",Projects!$F$40="Yes",CP$3&gt;=Projects!$C$40,CP$3&lt;Projects!$C$40+Projects!$D$40),Projects!$B$40*(1-SUMPRODUCT((Curves!$B$4:$AR$4)*(COLUMN(Curves!$B$4:$AR$4)-COLUMN(Curves!$B$4)+1&lt;=CP$3-Projects!$C$40+1))),0)+IF(AND(Projects!$G$46="Yes",Projects!$F$46="Yes",CP$3&gt;=Projects!$C$46,CP$3&lt;Projects!$C$46+Projects!$D$46),Projects!$B$46*(1-SUMPRODUCT((Curves!$B$4:$AR$4)*(COLUMN(Curves!$B$4:$AR$4)-COLUMN(Curves!$B$4)+1&lt;=CP$3-Projects!$C$46+1))),0)</f>
        <v/>
      </c>
      <c r="CQ261" s="392">
        <f>IF(AND(Projects!$G$17="Yes",Projects!$F$17="Yes",CQ$3&gt;=Projects!$C$17,CQ$3&lt;Projects!$C$17+Projects!$D$17),Projects!$B$17*(1-SUMPRODUCT((Curves!$B$4:$AR$4)*(COLUMN(Curves!$B$4:$AR$4)-COLUMN(Curves!$B$4)+1&lt;=CQ$3-Projects!$C$17+1))),0)+IF(AND(Projects!$G$18="Yes",Projects!$F$18="Yes",CQ$3&gt;=Projects!$C$18,CQ$3&lt;Projects!$C$18+Projects!$D$18),Projects!$B$18*(1-SUMPRODUCT((Curves!$B$4:$AR$4)*(COLUMN(Curves!$B$4:$AR$4)-COLUMN(Curves!$B$4)+1&lt;=CQ$3-Projects!$C$18+1))),0)+IF(AND(Projects!$G$19="Yes",Projects!$F$19="Yes",CQ$3&gt;=Projects!$C$19,CQ$3&lt;Projects!$C$19+Projects!$D$19),Projects!$B$19*(1-SUMPRODUCT((Curves!$B$4:$AR$4)*(COLUMN(Curves!$B$4:$AR$4)-COLUMN(Curves!$B$4)+1&lt;=CQ$3-Projects!$C$19+1))),0)+IF(AND(Projects!$G$23="Yes",Projects!$F$23="Yes",CQ$3&gt;=Projects!$C$23,CQ$3&lt;Projects!$C$23+Projects!$D$23),Projects!$B$23*(1-SUMPRODUCT((Curves!$B$4:$AR$4)*(COLUMN(Curves!$B$4:$AR$4)-COLUMN(Curves!$B$4)+1&lt;=CQ$3-Projects!$C$23+1))),0)+IF(AND(Projects!$G$28="Yes",Projects!$F$28="Yes",CQ$3&gt;=Projects!$C$28,CQ$3&lt;Projects!$C$28+Projects!$D$28),Projects!$B$28*(1-SUMPRODUCT((Curves!$B$4:$AR$4)*(COLUMN(Curves!$B$4:$AR$4)-COLUMN(Curves!$B$4)+1&lt;=CQ$3-Projects!$C$28+1))),0)+IF(AND(Projects!$G$34="Yes",Projects!$F$34="Yes",CQ$3&gt;=Projects!$C$34,CQ$3&lt;Projects!$C$34+Projects!$D$34),Projects!$B$34*(1-SUMPRODUCT((Curves!$B$4:$AR$4)*(COLUMN(Curves!$B$4:$AR$4)-COLUMN(Curves!$B$4)+1&lt;=CQ$3-Projects!$C$34+1))),0)+IF(AND(Projects!$G$40="Yes",Projects!$F$40="Yes",CQ$3&gt;=Projects!$C$40,CQ$3&lt;Projects!$C$40+Projects!$D$40),Projects!$B$40*(1-SUMPRODUCT((Curves!$B$4:$AR$4)*(COLUMN(Curves!$B$4:$AR$4)-COLUMN(Curves!$B$4)+1&lt;=CQ$3-Projects!$C$40+1))),0)+IF(AND(Projects!$G$46="Yes",Projects!$F$46="Yes",CQ$3&gt;=Projects!$C$46,CQ$3&lt;Projects!$C$46+Projects!$D$46),Projects!$B$46*(1-SUMPRODUCT((Curves!$B$4:$AR$4)*(COLUMN(Curves!$B$4:$AR$4)-COLUMN(Curves!$B$4)+1&lt;=CQ$3-Projects!$C$46+1))),0)</f>
        <v/>
      </c>
      <c r="CR261" s="392">
        <f>IF(AND(Projects!$G$17="Yes",Projects!$F$17="Yes",CR$3&gt;=Projects!$C$17,CR$3&lt;Projects!$C$17+Projects!$D$17),Projects!$B$17*(1-SUMPRODUCT((Curves!$B$4:$AR$4)*(COLUMN(Curves!$B$4:$AR$4)-COLUMN(Curves!$B$4)+1&lt;=CR$3-Projects!$C$17+1))),0)+IF(AND(Projects!$G$18="Yes",Projects!$F$18="Yes",CR$3&gt;=Projects!$C$18,CR$3&lt;Projects!$C$18+Projects!$D$18),Projects!$B$18*(1-SUMPRODUCT((Curves!$B$4:$AR$4)*(COLUMN(Curves!$B$4:$AR$4)-COLUMN(Curves!$B$4)+1&lt;=CR$3-Projects!$C$18+1))),0)+IF(AND(Projects!$G$19="Yes",Projects!$F$19="Yes",CR$3&gt;=Projects!$C$19,CR$3&lt;Projects!$C$19+Projects!$D$19),Projects!$B$19*(1-SUMPRODUCT((Curves!$B$4:$AR$4)*(COLUMN(Curves!$B$4:$AR$4)-COLUMN(Curves!$B$4)+1&lt;=CR$3-Projects!$C$19+1))),0)+IF(AND(Projects!$G$23="Yes",Projects!$F$23="Yes",CR$3&gt;=Projects!$C$23,CR$3&lt;Projects!$C$23+Projects!$D$23),Projects!$B$23*(1-SUMPRODUCT((Curves!$B$4:$AR$4)*(COLUMN(Curves!$B$4:$AR$4)-COLUMN(Curves!$B$4)+1&lt;=CR$3-Projects!$C$23+1))),0)+IF(AND(Projects!$G$28="Yes",Projects!$F$28="Yes",CR$3&gt;=Projects!$C$28,CR$3&lt;Projects!$C$28+Projects!$D$28),Projects!$B$28*(1-SUMPRODUCT((Curves!$B$4:$AR$4)*(COLUMN(Curves!$B$4:$AR$4)-COLUMN(Curves!$B$4)+1&lt;=CR$3-Projects!$C$28+1))),0)+IF(AND(Projects!$G$34="Yes",Projects!$F$34="Yes",CR$3&gt;=Projects!$C$34,CR$3&lt;Projects!$C$34+Projects!$D$34),Projects!$B$34*(1-SUMPRODUCT((Curves!$B$4:$AR$4)*(COLUMN(Curves!$B$4:$AR$4)-COLUMN(Curves!$B$4)+1&lt;=CR$3-Projects!$C$34+1))),0)+IF(AND(Projects!$G$40="Yes",Projects!$F$40="Yes",CR$3&gt;=Projects!$C$40,CR$3&lt;Projects!$C$40+Projects!$D$40),Projects!$B$40*(1-SUMPRODUCT((Curves!$B$4:$AR$4)*(COLUMN(Curves!$B$4:$AR$4)-COLUMN(Curves!$B$4)+1&lt;=CR$3-Projects!$C$40+1))),0)+IF(AND(Projects!$G$46="Yes",Projects!$F$46="Yes",CR$3&gt;=Projects!$C$46,CR$3&lt;Projects!$C$46+Projects!$D$46),Projects!$B$46*(1-SUMPRODUCT((Curves!$B$4:$AR$4)*(COLUMN(Curves!$B$4:$AR$4)-COLUMN(Curves!$B$4)+1&lt;=CR$3-Projects!$C$46+1))),0)</f>
        <v/>
      </c>
      <c r="CS261" s="392">
        <f>IF(AND(Projects!$G$17="Yes",Projects!$F$17="Yes",CS$3&gt;=Projects!$C$17,CS$3&lt;Projects!$C$17+Projects!$D$17),Projects!$B$17*(1-SUMPRODUCT((Curves!$B$4:$AR$4)*(COLUMN(Curves!$B$4:$AR$4)-COLUMN(Curves!$B$4)+1&lt;=CS$3-Projects!$C$17+1))),0)+IF(AND(Projects!$G$18="Yes",Projects!$F$18="Yes",CS$3&gt;=Projects!$C$18,CS$3&lt;Projects!$C$18+Projects!$D$18),Projects!$B$18*(1-SUMPRODUCT((Curves!$B$4:$AR$4)*(COLUMN(Curves!$B$4:$AR$4)-COLUMN(Curves!$B$4)+1&lt;=CS$3-Projects!$C$18+1))),0)+IF(AND(Projects!$G$19="Yes",Projects!$F$19="Yes",CS$3&gt;=Projects!$C$19,CS$3&lt;Projects!$C$19+Projects!$D$19),Projects!$B$19*(1-SUMPRODUCT((Curves!$B$4:$AR$4)*(COLUMN(Curves!$B$4:$AR$4)-COLUMN(Curves!$B$4)+1&lt;=CS$3-Projects!$C$19+1))),0)+IF(AND(Projects!$G$23="Yes",Projects!$F$23="Yes",CS$3&gt;=Projects!$C$23,CS$3&lt;Projects!$C$23+Projects!$D$23),Projects!$B$23*(1-SUMPRODUCT((Curves!$B$4:$AR$4)*(COLUMN(Curves!$B$4:$AR$4)-COLUMN(Curves!$B$4)+1&lt;=CS$3-Projects!$C$23+1))),0)+IF(AND(Projects!$G$28="Yes",Projects!$F$28="Yes",CS$3&gt;=Projects!$C$28,CS$3&lt;Projects!$C$28+Projects!$D$28),Projects!$B$28*(1-SUMPRODUCT((Curves!$B$4:$AR$4)*(COLUMN(Curves!$B$4:$AR$4)-COLUMN(Curves!$B$4)+1&lt;=CS$3-Projects!$C$28+1))),0)+IF(AND(Projects!$G$34="Yes",Projects!$F$34="Yes",CS$3&gt;=Projects!$C$34,CS$3&lt;Projects!$C$34+Projects!$D$34),Projects!$B$34*(1-SUMPRODUCT((Curves!$B$4:$AR$4)*(COLUMN(Curves!$B$4:$AR$4)-COLUMN(Curves!$B$4)+1&lt;=CS$3-Projects!$C$34+1))),0)+IF(AND(Projects!$G$40="Yes",Projects!$F$40="Yes",CS$3&gt;=Projects!$C$40,CS$3&lt;Projects!$C$40+Projects!$D$40),Projects!$B$40*(1-SUMPRODUCT((Curves!$B$4:$AR$4)*(COLUMN(Curves!$B$4:$AR$4)-COLUMN(Curves!$B$4)+1&lt;=CS$3-Projects!$C$40+1))),0)+IF(AND(Projects!$G$46="Yes",Projects!$F$46="Yes",CS$3&gt;=Projects!$C$46,CS$3&lt;Projects!$C$46+Projects!$D$46),Projects!$B$46*(1-SUMPRODUCT((Curves!$B$4:$AR$4)*(COLUMN(Curves!$B$4:$AR$4)-COLUMN(Curves!$B$4)+1&lt;=CS$3-Projects!$C$46+1))),0)</f>
        <v/>
      </c>
      <c r="CT261" s="392">
        <f>IF(AND(Projects!$G$17="Yes",Projects!$F$17="Yes",CT$3&gt;=Projects!$C$17,CT$3&lt;Projects!$C$17+Projects!$D$17),Projects!$B$17*(1-SUMPRODUCT((Curves!$B$4:$AR$4)*(COLUMN(Curves!$B$4:$AR$4)-COLUMN(Curves!$B$4)+1&lt;=CT$3-Projects!$C$17+1))),0)+IF(AND(Projects!$G$18="Yes",Projects!$F$18="Yes",CT$3&gt;=Projects!$C$18,CT$3&lt;Projects!$C$18+Projects!$D$18),Projects!$B$18*(1-SUMPRODUCT((Curves!$B$4:$AR$4)*(COLUMN(Curves!$B$4:$AR$4)-COLUMN(Curves!$B$4)+1&lt;=CT$3-Projects!$C$18+1))),0)+IF(AND(Projects!$G$19="Yes",Projects!$F$19="Yes",CT$3&gt;=Projects!$C$19,CT$3&lt;Projects!$C$19+Projects!$D$19),Projects!$B$19*(1-SUMPRODUCT((Curves!$B$4:$AR$4)*(COLUMN(Curves!$B$4:$AR$4)-COLUMN(Curves!$B$4)+1&lt;=CT$3-Projects!$C$19+1))),0)+IF(AND(Projects!$G$23="Yes",Projects!$F$23="Yes",CT$3&gt;=Projects!$C$23,CT$3&lt;Projects!$C$23+Projects!$D$23),Projects!$B$23*(1-SUMPRODUCT((Curves!$B$4:$AR$4)*(COLUMN(Curves!$B$4:$AR$4)-COLUMN(Curves!$B$4)+1&lt;=CT$3-Projects!$C$23+1))),0)+IF(AND(Projects!$G$28="Yes",Projects!$F$28="Yes",CT$3&gt;=Projects!$C$28,CT$3&lt;Projects!$C$28+Projects!$D$28),Projects!$B$28*(1-SUMPRODUCT((Curves!$B$4:$AR$4)*(COLUMN(Curves!$B$4:$AR$4)-COLUMN(Curves!$B$4)+1&lt;=CT$3-Projects!$C$28+1))),0)+IF(AND(Projects!$G$34="Yes",Projects!$F$34="Yes",CT$3&gt;=Projects!$C$34,CT$3&lt;Projects!$C$34+Projects!$D$34),Projects!$B$34*(1-SUMPRODUCT((Curves!$B$4:$AR$4)*(COLUMN(Curves!$B$4:$AR$4)-COLUMN(Curves!$B$4)+1&lt;=CT$3-Projects!$C$34+1))),0)+IF(AND(Projects!$G$40="Yes",Projects!$F$40="Yes",CT$3&gt;=Projects!$C$40,CT$3&lt;Projects!$C$40+Projects!$D$40),Projects!$B$40*(1-SUMPRODUCT((Curves!$B$4:$AR$4)*(COLUMN(Curves!$B$4:$AR$4)-COLUMN(Curves!$B$4)+1&lt;=CT$3-Projects!$C$40+1))),0)+IF(AND(Projects!$G$46="Yes",Projects!$F$46="Yes",CT$3&gt;=Projects!$C$46,CT$3&lt;Projects!$C$46+Projects!$D$46),Projects!$B$46*(1-SUMPRODUCT((Curves!$B$4:$AR$4)*(COLUMN(Curves!$B$4:$AR$4)-COLUMN(Curves!$B$4)+1&lt;=CT$3-Projects!$C$46+1))),0)</f>
        <v/>
      </c>
      <c r="CU261" s="392">
        <f>IF(AND(Projects!$G$17="Yes",Projects!$F$17="Yes",CU$3&gt;=Projects!$C$17,CU$3&lt;Projects!$C$17+Projects!$D$17),Projects!$B$17*(1-SUMPRODUCT((Curves!$B$4:$AR$4)*(COLUMN(Curves!$B$4:$AR$4)-COLUMN(Curves!$B$4)+1&lt;=CU$3-Projects!$C$17+1))),0)+IF(AND(Projects!$G$18="Yes",Projects!$F$18="Yes",CU$3&gt;=Projects!$C$18,CU$3&lt;Projects!$C$18+Projects!$D$18),Projects!$B$18*(1-SUMPRODUCT((Curves!$B$4:$AR$4)*(COLUMN(Curves!$B$4:$AR$4)-COLUMN(Curves!$B$4)+1&lt;=CU$3-Projects!$C$18+1))),0)+IF(AND(Projects!$G$19="Yes",Projects!$F$19="Yes",CU$3&gt;=Projects!$C$19,CU$3&lt;Projects!$C$19+Projects!$D$19),Projects!$B$19*(1-SUMPRODUCT((Curves!$B$4:$AR$4)*(COLUMN(Curves!$B$4:$AR$4)-COLUMN(Curves!$B$4)+1&lt;=CU$3-Projects!$C$19+1))),0)+IF(AND(Projects!$G$23="Yes",Projects!$F$23="Yes",CU$3&gt;=Projects!$C$23,CU$3&lt;Projects!$C$23+Projects!$D$23),Projects!$B$23*(1-SUMPRODUCT((Curves!$B$4:$AR$4)*(COLUMN(Curves!$B$4:$AR$4)-COLUMN(Curves!$B$4)+1&lt;=CU$3-Projects!$C$23+1))),0)+IF(AND(Projects!$G$28="Yes",Projects!$F$28="Yes",CU$3&gt;=Projects!$C$28,CU$3&lt;Projects!$C$28+Projects!$D$28),Projects!$B$28*(1-SUMPRODUCT((Curves!$B$4:$AR$4)*(COLUMN(Curves!$B$4:$AR$4)-COLUMN(Curves!$B$4)+1&lt;=CU$3-Projects!$C$28+1))),0)+IF(AND(Projects!$G$34="Yes",Projects!$F$34="Yes",CU$3&gt;=Projects!$C$34,CU$3&lt;Projects!$C$34+Projects!$D$34),Projects!$B$34*(1-SUMPRODUCT((Curves!$B$4:$AR$4)*(COLUMN(Curves!$B$4:$AR$4)-COLUMN(Curves!$B$4)+1&lt;=CU$3-Projects!$C$34+1))),0)+IF(AND(Projects!$G$40="Yes",Projects!$F$40="Yes",CU$3&gt;=Projects!$C$40,CU$3&lt;Projects!$C$40+Projects!$D$40),Projects!$B$40*(1-SUMPRODUCT((Curves!$B$4:$AR$4)*(COLUMN(Curves!$B$4:$AR$4)-COLUMN(Curves!$B$4)+1&lt;=CU$3-Projects!$C$40+1))),0)+IF(AND(Projects!$G$46="Yes",Projects!$F$46="Yes",CU$3&gt;=Projects!$C$46,CU$3&lt;Projects!$C$46+Projects!$D$46),Projects!$B$46*(1-SUMPRODUCT((Curves!$B$4:$AR$4)*(COLUMN(Curves!$B$4:$AR$4)-COLUMN(Curves!$B$4)+1&lt;=CU$3-Projects!$C$46+1))),0)</f>
        <v/>
      </c>
      <c r="CV261" s="392">
        <f>IF(AND(Projects!$G$17="Yes",Projects!$F$17="Yes",CV$3&gt;=Projects!$C$17,CV$3&lt;Projects!$C$17+Projects!$D$17),Projects!$B$17*(1-SUMPRODUCT((Curves!$B$4:$AR$4)*(COLUMN(Curves!$B$4:$AR$4)-COLUMN(Curves!$B$4)+1&lt;=CV$3-Projects!$C$17+1))),0)+IF(AND(Projects!$G$18="Yes",Projects!$F$18="Yes",CV$3&gt;=Projects!$C$18,CV$3&lt;Projects!$C$18+Projects!$D$18),Projects!$B$18*(1-SUMPRODUCT((Curves!$B$4:$AR$4)*(COLUMN(Curves!$B$4:$AR$4)-COLUMN(Curves!$B$4)+1&lt;=CV$3-Projects!$C$18+1))),0)+IF(AND(Projects!$G$19="Yes",Projects!$F$19="Yes",CV$3&gt;=Projects!$C$19,CV$3&lt;Projects!$C$19+Projects!$D$19),Projects!$B$19*(1-SUMPRODUCT((Curves!$B$4:$AR$4)*(COLUMN(Curves!$B$4:$AR$4)-COLUMN(Curves!$B$4)+1&lt;=CV$3-Projects!$C$19+1))),0)+IF(AND(Projects!$G$23="Yes",Projects!$F$23="Yes",CV$3&gt;=Projects!$C$23,CV$3&lt;Projects!$C$23+Projects!$D$23),Projects!$B$23*(1-SUMPRODUCT((Curves!$B$4:$AR$4)*(COLUMN(Curves!$B$4:$AR$4)-COLUMN(Curves!$B$4)+1&lt;=CV$3-Projects!$C$23+1))),0)+IF(AND(Projects!$G$28="Yes",Projects!$F$28="Yes",CV$3&gt;=Projects!$C$28,CV$3&lt;Projects!$C$28+Projects!$D$28),Projects!$B$28*(1-SUMPRODUCT((Curves!$B$4:$AR$4)*(COLUMN(Curves!$B$4:$AR$4)-COLUMN(Curves!$B$4)+1&lt;=CV$3-Projects!$C$28+1))),0)+IF(AND(Projects!$G$34="Yes",Projects!$F$34="Yes",CV$3&gt;=Projects!$C$34,CV$3&lt;Projects!$C$34+Projects!$D$34),Projects!$B$34*(1-SUMPRODUCT((Curves!$B$4:$AR$4)*(COLUMN(Curves!$B$4:$AR$4)-COLUMN(Curves!$B$4)+1&lt;=CV$3-Projects!$C$34+1))),0)+IF(AND(Projects!$G$40="Yes",Projects!$F$40="Yes",CV$3&gt;=Projects!$C$40,CV$3&lt;Projects!$C$40+Projects!$D$40),Projects!$B$40*(1-SUMPRODUCT((Curves!$B$4:$AR$4)*(COLUMN(Curves!$B$4:$AR$4)-COLUMN(Curves!$B$4)+1&lt;=CV$3-Projects!$C$40+1))),0)+IF(AND(Projects!$G$46="Yes",Projects!$F$46="Yes",CV$3&gt;=Projects!$C$46,CV$3&lt;Projects!$C$46+Projects!$D$46),Projects!$B$46*(1-SUMPRODUCT((Curves!$B$4:$AR$4)*(COLUMN(Curves!$B$4:$AR$4)-COLUMN(Curves!$B$4)+1&lt;=CV$3-Projects!$C$46+1))),0)</f>
        <v/>
      </c>
      <c r="CW261" s="392">
        <f>IF(AND(Projects!$G$17="Yes",Projects!$F$17="Yes",CW$3&gt;=Projects!$C$17,CW$3&lt;Projects!$C$17+Projects!$D$17),Projects!$B$17*(1-SUMPRODUCT((Curves!$B$4:$AR$4)*(COLUMN(Curves!$B$4:$AR$4)-COLUMN(Curves!$B$4)+1&lt;=CW$3-Projects!$C$17+1))),0)+IF(AND(Projects!$G$18="Yes",Projects!$F$18="Yes",CW$3&gt;=Projects!$C$18,CW$3&lt;Projects!$C$18+Projects!$D$18),Projects!$B$18*(1-SUMPRODUCT((Curves!$B$4:$AR$4)*(COLUMN(Curves!$B$4:$AR$4)-COLUMN(Curves!$B$4)+1&lt;=CW$3-Projects!$C$18+1))),0)+IF(AND(Projects!$G$19="Yes",Projects!$F$19="Yes",CW$3&gt;=Projects!$C$19,CW$3&lt;Projects!$C$19+Projects!$D$19),Projects!$B$19*(1-SUMPRODUCT((Curves!$B$4:$AR$4)*(COLUMN(Curves!$B$4:$AR$4)-COLUMN(Curves!$B$4)+1&lt;=CW$3-Projects!$C$19+1))),0)+IF(AND(Projects!$G$23="Yes",Projects!$F$23="Yes",CW$3&gt;=Projects!$C$23,CW$3&lt;Projects!$C$23+Projects!$D$23),Projects!$B$23*(1-SUMPRODUCT((Curves!$B$4:$AR$4)*(COLUMN(Curves!$B$4:$AR$4)-COLUMN(Curves!$B$4)+1&lt;=CW$3-Projects!$C$23+1))),0)+IF(AND(Projects!$G$28="Yes",Projects!$F$28="Yes",CW$3&gt;=Projects!$C$28,CW$3&lt;Projects!$C$28+Projects!$D$28),Projects!$B$28*(1-SUMPRODUCT((Curves!$B$4:$AR$4)*(COLUMN(Curves!$B$4:$AR$4)-COLUMN(Curves!$B$4)+1&lt;=CW$3-Projects!$C$28+1))),0)+IF(AND(Projects!$G$34="Yes",Projects!$F$34="Yes",CW$3&gt;=Projects!$C$34,CW$3&lt;Projects!$C$34+Projects!$D$34),Projects!$B$34*(1-SUMPRODUCT((Curves!$B$4:$AR$4)*(COLUMN(Curves!$B$4:$AR$4)-COLUMN(Curves!$B$4)+1&lt;=CW$3-Projects!$C$34+1))),0)+IF(AND(Projects!$G$40="Yes",Projects!$F$40="Yes",CW$3&gt;=Projects!$C$40,CW$3&lt;Projects!$C$40+Projects!$D$40),Projects!$B$40*(1-SUMPRODUCT((Curves!$B$4:$AR$4)*(COLUMN(Curves!$B$4:$AR$4)-COLUMN(Curves!$B$4)+1&lt;=CW$3-Projects!$C$40+1))),0)+IF(AND(Projects!$G$46="Yes",Projects!$F$46="Yes",CW$3&gt;=Projects!$C$46,CW$3&lt;Projects!$C$46+Projects!$D$46),Projects!$B$46*(1-SUMPRODUCT((Curves!$B$4:$AR$4)*(COLUMN(Curves!$B$4:$AR$4)-COLUMN(Curves!$B$4)+1&lt;=CW$3-Projects!$C$46+1))),0)</f>
        <v/>
      </c>
      <c r="CX261" s="392">
        <f>IF(AND(Projects!$G$17="Yes",Projects!$F$17="Yes",CX$3&gt;=Projects!$C$17,CX$3&lt;Projects!$C$17+Projects!$D$17),Projects!$B$17*(1-SUMPRODUCT((Curves!$B$4:$AR$4)*(COLUMN(Curves!$B$4:$AR$4)-COLUMN(Curves!$B$4)+1&lt;=CX$3-Projects!$C$17+1))),0)+IF(AND(Projects!$G$18="Yes",Projects!$F$18="Yes",CX$3&gt;=Projects!$C$18,CX$3&lt;Projects!$C$18+Projects!$D$18),Projects!$B$18*(1-SUMPRODUCT((Curves!$B$4:$AR$4)*(COLUMN(Curves!$B$4:$AR$4)-COLUMN(Curves!$B$4)+1&lt;=CX$3-Projects!$C$18+1))),0)+IF(AND(Projects!$G$19="Yes",Projects!$F$19="Yes",CX$3&gt;=Projects!$C$19,CX$3&lt;Projects!$C$19+Projects!$D$19),Projects!$B$19*(1-SUMPRODUCT((Curves!$B$4:$AR$4)*(COLUMN(Curves!$B$4:$AR$4)-COLUMN(Curves!$B$4)+1&lt;=CX$3-Projects!$C$19+1))),0)+IF(AND(Projects!$G$23="Yes",Projects!$F$23="Yes",CX$3&gt;=Projects!$C$23,CX$3&lt;Projects!$C$23+Projects!$D$23),Projects!$B$23*(1-SUMPRODUCT((Curves!$B$4:$AR$4)*(COLUMN(Curves!$B$4:$AR$4)-COLUMN(Curves!$B$4)+1&lt;=CX$3-Projects!$C$23+1))),0)+IF(AND(Projects!$G$28="Yes",Projects!$F$28="Yes",CX$3&gt;=Projects!$C$28,CX$3&lt;Projects!$C$28+Projects!$D$28),Projects!$B$28*(1-SUMPRODUCT((Curves!$B$4:$AR$4)*(COLUMN(Curves!$B$4:$AR$4)-COLUMN(Curves!$B$4)+1&lt;=CX$3-Projects!$C$28+1))),0)+IF(AND(Projects!$G$34="Yes",Projects!$F$34="Yes",CX$3&gt;=Projects!$C$34,CX$3&lt;Projects!$C$34+Projects!$D$34),Projects!$B$34*(1-SUMPRODUCT((Curves!$B$4:$AR$4)*(COLUMN(Curves!$B$4:$AR$4)-COLUMN(Curves!$B$4)+1&lt;=CX$3-Projects!$C$34+1))),0)+IF(AND(Projects!$G$40="Yes",Projects!$F$40="Yes",CX$3&gt;=Projects!$C$40,CX$3&lt;Projects!$C$40+Projects!$D$40),Projects!$B$40*(1-SUMPRODUCT((Curves!$B$4:$AR$4)*(COLUMN(Curves!$B$4:$AR$4)-COLUMN(Curves!$B$4)+1&lt;=CX$3-Projects!$C$40+1))),0)+IF(AND(Projects!$G$46="Yes",Projects!$F$46="Yes",CX$3&gt;=Projects!$C$46,CX$3&lt;Projects!$C$46+Projects!$D$46),Projects!$B$46*(1-SUMPRODUCT((Curves!$B$4:$AR$4)*(COLUMN(Curves!$B$4:$AR$4)-COLUMN(Curves!$B$4)+1&lt;=CX$3-Projects!$C$46+1))),0)</f>
        <v/>
      </c>
      <c r="CY261" s="392">
        <f>IF(AND(Projects!$G$17="Yes",Projects!$F$17="Yes",CY$3&gt;=Projects!$C$17,CY$3&lt;Projects!$C$17+Projects!$D$17),Projects!$B$17*(1-SUMPRODUCT((Curves!$B$4:$AR$4)*(COLUMN(Curves!$B$4:$AR$4)-COLUMN(Curves!$B$4)+1&lt;=CY$3-Projects!$C$17+1))),0)+IF(AND(Projects!$G$18="Yes",Projects!$F$18="Yes",CY$3&gt;=Projects!$C$18,CY$3&lt;Projects!$C$18+Projects!$D$18),Projects!$B$18*(1-SUMPRODUCT((Curves!$B$4:$AR$4)*(COLUMN(Curves!$B$4:$AR$4)-COLUMN(Curves!$B$4)+1&lt;=CY$3-Projects!$C$18+1))),0)+IF(AND(Projects!$G$19="Yes",Projects!$F$19="Yes",CY$3&gt;=Projects!$C$19,CY$3&lt;Projects!$C$19+Projects!$D$19),Projects!$B$19*(1-SUMPRODUCT((Curves!$B$4:$AR$4)*(COLUMN(Curves!$B$4:$AR$4)-COLUMN(Curves!$B$4)+1&lt;=CY$3-Projects!$C$19+1))),0)+IF(AND(Projects!$G$23="Yes",Projects!$F$23="Yes",CY$3&gt;=Projects!$C$23,CY$3&lt;Projects!$C$23+Projects!$D$23),Projects!$B$23*(1-SUMPRODUCT((Curves!$B$4:$AR$4)*(COLUMN(Curves!$B$4:$AR$4)-COLUMN(Curves!$B$4)+1&lt;=CY$3-Projects!$C$23+1))),0)+IF(AND(Projects!$G$28="Yes",Projects!$F$28="Yes",CY$3&gt;=Projects!$C$28,CY$3&lt;Projects!$C$28+Projects!$D$28),Projects!$B$28*(1-SUMPRODUCT((Curves!$B$4:$AR$4)*(COLUMN(Curves!$B$4:$AR$4)-COLUMN(Curves!$B$4)+1&lt;=CY$3-Projects!$C$28+1))),0)+IF(AND(Projects!$G$34="Yes",Projects!$F$34="Yes",CY$3&gt;=Projects!$C$34,CY$3&lt;Projects!$C$34+Projects!$D$34),Projects!$B$34*(1-SUMPRODUCT((Curves!$B$4:$AR$4)*(COLUMN(Curves!$B$4:$AR$4)-COLUMN(Curves!$B$4)+1&lt;=CY$3-Projects!$C$34+1))),0)+IF(AND(Projects!$G$40="Yes",Projects!$F$40="Yes",CY$3&gt;=Projects!$C$40,CY$3&lt;Projects!$C$40+Projects!$D$40),Projects!$B$40*(1-SUMPRODUCT((Curves!$B$4:$AR$4)*(COLUMN(Curves!$B$4:$AR$4)-COLUMN(Curves!$B$4)+1&lt;=CY$3-Projects!$C$40+1))),0)+IF(AND(Projects!$G$46="Yes",Projects!$F$46="Yes",CY$3&gt;=Projects!$C$46,CY$3&lt;Projects!$C$46+Projects!$D$46),Projects!$B$46*(1-SUMPRODUCT((Curves!$B$4:$AR$4)*(COLUMN(Curves!$B$4:$AR$4)-COLUMN(Curves!$B$4)+1&lt;=CY$3-Projects!$C$46+1))),0)</f>
        <v/>
      </c>
      <c r="CZ261" s="392">
        <f>IF(AND(Projects!$G$17="Yes",Projects!$F$17="Yes",CZ$3&gt;=Projects!$C$17,CZ$3&lt;Projects!$C$17+Projects!$D$17),Projects!$B$17*(1-SUMPRODUCT((Curves!$B$4:$AR$4)*(COLUMN(Curves!$B$4:$AR$4)-COLUMN(Curves!$B$4)+1&lt;=CZ$3-Projects!$C$17+1))),0)+IF(AND(Projects!$G$18="Yes",Projects!$F$18="Yes",CZ$3&gt;=Projects!$C$18,CZ$3&lt;Projects!$C$18+Projects!$D$18),Projects!$B$18*(1-SUMPRODUCT((Curves!$B$4:$AR$4)*(COLUMN(Curves!$B$4:$AR$4)-COLUMN(Curves!$B$4)+1&lt;=CZ$3-Projects!$C$18+1))),0)+IF(AND(Projects!$G$19="Yes",Projects!$F$19="Yes",CZ$3&gt;=Projects!$C$19,CZ$3&lt;Projects!$C$19+Projects!$D$19),Projects!$B$19*(1-SUMPRODUCT((Curves!$B$4:$AR$4)*(COLUMN(Curves!$B$4:$AR$4)-COLUMN(Curves!$B$4)+1&lt;=CZ$3-Projects!$C$19+1))),0)+IF(AND(Projects!$G$23="Yes",Projects!$F$23="Yes",CZ$3&gt;=Projects!$C$23,CZ$3&lt;Projects!$C$23+Projects!$D$23),Projects!$B$23*(1-SUMPRODUCT((Curves!$B$4:$AR$4)*(COLUMN(Curves!$B$4:$AR$4)-COLUMN(Curves!$B$4)+1&lt;=CZ$3-Projects!$C$23+1))),0)+IF(AND(Projects!$G$28="Yes",Projects!$F$28="Yes",CZ$3&gt;=Projects!$C$28,CZ$3&lt;Projects!$C$28+Projects!$D$28),Projects!$B$28*(1-SUMPRODUCT((Curves!$B$4:$AR$4)*(COLUMN(Curves!$B$4:$AR$4)-COLUMN(Curves!$B$4)+1&lt;=CZ$3-Projects!$C$28+1))),0)+IF(AND(Projects!$G$34="Yes",Projects!$F$34="Yes",CZ$3&gt;=Projects!$C$34,CZ$3&lt;Projects!$C$34+Projects!$D$34),Projects!$B$34*(1-SUMPRODUCT((Curves!$B$4:$AR$4)*(COLUMN(Curves!$B$4:$AR$4)-COLUMN(Curves!$B$4)+1&lt;=CZ$3-Projects!$C$34+1))),0)+IF(AND(Projects!$G$40="Yes",Projects!$F$40="Yes",CZ$3&gt;=Projects!$C$40,CZ$3&lt;Projects!$C$40+Projects!$D$40),Projects!$B$40*(1-SUMPRODUCT((Curves!$B$4:$AR$4)*(COLUMN(Curves!$B$4:$AR$4)-COLUMN(Curves!$B$4)+1&lt;=CZ$3-Projects!$C$40+1))),0)+IF(AND(Projects!$G$46="Yes",Projects!$F$46="Yes",CZ$3&gt;=Projects!$C$46,CZ$3&lt;Projects!$C$46+Projects!$D$46),Projects!$B$46*(1-SUMPRODUCT((Curves!$B$4:$AR$4)*(COLUMN(Curves!$B$4:$AR$4)-COLUMN(Curves!$B$4)+1&lt;=CZ$3-Projects!$C$46+1))),0)</f>
        <v/>
      </c>
      <c r="DA261" s="392">
        <f>IF(AND(Projects!$G$17="Yes",Projects!$F$17="Yes",DA$3&gt;=Projects!$C$17,DA$3&lt;Projects!$C$17+Projects!$D$17),Projects!$B$17*(1-SUMPRODUCT((Curves!$B$4:$AR$4)*(COLUMN(Curves!$B$4:$AR$4)-COLUMN(Curves!$B$4)+1&lt;=DA$3-Projects!$C$17+1))),0)+IF(AND(Projects!$G$18="Yes",Projects!$F$18="Yes",DA$3&gt;=Projects!$C$18,DA$3&lt;Projects!$C$18+Projects!$D$18),Projects!$B$18*(1-SUMPRODUCT((Curves!$B$4:$AR$4)*(COLUMN(Curves!$B$4:$AR$4)-COLUMN(Curves!$B$4)+1&lt;=DA$3-Projects!$C$18+1))),0)+IF(AND(Projects!$G$19="Yes",Projects!$F$19="Yes",DA$3&gt;=Projects!$C$19,DA$3&lt;Projects!$C$19+Projects!$D$19),Projects!$B$19*(1-SUMPRODUCT((Curves!$B$4:$AR$4)*(COLUMN(Curves!$B$4:$AR$4)-COLUMN(Curves!$B$4)+1&lt;=DA$3-Projects!$C$19+1))),0)+IF(AND(Projects!$G$23="Yes",Projects!$F$23="Yes",DA$3&gt;=Projects!$C$23,DA$3&lt;Projects!$C$23+Projects!$D$23),Projects!$B$23*(1-SUMPRODUCT((Curves!$B$4:$AR$4)*(COLUMN(Curves!$B$4:$AR$4)-COLUMN(Curves!$B$4)+1&lt;=DA$3-Projects!$C$23+1))),0)+IF(AND(Projects!$G$28="Yes",Projects!$F$28="Yes",DA$3&gt;=Projects!$C$28,DA$3&lt;Projects!$C$28+Projects!$D$28),Projects!$B$28*(1-SUMPRODUCT((Curves!$B$4:$AR$4)*(COLUMN(Curves!$B$4:$AR$4)-COLUMN(Curves!$B$4)+1&lt;=DA$3-Projects!$C$28+1))),0)+IF(AND(Projects!$G$34="Yes",Projects!$F$34="Yes",DA$3&gt;=Projects!$C$34,DA$3&lt;Projects!$C$34+Projects!$D$34),Projects!$B$34*(1-SUMPRODUCT((Curves!$B$4:$AR$4)*(COLUMN(Curves!$B$4:$AR$4)-COLUMN(Curves!$B$4)+1&lt;=DA$3-Projects!$C$34+1))),0)+IF(AND(Projects!$G$40="Yes",Projects!$F$40="Yes",DA$3&gt;=Projects!$C$40,DA$3&lt;Projects!$C$40+Projects!$D$40),Projects!$B$40*(1-SUMPRODUCT((Curves!$B$4:$AR$4)*(COLUMN(Curves!$B$4:$AR$4)-COLUMN(Curves!$B$4)+1&lt;=DA$3-Projects!$C$40+1))),0)+IF(AND(Projects!$G$46="Yes",Projects!$F$46="Yes",DA$3&gt;=Projects!$C$46,DA$3&lt;Projects!$C$46+Projects!$D$46),Projects!$B$46*(1-SUMPRODUCT((Curves!$B$4:$AR$4)*(COLUMN(Curves!$B$4:$AR$4)-COLUMN(Curves!$B$4)+1&lt;=DA$3-Projects!$C$46+1))),0)</f>
        <v/>
      </c>
      <c r="DB261" s="392">
        <f>IF(AND(Projects!$G$17="Yes",Projects!$F$17="Yes",DB$3&gt;=Projects!$C$17,DB$3&lt;Projects!$C$17+Projects!$D$17),Projects!$B$17*(1-SUMPRODUCT((Curves!$B$4:$AR$4)*(COLUMN(Curves!$B$4:$AR$4)-COLUMN(Curves!$B$4)+1&lt;=DB$3-Projects!$C$17+1))),0)+IF(AND(Projects!$G$18="Yes",Projects!$F$18="Yes",DB$3&gt;=Projects!$C$18,DB$3&lt;Projects!$C$18+Projects!$D$18),Projects!$B$18*(1-SUMPRODUCT((Curves!$B$4:$AR$4)*(COLUMN(Curves!$B$4:$AR$4)-COLUMN(Curves!$B$4)+1&lt;=DB$3-Projects!$C$18+1))),0)+IF(AND(Projects!$G$19="Yes",Projects!$F$19="Yes",DB$3&gt;=Projects!$C$19,DB$3&lt;Projects!$C$19+Projects!$D$19),Projects!$B$19*(1-SUMPRODUCT((Curves!$B$4:$AR$4)*(COLUMN(Curves!$B$4:$AR$4)-COLUMN(Curves!$B$4)+1&lt;=DB$3-Projects!$C$19+1))),0)+IF(AND(Projects!$G$23="Yes",Projects!$F$23="Yes",DB$3&gt;=Projects!$C$23,DB$3&lt;Projects!$C$23+Projects!$D$23),Projects!$B$23*(1-SUMPRODUCT((Curves!$B$4:$AR$4)*(COLUMN(Curves!$B$4:$AR$4)-COLUMN(Curves!$B$4)+1&lt;=DB$3-Projects!$C$23+1))),0)+IF(AND(Projects!$G$28="Yes",Projects!$F$28="Yes",DB$3&gt;=Projects!$C$28,DB$3&lt;Projects!$C$28+Projects!$D$28),Projects!$B$28*(1-SUMPRODUCT((Curves!$B$4:$AR$4)*(COLUMN(Curves!$B$4:$AR$4)-COLUMN(Curves!$B$4)+1&lt;=DB$3-Projects!$C$28+1))),0)+IF(AND(Projects!$G$34="Yes",Projects!$F$34="Yes",DB$3&gt;=Projects!$C$34,DB$3&lt;Projects!$C$34+Projects!$D$34),Projects!$B$34*(1-SUMPRODUCT((Curves!$B$4:$AR$4)*(COLUMN(Curves!$B$4:$AR$4)-COLUMN(Curves!$B$4)+1&lt;=DB$3-Projects!$C$34+1))),0)+IF(AND(Projects!$G$40="Yes",Projects!$F$40="Yes",DB$3&gt;=Projects!$C$40,DB$3&lt;Projects!$C$40+Projects!$D$40),Projects!$B$40*(1-SUMPRODUCT((Curves!$B$4:$AR$4)*(COLUMN(Curves!$B$4:$AR$4)-COLUMN(Curves!$B$4)+1&lt;=DB$3-Projects!$C$40+1))),0)+IF(AND(Projects!$G$46="Yes",Projects!$F$46="Yes",DB$3&gt;=Projects!$C$46,DB$3&lt;Projects!$C$46+Projects!$D$46),Projects!$B$46*(1-SUMPRODUCT((Curves!$B$4:$AR$4)*(COLUMN(Curves!$B$4:$AR$4)-COLUMN(Curves!$B$4)+1&lt;=DB$3-Projects!$C$46+1))),0)</f>
        <v/>
      </c>
      <c r="DC261" s="392">
        <f>IF(AND(Projects!$G$17="Yes",Projects!$F$17="Yes",DC$3&gt;=Projects!$C$17,DC$3&lt;Projects!$C$17+Projects!$D$17),Projects!$B$17*(1-SUMPRODUCT((Curves!$B$4:$AR$4)*(COLUMN(Curves!$B$4:$AR$4)-COLUMN(Curves!$B$4)+1&lt;=DC$3-Projects!$C$17+1))),0)+IF(AND(Projects!$G$18="Yes",Projects!$F$18="Yes",DC$3&gt;=Projects!$C$18,DC$3&lt;Projects!$C$18+Projects!$D$18),Projects!$B$18*(1-SUMPRODUCT((Curves!$B$4:$AR$4)*(COLUMN(Curves!$B$4:$AR$4)-COLUMN(Curves!$B$4)+1&lt;=DC$3-Projects!$C$18+1))),0)+IF(AND(Projects!$G$19="Yes",Projects!$F$19="Yes",DC$3&gt;=Projects!$C$19,DC$3&lt;Projects!$C$19+Projects!$D$19),Projects!$B$19*(1-SUMPRODUCT((Curves!$B$4:$AR$4)*(COLUMN(Curves!$B$4:$AR$4)-COLUMN(Curves!$B$4)+1&lt;=DC$3-Projects!$C$19+1))),0)+IF(AND(Projects!$G$23="Yes",Projects!$F$23="Yes",DC$3&gt;=Projects!$C$23,DC$3&lt;Projects!$C$23+Projects!$D$23),Projects!$B$23*(1-SUMPRODUCT((Curves!$B$4:$AR$4)*(COLUMN(Curves!$B$4:$AR$4)-COLUMN(Curves!$B$4)+1&lt;=DC$3-Projects!$C$23+1))),0)+IF(AND(Projects!$G$28="Yes",Projects!$F$28="Yes",DC$3&gt;=Projects!$C$28,DC$3&lt;Projects!$C$28+Projects!$D$28),Projects!$B$28*(1-SUMPRODUCT((Curves!$B$4:$AR$4)*(COLUMN(Curves!$B$4:$AR$4)-COLUMN(Curves!$B$4)+1&lt;=DC$3-Projects!$C$28+1))),0)+IF(AND(Projects!$G$34="Yes",Projects!$F$34="Yes",DC$3&gt;=Projects!$C$34,DC$3&lt;Projects!$C$34+Projects!$D$34),Projects!$B$34*(1-SUMPRODUCT((Curves!$B$4:$AR$4)*(COLUMN(Curves!$B$4:$AR$4)-COLUMN(Curves!$B$4)+1&lt;=DC$3-Projects!$C$34+1))),0)+IF(AND(Projects!$G$40="Yes",Projects!$F$40="Yes",DC$3&gt;=Projects!$C$40,DC$3&lt;Projects!$C$40+Projects!$D$40),Projects!$B$40*(1-SUMPRODUCT((Curves!$B$4:$AR$4)*(COLUMN(Curves!$B$4:$AR$4)-COLUMN(Curves!$B$4)+1&lt;=DC$3-Projects!$C$40+1))),0)+IF(AND(Projects!$G$46="Yes",Projects!$F$46="Yes",DC$3&gt;=Projects!$C$46,DC$3&lt;Projects!$C$46+Projects!$D$46),Projects!$B$46*(1-SUMPRODUCT((Curves!$B$4:$AR$4)*(COLUMN(Curves!$B$4:$AR$4)-COLUMN(Curves!$B$4)+1&lt;=DC$3-Projects!$C$46+1))),0)</f>
        <v/>
      </c>
      <c r="DD261" s="392">
        <f>IF(AND(Projects!$G$17="Yes",Projects!$F$17="Yes",DD$3&gt;=Projects!$C$17,DD$3&lt;Projects!$C$17+Projects!$D$17),Projects!$B$17*(1-SUMPRODUCT((Curves!$B$4:$AR$4)*(COLUMN(Curves!$B$4:$AR$4)-COLUMN(Curves!$B$4)+1&lt;=DD$3-Projects!$C$17+1))),0)+IF(AND(Projects!$G$18="Yes",Projects!$F$18="Yes",DD$3&gt;=Projects!$C$18,DD$3&lt;Projects!$C$18+Projects!$D$18),Projects!$B$18*(1-SUMPRODUCT((Curves!$B$4:$AR$4)*(COLUMN(Curves!$B$4:$AR$4)-COLUMN(Curves!$B$4)+1&lt;=DD$3-Projects!$C$18+1))),0)+IF(AND(Projects!$G$19="Yes",Projects!$F$19="Yes",DD$3&gt;=Projects!$C$19,DD$3&lt;Projects!$C$19+Projects!$D$19),Projects!$B$19*(1-SUMPRODUCT((Curves!$B$4:$AR$4)*(COLUMN(Curves!$B$4:$AR$4)-COLUMN(Curves!$B$4)+1&lt;=DD$3-Projects!$C$19+1))),0)+IF(AND(Projects!$G$23="Yes",Projects!$F$23="Yes",DD$3&gt;=Projects!$C$23,DD$3&lt;Projects!$C$23+Projects!$D$23),Projects!$B$23*(1-SUMPRODUCT((Curves!$B$4:$AR$4)*(COLUMN(Curves!$B$4:$AR$4)-COLUMN(Curves!$B$4)+1&lt;=DD$3-Projects!$C$23+1))),0)+IF(AND(Projects!$G$28="Yes",Projects!$F$28="Yes",DD$3&gt;=Projects!$C$28,DD$3&lt;Projects!$C$28+Projects!$D$28),Projects!$B$28*(1-SUMPRODUCT((Curves!$B$4:$AR$4)*(COLUMN(Curves!$B$4:$AR$4)-COLUMN(Curves!$B$4)+1&lt;=DD$3-Projects!$C$28+1))),0)+IF(AND(Projects!$G$34="Yes",Projects!$F$34="Yes",DD$3&gt;=Projects!$C$34,DD$3&lt;Projects!$C$34+Projects!$D$34),Projects!$B$34*(1-SUMPRODUCT((Curves!$B$4:$AR$4)*(COLUMN(Curves!$B$4:$AR$4)-COLUMN(Curves!$B$4)+1&lt;=DD$3-Projects!$C$34+1))),0)+IF(AND(Projects!$G$40="Yes",Projects!$F$40="Yes",DD$3&gt;=Projects!$C$40,DD$3&lt;Projects!$C$40+Projects!$D$40),Projects!$B$40*(1-SUMPRODUCT((Curves!$B$4:$AR$4)*(COLUMN(Curves!$B$4:$AR$4)-COLUMN(Curves!$B$4)+1&lt;=DD$3-Projects!$C$40+1))),0)+IF(AND(Projects!$G$46="Yes",Projects!$F$46="Yes",DD$3&gt;=Projects!$C$46,DD$3&lt;Projects!$C$46+Projects!$D$46),Projects!$B$46*(1-SUMPRODUCT((Curves!$B$4:$AR$4)*(COLUMN(Curves!$B$4:$AR$4)-COLUMN(Curves!$B$4)+1&lt;=DD$3-Projects!$C$46+1))),0)</f>
        <v/>
      </c>
      <c r="DE261" s="392">
        <f>IF(AND(Projects!$G$17="Yes",Projects!$F$17="Yes",DE$3&gt;=Projects!$C$17,DE$3&lt;Projects!$C$17+Projects!$D$17),Projects!$B$17*(1-SUMPRODUCT((Curves!$B$4:$AR$4)*(COLUMN(Curves!$B$4:$AR$4)-COLUMN(Curves!$B$4)+1&lt;=DE$3-Projects!$C$17+1))),0)+IF(AND(Projects!$G$18="Yes",Projects!$F$18="Yes",DE$3&gt;=Projects!$C$18,DE$3&lt;Projects!$C$18+Projects!$D$18),Projects!$B$18*(1-SUMPRODUCT((Curves!$B$4:$AR$4)*(COLUMN(Curves!$B$4:$AR$4)-COLUMN(Curves!$B$4)+1&lt;=DE$3-Projects!$C$18+1))),0)+IF(AND(Projects!$G$19="Yes",Projects!$F$19="Yes",DE$3&gt;=Projects!$C$19,DE$3&lt;Projects!$C$19+Projects!$D$19),Projects!$B$19*(1-SUMPRODUCT((Curves!$B$4:$AR$4)*(COLUMN(Curves!$B$4:$AR$4)-COLUMN(Curves!$B$4)+1&lt;=DE$3-Projects!$C$19+1))),0)+IF(AND(Projects!$G$23="Yes",Projects!$F$23="Yes",DE$3&gt;=Projects!$C$23,DE$3&lt;Projects!$C$23+Projects!$D$23),Projects!$B$23*(1-SUMPRODUCT((Curves!$B$4:$AR$4)*(COLUMN(Curves!$B$4:$AR$4)-COLUMN(Curves!$B$4)+1&lt;=DE$3-Projects!$C$23+1))),0)+IF(AND(Projects!$G$28="Yes",Projects!$F$28="Yes",DE$3&gt;=Projects!$C$28,DE$3&lt;Projects!$C$28+Projects!$D$28),Projects!$B$28*(1-SUMPRODUCT((Curves!$B$4:$AR$4)*(COLUMN(Curves!$B$4:$AR$4)-COLUMN(Curves!$B$4)+1&lt;=DE$3-Projects!$C$28+1))),0)+IF(AND(Projects!$G$34="Yes",Projects!$F$34="Yes",DE$3&gt;=Projects!$C$34,DE$3&lt;Projects!$C$34+Projects!$D$34),Projects!$B$34*(1-SUMPRODUCT((Curves!$B$4:$AR$4)*(COLUMN(Curves!$B$4:$AR$4)-COLUMN(Curves!$B$4)+1&lt;=DE$3-Projects!$C$34+1))),0)+IF(AND(Projects!$G$40="Yes",Projects!$F$40="Yes",DE$3&gt;=Projects!$C$40,DE$3&lt;Projects!$C$40+Projects!$D$40),Projects!$B$40*(1-SUMPRODUCT((Curves!$B$4:$AR$4)*(COLUMN(Curves!$B$4:$AR$4)-COLUMN(Curves!$B$4)+1&lt;=DE$3-Projects!$C$40+1))),0)+IF(AND(Projects!$G$46="Yes",Projects!$F$46="Yes",DE$3&gt;=Projects!$C$46,DE$3&lt;Projects!$C$46+Projects!$D$46),Projects!$B$46*(1-SUMPRODUCT((Curves!$B$4:$AR$4)*(COLUMN(Curves!$B$4:$AR$4)-COLUMN(Curves!$B$4)+1&lt;=DE$3-Projects!$C$46+1))),0)</f>
        <v/>
      </c>
    </row>
    <row r="262" ht="15" customFormat="1" customHeight="1" s="380">
      <c r="A262" s="424" t="inlineStr">
        <is>
          <t>CASH ON HAND</t>
        </is>
      </c>
      <c r="B262" s="419" t="n"/>
      <c r="C262" s="419" t="n"/>
      <c r="D262" s="419" t="n"/>
      <c r="E262" s="419" t="n"/>
      <c r="F262" s="419" t="n"/>
      <c r="G262" s="419" t="n"/>
      <c r="H262" s="419" t="n"/>
      <c r="I262" s="419" t="n"/>
      <c r="J262" s="419" t="n"/>
      <c r="K262" s="419" t="n"/>
      <c r="L262" s="419" t="n"/>
      <c r="M262" s="419" t="n"/>
      <c r="N262" s="419" t="n"/>
      <c r="O262" s="419" t="n"/>
      <c r="P262" s="419" t="n"/>
      <c r="Q262" s="419" t="n"/>
      <c r="R262" s="419" t="n"/>
      <c r="S262" s="419" t="n"/>
      <c r="T262" s="419" t="n"/>
      <c r="U262" s="419" t="n"/>
      <c r="V262" s="419" t="n"/>
      <c r="W262" s="419" t="n"/>
      <c r="X262" s="419" t="n"/>
      <c r="Y262" s="419" t="n"/>
      <c r="Z262" s="419" t="n"/>
      <c r="AA262" s="419" t="n"/>
      <c r="AB262" s="419" t="n"/>
      <c r="AC262" s="419" t="n"/>
      <c r="AD262" s="419" t="n"/>
      <c r="AE262" s="419" t="n"/>
      <c r="AF262" s="419" t="n"/>
      <c r="AG262" s="419" t="n"/>
      <c r="AH262" s="419" t="n"/>
      <c r="AI262" s="419" t="n"/>
      <c r="AJ262" s="419" t="n"/>
      <c r="AK262" s="419" t="n"/>
      <c r="AL262" s="419" t="n"/>
      <c r="AM262" s="419" t="n"/>
      <c r="AN262" s="419" t="n"/>
      <c r="AO262" s="419" t="n"/>
      <c r="AP262" s="419" t="n"/>
      <c r="AQ262" s="419" t="n"/>
      <c r="AR262" s="419" t="n"/>
      <c r="AS262" s="419" t="n"/>
      <c r="AT262" s="419" t="n"/>
      <c r="AU262" s="419" t="n"/>
      <c r="AV262" s="419" t="n"/>
      <c r="AW262" s="419" t="n"/>
      <c r="AX262" s="419" t="n"/>
      <c r="AY262" s="419" t="n"/>
      <c r="AZ262" s="419" t="n"/>
      <c r="BA262" s="419" t="n"/>
      <c r="BB262" s="419" t="n"/>
      <c r="BC262" s="419" t="n"/>
      <c r="BD262" s="419" t="n"/>
      <c r="BE262" s="419" t="n"/>
      <c r="BF262" s="419" t="n"/>
      <c r="BG262" s="419" t="n"/>
      <c r="BH262" s="419" t="n"/>
      <c r="BI262" s="419" t="n"/>
      <c r="BJ262" s="419" t="n"/>
      <c r="BK262" s="419" t="n"/>
      <c r="BL262" s="419" t="n"/>
      <c r="BM262" s="419" t="n"/>
      <c r="BN262" s="419" t="n"/>
      <c r="BO262" s="419" t="n"/>
      <c r="BP262" s="419" t="n"/>
      <c r="BQ262" s="419" t="n"/>
      <c r="BR262" s="419" t="n"/>
      <c r="BS262" s="419" t="n"/>
      <c r="BT262" s="419" t="n"/>
      <c r="BU262" s="419" t="n"/>
      <c r="BV262" s="419" t="n"/>
      <c r="BW262" s="419" t="n"/>
      <c r="BX262" s="419" t="n"/>
      <c r="BY262" s="419" t="n"/>
      <c r="BZ262" s="419" t="n"/>
      <c r="CA262" s="419" t="n"/>
      <c r="CB262" s="419" t="n"/>
      <c r="CC262" s="419" t="n"/>
      <c r="CD262" s="419" t="n"/>
      <c r="CE262" s="419" t="n"/>
      <c r="CF262" s="419" t="n"/>
      <c r="CG262" s="419" t="n"/>
      <c r="CH262" s="419" t="n"/>
      <c r="CI262" s="419" t="n"/>
      <c r="CJ262" s="419" t="n"/>
      <c r="CK262" s="419" t="n"/>
      <c r="CL262" s="419" t="n"/>
      <c r="CM262" s="419" t="n"/>
      <c r="CN262" s="419" t="n"/>
      <c r="CO262" s="419" t="n"/>
      <c r="CP262" s="419" t="n"/>
      <c r="CQ262" s="419" t="n"/>
      <c r="CR262" s="419" t="n"/>
      <c r="CS262" s="419" t="n"/>
      <c r="CT262" s="419" t="n"/>
      <c r="CU262" s="419" t="n"/>
      <c r="CV262" s="419" t="n"/>
      <c r="CW262" s="419" t="n"/>
      <c r="CX262" s="419" t="n"/>
      <c r="CY262" s="419" t="n"/>
      <c r="CZ262" s="419" t="n"/>
      <c r="DA262" s="419" t="n"/>
      <c r="DB262" s="419" t="n"/>
      <c r="DC262" s="419" t="n"/>
      <c r="DD262" s="419" t="n"/>
      <c r="DE262" s="419" t="n"/>
    </row>
    <row r="263" ht="15" customFormat="1" customHeight="1" s="380">
      <c r="A263" s="445" t="n"/>
      <c r="B263" s="446" t="n"/>
      <c r="C263" s="446" t="n"/>
      <c r="D263" s="446" t="n"/>
      <c r="E263" s="446" t="n"/>
      <c r="F263" s="446" t="n"/>
      <c r="G263" s="446" t="n"/>
      <c r="H263" s="446" t="n"/>
      <c r="I263" s="446" t="n"/>
      <c r="J263" s="446" t="n"/>
      <c r="K263" s="446" t="n"/>
      <c r="L263" s="446" t="n"/>
      <c r="M263" s="446" t="n"/>
      <c r="N263" s="446" t="n"/>
      <c r="O263" s="446" t="n"/>
      <c r="P263" s="446" t="n"/>
      <c r="Q263" s="446" t="n"/>
      <c r="R263" s="446" t="n"/>
      <c r="S263" s="446" t="n"/>
      <c r="T263" s="446" t="n"/>
      <c r="U263" s="446" t="n"/>
      <c r="V263" s="446" t="n"/>
      <c r="W263" s="446" t="n"/>
      <c r="X263" s="446" t="n"/>
      <c r="Y263" s="446" t="n"/>
      <c r="Z263" s="446" t="n"/>
      <c r="AA263" s="446" t="n"/>
      <c r="AB263" s="446" t="n"/>
      <c r="AC263" s="446" t="n"/>
      <c r="AD263" s="446" t="n"/>
      <c r="AE263" s="446" t="n"/>
      <c r="AF263" s="446" t="n"/>
      <c r="AG263" s="446" t="n"/>
      <c r="AH263" s="446" t="n"/>
      <c r="AI263" s="446" t="n"/>
      <c r="AJ263" s="446" t="n"/>
      <c r="AK263" s="446" t="n"/>
      <c r="AL263" s="446" t="n"/>
      <c r="AM263" s="446" t="n"/>
      <c r="AN263" s="446" t="n"/>
      <c r="AO263" s="446" t="n"/>
      <c r="AP263" s="446" t="n"/>
      <c r="AQ263" s="446" t="n"/>
      <c r="AR263" s="446" t="n"/>
      <c r="AS263" s="446" t="n"/>
      <c r="AT263" s="446" t="n"/>
      <c r="AU263" s="446" t="n"/>
      <c r="AV263" s="446" t="n"/>
      <c r="AW263" s="446" t="n"/>
      <c r="AX263" s="446" t="n"/>
      <c r="AY263" s="446" t="n"/>
      <c r="AZ263" s="446" t="n"/>
      <c r="BA263" s="446" t="n"/>
      <c r="BB263" s="446" t="n"/>
      <c r="BC263" s="446" t="n"/>
      <c r="BD263" s="446" t="n"/>
      <c r="BE263" s="446" t="n"/>
      <c r="BF263" s="446" t="n"/>
      <c r="BG263" s="446" t="n"/>
      <c r="BH263" s="446" t="n"/>
      <c r="BI263" s="446" t="n"/>
      <c r="BJ263" s="446" t="n"/>
      <c r="BK263" s="446" t="n"/>
      <c r="BL263" s="446" t="n"/>
      <c r="BM263" s="446" t="n"/>
      <c r="BN263" s="446" t="n"/>
      <c r="BO263" s="446" t="n"/>
      <c r="BP263" s="446" t="n"/>
      <c r="BQ263" s="446" t="n"/>
      <c r="BR263" s="446" t="n"/>
      <c r="BS263" s="446" t="n"/>
      <c r="BT263" s="446" t="n"/>
      <c r="BU263" s="446" t="n"/>
      <c r="BV263" s="446" t="n"/>
      <c r="BW263" s="446" t="n"/>
      <c r="BX263" s="446" t="n"/>
      <c r="BY263" s="446" t="n"/>
      <c r="BZ263" s="446" t="n"/>
      <c r="CA263" s="446" t="n"/>
      <c r="CB263" s="446" t="n"/>
      <c r="CC263" s="446" t="n"/>
      <c r="CD263" s="446" t="n"/>
      <c r="CE263" s="446" t="n"/>
      <c r="CF263" s="446" t="n"/>
      <c r="CG263" s="446" t="n"/>
      <c r="CH263" s="446" t="n"/>
      <c r="CI263" s="446" t="n"/>
      <c r="CJ263" s="446" t="n"/>
      <c r="CK263" s="446" t="n"/>
      <c r="CL263" s="446" t="n"/>
      <c r="CM263" s="446" t="n"/>
      <c r="CN263" s="446" t="n"/>
      <c r="CO263" s="446" t="n"/>
      <c r="CP263" s="446" t="n"/>
      <c r="CQ263" s="446" t="n"/>
      <c r="CR263" s="446" t="n"/>
      <c r="CS263" s="446" t="n"/>
      <c r="CT263" s="446" t="n"/>
      <c r="CU263" s="446" t="n"/>
      <c r="CV263" s="446" t="n"/>
      <c r="CW263" s="446" t="n"/>
      <c r="CX263" s="446" t="n"/>
      <c r="CY263" s="446" t="n"/>
      <c r="CZ263" s="446" t="n"/>
      <c r="DA263" s="446" t="n"/>
      <c r="DB263" s="446" t="n"/>
      <c r="DC263" s="446" t="n"/>
      <c r="DD263" s="446" t="n"/>
      <c r="DE263" s="446" t="n"/>
    </row>
    <row r="264" ht="15" customFormat="1" customHeight="1" s="380">
      <c r="A264" s="402" t="inlineStr">
        <is>
          <t>LV (GC) Cash</t>
        </is>
      </c>
      <c r="B264" s="414" t="n"/>
      <c r="C264" s="414" t="n"/>
      <c r="D264" s="414" t="n"/>
      <c r="E264" s="414" t="n"/>
      <c r="F264" s="414" t="n"/>
      <c r="G264" s="414" t="n"/>
      <c r="H264" s="414" t="n"/>
      <c r="I264" s="414" t="n"/>
      <c r="J264" s="414" t="n"/>
      <c r="K264" s="414" t="n"/>
      <c r="L264" s="414" t="n"/>
      <c r="M264" s="414" t="n"/>
      <c r="N264" s="414" t="n"/>
      <c r="O264" s="414" t="n"/>
      <c r="P264" s="414" t="n"/>
      <c r="Q264" s="414" t="n"/>
      <c r="R264" s="414" t="n"/>
      <c r="S264" s="414" t="n"/>
      <c r="T264" s="414" t="n"/>
      <c r="U264" s="414" t="n"/>
      <c r="V264" s="414" t="n"/>
      <c r="W264" s="414" t="n"/>
      <c r="X264" s="414" t="n"/>
      <c r="Y264" s="414" t="n"/>
      <c r="Z264" s="414" t="n"/>
      <c r="AA264" s="414" t="n"/>
      <c r="AB264" s="414" t="n"/>
      <c r="AC264" s="414" t="n"/>
      <c r="AD264" s="414" t="n"/>
      <c r="AE264" s="414" t="n"/>
      <c r="AF264" s="414" t="n"/>
      <c r="AG264" s="414" t="n"/>
      <c r="AH264" s="414" t="n"/>
      <c r="AI264" s="414" t="n"/>
      <c r="AJ264" s="414" t="n"/>
      <c r="AK264" s="414" t="n"/>
      <c r="AL264" s="414" t="n"/>
      <c r="AM264" s="414" t="n"/>
      <c r="AN264" s="414" t="n"/>
      <c r="AO264" s="414" t="n"/>
      <c r="AP264" s="414" t="n"/>
      <c r="AQ264" s="414" t="n"/>
      <c r="AR264" s="414" t="n"/>
      <c r="AS264" s="414" t="n"/>
      <c r="AT264" s="414" t="n"/>
      <c r="AU264" s="414" t="n"/>
      <c r="AV264" s="414" t="n"/>
      <c r="AW264" s="414" t="n"/>
      <c r="AX264" s="414" t="n"/>
      <c r="AY264" s="414" t="n"/>
      <c r="AZ264" s="414" t="n"/>
      <c r="BA264" s="414" t="n"/>
      <c r="BB264" s="414" t="n"/>
      <c r="BC264" s="414" t="n"/>
      <c r="BD264" s="414" t="n"/>
      <c r="BE264" s="414" t="n"/>
      <c r="BF264" s="414" t="n"/>
      <c r="BG264" s="414" t="n"/>
      <c r="BH264" s="414" t="n"/>
      <c r="BI264" s="414" t="n"/>
      <c r="BJ264" s="414" t="n"/>
      <c r="BK264" s="414" t="n"/>
      <c r="BL264" s="414" t="n"/>
      <c r="BM264" s="414" t="n"/>
      <c r="BN264" s="414" t="n"/>
      <c r="BO264" s="414" t="n"/>
      <c r="BP264" s="414" t="n"/>
      <c r="BQ264" s="414" t="n"/>
      <c r="BR264" s="414" t="n"/>
      <c r="BS264" s="414" t="n"/>
      <c r="BT264" s="414" t="n"/>
      <c r="BU264" s="414" t="n"/>
      <c r="BV264" s="414" t="n"/>
      <c r="BW264" s="414" t="n"/>
      <c r="BX264" s="414" t="n"/>
      <c r="BY264" s="414" t="n"/>
      <c r="BZ264" s="414" t="n"/>
      <c r="CA264" s="414" t="n"/>
      <c r="CB264" s="414" t="n"/>
      <c r="CC264" s="414" t="n"/>
      <c r="CD264" s="414" t="n"/>
      <c r="CE264" s="414" t="n"/>
      <c r="CF264" s="414" t="n"/>
      <c r="CG264" s="414" t="n"/>
      <c r="CH264" s="414" t="n"/>
      <c r="CI264" s="414" t="n"/>
      <c r="CJ264" s="414" t="n"/>
      <c r="CK264" s="414" t="n"/>
      <c r="CL264" s="414" t="n"/>
      <c r="CM264" s="414" t="n"/>
      <c r="CN264" s="414" t="n"/>
      <c r="CO264" s="414" t="n"/>
      <c r="CP264" s="414" t="n"/>
      <c r="CQ264" s="414" t="n"/>
      <c r="CR264" s="414" t="n"/>
      <c r="CS264" s="414" t="n"/>
      <c r="CT264" s="414" t="n"/>
      <c r="CU264" s="414" t="n"/>
      <c r="CV264" s="414" t="n"/>
      <c r="CW264" s="414" t="n"/>
      <c r="CX264" s="414" t="n"/>
      <c r="CY264" s="414" t="n"/>
      <c r="CZ264" s="414" t="n"/>
      <c r="DA264" s="414" t="n"/>
      <c r="DB264" s="414" t="n"/>
      <c r="DC264" s="414" t="n"/>
      <c r="DD264" s="414" t="n"/>
      <c r="DE264" s="414" t="n"/>
    </row>
    <row r="265" ht="15" customFormat="1" customHeight="1" s="380">
      <c r="A265" s="397" t="inlineStr">
        <is>
          <t>LV Beginning Cash</t>
        </is>
      </c>
      <c r="B265" s="392" t="n"/>
      <c r="C265" s="392" t="n"/>
      <c r="D265" s="392" t="n"/>
      <c r="E265" s="392" t="n"/>
      <c r="F265" s="392" t="n"/>
      <c r="G265" s="392" t="n"/>
      <c r="H265" s="392" t="n"/>
      <c r="I265" s="392">
        <f>Assumptions!B29</f>
        <v/>
      </c>
      <c r="J265" s="392">
        <f>I273</f>
        <v/>
      </c>
      <c r="K265" s="392">
        <f>J273</f>
        <v/>
      </c>
      <c r="L265" s="392">
        <f>K273</f>
        <v/>
      </c>
      <c r="M265" s="392">
        <f>L273</f>
        <v/>
      </c>
      <c r="N265" s="392">
        <f>M273</f>
        <v/>
      </c>
      <c r="O265" s="392">
        <f>N273</f>
        <v/>
      </c>
      <c r="P265" s="392">
        <f>O273</f>
        <v/>
      </c>
      <c r="Q265" s="392">
        <f>P273</f>
        <v/>
      </c>
      <c r="R265" s="392">
        <f>Q273</f>
        <v/>
      </c>
      <c r="S265" s="392">
        <f>R273</f>
        <v/>
      </c>
      <c r="T265" s="392">
        <f>S273</f>
        <v/>
      </c>
      <c r="U265" s="392">
        <f>T273</f>
        <v/>
      </c>
      <c r="V265" s="392">
        <f>U273</f>
        <v/>
      </c>
      <c r="W265" s="392">
        <f>V273</f>
        <v/>
      </c>
      <c r="X265" s="392">
        <f>W273</f>
        <v/>
      </c>
      <c r="Y265" s="392">
        <f>X273</f>
        <v/>
      </c>
      <c r="Z265" s="392">
        <f>Y273</f>
        <v/>
      </c>
      <c r="AA265" s="392">
        <f>Z273</f>
        <v/>
      </c>
      <c r="AB265" s="392">
        <f>AA273</f>
        <v/>
      </c>
      <c r="AC265" s="392">
        <f>AB273</f>
        <v/>
      </c>
      <c r="AD265" s="392">
        <f>AC273</f>
        <v/>
      </c>
      <c r="AE265" s="392">
        <f>AD273</f>
        <v/>
      </c>
      <c r="AF265" s="392">
        <f>AE273</f>
        <v/>
      </c>
      <c r="AG265" s="392">
        <f>AF273</f>
        <v/>
      </c>
      <c r="AH265" s="392">
        <f>AG273</f>
        <v/>
      </c>
      <c r="AI265" s="392">
        <f>AH273</f>
        <v/>
      </c>
      <c r="AJ265" s="392">
        <f>AI273</f>
        <v/>
      </c>
      <c r="AK265" s="392">
        <f>AJ273</f>
        <v/>
      </c>
      <c r="AL265" s="392">
        <f>AK273</f>
        <v/>
      </c>
      <c r="AM265" s="392">
        <f>AL273</f>
        <v/>
      </c>
      <c r="AN265" s="392">
        <f>AM273</f>
        <v/>
      </c>
      <c r="AO265" s="392">
        <f>AN273</f>
        <v/>
      </c>
      <c r="AP265" s="392">
        <f>AO273</f>
        <v/>
      </c>
      <c r="AQ265" s="392">
        <f>AP273</f>
        <v/>
      </c>
      <c r="AR265" s="392">
        <f>AQ273</f>
        <v/>
      </c>
      <c r="AS265" s="392">
        <f>AR273</f>
        <v/>
      </c>
      <c r="AT265" s="392">
        <f>AS273</f>
        <v/>
      </c>
      <c r="AU265" s="392">
        <f>AT273</f>
        <v/>
      </c>
      <c r="AV265" s="392">
        <f>AU273</f>
        <v/>
      </c>
      <c r="AW265" s="392">
        <f>AV273</f>
        <v/>
      </c>
      <c r="AX265" s="392">
        <f>AW273</f>
        <v/>
      </c>
      <c r="AY265" s="392">
        <f>AX273</f>
        <v/>
      </c>
      <c r="AZ265" s="392">
        <f>AY273</f>
        <v/>
      </c>
      <c r="BA265" s="392">
        <f>AZ273</f>
        <v/>
      </c>
      <c r="BB265" s="392">
        <f>BA273</f>
        <v/>
      </c>
      <c r="BC265" s="392">
        <f>BB273</f>
        <v/>
      </c>
      <c r="BD265" s="392">
        <f>BC273</f>
        <v/>
      </c>
      <c r="BE265" s="392">
        <f>BD273</f>
        <v/>
      </c>
      <c r="BF265" s="392">
        <f>BE273</f>
        <v/>
      </c>
      <c r="BG265" s="392">
        <f>BF273</f>
        <v/>
      </c>
      <c r="BH265" s="392">
        <f>BG273</f>
        <v/>
      </c>
      <c r="BI265" s="392">
        <f>BH273</f>
        <v/>
      </c>
      <c r="BJ265" s="392">
        <f>BI273</f>
        <v/>
      </c>
      <c r="BK265" s="392">
        <f>BJ273</f>
        <v/>
      </c>
      <c r="BL265" s="392">
        <f>BK273</f>
        <v/>
      </c>
      <c r="BM265" s="392">
        <f>BL273</f>
        <v/>
      </c>
      <c r="BN265" s="392">
        <f>BM273</f>
        <v/>
      </c>
      <c r="BO265" s="392">
        <f>BN273</f>
        <v/>
      </c>
      <c r="BP265" s="392">
        <f>BO273</f>
        <v/>
      </c>
      <c r="BQ265" s="392">
        <f>BP273</f>
        <v/>
      </c>
      <c r="BR265" s="392">
        <f>BQ273</f>
        <v/>
      </c>
      <c r="BS265" s="392">
        <f>BR273</f>
        <v/>
      </c>
      <c r="BT265" s="392">
        <f>BS273</f>
        <v/>
      </c>
      <c r="BU265" s="392">
        <f>BT273</f>
        <v/>
      </c>
      <c r="BV265" s="392">
        <f>BU273</f>
        <v/>
      </c>
      <c r="BW265" s="392">
        <f>BV273</f>
        <v/>
      </c>
      <c r="BX265" s="392">
        <f>BW273</f>
        <v/>
      </c>
      <c r="BY265" s="392">
        <f>BX273</f>
        <v/>
      </c>
      <c r="BZ265" s="392">
        <f>BY273</f>
        <v/>
      </c>
      <c r="CA265" s="392">
        <f>BZ273</f>
        <v/>
      </c>
      <c r="CB265" s="392">
        <f>CA273</f>
        <v/>
      </c>
      <c r="CC265" s="392">
        <f>CB273</f>
        <v/>
      </c>
      <c r="CD265" s="392">
        <f>CC273</f>
        <v/>
      </c>
      <c r="CE265" s="392">
        <f>CD273</f>
        <v/>
      </c>
      <c r="CF265" s="392">
        <f>CE273</f>
        <v/>
      </c>
      <c r="CG265" s="392">
        <f>CF273</f>
        <v/>
      </c>
      <c r="CH265" s="392">
        <f>CG273</f>
        <v/>
      </c>
      <c r="CI265" s="392">
        <f>CH273</f>
        <v/>
      </c>
      <c r="CJ265" s="392">
        <f>CI273</f>
        <v/>
      </c>
      <c r="CK265" s="392">
        <f>CJ273</f>
        <v/>
      </c>
      <c r="CL265" s="392">
        <f>CK273</f>
        <v/>
      </c>
      <c r="CM265" s="392">
        <f>CL273</f>
        <v/>
      </c>
      <c r="CN265" s="392">
        <f>CM273</f>
        <v/>
      </c>
      <c r="CO265" s="392">
        <f>CN273</f>
        <v/>
      </c>
      <c r="CP265" s="392">
        <f>CO273</f>
        <v/>
      </c>
      <c r="CQ265" s="392">
        <f>CP273</f>
        <v/>
      </c>
      <c r="CR265" s="392">
        <f>CQ273</f>
        <v/>
      </c>
      <c r="CS265" s="392">
        <f>CR273</f>
        <v/>
      </c>
      <c r="CT265" s="392">
        <f>CS273</f>
        <v/>
      </c>
      <c r="CU265" s="392">
        <f>CT273</f>
        <v/>
      </c>
      <c r="CV265" s="392">
        <f>CU273</f>
        <v/>
      </c>
      <c r="CW265" s="392">
        <f>CV273</f>
        <v/>
      </c>
      <c r="CX265" s="392">
        <f>CW273</f>
        <v/>
      </c>
      <c r="CY265" s="392">
        <f>CX273</f>
        <v/>
      </c>
      <c r="CZ265" s="392">
        <f>CY273</f>
        <v/>
      </c>
      <c r="DA265" s="392">
        <f>CZ273</f>
        <v/>
      </c>
      <c r="DB265" s="392">
        <f>DA273</f>
        <v/>
      </c>
      <c r="DC265" s="392">
        <f>DB273</f>
        <v/>
      </c>
      <c r="DD265" s="392">
        <f>DC273</f>
        <v/>
      </c>
      <c r="DE265" s="392">
        <f>DD273</f>
        <v/>
      </c>
    </row>
    <row r="266" ht="15" customFormat="1" customHeight="1" s="380">
      <c r="A266" s="397" t="inlineStr">
        <is>
          <t>LV Net Cash Flow</t>
        </is>
      </c>
      <c r="B266" s="392" t="n"/>
      <c r="C266" s="392" t="n"/>
      <c r="D266" s="392" t="n"/>
      <c r="E266" s="392" t="n"/>
      <c r="F266" s="392" t="n"/>
      <c r="G266" s="392" t="n"/>
      <c r="H266" s="392" t="n"/>
      <c r="I266" s="392">
        <f>I147</f>
        <v/>
      </c>
      <c r="J266" s="392">
        <f>J147</f>
        <v/>
      </c>
      <c r="K266" s="392">
        <f>K147</f>
        <v/>
      </c>
      <c r="L266" s="392">
        <f>L147</f>
        <v/>
      </c>
      <c r="M266" s="392">
        <f>M147</f>
        <v/>
      </c>
      <c r="N266" s="392">
        <f>N147</f>
        <v/>
      </c>
      <c r="O266" s="392">
        <f>O147</f>
        <v/>
      </c>
      <c r="P266" s="392">
        <f>P147</f>
        <v/>
      </c>
      <c r="Q266" s="392">
        <f>Q147</f>
        <v/>
      </c>
      <c r="R266" s="392">
        <f>R147</f>
        <v/>
      </c>
      <c r="S266" s="392">
        <f>S147</f>
        <v/>
      </c>
      <c r="T266" s="392">
        <f>T147</f>
        <v/>
      </c>
      <c r="U266" s="392">
        <f>U147</f>
        <v/>
      </c>
      <c r="V266" s="392">
        <f>V147</f>
        <v/>
      </c>
      <c r="W266" s="392">
        <f>W147</f>
        <v/>
      </c>
      <c r="X266" s="392">
        <f>X147</f>
        <v/>
      </c>
      <c r="Y266" s="392">
        <f>Y147</f>
        <v/>
      </c>
      <c r="Z266" s="392">
        <f>Z147</f>
        <v/>
      </c>
      <c r="AA266" s="392">
        <f>AA147</f>
        <v/>
      </c>
      <c r="AB266" s="392">
        <f>AB147</f>
        <v/>
      </c>
      <c r="AC266" s="392">
        <f>AC147</f>
        <v/>
      </c>
      <c r="AD266" s="392">
        <f>AD147</f>
        <v/>
      </c>
      <c r="AE266" s="392">
        <f>AE147</f>
        <v/>
      </c>
      <c r="AF266" s="392">
        <f>AF147</f>
        <v/>
      </c>
      <c r="AG266" s="392">
        <f>AG147</f>
        <v/>
      </c>
      <c r="AH266" s="392">
        <f>AH147</f>
        <v/>
      </c>
      <c r="AI266" s="392">
        <f>AI147</f>
        <v/>
      </c>
      <c r="AJ266" s="392">
        <f>AJ147</f>
        <v/>
      </c>
      <c r="AK266" s="392">
        <f>AK147</f>
        <v/>
      </c>
      <c r="AL266" s="392">
        <f>AL147</f>
        <v/>
      </c>
      <c r="AM266" s="392">
        <f>AM147</f>
        <v/>
      </c>
      <c r="AN266" s="392">
        <f>AN147</f>
        <v/>
      </c>
      <c r="AO266" s="392">
        <f>AO147</f>
        <v/>
      </c>
      <c r="AP266" s="392">
        <f>AP147</f>
        <v/>
      </c>
      <c r="AQ266" s="392">
        <f>AQ147</f>
        <v/>
      </c>
      <c r="AR266" s="392">
        <f>AR147</f>
        <v/>
      </c>
      <c r="AS266" s="392">
        <f>AS147</f>
        <v/>
      </c>
      <c r="AT266" s="392">
        <f>AT147</f>
        <v/>
      </c>
      <c r="AU266" s="392">
        <f>AU147</f>
        <v/>
      </c>
      <c r="AV266" s="392">
        <f>AV147</f>
        <v/>
      </c>
      <c r="AW266" s="392">
        <f>AW147</f>
        <v/>
      </c>
      <c r="AX266" s="392">
        <f>AX147</f>
        <v/>
      </c>
      <c r="AY266" s="392">
        <f>AY147</f>
        <v/>
      </c>
      <c r="AZ266" s="392">
        <f>AZ147</f>
        <v/>
      </c>
      <c r="BA266" s="392">
        <f>BA147</f>
        <v/>
      </c>
      <c r="BB266" s="392">
        <f>BB147</f>
        <v/>
      </c>
      <c r="BC266" s="392">
        <f>BC147</f>
        <v/>
      </c>
      <c r="BD266" s="392">
        <f>BD147</f>
        <v/>
      </c>
      <c r="BE266" s="392">
        <f>BE147</f>
        <v/>
      </c>
      <c r="BF266" s="392">
        <f>BF147</f>
        <v/>
      </c>
      <c r="BG266" s="392">
        <f>BG147</f>
        <v/>
      </c>
      <c r="BH266" s="392">
        <f>BH147</f>
        <v/>
      </c>
      <c r="BI266" s="392">
        <f>BI147</f>
        <v/>
      </c>
      <c r="BJ266" s="392">
        <f>BJ147</f>
        <v/>
      </c>
      <c r="BK266" s="392">
        <f>BK147</f>
        <v/>
      </c>
      <c r="BL266" s="392">
        <f>BL147</f>
        <v/>
      </c>
      <c r="BM266" s="392">
        <f>BM147</f>
        <v/>
      </c>
      <c r="BN266" s="392">
        <f>BN147</f>
        <v/>
      </c>
      <c r="BO266" s="392">
        <f>BO147</f>
        <v/>
      </c>
      <c r="BP266" s="392">
        <f>BP147</f>
        <v/>
      </c>
      <c r="BQ266" s="392">
        <f>BQ147</f>
        <v/>
      </c>
      <c r="BR266" s="392">
        <f>BR147</f>
        <v/>
      </c>
      <c r="BS266" s="392">
        <f>BS147</f>
        <v/>
      </c>
      <c r="BT266" s="392">
        <f>BT147</f>
        <v/>
      </c>
      <c r="BU266" s="392">
        <f>BU147</f>
        <v/>
      </c>
      <c r="BV266" s="392">
        <f>BV147</f>
        <v/>
      </c>
      <c r="BW266" s="392">
        <f>BW147</f>
        <v/>
      </c>
      <c r="BX266" s="392">
        <f>BX147</f>
        <v/>
      </c>
      <c r="BY266" s="392">
        <f>BY147</f>
        <v/>
      </c>
      <c r="BZ266" s="392">
        <f>BZ147</f>
        <v/>
      </c>
      <c r="CA266" s="392">
        <f>CA147</f>
        <v/>
      </c>
      <c r="CB266" s="392">
        <f>CB147</f>
        <v/>
      </c>
      <c r="CC266" s="392">
        <f>CC147</f>
        <v/>
      </c>
      <c r="CD266" s="392">
        <f>CD147</f>
        <v/>
      </c>
      <c r="CE266" s="392">
        <f>CE147</f>
        <v/>
      </c>
      <c r="CF266" s="392">
        <f>CF147</f>
        <v/>
      </c>
      <c r="CG266" s="392">
        <f>CG147</f>
        <v/>
      </c>
      <c r="CH266" s="392">
        <f>CH147</f>
        <v/>
      </c>
      <c r="CI266" s="392">
        <f>CI147</f>
        <v/>
      </c>
      <c r="CJ266" s="392">
        <f>CJ147</f>
        <v/>
      </c>
      <c r="CK266" s="392">
        <f>CK147</f>
        <v/>
      </c>
      <c r="CL266" s="392">
        <f>CL147</f>
        <v/>
      </c>
      <c r="CM266" s="392">
        <f>CM147</f>
        <v/>
      </c>
      <c r="CN266" s="392">
        <f>CN147</f>
        <v/>
      </c>
      <c r="CO266" s="392">
        <f>CO147</f>
        <v/>
      </c>
      <c r="CP266" s="392">
        <f>CP147</f>
        <v/>
      </c>
      <c r="CQ266" s="392">
        <f>CQ147</f>
        <v/>
      </c>
      <c r="CR266" s="392">
        <f>CR147</f>
        <v/>
      </c>
      <c r="CS266" s="392">
        <f>CS147</f>
        <v/>
      </c>
      <c r="CT266" s="392">
        <f>CT147</f>
        <v/>
      </c>
      <c r="CU266" s="392">
        <f>CU147</f>
        <v/>
      </c>
      <c r="CV266" s="392">
        <f>CV147</f>
        <v/>
      </c>
      <c r="CW266" s="392">
        <f>CW147</f>
        <v/>
      </c>
      <c r="CX266" s="392">
        <f>CX147</f>
        <v/>
      </c>
      <c r="CY266" s="392">
        <f>CY147</f>
        <v/>
      </c>
      <c r="CZ266" s="392">
        <f>CZ147</f>
        <v/>
      </c>
      <c r="DA266" s="392">
        <f>DA147</f>
        <v/>
      </c>
      <c r="DB266" s="392">
        <f>DB147</f>
        <v/>
      </c>
      <c r="DC266" s="392">
        <f>DC147</f>
        <v/>
      </c>
      <c r="DD266" s="392">
        <f>DD147</f>
        <v/>
      </c>
      <c r="DE266" s="392">
        <f>DE147</f>
        <v/>
      </c>
    </row>
    <row r="267" ht="15" customFormat="1" customHeight="1" s="380">
      <c r="A267" s="397" t="inlineStr">
        <is>
          <t>LV Receivables</t>
        </is>
      </c>
      <c r="B267" s="392" t="n"/>
      <c r="C267" s="392" t="n"/>
      <c r="D267" s="392" t="n"/>
      <c r="E267" s="392" t="n"/>
      <c r="F267" s="392" t="n"/>
      <c r="G267" s="392" t="n"/>
      <c r="H267" s="392" t="n"/>
      <c r="I267" s="392" t="n">
        <v>9463439</v>
      </c>
      <c r="J267" s="392" t="n"/>
      <c r="K267" s="392" t="n"/>
      <c r="L267" s="392" t="n"/>
      <c r="M267" s="392" t="n"/>
      <c r="N267" s="392" t="n"/>
      <c r="O267" s="392" t="n"/>
      <c r="P267" s="392" t="n"/>
      <c r="Q267" s="392" t="n"/>
      <c r="R267" s="392" t="n"/>
      <c r="S267" s="392" t="n"/>
      <c r="T267" s="392" t="n"/>
      <c r="U267" s="392" t="n"/>
      <c r="V267" s="392" t="n"/>
      <c r="W267" s="392" t="n"/>
      <c r="X267" s="392" t="n"/>
      <c r="Y267" s="392" t="n"/>
      <c r="Z267" s="392" t="n"/>
      <c r="AA267" s="392" t="n"/>
      <c r="AB267" s="392" t="n"/>
      <c r="AC267" s="392" t="n"/>
      <c r="AD267" s="392" t="n"/>
      <c r="AE267" s="392" t="n"/>
      <c r="AF267" s="392" t="n"/>
      <c r="AG267" s="392" t="n"/>
      <c r="AH267" s="392" t="n"/>
      <c r="AI267" s="392" t="n"/>
      <c r="AJ267" s="392" t="n"/>
      <c r="AK267" s="392" t="n"/>
      <c r="AL267" s="392" t="n"/>
      <c r="AM267" s="392" t="n"/>
      <c r="AN267" s="392" t="n"/>
      <c r="AO267" s="392" t="n"/>
      <c r="AP267" s="392" t="n"/>
      <c r="AQ267" s="392" t="n"/>
      <c r="AR267" s="392" t="n"/>
      <c r="AS267" s="392" t="n"/>
      <c r="AT267" s="392" t="n"/>
      <c r="AU267" s="392" t="n"/>
      <c r="AV267" s="392" t="n"/>
      <c r="AW267" s="392" t="n"/>
      <c r="AX267" s="392" t="n"/>
      <c r="AY267" s="392" t="n"/>
      <c r="AZ267" s="392" t="n"/>
      <c r="BA267" s="392" t="n"/>
      <c r="BB267" s="392" t="n"/>
      <c r="BC267" s="392" t="n"/>
      <c r="BD267" s="392" t="n"/>
      <c r="BE267" s="392" t="n"/>
      <c r="BF267" s="392" t="n"/>
      <c r="BG267" s="392" t="n"/>
      <c r="BH267" s="392" t="n"/>
      <c r="BI267" s="392" t="n"/>
      <c r="BJ267" s="392" t="n"/>
      <c r="BK267" s="392" t="n"/>
      <c r="BL267" s="392" t="n"/>
      <c r="BM267" s="392" t="n"/>
      <c r="BN267" s="392" t="n"/>
      <c r="BO267" s="392" t="n"/>
      <c r="BP267" s="392" t="n"/>
      <c r="BQ267" s="392" t="n"/>
      <c r="BR267" s="392" t="n"/>
      <c r="BS267" s="392" t="n"/>
      <c r="BT267" s="392" t="n"/>
      <c r="BU267" s="392" t="n"/>
      <c r="BV267" s="392" t="n"/>
      <c r="BW267" s="392" t="n"/>
      <c r="BX267" s="392" t="n"/>
      <c r="BY267" s="392" t="n"/>
      <c r="BZ267" s="392" t="n"/>
      <c r="CA267" s="392" t="n"/>
      <c r="CB267" s="392" t="n"/>
      <c r="CC267" s="392" t="n"/>
      <c r="CD267" s="392" t="n"/>
      <c r="CE267" s="392" t="n"/>
      <c r="CF267" s="392" t="n"/>
      <c r="CG267" s="392" t="n"/>
      <c r="CH267" s="392" t="n"/>
      <c r="CI267" s="392" t="n"/>
      <c r="CJ267" s="392" t="n"/>
      <c r="CK267" s="392" t="n"/>
      <c r="CL267" s="392" t="n"/>
      <c r="CM267" s="392" t="n"/>
      <c r="CN267" s="392" t="n"/>
      <c r="CO267" s="392" t="n"/>
      <c r="CP267" s="392" t="n"/>
      <c r="CQ267" s="392" t="n"/>
      <c r="CR267" s="392" t="n"/>
      <c r="CS267" s="392" t="n"/>
      <c r="CT267" s="392" t="n"/>
      <c r="CU267" s="392" t="n"/>
      <c r="CV267" s="392" t="n"/>
      <c r="CW267" s="392" t="n"/>
      <c r="CX267" s="392" t="n"/>
      <c r="CY267" s="392" t="n"/>
      <c r="CZ267" s="392" t="n"/>
      <c r="DA267" s="392" t="n"/>
      <c r="DB267" s="392" t="n"/>
      <c r="DC267" s="392" t="n"/>
      <c r="DD267" s="392" t="n"/>
      <c r="DE267" s="392" t="n"/>
    </row>
    <row r="268" ht="15" customFormat="1" customHeight="1" s="380">
      <c r="A268" s="397" t="inlineStr">
        <is>
          <t>LV Payables</t>
        </is>
      </c>
      <c r="B268" s="392" t="n"/>
      <c r="C268" s="392" t="n"/>
      <c r="D268" s="392" t="n"/>
      <c r="E268" s="392" t="n"/>
      <c r="F268" s="392" t="n"/>
      <c r="G268" s="392" t="n"/>
      <c r="H268" s="392" t="n"/>
      <c r="I268" s="392" t="n">
        <v>-8434511</v>
      </c>
      <c r="J268" s="392" t="n"/>
      <c r="K268" s="392" t="n"/>
      <c r="L268" s="392" t="n"/>
      <c r="M268" s="392" t="n"/>
      <c r="N268" s="392" t="n"/>
      <c r="O268" s="392" t="n"/>
      <c r="P268" s="392" t="n"/>
      <c r="Q268" s="392" t="n"/>
      <c r="R268" s="392" t="n"/>
      <c r="S268" s="392" t="n"/>
      <c r="T268" s="392" t="n"/>
      <c r="U268" s="392" t="n"/>
      <c r="V268" s="392" t="n"/>
      <c r="W268" s="392" t="n"/>
      <c r="X268" s="392" t="n"/>
      <c r="Y268" s="392" t="n"/>
      <c r="Z268" s="392" t="n"/>
      <c r="AA268" s="392" t="n"/>
      <c r="AB268" s="392" t="n"/>
      <c r="AC268" s="392" t="n"/>
      <c r="AD268" s="392" t="n"/>
      <c r="AE268" s="392" t="n"/>
      <c r="AF268" s="392" t="n"/>
      <c r="AG268" s="392" t="n"/>
      <c r="AH268" s="392" t="n"/>
      <c r="AI268" s="392" t="n"/>
      <c r="AJ268" s="392" t="n"/>
      <c r="AK268" s="392" t="n"/>
      <c r="AL268" s="392" t="n"/>
      <c r="AM268" s="392" t="n"/>
      <c r="AN268" s="392" t="n"/>
      <c r="AO268" s="392" t="n"/>
      <c r="AP268" s="392" t="n"/>
      <c r="AQ268" s="392" t="n"/>
      <c r="AR268" s="392" t="n"/>
      <c r="AS268" s="392" t="n"/>
      <c r="AT268" s="392" t="n"/>
      <c r="AU268" s="392" t="n"/>
      <c r="AV268" s="392" t="n"/>
      <c r="AW268" s="392" t="n"/>
      <c r="AX268" s="392" t="n"/>
      <c r="AY268" s="392" t="n"/>
      <c r="AZ268" s="392" t="n"/>
      <c r="BA268" s="392" t="n"/>
      <c r="BB268" s="392" t="n"/>
      <c r="BC268" s="392" t="n"/>
      <c r="BD268" s="392" t="n"/>
      <c r="BE268" s="392" t="n"/>
      <c r="BF268" s="392" t="n"/>
      <c r="BG268" s="392" t="n"/>
      <c r="BH268" s="392" t="n"/>
      <c r="BI268" s="392" t="n"/>
      <c r="BJ268" s="392" t="n"/>
      <c r="BK268" s="392" t="n"/>
      <c r="BL268" s="392" t="n"/>
      <c r="BM268" s="392" t="n"/>
      <c r="BN268" s="392" t="n"/>
      <c r="BO268" s="392" t="n"/>
      <c r="BP268" s="392" t="n"/>
      <c r="BQ268" s="392" t="n"/>
      <c r="BR268" s="392" t="n"/>
      <c r="BS268" s="392" t="n"/>
      <c r="BT268" s="392" t="n"/>
      <c r="BU268" s="392" t="n"/>
      <c r="BV268" s="392" t="n"/>
      <c r="BW268" s="392" t="n"/>
      <c r="BX268" s="392" t="n"/>
      <c r="BY268" s="392" t="n"/>
      <c r="BZ268" s="392" t="n"/>
      <c r="CA268" s="392" t="n"/>
      <c r="CB268" s="392" t="n"/>
      <c r="CC268" s="392" t="n"/>
      <c r="CD268" s="392" t="n"/>
      <c r="CE268" s="392" t="n"/>
      <c r="CF268" s="392" t="n"/>
      <c r="CG268" s="392" t="n"/>
      <c r="CH268" s="392" t="n"/>
      <c r="CI268" s="392" t="n"/>
      <c r="CJ268" s="392" t="n"/>
      <c r="CK268" s="392" t="n"/>
      <c r="CL268" s="392" t="n"/>
      <c r="CM268" s="392" t="n"/>
      <c r="CN268" s="392" t="n"/>
      <c r="CO268" s="392" t="n"/>
      <c r="CP268" s="392" t="n"/>
      <c r="CQ268" s="392" t="n"/>
      <c r="CR268" s="392" t="n"/>
      <c r="CS268" s="392" t="n"/>
      <c r="CT268" s="392" t="n"/>
      <c r="CU268" s="392" t="n"/>
      <c r="CV268" s="392" t="n"/>
      <c r="CW268" s="392" t="n"/>
      <c r="CX268" s="392" t="n"/>
      <c r="CY268" s="392" t="n"/>
      <c r="CZ268" s="392" t="n"/>
      <c r="DA268" s="392" t="n"/>
      <c r="DB268" s="392" t="n"/>
      <c r="DC268" s="392" t="n"/>
      <c r="DD268" s="392" t="n"/>
      <c r="DE268" s="392" t="n"/>
    </row>
    <row r="269" ht="15" customFormat="1" customHeight="1" s="380">
      <c r="A269" s="397" t="inlineStr">
        <is>
          <t>LV GP Collection Lag, less Deal-Terms Accruals (non-cash)</t>
        </is>
      </c>
      <c r="B269" s="392" t="n"/>
      <c r="C269" s="392" t="n"/>
      <c r="D269" s="392" t="n"/>
      <c r="E269" s="392" t="n"/>
      <c r="F269" s="392" t="n"/>
      <c r="G269" s="392" t="n"/>
      <c r="H269" s="392" t="n"/>
      <c r="I269" s="392">
        <f>H109-I109-H107-IF(H$3&lt;5,0,-SUMPRODUCT('Deal Terms'!$E$4:$E$47*('Deal Terms'!$G$4:$G$47=0),H$13:H$56+H$60:H$103))</f>
        <v/>
      </c>
      <c r="J269" s="392">
        <f>I109-J109-I107-IF(I$3&lt;5,0,-SUMPRODUCT('Deal Terms'!$E$4:$E$47*('Deal Terms'!$G$4:$G$47=0),I$13:I$56+I$60:I$103))</f>
        <v/>
      </c>
      <c r="K269" s="392">
        <f>J109-K109-J107-IF(J$3&lt;5,0,-SUMPRODUCT('Deal Terms'!$E$4:$E$47*('Deal Terms'!$G$4:$G$47=0),J$13:J$56+J$60:J$103))</f>
        <v/>
      </c>
      <c r="L269" s="392">
        <f>K109-L109-K107-IF(K$3&lt;5,0,-SUMPRODUCT('Deal Terms'!$E$4:$E$47*('Deal Terms'!$G$4:$G$47=0),K$13:K$56+K$60:K$103))</f>
        <v/>
      </c>
      <c r="M269" s="392">
        <f>L109-M109-L107-IF(L$3&lt;5,0,-SUMPRODUCT('Deal Terms'!$E$4:$E$47*('Deal Terms'!$G$4:$G$47=0),L$13:L$56+L$60:L$103))</f>
        <v/>
      </c>
      <c r="N269" s="392">
        <f>M109-N109-M107-IF(M$3&lt;5,0,-SUMPRODUCT('Deal Terms'!$E$4:$E$47*('Deal Terms'!$G$4:$G$47=0),M$13:M$56+M$60:M$103))</f>
        <v/>
      </c>
      <c r="O269" s="392">
        <f>N109-O109-N107-IF(N$3&lt;5,0,-SUMPRODUCT('Deal Terms'!$E$4:$E$47*('Deal Terms'!$G$4:$G$47=0),N$13:N$56+N$60:N$103))</f>
        <v/>
      </c>
      <c r="P269" s="392">
        <f>O109-P109-O107-IF(O$3&lt;5,0,-SUMPRODUCT('Deal Terms'!$E$4:$E$47*('Deal Terms'!$G$4:$G$47=0),O$13:O$56+O$60:O$103))</f>
        <v/>
      </c>
      <c r="Q269" s="392">
        <f>P109-Q109-P107-IF(P$3&lt;5,0,-SUMPRODUCT('Deal Terms'!$E$4:$E$47*('Deal Terms'!$G$4:$G$47=0),P$13:P$56+P$60:P$103))</f>
        <v/>
      </c>
      <c r="R269" s="392">
        <f>Q109-R109-Q107-IF(Q$3&lt;5,0,-SUMPRODUCT('Deal Terms'!$E$4:$E$47*('Deal Terms'!$G$4:$G$47=0),Q$13:Q$56+Q$60:Q$103))</f>
        <v/>
      </c>
      <c r="S269" s="392">
        <f>R109-S109-R107-IF(R$3&lt;5,0,-SUMPRODUCT('Deal Terms'!$E$4:$E$47*('Deal Terms'!$G$4:$G$47=0),R$13:R$56+R$60:R$103))</f>
        <v/>
      </c>
      <c r="T269" s="392">
        <f>S109-T109-S107-IF(S$3&lt;5,0,-SUMPRODUCT('Deal Terms'!$E$4:$E$47*('Deal Terms'!$G$4:$G$47=0),S$13:S$56+S$60:S$103))</f>
        <v/>
      </c>
      <c r="U269" s="392">
        <f>T109-U109-T107-IF(T$3&lt;5,0,-SUMPRODUCT('Deal Terms'!$E$4:$E$47*('Deal Terms'!$G$4:$G$47=0),T$13:T$56+T$60:T$103))</f>
        <v/>
      </c>
      <c r="V269" s="392">
        <f>U109-V109-U107-IF(U$3&lt;5,0,-SUMPRODUCT('Deal Terms'!$E$4:$E$47*('Deal Terms'!$G$4:$G$47=0),U$13:U$56+U$60:U$103))</f>
        <v/>
      </c>
      <c r="W269" s="392">
        <f>V109-W109-V107-IF(V$3&lt;5,0,-SUMPRODUCT('Deal Terms'!$E$4:$E$47*('Deal Terms'!$G$4:$G$47=0),V$13:V$56+V$60:V$103))</f>
        <v/>
      </c>
      <c r="X269" s="392">
        <f>W109-X109-W107-IF(W$3&lt;5,0,-SUMPRODUCT('Deal Terms'!$E$4:$E$47*('Deal Terms'!$G$4:$G$47=0),W$13:W$56+W$60:W$103))</f>
        <v/>
      </c>
      <c r="Y269" s="392">
        <f>X109-Y109-X107-IF(X$3&lt;5,0,-SUMPRODUCT('Deal Terms'!$E$4:$E$47*('Deal Terms'!$G$4:$G$47=0),X$13:X$56+X$60:X$103))</f>
        <v/>
      </c>
      <c r="Z269" s="392">
        <f>Y109-Z109-Y107-IF(Y$3&lt;5,0,-SUMPRODUCT('Deal Terms'!$E$4:$E$47*('Deal Terms'!$G$4:$G$47=0),Y$13:Y$56+Y$60:Y$103))</f>
        <v/>
      </c>
      <c r="AA269" s="392">
        <f>Z109-AA109-Z107-IF(Z$3&lt;5,0,-SUMPRODUCT('Deal Terms'!$E$4:$E$47*('Deal Terms'!$G$4:$G$47=0),Z$13:Z$56+Z$60:Z$103))</f>
        <v/>
      </c>
      <c r="AB269" s="392">
        <f>AA109-AB109-AA107-IF(AA$3&lt;5,0,-SUMPRODUCT('Deal Terms'!$E$4:$E$47*('Deal Terms'!$G$4:$G$47=0),AA$13:AA$56+AA$60:AA$103))</f>
        <v/>
      </c>
      <c r="AC269" s="392">
        <f>AB109-AC109-AB107-IF(AB$3&lt;5,0,-SUMPRODUCT('Deal Terms'!$E$4:$E$47*('Deal Terms'!$G$4:$G$47=0),AB$13:AB$56+AB$60:AB$103))</f>
        <v/>
      </c>
      <c r="AD269" s="392">
        <f>AC109-AD109-AC107-IF(AC$3&lt;5,0,-SUMPRODUCT('Deal Terms'!$E$4:$E$47*('Deal Terms'!$G$4:$G$47=0),AC$13:AC$56+AC$60:AC$103))</f>
        <v/>
      </c>
      <c r="AE269" s="392">
        <f>AD109-AE109-AD107-IF(AD$3&lt;5,0,-SUMPRODUCT('Deal Terms'!$E$4:$E$47*('Deal Terms'!$G$4:$G$47=0),AD$13:AD$56+AD$60:AD$103))</f>
        <v/>
      </c>
      <c r="AF269" s="392">
        <f>AE109-AF109-AE107-IF(AE$3&lt;5,0,-SUMPRODUCT('Deal Terms'!$E$4:$E$47*('Deal Terms'!$G$4:$G$47=0),AE$13:AE$56+AE$60:AE$103))</f>
        <v/>
      </c>
      <c r="AG269" s="392">
        <f>AF109-AG109-AF107-IF(AF$3&lt;5,0,-SUMPRODUCT('Deal Terms'!$E$4:$E$47*('Deal Terms'!$G$4:$G$47=0),AF$13:AF$56+AF$60:AF$103))</f>
        <v/>
      </c>
      <c r="AH269" s="392">
        <f>AG109-AH109-AG107-IF(AG$3&lt;5,0,-SUMPRODUCT('Deal Terms'!$E$4:$E$47*('Deal Terms'!$G$4:$G$47=0),AG$13:AG$56+AG$60:AG$103))</f>
        <v/>
      </c>
      <c r="AI269" s="392">
        <f>AH109-AI109-AH107-IF(AH$3&lt;5,0,-SUMPRODUCT('Deal Terms'!$E$4:$E$47*('Deal Terms'!$G$4:$G$47=0),AH$13:AH$56+AH$60:AH$103))</f>
        <v/>
      </c>
      <c r="AJ269" s="392">
        <f>AI109-AJ109-AI107-IF(AI$3&lt;5,0,-SUMPRODUCT('Deal Terms'!$E$4:$E$47*('Deal Terms'!$G$4:$G$47=0),AI$13:AI$56+AI$60:AI$103))</f>
        <v/>
      </c>
      <c r="AK269" s="392">
        <f>AJ109-AK109-AJ107-IF(AJ$3&lt;5,0,-SUMPRODUCT('Deal Terms'!$E$4:$E$47*('Deal Terms'!$G$4:$G$47=0),AJ$13:AJ$56+AJ$60:AJ$103))</f>
        <v/>
      </c>
      <c r="AL269" s="392">
        <f>AK109-AL109-AK107-IF(AK$3&lt;5,0,-SUMPRODUCT('Deal Terms'!$E$4:$E$47*('Deal Terms'!$G$4:$G$47=0),AK$13:AK$56+AK$60:AK$103))</f>
        <v/>
      </c>
      <c r="AM269" s="392">
        <f>AL109-AM109-AL107-IF(AL$3&lt;5,0,-SUMPRODUCT('Deal Terms'!$E$4:$E$47*('Deal Terms'!$G$4:$G$47=0),AL$13:AL$56+AL$60:AL$103))</f>
        <v/>
      </c>
      <c r="AN269" s="392">
        <f>AM109-AN109-AM107-IF(AM$3&lt;5,0,-SUMPRODUCT('Deal Terms'!$E$4:$E$47*('Deal Terms'!$G$4:$G$47=0),AM$13:AM$56+AM$60:AM$103))</f>
        <v/>
      </c>
      <c r="AO269" s="392">
        <f>AN109-AO109-AN107-IF(AN$3&lt;5,0,-SUMPRODUCT('Deal Terms'!$E$4:$E$47*('Deal Terms'!$G$4:$G$47=0),AN$13:AN$56+AN$60:AN$103))</f>
        <v/>
      </c>
      <c r="AP269" s="392">
        <f>AO109-AP109-AO107-IF(AO$3&lt;5,0,-SUMPRODUCT('Deal Terms'!$E$4:$E$47*('Deal Terms'!$G$4:$G$47=0),AO$13:AO$56+AO$60:AO$103))</f>
        <v/>
      </c>
      <c r="AQ269" s="392">
        <f>AP109-AQ109-AP107-IF(AP$3&lt;5,0,-SUMPRODUCT('Deal Terms'!$E$4:$E$47*('Deal Terms'!$G$4:$G$47=0),AP$13:AP$56+AP$60:AP$103))</f>
        <v/>
      </c>
      <c r="AR269" s="392">
        <f>AQ109-AR109-AQ107-IF(AQ$3&lt;5,0,-SUMPRODUCT('Deal Terms'!$E$4:$E$47*('Deal Terms'!$G$4:$G$47=0),AQ$13:AQ$56+AQ$60:AQ$103))</f>
        <v/>
      </c>
      <c r="AS269" s="392">
        <f>AR109-AS109-AR107-IF(AR$3&lt;5,0,-SUMPRODUCT('Deal Terms'!$E$4:$E$47*('Deal Terms'!$G$4:$G$47=0),AR$13:AR$56+AR$60:AR$103))</f>
        <v/>
      </c>
      <c r="AT269" s="392">
        <f>AS109-AT109-AS107-IF(AS$3&lt;5,0,-SUMPRODUCT('Deal Terms'!$E$4:$E$47*('Deal Terms'!$G$4:$G$47=0),AS$13:AS$56+AS$60:AS$103))</f>
        <v/>
      </c>
      <c r="AU269" s="392">
        <f>AT109-AU109-AT107-IF(AT$3&lt;5,0,-SUMPRODUCT('Deal Terms'!$E$4:$E$47*('Deal Terms'!$G$4:$G$47=0),AT$13:AT$56+AT$60:AT$103))</f>
        <v/>
      </c>
      <c r="AV269" s="392">
        <f>AU109-AV109-AU107-IF(AU$3&lt;5,0,-SUMPRODUCT('Deal Terms'!$E$4:$E$47*('Deal Terms'!$G$4:$G$47=0),AU$13:AU$56+AU$60:AU$103))</f>
        <v/>
      </c>
      <c r="AW269" s="392">
        <f>AV109-AW109-AV107-IF(AV$3&lt;5,0,-SUMPRODUCT('Deal Terms'!$E$4:$E$47*('Deal Terms'!$G$4:$G$47=0),AV$13:AV$56+AV$60:AV$103))</f>
        <v/>
      </c>
      <c r="AX269" s="392">
        <f>AW109-AX109-AW107-IF(AW$3&lt;5,0,-SUMPRODUCT('Deal Terms'!$E$4:$E$47*('Deal Terms'!$G$4:$G$47=0),AW$13:AW$56+AW$60:AW$103))</f>
        <v/>
      </c>
      <c r="AY269" s="392">
        <f>AX109-AY109-AX107-IF(AX$3&lt;5,0,-SUMPRODUCT('Deal Terms'!$E$4:$E$47*('Deal Terms'!$G$4:$G$47=0),AX$13:AX$56+AX$60:AX$103))</f>
        <v/>
      </c>
      <c r="AZ269" s="392">
        <f>AY109-AZ109-AY107-IF(AY$3&lt;5,0,-SUMPRODUCT('Deal Terms'!$E$4:$E$47*('Deal Terms'!$G$4:$G$47=0),AY$13:AY$56+AY$60:AY$103))</f>
        <v/>
      </c>
      <c r="BA269" s="392">
        <f>AZ109-BA109-AZ107-IF(AZ$3&lt;5,0,-SUMPRODUCT('Deal Terms'!$E$4:$E$47*('Deal Terms'!$G$4:$G$47=0),AZ$13:AZ$56+AZ$60:AZ$103))</f>
        <v/>
      </c>
      <c r="BB269" s="392">
        <f>BA109-BB109-BA107-IF(BA$3&lt;5,0,-SUMPRODUCT('Deal Terms'!$E$4:$E$47*('Deal Terms'!$G$4:$G$47=0),BA$13:BA$56+BA$60:BA$103))</f>
        <v/>
      </c>
      <c r="BC269" s="392">
        <f>BB109-BC109-BB107-IF(BB$3&lt;5,0,-SUMPRODUCT('Deal Terms'!$E$4:$E$47*('Deal Terms'!$G$4:$G$47=0),BB$13:BB$56+BB$60:BB$103))</f>
        <v/>
      </c>
      <c r="BD269" s="392">
        <f>BC109-BD109-BC107-IF(BC$3&lt;5,0,-SUMPRODUCT('Deal Terms'!$E$4:$E$47*('Deal Terms'!$G$4:$G$47=0),BC$13:BC$56+BC$60:BC$103))</f>
        <v/>
      </c>
      <c r="BE269" s="392">
        <f>BD109-BE109-BD107-IF(BD$3&lt;5,0,-SUMPRODUCT('Deal Terms'!$E$4:$E$47*('Deal Terms'!$G$4:$G$47=0),BD$13:BD$56+BD$60:BD$103))</f>
        <v/>
      </c>
      <c r="BF269" s="392">
        <f>BE109-BF109-BE107-IF(BE$3&lt;5,0,-SUMPRODUCT('Deal Terms'!$E$4:$E$47*('Deal Terms'!$G$4:$G$47=0),BE$13:BE$56+BE$60:BE$103))</f>
        <v/>
      </c>
      <c r="BG269" s="392">
        <f>BF109-BG109-BF107-IF(BF$3&lt;5,0,-SUMPRODUCT('Deal Terms'!$E$4:$E$47*('Deal Terms'!$G$4:$G$47=0),BF$13:BF$56+BF$60:BF$103))</f>
        <v/>
      </c>
      <c r="BH269" s="392">
        <f>BG109-BH109-BG107-IF(BG$3&lt;5,0,-SUMPRODUCT('Deal Terms'!$E$4:$E$47*('Deal Terms'!$G$4:$G$47=0),BG$13:BG$56+BG$60:BG$103))</f>
        <v/>
      </c>
      <c r="BI269" s="392">
        <f>BH109-BI109-BH107-IF(BH$3&lt;5,0,-SUMPRODUCT('Deal Terms'!$E$4:$E$47*('Deal Terms'!$G$4:$G$47=0),BH$13:BH$56+BH$60:BH$103))</f>
        <v/>
      </c>
      <c r="BJ269" s="392">
        <f>BI109-BJ109-BI107-IF(BI$3&lt;5,0,-SUMPRODUCT('Deal Terms'!$E$4:$E$47*('Deal Terms'!$G$4:$G$47=0),BI$13:BI$56+BI$60:BI$103))</f>
        <v/>
      </c>
      <c r="BK269" s="392">
        <f>BJ109-BK109-BJ107-IF(BJ$3&lt;5,0,-SUMPRODUCT('Deal Terms'!$E$4:$E$47*('Deal Terms'!$G$4:$G$47=0),BJ$13:BJ$56+BJ$60:BJ$103))</f>
        <v/>
      </c>
      <c r="BL269" s="392">
        <f>BK109-BL109-BK107-IF(BK$3&lt;5,0,-SUMPRODUCT('Deal Terms'!$E$4:$E$47*('Deal Terms'!$G$4:$G$47=0),BK$13:BK$56+BK$60:BK$103))</f>
        <v/>
      </c>
      <c r="BM269" s="392">
        <f>BL109-BM109-BL107-IF(BL$3&lt;5,0,-SUMPRODUCT('Deal Terms'!$E$4:$E$47*('Deal Terms'!$G$4:$G$47=0),BL$13:BL$56+BL$60:BL$103))</f>
        <v/>
      </c>
      <c r="BN269" s="392">
        <f>BM109-BN109-BM107-IF(BM$3&lt;5,0,-SUMPRODUCT('Deal Terms'!$E$4:$E$47*('Deal Terms'!$G$4:$G$47=0),BM$13:BM$56+BM$60:BM$103))</f>
        <v/>
      </c>
      <c r="BO269" s="392">
        <f>BN109-BO109-BN107-IF(BN$3&lt;5,0,-SUMPRODUCT('Deal Terms'!$E$4:$E$47*('Deal Terms'!$G$4:$G$47=0),BN$13:BN$56+BN$60:BN$103))</f>
        <v/>
      </c>
      <c r="BP269" s="392">
        <f>BO109-BP109-BO107-IF(BO$3&lt;5,0,-SUMPRODUCT('Deal Terms'!$E$4:$E$47*('Deal Terms'!$G$4:$G$47=0),BO$13:BO$56+BO$60:BO$103))</f>
        <v/>
      </c>
      <c r="BQ269" s="392">
        <f>BP109-BQ109-BP107-IF(BP$3&lt;5,0,-SUMPRODUCT('Deal Terms'!$E$4:$E$47*('Deal Terms'!$G$4:$G$47=0),BP$13:BP$56+BP$60:BP$103))</f>
        <v/>
      </c>
      <c r="BR269" s="392">
        <f>BQ109-BR109-BQ107-IF(BQ$3&lt;5,0,-SUMPRODUCT('Deal Terms'!$E$4:$E$47*('Deal Terms'!$G$4:$G$47=0),BQ$13:BQ$56+BQ$60:BQ$103))</f>
        <v/>
      </c>
      <c r="BS269" s="392">
        <f>BR109-BS109-BR107-IF(BR$3&lt;5,0,-SUMPRODUCT('Deal Terms'!$E$4:$E$47*('Deal Terms'!$G$4:$G$47=0),BR$13:BR$56+BR$60:BR$103))</f>
        <v/>
      </c>
      <c r="BT269" s="392">
        <f>BS109-BT109-BS107-IF(BS$3&lt;5,0,-SUMPRODUCT('Deal Terms'!$E$4:$E$47*('Deal Terms'!$G$4:$G$47=0),BS$13:BS$56+BS$60:BS$103))</f>
        <v/>
      </c>
      <c r="BU269" s="392">
        <f>BT109-BU109-BT107-IF(BT$3&lt;5,0,-SUMPRODUCT('Deal Terms'!$E$4:$E$47*('Deal Terms'!$G$4:$G$47=0),BT$13:BT$56+BT$60:BT$103))</f>
        <v/>
      </c>
      <c r="BV269" s="392">
        <f>BU109-BV109-BU107-IF(BU$3&lt;5,0,-SUMPRODUCT('Deal Terms'!$E$4:$E$47*('Deal Terms'!$G$4:$G$47=0),BU$13:BU$56+BU$60:BU$103))</f>
        <v/>
      </c>
      <c r="BW269" s="392">
        <f>BV109-BW109-BV107-IF(BV$3&lt;5,0,-SUMPRODUCT('Deal Terms'!$E$4:$E$47*('Deal Terms'!$G$4:$G$47=0),BV$13:BV$56+BV$60:BV$103))</f>
        <v/>
      </c>
      <c r="BX269" s="392">
        <f>BW109-BX109-BW107-IF(BW$3&lt;5,0,-SUMPRODUCT('Deal Terms'!$E$4:$E$47*('Deal Terms'!$G$4:$G$47=0),BW$13:BW$56+BW$60:BW$103))</f>
        <v/>
      </c>
      <c r="BY269" s="392">
        <f>BX109-BY109-BX107-IF(BX$3&lt;5,0,-SUMPRODUCT('Deal Terms'!$E$4:$E$47*('Deal Terms'!$G$4:$G$47=0),BX$13:BX$56+BX$60:BX$103))</f>
        <v/>
      </c>
      <c r="BZ269" s="392">
        <f>BY109-BZ109-BY107-IF(BY$3&lt;5,0,-SUMPRODUCT('Deal Terms'!$E$4:$E$47*('Deal Terms'!$G$4:$G$47=0),BY$13:BY$56+BY$60:BY$103))</f>
        <v/>
      </c>
      <c r="CA269" s="392">
        <f>BZ109-CA109-BZ107-IF(BZ$3&lt;5,0,-SUMPRODUCT('Deal Terms'!$E$4:$E$47*('Deal Terms'!$G$4:$G$47=0),BZ$13:BZ$56+BZ$60:BZ$103))</f>
        <v/>
      </c>
      <c r="CB269" s="392">
        <f>CA109-CB109-CA107-IF(CA$3&lt;5,0,-SUMPRODUCT('Deal Terms'!$E$4:$E$47*('Deal Terms'!$G$4:$G$47=0),CA$13:CA$56+CA$60:CA$103))</f>
        <v/>
      </c>
      <c r="CC269" s="392">
        <f>CB109-CC109-CB107-IF(CB$3&lt;5,0,-SUMPRODUCT('Deal Terms'!$E$4:$E$47*('Deal Terms'!$G$4:$G$47=0),CB$13:CB$56+CB$60:CB$103))</f>
        <v/>
      </c>
      <c r="CD269" s="392">
        <f>CC109-CD109-CC107-IF(CC$3&lt;5,0,-SUMPRODUCT('Deal Terms'!$E$4:$E$47*('Deal Terms'!$G$4:$G$47=0),CC$13:CC$56+CC$60:CC$103))</f>
        <v/>
      </c>
      <c r="CE269" s="392">
        <f>CD109-CE109-CD107-IF(CD$3&lt;5,0,-SUMPRODUCT('Deal Terms'!$E$4:$E$47*('Deal Terms'!$G$4:$G$47=0),CD$13:CD$56+CD$60:CD$103))</f>
        <v/>
      </c>
      <c r="CF269" s="392">
        <f>CE109-CF109-CE107-IF(CE$3&lt;5,0,-SUMPRODUCT('Deal Terms'!$E$4:$E$47*('Deal Terms'!$G$4:$G$47=0),CE$13:CE$56+CE$60:CE$103))</f>
        <v/>
      </c>
      <c r="CG269" s="392">
        <f>CF109-CG109-CF107-IF(CF$3&lt;5,0,-SUMPRODUCT('Deal Terms'!$E$4:$E$47*('Deal Terms'!$G$4:$G$47=0),CF$13:CF$56+CF$60:CF$103))</f>
        <v/>
      </c>
      <c r="CH269" s="392">
        <f>CG109-CH109-CG107-IF(CG$3&lt;5,0,-SUMPRODUCT('Deal Terms'!$E$4:$E$47*('Deal Terms'!$G$4:$G$47=0),CG$13:CG$56+CG$60:CG$103))</f>
        <v/>
      </c>
      <c r="CI269" s="392">
        <f>CH109-CI109-CH107-IF(CH$3&lt;5,0,-SUMPRODUCT('Deal Terms'!$E$4:$E$47*('Deal Terms'!$G$4:$G$47=0),CH$13:CH$56+CH$60:CH$103))</f>
        <v/>
      </c>
      <c r="CJ269" s="392">
        <f>CI109-CJ109-CI107-IF(CI$3&lt;5,0,-SUMPRODUCT('Deal Terms'!$E$4:$E$47*('Deal Terms'!$G$4:$G$47=0),CI$13:CI$56+CI$60:CI$103))</f>
        <v/>
      </c>
      <c r="CK269" s="392">
        <f>CJ109-CK109-CJ107-IF(CJ$3&lt;5,0,-SUMPRODUCT('Deal Terms'!$E$4:$E$47*('Deal Terms'!$G$4:$G$47=0),CJ$13:CJ$56+CJ$60:CJ$103))</f>
        <v/>
      </c>
      <c r="CL269" s="392">
        <f>CK109-CL109-CK107-IF(CK$3&lt;5,0,-SUMPRODUCT('Deal Terms'!$E$4:$E$47*('Deal Terms'!$G$4:$G$47=0),CK$13:CK$56+CK$60:CK$103))</f>
        <v/>
      </c>
      <c r="CM269" s="392">
        <f>CL109-CM109-CL107-IF(CL$3&lt;5,0,-SUMPRODUCT('Deal Terms'!$E$4:$E$47*('Deal Terms'!$G$4:$G$47=0),CL$13:CL$56+CL$60:CL$103))</f>
        <v/>
      </c>
      <c r="CN269" s="392">
        <f>CM109-CN109-CM107-IF(CM$3&lt;5,0,-SUMPRODUCT('Deal Terms'!$E$4:$E$47*('Deal Terms'!$G$4:$G$47=0),CM$13:CM$56+CM$60:CM$103))</f>
        <v/>
      </c>
      <c r="CO269" s="392">
        <f>CN109-CO109-CN107-IF(CN$3&lt;5,0,-SUMPRODUCT('Deal Terms'!$E$4:$E$47*('Deal Terms'!$G$4:$G$47=0),CN$13:CN$56+CN$60:CN$103))</f>
        <v/>
      </c>
      <c r="CP269" s="392">
        <f>CO109-CP109-CO107-IF(CO$3&lt;5,0,-SUMPRODUCT('Deal Terms'!$E$4:$E$47*('Deal Terms'!$G$4:$G$47=0),CO$13:CO$56+CO$60:CO$103))</f>
        <v/>
      </c>
      <c r="CQ269" s="392">
        <f>CP109-CQ109-CP107-IF(CP$3&lt;5,0,-SUMPRODUCT('Deal Terms'!$E$4:$E$47*('Deal Terms'!$G$4:$G$47=0),CP$13:CP$56+CP$60:CP$103))</f>
        <v/>
      </c>
      <c r="CR269" s="392">
        <f>CQ109-CR109-CQ107-IF(CQ$3&lt;5,0,-SUMPRODUCT('Deal Terms'!$E$4:$E$47*('Deal Terms'!$G$4:$G$47=0),CQ$13:CQ$56+CQ$60:CQ$103))</f>
        <v/>
      </c>
      <c r="CS269" s="392">
        <f>CR109-CS109-CR107-IF(CR$3&lt;5,0,-SUMPRODUCT('Deal Terms'!$E$4:$E$47*('Deal Terms'!$G$4:$G$47=0),CR$13:CR$56+CR$60:CR$103))</f>
        <v/>
      </c>
      <c r="CT269" s="392">
        <f>CS109-CT109-CS107-IF(CS$3&lt;5,0,-SUMPRODUCT('Deal Terms'!$E$4:$E$47*('Deal Terms'!$G$4:$G$47=0),CS$13:CS$56+CS$60:CS$103))</f>
        <v/>
      </c>
      <c r="CU269" s="392">
        <f>CT109-CU109-CT107-IF(CT$3&lt;5,0,-SUMPRODUCT('Deal Terms'!$E$4:$E$47*('Deal Terms'!$G$4:$G$47=0),CT$13:CT$56+CT$60:CT$103))</f>
        <v/>
      </c>
      <c r="CV269" s="392">
        <f>CU109-CV109-CU107-IF(CU$3&lt;5,0,-SUMPRODUCT('Deal Terms'!$E$4:$E$47*('Deal Terms'!$G$4:$G$47=0),CU$13:CU$56+CU$60:CU$103))</f>
        <v/>
      </c>
      <c r="CW269" s="392">
        <f>CV109-CW109-CV107-IF(CV$3&lt;5,0,-SUMPRODUCT('Deal Terms'!$E$4:$E$47*('Deal Terms'!$G$4:$G$47=0),CV$13:CV$56+CV$60:CV$103))</f>
        <v/>
      </c>
      <c r="CX269" s="392">
        <f>CW109-CX109-CW107-IF(CW$3&lt;5,0,-SUMPRODUCT('Deal Terms'!$E$4:$E$47*('Deal Terms'!$G$4:$G$47=0),CW$13:CW$56+CW$60:CW$103))</f>
        <v/>
      </c>
      <c r="CY269" s="392">
        <f>CX109-CY109-CX107-IF(CX$3&lt;5,0,-SUMPRODUCT('Deal Terms'!$E$4:$E$47*('Deal Terms'!$G$4:$G$47=0),CX$13:CX$56+CX$60:CX$103))</f>
        <v/>
      </c>
      <c r="CZ269" s="392">
        <f>CY109-CZ109-CY107-IF(CY$3&lt;5,0,-SUMPRODUCT('Deal Terms'!$E$4:$E$47*('Deal Terms'!$G$4:$G$47=0),CY$13:CY$56+CY$60:CY$103))</f>
        <v/>
      </c>
      <c r="DA269" s="392">
        <f>CZ109-DA109-CZ107-IF(CZ$3&lt;5,0,-SUMPRODUCT('Deal Terms'!$E$4:$E$47*('Deal Terms'!$G$4:$G$47=0),CZ$13:CZ$56+CZ$60:CZ$103))</f>
        <v/>
      </c>
      <c r="DB269" s="392">
        <f>DA109-DB109-DA107-IF(DA$3&lt;5,0,-SUMPRODUCT('Deal Terms'!$E$4:$E$47*('Deal Terms'!$G$4:$G$47=0),DA$13:DA$56+DA$60:DA$103))</f>
        <v/>
      </c>
      <c r="DC269" s="392">
        <f>DB109-DC109-DB107-IF(DB$3&lt;5,0,-SUMPRODUCT('Deal Terms'!$E$4:$E$47*('Deal Terms'!$G$4:$G$47=0),DB$13:DB$56+DB$60:DB$103))</f>
        <v/>
      </c>
      <c r="DD269" s="392">
        <f>DC109-DD109-DC107-IF(DC$3&lt;5,0,-SUMPRODUCT('Deal Terms'!$E$4:$E$47*('Deal Terms'!$G$4:$G$47=0),DC$13:DC$56+DC$60:DC$103))</f>
        <v/>
      </c>
      <c r="DE269" s="392">
        <f>DD109-DE109-DD107-IF(DD$3&lt;5,0,-SUMPRODUCT('Deal Terms'!$E$4:$E$47*('Deal Terms'!$G$4:$G$47=0),DD$13:DD$56+DD$60:DD$103))</f>
        <v/>
      </c>
    </row>
    <row r="270" ht="15" customFormat="1" customHeight="1" s="380">
      <c r="A270" s="397" t="inlineStr">
        <is>
          <t>LV to Six Peak Liquidating Distribution</t>
        </is>
      </c>
      <c r="B270" s="392" t="n"/>
      <c r="C270" s="392" t="n"/>
      <c r="D270" s="392" t="n"/>
      <c r="E270" s="392" t="n"/>
      <c r="F270" s="392" t="n"/>
      <c r="G270" s="392" t="n"/>
      <c r="H270" s="392" t="n"/>
      <c r="I270" s="392" t="n">
        <v>0</v>
      </c>
      <c r="J270" s="392" t="n"/>
      <c r="K270" s="392" t="n"/>
      <c r="L270" s="392" t="n"/>
      <c r="M270" s="392" t="n"/>
      <c r="N270" s="392" t="n"/>
      <c r="O270" s="392" t="n"/>
      <c r="P270" s="392" t="n"/>
      <c r="Q270" s="392" t="n"/>
      <c r="R270" s="392" t="n"/>
      <c r="S270" s="392" t="n"/>
      <c r="T270" s="392" t="n"/>
      <c r="U270" s="392" t="n"/>
      <c r="V270" s="392" t="n"/>
      <c r="W270" s="392" t="n"/>
      <c r="X270" s="392" t="n"/>
      <c r="Y270" s="392" t="n"/>
      <c r="Z270" s="392" t="n"/>
      <c r="AA270" s="392" t="n"/>
      <c r="AB270" s="392" t="n"/>
      <c r="AC270" s="392" t="n"/>
      <c r="AD270" s="392" t="n"/>
      <c r="AE270" s="392" t="n"/>
      <c r="AF270" s="392" t="n"/>
      <c r="AG270" s="392" t="n"/>
      <c r="AH270" s="392" t="n"/>
      <c r="AI270" s="392" t="n"/>
      <c r="AJ270" s="392" t="n"/>
      <c r="AK270" s="392" t="n"/>
      <c r="AL270" s="392" t="n"/>
      <c r="AM270" s="392" t="n"/>
      <c r="AN270" s="392" t="n"/>
      <c r="AO270" s="392" t="n"/>
      <c r="AP270" s="392" t="n"/>
      <c r="AQ270" s="392" t="n"/>
      <c r="AR270" s="392" t="n"/>
      <c r="AS270" s="392" t="n"/>
      <c r="AT270" s="392" t="n"/>
      <c r="AU270" s="392" t="n"/>
      <c r="AV270" s="392" t="n"/>
      <c r="AW270" s="392" t="n"/>
      <c r="AX270" s="392" t="n"/>
      <c r="AY270" s="392" t="n"/>
      <c r="AZ270" s="392" t="n"/>
      <c r="BA270" s="392" t="n"/>
      <c r="BB270" s="392" t="n"/>
      <c r="BC270" s="392" t="n"/>
      <c r="BD270" s="392" t="n"/>
      <c r="BE270" s="392" t="n"/>
      <c r="BF270" s="392" t="n"/>
      <c r="BG270" s="392" t="n"/>
      <c r="BH270" s="392" t="n"/>
      <c r="BI270" s="392" t="n"/>
      <c r="BJ270" s="392" t="n"/>
      <c r="BK270" s="392" t="n"/>
      <c r="BL270" s="392" t="n"/>
      <c r="BM270" s="392" t="n"/>
      <c r="BN270" s="392" t="n"/>
      <c r="BO270" s="392" t="n"/>
      <c r="BP270" s="392" t="n"/>
      <c r="BQ270" s="392" t="n"/>
      <c r="BR270" s="392" t="n"/>
      <c r="BS270" s="392" t="n"/>
      <c r="BT270" s="392" t="n"/>
      <c r="BU270" s="392" t="n"/>
      <c r="BV270" s="392" t="n"/>
      <c r="BW270" s="392" t="n"/>
      <c r="BX270" s="392" t="n"/>
      <c r="BY270" s="392" t="n"/>
      <c r="BZ270" s="392" t="n"/>
      <c r="CA270" s="392" t="n"/>
      <c r="CB270" s="392" t="n"/>
      <c r="CC270" s="392" t="n"/>
      <c r="CD270" s="392" t="n"/>
      <c r="CE270" s="392" t="n"/>
      <c r="CF270" s="392" t="n"/>
      <c r="CG270" s="392" t="n"/>
      <c r="CH270" s="392" t="n"/>
      <c r="CI270" s="392" t="n"/>
      <c r="CJ270" s="392" t="n"/>
      <c r="CK270" s="392" t="n"/>
      <c r="CL270" s="392" t="n"/>
      <c r="CM270" s="392" t="n"/>
      <c r="CN270" s="392" t="n"/>
      <c r="CO270" s="392" t="n"/>
      <c r="CP270" s="392" t="n"/>
      <c r="CQ270" s="392" t="n"/>
      <c r="CR270" s="392" t="n"/>
      <c r="CS270" s="392" t="n"/>
      <c r="CT270" s="392" t="n"/>
      <c r="CU270" s="392" t="n"/>
      <c r="CV270" s="392" t="n"/>
      <c r="CW270" s="392" t="n"/>
      <c r="CX270" s="392" t="n"/>
      <c r="CY270" s="392" t="n"/>
      <c r="CZ270" s="392" t="n"/>
      <c r="DA270" s="392" t="n"/>
      <c r="DB270" s="392" t="n"/>
      <c r="DC270" s="392" t="n"/>
      <c r="DD270" s="392" t="n"/>
      <c r="DE270" s="392" t="n"/>
    </row>
    <row r="271" ht="15" customFormat="1" customHeight="1" s="380">
      <c r="A271" s="397" t="inlineStr">
        <is>
          <t>LV Retention Withheld</t>
        </is>
      </c>
      <c r="B271" s="392" t="n"/>
      <c r="C271" s="392" t="n"/>
      <c r="D271" s="392" t="n"/>
      <c r="E271" s="392" t="n"/>
      <c r="F271" s="392" t="n"/>
      <c r="G271" s="392" t="n"/>
      <c r="H271" s="392" t="n"/>
      <c r="I271" s="392">
        <f>-0.05*(I10+I11)</f>
        <v/>
      </c>
      <c r="J271" s="392">
        <f>-0.05*(J10+J11)</f>
        <v/>
      </c>
      <c r="K271" s="392">
        <f>-0.05*(K10+K11)</f>
        <v/>
      </c>
      <c r="L271" s="392">
        <f>-0.05*(L10+L11)</f>
        <v/>
      </c>
      <c r="M271" s="392">
        <f>-0.05*(M10+M11)</f>
        <v/>
      </c>
      <c r="N271" s="392">
        <f>-0.05*(N10+N11)</f>
        <v/>
      </c>
      <c r="O271" s="392">
        <f>-0.05*(O10+O11)</f>
        <v/>
      </c>
      <c r="P271" s="392">
        <f>-0.05*(P10+P11)</f>
        <v/>
      </c>
      <c r="Q271" s="392">
        <f>-0.05*(Q10+Q11)</f>
        <v/>
      </c>
      <c r="R271" s="392">
        <f>-0.05*(R10+R11)</f>
        <v/>
      </c>
      <c r="S271" s="392">
        <f>-0.05*(S10+S11)</f>
        <v/>
      </c>
      <c r="T271" s="392">
        <f>-0.05*(T10+T11)</f>
        <v/>
      </c>
      <c r="U271" s="392">
        <f>-0.05*(U10+U11)</f>
        <v/>
      </c>
      <c r="V271" s="392">
        <f>-0.05*(V10+V11)</f>
        <v/>
      </c>
      <c r="W271" s="392">
        <f>-0.05*(W10+W11)</f>
        <v/>
      </c>
      <c r="X271" s="392">
        <f>-0.05*(X10+X11)</f>
        <v/>
      </c>
      <c r="Y271" s="392">
        <f>-0.05*(Y10+Y11)</f>
        <v/>
      </c>
      <c r="Z271" s="392">
        <f>-0.05*(Z10+Z11)</f>
        <v/>
      </c>
      <c r="AA271" s="392">
        <f>-0.05*(AA10+AA11)</f>
        <v/>
      </c>
      <c r="AB271" s="392">
        <f>-0.05*(AB10+AB11)</f>
        <v/>
      </c>
      <c r="AC271" s="392">
        <f>-0.05*(AC10+AC11)</f>
        <v/>
      </c>
      <c r="AD271" s="392">
        <f>-0.05*(AD10+AD11)</f>
        <v/>
      </c>
      <c r="AE271" s="392">
        <f>-0.05*(AE10+AE11)</f>
        <v/>
      </c>
      <c r="AF271" s="392">
        <f>-0.05*(AF10+AF11)</f>
        <v/>
      </c>
      <c r="AG271" s="392">
        <f>-0.05*(AG10+AG11)</f>
        <v/>
      </c>
      <c r="AH271" s="392">
        <f>-0.05*(AH10+AH11)</f>
        <v/>
      </c>
      <c r="AI271" s="392">
        <f>-0.05*(AI10+AI11)</f>
        <v/>
      </c>
      <c r="AJ271" s="392">
        <f>-0.05*(AJ10+AJ11)</f>
        <v/>
      </c>
      <c r="AK271" s="392">
        <f>-0.05*(AK10+AK11)</f>
        <v/>
      </c>
      <c r="AL271" s="392">
        <f>-0.05*(AL10+AL11)</f>
        <v/>
      </c>
      <c r="AM271" s="392">
        <f>-0.05*(AM10+AM11)</f>
        <v/>
      </c>
      <c r="AN271" s="392">
        <f>-0.05*(AN10+AN11)</f>
        <v/>
      </c>
      <c r="AO271" s="392">
        <f>-0.05*(AO10+AO11)</f>
        <v/>
      </c>
      <c r="AP271" s="392">
        <f>-0.05*(AP10+AP11)</f>
        <v/>
      </c>
      <c r="AQ271" s="392">
        <f>-0.05*(AQ10+AQ11)</f>
        <v/>
      </c>
      <c r="AR271" s="392">
        <f>-0.05*(AR10+AR11)</f>
        <v/>
      </c>
      <c r="AS271" s="392">
        <f>-0.05*(AS10+AS11)</f>
        <v/>
      </c>
      <c r="AT271" s="392">
        <f>-0.05*(AT10+AT11)</f>
        <v/>
      </c>
      <c r="AU271" s="392">
        <f>-0.05*(AU10+AU11)</f>
        <v/>
      </c>
      <c r="AV271" s="392">
        <f>-0.05*(AV10+AV11)</f>
        <v/>
      </c>
      <c r="AW271" s="392">
        <f>-0.05*(AW10+AW11)</f>
        <v/>
      </c>
      <c r="AX271" s="392">
        <f>-0.05*(AX10+AX11)</f>
        <v/>
      </c>
      <c r="AY271" s="392">
        <f>-0.05*(AY10+AY11)</f>
        <v/>
      </c>
      <c r="AZ271" s="392">
        <f>-0.05*(AZ10+AZ11)</f>
        <v/>
      </c>
      <c r="BA271" s="392">
        <f>-0.05*(BA10+BA11)</f>
        <v/>
      </c>
      <c r="BB271" s="392">
        <f>-0.05*(BB10+BB11)</f>
        <v/>
      </c>
      <c r="BC271" s="392">
        <f>-0.05*(BC10+BC11)</f>
        <v/>
      </c>
      <c r="BD271" s="392">
        <f>-0.05*(BD10+BD11)</f>
        <v/>
      </c>
      <c r="BE271" s="392">
        <f>-0.05*(BE10+BE11)</f>
        <v/>
      </c>
      <c r="BF271" s="392">
        <f>-0.05*(BF10+BF11)</f>
        <v/>
      </c>
      <c r="BG271" s="392">
        <f>-0.05*(BG10+BG11)</f>
        <v/>
      </c>
      <c r="BH271" s="392">
        <f>-0.05*(BH10+BH11)</f>
        <v/>
      </c>
      <c r="BI271" s="392">
        <f>-0.05*(BI10+BI11)</f>
        <v/>
      </c>
      <c r="BJ271" s="392">
        <f>-0.05*(BJ10+BJ11)</f>
        <v/>
      </c>
      <c r="BK271" s="392">
        <f>-0.05*(BK10+BK11)</f>
        <v/>
      </c>
      <c r="BL271" s="392">
        <f>-0.05*(BL10+BL11)</f>
        <v/>
      </c>
      <c r="BM271" s="392">
        <f>-0.05*(BM10+BM11)</f>
        <v/>
      </c>
      <c r="BN271" s="392">
        <f>-0.05*(BN10+BN11)</f>
        <v/>
      </c>
      <c r="BO271" s="392">
        <f>-0.05*(BO10+BO11)</f>
        <v/>
      </c>
      <c r="BP271" s="392">
        <f>-0.05*(BP10+BP11)</f>
        <v/>
      </c>
      <c r="BQ271" s="392">
        <f>-0.05*(BQ10+BQ11)</f>
        <v/>
      </c>
      <c r="BR271" s="392">
        <f>-0.05*(BR10+BR11)</f>
        <v/>
      </c>
      <c r="BS271" s="392">
        <f>-0.05*(BS10+BS11)</f>
        <v/>
      </c>
      <c r="BT271" s="392">
        <f>-0.05*(BT10+BT11)</f>
        <v/>
      </c>
      <c r="BU271" s="392">
        <f>-0.05*(BU10+BU11)</f>
        <v/>
      </c>
      <c r="BV271" s="392">
        <f>-0.05*(BV10+BV11)</f>
        <v/>
      </c>
      <c r="BW271" s="392">
        <f>-0.05*(BW10+BW11)</f>
        <v/>
      </c>
      <c r="BX271" s="392">
        <f>-0.05*(BX10+BX11)</f>
        <v/>
      </c>
      <c r="BY271" s="392">
        <f>-0.05*(BY10+BY11)</f>
        <v/>
      </c>
      <c r="BZ271" s="392">
        <f>-0.05*(BZ10+BZ11)</f>
        <v/>
      </c>
      <c r="CA271" s="392">
        <f>-0.05*(CA10+CA11)</f>
        <v/>
      </c>
      <c r="CB271" s="392">
        <f>-0.05*(CB10+CB11)</f>
        <v/>
      </c>
      <c r="CC271" s="392">
        <f>-0.05*(CC10+CC11)</f>
        <v/>
      </c>
      <c r="CD271" s="392">
        <f>-0.05*(CD10+CD11)</f>
        <v/>
      </c>
      <c r="CE271" s="392">
        <f>-0.05*(CE10+CE11)</f>
        <v/>
      </c>
      <c r="CF271" s="392">
        <f>-0.05*(CF10+CF11)</f>
        <v/>
      </c>
      <c r="CG271" s="392">
        <f>-0.05*(CG10+CG11)</f>
        <v/>
      </c>
      <c r="CH271" s="392">
        <f>-0.05*(CH10+CH11)</f>
        <v/>
      </c>
      <c r="CI271" s="392">
        <f>-0.05*(CI10+CI11)</f>
        <v/>
      </c>
      <c r="CJ271" s="392">
        <f>-0.05*(CJ10+CJ11)</f>
        <v/>
      </c>
      <c r="CK271" s="392">
        <f>-0.05*(CK10+CK11)</f>
        <v/>
      </c>
      <c r="CL271" s="392">
        <f>-0.05*(CL10+CL11)</f>
        <v/>
      </c>
      <c r="CM271" s="392">
        <f>-0.05*(CM10+CM11)</f>
        <v/>
      </c>
      <c r="CN271" s="392">
        <f>-0.05*(CN10+CN11)</f>
        <v/>
      </c>
      <c r="CO271" s="392">
        <f>-0.05*(CO10+CO11)</f>
        <v/>
      </c>
      <c r="CP271" s="392">
        <f>-0.05*(CP10+CP11)</f>
        <v/>
      </c>
      <c r="CQ271" s="392">
        <f>-0.05*(CQ10+CQ11)</f>
        <v/>
      </c>
      <c r="CR271" s="392">
        <f>-0.05*(CR10+CR11)</f>
        <v/>
      </c>
      <c r="CS271" s="392">
        <f>-0.05*(CS10+CS11)</f>
        <v/>
      </c>
      <c r="CT271" s="392">
        <f>-0.05*(CT10+CT11)</f>
        <v/>
      </c>
      <c r="CU271" s="392">
        <f>-0.05*(CU10+CU11)</f>
        <v/>
      </c>
      <c r="CV271" s="392">
        <f>-0.05*(CV10+CV11)</f>
        <v/>
      </c>
      <c r="CW271" s="392">
        <f>-0.05*(CW10+CW11)</f>
        <v/>
      </c>
      <c r="CX271" s="392">
        <f>-0.05*(CX10+CX11)</f>
        <v/>
      </c>
      <c r="CY271" s="392">
        <f>-0.05*(CY10+CY11)</f>
        <v/>
      </c>
      <c r="CZ271" s="392">
        <f>-0.05*(CZ10+CZ11)</f>
        <v/>
      </c>
      <c r="DA271" s="392">
        <f>-0.05*(DA10+DA11)</f>
        <v/>
      </c>
      <c r="DB271" s="392">
        <f>-0.05*(DB10+DB11)</f>
        <v/>
      </c>
      <c r="DC271" s="392">
        <f>-0.05*(DC10+DC11)</f>
        <v/>
      </c>
      <c r="DD271" s="392">
        <f>-0.05*(DD10+DD11)</f>
        <v/>
      </c>
      <c r="DE271" s="392">
        <f>-0.05*(DE10+DE11)</f>
        <v/>
      </c>
    </row>
    <row r="272" ht="15" customFormat="1" customHeight="1" s="380">
      <c r="A272" s="397" t="inlineStr">
        <is>
          <t>LV Retention Collected</t>
        </is>
      </c>
      <c r="B272" s="392" t="n"/>
      <c r="C272" s="392" t="n"/>
      <c r="D272" s="392" t="n"/>
      <c r="E272" s="392" t="n"/>
      <c r="F272" s="392" t="n"/>
      <c r="G272" s="392" t="n"/>
      <c r="H272" s="392" t="n"/>
      <c r="I272" s="392">
        <f>SUMIFS(Retention!$E$2:$E$44,Retention!$F$2:$F$44,I$3)</f>
        <v/>
      </c>
      <c r="J272" s="392">
        <f>SUMIFS(Retention!$E$2:$E$44,Retention!$F$2:$F$44,J$3)</f>
        <v/>
      </c>
      <c r="K272" s="392">
        <f>SUMIFS(Retention!$E$2:$E$44,Retention!$F$2:$F$44,K$3)</f>
        <v/>
      </c>
      <c r="L272" s="392">
        <f>SUMIFS(Retention!$E$2:$E$44,Retention!$F$2:$F$44,L$3)</f>
        <v/>
      </c>
      <c r="M272" s="392">
        <f>SUMIFS(Retention!$E$2:$E$44,Retention!$F$2:$F$44,M$3)</f>
        <v/>
      </c>
      <c r="N272" s="392">
        <f>SUMIFS(Retention!$E$2:$E$44,Retention!$F$2:$F$44,N$3)</f>
        <v/>
      </c>
      <c r="O272" s="392">
        <f>SUMIFS(Retention!$E$2:$E$44,Retention!$F$2:$F$44,O$3)</f>
        <v/>
      </c>
      <c r="P272" s="392">
        <f>SUMIFS(Retention!$E$2:$E$44,Retention!$F$2:$F$44,P$3)</f>
        <v/>
      </c>
      <c r="Q272" s="392">
        <f>SUMIFS(Retention!$E$2:$E$44,Retention!$F$2:$F$44,Q$3)</f>
        <v/>
      </c>
      <c r="R272" s="392">
        <f>SUMIFS(Retention!$E$2:$E$44,Retention!$F$2:$F$44,R$3)</f>
        <v/>
      </c>
      <c r="S272" s="392">
        <f>SUMIFS(Retention!$E$2:$E$44,Retention!$F$2:$F$44,S$3)</f>
        <v/>
      </c>
      <c r="T272" s="392">
        <f>SUMIFS(Retention!$E$2:$E$44,Retention!$F$2:$F$44,T$3)</f>
        <v/>
      </c>
      <c r="U272" s="392">
        <f>SUMIFS(Retention!$E$2:$E$44,Retention!$F$2:$F$44,U$3)</f>
        <v/>
      </c>
      <c r="V272" s="392">
        <f>SUMIFS(Retention!$E$2:$E$44,Retention!$F$2:$F$44,V$3)</f>
        <v/>
      </c>
      <c r="W272" s="392">
        <f>SUMIFS(Retention!$E$2:$E$44,Retention!$F$2:$F$44,W$3)</f>
        <v/>
      </c>
      <c r="X272" s="392">
        <f>SUMIFS(Retention!$E$2:$E$44,Retention!$F$2:$F$44,X$3)</f>
        <v/>
      </c>
      <c r="Y272" s="392">
        <f>SUMIFS(Retention!$E$2:$E$44,Retention!$F$2:$F$44,Y$3)</f>
        <v/>
      </c>
      <c r="Z272" s="392">
        <f>SUMIFS(Retention!$E$2:$E$44,Retention!$F$2:$F$44,Z$3)</f>
        <v/>
      </c>
      <c r="AA272" s="392">
        <f>SUMIFS(Retention!$E$2:$E$44,Retention!$F$2:$F$44,AA$3)</f>
        <v/>
      </c>
      <c r="AB272" s="392">
        <f>SUMIFS(Retention!$E$2:$E$44,Retention!$F$2:$F$44,AB$3)</f>
        <v/>
      </c>
      <c r="AC272" s="392">
        <f>SUMIFS(Retention!$E$2:$E$44,Retention!$F$2:$F$44,AC$3)</f>
        <v/>
      </c>
      <c r="AD272" s="392">
        <f>SUMIFS(Retention!$E$2:$E$44,Retention!$F$2:$F$44,AD$3)</f>
        <v/>
      </c>
      <c r="AE272" s="392">
        <f>SUMIFS(Retention!$E$2:$E$44,Retention!$F$2:$F$44,AE$3)</f>
        <v/>
      </c>
      <c r="AF272" s="392">
        <f>SUMIFS(Retention!$E$2:$E$44,Retention!$F$2:$F$44,AF$3)</f>
        <v/>
      </c>
      <c r="AG272" s="392">
        <f>SUMIFS(Retention!$E$2:$E$44,Retention!$F$2:$F$44,AG$3)</f>
        <v/>
      </c>
      <c r="AH272" s="392">
        <f>SUMIFS(Retention!$E$2:$E$44,Retention!$F$2:$F$44,AH$3)</f>
        <v/>
      </c>
      <c r="AI272" s="392">
        <f>SUMIFS(Retention!$E$2:$E$44,Retention!$F$2:$F$44,AI$3)</f>
        <v/>
      </c>
      <c r="AJ272" s="392">
        <f>SUMIFS(Retention!$E$2:$E$44,Retention!$F$2:$F$44,AJ$3)</f>
        <v/>
      </c>
      <c r="AK272" s="392">
        <f>SUMIFS(Retention!$E$2:$E$44,Retention!$F$2:$F$44,AK$3)</f>
        <v/>
      </c>
      <c r="AL272" s="392">
        <f>SUMIFS(Retention!$E$2:$E$44,Retention!$F$2:$F$44,AL$3)</f>
        <v/>
      </c>
      <c r="AM272" s="392">
        <f>SUMIFS(Retention!$E$2:$E$44,Retention!$F$2:$F$44,AM$3)</f>
        <v/>
      </c>
      <c r="AN272" s="392">
        <f>SUMIFS(Retention!$E$2:$E$44,Retention!$F$2:$F$44,AN$3)</f>
        <v/>
      </c>
      <c r="AO272" s="392">
        <f>SUMIFS(Retention!$E$2:$E$44,Retention!$F$2:$F$44,AO$3)</f>
        <v/>
      </c>
      <c r="AP272" s="392">
        <f>SUMIFS(Retention!$E$2:$E$44,Retention!$F$2:$F$44,AP$3)</f>
        <v/>
      </c>
      <c r="AQ272" s="392">
        <f>SUMIFS(Retention!$E$2:$E$44,Retention!$F$2:$F$44,AQ$3)</f>
        <v/>
      </c>
      <c r="AR272" s="392">
        <f>SUMIFS(Retention!$E$2:$E$44,Retention!$F$2:$F$44,AR$3)</f>
        <v/>
      </c>
      <c r="AS272" s="392">
        <f>SUMIFS(Retention!$E$2:$E$44,Retention!$F$2:$F$44,AS$3)</f>
        <v/>
      </c>
      <c r="AT272" s="392">
        <f>SUMIFS(Retention!$E$2:$E$44,Retention!$F$2:$F$44,AT$3)</f>
        <v/>
      </c>
      <c r="AU272" s="392">
        <f>SUMIFS(Retention!$E$2:$E$44,Retention!$F$2:$F$44,AU$3)</f>
        <v/>
      </c>
      <c r="AV272" s="392">
        <f>SUMIFS(Retention!$E$2:$E$44,Retention!$F$2:$F$44,AV$3)</f>
        <v/>
      </c>
      <c r="AW272" s="392">
        <f>SUMIFS(Retention!$E$2:$E$44,Retention!$F$2:$F$44,AW$3)</f>
        <v/>
      </c>
      <c r="AX272" s="392">
        <f>SUMIFS(Retention!$E$2:$E$44,Retention!$F$2:$F$44,AX$3)</f>
        <v/>
      </c>
      <c r="AY272" s="392">
        <f>SUMIFS(Retention!$E$2:$E$44,Retention!$F$2:$F$44,AY$3)</f>
        <v/>
      </c>
      <c r="AZ272" s="392">
        <f>SUMIFS(Retention!$E$2:$E$44,Retention!$F$2:$F$44,AZ$3)</f>
        <v/>
      </c>
      <c r="BA272" s="392">
        <f>SUMIFS(Retention!$E$2:$E$44,Retention!$F$2:$F$44,BA$3)</f>
        <v/>
      </c>
      <c r="BB272" s="392">
        <f>SUMIFS(Retention!$E$2:$E$44,Retention!$F$2:$F$44,BB$3)</f>
        <v/>
      </c>
      <c r="BC272" s="392">
        <f>SUMIFS(Retention!$E$2:$E$44,Retention!$F$2:$F$44,BC$3)</f>
        <v/>
      </c>
      <c r="BD272" s="392">
        <f>SUMIFS(Retention!$E$2:$E$44,Retention!$F$2:$F$44,BD$3)</f>
        <v/>
      </c>
      <c r="BE272" s="392">
        <f>SUMIFS(Retention!$E$2:$E$44,Retention!$F$2:$F$44,BE$3)</f>
        <v/>
      </c>
      <c r="BF272" s="392">
        <f>SUMIFS(Retention!$E$2:$E$44,Retention!$F$2:$F$44,BF$3)</f>
        <v/>
      </c>
      <c r="BG272" s="392">
        <f>SUMIFS(Retention!$E$2:$E$44,Retention!$F$2:$F$44,BG$3)</f>
        <v/>
      </c>
      <c r="BH272" s="392">
        <f>SUMIFS(Retention!$E$2:$E$44,Retention!$F$2:$F$44,BH$3)</f>
        <v/>
      </c>
      <c r="BI272" s="392">
        <f>SUMIFS(Retention!$E$2:$E$44,Retention!$F$2:$F$44,BI$3)</f>
        <v/>
      </c>
      <c r="BJ272" s="392">
        <f>SUMIFS(Retention!$E$2:$E$44,Retention!$F$2:$F$44,BJ$3)</f>
        <v/>
      </c>
      <c r="BK272" s="392">
        <f>SUMIFS(Retention!$E$2:$E$44,Retention!$F$2:$F$44,BK$3)</f>
        <v/>
      </c>
      <c r="BL272" s="392">
        <f>SUMIFS(Retention!$E$2:$E$44,Retention!$F$2:$F$44,BL$3)</f>
        <v/>
      </c>
      <c r="BM272" s="392">
        <f>SUMIFS(Retention!$E$2:$E$44,Retention!$F$2:$F$44,BM$3)</f>
        <v/>
      </c>
      <c r="BN272" s="392">
        <f>SUMIFS(Retention!$E$2:$E$44,Retention!$F$2:$F$44,BN$3)</f>
        <v/>
      </c>
      <c r="BO272" s="392">
        <f>SUMIFS(Retention!$E$2:$E$44,Retention!$F$2:$F$44,BO$3)</f>
        <v/>
      </c>
      <c r="BP272" s="392">
        <f>SUMIFS(Retention!$E$2:$E$44,Retention!$F$2:$F$44,BP$3)</f>
        <v/>
      </c>
      <c r="BQ272" s="392">
        <f>SUMIFS(Retention!$E$2:$E$44,Retention!$F$2:$F$44,BQ$3)</f>
        <v/>
      </c>
      <c r="BR272" s="392">
        <f>SUMIFS(Retention!$E$2:$E$44,Retention!$F$2:$F$44,BR$3)</f>
        <v/>
      </c>
      <c r="BS272" s="392">
        <f>SUMIFS(Retention!$E$2:$E$44,Retention!$F$2:$F$44,BS$3)</f>
        <v/>
      </c>
      <c r="BT272" s="392">
        <f>SUMIFS(Retention!$E$2:$E$44,Retention!$F$2:$F$44,BT$3)</f>
        <v/>
      </c>
      <c r="BU272" s="392">
        <f>SUMIFS(Retention!$E$2:$E$44,Retention!$F$2:$F$44,BU$3)</f>
        <v/>
      </c>
      <c r="BV272" s="392">
        <f>SUMIFS(Retention!$E$2:$E$44,Retention!$F$2:$F$44,BV$3)</f>
        <v/>
      </c>
      <c r="BW272" s="392">
        <f>SUMIFS(Retention!$E$2:$E$44,Retention!$F$2:$F$44,BW$3)</f>
        <v/>
      </c>
      <c r="BX272" s="392">
        <f>SUMIFS(Retention!$E$2:$E$44,Retention!$F$2:$F$44,BX$3)</f>
        <v/>
      </c>
      <c r="BY272" s="392">
        <f>SUMIFS(Retention!$E$2:$E$44,Retention!$F$2:$F$44,BY$3)</f>
        <v/>
      </c>
      <c r="BZ272" s="392">
        <f>SUMIFS(Retention!$E$2:$E$44,Retention!$F$2:$F$44,BZ$3)</f>
        <v/>
      </c>
      <c r="CA272" s="392">
        <f>SUMIFS(Retention!$E$2:$E$44,Retention!$F$2:$F$44,CA$3)</f>
        <v/>
      </c>
      <c r="CB272" s="392">
        <f>SUMIFS(Retention!$E$2:$E$44,Retention!$F$2:$F$44,CB$3)</f>
        <v/>
      </c>
      <c r="CC272" s="392">
        <f>SUMIFS(Retention!$E$2:$E$44,Retention!$F$2:$F$44,CC$3)</f>
        <v/>
      </c>
      <c r="CD272" s="392">
        <f>SUMIFS(Retention!$E$2:$E$44,Retention!$F$2:$F$44,CD$3)</f>
        <v/>
      </c>
      <c r="CE272" s="392">
        <f>SUMIFS(Retention!$E$2:$E$44,Retention!$F$2:$F$44,CE$3)</f>
        <v/>
      </c>
      <c r="CF272" s="392">
        <f>SUMIFS(Retention!$E$2:$E$44,Retention!$F$2:$F$44,CF$3)</f>
        <v/>
      </c>
      <c r="CG272" s="392">
        <f>SUMIFS(Retention!$E$2:$E$44,Retention!$F$2:$F$44,CG$3)</f>
        <v/>
      </c>
      <c r="CH272" s="392">
        <f>SUMIFS(Retention!$E$2:$E$44,Retention!$F$2:$F$44,CH$3)</f>
        <v/>
      </c>
      <c r="CI272" s="392">
        <f>SUMIFS(Retention!$E$2:$E$44,Retention!$F$2:$F$44,CI$3)</f>
        <v/>
      </c>
      <c r="CJ272" s="392">
        <f>SUMIFS(Retention!$E$2:$E$44,Retention!$F$2:$F$44,CJ$3)</f>
        <v/>
      </c>
      <c r="CK272" s="392">
        <f>SUMIFS(Retention!$E$2:$E$44,Retention!$F$2:$F$44,CK$3)</f>
        <v/>
      </c>
      <c r="CL272" s="392">
        <f>SUMIFS(Retention!$E$2:$E$44,Retention!$F$2:$F$44,CL$3)</f>
        <v/>
      </c>
      <c r="CM272" s="392">
        <f>SUMIFS(Retention!$E$2:$E$44,Retention!$F$2:$F$44,CM$3)</f>
        <v/>
      </c>
      <c r="CN272" s="392">
        <f>SUMIFS(Retention!$E$2:$E$44,Retention!$F$2:$F$44,CN$3)</f>
        <v/>
      </c>
      <c r="CO272" s="392">
        <f>SUMIFS(Retention!$E$2:$E$44,Retention!$F$2:$F$44,CO$3)</f>
        <v/>
      </c>
      <c r="CP272" s="392">
        <f>SUMIFS(Retention!$E$2:$E$44,Retention!$F$2:$F$44,CP$3)</f>
        <v/>
      </c>
      <c r="CQ272" s="392">
        <f>SUMIFS(Retention!$E$2:$E$44,Retention!$F$2:$F$44,CQ$3)</f>
        <v/>
      </c>
      <c r="CR272" s="392">
        <f>SUMIFS(Retention!$E$2:$E$44,Retention!$F$2:$F$44,CR$3)</f>
        <v/>
      </c>
      <c r="CS272" s="392">
        <f>SUMIFS(Retention!$E$2:$E$44,Retention!$F$2:$F$44,CS$3)</f>
        <v/>
      </c>
      <c r="CT272" s="392">
        <f>SUMIFS(Retention!$E$2:$E$44,Retention!$F$2:$F$44,CT$3)</f>
        <v/>
      </c>
      <c r="CU272" s="392">
        <f>SUMIFS(Retention!$E$2:$E$44,Retention!$F$2:$F$44,CU$3)</f>
        <v/>
      </c>
      <c r="CV272" s="392">
        <f>SUMIFS(Retention!$E$2:$E$44,Retention!$F$2:$F$44,CV$3)</f>
        <v/>
      </c>
      <c r="CW272" s="392">
        <f>SUMIFS(Retention!$E$2:$E$44,Retention!$F$2:$F$44,CW$3)</f>
        <v/>
      </c>
      <c r="CX272" s="392">
        <f>SUMIFS(Retention!$E$2:$E$44,Retention!$F$2:$F$44,CX$3)</f>
        <v/>
      </c>
      <c r="CY272" s="392">
        <f>SUMIFS(Retention!$E$2:$E$44,Retention!$F$2:$F$44,CY$3)</f>
        <v/>
      </c>
      <c r="CZ272" s="392">
        <f>SUMIFS(Retention!$E$2:$E$44,Retention!$F$2:$F$44,CZ$3)</f>
        <v/>
      </c>
      <c r="DA272" s="392">
        <f>SUMIFS(Retention!$E$2:$E$44,Retention!$F$2:$F$44,DA$3)</f>
        <v/>
      </c>
      <c r="DB272" s="392">
        <f>SUMIFS(Retention!$E$2:$E$44,Retention!$F$2:$F$44,DB$3)</f>
        <v/>
      </c>
      <c r="DC272" s="392">
        <f>SUMIFS(Retention!$E$2:$E$44,Retention!$F$2:$F$44,DC$3)</f>
        <v/>
      </c>
      <c r="DD272" s="392">
        <f>SUMIFS(Retention!$E$2:$E$44,Retention!$F$2:$F$44,DD$3)</f>
        <v/>
      </c>
      <c r="DE272" s="392">
        <f>SUMIFS(Retention!$E$2:$E$44,Retention!$F$2:$F$44,DE$3)</f>
        <v/>
      </c>
    </row>
    <row r="273" ht="15" customFormat="1" customHeight="1" s="380">
      <c r="A273" s="447" t="inlineStr">
        <is>
          <t>LV Ending Cash</t>
        </is>
      </c>
      <c r="B273" s="448" t="n"/>
      <c r="C273" s="448" t="n"/>
      <c r="D273" s="448" t="n"/>
      <c r="E273" s="448" t="n"/>
      <c r="F273" s="448" t="n"/>
      <c r="G273" s="448" t="n"/>
      <c r="H273" s="448" t="n"/>
      <c r="I273" s="448">
        <f>SUM(I265:I272)</f>
        <v/>
      </c>
      <c r="J273" s="448">
        <f>SUM(J265:J272)</f>
        <v/>
      </c>
      <c r="K273" s="448">
        <f>SUM(K265:K272)</f>
        <v/>
      </c>
      <c r="L273" s="448">
        <f>SUM(L265:L272)</f>
        <v/>
      </c>
      <c r="M273" s="448">
        <f>SUM(M265:M272)</f>
        <v/>
      </c>
      <c r="N273" s="448">
        <f>SUM(N265:N272)</f>
        <v/>
      </c>
      <c r="O273" s="448">
        <f>SUM(O265:O272)</f>
        <v/>
      </c>
      <c r="P273" s="448">
        <f>SUM(P265:P272)</f>
        <v/>
      </c>
      <c r="Q273" s="448">
        <f>SUM(Q265:Q272)</f>
        <v/>
      </c>
      <c r="R273" s="448">
        <f>SUM(R265:R272)</f>
        <v/>
      </c>
      <c r="S273" s="448">
        <f>SUM(S265:S272)</f>
        <v/>
      </c>
      <c r="T273" s="448">
        <f>SUM(T265:T272)</f>
        <v/>
      </c>
      <c r="U273" s="448">
        <f>SUM(U265:U272)</f>
        <v/>
      </c>
      <c r="V273" s="448">
        <f>SUM(V265:V272)</f>
        <v/>
      </c>
      <c r="W273" s="448">
        <f>SUM(W265:W272)</f>
        <v/>
      </c>
      <c r="X273" s="448">
        <f>SUM(X265:X272)</f>
        <v/>
      </c>
      <c r="Y273" s="448">
        <f>SUM(Y265:Y272)</f>
        <v/>
      </c>
      <c r="Z273" s="448">
        <f>SUM(Z265:Z272)</f>
        <v/>
      </c>
      <c r="AA273" s="448">
        <f>SUM(AA265:AA272)</f>
        <v/>
      </c>
      <c r="AB273" s="448">
        <f>SUM(AB265:AB272)</f>
        <v/>
      </c>
      <c r="AC273" s="448">
        <f>SUM(AC265:AC272)</f>
        <v/>
      </c>
      <c r="AD273" s="448">
        <f>SUM(AD265:AD272)</f>
        <v/>
      </c>
      <c r="AE273" s="448">
        <f>SUM(AE265:AE272)</f>
        <v/>
      </c>
      <c r="AF273" s="448">
        <f>SUM(AF265:AF272)</f>
        <v/>
      </c>
      <c r="AG273" s="448">
        <f>SUM(AG265:AG272)</f>
        <v/>
      </c>
      <c r="AH273" s="448">
        <f>SUM(AH265:AH272)</f>
        <v/>
      </c>
      <c r="AI273" s="448">
        <f>SUM(AI265:AI272)</f>
        <v/>
      </c>
      <c r="AJ273" s="448">
        <f>SUM(AJ265:AJ272)</f>
        <v/>
      </c>
      <c r="AK273" s="448">
        <f>SUM(AK265:AK272)</f>
        <v/>
      </c>
      <c r="AL273" s="448">
        <f>SUM(AL265:AL272)</f>
        <v/>
      </c>
      <c r="AM273" s="448">
        <f>SUM(AM265:AM272)</f>
        <v/>
      </c>
      <c r="AN273" s="448">
        <f>SUM(AN265:AN272)</f>
        <v/>
      </c>
      <c r="AO273" s="448">
        <f>SUM(AO265:AO272)</f>
        <v/>
      </c>
      <c r="AP273" s="448">
        <f>SUM(AP265:AP272)</f>
        <v/>
      </c>
      <c r="AQ273" s="448">
        <f>SUM(AQ265:AQ272)</f>
        <v/>
      </c>
      <c r="AR273" s="448">
        <f>SUM(AR265:AR272)</f>
        <v/>
      </c>
      <c r="AS273" s="448">
        <f>SUM(AS265:AS272)</f>
        <v/>
      </c>
      <c r="AT273" s="448">
        <f>SUM(AT265:AT272)</f>
        <v/>
      </c>
      <c r="AU273" s="448">
        <f>SUM(AU265:AU272)</f>
        <v/>
      </c>
      <c r="AV273" s="448">
        <f>SUM(AV265:AV272)</f>
        <v/>
      </c>
      <c r="AW273" s="448">
        <f>SUM(AW265:AW272)</f>
        <v/>
      </c>
      <c r="AX273" s="448">
        <f>SUM(AX265:AX272)</f>
        <v/>
      </c>
      <c r="AY273" s="448">
        <f>SUM(AY265:AY272)</f>
        <v/>
      </c>
      <c r="AZ273" s="448">
        <f>SUM(AZ265:AZ272)</f>
        <v/>
      </c>
      <c r="BA273" s="448">
        <f>SUM(BA265:BA272)</f>
        <v/>
      </c>
      <c r="BB273" s="448">
        <f>SUM(BB265:BB272)</f>
        <v/>
      </c>
      <c r="BC273" s="448">
        <f>SUM(BC265:BC272)</f>
        <v/>
      </c>
      <c r="BD273" s="448">
        <f>SUM(BD265:BD272)</f>
        <v/>
      </c>
      <c r="BE273" s="448">
        <f>SUM(BE265:BE272)</f>
        <v/>
      </c>
      <c r="BF273" s="448">
        <f>SUM(BF265:BF272)</f>
        <v/>
      </c>
      <c r="BG273" s="448">
        <f>SUM(BG265:BG272)</f>
        <v/>
      </c>
      <c r="BH273" s="448">
        <f>SUM(BH265:BH272)</f>
        <v/>
      </c>
      <c r="BI273" s="448">
        <f>SUM(BI265:BI272)</f>
        <v/>
      </c>
      <c r="BJ273" s="448">
        <f>SUM(BJ265:BJ272)</f>
        <v/>
      </c>
      <c r="BK273" s="448">
        <f>SUM(BK265:BK272)</f>
        <v/>
      </c>
      <c r="BL273" s="448">
        <f>SUM(BL265:BL272)</f>
        <v/>
      </c>
      <c r="BM273" s="448">
        <f>SUM(BM265:BM272)</f>
        <v/>
      </c>
      <c r="BN273" s="448">
        <f>SUM(BN265:BN272)</f>
        <v/>
      </c>
      <c r="BO273" s="448">
        <f>SUM(BO265:BO272)</f>
        <v/>
      </c>
      <c r="BP273" s="448">
        <f>SUM(BP265:BP272)</f>
        <v/>
      </c>
      <c r="BQ273" s="448">
        <f>SUM(BQ265:BQ272)</f>
        <v/>
      </c>
      <c r="BR273" s="448">
        <f>SUM(BR265:BR272)</f>
        <v/>
      </c>
      <c r="BS273" s="448">
        <f>SUM(BS265:BS272)</f>
        <v/>
      </c>
      <c r="BT273" s="448">
        <f>SUM(BT265:BT272)</f>
        <v/>
      </c>
      <c r="BU273" s="448">
        <f>SUM(BU265:BU272)</f>
        <v/>
      </c>
      <c r="BV273" s="448">
        <f>SUM(BV265:BV272)</f>
        <v/>
      </c>
      <c r="BW273" s="448">
        <f>SUM(BW265:BW272)</f>
        <v/>
      </c>
      <c r="BX273" s="448">
        <f>SUM(BX265:BX272)</f>
        <v/>
      </c>
      <c r="BY273" s="448">
        <f>SUM(BY265:BY272)</f>
        <v/>
      </c>
      <c r="BZ273" s="448">
        <f>SUM(BZ265:BZ272)</f>
        <v/>
      </c>
      <c r="CA273" s="448">
        <f>SUM(CA265:CA272)</f>
        <v/>
      </c>
      <c r="CB273" s="448">
        <f>SUM(CB265:CB272)</f>
        <v/>
      </c>
      <c r="CC273" s="448">
        <f>SUM(CC265:CC272)</f>
        <v/>
      </c>
      <c r="CD273" s="448">
        <f>SUM(CD265:CD272)</f>
        <v/>
      </c>
      <c r="CE273" s="448">
        <f>SUM(CE265:CE272)</f>
        <v/>
      </c>
      <c r="CF273" s="448">
        <f>SUM(CF265:CF272)</f>
        <v/>
      </c>
      <c r="CG273" s="448">
        <f>SUM(CG265:CG272)</f>
        <v/>
      </c>
      <c r="CH273" s="448">
        <f>SUM(CH265:CH272)</f>
        <v/>
      </c>
      <c r="CI273" s="448">
        <f>SUM(CI265:CI272)</f>
        <v/>
      </c>
      <c r="CJ273" s="448">
        <f>SUM(CJ265:CJ272)</f>
        <v/>
      </c>
      <c r="CK273" s="448">
        <f>SUM(CK265:CK272)</f>
        <v/>
      </c>
      <c r="CL273" s="448">
        <f>SUM(CL265:CL272)</f>
        <v/>
      </c>
      <c r="CM273" s="448">
        <f>SUM(CM265:CM272)</f>
        <v/>
      </c>
      <c r="CN273" s="448">
        <f>SUM(CN265:CN272)</f>
        <v/>
      </c>
      <c r="CO273" s="448">
        <f>SUM(CO265:CO272)</f>
        <v/>
      </c>
      <c r="CP273" s="448">
        <f>SUM(CP265:CP272)</f>
        <v/>
      </c>
      <c r="CQ273" s="448">
        <f>SUM(CQ265:CQ272)</f>
        <v/>
      </c>
      <c r="CR273" s="448">
        <f>SUM(CR265:CR272)</f>
        <v/>
      </c>
      <c r="CS273" s="448">
        <f>SUM(CS265:CS272)</f>
        <v/>
      </c>
      <c r="CT273" s="448">
        <f>SUM(CT265:CT272)</f>
        <v/>
      </c>
      <c r="CU273" s="448">
        <f>SUM(CU265:CU272)</f>
        <v/>
      </c>
      <c r="CV273" s="448">
        <f>SUM(CV265:CV272)</f>
        <v/>
      </c>
      <c r="CW273" s="448">
        <f>SUM(CW265:CW272)</f>
        <v/>
      </c>
      <c r="CX273" s="448">
        <f>SUM(CX265:CX272)</f>
        <v/>
      </c>
      <c r="CY273" s="448">
        <f>SUM(CY265:CY272)</f>
        <v/>
      </c>
      <c r="CZ273" s="448">
        <f>SUM(CZ265:CZ272)</f>
        <v/>
      </c>
      <c r="DA273" s="448">
        <f>SUM(DA265:DA272)</f>
        <v/>
      </c>
      <c r="DB273" s="448">
        <f>SUM(DB265:DB272)</f>
        <v/>
      </c>
      <c r="DC273" s="448">
        <f>SUM(DC265:DC272)</f>
        <v/>
      </c>
      <c r="DD273" s="448">
        <f>SUM(DD265:DD272)</f>
        <v/>
      </c>
      <c r="DE273" s="448">
        <f>SUM(DE265:DE272)</f>
        <v/>
      </c>
    </row>
    <row r="274" ht="15" customFormat="1" customHeight="1" s="380">
      <c r="A274" s="382" t="n"/>
      <c r="B274" s="392" t="n"/>
      <c r="C274" s="392" t="n"/>
      <c r="D274" s="392" t="n"/>
      <c r="E274" s="392" t="n"/>
      <c r="F274" s="392" t="n"/>
      <c r="G274" s="392" t="n"/>
      <c r="H274" s="392" t="n"/>
      <c r="I274" s="392" t="n"/>
      <c r="J274" s="392" t="n"/>
      <c r="K274" s="392" t="n"/>
      <c r="L274" s="392" t="n"/>
      <c r="M274" s="392" t="n"/>
      <c r="N274" s="392" t="n"/>
      <c r="O274" s="392" t="n"/>
      <c r="P274" s="392" t="n"/>
      <c r="Q274" s="392" t="n"/>
      <c r="R274" s="392" t="n"/>
      <c r="S274" s="392" t="n"/>
      <c r="T274" s="392" t="n"/>
      <c r="U274" s="392" t="n"/>
      <c r="V274" s="392" t="n"/>
      <c r="W274" s="392" t="n"/>
      <c r="X274" s="392" t="n"/>
      <c r="Y274" s="392" t="n"/>
      <c r="Z274" s="392" t="n"/>
      <c r="AA274" s="392" t="n"/>
      <c r="AB274" s="392" t="n"/>
      <c r="AC274" s="392" t="n"/>
      <c r="AD274" s="392" t="n"/>
      <c r="AE274" s="392" t="n"/>
      <c r="AF274" s="392" t="n"/>
      <c r="AG274" s="392" t="n"/>
      <c r="AH274" s="392" t="n"/>
      <c r="AI274" s="392" t="n"/>
      <c r="AJ274" s="392" t="n"/>
      <c r="AK274" s="392" t="n"/>
      <c r="AL274" s="392" t="n"/>
      <c r="AM274" s="392" t="n"/>
      <c r="AN274" s="392" t="n"/>
      <c r="AO274" s="392" t="n"/>
      <c r="AP274" s="392" t="n"/>
      <c r="AQ274" s="392" t="n"/>
      <c r="AR274" s="392" t="n"/>
      <c r="AS274" s="392" t="n"/>
      <c r="AT274" s="392" t="n"/>
      <c r="AU274" s="392" t="n"/>
      <c r="AV274" s="392" t="n"/>
      <c r="AW274" s="392" t="n"/>
      <c r="AX274" s="392" t="n"/>
      <c r="AY274" s="392" t="n"/>
      <c r="AZ274" s="392" t="n"/>
      <c r="BA274" s="392" t="n"/>
      <c r="BB274" s="392" t="n"/>
      <c r="BC274" s="392" t="n"/>
      <c r="BD274" s="392" t="n"/>
      <c r="BE274" s="392" t="n"/>
      <c r="BF274" s="392" t="n"/>
      <c r="BG274" s="392" t="n"/>
      <c r="BH274" s="392" t="n"/>
      <c r="BI274" s="392" t="n"/>
      <c r="BJ274" s="392" t="n"/>
      <c r="BK274" s="392" t="n"/>
      <c r="BL274" s="392" t="n"/>
      <c r="BM274" s="392" t="n"/>
      <c r="BN274" s="392" t="n"/>
      <c r="BO274" s="392" t="n"/>
      <c r="BP274" s="392" t="n"/>
      <c r="BQ274" s="392" t="n"/>
      <c r="BR274" s="392" t="n"/>
      <c r="BS274" s="392" t="n"/>
      <c r="BT274" s="392" t="n"/>
      <c r="BU274" s="392" t="n"/>
      <c r="BV274" s="392" t="n"/>
      <c r="BW274" s="392" t="n"/>
      <c r="BX274" s="392" t="n"/>
      <c r="BY274" s="392" t="n"/>
      <c r="BZ274" s="392" t="n"/>
      <c r="CA274" s="392" t="n"/>
      <c r="CB274" s="392" t="n"/>
      <c r="CC274" s="392" t="n"/>
      <c r="CD274" s="392" t="n"/>
      <c r="CE274" s="392" t="n"/>
      <c r="CF274" s="392" t="n"/>
      <c r="CG274" s="392" t="n"/>
      <c r="CH274" s="392" t="n"/>
      <c r="CI274" s="392" t="n"/>
      <c r="CJ274" s="392" t="n"/>
      <c r="CK274" s="392" t="n"/>
      <c r="CL274" s="392" t="n"/>
      <c r="CM274" s="392" t="n"/>
      <c r="CN274" s="392" t="n"/>
      <c r="CO274" s="392" t="n"/>
      <c r="CP274" s="392" t="n"/>
      <c r="CQ274" s="392" t="n"/>
      <c r="CR274" s="392" t="n"/>
      <c r="CS274" s="392" t="n"/>
      <c r="CT274" s="392" t="n"/>
      <c r="CU274" s="392" t="n"/>
      <c r="CV274" s="392" t="n"/>
      <c r="CW274" s="392" t="n"/>
      <c r="CX274" s="392" t="n"/>
      <c r="CY274" s="392" t="n"/>
      <c r="CZ274" s="392" t="n"/>
      <c r="DA274" s="392" t="n"/>
      <c r="DB274" s="392" t="n"/>
      <c r="DC274" s="392" t="n"/>
      <c r="DD274" s="392" t="n"/>
      <c r="DE274" s="392" t="n"/>
    </row>
    <row r="275" ht="15" customFormat="1" customHeight="1" s="380">
      <c r="A275" s="402" t="inlineStr">
        <is>
          <t>Six Peak Cash</t>
        </is>
      </c>
      <c r="B275" s="414" t="n"/>
      <c r="C275" s="414" t="n"/>
      <c r="D275" s="414" t="n"/>
      <c r="E275" s="414" t="n"/>
      <c r="F275" s="414" t="n"/>
      <c r="G275" s="414" t="n"/>
      <c r="H275" s="414" t="n"/>
      <c r="I275" s="414" t="n"/>
      <c r="J275" s="414" t="n"/>
      <c r="K275" s="414" t="n"/>
      <c r="L275" s="414" t="n"/>
      <c r="M275" s="414" t="n"/>
      <c r="N275" s="414" t="n"/>
      <c r="O275" s="414" t="n"/>
      <c r="P275" s="414" t="n"/>
      <c r="Q275" s="414" t="n"/>
      <c r="R275" s="414" t="n"/>
      <c r="S275" s="414" t="n"/>
      <c r="T275" s="414" t="n"/>
      <c r="U275" s="414" t="n"/>
      <c r="V275" s="414" t="n"/>
      <c r="W275" s="414" t="n"/>
      <c r="X275" s="414" t="n"/>
      <c r="Y275" s="414" t="n"/>
      <c r="Z275" s="414" t="n"/>
      <c r="AA275" s="414" t="n"/>
      <c r="AB275" s="414" t="n"/>
      <c r="AC275" s="414" t="n"/>
      <c r="AD275" s="414" t="n"/>
      <c r="AE275" s="414" t="n"/>
      <c r="AF275" s="414" t="n"/>
      <c r="AG275" s="414" t="n"/>
      <c r="AH275" s="414" t="n"/>
      <c r="AI275" s="414" t="n"/>
      <c r="AJ275" s="414" t="n"/>
      <c r="AK275" s="414" t="n"/>
      <c r="AL275" s="414" t="n"/>
      <c r="AM275" s="414" t="n"/>
      <c r="AN275" s="414" t="n"/>
      <c r="AO275" s="414" t="n"/>
      <c r="AP275" s="414" t="n"/>
      <c r="AQ275" s="414" t="n"/>
      <c r="AR275" s="414" t="n"/>
      <c r="AS275" s="414" t="n"/>
      <c r="AT275" s="414" t="n"/>
      <c r="AU275" s="414" t="n"/>
      <c r="AV275" s="414" t="n"/>
      <c r="AW275" s="414" t="n"/>
      <c r="AX275" s="414" t="n"/>
      <c r="AY275" s="414" t="n"/>
      <c r="AZ275" s="414" t="n"/>
      <c r="BA275" s="414" t="n"/>
      <c r="BB275" s="414" t="n"/>
      <c r="BC275" s="414" t="n"/>
      <c r="BD275" s="414" t="n"/>
      <c r="BE275" s="414" t="n"/>
      <c r="BF275" s="414" t="n"/>
      <c r="BG275" s="414" t="n"/>
      <c r="BH275" s="414" t="n"/>
      <c r="BI275" s="414" t="n"/>
      <c r="BJ275" s="414" t="n"/>
      <c r="BK275" s="414" t="n"/>
      <c r="BL275" s="414" t="n"/>
      <c r="BM275" s="414" t="n"/>
      <c r="BN275" s="414" t="n"/>
      <c r="BO275" s="414" t="n"/>
      <c r="BP275" s="414" t="n"/>
      <c r="BQ275" s="414" t="n"/>
      <c r="BR275" s="414" t="n"/>
      <c r="BS275" s="414" t="n"/>
      <c r="BT275" s="414" t="n"/>
      <c r="BU275" s="414" t="n"/>
      <c r="BV275" s="414" t="n"/>
      <c r="BW275" s="414" t="n"/>
      <c r="BX275" s="414" t="n"/>
      <c r="BY275" s="414" t="n"/>
      <c r="BZ275" s="414" t="n"/>
      <c r="CA275" s="414" t="n"/>
      <c r="CB275" s="414" t="n"/>
      <c r="CC275" s="414" t="n"/>
      <c r="CD275" s="414" t="n"/>
      <c r="CE275" s="414" t="n"/>
      <c r="CF275" s="414" t="n"/>
      <c r="CG275" s="414" t="n"/>
      <c r="CH275" s="414" t="n"/>
      <c r="CI275" s="414" t="n"/>
      <c r="CJ275" s="414" t="n"/>
      <c r="CK275" s="414" t="n"/>
      <c r="CL275" s="414" t="n"/>
      <c r="CM275" s="414" t="n"/>
      <c r="CN275" s="414" t="n"/>
      <c r="CO275" s="414" t="n"/>
      <c r="CP275" s="414" t="n"/>
      <c r="CQ275" s="414" t="n"/>
      <c r="CR275" s="414" t="n"/>
      <c r="CS275" s="414" t="n"/>
      <c r="CT275" s="414" t="n"/>
      <c r="CU275" s="414" t="n"/>
      <c r="CV275" s="414" t="n"/>
      <c r="CW275" s="414" t="n"/>
      <c r="CX275" s="414" t="n"/>
      <c r="CY275" s="414" t="n"/>
      <c r="CZ275" s="414" t="n"/>
      <c r="DA275" s="414" t="n"/>
      <c r="DB275" s="414" t="n"/>
      <c r="DC275" s="414" t="n"/>
      <c r="DD275" s="414" t="n"/>
      <c r="DE275" s="414" t="n"/>
    </row>
    <row r="276" ht="15" customFormat="1" customHeight="1" s="380">
      <c r="A276" s="397" t="inlineStr">
        <is>
          <t>SP Beginning Cash</t>
        </is>
      </c>
      <c r="B276" s="392" t="n"/>
      <c r="C276" s="392" t="n"/>
      <c r="D276" s="392" t="n"/>
      <c r="E276" s="392" t="n"/>
      <c r="F276" s="392" t="n"/>
      <c r="G276" s="392" t="n"/>
      <c r="H276" s="392" t="n"/>
      <c r="I276" s="392">
        <f>Assumptions!B30</f>
        <v/>
      </c>
      <c r="J276" s="392">
        <f>I281</f>
        <v/>
      </c>
      <c r="K276" s="392">
        <f>J281</f>
        <v/>
      </c>
      <c r="L276" s="392">
        <f>K281</f>
        <v/>
      </c>
      <c r="M276" s="392">
        <f>L281</f>
        <v/>
      </c>
      <c r="N276" s="392">
        <f>M281</f>
        <v/>
      </c>
      <c r="O276" s="392">
        <f>N281</f>
        <v/>
      </c>
      <c r="P276" s="392">
        <f>O281</f>
        <v/>
      </c>
      <c r="Q276" s="392">
        <f>P281</f>
        <v/>
      </c>
      <c r="R276" s="392">
        <f>Q281</f>
        <v/>
      </c>
      <c r="S276" s="392">
        <f>R281</f>
        <v/>
      </c>
      <c r="T276" s="392">
        <f>S281</f>
        <v/>
      </c>
      <c r="U276" s="392">
        <f>T281</f>
        <v/>
      </c>
      <c r="V276" s="392">
        <f>U281</f>
        <v/>
      </c>
      <c r="W276" s="392">
        <f>V281</f>
        <v/>
      </c>
      <c r="X276" s="392">
        <f>W281</f>
        <v/>
      </c>
      <c r="Y276" s="392">
        <f>X281</f>
        <v/>
      </c>
      <c r="Z276" s="392">
        <f>Y281</f>
        <v/>
      </c>
      <c r="AA276" s="392">
        <f>Z281</f>
        <v/>
      </c>
      <c r="AB276" s="392">
        <f>AA281</f>
        <v/>
      </c>
      <c r="AC276" s="392">
        <f>AB281</f>
        <v/>
      </c>
      <c r="AD276" s="392">
        <f>AC281</f>
        <v/>
      </c>
      <c r="AE276" s="392">
        <f>AD281</f>
        <v/>
      </c>
      <c r="AF276" s="392">
        <f>AE281</f>
        <v/>
      </c>
      <c r="AG276" s="392">
        <f>AF281</f>
        <v/>
      </c>
      <c r="AH276" s="392">
        <f>AG281</f>
        <v/>
      </c>
      <c r="AI276" s="392">
        <f>AH281</f>
        <v/>
      </c>
      <c r="AJ276" s="392">
        <f>AI281</f>
        <v/>
      </c>
      <c r="AK276" s="392">
        <f>AJ281</f>
        <v/>
      </c>
      <c r="AL276" s="392">
        <f>AK281</f>
        <v/>
      </c>
      <c r="AM276" s="392">
        <f>AL281</f>
        <v/>
      </c>
      <c r="AN276" s="392">
        <f>AM281</f>
        <v/>
      </c>
      <c r="AO276" s="392">
        <f>AN281</f>
        <v/>
      </c>
      <c r="AP276" s="392">
        <f>AO281</f>
        <v/>
      </c>
      <c r="AQ276" s="392">
        <f>AP281</f>
        <v/>
      </c>
      <c r="AR276" s="392">
        <f>AQ281</f>
        <v/>
      </c>
      <c r="AS276" s="392">
        <f>AR281</f>
        <v/>
      </c>
      <c r="AT276" s="392">
        <f>AS281</f>
        <v/>
      </c>
      <c r="AU276" s="392">
        <f>AT281</f>
        <v/>
      </c>
      <c r="AV276" s="392">
        <f>AU281</f>
        <v/>
      </c>
      <c r="AW276" s="392">
        <f>AV281</f>
        <v/>
      </c>
      <c r="AX276" s="392">
        <f>AW281</f>
        <v/>
      </c>
      <c r="AY276" s="392">
        <f>AX281</f>
        <v/>
      </c>
      <c r="AZ276" s="392">
        <f>AY281</f>
        <v/>
      </c>
      <c r="BA276" s="392">
        <f>AZ281</f>
        <v/>
      </c>
      <c r="BB276" s="392">
        <f>BA281</f>
        <v/>
      </c>
      <c r="BC276" s="392">
        <f>BB281</f>
        <v/>
      </c>
      <c r="BD276" s="392">
        <f>BC281</f>
        <v/>
      </c>
      <c r="BE276" s="392">
        <f>BD281</f>
        <v/>
      </c>
      <c r="BF276" s="392">
        <f>BE281</f>
        <v/>
      </c>
      <c r="BG276" s="392">
        <f>BF281</f>
        <v/>
      </c>
      <c r="BH276" s="392">
        <f>BG281</f>
        <v/>
      </c>
      <c r="BI276" s="392">
        <f>BH281</f>
        <v/>
      </c>
      <c r="BJ276" s="392">
        <f>BI281</f>
        <v/>
      </c>
      <c r="BK276" s="392">
        <f>BJ281</f>
        <v/>
      </c>
      <c r="BL276" s="392">
        <f>BK281</f>
        <v/>
      </c>
      <c r="BM276" s="392">
        <f>BL281</f>
        <v/>
      </c>
      <c r="BN276" s="392">
        <f>BM281</f>
        <v/>
      </c>
      <c r="BO276" s="392">
        <f>BN281</f>
        <v/>
      </c>
      <c r="BP276" s="392">
        <f>BO281</f>
        <v/>
      </c>
      <c r="BQ276" s="392">
        <f>BP281</f>
        <v/>
      </c>
      <c r="BR276" s="392">
        <f>BQ281</f>
        <v/>
      </c>
      <c r="BS276" s="392">
        <f>BR281</f>
        <v/>
      </c>
      <c r="BT276" s="392">
        <f>BS281</f>
        <v/>
      </c>
      <c r="BU276" s="392">
        <f>BT281</f>
        <v/>
      </c>
      <c r="BV276" s="392">
        <f>BU281</f>
        <v/>
      </c>
      <c r="BW276" s="392">
        <f>BV281</f>
        <v/>
      </c>
      <c r="BX276" s="392">
        <f>BW281</f>
        <v/>
      </c>
      <c r="BY276" s="392">
        <f>BX281</f>
        <v/>
      </c>
      <c r="BZ276" s="392">
        <f>BY281</f>
        <v/>
      </c>
      <c r="CA276" s="392">
        <f>BZ281</f>
        <v/>
      </c>
      <c r="CB276" s="392">
        <f>CA281</f>
        <v/>
      </c>
      <c r="CC276" s="392">
        <f>CB281</f>
        <v/>
      </c>
      <c r="CD276" s="392">
        <f>CC281</f>
        <v/>
      </c>
      <c r="CE276" s="392">
        <f>CD281</f>
        <v/>
      </c>
      <c r="CF276" s="392">
        <f>CE281</f>
        <v/>
      </c>
      <c r="CG276" s="392">
        <f>CF281</f>
        <v/>
      </c>
      <c r="CH276" s="392">
        <f>CG281</f>
        <v/>
      </c>
      <c r="CI276" s="392">
        <f>CH281</f>
        <v/>
      </c>
      <c r="CJ276" s="392">
        <f>CI281</f>
        <v/>
      </c>
      <c r="CK276" s="392">
        <f>CJ281</f>
        <v/>
      </c>
      <c r="CL276" s="392">
        <f>CK281</f>
        <v/>
      </c>
      <c r="CM276" s="392">
        <f>CL281</f>
        <v/>
      </c>
      <c r="CN276" s="392">
        <f>CM281</f>
        <v/>
      </c>
      <c r="CO276" s="392">
        <f>CN281</f>
        <v/>
      </c>
      <c r="CP276" s="392">
        <f>CO281</f>
        <v/>
      </c>
      <c r="CQ276" s="392">
        <f>CP281</f>
        <v/>
      </c>
      <c r="CR276" s="392">
        <f>CQ281</f>
        <v/>
      </c>
      <c r="CS276" s="392">
        <f>CR281</f>
        <v/>
      </c>
      <c r="CT276" s="392">
        <f>CS281</f>
        <v/>
      </c>
      <c r="CU276" s="392">
        <f>CT281</f>
        <v/>
      </c>
      <c r="CV276" s="392">
        <f>CU281</f>
        <v/>
      </c>
      <c r="CW276" s="392">
        <f>CV281</f>
        <v/>
      </c>
      <c r="CX276" s="392">
        <f>CW281</f>
        <v/>
      </c>
      <c r="CY276" s="392">
        <f>CX281</f>
        <v/>
      </c>
      <c r="CZ276" s="392">
        <f>CY281</f>
        <v/>
      </c>
      <c r="DA276" s="392">
        <f>CZ281</f>
        <v/>
      </c>
      <c r="DB276" s="392">
        <f>DA281</f>
        <v/>
      </c>
      <c r="DC276" s="392">
        <f>DB281</f>
        <v/>
      </c>
      <c r="DD276" s="392">
        <f>DC281</f>
        <v/>
      </c>
      <c r="DE276" s="392">
        <f>DD281</f>
        <v/>
      </c>
    </row>
    <row r="277" ht="15" customFormat="1" customHeight="1" s="380">
      <c r="A277" s="397" t="inlineStr">
        <is>
          <t>SP Net Cash Flow (excl. non-cash revenue)</t>
        </is>
      </c>
      <c r="B277" s="392" t="n"/>
      <c r="C277" s="392" t="n"/>
      <c r="D277" s="392" t="n"/>
      <c r="E277" s="392" t="n"/>
      <c r="F277" s="392" t="n"/>
      <c r="G277" s="392" t="n"/>
      <c r="H277" s="392" t="n"/>
      <c r="I277" s="392">
        <f>I203</f>
        <v/>
      </c>
      <c r="J277" s="392">
        <f>J203</f>
        <v/>
      </c>
      <c r="K277" s="392">
        <f>K203</f>
        <v/>
      </c>
      <c r="L277" s="392">
        <f>L203</f>
        <v/>
      </c>
      <c r="M277" s="392">
        <f>M203</f>
        <v/>
      </c>
      <c r="N277" s="392">
        <f>N203</f>
        <v/>
      </c>
      <c r="O277" s="392">
        <f>O203</f>
        <v/>
      </c>
      <c r="P277" s="392">
        <f>P203</f>
        <v/>
      </c>
      <c r="Q277" s="392">
        <f>Q203</f>
        <v/>
      </c>
      <c r="R277" s="392">
        <f>R203</f>
        <v/>
      </c>
      <c r="S277" s="392">
        <f>S203</f>
        <v/>
      </c>
      <c r="T277" s="392">
        <f>T203</f>
        <v/>
      </c>
      <c r="U277" s="392">
        <f>U203</f>
        <v/>
      </c>
      <c r="V277" s="392">
        <f>V203</f>
        <v/>
      </c>
      <c r="W277" s="392">
        <f>W203</f>
        <v/>
      </c>
      <c r="X277" s="392">
        <f>X203</f>
        <v/>
      </c>
      <c r="Y277" s="392">
        <f>Y203</f>
        <v/>
      </c>
      <c r="Z277" s="392">
        <f>Z203</f>
        <v/>
      </c>
      <c r="AA277" s="392">
        <f>AA203</f>
        <v/>
      </c>
      <c r="AB277" s="392">
        <f>AB203</f>
        <v/>
      </c>
      <c r="AC277" s="392">
        <f>AC203</f>
        <v/>
      </c>
      <c r="AD277" s="392">
        <f>AD203</f>
        <v/>
      </c>
      <c r="AE277" s="392">
        <f>AE203</f>
        <v/>
      </c>
      <c r="AF277" s="392">
        <f>AF203</f>
        <v/>
      </c>
      <c r="AG277" s="392">
        <f>AG203</f>
        <v/>
      </c>
      <c r="AH277" s="392">
        <f>AH203</f>
        <v/>
      </c>
      <c r="AI277" s="392">
        <f>AI203</f>
        <v/>
      </c>
      <c r="AJ277" s="392">
        <f>AJ203</f>
        <v/>
      </c>
      <c r="AK277" s="392">
        <f>AK203</f>
        <v/>
      </c>
      <c r="AL277" s="392">
        <f>AL203</f>
        <v/>
      </c>
      <c r="AM277" s="392">
        <f>AM203</f>
        <v/>
      </c>
      <c r="AN277" s="392">
        <f>AN203</f>
        <v/>
      </c>
      <c r="AO277" s="392">
        <f>AO203</f>
        <v/>
      </c>
      <c r="AP277" s="392">
        <f>AP203</f>
        <v/>
      </c>
      <c r="AQ277" s="392">
        <f>AQ203</f>
        <v/>
      </c>
      <c r="AR277" s="392">
        <f>AR203</f>
        <v/>
      </c>
      <c r="AS277" s="392">
        <f>AS203</f>
        <v/>
      </c>
      <c r="AT277" s="392">
        <f>AT203</f>
        <v/>
      </c>
      <c r="AU277" s="392">
        <f>AU203</f>
        <v/>
      </c>
      <c r="AV277" s="392">
        <f>AV203</f>
        <v/>
      </c>
      <c r="AW277" s="392">
        <f>AW203</f>
        <v/>
      </c>
      <c r="AX277" s="392">
        <f>AX203</f>
        <v/>
      </c>
      <c r="AY277" s="392">
        <f>AY203</f>
        <v/>
      </c>
      <c r="AZ277" s="392">
        <f>AZ203</f>
        <v/>
      </c>
      <c r="BA277" s="392">
        <f>BA203</f>
        <v/>
      </c>
      <c r="BB277" s="392">
        <f>BB203</f>
        <v/>
      </c>
      <c r="BC277" s="392">
        <f>BC203</f>
        <v/>
      </c>
      <c r="BD277" s="392">
        <f>BD203</f>
        <v/>
      </c>
      <c r="BE277" s="392">
        <f>BE203</f>
        <v/>
      </c>
      <c r="BF277" s="392">
        <f>BF203</f>
        <v/>
      </c>
      <c r="BG277" s="392">
        <f>BG203</f>
        <v/>
      </c>
      <c r="BH277" s="392">
        <f>BH203</f>
        <v/>
      </c>
      <c r="BI277" s="392">
        <f>BI203</f>
        <v/>
      </c>
      <c r="BJ277" s="392">
        <f>BJ203</f>
        <v/>
      </c>
      <c r="BK277" s="392">
        <f>BK203</f>
        <v/>
      </c>
      <c r="BL277" s="392">
        <f>BL203</f>
        <v/>
      </c>
      <c r="BM277" s="392">
        <f>BM203</f>
        <v/>
      </c>
      <c r="BN277" s="392">
        <f>BN203</f>
        <v/>
      </c>
      <c r="BO277" s="392">
        <f>BO203</f>
        <v/>
      </c>
      <c r="BP277" s="392">
        <f>BP203</f>
        <v/>
      </c>
      <c r="BQ277" s="392">
        <f>BQ203</f>
        <v/>
      </c>
      <c r="BR277" s="392">
        <f>BR203</f>
        <v/>
      </c>
      <c r="BS277" s="392">
        <f>BS203</f>
        <v/>
      </c>
      <c r="BT277" s="392">
        <f>BT203</f>
        <v/>
      </c>
      <c r="BU277" s="392">
        <f>BU203</f>
        <v/>
      </c>
      <c r="BV277" s="392">
        <f>BV203</f>
        <v/>
      </c>
      <c r="BW277" s="392">
        <f>BW203</f>
        <v/>
      </c>
      <c r="BX277" s="392">
        <f>BX203</f>
        <v/>
      </c>
      <c r="BY277" s="392">
        <f>BY203</f>
        <v/>
      </c>
      <c r="BZ277" s="392">
        <f>BZ203</f>
        <v/>
      </c>
      <c r="CA277" s="392">
        <f>CA203</f>
        <v/>
      </c>
      <c r="CB277" s="392">
        <f>CB203</f>
        <v/>
      </c>
      <c r="CC277" s="392">
        <f>CC203</f>
        <v/>
      </c>
      <c r="CD277" s="392">
        <f>CD203</f>
        <v/>
      </c>
      <c r="CE277" s="392">
        <f>CE203</f>
        <v/>
      </c>
      <c r="CF277" s="392">
        <f>CF203</f>
        <v/>
      </c>
      <c r="CG277" s="392">
        <f>CG203</f>
        <v/>
      </c>
      <c r="CH277" s="392">
        <f>CH203</f>
        <v/>
      </c>
      <c r="CI277" s="392">
        <f>CI203</f>
        <v/>
      </c>
      <c r="CJ277" s="392">
        <f>CJ203</f>
        <v/>
      </c>
      <c r="CK277" s="392">
        <f>CK203</f>
        <v/>
      </c>
      <c r="CL277" s="392">
        <f>CL203</f>
        <v/>
      </c>
      <c r="CM277" s="392">
        <f>CM203</f>
        <v/>
      </c>
      <c r="CN277" s="392">
        <f>CN203</f>
        <v/>
      </c>
      <c r="CO277" s="392">
        <f>CO203</f>
        <v/>
      </c>
      <c r="CP277" s="392">
        <f>CP203</f>
        <v/>
      </c>
      <c r="CQ277" s="392">
        <f>CQ203</f>
        <v/>
      </c>
      <c r="CR277" s="392">
        <f>CR203</f>
        <v/>
      </c>
      <c r="CS277" s="392">
        <f>CS203</f>
        <v/>
      </c>
      <c r="CT277" s="392">
        <f>CT203</f>
        <v/>
      </c>
      <c r="CU277" s="392">
        <f>CU203</f>
        <v/>
      </c>
      <c r="CV277" s="392">
        <f>CV203</f>
        <v/>
      </c>
      <c r="CW277" s="392">
        <f>CW203</f>
        <v/>
      </c>
      <c r="CX277" s="392">
        <f>CX203</f>
        <v/>
      </c>
      <c r="CY277" s="392">
        <f>CY203</f>
        <v/>
      </c>
      <c r="CZ277" s="392">
        <f>CZ203</f>
        <v/>
      </c>
      <c r="DA277" s="392">
        <f>DA203</f>
        <v/>
      </c>
      <c r="DB277" s="392">
        <f>DB203</f>
        <v/>
      </c>
      <c r="DC277" s="392">
        <f>DC203</f>
        <v/>
      </c>
      <c r="DD277" s="392">
        <f>DD203</f>
        <v/>
      </c>
      <c r="DE277" s="392">
        <f>DE203</f>
        <v/>
      </c>
    </row>
    <row r="278" ht="15" customFormat="1" customHeight="1" s="380">
      <c r="A278" s="397" t="inlineStr">
        <is>
          <t>Debt Facility Payment</t>
        </is>
      </c>
      <c r="B278" s="392" t="n"/>
      <c r="C278" s="392" t="n"/>
      <c r="D278" s="392" t="n"/>
      <c r="E278" s="392" t="n"/>
      <c r="F278" s="392" t="n"/>
      <c r="G278" s="392" t="n"/>
      <c r="H278" s="392" t="n"/>
      <c r="I278" s="392">
        <f>I220</f>
        <v/>
      </c>
      <c r="J278" s="392">
        <f>J220</f>
        <v/>
      </c>
      <c r="K278" s="392">
        <f>K220</f>
        <v/>
      </c>
      <c r="L278" s="392">
        <f>L220</f>
        <v/>
      </c>
      <c r="M278" s="392">
        <f>M220</f>
        <v/>
      </c>
      <c r="N278" s="392">
        <f>N220</f>
        <v/>
      </c>
      <c r="O278" s="392">
        <f>O220</f>
        <v/>
      </c>
      <c r="P278" s="392">
        <f>P220</f>
        <v/>
      </c>
      <c r="Q278" s="392">
        <f>Q220</f>
        <v/>
      </c>
      <c r="R278" s="392">
        <f>R220</f>
        <v/>
      </c>
      <c r="S278" s="392">
        <f>S220</f>
        <v/>
      </c>
      <c r="T278" s="392">
        <f>T220</f>
        <v/>
      </c>
      <c r="U278" s="392">
        <f>U220</f>
        <v/>
      </c>
      <c r="V278" s="392">
        <f>V220</f>
        <v/>
      </c>
      <c r="W278" s="392">
        <f>W220</f>
        <v/>
      </c>
      <c r="X278" s="392">
        <f>X220</f>
        <v/>
      </c>
      <c r="Y278" s="392">
        <f>Y220</f>
        <v/>
      </c>
      <c r="Z278" s="392">
        <f>Z220</f>
        <v/>
      </c>
      <c r="AA278" s="392">
        <f>AA220</f>
        <v/>
      </c>
      <c r="AB278" s="392">
        <f>AB220</f>
        <v/>
      </c>
      <c r="AC278" s="392">
        <f>AC220</f>
        <v/>
      </c>
      <c r="AD278" s="392">
        <f>AD220</f>
        <v/>
      </c>
      <c r="AE278" s="392">
        <f>AE220</f>
        <v/>
      </c>
      <c r="AF278" s="392">
        <f>AF220</f>
        <v/>
      </c>
      <c r="AG278" s="392">
        <f>AG220</f>
        <v/>
      </c>
      <c r="AH278" s="392">
        <f>AH220</f>
        <v/>
      </c>
      <c r="AI278" s="392">
        <f>AI220</f>
        <v/>
      </c>
      <c r="AJ278" s="392">
        <f>AJ220</f>
        <v/>
      </c>
      <c r="AK278" s="392">
        <f>AK220</f>
        <v/>
      </c>
      <c r="AL278" s="392">
        <f>AL220</f>
        <v/>
      </c>
      <c r="AM278" s="392">
        <f>AM220</f>
        <v/>
      </c>
      <c r="AN278" s="392">
        <f>AN220</f>
        <v/>
      </c>
      <c r="AO278" s="392">
        <f>AO220</f>
        <v/>
      </c>
      <c r="AP278" s="392">
        <f>AP220</f>
        <v/>
      </c>
      <c r="AQ278" s="392">
        <f>AQ220</f>
        <v/>
      </c>
      <c r="AR278" s="392">
        <f>AR220</f>
        <v/>
      </c>
      <c r="AS278" s="392">
        <f>AS220</f>
        <v/>
      </c>
      <c r="AT278" s="392">
        <f>AT220</f>
        <v/>
      </c>
      <c r="AU278" s="392">
        <f>AU220</f>
        <v/>
      </c>
      <c r="AV278" s="392">
        <f>AV220</f>
        <v/>
      </c>
      <c r="AW278" s="392">
        <f>AW220</f>
        <v/>
      </c>
      <c r="AX278" s="392">
        <f>AX220</f>
        <v/>
      </c>
      <c r="AY278" s="392">
        <f>AY220</f>
        <v/>
      </c>
      <c r="AZ278" s="392">
        <f>AZ220</f>
        <v/>
      </c>
      <c r="BA278" s="392">
        <f>BA220</f>
        <v/>
      </c>
      <c r="BB278" s="392">
        <f>BB220</f>
        <v/>
      </c>
      <c r="BC278" s="392">
        <f>BC220</f>
        <v/>
      </c>
      <c r="BD278" s="392">
        <f>BD220</f>
        <v/>
      </c>
      <c r="BE278" s="392">
        <f>BE220</f>
        <v/>
      </c>
      <c r="BF278" s="392">
        <f>BF220</f>
        <v/>
      </c>
      <c r="BG278" s="392">
        <f>BG220</f>
        <v/>
      </c>
      <c r="BH278" s="392">
        <f>BH220</f>
        <v/>
      </c>
      <c r="BI278" s="392">
        <f>BI220</f>
        <v/>
      </c>
      <c r="BJ278" s="392">
        <f>BJ220</f>
        <v/>
      </c>
      <c r="BK278" s="392">
        <f>BK220</f>
        <v/>
      </c>
      <c r="BL278" s="392">
        <f>BL220</f>
        <v/>
      </c>
      <c r="BM278" s="392">
        <f>BM220</f>
        <v/>
      </c>
      <c r="BN278" s="392">
        <f>BN220</f>
        <v/>
      </c>
      <c r="BO278" s="392">
        <f>BO220</f>
        <v/>
      </c>
      <c r="BP278" s="392">
        <f>BP220</f>
        <v/>
      </c>
      <c r="BQ278" s="392">
        <f>BQ220</f>
        <v/>
      </c>
      <c r="BR278" s="392">
        <f>BR220</f>
        <v/>
      </c>
      <c r="BS278" s="392">
        <f>BS220</f>
        <v/>
      </c>
      <c r="BT278" s="392">
        <f>BT220</f>
        <v/>
      </c>
      <c r="BU278" s="392">
        <f>BU220</f>
        <v/>
      </c>
      <c r="BV278" s="392">
        <f>BV220</f>
        <v/>
      </c>
      <c r="BW278" s="392">
        <f>BW220</f>
        <v/>
      </c>
      <c r="BX278" s="392">
        <f>BX220</f>
        <v/>
      </c>
      <c r="BY278" s="392">
        <f>BY220</f>
        <v/>
      </c>
      <c r="BZ278" s="392">
        <f>BZ220</f>
        <v/>
      </c>
      <c r="CA278" s="392">
        <f>CA220</f>
        <v/>
      </c>
      <c r="CB278" s="392">
        <f>CB220</f>
        <v/>
      </c>
      <c r="CC278" s="392">
        <f>CC220</f>
        <v/>
      </c>
      <c r="CD278" s="392">
        <f>CD220</f>
        <v/>
      </c>
      <c r="CE278" s="392">
        <f>CE220</f>
        <v/>
      </c>
      <c r="CF278" s="392">
        <f>CF220</f>
        <v/>
      </c>
      <c r="CG278" s="392">
        <f>CG220</f>
        <v/>
      </c>
      <c r="CH278" s="392">
        <f>CH220</f>
        <v/>
      </c>
      <c r="CI278" s="392">
        <f>CI220</f>
        <v/>
      </c>
      <c r="CJ278" s="392">
        <f>CJ220</f>
        <v/>
      </c>
      <c r="CK278" s="392">
        <f>CK220</f>
        <v/>
      </c>
      <c r="CL278" s="392">
        <f>CL220</f>
        <v/>
      </c>
      <c r="CM278" s="392">
        <f>CM220</f>
        <v/>
      </c>
      <c r="CN278" s="392">
        <f>CN220</f>
        <v/>
      </c>
      <c r="CO278" s="392">
        <f>CO220</f>
        <v/>
      </c>
      <c r="CP278" s="392">
        <f>CP220</f>
        <v/>
      </c>
      <c r="CQ278" s="392">
        <f>CQ220</f>
        <v/>
      </c>
      <c r="CR278" s="392">
        <f>CR220</f>
        <v/>
      </c>
      <c r="CS278" s="392">
        <f>CS220</f>
        <v/>
      </c>
      <c r="CT278" s="392">
        <f>CT220</f>
        <v/>
      </c>
      <c r="CU278" s="392">
        <f>CU220</f>
        <v/>
      </c>
      <c r="CV278" s="392">
        <f>CV220</f>
        <v/>
      </c>
      <c r="CW278" s="392">
        <f>CW220</f>
        <v/>
      </c>
      <c r="CX278" s="392">
        <f>CX220</f>
        <v/>
      </c>
      <c r="CY278" s="392">
        <f>CY220</f>
        <v/>
      </c>
      <c r="CZ278" s="392">
        <f>CZ220</f>
        <v/>
      </c>
      <c r="DA278" s="392">
        <f>DA220</f>
        <v/>
      </c>
      <c r="DB278" s="392">
        <f>DB220</f>
        <v/>
      </c>
      <c r="DC278" s="392">
        <f>DC220</f>
        <v/>
      </c>
      <c r="DD278" s="392">
        <f>DD220</f>
        <v/>
      </c>
      <c r="DE278" s="392">
        <f>DE220</f>
        <v/>
      </c>
    </row>
    <row r="279" ht="15" customFormat="1" customHeight="1" s="380">
      <c r="A279" s="397" t="inlineStr">
        <is>
          <t>Row Run Capital Payment</t>
        </is>
      </c>
      <c r="B279" s="392" t="n"/>
      <c r="C279" s="392" t="n"/>
      <c r="D279" s="392" t="n"/>
      <c r="E279" s="392" t="n"/>
      <c r="F279" s="392" t="n"/>
      <c r="G279" s="392" t="n"/>
      <c r="H279" s="392" t="n"/>
      <c r="I279" s="392">
        <f>I226</f>
        <v/>
      </c>
      <c r="J279" s="392">
        <f>J226</f>
        <v/>
      </c>
      <c r="K279" s="392">
        <f>K226</f>
        <v/>
      </c>
      <c r="L279" s="392">
        <f>L226</f>
        <v/>
      </c>
      <c r="M279" s="392">
        <f>M226</f>
        <v/>
      </c>
      <c r="N279" s="392">
        <f>N226</f>
        <v/>
      </c>
      <c r="O279" s="392">
        <f>O226</f>
        <v/>
      </c>
      <c r="P279" s="392">
        <f>P226</f>
        <v/>
      </c>
      <c r="Q279" s="392">
        <f>Q226</f>
        <v/>
      </c>
      <c r="R279" s="392">
        <f>R226</f>
        <v/>
      </c>
      <c r="S279" s="392">
        <f>S226</f>
        <v/>
      </c>
      <c r="T279" s="392">
        <f>T226</f>
        <v/>
      </c>
      <c r="U279" s="392">
        <f>U226</f>
        <v/>
      </c>
      <c r="V279" s="392">
        <f>V226</f>
        <v/>
      </c>
      <c r="W279" s="392">
        <f>W226</f>
        <v/>
      </c>
      <c r="X279" s="392">
        <f>X226</f>
        <v/>
      </c>
      <c r="Y279" s="392">
        <f>Y226</f>
        <v/>
      </c>
      <c r="Z279" s="392">
        <f>Z226</f>
        <v/>
      </c>
      <c r="AA279" s="392">
        <f>AA226</f>
        <v/>
      </c>
      <c r="AB279" s="392">
        <f>AB226</f>
        <v/>
      </c>
      <c r="AC279" s="392">
        <f>AC226</f>
        <v/>
      </c>
      <c r="AD279" s="392">
        <f>AD226</f>
        <v/>
      </c>
      <c r="AE279" s="392">
        <f>AE226</f>
        <v/>
      </c>
      <c r="AF279" s="392">
        <f>AF226</f>
        <v/>
      </c>
      <c r="AG279" s="392">
        <f>AG226</f>
        <v/>
      </c>
      <c r="AH279" s="392">
        <f>AH226</f>
        <v/>
      </c>
      <c r="AI279" s="392">
        <f>AI226</f>
        <v/>
      </c>
      <c r="AJ279" s="392">
        <f>AJ226</f>
        <v/>
      </c>
      <c r="AK279" s="392">
        <f>AK226</f>
        <v/>
      </c>
      <c r="AL279" s="392">
        <f>AL226</f>
        <v/>
      </c>
      <c r="AM279" s="392">
        <f>AM226</f>
        <v/>
      </c>
      <c r="AN279" s="392">
        <f>AN226</f>
        <v/>
      </c>
      <c r="AO279" s="392">
        <f>AO226</f>
        <v/>
      </c>
      <c r="AP279" s="392">
        <f>AP226</f>
        <v/>
      </c>
      <c r="AQ279" s="392">
        <f>AQ226</f>
        <v/>
      </c>
      <c r="AR279" s="392">
        <f>AR226</f>
        <v/>
      </c>
      <c r="AS279" s="392">
        <f>AS226</f>
        <v/>
      </c>
      <c r="AT279" s="392">
        <f>AT226</f>
        <v/>
      </c>
      <c r="AU279" s="392">
        <f>AU226</f>
        <v/>
      </c>
      <c r="AV279" s="392">
        <f>AV226</f>
        <v/>
      </c>
      <c r="AW279" s="392">
        <f>AW226</f>
        <v/>
      </c>
      <c r="AX279" s="392">
        <f>AX226</f>
        <v/>
      </c>
      <c r="AY279" s="392">
        <f>AY226</f>
        <v/>
      </c>
      <c r="AZ279" s="392">
        <f>AZ226</f>
        <v/>
      </c>
      <c r="BA279" s="392">
        <f>BA226</f>
        <v/>
      </c>
      <c r="BB279" s="392">
        <f>BB226</f>
        <v/>
      </c>
      <c r="BC279" s="392">
        <f>BC226</f>
        <v/>
      </c>
      <c r="BD279" s="392">
        <f>BD226</f>
        <v/>
      </c>
      <c r="BE279" s="392">
        <f>BE226</f>
        <v/>
      </c>
      <c r="BF279" s="392">
        <f>BF226</f>
        <v/>
      </c>
      <c r="BG279" s="392">
        <f>BG226</f>
        <v/>
      </c>
      <c r="BH279" s="392">
        <f>BH226</f>
        <v/>
      </c>
      <c r="BI279" s="392">
        <f>BI226</f>
        <v/>
      </c>
      <c r="BJ279" s="392">
        <f>BJ226</f>
        <v/>
      </c>
      <c r="BK279" s="392">
        <f>BK226</f>
        <v/>
      </c>
      <c r="BL279" s="392">
        <f>BL226</f>
        <v/>
      </c>
      <c r="BM279" s="392">
        <f>BM226</f>
        <v/>
      </c>
      <c r="BN279" s="392">
        <f>BN226</f>
        <v/>
      </c>
      <c r="BO279" s="392">
        <f>BO226</f>
        <v/>
      </c>
      <c r="BP279" s="392">
        <f>BP226</f>
        <v/>
      </c>
      <c r="BQ279" s="392">
        <f>BQ226</f>
        <v/>
      </c>
      <c r="BR279" s="392">
        <f>BR226</f>
        <v/>
      </c>
      <c r="BS279" s="392">
        <f>BS226</f>
        <v/>
      </c>
      <c r="BT279" s="392">
        <f>BT226</f>
        <v/>
      </c>
      <c r="BU279" s="392">
        <f>BU226</f>
        <v/>
      </c>
      <c r="BV279" s="392">
        <f>BV226</f>
        <v/>
      </c>
      <c r="BW279" s="392">
        <f>BW226</f>
        <v/>
      </c>
      <c r="BX279" s="392">
        <f>BX226</f>
        <v/>
      </c>
      <c r="BY279" s="392">
        <f>BY226</f>
        <v/>
      </c>
      <c r="BZ279" s="392">
        <f>BZ226</f>
        <v/>
      </c>
      <c r="CA279" s="392">
        <f>CA226</f>
        <v/>
      </c>
      <c r="CB279" s="392">
        <f>CB226</f>
        <v/>
      </c>
      <c r="CC279" s="392">
        <f>CC226</f>
        <v/>
      </c>
      <c r="CD279" s="392">
        <f>CD226</f>
        <v/>
      </c>
      <c r="CE279" s="392">
        <f>CE226</f>
        <v/>
      </c>
      <c r="CF279" s="392">
        <f>CF226</f>
        <v/>
      </c>
      <c r="CG279" s="392">
        <f>CG226</f>
        <v/>
      </c>
      <c r="CH279" s="392">
        <f>CH226</f>
        <v/>
      </c>
      <c r="CI279" s="392">
        <f>CI226</f>
        <v/>
      </c>
      <c r="CJ279" s="392">
        <f>CJ226</f>
        <v/>
      </c>
      <c r="CK279" s="392">
        <f>CK226</f>
        <v/>
      </c>
      <c r="CL279" s="392">
        <f>CL226</f>
        <v/>
      </c>
      <c r="CM279" s="392">
        <f>CM226</f>
        <v/>
      </c>
      <c r="CN279" s="392">
        <f>CN226</f>
        <v/>
      </c>
      <c r="CO279" s="392">
        <f>CO226</f>
        <v/>
      </c>
      <c r="CP279" s="392">
        <f>CP226</f>
        <v/>
      </c>
      <c r="CQ279" s="392">
        <f>CQ226</f>
        <v/>
      </c>
      <c r="CR279" s="392">
        <f>CR226</f>
        <v/>
      </c>
      <c r="CS279" s="392">
        <f>CS226</f>
        <v/>
      </c>
      <c r="CT279" s="392">
        <f>CT226</f>
        <v/>
      </c>
      <c r="CU279" s="392">
        <f>CU226</f>
        <v/>
      </c>
      <c r="CV279" s="392">
        <f>CV226</f>
        <v/>
      </c>
      <c r="CW279" s="392">
        <f>CW226</f>
        <v/>
      </c>
      <c r="CX279" s="392">
        <f>CX226</f>
        <v/>
      </c>
      <c r="CY279" s="392">
        <f>CY226</f>
        <v/>
      </c>
      <c r="CZ279" s="392">
        <f>CZ226</f>
        <v/>
      </c>
      <c r="DA279" s="392">
        <f>DA226</f>
        <v/>
      </c>
      <c r="DB279" s="392">
        <f>DB226</f>
        <v/>
      </c>
      <c r="DC279" s="392">
        <f>DC226</f>
        <v/>
      </c>
      <c r="DD279" s="392">
        <f>DD226</f>
        <v/>
      </c>
      <c r="DE279" s="392">
        <f>DE226</f>
        <v/>
      </c>
    </row>
    <row r="280" ht="15" customFormat="1" customHeight="1" s="380">
      <c r="A280" s="397" t="inlineStr">
        <is>
          <t>PIK Repayment (included in SP Expenses above)</t>
        </is>
      </c>
      <c r="B280" s="392" t="n"/>
      <c r="C280" s="392" t="n"/>
      <c r="D280" s="392" t="n"/>
      <c r="E280" s="392" t="n"/>
      <c r="F280" s="392" t="n"/>
      <c r="G280" s="392" t="n"/>
      <c r="H280" s="392" t="n"/>
      <c r="I280" s="392" t="n">
        <v>0</v>
      </c>
      <c r="J280" s="392" t="n">
        <v>0</v>
      </c>
      <c r="K280" s="392" t="n">
        <v>0</v>
      </c>
      <c r="L280" s="392" t="n">
        <v>0</v>
      </c>
      <c r="M280" s="392" t="n">
        <v>0</v>
      </c>
      <c r="N280" s="392" t="n">
        <v>0</v>
      </c>
      <c r="O280" s="392" t="n">
        <v>0</v>
      </c>
      <c r="P280" s="392" t="n">
        <v>0</v>
      </c>
      <c r="Q280" s="392" t="n">
        <v>0</v>
      </c>
      <c r="R280" s="392" t="n">
        <v>0</v>
      </c>
      <c r="S280" s="392" t="n">
        <v>0</v>
      </c>
      <c r="T280" s="392" t="n">
        <v>0</v>
      </c>
      <c r="U280" s="392" t="n">
        <v>0</v>
      </c>
      <c r="V280" s="392" t="n">
        <v>0</v>
      </c>
      <c r="W280" s="392" t="n">
        <v>0</v>
      </c>
      <c r="X280" s="392" t="n">
        <v>0</v>
      </c>
      <c r="Y280" s="392" t="n">
        <v>0</v>
      </c>
      <c r="Z280" s="392" t="n">
        <v>0</v>
      </c>
      <c r="AA280" s="392" t="n">
        <v>0</v>
      </c>
      <c r="AB280" s="392" t="n">
        <v>0</v>
      </c>
      <c r="AC280" s="392" t="n">
        <v>0</v>
      </c>
      <c r="AD280" s="392" t="n">
        <v>0</v>
      </c>
      <c r="AE280" s="392" t="n">
        <v>0</v>
      </c>
      <c r="AF280" s="392" t="n">
        <v>0</v>
      </c>
      <c r="AG280" s="392" t="n">
        <v>0</v>
      </c>
      <c r="AH280" s="392" t="n">
        <v>0</v>
      </c>
      <c r="AI280" s="392" t="n">
        <v>0</v>
      </c>
      <c r="AJ280" s="392" t="n">
        <v>0</v>
      </c>
      <c r="AK280" s="392" t="n">
        <v>0</v>
      </c>
      <c r="AL280" s="392" t="n">
        <v>0</v>
      </c>
      <c r="AM280" s="392" t="n">
        <v>0</v>
      </c>
      <c r="AN280" s="392" t="n">
        <v>0</v>
      </c>
      <c r="AO280" s="392" t="n">
        <v>0</v>
      </c>
      <c r="AP280" s="392" t="n">
        <v>0</v>
      </c>
      <c r="AQ280" s="392" t="n">
        <v>0</v>
      </c>
      <c r="AR280" s="392" t="n">
        <v>0</v>
      </c>
      <c r="AS280" s="392" t="n">
        <v>0</v>
      </c>
      <c r="AT280" s="392" t="n">
        <v>0</v>
      </c>
      <c r="AU280" s="392" t="n">
        <v>0</v>
      </c>
      <c r="AV280" s="392" t="n">
        <v>0</v>
      </c>
      <c r="AW280" s="392" t="n">
        <v>0</v>
      </c>
      <c r="AX280" s="392" t="n">
        <v>0</v>
      </c>
      <c r="AY280" s="392" t="n">
        <v>0</v>
      </c>
      <c r="AZ280" s="392" t="n">
        <v>0</v>
      </c>
      <c r="BA280" s="392" t="n">
        <v>0</v>
      </c>
      <c r="BB280" s="392" t="n">
        <v>0</v>
      </c>
      <c r="BC280" s="392" t="n">
        <v>0</v>
      </c>
      <c r="BD280" s="392" t="n">
        <v>0</v>
      </c>
      <c r="BE280" s="392" t="n">
        <v>0</v>
      </c>
      <c r="BF280" s="392" t="n">
        <v>0</v>
      </c>
      <c r="BG280" s="392" t="n">
        <v>0</v>
      </c>
      <c r="BH280" s="392" t="n">
        <v>0</v>
      </c>
      <c r="BI280" s="392" t="n">
        <v>0</v>
      </c>
      <c r="BJ280" s="392" t="n">
        <v>0</v>
      </c>
      <c r="BK280" s="392" t="n">
        <v>0</v>
      </c>
      <c r="BL280" s="392" t="n">
        <v>0</v>
      </c>
      <c r="BM280" s="392" t="n">
        <v>0</v>
      </c>
      <c r="BN280" s="392" t="n">
        <v>0</v>
      </c>
      <c r="BO280" s="392" t="n">
        <v>0</v>
      </c>
      <c r="BP280" s="392" t="n">
        <v>0</v>
      </c>
      <c r="BQ280" s="392" t="n">
        <v>0</v>
      </c>
      <c r="BR280" s="392" t="n">
        <v>0</v>
      </c>
      <c r="BS280" s="392" t="n">
        <v>0</v>
      </c>
      <c r="BT280" s="392" t="n">
        <v>0</v>
      </c>
      <c r="BU280" s="392" t="n">
        <v>0</v>
      </c>
      <c r="BV280" s="392" t="n">
        <v>0</v>
      </c>
      <c r="BW280" s="392" t="n">
        <v>0</v>
      </c>
      <c r="BX280" s="392" t="n">
        <v>0</v>
      </c>
      <c r="BY280" s="392" t="n">
        <v>0</v>
      </c>
      <c r="BZ280" s="392" t="n">
        <v>0</v>
      </c>
      <c r="CA280" s="392" t="n">
        <v>0</v>
      </c>
      <c r="CB280" s="392" t="n">
        <v>0</v>
      </c>
      <c r="CC280" s="392" t="n">
        <v>0</v>
      </c>
      <c r="CD280" s="392" t="n">
        <v>0</v>
      </c>
      <c r="CE280" s="392" t="n">
        <v>0</v>
      </c>
      <c r="CF280" s="392" t="n">
        <v>0</v>
      </c>
      <c r="CG280" s="392" t="n">
        <v>0</v>
      </c>
      <c r="CH280" s="392" t="n">
        <v>0</v>
      </c>
      <c r="CI280" s="392" t="n">
        <v>0</v>
      </c>
      <c r="CJ280" s="392" t="n">
        <v>0</v>
      </c>
      <c r="CK280" s="392" t="n">
        <v>0</v>
      </c>
      <c r="CL280" s="392" t="n">
        <v>0</v>
      </c>
      <c r="CM280" s="392" t="n">
        <v>0</v>
      </c>
      <c r="CN280" s="392" t="n">
        <v>0</v>
      </c>
      <c r="CO280" s="392" t="n">
        <v>0</v>
      </c>
      <c r="CP280" s="392" t="n">
        <v>0</v>
      </c>
      <c r="CQ280" s="392" t="n">
        <v>0</v>
      </c>
      <c r="CR280" s="392" t="n">
        <v>0</v>
      </c>
      <c r="CS280" s="392" t="n">
        <v>0</v>
      </c>
      <c r="CT280" s="392" t="n"/>
      <c r="CU280" s="392" t="n"/>
      <c r="CV280" s="392" t="n"/>
      <c r="CW280" s="392" t="n"/>
      <c r="CX280" s="392" t="n"/>
      <c r="CY280" s="392" t="n"/>
      <c r="CZ280" s="392" t="n"/>
      <c r="DA280" s="392" t="n"/>
      <c r="DB280" s="392" t="n"/>
      <c r="DC280" s="392" t="n"/>
      <c r="DD280" s="392" t="n"/>
      <c r="DE280" s="392" t="n"/>
    </row>
    <row r="281" ht="15" customFormat="1" customHeight="1" s="380">
      <c r="A281" s="447" t="inlineStr">
        <is>
          <t>SP Ending Cash</t>
        </is>
      </c>
      <c r="B281" s="448" t="n"/>
      <c r="C281" s="448" t="n"/>
      <c r="D281" s="448" t="n"/>
      <c r="E281" s="448" t="n"/>
      <c r="F281" s="448" t="n"/>
      <c r="G281" s="448" t="n"/>
      <c r="H281" s="448" t="n"/>
      <c r="I281" s="448">
        <f>I276+I277+I278+I279+I280</f>
        <v/>
      </c>
      <c r="J281" s="448">
        <f>J276+J277+J278+J279+J280</f>
        <v/>
      </c>
      <c r="K281" s="448">
        <f>K276+K277+K278+K279+K280</f>
        <v/>
      </c>
      <c r="L281" s="448">
        <f>L276+L277+L278+L279+L280</f>
        <v/>
      </c>
      <c r="M281" s="448">
        <f>M276+M277+M278+M279+M280</f>
        <v/>
      </c>
      <c r="N281" s="448">
        <f>N276+N277+N278+N279+N280</f>
        <v/>
      </c>
      <c r="O281" s="448">
        <f>O276+O277+O278+O279+O280</f>
        <v/>
      </c>
      <c r="P281" s="448">
        <f>P276+P277+P278+P279+P280</f>
        <v/>
      </c>
      <c r="Q281" s="448">
        <f>Q276+Q277+Q278+Q279+Q280</f>
        <v/>
      </c>
      <c r="R281" s="448">
        <f>R276+R277+R278+R279+R280</f>
        <v/>
      </c>
      <c r="S281" s="448">
        <f>S276+S277+S278+S279+S280</f>
        <v/>
      </c>
      <c r="T281" s="448">
        <f>T276+T277+T278+T279+T280</f>
        <v/>
      </c>
      <c r="U281" s="448">
        <f>U276+U277+U278+U279+U280</f>
        <v/>
      </c>
      <c r="V281" s="448">
        <f>V276+V277+V278+V279+V280</f>
        <v/>
      </c>
      <c r="W281" s="448">
        <f>W276+W277+W278+W279+W280</f>
        <v/>
      </c>
      <c r="X281" s="448">
        <f>X276+X277+X278+X279+X280</f>
        <v/>
      </c>
      <c r="Y281" s="448">
        <f>Y276+Y277+Y278+Y279+Y280</f>
        <v/>
      </c>
      <c r="Z281" s="448">
        <f>Z276+Z277+Z278+Z279+Z280</f>
        <v/>
      </c>
      <c r="AA281" s="448">
        <f>AA276+AA277+AA278+AA279+AA280</f>
        <v/>
      </c>
      <c r="AB281" s="448">
        <f>AB276+AB277+AB278+AB279+AB280</f>
        <v/>
      </c>
      <c r="AC281" s="448">
        <f>AC276+AC277+AC278+AC279+AC280</f>
        <v/>
      </c>
      <c r="AD281" s="448">
        <f>AD276+AD277+AD278+AD279+AD280</f>
        <v/>
      </c>
      <c r="AE281" s="448">
        <f>AE276+AE277+AE278+AE279+AE280</f>
        <v/>
      </c>
      <c r="AF281" s="448">
        <f>AF276+AF277+AF278+AF279+AF280</f>
        <v/>
      </c>
      <c r="AG281" s="448">
        <f>AG276+AG277+AG278+AG279+AG280</f>
        <v/>
      </c>
      <c r="AH281" s="448">
        <f>AH276+AH277+AH278+AH279+AH280</f>
        <v/>
      </c>
      <c r="AI281" s="448">
        <f>AI276+AI277+AI278+AI279+AI280</f>
        <v/>
      </c>
      <c r="AJ281" s="448">
        <f>AJ276+AJ277+AJ278+AJ279+AJ280</f>
        <v/>
      </c>
      <c r="AK281" s="448">
        <f>AK276+AK277+AK278+AK279+AK280</f>
        <v/>
      </c>
      <c r="AL281" s="448">
        <f>AL276+AL277+AL278+AL279+AL280</f>
        <v/>
      </c>
      <c r="AM281" s="448">
        <f>AM276+AM277+AM278+AM279+AM280</f>
        <v/>
      </c>
      <c r="AN281" s="448">
        <f>AN276+AN277+AN278+AN279+AN280</f>
        <v/>
      </c>
      <c r="AO281" s="448">
        <f>AO276+AO277+AO278+AO279+AO280</f>
        <v/>
      </c>
      <c r="AP281" s="448">
        <f>AP276+AP277+AP278+AP279+AP280</f>
        <v/>
      </c>
      <c r="AQ281" s="448">
        <f>AQ276+AQ277+AQ278+AQ279+AQ280</f>
        <v/>
      </c>
      <c r="AR281" s="448">
        <f>AR276+AR277+AR278+AR279+AR280</f>
        <v/>
      </c>
      <c r="AS281" s="448">
        <f>AS276+AS277+AS278+AS279+AS280</f>
        <v/>
      </c>
      <c r="AT281" s="448">
        <f>AT276+AT277+AT278+AT279+AT280</f>
        <v/>
      </c>
      <c r="AU281" s="448">
        <f>AU276+AU277+AU278+AU279+AU280</f>
        <v/>
      </c>
      <c r="AV281" s="448">
        <f>AV276+AV277+AV278+AV279+AV280</f>
        <v/>
      </c>
      <c r="AW281" s="448">
        <f>AW276+AW277+AW278+AW279+AW280</f>
        <v/>
      </c>
      <c r="AX281" s="448">
        <f>AX276+AX277+AX278+AX279+AX280</f>
        <v/>
      </c>
      <c r="AY281" s="448">
        <f>AY276+AY277+AY278+AY279+AY280</f>
        <v/>
      </c>
      <c r="AZ281" s="448">
        <f>AZ276+AZ277+AZ278+AZ279+AZ280</f>
        <v/>
      </c>
      <c r="BA281" s="448">
        <f>BA276+BA277+BA278+BA279+BA280</f>
        <v/>
      </c>
      <c r="BB281" s="448">
        <f>BB276+BB277+BB278+BB279+BB280</f>
        <v/>
      </c>
      <c r="BC281" s="448">
        <f>BC276+BC277+BC278+BC279+BC280</f>
        <v/>
      </c>
      <c r="BD281" s="448">
        <f>BD276+BD277+BD278+BD279+BD280</f>
        <v/>
      </c>
      <c r="BE281" s="448">
        <f>BE276+BE277+BE278+BE279+BE280</f>
        <v/>
      </c>
      <c r="BF281" s="448">
        <f>BF276+BF277+BF278+BF279+BF280</f>
        <v/>
      </c>
      <c r="BG281" s="448">
        <f>BG276+BG277+BG278+BG279+BG280</f>
        <v/>
      </c>
      <c r="BH281" s="448">
        <f>BH276+BH277+BH278+BH279+BH280</f>
        <v/>
      </c>
      <c r="BI281" s="448">
        <f>BI276+BI277+BI278+BI279+BI280</f>
        <v/>
      </c>
      <c r="BJ281" s="448">
        <f>BJ276+BJ277+BJ278+BJ279+BJ280</f>
        <v/>
      </c>
      <c r="BK281" s="448">
        <f>BK276+BK277+BK278+BK279+BK280</f>
        <v/>
      </c>
      <c r="BL281" s="448">
        <f>BL276+BL277+BL278+BL279+BL280</f>
        <v/>
      </c>
      <c r="BM281" s="448">
        <f>BM276+BM277+BM278+BM279+BM280</f>
        <v/>
      </c>
      <c r="BN281" s="448">
        <f>BN276+BN277+BN278+BN279+BN280</f>
        <v/>
      </c>
      <c r="BO281" s="448">
        <f>BO276+BO277+BO278+BO279+BO280</f>
        <v/>
      </c>
      <c r="BP281" s="448">
        <f>BP276+BP277+BP278+BP279+BP280</f>
        <v/>
      </c>
      <c r="BQ281" s="448">
        <f>BQ276+BQ277+BQ278+BQ279+BQ280</f>
        <v/>
      </c>
      <c r="BR281" s="448">
        <f>BR276+BR277+BR278+BR279+BR280</f>
        <v/>
      </c>
      <c r="BS281" s="448">
        <f>BS276+BS277+BS278+BS279+BS280</f>
        <v/>
      </c>
      <c r="BT281" s="448">
        <f>BT276+BT277+BT278+BT279+BT280</f>
        <v/>
      </c>
      <c r="BU281" s="448">
        <f>BU276+BU277+BU278+BU279+BU280</f>
        <v/>
      </c>
      <c r="BV281" s="448">
        <f>BV276+BV277+BV278+BV279+BV280</f>
        <v/>
      </c>
      <c r="BW281" s="448">
        <f>BW276+BW277+BW278+BW279+BW280</f>
        <v/>
      </c>
      <c r="BX281" s="448">
        <f>BX276+BX277+BX278+BX279+BX280</f>
        <v/>
      </c>
      <c r="BY281" s="448">
        <f>BY276+BY277+BY278+BY279+BY280</f>
        <v/>
      </c>
      <c r="BZ281" s="448">
        <f>BZ276+BZ277+BZ278+BZ279+BZ280</f>
        <v/>
      </c>
      <c r="CA281" s="448">
        <f>CA276+CA277+CA278+CA279+CA280</f>
        <v/>
      </c>
      <c r="CB281" s="448">
        <f>CB276+CB277+CB278+CB279+CB280</f>
        <v/>
      </c>
      <c r="CC281" s="448">
        <f>CC276+CC277+CC278+CC279+CC280</f>
        <v/>
      </c>
      <c r="CD281" s="448">
        <f>CD276+CD277+CD278+CD279+CD280</f>
        <v/>
      </c>
      <c r="CE281" s="448">
        <f>CE276+CE277+CE278+CE279+CE280</f>
        <v/>
      </c>
      <c r="CF281" s="448">
        <f>CF276+CF277+CF278+CF279+CF280</f>
        <v/>
      </c>
      <c r="CG281" s="448">
        <f>CG276+CG277+CG278+CG279+CG280</f>
        <v/>
      </c>
      <c r="CH281" s="448">
        <f>CH276+CH277+CH278+CH279+CH280</f>
        <v/>
      </c>
      <c r="CI281" s="448">
        <f>CI276+CI277+CI278+CI279+CI280</f>
        <v/>
      </c>
      <c r="CJ281" s="448">
        <f>CJ276+CJ277+CJ278+CJ279+CJ280</f>
        <v/>
      </c>
      <c r="CK281" s="448">
        <f>CK276+CK277+CK278+CK279+CK280</f>
        <v/>
      </c>
      <c r="CL281" s="448">
        <f>CL276+CL277+CL278+CL279+CL280</f>
        <v/>
      </c>
      <c r="CM281" s="448">
        <f>CM276+CM277+CM278+CM279+CM280</f>
        <v/>
      </c>
      <c r="CN281" s="448">
        <f>CN276+CN277+CN278+CN279+CN280</f>
        <v/>
      </c>
      <c r="CO281" s="448">
        <f>CO276+CO277+CO278+CO279+CO280</f>
        <v/>
      </c>
      <c r="CP281" s="448">
        <f>CP276+CP277+CP278+CP279+CP280</f>
        <v/>
      </c>
      <c r="CQ281" s="448">
        <f>CQ276+CQ277+CQ278+CQ279+CQ280</f>
        <v/>
      </c>
      <c r="CR281" s="448">
        <f>CR276+CR277+CR278+CR279+CR280</f>
        <v/>
      </c>
      <c r="CS281" s="448">
        <f>CS276+CS277+CS278+CS279+CS280</f>
        <v/>
      </c>
      <c r="CT281" s="448">
        <f>CT276+CT277+CT278+CT279+CT280</f>
        <v/>
      </c>
      <c r="CU281" s="448">
        <f>CU276+CU277+CU278+CU279+CU280</f>
        <v/>
      </c>
      <c r="CV281" s="448">
        <f>CV276+CV277+CV278+CV279+CV280</f>
        <v/>
      </c>
      <c r="CW281" s="448">
        <f>CW276+CW277+CW278+CW279+CW280</f>
        <v/>
      </c>
      <c r="CX281" s="448">
        <f>CX276+CX277+CX278+CX279+CX280</f>
        <v/>
      </c>
      <c r="CY281" s="448">
        <f>CY276+CY277+CY278+CY279+CY280</f>
        <v/>
      </c>
      <c r="CZ281" s="448">
        <f>CZ276+CZ277+CZ278+CZ279+CZ280</f>
        <v/>
      </c>
      <c r="DA281" s="448">
        <f>DA276+DA277+DA278+DA279+DA280</f>
        <v/>
      </c>
      <c r="DB281" s="448">
        <f>DB276+DB277+DB278+DB279+DB280</f>
        <v/>
      </c>
      <c r="DC281" s="448">
        <f>DC276+DC277+DC278+DC279+DC280</f>
        <v/>
      </c>
      <c r="DD281" s="448">
        <f>DD276+DD277+DD278+DD279+DD280</f>
        <v/>
      </c>
      <c r="DE281" s="448">
        <f>DE276+DE277+DE278+DE279+DE280</f>
        <v/>
      </c>
    </row>
    <row r="282" ht="15" customFormat="1" customHeight="1" s="380">
      <c r="A282" s="382" t="n"/>
      <c r="B282" s="392" t="n"/>
      <c r="C282" s="392" t="n"/>
      <c r="D282" s="392" t="n"/>
      <c r="E282" s="392" t="n"/>
      <c r="F282" s="392" t="n"/>
      <c r="G282" s="392" t="n"/>
      <c r="H282" s="392" t="n"/>
      <c r="I282" s="392" t="n"/>
      <c r="J282" s="392" t="n"/>
      <c r="K282" s="392" t="n"/>
      <c r="L282" s="392" t="n"/>
      <c r="M282" s="392" t="n"/>
      <c r="N282" s="392" t="n"/>
      <c r="O282" s="392" t="n"/>
      <c r="P282" s="392" t="n"/>
      <c r="Q282" s="392" t="n"/>
      <c r="R282" s="392" t="n"/>
      <c r="S282" s="392" t="n"/>
      <c r="T282" s="392" t="n"/>
      <c r="U282" s="392" t="n"/>
      <c r="V282" s="392" t="n"/>
      <c r="W282" s="392" t="n"/>
      <c r="X282" s="392" t="n"/>
      <c r="Y282" s="392" t="n"/>
      <c r="Z282" s="392" t="n"/>
      <c r="AA282" s="392" t="n"/>
      <c r="AB282" s="392" t="n"/>
      <c r="AC282" s="392" t="n"/>
      <c r="AD282" s="392" t="n"/>
      <c r="AE282" s="392" t="n"/>
      <c r="AF282" s="392" t="n"/>
      <c r="AG282" s="392" t="n"/>
      <c r="AH282" s="392" t="n"/>
      <c r="AI282" s="392" t="n"/>
      <c r="AJ282" s="392" t="n"/>
      <c r="AK282" s="392" t="n"/>
      <c r="AL282" s="392" t="n"/>
      <c r="AM282" s="392" t="n"/>
      <c r="AN282" s="392" t="n"/>
      <c r="AO282" s="392" t="n"/>
      <c r="AP282" s="392" t="n"/>
      <c r="AQ282" s="392" t="n"/>
      <c r="AR282" s="392" t="n"/>
      <c r="AS282" s="392" t="n"/>
      <c r="AT282" s="392" t="n"/>
      <c r="AU282" s="392" t="n"/>
      <c r="AV282" s="392" t="n"/>
      <c r="AW282" s="392" t="n"/>
      <c r="AX282" s="392" t="n"/>
      <c r="AY282" s="392" t="n"/>
      <c r="AZ282" s="392" t="n"/>
      <c r="BA282" s="392" t="n"/>
      <c r="BB282" s="392" t="n"/>
      <c r="BC282" s="392" t="n"/>
      <c r="BD282" s="392" t="n"/>
      <c r="BE282" s="392" t="n"/>
      <c r="BF282" s="392" t="n"/>
      <c r="BG282" s="392" t="n"/>
      <c r="BH282" s="392" t="n"/>
      <c r="BI282" s="392" t="n"/>
      <c r="BJ282" s="392" t="n"/>
      <c r="BK282" s="392" t="n"/>
      <c r="BL282" s="392" t="n"/>
      <c r="BM282" s="392" t="n"/>
      <c r="BN282" s="392" t="n"/>
      <c r="BO282" s="392" t="n"/>
      <c r="BP282" s="392" t="n"/>
      <c r="BQ282" s="392" t="n"/>
      <c r="BR282" s="392" t="n"/>
      <c r="BS282" s="392" t="n"/>
      <c r="BT282" s="392" t="n"/>
      <c r="BU282" s="392" t="n"/>
      <c r="BV282" s="392" t="n"/>
      <c r="BW282" s="392" t="n"/>
      <c r="BX282" s="392" t="n"/>
      <c r="BY282" s="392" t="n"/>
      <c r="BZ282" s="392" t="n"/>
      <c r="CA282" s="392" t="n"/>
      <c r="CB282" s="392" t="n"/>
      <c r="CC282" s="392" t="n"/>
      <c r="CD282" s="392" t="n"/>
      <c r="CE282" s="392" t="n"/>
      <c r="CF282" s="392" t="n"/>
      <c r="CG282" s="392" t="n"/>
      <c r="CH282" s="392" t="n"/>
      <c r="CI282" s="392" t="n"/>
      <c r="CJ282" s="392" t="n"/>
      <c r="CK282" s="392" t="n"/>
      <c r="CL282" s="392" t="n"/>
      <c r="CM282" s="392" t="n"/>
      <c r="CN282" s="392" t="n"/>
      <c r="CO282" s="392" t="n"/>
      <c r="CP282" s="392" t="n"/>
      <c r="CQ282" s="392" t="n"/>
      <c r="CR282" s="392" t="n"/>
      <c r="CS282" s="392" t="n"/>
      <c r="CT282" s="392" t="n"/>
      <c r="CU282" s="392" t="n"/>
      <c r="CV282" s="392" t="n"/>
      <c r="CW282" s="392" t="n"/>
      <c r="CX282" s="392" t="n"/>
      <c r="CY282" s="392" t="n"/>
      <c r="CZ282" s="392" t="n"/>
      <c r="DA282" s="392" t="n"/>
      <c r="DB282" s="392" t="n"/>
      <c r="DC282" s="392" t="n"/>
      <c r="DD282" s="392" t="n"/>
      <c r="DE282" s="392" t="n"/>
    </row>
    <row r="283" ht="15" customFormat="1" customHeight="1" s="380">
      <c r="A283" s="402" t="inlineStr">
        <is>
          <t>Consolidated Cash</t>
        </is>
      </c>
      <c r="B283" s="414" t="n"/>
      <c r="C283" s="414" t="n"/>
      <c r="D283" s="414" t="n"/>
      <c r="E283" s="414" t="n"/>
      <c r="F283" s="414" t="n"/>
      <c r="G283" s="414" t="n"/>
      <c r="H283" s="414" t="n"/>
      <c r="I283" s="414" t="n"/>
      <c r="J283" s="414" t="n"/>
      <c r="K283" s="414" t="n"/>
      <c r="L283" s="414" t="n"/>
      <c r="M283" s="414" t="n"/>
      <c r="N283" s="414" t="n"/>
      <c r="O283" s="414" t="n"/>
      <c r="P283" s="414" t="n"/>
      <c r="Q283" s="414" t="n"/>
      <c r="R283" s="414" t="n"/>
      <c r="S283" s="414" t="n"/>
      <c r="T283" s="414" t="n"/>
      <c r="U283" s="414" t="n"/>
      <c r="V283" s="414" t="n"/>
      <c r="W283" s="414" t="n"/>
      <c r="X283" s="414" t="n"/>
      <c r="Y283" s="414" t="n"/>
      <c r="Z283" s="414" t="n"/>
      <c r="AA283" s="414" t="n"/>
      <c r="AB283" s="414" t="n"/>
      <c r="AC283" s="414" t="n"/>
      <c r="AD283" s="414" t="n"/>
      <c r="AE283" s="414" t="n"/>
      <c r="AF283" s="414" t="n"/>
      <c r="AG283" s="414" t="n"/>
      <c r="AH283" s="414" t="n"/>
      <c r="AI283" s="414" t="n"/>
      <c r="AJ283" s="414" t="n"/>
      <c r="AK283" s="414" t="n"/>
      <c r="AL283" s="414" t="n"/>
      <c r="AM283" s="414" t="n"/>
      <c r="AN283" s="414" t="n"/>
      <c r="AO283" s="414" t="n"/>
      <c r="AP283" s="414" t="n"/>
      <c r="AQ283" s="414" t="n"/>
      <c r="AR283" s="414" t="n"/>
      <c r="AS283" s="414" t="n"/>
      <c r="AT283" s="414" t="n"/>
      <c r="AU283" s="414" t="n"/>
      <c r="AV283" s="414" t="n"/>
      <c r="AW283" s="414" t="n"/>
      <c r="AX283" s="414" t="n"/>
      <c r="AY283" s="414" t="n"/>
      <c r="AZ283" s="414" t="n"/>
      <c r="BA283" s="414" t="n"/>
      <c r="BB283" s="414" t="n"/>
      <c r="BC283" s="414" t="n"/>
      <c r="BD283" s="414" t="n"/>
      <c r="BE283" s="414" t="n"/>
      <c r="BF283" s="414" t="n"/>
      <c r="BG283" s="414" t="n"/>
      <c r="BH283" s="414" t="n"/>
      <c r="BI283" s="414" t="n"/>
      <c r="BJ283" s="414" t="n"/>
      <c r="BK283" s="414" t="n"/>
      <c r="BL283" s="414" t="n"/>
      <c r="BM283" s="414" t="n"/>
      <c r="BN283" s="414" t="n"/>
      <c r="BO283" s="414" t="n"/>
      <c r="BP283" s="414" t="n"/>
      <c r="BQ283" s="414" t="n"/>
      <c r="BR283" s="414" t="n"/>
      <c r="BS283" s="414" t="n"/>
      <c r="BT283" s="414" t="n"/>
      <c r="BU283" s="414" t="n"/>
      <c r="BV283" s="414" t="n"/>
      <c r="BW283" s="414" t="n"/>
      <c r="BX283" s="414" t="n"/>
      <c r="BY283" s="414" t="n"/>
      <c r="BZ283" s="414" t="n"/>
      <c r="CA283" s="414" t="n"/>
      <c r="CB283" s="414" t="n"/>
      <c r="CC283" s="414" t="n"/>
      <c r="CD283" s="414" t="n"/>
      <c r="CE283" s="414" t="n"/>
      <c r="CF283" s="414" t="n"/>
      <c r="CG283" s="414" t="n"/>
      <c r="CH283" s="414" t="n"/>
      <c r="CI283" s="414" t="n"/>
      <c r="CJ283" s="414" t="n"/>
      <c r="CK283" s="414" t="n"/>
      <c r="CL283" s="414" t="n"/>
      <c r="CM283" s="414" t="n"/>
      <c r="CN283" s="414" t="n"/>
      <c r="CO283" s="414" t="n"/>
      <c r="CP283" s="414" t="n"/>
      <c r="CQ283" s="414" t="n"/>
      <c r="CR283" s="414" t="n"/>
      <c r="CS283" s="414" t="n"/>
      <c r="CT283" s="414" t="n"/>
      <c r="CU283" s="414" t="n"/>
      <c r="CV283" s="414" t="n"/>
      <c r="CW283" s="414" t="n"/>
      <c r="CX283" s="414" t="n"/>
      <c r="CY283" s="414" t="n"/>
      <c r="CZ283" s="414" t="n"/>
      <c r="DA283" s="414" t="n"/>
      <c r="DB283" s="414" t="n"/>
      <c r="DC283" s="414" t="n"/>
      <c r="DD283" s="414" t="n"/>
      <c r="DE283" s="414" t="n"/>
    </row>
    <row r="284" ht="15" customFormat="1" customHeight="1" s="380">
      <c r="A284" s="397" t="inlineStr">
        <is>
          <t>Total Beginning Cash</t>
        </is>
      </c>
      <c r="B284" s="392" t="n"/>
      <c r="C284" s="392" t="n"/>
      <c r="D284" s="392" t="n"/>
      <c r="E284" s="392" t="n"/>
      <c r="F284" s="392" t="n"/>
      <c r="G284" s="392" t="n"/>
      <c r="H284" s="392" t="n"/>
      <c r="I284" s="392">
        <f>I265+I276</f>
        <v/>
      </c>
      <c r="J284" s="392">
        <f>J265+J276</f>
        <v/>
      </c>
      <c r="K284" s="392">
        <f>K265+K276</f>
        <v/>
      </c>
      <c r="L284" s="392">
        <f>L265+L276</f>
        <v/>
      </c>
      <c r="M284" s="392">
        <f>M265+M276</f>
        <v/>
      </c>
      <c r="N284" s="392">
        <f>N265+N276</f>
        <v/>
      </c>
      <c r="O284" s="392">
        <f>O265+O276</f>
        <v/>
      </c>
      <c r="P284" s="392">
        <f>P265+P276</f>
        <v/>
      </c>
      <c r="Q284" s="392">
        <f>Q265+Q276</f>
        <v/>
      </c>
      <c r="R284" s="392">
        <f>R265+R276</f>
        <v/>
      </c>
      <c r="S284" s="392">
        <f>S265+S276</f>
        <v/>
      </c>
      <c r="T284" s="392">
        <f>T265+T276</f>
        <v/>
      </c>
      <c r="U284" s="392">
        <f>U265+U276</f>
        <v/>
      </c>
      <c r="V284" s="392">
        <f>V265+V276</f>
        <v/>
      </c>
      <c r="W284" s="392">
        <f>W265+W276</f>
        <v/>
      </c>
      <c r="X284" s="392">
        <f>X265+X276</f>
        <v/>
      </c>
      <c r="Y284" s="392">
        <f>Y265+Y276</f>
        <v/>
      </c>
      <c r="Z284" s="392">
        <f>Z265+Z276</f>
        <v/>
      </c>
      <c r="AA284" s="392">
        <f>AA265+AA276</f>
        <v/>
      </c>
      <c r="AB284" s="392">
        <f>AB265+AB276</f>
        <v/>
      </c>
      <c r="AC284" s="392">
        <f>AC265+AC276</f>
        <v/>
      </c>
      <c r="AD284" s="392">
        <f>AD265+AD276</f>
        <v/>
      </c>
      <c r="AE284" s="392">
        <f>AE265+AE276</f>
        <v/>
      </c>
      <c r="AF284" s="392">
        <f>AF265+AF276</f>
        <v/>
      </c>
      <c r="AG284" s="392">
        <f>AG265+AG276</f>
        <v/>
      </c>
      <c r="AH284" s="392">
        <f>AH265+AH276</f>
        <v/>
      </c>
      <c r="AI284" s="392">
        <f>AI265+AI276</f>
        <v/>
      </c>
      <c r="AJ284" s="392">
        <f>AJ265+AJ276</f>
        <v/>
      </c>
      <c r="AK284" s="392">
        <f>AK265+AK276</f>
        <v/>
      </c>
      <c r="AL284" s="392">
        <f>AL265+AL276</f>
        <v/>
      </c>
      <c r="AM284" s="392">
        <f>AM265+AM276</f>
        <v/>
      </c>
      <c r="AN284" s="392">
        <f>AN265+AN276</f>
        <v/>
      </c>
      <c r="AO284" s="392">
        <f>AO265+AO276</f>
        <v/>
      </c>
      <c r="AP284" s="392">
        <f>AP265+AP276</f>
        <v/>
      </c>
      <c r="AQ284" s="392">
        <f>AQ265+AQ276</f>
        <v/>
      </c>
      <c r="AR284" s="392">
        <f>AR265+AR276</f>
        <v/>
      </c>
      <c r="AS284" s="392">
        <f>AS265+AS276</f>
        <v/>
      </c>
      <c r="AT284" s="392">
        <f>AT265+AT276</f>
        <v/>
      </c>
      <c r="AU284" s="392">
        <f>AU265+AU276</f>
        <v/>
      </c>
      <c r="AV284" s="392">
        <f>AV265+AV276</f>
        <v/>
      </c>
      <c r="AW284" s="392">
        <f>AW265+AW276</f>
        <v/>
      </c>
      <c r="AX284" s="392">
        <f>AX265+AX276</f>
        <v/>
      </c>
      <c r="AY284" s="392">
        <f>AY265+AY276</f>
        <v/>
      </c>
      <c r="AZ284" s="392">
        <f>AZ265+AZ276</f>
        <v/>
      </c>
      <c r="BA284" s="392">
        <f>BA265+BA276</f>
        <v/>
      </c>
      <c r="BB284" s="392">
        <f>BB265+BB276</f>
        <v/>
      </c>
      <c r="BC284" s="392">
        <f>BC265+BC276</f>
        <v/>
      </c>
      <c r="BD284" s="392">
        <f>BD265+BD276</f>
        <v/>
      </c>
      <c r="BE284" s="392">
        <f>BE265+BE276</f>
        <v/>
      </c>
      <c r="BF284" s="392">
        <f>BF265+BF276</f>
        <v/>
      </c>
      <c r="BG284" s="392">
        <f>BG265+BG276</f>
        <v/>
      </c>
      <c r="BH284" s="392">
        <f>BH265+BH276</f>
        <v/>
      </c>
      <c r="BI284" s="392">
        <f>BI265+BI276</f>
        <v/>
      </c>
      <c r="BJ284" s="392">
        <f>BJ265+BJ276</f>
        <v/>
      </c>
      <c r="BK284" s="392">
        <f>BK265+BK276</f>
        <v/>
      </c>
      <c r="BL284" s="392">
        <f>BL265+BL276</f>
        <v/>
      </c>
      <c r="BM284" s="392">
        <f>BM265+BM276</f>
        <v/>
      </c>
      <c r="BN284" s="392">
        <f>BN265+BN276</f>
        <v/>
      </c>
      <c r="BO284" s="392">
        <f>BO265+BO276</f>
        <v/>
      </c>
      <c r="BP284" s="392">
        <f>BP265+BP276</f>
        <v/>
      </c>
      <c r="BQ284" s="392">
        <f>BQ265+BQ276</f>
        <v/>
      </c>
      <c r="BR284" s="392">
        <f>BR265+BR276</f>
        <v/>
      </c>
      <c r="BS284" s="392">
        <f>BS265+BS276</f>
        <v/>
      </c>
      <c r="BT284" s="392">
        <f>BT265+BT276</f>
        <v/>
      </c>
      <c r="BU284" s="392">
        <f>BU265+BU276</f>
        <v/>
      </c>
      <c r="BV284" s="392">
        <f>BV265+BV276</f>
        <v/>
      </c>
      <c r="BW284" s="392">
        <f>BW265+BW276</f>
        <v/>
      </c>
      <c r="BX284" s="392">
        <f>BX265+BX276</f>
        <v/>
      </c>
      <c r="BY284" s="392">
        <f>BY265+BY276</f>
        <v/>
      </c>
      <c r="BZ284" s="392">
        <f>BZ265+BZ276</f>
        <v/>
      </c>
      <c r="CA284" s="392">
        <f>CA265+CA276</f>
        <v/>
      </c>
      <c r="CB284" s="392">
        <f>CB265+CB276</f>
        <v/>
      </c>
      <c r="CC284" s="392">
        <f>CC265+CC276</f>
        <v/>
      </c>
      <c r="CD284" s="392">
        <f>CD265+CD276</f>
        <v/>
      </c>
      <c r="CE284" s="392">
        <f>CE265+CE276</f>
        <v/>
      </c>
      <c r="CF284" s="392">
        <f>CF265+CF276</f>
        <v/>
      </c>
      <c r="CG284" s="392">
        <f>CG265+CG276</f>
        <v/>
      </c>
      <c r="CH284" s="392">
        <f>CH265+CH276</f>
        <v/>
      </c>
      <c r="CI284" s="392">
        <f>CI265+CI276</f>
        <v/>
      </c>
      <c r="CJ284" s="392">
        <f>CJ265+CJ276</f>
        <v/>
      </c>
      <c r="CK284" s="392">
        <f>CK265+CK276</f>
        <v/>
      </c>
      <c r="CL284" s="392">
        <f>CL265+CL276</f>
        <v/>
      </c>
      <c r="CM284" s="392">
        <f>CM265+CM276</f>
        <v/>
      </c>
      <c r="CN284" s="392">
        <f>CN265+CN276</f>
        <v/>
      </c>
      <c r="CO284" s="392">
        <f>CO265+CO276</f>
        <v/>
      </c>
      <c r="CP284" s="392">
        <f>CP265+CP276</f>
        <v/>
      </c>
      <c r="CQ284" s="392">
        <f>CQ265+CQ276</f>
        <v/>
      </c>
      <c r="CR284" s="392">
        <f>CR265+CR276</f>
        <v/>
      </c>
      <c r="CS284" s="392">
        <f>CS265+CS276</f>
        <v/>
      </c>
      <c r="CT284" s="392">
        <f>CT265+CT276</f>
        <v/>
      </c>
      <c r="CU284" s="392">
        <f>CU265+CU276</f>
        <v/>
      </c>
      <c r="CV284" s="392">
        <f>CV265+CV276</f>
        <v/>
      </c>
      <c r="CW284" s="392">
        <f>CW265+CW276</f>
        <v/>
      </c>
      <c r="CX284" s="392">
        <f>CX265+CX276</f>
        <v/>
      </c>
      <c r="CY284" s="392">
        <f>CY265+CY276</f>
        <v/>
      </c>
      <c r="CZ284" s="392">
        <f>CZ265+CZ276</f>
        <v/>
      </c>
      <c r="DA284" s="392">
        <f>DA265+DA276</f>
        <v/>
      </c>
      <c r="DB284" s="392">
        <f>DB265+DB276</f>
        <v/>
      </c>
      <c r="DC284" s="392">
        <f>DC265+DC276</f>
        <v/>
      </c>
      <c r="DD284" s="392">
        <f>DD265+DD276</f>
        <v/>
      </c>
      <c r="DE284" s="392">
        <f>DE265+DE276</f>
        <v/>
      </c>
    </row>
    <row r="285" ht="15" customFormat="1" customHeight="1" s="380">
      <c r="A285" s="397" t="inlineStr">
        <is>
          <t>Tax Distribution (50.3% Consol NI)</t>
        </is>
      </c>
      <c r="B285" s="392" t="n"/>
      <c r="C285" s="392" t="n"/>
      <c r="D285" s="392" t="n"/>
      <c r="E285" s="392" t="n"/>
      <c r="F285" s="392" t="n"/>
      <c r="G285" s="392" t="n"/>
      <c r="H285" s="392" t="n"/>
      <c r="I285" s="392" t="n">
        <v>0</v>
      </c>
      <c r="J285" s="392" t="n">
        <v>0</v>
      </c>
      <c r="K285" s="392" t="n">
        <v>0</v>
      </c>
      <c r="L285" s="392" t="n">
        <v>0</v>
      </c>
      <c r="M285" s="392" t="n">
        <v>0</v>
      </c>
      <c r="N285" s="392" t="n">
        <v>0</v>
      </c>
      <c r="O285" s="392" t="n">
        <v>0</v>
      </c>
      <c r="P285" s="392">
        <f>IF((B212+C212+D212+E212+F212+G212+H212+I212+J212+K212+L212+M212)&gt;0,-(B212+C212+D212+E212+F212+G212+H212+I212+J212+K212+L212+M212)*0.503,0)</f>
        <v/>
      </c>
      <c r="Q285" s="392" t="n">
        <v>0</v>
      </c>
      <c r="R285" s="392" t="n">
        <v>0</v>
      </c>
      <c r="S285" s="392" t="n">
        <v>0</v>
      </c>
      <c r="T285" s="392" t="n">
        <v>0</v>
      </c>
      <c r="U285" s="392" t="n">
        <v>0</v>
      </c>
      <c r="V285" s="392" t="n">
        <v>0</v>
      </c>
      <c r="W285" s="392" t="n">
        <v>0</v>
      </c>
      <c r="X285" s="392" t="n">
        <v>0</v>
      </c>
      <c r="Y285" s="392" t="n">
        <v>0</v>
      </c>
      <c r="Z285" s="392" t="n">
        <v>0</v>
      </c>
      <c r="AA285" s="392" t="n">
        <v>0</v>
      </c>
      <c r="AB285" s="392">
        <f>IF((N212+O212+P212+Q212+R212+S212+T212+U212+V212+W212+X212+Y212)&gt;0,-(N212+O212+P212+Q212+R212+S212+T212+U212+V212+W212+X212+Y212)*0.503,0)</f>
        <v/>
      </c>
      <c r="AC285" s="392" t="n">
        <v>0</v>
      </c>
      <c r="AD285" s="392" t="n">
        <v>0</v>
      </c>
      <c r="AE285" s="392" t="n">
        <v>0</v>
      </c>
      <c r="AF285" s="392" t="n">
        <v>0</v>
      </c>
      <c r="AG285" s="392" t="n">
        <v>0</v>
      </c>
      <c r="AH285" s="392" t="n">
        <v>0</v>
      </c>
      <c r="AI285" s="392" t="n">
        <v>0</v>
      </c>
      <c r="AJ285" s="392" t="n">
        <v>0</v>
      </c>
      <c r="AK285" s="392" t="n">
        <v>0</v>
      </c>
      <c r="AL285" s="392" t="n">
        <v>0</v>
      </c>
      <c r="AM285" s="392" t="n">
        <v>0</v>
      </c>
      <c r="AN285" s="392">
        <f>IF((Z212+AA212+AB212+AC212+AD212+AE212+AF212+AG212+AH212+AI212+AJ212+AK212)&gt;0,-(Z212+AA212+AB212+AC212+AD212+AE212+AF212+AG212+AH212+AI212+AJ212+AK212)*0.503,0)</f>
        <v/>
      </c>
      <c r="AO285" s="392" t="n">
        <v>0</v>
      </c>
      <c r="AP285" s="392" t="n">
        <v>0</v>
      </c>
      <c r="AQ285" s="392" t="n">
        <v>0</v>
      </c>
      <c r="AR285" s="392" t="n">
        <v>0</v>
      </c>
      <c r="AS285" s="392" t="n">
        <v>0</v>
      </c>
      <c r="AT285" s="392" t="n">
        <v>0</v>
      </c>
      <c r="AU285" s="392" t="n">
        <v>0</v>
      </c>
      <c r="AV285" s="392" t="n">
        <v>0</v>
      </c>
      <c r="AW285" s="392" t="n">
        <v>0</v>
      </c>
      <c r="AX285" s="392" t="n">
        <v>0</v>
      </c>
      <c r="AY285" s="392" t="n">
        <v>0</v>
      </c>
      <c r="AZ285" s="392">
        <f>IF((AL212+AM212+AN212+AO212+AP212+AQ212+AR212+AS212+AT212+AU212+AV212+AW212)&gt;0,-(AL212+AM212+AN212+AO212+AP212+AQ212+AR212+AS212+AT212+AU212+AV212+AW212)*0.503,0)</f>
        <v/>
      </c>
      <c r="BA285" s="392" t="n">
        <v>0</v>
      </c>
      <c r="BB285" s="392" t="n">
        <v>0</v>
      </c>
      <c r="BC285" s="392" t="n">
        <v>0</v>
      </c>
      <c r="BD285" s="392" t="n">
        <v>0</v>
      </c>
      <c r="BE285" s="392" t="n">
        <v>0</v>
      </c>
      <c r="BF285" s="392" t="n">
        <v>0</v>
      </c>
      <c r="BG285" s="392" t="n">
        <v>0</v>
      </c>
      <c r="BH285" s="392" t="n">
        <v>0</v>
      </c>
      <c r="BI285" s="392" t="n">
        <v>0</v>
      </c>
      <c r="BJ285" s="392" t="n">
        <v>0</v>
      </c>
      <c r="BK285" s="392" t="n">
        <v>0</v>
      </c>
      <c r="BL285" s="392">
        <f>IF((AX212+AY212+AZ212+BA212+BB212+BC212+BD212+BE212+BF212+BG212+BH212+BI212)&gt;0,-(AX212+AY212+AZ212+BA212+BB212+BC212+BD212+BE212+BF212+BG212+BH212+BI212)*0.503,0)</f>
        <v/>
      </c>
      <c r="BM285" s="392" t="n">
        <v>0</v>
      </c>
      <c r="BN285" s="392" t="n">
        <v>0</v>
      </c>
      <c r="BO285" s="392" t="n">
        <v>0</v>
      </c>
      <c r="BP285" s="392" t="n">
        <v>0</v>
      </c>
      <c r="BQ285" s="392" t="n">
        <v>0</v>
      </c>
      <c r="BR285" s="392" t="n">
        <v>0</v>
      </c>
      <c r="BS285" s="392" t="n">
        <v>0</v>
      </c>
      <c r="BT285" s="392" t="n">
        <v>0</v>
      </c>
      <c r="BU285" s="392" t="n">
        <v>0</v>
      </c>
      <c r="BV285" s="392" t="n">
        <v>0</v>
      </c>
      <c r="BW285" s="392" t="n">
        <v>0</v>
      </c>
      <c r="BX285" s="392">
        <f>IF((BJ212+BK212+BL212+BM212+BN212+BO212+BP212+BQ212+BR212+BS212+BT212+BU212)&gt;0,-(BJ212+BK212+BL212+BM212+BN212+BO212+BP212+BQ212+BR212+BS212+BT212+BU212)*0.503,0)</f>
        <v/>
      </c>
      <c r="BY285" s="392" t="n">
        <v>0</v>
      </c>
      <c r="BZ285" s="392" t="n">
        <v>0</v>
      </c>
      <c r="CA285" s="392" t="n">
        <v>0</v>
      </c>
      <c r="CB285" s="392" t="n">
        <v>0</v>
      </c>
      <c r="CC285" s="392" t="n">
        <v>0</v>
      </c>
      <c r="CD285" s="392" t="n">
        <v>0</v>
      </c>
      <c r="CE285" s="392" t="n">
        <v>0</v>
      </c>
      <c r="CF285" s="392" t="n">
        <v>0</v>
      </c>
      <c r="CG285" s="392" t="n">
        <v>0</v>
      </c>
      <c r="CH285" s="392" t="n">
        <v>0</v>
      </c>
      <c r="CI285" s="392" t="n">
        <v>0</v>
      </c>
      <c r="CJ285" s="392">
        <f>IF((BV212+BW212+BX212+BY212+BZ212+CA212+CB212+CC212+CD212+CE212+CF212+CG212)&gt;0,-(BV212+BW212+BX212+BY212+BZ212+CA212+CB212+CC212+CD212+CE212+CF212+CG212)*0.503,0)</f>
        <v/>
      </c>
      <c r="CK285" s="392" t="n">
        <v>0</v>
      </c>
      <c r="CL285" s="392" t="n">
        <v>0</v>
      </c>
      <c r="CM285" s="392" t="n">
        <v>0</v>
      </c>
      <c r="CN285" s="392" t="n">
        <v>0</v>
      </c>
      <c r="CO285" s="392" t="n">
        <v>0</v>
      </c>
      <c r="CP285" s="392" t="n">
        <v>0</v>
      </c>
      <c r="CQ285" s="392" t="n">
        <v>0</v>
      </c>
      <c r="CR285" s="392" t="n">
        <v>0</v>
      </c>
      <c r="CS285" s="392" t="n">
        <v>0</v>
      </c>
      <c r="CT285" s="392" t="n">
        <v>0</v>
      </c>
      <c r="CU285" s="392" t="n">
        <v>0</v>
      </c>
      <c r="CV285" s="392" t="n">
        <v>0</v>
      </c>
      <c r="CW285" s="392" t="n">
        <v>0</v>
      </c>
      <c r="CX285" s="392" t="n">
        <v>0</v>
      </c>
      <c r="CY285" s="392" t="n">
        <v>0</v>
      </c>
      <c r="CZ285" s="392" t="n">
        <v>0</v>
      </c>
      <c r="DA285" s="392" t="n">
        <v>0</v>
      </c>
      <c r="DB285" s="392" t="n">
        <v>0</v>
      </c>
      <c r="DC285" s="392" t="n">
        <v>0</v>
      </c>
      <c r="DD285" s="392" t="n">
        <v>0</v>
      </c>
      <c r="DE285" s="392" t="n">
        <v>0</v>
      </c>
    </row>
    <row r="286" ht="15" customFormat="1" customHeight="1" s="380">
      <c r="A286" s="447" t="inlineStr">
        <is>
          <t>Total Ending Cash (Consolidated, net of Tax Distributions)</t>
        </is>
      </c>
      <c r="B286" s="448" t="n"/>
      <c r="C286" s="448" t="n"/>
      <c r="D286" s="448" t="n"/>
      <c r="E286" s="448" t="n"/>
      <c r="F286" s="448" t="n"/>
      <c r="G286" s="448" t="n"/>
      <c r="H286" s="448" t="n"/>
      <c r="I286" s="448">
        <f>I273+I281+I285</f>
        <v/>
      </c>
      <c r="J286" s="448">
        <f>J273+J281+J285</f>
        <v/>
      </c>
      <c r="K286" s="448">
        <f>K273+K281+K285</f>
        <v/>
      </c>
      <c r="L286" s="448">
        <f>L273+L281+L285</f>
        <v/>
      </c>
      <c r="M286" s="448">
        <f>M273+M281+M285</f>
        <v/>
      </c>
      <c r="N286" s="448">
        <f>N273+N281+N285</f>
        <v/>
      </c>
      <c r="O286" s="448">
        <f>O273+O281+O285</f>
        <v/>
      </c>
      <c r="P286" s="448">
        <f>P273+P281+P285</f>
        <v/>
      </c>
      <c r="Q286" s="448">
        <f>Q273+Q281+Q285</f>
        <v/>
      </c>
      <c r="R286" s="448">
        <f>R273+R281+R285</f>
        <v/>
      </c>
      <c r="S286" s="448">
        <f>S273+S281+S285</f>
        <v/>
      </c>
      <c r="T286" s="448">
        <f>T273+T281+T285</f>
        <v/>
      </c>
      <c r="U286" s="448">
        <f>U273+U281+U285</f>
        <v/>
      </c>
      <c r="V286" s="448">
        <f>V273+V281+V285</f>
        <v/>
      </c>
      <c r="W286" s="448">
        <f>W273+W281+W285</f>
        <v/>
      </c>
      <c r="X286" s="448">
        <f>X273+X281+X285</f>
        <v/>
      </c>
      <c r="Y286" s="448">
        <f>Y273+Y281+Y285</f>
        <v/>
      </c>
      <c r="Z286" s="448">
        <f>Z273+Z281+Z285</f>
        <v/>
      </c>
      <c r="AA286" s="448">
        <f>AA273+AA281+AA285</f>
        <v/>
      </c>
      <c r="AB286" s="448">
        <f>AB273+AB281+AB285</f>
        <v/>
      </c>
      <c r="AC286" s="448">
        <f>AC273+AC281+AC285</f>
        <v/>
      </c>
      <c r="AD286" s="448">
        <f>AD273+AD281+AD285</f>
        <v/>
      </c>
      <c r="AE286" s="448">
        <f>AE273+AE281+AE285</f>
        <v/>
      </c>
      <c r="AF286" s="448">
        <f>AF273+AF281+AF285</f>
        <v/>
      </c>
      <c r="AG286" s="448">
        <f>AG273+AG281+AG285</f>
        <v/>
      </c>
      <c r="AH286" s="448">
        <f>AH273+AH281+AH285</f>
        <v/>
      </c>
      <c r="AI286" s="448">
        <f>AI273+AI281+AI285</f>
        <v/>
      </c>
      <c r="AJ286" s="448">
        <f>AJ273+AJ281+AJ285</f>
        <v/>
      </c>
      <c r="AK286" s="448">
        <f>AK273+AK281+AK285</f>
        <v/>
      </c>
      <c r="AL286" s="448">
        <f>AL273+AL281+AL285</f>
        <v/>
      </c>
      <c r="AM286" s="448">
        <f>AM273+AM281+AM285</f>
        <v/>
      </c>
      <c r="AN286" s="448">
        <f>AN273+AN281+AN285</f>
        <v/>
      </c>
      <c r="AO286" s="448">
        <f>AO273+AO281+AO285</f>
        <v/>
      </c>
      <c r="AP286" s="448">
        <f>AP273+AP281+AP285</f>
        <v/>
      </c>
      <c r="AQ286" s="448">
        <f>AQ273+AQ281+AQ285</f>
        <v/>
      </c>
      <c r="AR286" s="448">
        <f>AR273+AR281+AR285</f>
        <v/>
      </c>
      <c r="AS286" s="448">
        <f>AS273+AS281+AS285</f>
        <v/>
      </c>
      <c r="AT286" s="448">
        <f>AT273+AT281+AT285</f>
        <v/>
      </c>
      <c r="AU286" s="448">
        <f>AU273+AU281+AU285</f>
        <v/>
      </c>
      <c r="AV286" s="448">
        <f>AV273+AV281+AV285</f>
        <v/>
      </c>
      <c r="AW286" s="448">
        <f>AW273+AW281+AW285</f>
        <v/>
      </c>
      <c r="AX286" s="448">
        <f>AX273+AX281+AX285</f>
        <v/>
      </c>
      <c r="AY286" s="448">
        <f>AY273+AY281+AY285</f>
        <v/>
      </c>
      <c r="AZ286" s="448">
        <f>AZ273+AZ281+AZ285</f>
        <v/>
      </c>
      <c r="BA286" s="448">
        <f>BA273+BA281+BA285</f>
        <v/>
      </c>
      <c r="BB286" s="448">
        <f>BB273+BB281+BB285</f>
        <v/>
      </c>
      <c r="BC286" s="448">
        <f>BC273+BC281+BC285</f>
        <v/>
      </c>
      <c r="BD286" s="448">
        <f>BD273+BD281+BD285</f>
        <v/>
      </c>
      <c r="BE286" s="448">
        <f>BE273+BE281+BE285</f>
        <v/>
      </c>
      <c r="BF286" s="448">
        <f>BF273+BF281+BF285</f>
        <v/>
      </c>
      <c r="BG286" s="448">
        <f>BG273+BG281+BG285</f>
        <v/>
      </c>
      <c r="BH286" s="448">
        <f>BH273+BH281+BH285</f>
        <v/>
      </c>
      <c r="BI286" s="448">
        <f>BI273+BI281+BI285</f>
        <v/>
      </c>
      <c r="BJ286" s="448">
        <f>BJ273+BJ281+BJ285</f>
        <v/>
      </c>
      <c r="BK286" s="448">
        <f>BK273+BK281+BK285</f>
        <v/>
      </c>
      <c r="BL286" s="448">
        <f>BL273+BL281+BL285</f>
        <v/>
      </c>
      <c r="BM286" s="448">
        <f>BM273+BM281+BM285</f>
        <v/>
      </c>
      <c r="BN286" s="448">
        <f>BN273+BN281+BN285</f>
        <v/>
      </c>
      <c r="BO286" s="448">
        <f>BO273+BO281+BO285</f>
        <v/>
      </c>
      <c r="BP286" s="448">
        <f>BP273+BP281+BP285</f>
        <v/>
      </c>
      <c r="BQ286" s="448">
        <f>BQ273+BQ281+BQ285</f>
        <v/>
      </c>
      <c r="BR286" s="448">
        <f>BR273+BR281+BR285</f>
        <v/>
      </c>
      <c r="BS286" s="448">
        <f>BS273+BS281+BS285</f>
        <v/>
      </c>
      <c r="BT286" s="448">
        <f>BT273+BT281+BT285</f>
        <v/>
      </c>
      <c r="BU286" s="448">
        <f>BU273+BU281+BU285</f>
        <v/>
      </c>
      <c r="BV286" s="448">
        <f>BV273+BV281+BV285</f>
        <v/>
      </c>
      <c r="BW286" s="448">
        <f>BW273+BW281+BW285</f>
        <v/>
      </c>
      <c r="BX286" s="448">
        <f>BX273+BX281+BX285</f>
        <v/>
      </c>
      <c r="BY286" s="448">
        <f>BY273+BY281+BY285</f>
        <v/>
      </c>
      <c r="BZ286" s="448">
        <f>BZ273+BZ281+BZ285</f>
        <v/>
      </c>
      <c r="CA286" s="448">
        <f>CA273+CA281+CA285</f>
        <v/>
      </c>
      <c r="CB286" s="448">
        <f>CB273+CB281+CB285</f>
        <v/>
      </c>
      <c r="CC286" s="448">
        <f>CC273+CC281+CC285</f>
        <v/>
      </c>
      <c r="CD286" s="448">
        <f>CD273+CD281+CD285</f>
        <v/>
      </c>
      <c r="CE286" s="448">
        <f>CE273+CE281+CE285</f>
        <v/>
      </c>
      <c r="CF286" s="448">
        <f>CF273+CF281+CF285</f>
        <v/>
      </c>
      <c r="CG286" s="448">
        <f>CG273+CG281+CG285</f>
        <v/>
      </c>
      <c r="CH286" s="448">
        <f>CH273+CH281+CH285</f>
        <v/>
      </c>
      <c r="CI286" s="448">
        <f>CI273+CI281+CI285</f>
        <v/>
      </c>
      <c r="CJ286" s="448">
        <f>CJ273+CJ281+CJ285</f>
        <v/>
      </c>
      <c r="CK286" s="448">
        <f>CK273+CK281+CK285</f>
        <v/>
      </c>
      <c r="CL286" s="448">
        <f>CL273+CL281+CL285</f>
        <v/>
      </c>
      <c r="CM286" s="448">
        <f>CM273+CM281+CM285</f>
        <v/>
      </c>
      <c r="CN286" s="448">
        <f>CN273+CN281+CN285</f>
        <v/>
      </c>
      <c r="CO286" s="448">
        <f>CO273+CO281+CO285</f>
        <v/>
      </c>
      <c r="CP286" s="448">
        <f>CP273+CP281+CP285</f>
        <v/>
      </c>
      <c r="CQ286" s="448">
        <f>CQ273+CQ281+CQ285</f>
        <v/>
      </c>
      <c r="CR286" s="448">
        <f>CR273+CR281+CR285</f>
        <v/>
      </c>
      <c r="CS286" s="448">
        <f>CS273+CS281+CS285</f>
        <v/>
      </c>
      <c r="CT286" s="448">
        <f>CT273+CT281+CT285</f>
        <v/>
      </c>
      <c r="CU286" s="448">
        <f>CU273+CU281+CU285</f>
        <v/>
      </c>
      <c r="CV286" s="448">
        <f>CV273+CV281+CV285</f>
        <v/>
      </c>
      <c r="CW286" s="448">
        <f>CW273+CW281+CW285</f>
        <v/>
      </c>
      <c r="CX286" s="448">
        <f>CX273+CX281+CX285</f>
        <v/>
      </c>
      <c r="CY286" s="448">
        <f>CY273+CY281+CY285</f>
        <v/>
      </c>
      <c r="CZ286" s="448">
        <f>CZ273+CZ281+CZ285</f>
        <v/>
      </c>
      <c r="DA286" s="448">
        <f>DA273+DA281+DA285</f>
        <v/>
      </c>
      <c r="DB286" s="448">
        <f>DB273+DB281+DB285</f>
        <v/>
      </c>
      <c r="DC286" s="448">
        <f>DC273+DC281+DC285</f>
        <v/>
      </c>
      <c r="DD286" s="448">
        <f>DD273+DD281+DD285</f>
        <v/>
      </c>
      <c r="DE286" s="448">
        <f>DE273+DE281+DE285</f>
        <v/>
      </c>
    </row>
    <row r="287" ht="15" customFormat="1" customHeight="1" s="380">
      <c r="A287" s="382" t="n"/>
      <c r="B287" s="392" t="n"/>
      <c r="C287" s="392" t="n"/>
      <c r="D287" s="392" t="n"/>
      <c r="E287" s="392" t="n"/>
      <c r="F287" s="392" t="n"/>
      <c r="G287" s="392" t="n"/>
      <c r="H287" s="392" t="n"/>
      <c r="I287" s="392" t="n"/>
      <c r="J287" s="392" t="n"/>
      <c r="K287" s="392" t="n"/>
      <c r="L287" s="392" t="n"/>
      <c r="M287" s="392" t="n"/>
      <c r="N287" s="392" t="n"/>
      <c r="O287" s="392" t="n"/>
      <c r="P287" s="392" t="n"/>
      <c r="Q287" s="392" t="n"/>
      <c r="R287" s="392" t="n"/>
      <c r="S287" s="392" t="n"/>
      <c r="T287" s="392" t="n"/>
      <c r="U287" s="392" t="n"/>
      <c r="V287" s="392" t="n"/>
      <c r="W287" s="392" t="n"/>
      <c r="X287" s="392" t="n"/>
      <c r="Y287" s="392" t="n"/>
      <c r="Z287" s="392" t="n"/>
      <c r="AA287" s="392" t="n"/>
      <c r="AB287" s="392" t="n"/>
      <c r="AC287" s="392" t="n"/>
      <c r="AD287" s="392" t="n"/>
      <c r="AE287" s="392" t="n"/>
      <c r="AF287" s="392" t="n"/>
      <c r="AG287" s="392" t="n"/>
      <c r="AH287" s="392" t="n"/>
      <c r="AI287" s="392" t="n"/>
      <c r="AJ287" s="392" t="n"/>
      <c r="AK287" s="392" t="n"/>
      <c r="AL287" s="392" t="n"/>
      <c r="AM287" s="392" t="n"/>
      <c r="AN287" s="392" t="n"/>
      <c r="AO287" s="392" t="n"/>
      <c r="AP287" s="392" t="n"/>
      <c r="AQ287" s="392" t="n"/>
      <c r="AR287" s="392" t="n"/>
      <c r="AS287" s="392" t="n"/>
      <c r="AT287" s="392" t="n"/>
      <c r="AU287" s="392" t="n"/>
      <c r="AV287" s="392" t="n"/>
      <c r="AW287" s="392" t="n"/>
      <c r="AX287" s="392" t="n"/>
      <c r="AY287" s="392" t="n"/>
      <c r="AZ287" s="392" t="n"/>
      <c r="BA287" s="392" t="n"/>
      <c r="BB287" s="392" t="n"/>
      <c r="BC287" s="392" t="n"/>
      <c r="BD287" s="392" t="n"/>
      <c r="BE287" s="392" t="n"/>
      <c r="BF287" s="392" t="n"/>
      <c r="BG287" s="392" t="n"/>
      <c r="BH287" s="392" t="n"/>
      <c r="BI287" s="392" t="n"/>
      <c r="BJ287" s="392" t="n"/>
      <c r="BK287" s="392" t="n"/>
      <c r="BL287" s="392" t="n"/>
      <c r="BM287" s="392" t="n"/>
      <c r="BN287" s="392" t="n"/>
      <c r="BO287" s="392" t="n"/>
      <c r="BP287" s="392" t="n"/>
      <c r="BQ287" s="392" t="n"/>
      <c r="BR287" s="392" t="n"/>
      <c r="BS287" s="392" t="n"/>
      <c r="BT287" s="392" t="n"/>
      <c r="BU287" s="392" t="n"/>
      <c r="BV287" s="392" t="n"/>
      <c r="BW287" s="392" t="n"/>
      <c r="BX287" s="392" t="n"/>
      <c r="BY287" s="392" t="n"/>
      <c r="BZ287" s="392" t="n"/>
      <c r="CA287" s="392" t="n"/>
      <c r="CB287" s="392" t="n"/>
      <c r="CC287" s="392" t="n"/>
      <c r="CD287" s="392" t="n"/>
      <c r="CE287" s="392" t="n"/>
      <c r="CF287" s="392" t="n"/>
      <c r="CG287" s="392" t="n"/>
      <c r="CH287" s="392" t="n"/>
      <c r="CI287" s="392" t="n"/>
      <c r="CJ287" s="392" t="n"/>
      <c r="CK287" s="392" t="n"/>
      <c r="CL287" s="392" t="n"/>
      <c r="CM287" s="392" t="n"/>
      <c r="CN287" s="392" t="n"/>
      <c r="CO287" s="392" t="n"/>
      <c r="CP287" s="392" t="n"/>
      <c r="CQ287" s="392" t="n"/>
      <c r="CR287" s="392" t="n"/>
      <c r="CS287" s="392" t="n"/>
      <c r="CT287" s="392" t="n"/>
      <c r="CU287" s="392" t="n"/>
      <c r="CV287" s="392" t="n"/>
      <c r="CW287" s="392" t="n"/>
      <c r="CX287" s="392" t="n"/>
      <c r="CY287" s="392" t="n"/>
      <c r="CZ287" s="392" t="n"/>
      <c r="DA287" s="392" t="n"/>
      <c r="DB287" s="392" t="n"/>
      <c r="DC287" s="392" t="n"/>
      <c r="DD287" s="392" t="n"/>
      <c r="DE287" s="392" t="n"/>
    </row>
    <row r="288" ht="15" customFormat="1" customHeight="1" s="380">
      <c r="A288" s="381" t="inlineStr">
        <is>
          <t>Notes:</t>
        </is>
      </c>
      <c r="B288" s="392" t="n"/>
      <c r="C288" s="392" t="n"/>
      <c r="D288" s="392" t="n"/>
      <c r="E288" s="392" t="n"/>
      <c r="F288" s="392" t="n"/>
      <c r="G288" s="392" t="n"/>
      <c r="H288" s="392" t="n"/>
      <c r="I288" s="392" t="n"/>
      <c r="J288" s="392" t="n"/>
      <c r="K288" s="392" t="n"/>
      <c r="L288" s="392" t="n"/>
      <c r="M288" s="392" t="n"/>
      <c r="N288" s="392" t="n"/>
      <c r="O288" s="392" t="n"/>
      <c r="P288" s="392" t="n"/>
      <c r="Q288" s="392" t="n"/>
      <c r="R288" s="392" t="n"/>
      <c r="S288" s="392" t="n"/>
      <c r="T288" s="392" t="n"/>
      <c r="U288" s="392" t="n"/>
      <c r="V288" s="392" t="n"/>
      <c r="W288" s="392" t="n"/>
      <c r="X288" s="392" t="n"/>
      <c r="Y288" s="392" t="n"/>
      <c r="Z288" s="392" t="n"/>
      <c r="AA288" s="392" t="n"/>
      <c r="AB288" s="392" t="n"/>
      <c r="AC288" s="392" t="n"/>
      <c r="AD288" s="392" t="n"/>
      <c r="AE288" s="392" t="n"/>
      <c r="AF288" s="392" t="n"/>
      <c r="AG288" s="392" t="n"/>
      <c r="AH288" s="392" t="n"/>
      <c r="AI288" s="392" t="n"/>
      <c r="AJ288" s="392" t="n"/>
      <c r="AK288" s="392" t="n"/>
      <c r="AL288" s="392" t="n"/>
      <c r="AM288" s="392" t="n"/>
      <c r="AN288" s="392" t="n"/>
      <c r="AO288" s="392" t="n"/>
      <c r="AP288" s="392" t="n"/>
      <c r="AQ288" s="392" t="n"/>
      <c r="AR288" s="392" t="n"/>
      <c r="AS288" s="392" t="n"/>
      <c r="AT288" s="392" t="n"/>
      <c r="AU288" s="392" t="n"/>
      <c r="AV288" s="392" t="n"/>
      <c r="AW288" s="392" t="n"/>
      <c r="AX288" s="392" t="n"/>
      <c r="AY288" s="392" t="n"/>
      <c r="AZ288" s="392" t="n"/>
      <c r="BA288" s="392" t="n"/>
      <c r="BB288" s="392" t="n"/>
      <c r="BC288" s="392" t="n"/>
      <c r="BD288" s="392" t="n"/>
      <c r="BE288" s="392" t="n"/>
      <c r="BF288" s="392" t="n"/>
      <c r="BG288" s="392" t="n"/>
      <c r="BH288" s="392" t="n"/>
      <c r="BI288" s="392" t="n"/>
      <c r="BJ288" s="392" t="n"/>
      <c r="BK288" s="392" t="n"/>
      <c r="BL288" s="392" t="n"/>
      <c r="BM288" s="392" t="n"/>
      <c r="BN288" s="392" t="n"/>
      <c r="BO288" s="392" t="n"/>
      <c r="BP288" s="392" t="n"/>
      <c r="BQ288" s="392" t="n"/>
      <c r="BR288" s="392" t="n"/>
      <c r="BS288" s="392" t="n"/>
      <c r="BT288" s="392" t="n"/>
      <c r="BU288" s="392" t="n"/>
      <c r="BV288" s="392" t="n"/>
      <c r="BW288" s="392" t="n"/>
      <c r="BX288" s="392" t="n"/>
      <c r="BY288" s="392" t="n"/>
      <c r="BZ288" s="392" t="n"/>
      <c r="CA288" s="392" t="n"/>
      <c r="CB288" s="392" t="n"/>
      <c r="CC288" s="392" t="n"/>
      <c r="CD288" s="392" t="n"/>
      <c r="CE288" s="392" t="n"/>
      <c r="CF288" s="392" t="n"/>
      <c r="CG288" s="392" t="n"/>
      <c r="CH288" s="392" t="n"/>
      <c r="CI288" s="392" t="n"/>
      <c r="CJ288" s="392" t="n"/>
      <c r="CK288" s="392" t="n"/>
      <c r="CL288" s="392" t="n"/>
      <c r="CM288" s="392" t="n"/>
      <c r="CN288" s="392" t="n"/>
      <c r="CO288" s="392" t="n"/>
      <c r="CP288" s="392" t="n"/>
      <c r="CQ288" s="392" t="n"/>
      <c r="CR288" s="392" t="n"/>
      <c r="CS288" s="392" t="n"/>
      <c r="CT288" s="392" t="n"/>
      <c r="CU288" s="392" t="n"/>
      <c r="CV288" s="392" t="n"/>
      <c r="CW288" s="392" t="n"/>
      <c r="CX288" s="392" t="n"/>
      <c r="CY288" s="392" t="n"/>
      <c r="CZ288" s="392" t="n"/>
      <c r="DA288" s="392" t="n"/>
      <c r="DB288" s="392" t="n"/>
      <c r="DC288" s="392" t="n"/>
      <c r="DD288" s="392" t="n"/>
      <c r="DE288" s="392" t="n"/>
    </row>
    <row r="289" ht="15" customFormat="1" customHeight="1" s="380">
      <c r="A289" s="449" t="inlineStr">
        <is>
          <t>Outstanding Steyn Fee Balances Owed (paid from future LIHTC revenue):</t>
        </is>
      </c>
      <c r="B289" s="392" t="n"/>
      <c r="C289" s="392" t="n"/>
      <c r="D289" s="392" t="n"/>
      <c r="E289" s="392" t="n"/>
      <c r="F289" s="392" t="n"/>
      <c r="G289" s="392" t="n"/>
      <c r="H289" s="392" t="n"/>
      <c r="I289" s="392" t="n"/>
      <c r="J289" s="392" t="n"/>
      <c r="K289" s="392" t="n"/>
      <c r="L289" s="392" t="n"/>
      <c r="M289" s="392" t="n"/>
      <c r="N289" s="392" t="n"/>
      <c r="O289" s="392" t="n"/>
      <c r="P289" s="392" t="n"/>
      <c r="Q289" s="392" t="n"/>
      <c r="R289" s="392" t="n"/>
      <c r="S289" s="392" t="n"/>
      <c r="T289" s="392" t="n"/>
      <c r="U289" s="392" t="n"/>
      <c r="V289" s="392" t="n"/>
      <c r="W289" s="392" t="n"/>
      <c r="X289" s="392" t="n"/>
      <c r="Y289" s="392" t="n"/>
      <c r="Z289" s="392" t="n"/>
      <c r="AA289" s="392" t="n"/>
      <c r="AB289" s="392" t="n"/>
      <c r="AC289" s="392" t="n"/>
      <c r="AD289" s="392" t="n"/>
      <c r="AE289" s="392" t="n"/>
      <c r="AF289" s="392" t="n"/>
      <c r="AG289" s="392" t="n"/>
      <c r="AH289" s="392" t="n"/>
      <c r="AI289" s="392" t="n"/>
      <c r="AJ289" s="392" t="n"/>
      <c r="AK289" s="392" t="n"/>
      <c r="AL289" s="392" t="n"/>
      <c r="AM289" s="392" t="n"/>
      <c r="AN289" s="392" t="n"/>
      <c r="AO289" s="392" t="n"/>
      <c r="AP289" s="392" t="n"/>
      <c r="AQ289" s="392" t="n"/>
      <c r="AR289" s="392" t="n"/>
      <c r="AS289" s="392" t="n"/>
      <c r="AT289" s="392" t="n"/>
      <c r="AU289" s="392" t="n"/>
      <c r="AV289" s="392" t="n"/>
      <c r="AW289" s="392" t="n"/>
      <c r="AX289" s="392" t="n"/>
      <c r="AY289" s="392" t="n"/>
      <c r="AZ289" s="392" t="n"/>
      <c r="BA289" s="392" t="n"/>
      <c r="BB289" s="392" t="n"/>
      <c r="BC289" s="392" t="n"/>
      <c r="BD289" s="392" t="n"/>
      <c r="BE289" s="392" t="n"/>
      <c r="BF289" s="392" t="n"/>
      <c r="BG289" s="392" t="n"/>
      <c r="BH289" s="392" t="n"/>
      <c r="BI289" s="392" t="n"/>
      <c r="BJ289" s="392" t="n"/>
      <c r="BK289" s="392" t="n"/>
      <c r="BL289" s="392" t="n"/>
      <c r="BM289" s="392" t="n"/>
      <c r="BN289" s="392" t="n"/>
      <c r="BO289" s="392" t="n"/>
      <c r="BP289" s="392" t="n"/>
      <c r="BQ289" s="392" t="n"/>
      <c r="BR289" s="392" t="n"/>
      <c r="BS289" s="392" t="n"/>
      <c r="BT289" s="392" t="n"/>
      <c r="BU289" s="392" t="n"/>
      <c r="BV289" s="392" t="n"/>
      <c r="BW289" s="392" t="n"/>
      <c r="BX289" s="392" t="n"/>
      <c r="BY289" s="392" t="n"/>
      <c r="BZ289" s="392" t="n"/>
      <c r="CA289" s="392" t="n"/>
      <c r="CB289" s="392" t="n"/>
      <c r="CC289" s="392" t="n"/>
      <c r="CD289" s="392" t="n"/>
      <c r="CE289" s="392" t="n"/>
      <c r="CF289" s="392" t="n"/>
      <c r="CG289" s="392" t="n"/>
      <c r="CH289" s="392" t="n"/>
      <c r="CI289" s="392" t="n"/>
      <c r="CJ289" s="392" t="n"/>
      <c r="CK289" s="392" t="n"/>
      <c r="CL289" s="392" t="n"/>
      <c r="CM289" s="392" t="n"/>
      <c r="CN289" s="392" t="n"/>
      <c r="CO289" s="392" t="n"/>
      <c r="CP289" s="392" t="n"/>
      <c r="CQ289" s="392" t="n"/>
      <c r="CR289" s="392" t="n"/>
      <c r="CS289" s="392" t="n"/>
      <c r="CT289" s="392" t="n"/>
      <c r="CU289" s="392" t="n"/>
      <c r="CV289" s="392" t="n"/>
      <c r="CW289" s="392" t="n"/>
      <c r="CX289" s="392" t="n"/>
      <c r="CY289" s="392" t="n"/>
      <c r="CZ289" s="392" t="n"/>
      <c r="DA289" s="392" t="n"/>
      <c r="DB289" s="392" t="n"/>
      <c r="DC289" s="392" t="n"/>
      <c r="DD289" s="392" t="n"/>
      <c r="DE289" s="392" t="n"/>
    </row>
    <row r="290" ht="15" customFormat="1" customHeight="1" s="380">
      <c r="A290" s="450" t="inlineStr">
        <is>
          <t>3rd St: $563,546  (1% GMP + 3% liquidity requirement)</t>
        </is>
      </c>
      <c r="B290" s="392" t="n"/>
      <c r="C290" s="392" t="n"/>
      <c r="D290" s="392" t="n"/>
      <c r="E290" s="392" t="n"/>
      <c r="F290" s="392" t="n"/>
      <c r="G290" s="392" t="n"/>
      <c r="H290" s="392" t="n"/>
      <c r="I290" s="392" t="n"/>
      <c r="J290" s="392" t="n"/>
      <c r="K290" s="392" t="n"/>
      <c r="L290" s="392" t="n"/>
      <c r="M290" s="392" t="n"/>
      <c r="N290" s="392" t="n"/>
      <c r="O290" s="392" t="n"/>
      <c r="P290" s="392" t="n"/>
      <c r="Q290" s="392" t="n"/>
      <c r="R290" s="392" t="n"/>
      <c r="S290" s="392" t="n"/>
      <c r="T290" s="392" t="n"/>
      <c r="U290" s="392" t="n"/>
      <c r="V290" s="392" t="n"/>
      <c r="W290" s="392" t="n"/>
      <c r="X290" s="392" t="n"/>
      <c r="Y290" s="392" t="n"/>
      <c r="Z290" s="392" t="n"/>
      <c r="AA290" s="392" t="n"/>
      <c r="AB290" s="392" t="n"/>
      <c r="AC290" s="392" t="n"/>
      <c r="AD290" s="392" t="n"/>
      <c r="AE290" s="392" t="n"/>
      <c r="AF290" s="392" t="n"/>
      <c r="AG290" s="392" t="n"/>
      <c r="AH290" s="392" t="n"/>
      <c r="AI290" s="392" t="n"/>
      <c r="AJ290" s="392" t="n"/>
      <c r="AK290" s="392" t="n"/>
      <c r="AL290" s="392" t="n"/>
      <c r="AM290" s="392" t="n"/>
      <c r="AN290" s="392" t="n"/>
      <c r="AO290" s="392" t="n"/>
      <c r="AP290" s="392" t="n"/>
      <c r="AQ290" s="392" t="n"/>
      <c r="AR290" s="392" t="n"/>
      <c r="AS290" s="392" t="n"/>
      <c r="AT290" s="392" t="n"/>
      <c r="AU290" s="392" t="n"/>
      <c r="AV290" s="392" t="n"/>
      <c r="AW290" s="392" t="n"/>
      <c r="AX290" s="392" t="n"/>
      <c r="AY290" s="392" t="n"/>
      <c r="AZ290" s="392" t="n"/>
      <c r="BA290" s="392" t="n"/>
      <c r="BB290" s="392" t="n"/>
      <c r="BC290" s="392" t="n"/>
      <c r="BD290" s="392" t="n"/>
      <c r="BE290" s="392" t="n"/>
      <c r="BF290" s="392" t="n"/>
      <c r="BG290" s="392" t="n"/>
      <c r="BH290" s="392" t="n"/>
      <c r="BI290" s="392" t="n"/>
      <c r="BJ290" s="392" t="n"/>
      <c r="BK290" s="392" t="n"/>
      <c r="BL290" s="392" t="n"/>
      <c r="BM290" s="392" t="n"/>
      <c r="BN290" s="392" t="n"/>
      <c r="BO290" s="392" t="n"/>
      <c r="BP290" s="392" t="n"/>
      <c r="BQ290" s="392" t="n"/>
      <c r="BR290" s="392" t="n"/>
      <c r="BS290" s="392" t="n"/>
      <c r="BT290" s="392" t="n"/>
      <c r="BU290" s="392" t="n"/>
      <c r="BV290" s="392" t="n"/>
      <c r="BW290" s="392" t="n"/>
      <c r="BX290" s="392" t="n"/>
      <c r="BY290" s="392" t="n"/>
      <c r="BZ290" s="392" t="n"/>
      <c r="CA290" s="392" t="n"/>
      <c r="CB290" s="392" t="n"/>
      <c r="CC290" s="392" t="n"/>
      <c r="CD290" s="392" t="n"/>
      <c r="CE290" s="392" t="n"/>
      <c r="CF290" s="392" t="n"/>
      <c r="CG290" s="392" t="n"/>
      <c r="CH290" s="392" t="n"/>
      <c r="CI290" s="392" t="n"/>
      <c r="CJ290" s="392" t="n"/>
      <c r="CK290" s="392" t="n"/>
      <c r="CL290" s="392" t="n"/>
      <c r="CM290" s="392" t="n"/>
      <c r="CN290" s="392" t="n"/>
      <c r="CO290" s="392" t="n"/>
      <c r="CP290" s="392" t="n"/>
      <c r="CQ290" s="392" t="n"/>
      <c r="CR290" s="392" t="n"/>
      <c r="CS290" s="392" t="n"/>
      <c r="CT290" s="392" t="n"/>
      <c r="CU290" s="392" t="n"/>
      <c r="CV290" s="392" t="n"/>
      <c r="CW290" s="392" t="n"/>
      <c r="CX290" s="392" t="n"/>
      <c r="CY290" s="392" t="n"/>
      <c r="CZ290" s="392" t="n"/>
      <c r="DA290" s="392" t="n"/>
      <c r="DB290" s="392" t="n"/>
      <c r="DC290" s="392" t="n"/>
      <c r="DD290" s="392" t="n"/>
      <c r="DE290" s="392" t="n"/>
    </row>
    <row r="291" ht="15" customFormat="1" customHeight="1" s="380">
      <c r="A291" s="450" t="inlineStr">
        <is>
          <t>Francis: $579,684 paid quarterly from LIHTC revenue starting Mo 42 (Sep 2029). No PIK capital invested.</t>
        </is>
      </c>
      <c r="B291" s="392" t="n"/>
      <c r="C291" s="392" t="n"/>
      <c r="D291" s="392" t="n"/>
      <c r="E291" s="392" t="n"/>
      <c r="F291" s="392" t="n"/>
      <c r="G291" s="392" t="n"/>
      <c r="H291" s="392" t="n"/>
      <c r="I291" s="392" t="n"/>
      <c r="J291" s="392" t="n"/>
      <c r="K291" s="392" t="n"/>
      <c r="L291" s="392" t="n"/>
      <c r="M291" s="392" t="n"/>
      <c r="N291" s="392" t="n"/>
      <c r="O291" s="392" t="n"/>
      <c r="P291" s="392" t="n"/>
      <c r="Q291" s="392" t="n"/>
      <c r="R291" s="392" t="n"/>
      <c r="S291" s="392" t="n"/>
      <c r="T291" s="392" t="n"/>
      <c r="U291" s="392" t="n"/>
      <c r="V291" s="392" t="n"/>
      <c r="W291" s="392" t="n"/>
      <c r="X291" s="392" t="n"/>
      <c r="Y291" s="392" t="n"/>
      <c r="Z291" s="392" t="n"/>
      <c r="AA291" s="392" t="n"/>
      <c r="AB291" s="392" t="n"/>
      <c r="AC291" s="392" t="n"/>
      <c r="AD291" s="392" t="n"/>
      <c r="AE291" s="392" t="n"/>
      <c r="AF291" s="392" t="n"/>
      <c r="AG291" s="392" t="n"/>
      <c r="AH291" s="392" t="n"/>
      <c r="AI291" s="392" t="n"/>
      <c r="AJ291" s="392" t="n"/>
      <c r="AK291" s="392" t="n"/>
      <c r="AL291" s="392" t="n"/>
      <c r="AM291" s="392" t="n"/>
      <c r="AN291" s="392" t="n"/>
      <c r="AO291" s="392" t="n"/>
      <c r="AP291" s="392" t="n"/>
      <c r="AQ291" s="392" t="n"/>
      <c r="AR291" s="392" t="n"/>
      <c r="AS291" s="392" t="n"/>
      <c r="AT291" s="392" t="n"/>
      <c r="AU291" s="392" t="n"/>
      <c r="AV291" s="392" t="n"/>
      <c r="AW291" s="392" t="n"/>
      <c r="AX291" s="392" t="n"/>
      <c r="AY291" s="392" t="n"/>
      <c r="AZ291" s="392" t="n"/>
      <c r="BA291" s="392" t="n"/>
      <c r="BB291" s="392" t="n"/>
      <c r="BC291" s="392" t="n"/>
      <c r="BD291" s="392" t="n"/>
      <c r="BE291" s="392" t="n"/>
      <c r="BF291" s="392" t="n"/>
      <c r="BG291" s="392" t="n"/>
      <c r="BH291" s="392" t="n"/>
      <c r="BI291" s="392" t="n"/>
      <c r="BJ291" s="392" t="n"/>
      <c r="BK291" s="392" t="n"/>
      <c r="BL291" s="392" t="n"/>
      <c r="BM291" s="392" t="n"/>
      <c r="BN291" s="392" t="n"/>
      <c r="BO291" s="392" t="n"/>
      <c r="BP291" s="392" t="n"/>
      <c r="BQ291" s="392" t="n"/>
      <c r="BR291" s="392" t="n"/>
      <c r="BS291" s="392" t="n"/>
      <c r="BT291" s="392" t="n"/>
      <c r="BU291" s="392" t="n"/>
      <c r="BV291" s="392" t="n"/>
      <c r="BW291" s="392" t="n"/>
      <c r="BX291" s="392" t="n"/>
      <c r="BY291" s="392" t="n"/>
      <c r="BZ291" s="392" t="n"/>
      <c r="CA291" s="392" t="n"/>
      <c r="CB291" s="392" t="n"/>
      <c r="CC291" s="392" t="n"/>
      <c r="CD291" s="392" t="n"/>
      <c r="CE291" s="392" t="n"/>
      <c r="CF291" s="392" t="n"/>
      <c r="CG291" s="392" t="n"/>
      <c r="CH291" s="392" t="n"/>
      <c r="CI291" s="392" t="n"/>
      <c r="CJ291" s="392" t="n"/>
      <c r="CK291" s="392" t="n"/>
      <c r="CL291" s="392" t="n"/>
      <c r="CM291" s="392" t="n"/>
      <c r="CN291" s="392" t="n"/>
      <c r="CO291" s="392" t="n"/>
      <c r="CP291" s="392" t="n"/>
      <c r="CQ291" s="392" t="n"/>
      <c r="CR291" s="392" t="n"/>
      <c r="CS291" s="392" t="n"/>
      <c r="CT291" s="392" t="n"/>
      <c r="CU291" s="392" t="n"/>
      <c r="CV291" s="392" t="n"/>
      <c r="CW291" s="392" t="n"/>
      <c r="CX291" s="392" t="n"/>
      <c r="CY291" s="392" t="n"/>
      <c r="CZ291" s="392" t="n"/>
      <c r="DA291" s="392" t="n"/>
      <c r="DB291" s="392" t="n"/>
      <c r="DC291" s="392" t="n"/>
      <c r="DD291" s="392" t="n"/>
      <c r="DE291" s="392" t="n"/>
    </row>
    <row r="292" ht="15" customFormat="1" customHeight="1" s="380">
      <c r="A292" s="450" t="inlineStr">
        <is>
          <t>Reseda: $602,668 paid quarterly from LIHTC revenue starting Mo 45 (Dec 2029). Deal distributes $1,450,000 at project start (Mo 13, Apr 2027).</t>
        </is>
      </c>
      <c r="B292" s="392" t="n"/>
      <c r="C292" s="392" t="n"/>
      <c r="D292" s="392" t="n"/>
      <c r="E292" s="392" t="n"/>
      <c r="F292" s="392" t="n"/>
      <c r="G292" s="392" t="n"/>
      <c r="H292" s="392" t="n"/>
      <c r="I292" s="392" t="n"/>
      <c r="J292" s="392" t="n"/>
      <c r="K292" s="392" t="n"/>
      <c r="L292" s="392" t="n"/>
      <c r="M292" s="392" t="n"/>
      <c r="N292" s="392" t="n"/>
      <c r="O292" s="392" t="n"/>
      <c r="P292" s="392" t="n"/>
      <c r="Q292" s="392" t="n"/>
      <c r="R292" s="392" t="n"/>
      <c r="S292" s="392" t="n"/>
      <c r="T292" s="392" t="n"/>
      <c r="U292" s="392" t="n"/>
      <c r="V292" s="392" t="n"/>
      <c r="W292" s="392" t="n"/>
      <c r="X292" s="392" t="n"/>
      <c r="Y292" s="392" t="n"/>
      <c r="Z292" s="392" t="n"/>
      <c r="AA292" s="392" t="n"/>
      <c r="AB292" s="392" t="n"/>
      <c r="AC292" s="392" t="n"/>
      <c r="AD292" s="392" t="n"/>
      <c r="AE292" s="392" t="n"/>
      <c r="AF292" s="392" t="n"/>
      <c r="AG292" s="392" t="n"/>
      <c r="AH292" s="392" t="n"/>
      <c r="AI292" s="392" t="n"/>
      <c r="AJ292" s="392" t="n"/>
      <c r="AK292" s="392" t="n"/>
      <c r="AL292" s="392" t="n"/>
      <c r="AM292" s="392" t="n"/>
      <c r="AN292" s="392" t="n"/>
      <c r="AO292" s="392" t="n"/>
      <c r="AP292" s="392" t="n"/>
      <c r="AQ292" s="392" t="n"/>
      <c r="AR292" s="392" t="n"/>
      <c r="AS292" s="392" t="n"/>
      <c r="AT292" s="392" t="n"/>
      <c r="AU292" s="392" t="n"/>
      <c r="AV292" s="392" t="n"/>
      <c r="AW292" s="392" t="n"/>
      <c r="AX292" s="392" t="n"/>
      <c r="AY292" s="392" t="n"/>
      <c r="AZ292" s="392" t="n"/>
      <c r="BA292" s="392" t="n"/>
      <c r="BB292" s="392" t="n"/>
      <c r="BC292" s="392" t="n"/>
      <c r="BD292" s="392" t="n"/>
      <c r="BE292" s="392" t="n"/>
      <c r="BF292" s="392" t="n"/>
      <c r="BG292" s="392" t="n"/>
      <c r="BH292" s="392" t="n"/>
      <c r="BI292" s="392" t="n"/>
      <c r="BJ292" s="392" t="n"/>
      <c r="BK292" s="392" t="n"/>
      <c r="BL292" s="392" t="n"/>
      <c r="BM292" s="392" t="n"/>
      <c r="BN292" s="392" t="n"/>
      <c r="BO292" s="392" t="n"/>
      <c r="BP292" s="392" t="n"/>
      <c r="BQ292" s="392" t="n"/>
      <c r="BR292" s="392" t="n"/>
      <c r="BS292" s="392" t="n"/>
      <c r="BT292" s="392" t="n"/>
      <c r="BU292" s="392" t="n"/>
      <c r="BV292" s="392" t="n"/>
      <c r="BW292" s="392" t="n"/>
      <c r="BX292" s="392" t="n"/>
      <c r="BY292" s="392" t="n"/>
      <c r="BZ292" s="392" t="n"/>
      <c r="CA292" s="392" t="n"/>
      <c r="CB292" s="392" t="n"/>
      <c r="CC292" s="392" t="n"/>
      <c r="CD292" s="392" t="n"/>
      <c r="CE292" s="392" t="n"/>
      <c r="CF292" s="392" t="n"/>
      <c r="CG292" s="392" t="n"/>
      <c r="CH292" s="392" t="n"/>
      <c r="CI292" s="392" t="n"/>
      <c r="CJ292" s="392" t="n"/>
      <c r="CK292" s="392" t="n"/>
      <c r="CL292" s="392" t="n"/>
      <c r="CM292" s="392" t="n"/>
      <c r="CN292" s="392" t="n"/>
      <c r="CO292" s="392" t="n"/>
      <c r="CP292" s="392" t="n"/>
      <c r="CQ292" s="392" t="n"/>
      <c r="CR292" s="392" t="n"/>
      <c r="CS292" s="392" t="n"/>
      <c r="CT292" s="392" t="n"/>
      <c r="CU292" s="392" t="n"/>
      <c r="CV292" s="392" t="n"/>
      <c r="CW292" s="392" t="n"/>
      <c r="CX292" s="392" t="n"/>
      <c r="CY292" s="392" t="n"/>
      <c r="CZ292" s="392" t="n"/>
      <c r="DA292" s="392" t="n"/>
      <c r="DB292" s="392" t="n"/>
      <c r="DC292" s="392" t="n"/>
      <c r="DD292" s="392" t="n"/>
      <c r="DE292" s="392" t="n"/>
    </row>
    <row r="293" ht="15" customFormat="1" customHeight="1" s="380">
      <c r="B293" s="451" t="n"/>
      <c r="C293" s="451" t="n"/>
      <c r="D293" s="451" t="n"/>
      <c r="E293" s="451" t="n"/>
      <c r="F293" s="451" t="n"/>
      <c r="G293" s="451" t="n"/>
      <c r="H293" s="451" t="n"/>
      <c r="I293" s="451" t="n"/>
      <c r="J293" s="451" t="n"/>
      <c r="K293" s="451" t="n"/>
      <c r="L293" s="451" t="n"/>
      <c r="M293" s="451" t="n"/>
      <c r="N293" s="451" t="n"/>
      <c r="O293" s="451" t="n"/>
      <c r="P293" s="451" t="n"/>
      <c r="Q293" s="451" t="n"/>
      <c r="R293" s="451" t="n"/>
      <c r="S293" s="451" t="n"/>
      <c r="T293" s="451" t="n"/>
      <c r="U293" s="451" t="n"/>
      <c r="V293" s="451" t="n"/>
      <c r="W293" s="451" t="n"/>
      <c r="X293" s="451" t="n"/>
      <c r="Y293" s="451" t="n"/>
      <c r="Z293" s="451" t="n"/>
      <c r="AA293" s="451" t="n"/>
      <c r="AB293" s="451" t="n"/>
      <c r="AC293" s="451" t="n"/>
      <c r="AD293" s="451" t="n"/>
      <c r="AE293" s="451" t="n"/>
      <c r="AF293" s="451" t="n"/>
      <c r="AG293" s="451" t="n"/>
      <c r="AH293" s="451" t="n"/>
      <c r="AI293" s="451" t="n"/>
      <c r="AJ293" s="451" t="n"/>
      <c r="AK293" s="451" t="n"/>
      <c r="AL293" s="451" t="n"/>
      <c r="AM293" s="451" t="n"/>
      <c r="AN293" s="451" t="n"/>
      <c r="AO293" s="451" t="n"/>
      <c r="AP293" s="451" t="n"/>
      <c r="AQ293" s="451" t="n"/>
      <c r="AR293" s="451" t="n"/>
      <c r="AS293" s="451" t="n"/>
      <c r="AT293" s="451" t="n"/>
      <c r="AU293" s="451" t="n"/>
      <c r="AV293" s="451" t="n"/>
      <c r="AW293" s="451" t="n"/>
      <c r="AX293" s="451" t="n"/>
      <c r="AY293" s="451" t="n"/>
      <c r="AZ293" s="451" t="n"/>
      <c r="BA293" s="451" t="n"/>
      <c r="BB293" s="451" t="n"/>
      <c r="BC293" s="451" t="n"/>
      <c r="BD293" s="451" t="n"/>
      <c r="BE293" s="451" t="n"/>
      <c r="BF293" s="451" t="n"/>
      <c r="BG293" s="451" t="n"/>
      <c r="BH293" s="451" t="n"/>
      <c r="BI293" s="451" t="n"/>
      <c r="BJ293" s="451" t="n"/>
      <c r="BK293" s="451" t="n"/>
      <c r="BL293" s="451" t="n"/>
      <c r="BM293" s="451" t="n"/>
      <c r="BN293" s="451" t="n"/>
      <c r="BO293" s="451" t="n"/>
      <c r="BP293" s="451" t="n"/>
      <c r="BQ293" s="451" t="n"/>
      <c r="BR293" s="451" t="n"/>
      <c r="BS293" s="451" t="n"/>
      <c r="BT293" s="451" t="n"/>
      <c r="BU293" s="451" t="n"/>
      <c r="BV293" s="451" t="n"/>
      <c r="BW293" s="451" t="n"/>
      <c r="BX293" s="451" t="n"/>
      <c r="BY293" s="451" t="n"/>
      <c r="BZ293" s="451" t="n"/>
      <c r="CA293" s="451" t="n"/>
      <c r="CB293" s="451" t="n"/>
      <c r="CC293" s="451" t="n"/>
      <c r="CD293" s="451" t="n"/>
      <c r="CE293" s="451" t="n"/>
      <c r="CF293" s="451" t="n"/>
      <c r="CG293" s="451" t="n"/>
      <c r="CH293" s="451" t="n"/>
      <c r="CI293" s="451" t="n"/>
      <c r="CJ293" s="451" t="n"/>
      <c r="CK293" s="451" t="n"/>
      <c r="CL293" s="451" t="n"/>
      <c r="CM293" s="451" t="n"/>
      <c r="CN293" s="451" t="n"/>
      <c r="CO293" s="451" t="n"/>
      <c r="CP293" s="451" t="n"/>
      <c r="CQ293" s="451" t="n"/>
      <c r="CR293" s="451" t="n"/>
      <c r="CS293" s="451" t="n"/>
      <c r="CT293" s="451" t="n"/>
      <c r="CU293" s="451" t="n"/>
      <c r="CV293" s="451" t="n"/>
      <c r="CW293" s="451" t="n"/>
      <c r="CX293" s="451" t="n"/>
      <c r="CY293" s="451" t="n"/>
      <c r="CZ293" s="451" t="n"/>
      <c r="DA293" s="451" t="n"/>
      <c r="DB293" s="451" t="n"/>
      <c r="DC293" s="451" t="n"/>
      <c r="DD293" s="451" t="n"/>
      <c r="DE293" s="451" t="n"/>
    </row>
    <row r="294" ht="15" customFormat="1" customHeight="1" s="380">
      <c r="B294" s="451" t="n"/>
      <c r="C294" s="451" t="n"/>
      <c r="D294" s="451" t="n"/>
      <c r="E294" s="451" t="n"/>
      <c r="F294" s="451" t="n"/>
      <c r="G294" s="451" t="n"/>
      <c r="H294" s="451" t="n"/>
      <c r="I294" s="451" t="n"/>
      <c r="J294" s="451" t="n"/>
      <c r="K294" s="451" t="n"/>
      <c r="L294" s="451" t="n"/>
      <c r="M294" s="451" t="n"/>
      <c r="N294" s="451" t="n"/>
      <c r="O294" s="451" t="n"/>
      <c r="P294" s="451" t="n"/>
      <c r="Q294" s="451" t="n"/>
      <c r="R294" s="451" t="n"/>
      <c r="S294" s="451" t="n"/>
      <c r="T294" s="451" t="n"/>
      <c r="U294" s="451" t="n"/>
      <c r="V294" s="451" t="n"/>
      <c r="W294" s="451" t="n"/>
      <c r="X294" s="451" t="n"/>
      <c r="Y294" s="451" t="n"/>
      <c r="Z294" s="451" t="n"/>
      <c r="AA294" s="451" t="n"/>
      <c r="AB294" s="451" t="n"/>
      <c r="AC294" s="451" t="n"/>
      <c r="AD294" s="451" t="n"/>
      <c r="AE294" s="451" t="n"/>
      <c r="AF294" s="451" t="n"/>
      <c r="AG294" s="451" t="n"/>
      <c r="AH294" s="451" t="n"/>
      <c r="AI294" s="451" t="n"/>
      <c r="AJ294" s="451" t="n"/>
      <c r="AK294" s="451" t="n"/>
      <c r="AL294" s="451" t="n"/>
      <c r="AM294" s="451" t="n"/>
      <c r="AN294" s="451" t="n"/>
      <c r="AO294" s="451" t="n"/>
      <c r="AP294" s="451" t="n"/>
      <c r="AQ294" s="451" t="n"/>
      <c r="AR294" s="451" t="n"/>
      <c r="AS294" s="451" t="n"/>
      <c r="AT294" s="451" t="n"/>
      <c r="AU294" s="451" t="n"/>
      <c r="AV294" s="451" t="n"/>
      <c r="AW294" s="451" t="n"/>
      <c r="AX294" s="451" t="n"/>
      <c r="AY294" s="451" t="n"/>
      <c r="AZ294" s="451" t="n"/>
      <c r="BA294" s="451" t="n"/>
      <c r="BB294" s="451" t="n"/>
      <c r="BC294" s="451" t="n"/>
      <c r="BD294" s="451" t="n"/>
      <c r="BE294" s="451" t="n"/>
      <c r="BF294" s="451" t="n"/>
      <c r="BG294" s="451" t="n"/>
      <c r="BH294" s="451" t="n"/>
      <c r="BI294" s="451" t="n"/>
      <c r="BJ294" s="451" t="n"/>
      <c r="BK294" s="451" t="n"/>
      <c r="BL294" s="451" t="n"/>
      <c r="BM294" s="451" t="n"/>
      <c r="BN294" s="451" t="n"/>
      <c r="BO294" s="451" t="n"/>
      <c r="BP294" s="451" t="n"/>
      <c r="BQ294" s="451" t="n"/>
      <c r="BR294" s="451" t="n"/>
      <c r="BS294" s="451" t="n"/>
      <c r="BT294" s="451" t="n"/>
      <c r="BU294" s="451" t="n"/>
      <c r="BV294" s="451" t="n"/>
      <c r="BW294" s="451" t="n"/>
      <c r="BX294" s="451" t="n"/>
      <c r="BY294" s="451" t="n"/>
      <c r="BZ294" s="451" t="n"/>
      <c r="CA294" s="451" t="n"/>
      <c r="CB294" s="451" t="n"/>
      <c r="CC294" s="451" t="n"/>
      <c r="CD294" s="451" t="n"/>
      <c r="CE294" s="451" t="n"/>
      <c r="CF294" s="451" t="n"/>
      <c r="CG294" s="451" t="n"/>
      <c r="CH294" s="451" t="n"/>
      <c r="CI294" s="451" t="n"/>
      <c r="CJ294" s="451" t="n"/>
      <c r="CK294" s="451" t="n"/>
      <c r="CL294" s="451" t="n"/>
      <c r="CM294" s="451" t="n"/>
      <c r="CN294" s="451" t="n"/>
      <c r="CO294" s="451" t="n"/>
      <c r="CP294" s="451" t="n"/>
      <c r="CQ294" s="451" t="n"/>
      <c r="CR294" s="451" t="n"/>
      <c r="CS294" s="451" t="n"/>
      <c r="CT294" s="451" t="n"/>
      <c r="CU294" s="451" t="n"/>
      <c r="CV294" s="451" t="n"/>
      <c r="CW294" s="451" t="n"/>
      <c r="CX294" s="451" t="n"/>
      <c r="CY294" s="451" t="n"/>
      <c r="CZ294" s="451" t="n"/>
      <c r="DA294" s="451" t="n"/>
      <c r="DB294" s="451" t="n"/>
      <c r="DC294" s="451" t="n"/>
      <c r="DD294" s="451" t="n"/>
      <c r="DE294" s="451" t="n"/>
    </row>
    <row r="295" ht="15" customFormat="1" customHeight="1" s="380">
      <c r="A295" s="424" t="inlineStr">
        <is>
          <t>CASH VERIFICATION — MODEL vs FINANCIAL STATEMENTS</t>
        </is>
      </c>
      <c r="B295" s="419" t="n"/>
      <c r="C295" s="419" t="n"/>
      <c r="D295" s="419" t="n"/>
      <c r="E295" s="419" t="n"/>
      <c r="F295" s="419" t="n"/>
      <c r="G295" s="419" t="n"/>
      <c r="H295" s="419" t="n"/>
      <c r="I295" s="419" t="n"/>
      <c r="J295" s="419" t="n"/>
      <c r="K295" s="419" t="n"/>
      <c r="L295" s="419" t="n"/>
      <c r="M295" s="419" t="n"/>
      <c r="N295" s="419" t="n"/>
      <c r="O295" s="419" t="n"/>
      <c r="P295" s="419" t="n"/>
      <c r="Q295" s="419" t="n"/>
      <c r="R295" s="419" t="n"/>
      <c r="S295" s="419" t="n"/>
      <c r="T295" s="419" t="n"/>
      <c r="U295" s="419" t="n"/>
      <c r="V295" s="419" t="n"/>
      <c r="W295" s="419" t="n"/>
      <c r="X295" s="419" t="n"/>
      <c r="Y295" s="419" t="n"/>
      <c r="Z295" s="419" t="n"/>
      <c r="AA295" s="419" t="n"/>
      <c r="AB295" s="419" t="n"/>
      <c r="AC295" s="419" t="n"/>
      <c r="AD295" s="419" t="n"/>
      <c r="AE295" s="419" t="n"/>
      <c r="AF295" s="419" t="n"/>
      <c r="AG295" s="419" t="n"/>
      <c r="AH295" s="419" t="n"/>
      <c r="AI295" s="419" t="n"/>
      <c r="AJ295" s="419" t="n"/>
      <c r="AK295" s="419" t="n"/>
      <c r="AL295" s="419" t="n"/>
      <c r="AM295" s="419" t="n"/>
      <c r="AN295" s="419" t="n"/>
      <c r="AO295" s="419" t="n"/>
      <c r="AP295" s="419" t="n"/>
      <c r="AQ295" s="419" t="n"/>
      <c r="AR295" s="419" t="n"/>
      <c r="AS295" s="419" t="n"/>
      <c r="AT295" s="419" t="n"/>
      <c r="AU295" s="419" t="n"/>
      <c r="AV295" s="419" t="n"/>
      <c r="AW295" s="419" t="n"/>
      <c r="AX295" s="419" t="n"/>
      <c r="AY295" s="419" t="n"/>
      <c r="AZ295" s="419" t="n"/>
      <c r="BA295" s="419" t="n"/>
      <c r="BB295" s="419" t="n"/>
      <c r="BC295" s="419" t="n"/>
      <c r="BD295" s="419" t="n"/>
      <c r="BE295" s="419" t="n"/>
      <c r="BF295" s="419" t="n"/>
      <c r="BG295" s="419" t="n"/>
      <c r="BH295" s="419" t="n"/>
      <c r="BI295" s="419" t="n"/>
      <c r="BJ295" s="419" t="n"/>
      <c r="BK295" s="419" t="n"/>
      <c r="BL295" s="419" t="n"/>
      <c r="BM295" s="419" t="n"/>
      <c r="BN295" s="419" t="n"/>
      <c r="BO295" s="419" t="n"/>
      <c r="BP295" s="419" t="n"/>
      <c r="BQ295" s="419" t="n"/>
      <c r="BR295" s="419" t="n"/>
      <c r="BS295" s="419" t="n"/>
      <c r="BT295" s="419" t="n"/>
      <c r="BU295" s="419" t="n"/>
      <c r="BV295" s="419" t="n"/>
      <c r="BW295" s="419" t="n"/>
      <c r="BX295" s="419" t="n"/>
      <c r="BY295" s="419" t="n"/>
      <c r="BZ295" s="419" t="n"/>
      <c r="CA295" s="419" t="n"/>
      <c r="CB295" s="419" t="n"/>
      <c r="CC295" s="419" t="n"/>
      <c r="CD295" s="419" t="n"/>
      <c r="CE295" s="419" t="n"/>
      <c r="CF295" s="419" t="n"/>
      <c r="CG295" s="419" t="n"/>
      <c r="CH295" s="419" t="n"/>
      <c r="CI295" s="419" t="n"/>
      <c r="CJ295" s="419" t="n"/>
      <c r="CK295" s="419" t="n"/>
      <c r="CL295" s="419" t="n"/>
      <c r="CM295" s="419" t="n"/>
      <c r="CN295" s="419" t="n"/>
      <c r="CO295" s="419" t="n"/>
      <c r="CP295" s="419" t="n"/>
      <c r="CQ295" s="419" t="n"/>
      <c r="CR295" s="419" t="n"/>
      <c r="CS295" s="419" t="n"/>
      <c r="CT295" s="419" t="n"/>
      <c r="CU295" s="419" t="n"/>
      <c r="CV295" s="419" t="n"/>
      <c r="CW295" s="419" t="n"/>
      <c r="CX295" s="419" t="n"/>
      <c r="CY295" s="419" t="n"/>
      <c r="CZ295" s="419" t="n"/>
      <c r="DA295" s="419" t="n"/>
      <c r="DB295" s="419" t="n"/>
      <c r="DC295" s="419" t="n"/>
      <c r="DD295" s="419" t="n"/>
      <c r="DE295" s="419" t="n"/>
    </row>
    <row r="296" ht="15" customFormat="1" customHeight="1" s="380">
      <c r="A296" s="450" t="inlineStr">
        <is>
          <t>Actuals are entered at each close from the monthly packs in Accounting\Financials\2026 Financials: Six Peak Construction LA LP (Consolidated) B/S cash = LV (GC) cash; Six Peak Capital LP (Consolidated) B/S cash = Six Peak cash. Blue = hardcoded from the statements; black = formula.</t>
        </is>
      </c>
      <c r="B296" s="392" t="n"/>
      <c r="C296" s="392" t="n"/>
      <c r="D296" s="392" t="n"/>
      <c r="E296" s="392" t="n"/>
      <c r="F296" s="392" t="n"/>
      <c r="G296" s="392" t="n"/>
      <c r="H296" s="392" t="n"/>
      <c r="I296" s="392" t="n"/>
      <c r="J296" s="392" t="n"/>
      <c r="K296" s="392" t="n"/>
      <c r="L296" s="392" t="n"/>
      <c r="M296" s="392" t="n"/>
      <c r="N296" s="392" t="n"/>
      <c r="O296" s="392" t="n"/>
      <c r="P296" s="392" t="n"/>
      <c r="Q296" s="392" t="n"/>
      <c r="R296" s="392" t="n"/>
      <c r="S296" s="392" t="n"/>
      <c r="T296" s="392" t="n"/>
      <c r="U296" s="392" t="n"/>
      <c r="V296" s="392" t="n"/>
      <c r="W296" s="392" t="n"/>
      <c r="X296" s="392" t="n"/>
      <c r="Y296" s="392" t="n"/>
      <c r="Z296" s="392" t="n"/>
      <c r="AA296" s="392" t="n"/>
      <c r="AB296" s="392" t="n"/>
      <c r="AC296" s="392" t="n"/>
      <c r="AD296" s="392" t="n"/>
      <c r="AE296" s="392" t="n"/>
      <c r="AF296" s="392" t="n"/>
      <c r="AG296" s="392" t="n"/>
      <c r="AH296" s="392" t="n"/>
      <c r="AI296" s="392" t="n"/>
      <c r="AJ296" s="392" t="n"/>
      <c r="AK296" s="392" t="n"/>
      <c r="AL296" s="392" t="n"/>
      <c r="AM296" s="392" t="n"/>
      <c r="AN296" s="392" t="n"/>
      <c r="AO296" s="392" t="n"/>
      <c r="AP296" s="392" t="n"/>
      <c r="AQ296" s="392" t="n"/>
      <c r="AR296" s="392" t="n"/>
      <c r="AS296" s="392" t="n"/>
      <c r="AT296" s="392" t="n"/>
      <c r="AU296" s="392" t="n"/>
      <c r="AV296" s="392" t="n"/>
      <c r="AW296" s="392" t="n"/>
      <c r="AX296" s="392" t="n"/>
      <c r="AY296" s="392" t="n"/>
      <c r="AZ296" s="392" t="n"/>
      <c r="BA296" s="392" t="n"/>
      <c r="BB296" s="392" t="n"/>
      <c r="BC296" s="392" t="n"/>
      <c r="BD296" s="392" t="n"/>
      <c r="BE296" s="392" t="n"/>
      <c r="BF296" s="392" t="n"/>
      <c r="BG296" s="392" t="n"/>
      <c r="BH296" s="392" t="n"/>
      <c r="BI296" s="392" t="n"/>
      <c r="BJ296" s="392" t="n"/>
      <c r="BK296" s="392" t="n"/>
      <c r="BL296" s="392" t="n"/>
      <c r="BM296" s="392" t="n"/>
      <c r="BN296" s="392" t="n"/>
      <c r="BO296" s="392" t="n"/>
      <c r="BP296" s="392" t="n"/>
      <c r="BQ296" s="392" t="n"/>
      <c r="BR296" s="392" t="n"/>
      <c r="BS296" s="392" t="n"/>
      <c r="BT296" s="392" t="n"/>
      <c r="BU296" s="392" t="n"/>
      <c r="BV296" s="392" t="n"/>
      <c r="BW296" s="392" t="n"/>
      <c r="BX296" s="392" t="n"/>
      <c r="BY296" s="392" t="n"/>
      <c r="BZ296" s="392" t="n"/>
      <c r="CA296" s="392" t="n"/>
      <c r="CB296" s="392" t="n"/>
      <c r="CC296" s="392" t="n"/>
      <c r="CD296" s="392" t="n"/>
      <c r="CE296" s="392" t="n"/>
      <c r="CF296" s="392" t="n"/>
      <c r="CG296" s="392" t="n"/>
      <c r="CH296" s="392" t="n"/>
      <c r="CI296" s="392" t="n"/>
      <c r="CJ296" s="392" t="n"/>
      <c r="CK296" s="392" t="n"/>
      <c r="CL296" s="392" t="n"/>
      <c r="CM296" s="392" t="n"/>
      <c r="CN296" s="392" t="n"/>
      <c r="CO296" s="392" t="n"/>
      <c r="CP296" s="392" t="n"/>
      <c r="CQ296" s="392" t="n"/>
      <c r="CR296" s="392" t="n"/>
      <c r="CS296" s="392" t="n"/>
      <c r="CT296" s="392" t="n"/>
      <c r="CU296" s="392" t="n"/>
      <c r="CV296" s="392" t="n"/>
      <c r="CW296" s="392" t="n"/>
      <c r="CX296" s="392" t="n"/>
      <c r="CY296" s="392" t="n"/>
      <c r="CZ296" s="392" t="n"/>
      <c r="DA296" s="392" t="n"/>
      <c r="DB296" s="392" t="n"/>
      <c r="DC296" s="392" t="n"/>
      <c r="DD296" s="392" t="n"/>
      <c r="DE296" s="392" t="n"/>
    </row>
    <row r="297" ht="15" customFormat="1" customHeight="1" s="380">
      <c r="A297" s="450" t="inlineStr">
        <is>
          <t>The cash build (rows 264-286) starts the month after the last close, so the live tie is on the opening balance (row 265 / 276 / 284). The "prior pack" rows keep what the model projected for a month before it closed, so forecast error is visible after the build rolls forward.</t>
        </is>
      </c>
      <c r="B297" s="392" t="n"/>
      <c r="C297" s="392" t="n"/>
      <c r="D297" s="392" t="n"/>
      <c r="E297" s="392" t="n"/>
      <c r="F297" s="392" t="n"/>
      <c r="G297" s="392" t="n"/>
      <c r="H297" s="392" t="n"/>
      <c r="I297" s="392" t="n"/>
      <c r="J297" s="392" t="n"/>
      <c r="K297" s="392" t="n"/>
      <c r="L297" s="392" t="n"/>
      <c r="M297" s="392" t="n"/>
      <c r="N297" s="392" t="n"/>
      <c r="O297" s="392" t="n"/>
      <c r="P297" s="392" t="n"/>
      <c r="Q297" s="392" t="n"/>
      <c r="R297" s="392" t="n"/>
      <c r="S297" s="392" t="n"/>
      <c r="T297" s="392" t="n"/>
      <c r="U297" s="392" t="n"/>
      <c r="V297" s="392" t="n"/>
      <c r="W297" s="392" t="n"/>
      <c r="X297" s="392" t="n"/>
      <c r="Y297" s="392" t="n"/>
      <c r="Z297" s="392" t="n"/>
      <c r="AA297" s="392" t="n"/>
      <c r="AB297" s="392" t="n"/>
      <c r="AC297" s="392" t="n"/>
      <c r="AD297" s="392" t="n"/>
      <c r="AE297" s="392" t="n"/>
      <c r="AF297" s="392" t="n"/>
      <c r="AG297" s="392" t="n"/>
      <c r="AH297" s="392" t="n"/>
      <c r="AI297" s="392" t="n"/>
      <c r="AJ297" s="392" t="n"/>
      <c r="AK297" s="392" t="n"/>
      <c r="AL297" s="392" t="n"/>
      <c r="AM297" s="392" t="n"/>
      <c r="AN297" s="392" t="n"/>
      <c r="AO297" s="392" t="n"/>
      <c r="AP297" s="392" t="n"/>
      <c r="AQ297" s="392" t="n"/>
      <c r="AR297" s="392" t="n"/>
      <c r="AS297" s="392" t="n"/>
      <c r="AT297" s="392" t="n"/>
      <c r="AU297" s="392" t="n"/>
      <c r="AV297" s="392" t="n"/>
      <c r="AW297" s="392" t="n"/>
      <c r="AX297" s="392" t="n"/>
      <c r="AY297" s="392" t="n"/>
      <c r="AZ297" s="392" t="n"/>
      <c r="BA297" s="392" t="n"/>
      <c r="BB297" s="392" t="n"/>
      <c r="BC297" s="392" t="n"/>
      <c r="BD297" s="392" t="n"/>
      <c r="BE297" s="392" t="n"/>
      <c r="BF297" s="392" t="n"/>
      <c r="BG297" s="392" t="n"/>
      <c r="BH297" s="392" t="n"/>
      <c r="BI297" s="392" t="n"/>
      <c r="BJ297" s="392" t="n"/>
      <c r="BK297" s="392" t="n"/>
      <c r="BL297" s="392" t="n"/>
      <c r="BM297" s="392" t="n"/>
      <c r="BN297" s="392" t="n"/>
      <c r="BO297" s="392" t="n"/>
      <c r="BP297" s="392" t="n"/>
      <c r="BQ297" s="392" t="n"/>
      <c r="BR297" s="392" t="n"/>
      <c r="BS297" s="392" t="n"/>
      <c r="BT297" s="392" t="n"/>
      <c r="BU297" s="392" t="n"/>
      <c r="BV297" s="392" t="n"/>
      <c r="BW297" s="392" t="n"/>
      <c r="BX297" s="392" t="n"/>
      <c r="BY297" s="392" t="n"/>
      <c r="BZ297" s="392" t="n"/>
      <c r="CA297" s="392" t="n"/>
      <c r="CB297" s="392" t="n"/>
      <c r="CC297" s="392" t="n"/>
      <c r="CD297" s="392" t="n"/>
      <c r="CE297" s="392" t="n"/>
      <c r="CF297" s="392" t="n"/>
      <c r="CG297" s="392" t="n"/>
      <c r="CH297" s="392" t="n"/>
      <c r="CI297" s="392" t="n"/>
      <c r="CJ297" s="392" t="n"/>
      <c r="CK297" s="392" t="n"/>
      <c r="CL297" s="392" t="n"/>
      <c r="CM297" s="392" t="n"/>
      <c r="CN297" s="392" t="n"/>
      <c r="CO297" s="392" t="n"/>
      <c r="CP297" s="392" t="n"/>
      <c r="CQ297" s="392" t="n"/>
      <c r="CR297" s="392" t="n"/>
      <c r="CS297" s="392" t="n"/>
      <c r="CT297" s="392" t="n"/>
      <c r="CU297" s="392" t="n"/>
      <c r="CV297" s="392" t="n"/>
      <c r="CW297" s="392" t="n"/>
      <c r="CX297" s="392" t="n"/>
      <c r="CY297" s="392" t="n"/>
      <c r="CZ297" s="392" t="n"/>
      <c r="DA297" s="392" t="n"/>
      <c r="DB297" s="392" t="n"/>
      <c r="DC297" s="392" t="n"/>
      <c r="DD297" s="392" t="n"/>
      <c r="DE297" s="392" t="n"/>
    </row>
    <row r="298" ht="15" customFormat="1" customHeight="1" s="380">
      <c r="A298" s="452" t="n"/>
      <c r="B298" s="451" t="n"/>
      <c r="C298" s="451" t="n"/>
      <c r="D298" s="451" t="n"/>
      <c r="E298" s="451" t="n"/>
      <c r="F298" s="451" t="n"/>
      <c r="G298" s="451" t="n"/>
      <c r="H298" s="451" t="n"/>
      <c r="I298" s="451" t="n"/>
      <c r="J298" s="451" t="n"/>
      <c r="K298" s="451" t="n"/>
      <c r="L298" s="451" t="n"/>
      <c r="M298" s="451" t="n"/>
      <c r="N298" s="451" t="n"/>
      <c r="O298" s="451" t="n"/>
      <c r="P298" s="451" t="n"/>
      <c r="Q298" s="451" t="n"/>
      <c r="R298" s="451" t="n"/>
      <c r="S298" s="451" t="n"/>
      <c r="T298" s="451" t="n"/>
      <c r="U298" s="451" t="n"/>
      <c r="V298" s="451" t="n"/>
      <c r="W298" s="451" t="n"/>
      <c r="X298" s="451" t="n"/>
      <c r="Y298" s="451" t="n"/>
      <c r="Z298" s="451" t="n"/>
      <c r="AA298" s="451" t="n"/>
      <c r="AB298" s="451" t="n"/>
      <c r="AC298" s="451" t="n"/>
      <c r="AD298" s="451" t="n"/>
      <c r="AE298" s="451" t="n"/>
      <c r="AF298" s="451" t="n"/>
      <c r="AG298" s="451" t="n"/>
      <c r="AH298" s="451" t="n"/>
      <c r="AI298" s="451" t="n"/>
      <c r="AJ298" s="451" t="n"/>
      <c r="AK298" s="451" t="n"/>
      <c r="AL298" s="451" t="n"/>
      <c r="AM298" s="451" t="n"/>
      <c r="AN298" s="451" t="n"/>
      <c r="AO298" s="451" t="n"/>
      <c r="AP298" s="451" t="n"/>
      <c r="AQ298" s="451" t="n"/>
      <c r="AR298" s="451" t="n"/>
      <c r="AS298" s="451" t="n"/>
      <c r="AT298" s="451" t="n"/>
      <c r="AU298" s="451" t="n"/>
      <c r="AV298" s="451" t="n"/>
      <c r="AW298" s="451" t="n"/>
      <c r="AX298" s="451" t="n"/>
      <c r="AY298" s="451" t="n"/>
      <c r="AZ298" s="451" t="n"/>
      <c r="BA298" s="451" t="n"/>
      <c r="BB298" s="451" t="n"/>
      <c r="BC298" s="451" t="n"/>
      <c r="BD298" s="451" t="n"/>
      <c r="BE298" s="451" t="n"/>
      <c r="BF298" s="451" t="n"/>
      <c r="BG298" s="451" t="n"/>
      <c r="BH298" s="451" t="n"/>
      <c r="BI298" s="451" t="n"/>
      <c r="BJ298" s="451" t="n"/>
      <c r="BK298" s="451" t="n"/>
      <c r="BL298" s="451" t="n"/>
      <c r="BM298" s="451" t="n"/>
      <c r="BN298" s="451" t="n"/>
      <c r="BO298" s="451" t="n"/>
      <c r="BP298" s="451" t="n"/>
      <c r="BQ298" s="451" t="n"/>
      <c r="BR298" s="451" t="n"/>
      <c r="BS298" s="451" t="n"/>
      <c r="BT298" s="451" t="n"/>
      <c r="BU298" s="451" t="n"/>
      <c r="BV298" s="451" t="n"/>
      <c r="BW298" s="451" t="n"/>
      <c r="BX298" s="451" t="n"/>
      <c r="BY298" s="451" t="n"/>
      <c r="BZ298" s="451" t="n"/>
      <c r="CA298" s="451" t="n"/>
      <c r="CB298" s="451" t="n"/>
      <c r="CC298" s="451" t="n"/>
      <c r="CD298" s="451" t="n"/>
      <c r="CE298" s="451" t="n"/>
      <c r="CF298" s="451" t="n"/>
      <c r="CG298" s="451" t="n"/>
      <c r="CH298" s="451" t="n"/>
      <c r="CI298" s="451" t="n"/>
      <c r="CJ298" s="451" t="n"/>
      <c r="CK298" s="451" t="n"/>
      <c r="CL298" s="451" t="n"/>
      <c r="CM298" s="451" t="n"/>
      <c r="CN298" s="451" t="n"/>
      <c r="CO298" s="451" t="n"/>
      <c r="CP298" s="451" t="n"/>
      <c r="CQ298" s="451" t="n"/>
      <c r="CR298" s="451" t="n"/>
      <c r="CS298" s="451" t="n"/>
      <c r="CT298" s="451" t="n"/>
      <c r="CU298" s="451" t="n"/>
      <c r="CV298" s="451" t="n"/>
      <c r="CW298" s="451" t="n"/>
      <c r="CX298" s="451" t="n"/>
      <c r="CY298" s="451" t="n"/>
      <c r="CZ298" s="451" t="n"/>
      <c r="DA298" s="451" t="n"/>
      <c r="DB298" s="451" t="n"/>
      <c r="DC298" s="451" t="n"/>
      <c r="DD298" s="451" t="n"/>
      <c r="DE298" s="451" t="n"/>
    </row>
    <row r="299" ht="15" customFormat="1" customHeight="1" s="380">
      <c r="A299" s="402" t="inlineStr">
        <is>
          <t>A. ACTUAL CASH PER FINANCIAL STATEMENTS (month-end)</t>
        </is>
      </c>
      <c r="B299" s="414" t="n"/>
      <c r="C299" s="414" t="n"/>
      <c r="D299" s="414" t="n"/>
      <c r="E299" s="414" t="n"/>
      <c r="F299" s="414" t="n"/>
      <c r="G299" s="414" t="n"/>
      <c r="H299" s="414" t="n"/>
      <c r="I299" s="414" t="n"/>
      <c r="J299" s="414" t="n"/>
      <c r="K299" s="414" t="n"/>
      <c r="L299" s="414" t="n"/>
      <c r="M299" s="414" t="n"/>
      <c r="N299" s="414" t="n"/>
      <c r="O299" s="414" t="n"/>
      <c r="P299" s="414" t="n"/>
      <c r="Q299" s="414" t="n"/>
      <c r="R299" s="414" t="n"/>
      <c r="S299" s="414" t="n"/>
      <c r="T299" s="414" t="n"/>
      <c r="U299" s="414" t="n"/>
      <c r="V299" s="414" t="n"/>
      <c r="W299" s="414" t="n"/>
      <c r="X299" s="414" t="n"/>
      <c r="Y299" s="414" t="n"/>
      <c r="Z299" s="414" t="n"/>
      <c r="AA299" s="414" t="n"/>
      <c r="AB299" s="414" t="n"/>
      <c r="AC299" s="414" t="n"/>
      <c r="AD299" s="414" t="n"/>
      <c r="AE299" s="414" t="n"/>
      <c r="AF299" s="414" t="n"/>
      <c r="AG299" s="414" t="n"/>
      <c r="AH299" s="414" t="n"/>
      <c r="AI299" s="414" t="n"/>
      <c r="AJ299" s="414" t="n"/>
      <c r="AK299" s="414" t="n"/>
      <c r="AL299" s="414" t="n"/>
      <c r="AM299" s="414" t="n"/>
      <c r="AN299" s="414" t="n"/>
      <c r="AO299" s="414" t="n"/>
      <c r="AP299" s="414" t="n"/>
      <c r="AQ299" s="414" t="n"/>
      <c r="AR299" s="414" t="n"/>
      <c r="AS299" s="414" t="n"/>
      <c r="AT299" s="414" t="n"/>
      <c r="AU299" s="414" t="n"/>
      <c r="AV299" s="414" t="n"/>
      <c r="AW299" s="414" t="n"/>
      <c r="AX299" s="414" t="n"/>
      <c r="AY299" s="414" t="n"/>
      <c r="AZ299" s="414" t="n"/>
      <c r="BA299" s="414" t="n"/>
      <c r="BB299" s="414" t="n"/>
      <c r="BC299" s="414" t="n"/>
      <c r="BD299" s="414" t="n"/>
      <c r="BE299" s="414" t="n"/>
      <c r="BF299" s="414" t="n"/>
      <c r="BG299" s="414" t="n"/>
      <c r="BH299" s="414" t="n"/>
      <c r="BI299" s="414" t="n"/>
      <c r="BJ299" s="414" t="n"/>
      <c r="BK299" s="414" t="n"/>
      <c r="BL299" s="414" t="n"/>
      <c r="BM299" s="414" t="n"/>
      <c r="BN299" s="414" t="n"/>
      <c r="BO299" s="414" t="n"/>
      <c r="BP299" s="414" t="n"/>
      <c r="BQ299" s="414" t="n"/>
      <c r="BR299" s="414" t="n"/>
      <c r="BS299" s="414" t="n"/>
      <c r="BT299" s="414" t="n"/>
      <c r="BU299" s="414" t="n"/>
      <c r="BV299" s="414" t="n"/>
      <c r="BW299" s="414" t="n"/>
      <c r="BX299" s="414" t="n"/>
      <c r="BY299" s="414" t="n"/>
      <c r="BZ299" s="414" t="n"/>
      <c r="CA299" s="414" t="n"/>
      <c r="CB299" s="414" t="n"/>
      <c r="CC299" s="414" t="n"/>
      <c r="CD299" s="414" t="n"/>
      <c r="CE299" s="414" t="n"/>
      <c r="CF299" s="414" t="n"/>
      <c r="CG299" s="414" t="n"/>
      <c r="CH299" s="414" t="n"/>
      <c r="CI299" s="414" t="n"/>
      <c r="CJ299" s="414" t="n"/>
      <c r="CK299" s="414" t="n"/>
      <c r="CL299" s="414" t="n"/>
      <c r="CM299" s="414" t="n"/>
      <c r="CN299" s="414" t="n"/>
      <c r="CO299" s="414" t="n"/>
      <c r="CP299" s="414" t="n"/>
      <c r="CQ299" s="414" t="n"/>
      <c r="CR299" s="414" t="n"/>
      <c r="CS299" s="414" t="n"/>
      <c r="CT299" s="414" t="n"/>
      <c r="CU299" s="414" t="n"/>
      <c r="CV299" s="414" t="n"/>
      <c r="CW299" s="414" t="n"/>
      <c r="CX299" s="414" t="n"/>
      <c r="CY299" s="414" t="n"/>
      <c r="CZ299" s="414" t="n"/>
      <c r="DA299" s="414" t="n"/>
      <c r="DB299" s="414" t="n"/>
      <c r="DC299" s="414" t="n"/>
      <c r="DD299" s="414" t="n"/>
      <c r="DE299" s="414" t="n"/>
    </row>
    <row r="300" ht="15" customFormat="1" customHeight="1" s="380">
      <c r="A300" s="397" t="inlineStr">
        <is>
          <t>Six Peak Construction LA LP (Consolidated) B/S — Cash  [LV (GC) cash]</t>
        </is>
      </c>
      <c r="B300" s="453" t="n">
        <v>680024</v>
      </c>
      <c r="C300" s="453" t="n">
        <v>115848</v>
      </c>
      <c r="D300" s="453" t="n">
        <v>633520</v>
      </c>
      <c r="E300" s="453" t="n">
        <v>394004</v>
      </c>
      <c r="F300" s="453" t="n">
        <v>501967</v>
      </c>
      <c r="G300" s="453" t="n">
        <v>306139</v>
      </c>
      <c r="H300" s="453" t="n">
        <v>283340</v>
      </c>
      <c r="I300" s="392" t="n"/>
      <c r="J300" s="392" t="n"/>
      <c r="K300" s="392" t="n"/>
      <c r="L300" s="392" t="n"/>
      <c r="M300" s="392" t="n"/>
      <c r="N300" s="392" t="n"/>
      <c r="O300" s="392" t="n"/>
      <c r="P300" s="392" t="n"/>
      <c r="Q300" s="392" t="n"/>
      <c r="R300" s="392" t="n"/>
      <c r="S300" s="392" t="n"/>
      <c r="T300" s="392" t="n"/>
      <c r="U300" s="392" t="n"/>
      <c r="V300" s="392" t="n"/>
      <c r="W300" s="392" t="n"/>
      <c r="X300" s="392" t="n"/>
      <c r="Y300" s="392" t="n"/>
      <c r="Z300" s="392" t="n"/>
      <c r="AA300" s="392" t="n"/>
      <c r="AB300" s="392" t="n"/>
      <c r="AC300" s="392" t="n"/>
      <c r="AD300" s="392" t="n"/>
      <c r="AE300" s="392" t="n"/>
      <c r="AF300" s="392" t="n"/>
      <c r="AG300" s="392" t="n"/>
      <c r="AH300" s="392" t="n"/>
      <c r="AI300" s="392" t="n"/>
      <c r="AJ300" s="392" t="n"/>
      <c r="AK300" s="392" t="n"/>
      <c r="AL300" s="392" t="n"/>
      <c r="AM300" s="392" t="n"/>
      <c r="AN300" s="392" t="n"/>
      <c r="AO300" s="392" t="n"/>
      <c r="AP300" s="392" t="n"/>
      <c r="AQ300" s="392" t="n"/>
      <c r="AR300" s="392" t="n"/>
      <c r="AS300" s="392" t="n"/>
      <c r="AT300" s="392" t="n"/>
      <c r="AU300" s="392" t="n"/>
      <c r="AV300" s="392" t="n"/>
      <c r="AW300" s="392" t="n"/>
      <c r="AX300" s="392" t="n"/>
      <c r="AY300" s="392" t="n"/>
      <c r="AZ300" s="392" t="n"/>
      <c r="BA300" s="392" t="n"/>
      <c r="BB300" s="392" t="n"/>
      <c r="BC300" s="392" t="n"/>
      <c r="BD300" s="392" t="n"/>
      <c r="BE300" s="392" t="n"/>
      <c r="BF300" s="392" t="n"/>
      <c r="BG300" s="392" t="n"/>
      <c r="BH300" s="392" t="n"/>
      <c r="BI300" s="392" t="n"/>
      <c r="BJ300" s="392" t="n"/>
      <c r="BK300" s="392" t="n"/>
      <c r="BL300" s="392" t="n"/>
      <c r="BM300" s="392" t="n"/>
      <c r="BN300" s="392" t="n"/>
      <c r="BO300" s="392" t="n"/>
      <c r="BP300" s="392" t="n"/>
      <c r="BQ300" s="392" t="n"/>
      <c r="BR300" s="392" t="n"/>
      <c r="BS300" s="392" t="n"/>
      <c r="BT300" s="392" t="n"/>
      <c r="BU300" s="392" t="n"/>
      <c r="BV300" s="392" t="n"/>
      <c r="BW300" s="392" t="n"/>
      <c r="BX300" s="392" t="n"/>
      <c r="BY300" s="392" t="n"/>
      <c r="BZ300" s="392" t="n"/>
      <c r="CA300" s="392" t="n"/>
      <c r="CB300" s="392" t="n"/>
      <c r="CC300" s="392" t="n"/>
      <c r="CD300" s="392" t="n"/>
      <c r="CE300" s="392" t="n"/>
      <c r="CF300" s="392" t="n"/>
      <c r="CG300" s="392" t="n"/>
      <c r="CH300" s="392" t="n"/>
      <c r="CI300" s="392" t="n"/>
      <c r="CJ300" s="392" t="n"/>
      <c r="CK300" s="392" t="n"/>
      <c r="CL300" s="392" t="n"/>
      <c r="CM300" s="392" t="n"/>
      <c r="CN300" s="392" t="n"/>
      <c r="CO300" s="392" t="n"/>
      <c r="CP300" s="392" t="n"/>
      <c r="CQ300" s="392" t="n"/>
      <c r="CR300" s="392" t="n"/>
      <c r="CS300" s="392" t="n"/>
      <c r="CT300" s="392" t="n"/>
      <c r="CU300" s="392" t="n"/>
      <c r="CV300" s="392" t="n"/>
      <c r="CW300" s="392" t="n"/>
      <c r="CX300" s="392" t="n"/>
      <c r="CY300" s="392" t="n"/>
      <c r="CZ300" s="392" t="n"/>
      <c r="DA300" s="392" t="n"/>
      <c r="DB300" s="392" t="n"/>
      <c r="DC300" s="392" t="n"/>
      <c r="DD300" s="392" t="n"/>
      <c r="DE300" s="392" t="n"/>
    </row>
    <row r="301" ht="15" customFormat="1" customHeight="1" s="380">
      <c r="A301" s="397" t="inlineStr">
        <is>
          <t xml:space="preserve">     Chase – LV Construction LLC (…5225), balance per GL</t>
        </is>
      </c>
      <c r="B301" s="453" t="n">
        <v>340025.08</v>
      </c>
      <c r="C301" s="453" t="n">
        <v>-261834.01</v>
      </c>
      <c r="D301" s="453" t="n">
        <v>193556.06</v>
      </c>
      <c r="E301" s="453" t="n">
        <v>189693.03</v>
      </c>
      <c r="F301" s="453" t="n">
        <v>158202.61</v>
      </c>
      <c r="G301" s="453" t="n">
        <v>93567.49000000001</v>
      </c>
      <c r="H301" s="453" t="n">
        <v>-24341.08</v>
      </c>
      <c r="I301" s="392" t="n"/>
      <c r="J301" s="392" t="n"/>
      <c r="K301" s="392" t="n"/>
      <c r="L301" s="392" t="n"/>
      <c r="M301" s="392" t="n"/>
      <c r="N301" s="392" t="n"/>
      <c r="O301" s="392" t="n"/>
      <c r="P301" s="392" t="n"/>
      <c r="Q301" s="392" t="n"/>
      <c r="R301" s="392" t="n"/>
      <c r="S301" s="392" t="n"/>
      <c r="T301" s="392" t="n"/>
      <c r="U301" s="392" t="n"/>
      <c r="V301" s="392" t="n"/>
      <c r="W301" s="392" t="n"/>
      <c r="X301" s="392" t="n"/>
      <c r="Y301" s="392" t="n"/>
      <c r="Z301" s="392" t="n"/>
      <c r="AA301" s="392" t="n"/>
      <c r="AB301" s="392" t="n"/>
      <c r="AC301" s="392" t="n"/>
      <c r="AD301" s="392" t="n"/>
      <c r="AE301" s="392" t="n"/>
      <c r="AF301" s="392" t="n"/>
      <c r="AG301" s="392" t="n"/>
      <c r="AH301" s="392" t="n"/>
      <c r="AI301" s="392" t="n"/>
      <c r="AJ301" s="392" t="n"/>
      <c r="AK301" s="392" t="n"/>
      <c r="AL301" s="392" t="n"/>
      <c r="AM301" s="392" t="n"/>
      <c r="AN301" s="392" t="n"/>
      <c r="AO301" s="392" t="n"/>
      <c r="AP301" s="392" t="n"/>
      <c r="AQ301" s="392" t="n"/>
      <c r="AR301" s="392" t="n"/>
      <c r="AS301" s="392" t="n"/>
      <c r="AT301" s="392" t="n"/>
      <c r="AU301" s="392" t="n"/>
      <c r="AV301" s="392" t="n"/>
      <c r="AW301" s="392" t="n"/>
      <c r="AX301" s="392" t="n"/>
      <c r="AY301" s="392" t="n"/>
      <c r="AZ301" s="392" t="n"/>
      <c r="BA301" s="392" t="n"/>
      <c r="BB301" s="392" t="n"/>
      <c r="BC301" s="392" t="n"/>
      <c r="BD301" s="392" t="n"/>
      <c r="BE301" s="392" t="n"/>
      <c r="BF301" s="392" t="n"/>
      <c r="BG301" s="392" t="n"/>
      <c r="BH301" s="392" t="n"/>
      <c r="BI301" s="392" t="n"/>
      <c r="BJ301" s="392" t="n"/>
      <c r="BK301" s="392" t="n"/>
      <c r="BL301" s="392" t="n"/>
      <c r="BM301" s="392" t="n"/>
      <c r="BN301" s="392" t="n"/>
      <c r="BO301" s="392" t="n"/>
      <c r="BP301" s="392" t="n"/>
      <c r="BQ301" s="392" t="n"/>
      <c r="BR301" s="392" t="n"/>
      <c r="BS301" s="392" t="n"/>
      <c r="BT301" s="392" t="n"/>
      <c r="BU301" s="392" t="n"/>
      <c r="BV301" s="392" t="n"/>
      <c r="BW301" s="392" t="n"/>
      <c r="BX301" s="392" t="n"/>
      <c r="BY301" s="392" t="n"/>
      <c r="BZ301" s="392" t="n"/>
      <c r="CA301" s="392" t="n"/>
      <c r="CB301" s="392" t="n"/>
      <c r="CC301" s="392" t="n"/>
      <c r="CD301" s="392" t="n"/>
      <c r="CE301" s="392" t="n"/>
      <c r="CF301" s="392" t="n"/>
      <c r="CG301" s="392" t="n"/>
      <c r="CH301" s="392" t="n"/>
      <c r="CI301" s="392" t="n"/>
      <c r="CJ301" s="392" t="n"/>
      <c r="CK301" s="392" t="n"/>
      <c r="CL301" s="392" t="n"/>
      <c r="CM301" s="392" t="n"/>
      <c r="CN301" s="392" t="n"/>
      <c r="CO301" s="392" t="n"/>
      <c r="CP301" s="392" t="n"/>
      <c r="CQ301" s="392" t="n"/>
      <c r="CR301" s="392" t="n"/>
      <c r="CS301" s="392" t="n"/>
      <c r="CT301" s="392" t="n"/>
      <c r="CU301" s="392" t="n"/>
      <c r="CV301" s="392" t="n"/>
      <c r="CW301" s="392" t="n"/>
      <c r="CX301" s="392" t="n"/>
      <c r="CY301" s="392" t="n"/>
      <c r="CZ301" s="392" t="n"/>
      <c r="DA301" s="392" t="n"/>
      <c r="DB301" s="392" t="n"/>
      <c r="DC301" s="392" t="n"/>
      <c r="DD301" s="392" t="n"/>
      <c r="DE301" s="392" t="n"/>
    </row>
    <row r="302" ht="15" customFormat="1" customHeight="1" s="380">
      <c r="A302" s="397" t="inlineStr">
        <is>
          <t xml:space="preserve">     Chase – LV Savings</t>
        </is>
      </c>
      <c r="B302" s="453" t="n">
        <v>250140</v>
      </c>
      <c r="C302" s="453" t="n">
        <v>142.7</v>
      </c>
      <c r="D302" s="453" t="n">
        <v>142.7</v>
      </c>
      <c r="E302" s="453" t="n">
        <v>142.7</v>
      </c>
      <c r="F302" s="453" t="n">
        <v>142.7</v>
      </c>
      <c r="G302" s="453" t="n">
        <v>142.7</v>
      </c>
      <c r="H302" s="453" t="n">
        <v>142.7</v>
      </c>
      <c r="I302" s="392" t="n"/>
      <c r="J302" s="392" t="n"/>
      <c r="K302" s="392" t="n"/>
      <c r="L302" s="392" t="n"/>
      <c r="M302" s="392" t="n"/>
      <c r="N302" s="392" t="n"/>
      <c r="O302" s="392" t="n"/>
      <c r="P302" s="392" t="n"/>
      <c r="Q302" s="392" t="n"/>
      <c r="R302" s="392" t="n"/>
      <c r="S302" s="392" t="n"/>
      <c r="T302" s="392" t="n"/>
      <c r="U302" s="392" t="n"/>
      <c r="V302" s="392" t="n"/>
      <c r="W302" s="392" t="n"/>
      <c r="X302" s="392" t="n"/>
      <c r="Y302" s="392" t="n"/>
      <c r="Z302" s="392" t="n"/>
      <c r="AA302" s="392" t="n"/>
      <c r="AB302" s="392" t="n"/>
      <c r="AC302" s="392" t="n"/>
      <c r="AD302" s="392" t="n"/>
      <c r="AE302" s="392" t="n"/>
      <c r="AF302" s="392" t="n"/>
      <c r="AG302" s="392" t="n"/>
      <c r="AH302" s="392" t="n"/>
      <c r="AI302" s="392" t="n"/>
      <c r="AJ302" s="392" t="n"/>
      <c r="AK302" s="392" t="n"/>
      <c r="AL302" s="392" t="n"/>
      <c r="AM302" s="392" t="n"/>
      <c r="AN302" s="392" t="n"/>
      <c r="AO302" s="392" t="n"/>
      <c r="AP302" s="392" t="n"/>
      <c r="AQ302" s="392" t="n"/>
      <c r="AR302" s="392" t="n"/>
      <c r="AS302" s="392" t="n"/>
      <c r="AT302" s="392" t="n"/>
      <c r="AU302" s="392" t="n"/>
      <c r="AV302" s="392" t="n"/>
      <c r="AW302" s="392" t="n"/>
      <c r="AX302" s="392" t="n"/>
      <c r="AY302" s="392" t="n"/>
      <c r="AZ302" s="392" t="n"/>
      <c r="BA302" s="392" t="n"/>
      <c r="BB302" s="392" t="n"/>
      <c r="BC302" s="392" t="n"/>
      <c r="BD302" s="392" t="n"/>
      <c r="BE302" s="392" t="n"/>
      <c r="BF302" s="392" t="n"/>
      <c r="BG302" s="392" t="n"/>
      <c r="BH302" s="392" t="n"/>
      <c r="BI302" s="392" t="n"/>
      <c r="BJ302" s="392" t="n"/>
      <c r="BK302" s="392" t="n"/>
      <c r="BL302" s="392" t="n"/>
      <c r="BM302" s="392" t="n"/>
      <c r="BN302" s="392" t="n"/>
      <c r="BO302" s="392" t="n"/>
      <c r="BP302" s="392" t="n"/>
      <c r="BQ302" s="392" t="n"/>
      <c r="BR302" s="392" t="n"/>
      <c r="BS302" s="392" t="n"/>
      <c r="BT302" s="392" t="n"/>
      <c r="BU302" s="392" t="n"/>
      <c r="BV302" s="392" t="n"/>
      <c r="BW302" s="392" t="n"/>
      <c r="BX302" s="392" t="n"/>
      <c r="BY302" s="392" t="n"/>
      <c r="BZ302" s="392" t="n"/>
      <c r="CA302" s="392" t="n"/>
      <c r="CB302" s="392" t="n"/>
      <c r="CC302" s="392" t="n"/>
      <c r="CD302" s="392" t="n"/>
      <c r="CE302" s="392" t="n"/>
      <c r="CF302" s="392" t="n"/>
      <c r="CG302" s="392" t="n"/>
      <c r="CH302" s="392" t="n"/>
      <c r="CI302" s="392" t="n"/>
      <c r="CJ302" s="392" t="n"/>
      <c r="CK302" s="392" t="n"/>
      <c r="CL302" s="392" t="n"/>
      <c r="CM302" s="392" t="n"/>
      <c r="CN302" s="392" t="n"/>
      <c r="CO302" s="392" t="n"/>
      <c r="CP302" s="392" t="n"/>
      <c r="CQ302" s="392" t="n"/>
      <c r="CR302" s="392" t="n"/>
      <c r="CS302" s="392" t="n"/>
      <c r="CT302" s="392" t="n"/>
      <c r="CU302" s="392" t="n"/>
      <c r="CV302" s="392" t="n"/>
      <c r="CW302" s="392" t="n"/>
      <c r="CX302" s="392" t="n"/>
      <c r="CY302" s="392" t="n"/>
      <c r="CZ302" s="392" t="n"/>
      <c r="DA302" s="392" t="n"/>
      <c r="DB302" s="392" t="n"/>
      <c r="DC302" s="392" t="n"/>
      <c r="DD302" s="392" t="n"/>
      <c r="DE302" s="392" t="n"/>
    </row>
    <row r="303" ht="15" customFormat="1" customHeight="1" s="380">
      <c r="A303" s="397" t="inlineStr">
        <is>
          <t xml:space="preserve">     Chase – LV Affordable Construction LP (…0653)</t>
        </is>
      </c>
      <c r="B303" s="453" t="n">
        <v>89759.22</v>
      </c>
      <c r="C303" s="453" t="n">
        <v>377339.45</v>
      </c>
      <c r="D303" s="453" t="n">
        <v>439621.63</v>
      </c>
      <c r="E303" s="453" t="n">
        <v>203968.72</v>
      </c>
      <c r="F303" s="453" t="n">
        <v>343421.93</v>
      </c>
      <c r="G303" s="453" t="n">
        <v>212228.57</v>
      </c>
      <c r="H303" s="453" t="n">
        <v>307338.39</v>
      </c>
      <c r="I303" s="392" t="n"/>
      <c r="J303" s="392" t="n"/>
      <c r="K303" s="392" t="n"/>
      <c r="L303" s="392" t="n"/>
      <c r="M303" s="392" t="n"/>
      <c r="N303" s="392" t="n"/>
      <c r="O303" s="392" t="n"/>
      <c r="P303" s="392" t="n"/>
      <c r="Q303" s="392" t="n"/>
      <c r="R303" s="392" t="n"/>
      <c r="S303" s="392" t="n"/>
      <c r="T303" s="392" t="n"/>
      <c r="U303" s="392" t="n"/>
      <c r="V303" s="392" t="n"/>
      <c r="W303" s="392" t="n"/>
      <c r="X303" s="392" t="n"/>
      <c r="Y303" s="392" t="n"/>
      <c r="Z303" s="392" t="n"/>
      <c r="AA303" s="392" t="n"/>
      <c r="AB303" s="392" t="n"/>
      <c r="AC303" s="392" t="n"/>
      <c r="AD303" s="392" t="n"/>
      <c r="AE303" s="392" t="n"/>
      <c r="AF303" s="392" t="n"/>
      <c r="AG303" s="392" t="n"/>
      <c r="AH303" s="392" t="n"/>
      <c r="AI303" s="392" t="n"/>
      <c r="AJ303" s="392" t="n"/>
      <c r="AK303" s="392" t="n"/>
      <c r="AL303" s="392" t="n"/>
      <c r="AM303" s="392" t="n"/>
      <c r="AN303" s="392" t="n"/>
      <c r="AO303" s="392" t="n"/>
      <c r="AP303" s="392" t="n"/>
      <c r="AQ303" s="392" t="n"/>
      <c r="AR303" s="392" t="n"/>
      <c r="AS303" s="392" t="n"/>
      <c r="AT303" s="392" t="n"/>
      <c r="AU303" s="392" t="n"/>
      <c r="AV303" s="392" t="n"/>
      <c r="AW303" s="392" t="n"/>
      <c r="AX303" s="392" t="n"/>
      <c r="AY303" s="392" t="n"/>
      <c r="AZ303" s="392" t="n"/>
      <c r="BA303" s="392" t="n"/>
      <c r="BB303" s="392" t="n"/>
      <c r="BC303" s="392" t="n"/>
      <c r="BD303" s="392" t="n"/>
      <c r="BE303" s="392" t="n"/>
      <c r="BF303" s="392" t="n"/>
      <c r="BG303" s="392" t="n"/>
      <c r="BH303" s="392" t="n"/>
      <c r="BI303" s="392" t="n"/>
      <c r="BJ303" s="392" t="n"/>
      <c r="BK303" s="392" t="n"/>
      <c r="BL303" s="392" t="n"/>
      <c r="BM303" s="392" t="n"/>
      <c r="BN303" s="392" t="n"/>
      <c r="BO303" s="392" t="n"/>
      <c r="BP303" s="392" t="n"/>
      <c r="BQ303" s="392" t="n"/>
      <c r="BR303" s="392" t="n"/>
      <c r="BS303" s="392" t="n"/>
      <c r="BT303" s="392" t="n"/>
      <c r="BU303" s="392" t="n"/>
      <c r="BV303" s="392" t="n"/>
      <c r="BW303" s="392" t="n"/>
      <c r="BX303" s="392" t="n"/>
      <c r="BY303" s="392" t="n"/>
      <c r="BZ303" s="392" t="n"/>
      <c r="CA303" s="392" t="n"/>
      <c r="CB303" s="392" t="n"/>
      <c r="CC303" s="392" t="n"/>
      <c r="CD303" s="392" t="n"/>
      <c r="CE303" s="392" t="n"/>
      <c r="CF303" s="392" t="n"/>
      <c r="CG303" s="392" t="n"/>
      <c r="CH303" s="392" t="n"/>
      <c r="CI303" s="392" t="n"/>
      <c r="CJ303" s="392" t="n"/>
      <c r="CK303" s="392" t="n"/>
      <c r="CL303" s="392" t="n"/>
      <c r="CM303" s="392" t="n"/>
      <c r="CN303" s="392" t="n"/>
      <c r="CO303" s="392" t="n"/>
      <c r="CP303" s="392" t="n"/>
      <c r="CQ303" s="392" t="n"/>
      <c r="CR303" s="392" t="n"/>
      <c r="CS303" s="392" t="n"/>
      <c r="CT303" s="392" t="n"/>
      <c r="CU303" s="392" t="n"/>
      <c r="CV303" s="392" t="n"/>
      <c r="CW303" s="392" t="n"/>
      <c r="CX303" s="392" t="n"/>
      <c r="CY303" s="392" t="n"/>
      <c r="CZ303" s="392" t="n"/>
      <c r="DA303" s="392" t="n"/>
      <c r="DB303" s="392" t="n"/>
      <c r="DC303" s="392" t="n"/>
      <c r="DD303" s="392" t="n"/>
      <c r="DE303" s="392" t="n"/>
    </row>
    <row r="304" ht="15" customFormat="1" customHeight="1" s="380">
      <c r="A304" s="397" t="inlineStr">
        <is>
          <t xml:space="preserve">     Chase – Six Peak Const LA LP (…1097)</t>
        </is>
      </c>
      <c r="B304" s="453" t="n">
        <v>100</v>
      </c>
      <c r="C304" s="453" t="n">
        <v>200</v>
      </c>
      <c r="D304" s="453" t="n">
        <v>200</v>
      </c>
      <c r="E304" s="453" t="n">
        <v>200</v>
      </c>
      <c r="F304" s="453" t="n">
        <v>200</v>
      </c>
      <c r="G304" s="453" t="n">
        <v>200</v>
      </c>
      <c r="H304" s="453" t="n">
        <v>200</v>
      </c>
      <c r="I304" s="392" t="n"/>
      <c r="J304" s="392" t="n"/>
      <c r="K304" s="392" t="n"/>
      <c r="L304" s="392" t="n"/>
      <c r="M304" s="392" t="n"/>
      <c r="N304" s="392" t="n"/>
      <c r="O304" s="392" t="n"/>
      <c r="P304" s="392" t="n"/>
      <c r="Q304" s="392" t="n"/>
      <c r="R304" s="392" t="n"/>
      <c r="S304" s="392" t="n"/>
      <c r="T304" s="392" t="n"/>
      <c r="U304" s="392" t="n"/>
      <c r="V304" s="392" t="n"/>
      <c r="W304" s="392" t="n"/>
      <c r="X304" s="392" t="n"/>
      <c r="Y304" s="392" t="n"/>
      <c r="Z304" s="392" t="n"/>
      <c r="AA304" s="392" t="n"/>
      <c r="AB304" s="392" t="n"/>
      <c r="AC304" s="392" t="n"/>
      <c r="AD304" s="392" t="n"/>
      <c r="AE304" s="392" t="n"/>
      <c r="AF304" s="392" t="n"/>
      <c r="AG304" s="392" t="n"/>
      <c r="AH304" s="392" t="n"/>
      <c r="AI304" s="392" t="n"/>
      <c r="AJ304" s="392" t="n"/>
      <c r="AK304" s="392" t="n"/>
      <c r="AL304" s="392" t="n"/>
      <c r="AM304" s="392" t="n"/>
      <c r="AN304" s="392" t="n"/>
      <c r="AO304" s="392" t="n"/>
      <c r="AP304" s="392" t="n"/>
      <c r="AQ304" s="392" t="n"/>
      <c r="AR304" s="392" t="n"/>
      <c r="AS304" s="392" t="n"/>
      <c r="AT304" s="392" t="n"/>
      <c r="AU304" s="392" t="n"/>
      <c r="AV304" s="392" t="n"/>
      <c r="AW304" s="392" t="n"/>
      <c r="AX304" s="392" t="n"/>
      <c r="AY304" s="392" t="n"/>
      <c r="AZ304" s="392" t="n"/>
      <c r="BA304" s="392" t="n"/>
      <c r="BB304" s="392" t="n"/>
      <c r="BC304" s="392" t="n"/>
      <c r="BD304" s="392" t="n"/>
      <c r="BE304" s="392" t="n"/>
      <c r="BF304" s="392" t="n"/>
      <c r="BG304" s="392" t="n"/>
      <c r="BH304" s="392" t="n"/>
      <c r="BI304" s="392" t="n"/>
      <c r="BJ304" s="392" t="n"/>
      <c r="BK304" s="392" t="n"/>
      <c r="BL304" s="392" t="n"/>
      <c r="BM304" s="392" t="n"/>
      <c r="BN304" s="392" t="n"/>
      <c r="BO304" s="392" t="n"/>
      <c r="BP304" s="392" t="n"/>
      <c r="BQ304" s="392" t="n"/>
      <c r="BR304" s="392" t="n"/>
      <c r="BS304" s="392" t="n"/>
      <c r="BT304" s="392" t="n"/>
      <c r="BU304" s="392" t="n"/>
      <c r="BV304" s="392" t="n"/>
      <c r="BW304" s="392" t="n"/>
      <c r="BX304" s="392" t="n"/>
      <c r="BY304" s="392" t="n"/>
      <c r="BZ304" s="392" t="n"/>
      <c r="CA304" s="392" t="n"/>
      <c r="CB304" s="392" t="n"/>
      <c r="CC304" s="392" t="n"/>
      <c r="CD304" s="392" t="n"/>
      <c r="CE304" s="392" t="n"/>
      <c r="CF304" s="392" t="n"/>
      <c r="CG304" s="392" t="n"/>
      <c r="CH304" s="392" t="n"/>
      <c r="CI304" s="392" t="n"/>
      <c r="CJ304" s="392" t="n"/>
      <c r="CK304" s="392" t="n"/>
      <c r="CL304" s="392" t="n"/>
      <c r="CM304" s="392" t="n"/>
      <c r="CN304" s="392" t="n"/>
      <c r="CO304" s="392" t="n"/>
      <c r="CP304" s="392" t="n"/>
      <c r="CQ304" s="392" t="n"/>
      <c r="CR304" s="392" t="n"/>
      <c r="CS304" s="392" t="n"/>
      <c r="CT304" s="392" t="n"/>
      <c r="CU304" s="392" t="n"/>
      <c r="CV304" s="392" t="n"/>
      <c r="CW304" s="392" t="n"/>
      <c r="CX304" s="392" t="n"/>
      <c r="CY304" s="392" t="n"/>
      <c r="CZ304" s="392" t="n"/>
      <c r="DA304" s="392" t="n"/>
      <c r="DB304" s="392" t="n"/>
      <c r="DC304" s="392" t="n"/>
      <c r="DD304" s="392" t="n"/>
      <c r="DE304" s="392" t="n"/>
    </row>
    <row r="305" ht="15" customFormat="1" customHeight="1" s="380">
      <c r="A305" s="397" t="inlineStr">
        <is>
          <t xml:space="preserve">     Check: bank accounts less B/S cash (should be 0)</t>
        </is>
      </c>
      <c r="B305" s="454">
        <f>IF(B300="","",ROUND(SUM(B301:B304)-B300,0))</f>
        <v/>
      </c>
      <c r="C305" s="454">
        <f>IF(C300="","",ROUND(SUM(C301:C304)-C300,0))</f>
        <v/>
      </c>
      <c r="D305" s="454">
        <f>IF(D300="","",ROUND(SUM(D301:D304)-D300,0))</f>
        <v/>
      </c>
      <c r="E305" s="454">
        <f>IF(E300="","",ROUND(SUM(E301:E304)-E300,0))</f>
        <v/>
      </c>
      <c r="F305" s="454">
        <f>IF(F300="","",ROUND(SUM(F301:F304)-F300,0))</f>
        <v/>
      </c>
      <c r="G305" s="454">
        <f>IF(G300="","",ROUND(SUM(G301:G304)-G300,0))</f>
        <v/>
      </c>
      <c r="H305" s="454">
        <f>IF(H300="","",ROUND(SUM(H301:H304)-H300,0))</f>
        <v/>
      </c>
      <c r="I305" s="454">
        <f>IF(I300="","",ROUND(SUM(I301:I304)-I300,0))</f>
        <v/>
      </c>
      <c r="J305" s="454">
        <f>IF(J300="","",ROUND(SUM(J301:J304)-J300,0))</f>
        <v/>
      </c>
      <c r="K305" s="454">
        <f>IF(K300="","",ROUND(SUM(K301:K304)-K300,0))</f>
        <v/>
      </c>
      <c r="L305" s="454">
        <f>IF(L300="","",ROUND(SUM(L301:L304)-L300,0))</f>
        <v/>
      </c>
      <c r="M305" s="454">
        <f>IF(M300="","",ROUND(SUM(M301:M304)-M300,0))</f>
        <v/>
      </c>
      <c r="N305" s="454">
        <f>IF(N300="","",ROUND(SUM(N301:N304)-N300,0))</f>
        <v/>
      </c>
      <c r="O305" s="454">
        <f>IF(O300="","",ROUND(SUM(O301:O304)-O300,0))</f>
        <v/>
      </c>
      <c r="P305" s="454">
        <f>IF(P300="","",ROUND(SUM(P301:P304)-P300,0))</f>
        <v/>
      </c>
      <c r="Q305" s="454">
        <f>IF(Q300="","",ROUND(SUM(Q301:Q304)-Q300,0))</f>
        <v/>
      </c>
      <c r="R305" s="454">
        <f>IF(R300="","",ROUND(SUM(R301:R304)-R300,0))</f>
        <v/>
      </c>
      <c r="S305" s="454">
        <f>IF(S300="","",ROUND(SUM(S301:S304)-S300,0))</f>
        <v/>
      </c>
      <c r="T305" s="454">
        <f>IF(T300="","",ROUND(SUM(T301:T304)-T300,0))</f>
        <v/>
      </c>
      <c r="U305" s="454">
        <f>IF(U300="","",ROUND(SUM(U301:U304)-U300,0))</f>
        <v/>
      </c>
      <c r="V305" s="454">
        <f>IF(V300="","",ROUND(SUM(V301:V304)-V300,0))</f>
        <v/>
      </c>
      <c r="W305" s="454">
        <f>IF(W300="","",ROUND(SUM(W301:W304)-W300,0))</f>
        <v/>
      </c>
      <c r="X305" s="454">
        <f>IF(X300="","",ROUND(SUM(X301:X304)-X300,0))</f>
        <v/>
      </c>
      <c r="Y305" s="454">
        <f>IF(Y300="","",ROUND(SUM(Y301:Y304)-Y300,0))</f>
        <v/>
      </c>
      <c r="Z305" s="454">
        <f>IF(Z300="","",ROUND(SUM(Z301:Z304)-Z300,0))</f>
        <v/>
      </c>
      <c r="AA305" s="454">
        <f>IF(AA300="","",ROUND(SUM(AA301:AA304)-AA300,0))</f>
        <v/>
      </c>
      <c r="AB305" s="454">
        <f>IF(AB300="","",ROUND(SUM(AB301:AB304)-AB300,0))</f>
        <v/>
      </c>
      <c r="AC305" s="454">
        <f>IF(AC300="","",ROUND(SUM(AC301:AC304)-AC300,0))</f>
        <v/>
      </c>
      <c r="AD305" s="454">
        <f>IF(AD300="","",ROUND(SUM(AD301:AD304)-AD300,0))</f>
        <v/>
      </c>
      <c r="AE305" s="454">
        <f>IF(AE300="","",ROUND(SUM(AE301:AE304)-AE300,0))</f>
        <v/>
      </c>
      <c r="AF305" s="454">
        <f>IF(AF300="","",ROUND(SUM(AF301:AF304)-AF300,0))</f>
        <v/>
      </c>
      <c r="AG305" s="454">
        <f>IF(AG300="","",ROUND(SUM(AG301:AG304)-AG300,0))</f>
        <v/>
      </c>
      <c r="AH305" s="454">
        <f>IF(AH300="","",ROUND(SUM(AH301:AH304)-AH300,0))</f>
        <v/>
      </c>
      <c r="AI305" s="454">
        <f>IF(AI300="","",ROUND(SUM(AI301:AI304)-AI300,0))</f>
        <v/>
      </c>
      <c r="AJ305" s="454">
        <f>IF(AJ300="","",ROUND(SUM(AJ301:AJ304)-AJ300,0))</f>
        <v/>
      </c>
      <c r="AK305" s="454">
        <f>IF(AK300="","",ROUND(SUM(AK301:AK304)-AK300,0))</f>
        <v/>
      </c>
      <c r="AL305" s="454">
        <f>IF(AL300="","",ROUND(SUM(AL301:AL304)-AL300,0))</f>
        <v/>
      </c>
      <c r="AM305" s="454">
        <f>IF(AM300="","",ROUND(SUM(AM301:AM304)-AM300,0))</f>
        <v/>
      </c>
      <c r="AN305" s="454">
        <f>IF(AN300="","",ROUND(SUM(AN301:AN304)-AN300,0))</f>
        <v/>
      </c>
      <c r="AO305" s="454">
        <f>IF(AO300="","",ROUND(SUM(AO301:AO304)-AO300,0))</f>
        <v/>
      </c>
      <c r="AP305" s="454">
        <f>IF(AP300="","",ROUND(SUM(AP301:AP304)-AP300,0))</f>
        <v/>
      </c>
      <c r="AQ305" s="454">
        <f>IF(AQ300="","",ROUND(SUM(AQ301:AQ304)-AQ300,0))</f>
        <v/>
      </c>
      <c r="AR305" s="454">
        <f>IF(AR300="","",ROUND(SUM(AR301:AR304)-AR300,0))</f>
        <v/>
      </c>
      <c r="AS305" s="454">
        <f>IF(AS300="","",ROUND(SUM(AS301:AS304)-AS300,0))</f>
        <v/>
      </c>
      <c r="AT305" s="454">
        <f>IF(AT300="","",ROUND(SUM(AT301:AT304)-AT300,0))</f>
        <v/>
      </c>
      <c r="AU305" s="454">
        <f>IF(AU300="","",ROUND(SUM(AU301:AU304)-AU300,0))</f>
        <v/>
      </c>
      <c r="AV305" s="454">
        <f>IF(AV300="","",ROUND(SUM(AV301:AV304)-AV300,0))</f>
        <v/>
      </c>
      <c r="AW305" s="454">
        <f>IF(AW300="","",ROUND(SUM(AW301:AW304)-AW300,0))</f>
        <v/>
      </c>
      <c r="AX305" s="454">
        <f>IF(AX300="","",ROUND(SUM(AX301:AX304)-AX300,0))</f>
        <v/>
      </c>
      <c r="AY305" s="454">
        <f>IF(AY300="","",ROUND(SUM(AY301:AY304)-AY300,0))</f>
        <v/>
      </c>
      <c r="AZ305" s="454">
        <f>IF(AZ300="","",ROUND(SUM(AZ301:AZ304)-AZ300,0))</f>
        <v/>
      </c>
      <c r="BA305" s="454">
        <f>IF(BA300="","",ROUND(SUM(BA301:BA304)-BA300,0))</f>
        <v/>
      </c>
      <c r="BB305" s="454">
        <f>IF(BB300="","",ROUND(SUM(BB301:BB304)-BB300,0))</f>
        <v/>
      </c>
      <c r="BC305" s="454">
        <f>IF(BC300="","",ROUND(SUM(BC301:BC304)-BC300,0))</f>
        <v/>
      </c>
      <c r="BD305" s="454">
        <f>IF(BD300="","",ROUND(SUM(BD301:BD304)-BD300,0))</f>
        <v/>
      </c>
      <c r="BE305" s="454">
        <f>IF(BE300="","",ROUND(SUM(BE301:BE304)-BE300,0))</f>
        <v/>
      </c>
      <c r="BF305" s="454">
        <f>IF(BF300="","",ROUND(SUM(BF301:BF304)-BF300,0))</f>
        <v/>
      </c>
      <c r="BG305" s="454">
        <f>IF(BG300="","",ROUND(SUM(BG301:BG304)-BG300,0))</f>
        <v/>
      </c>
      <c r="BH305" s="454">
        <f>IF(BH300="","",ROUND(SUM(BH301:BH304)-BH300,0))</f>
        <v/>
      </c>
      <c r="BI305" s="454">
        <f>IF(BI300="","",ROUND(SUM(BI301:BI304)-BI300,0))</f>
        <v/>
      </c>
      <c r="BJ305" s="454">
        <f>IF(BJ300="","",ROUND(SUM(BJ301:BJ304)-BJ300,0))</f>
        <v/>
      </c>
      <c r="BK305" s="454">
        <f>IF(BK300="","",ROUND(SUM(BK301:BK304)-BK300,0))</f>
        <v/>
      </c>
      <c r="BL305" s="454">
        <f>IF(BL300="","",ROUND(SUM(BL301:BL304)-BL300,0))</f>
        <v/>
      </c>
      <c r="BM305" s="454">
        <f>IF(BM300="","",ROUND(SUM(BM301:BM304)-BM300,0))</f>
        <v/>
      </c>
      <c r="BN305" s="454">
        <f>IF(BN300="","",ROUND(SUM(BN301:BN304)-BN300,0))</f>
        <v/>
      </c>
      <c r="BO305" s="454">
        <f>IF(BO300="","",ROUND(SUM(BO301:BO304)-BO300,0))</f>
        <v/>
      </c>
      <c r="BP305" s="454">
        <f>IF(BP300="","",ROUND(SUM(BP301:BP304)-BP300,0))</f>
        <v/>
      </c>
      <c r="BQ305" s="454">
        <f>IF(BQ300="","",ROUND(SUM(BQ301:BQ304)-BQ300,0))</f>
        <v/>
      </c>
      <c r="BR305" s="454">
        <f>IF(BR300="","",ROUND(SUM(BR301:BR304)-BR300,0))</f>
        <v/>
      </c>
      <c r="BS305" s="454">
        <f>IF(BS300="","",ROUND(SUM(BS301:BS304)-BS300,0))</f>
        <v/>
      </c>
      <c r="BT305" s="454">
        <f>IF(BT300="","",ROUND(SUM(BT301:BT304)-BT300,0))</f>
        <v/>
      </c>
      <c r="BU305" s="454">
        <f>IF(BU300="","",ROUND(SUM(BU301:BU304)-BU300,0))</f>
        <v/>
      </c>
      <c r="BV305" s="454">
        <f>IF(BV300="","",ROUND(SUM(BV301:BV304)-BV300,0))</f>
        <v/>
      </c>
      <c r="BW305" s="454">
        <f>IF(BW300="","",ROUND(SUM(BW301:BW304)-BW300,0))</f>
        <v/>
      </c>
      <c r="BX305" s="454">
        <f>IF(BX300="","",ROUND(SUM(BX301:BX304)-BX300,0))</f>
        <v/>
      </c>
      <c r="BY305" s="454">
        <f>IF(BY300="","",ROUND(SUM(BY301:BY304)-BY300,0))</f>
        <v/>
      </c>
      <c r="BZ305" s="454">
        <f>IF(BZ300="","",ROUND(SUM(BZ301:BZ304)-BZ300,0))</f>
        <v/>
      </c>
      <c r="CA305" s="454">
        <f>IF(CA300="","",ROUND(SUM(CA301:CA304)-CA300,0))</f>
        <v/>
      </c>
      <c r="CB305" s="454">
        <f>IF(CB300="","",ROUND(SUM(CB301:CB304)-CB300,0))</f>
        <v/>
      </c>
      <c r="CC305" s="454">
        <f>IF(CC300="","",ROUND(SUM(CC301:CC304)-CC300,0))</f>
        <v/>
      </c>
      <c r="CD305" s="454">
        <f>IF(CD300="","",ROUND(SUM(CD301:CD304)-CD300,0))</f>
        <v/>
      </c>
      <c r="CE305" s="454">
        <f>IF(CE300="","",ROUND(SUM(CE301:CE304)-CE300,0))</f>
        <v/>
      </c>
      <c r="CF305" s="454">
        <f>IF(CF300="","",ROUND(SUM(CF301:CF304)-CF300,0))</f>
        <v/>
      </c>
      <c r="CG305" s="454">
        <f>IF(CG300="","",ROUND(SUM(CG301:CG304)-CG300,0))</f>
        <v/>
      </c>
      <c r="CH305" s="454">
        <f>IF(CH300="","",ROUND(SUM(CH301:CH304)-CH300,0))</f>
        <v/>
      </c>
      <c r="CI305" s="454">
        <f>IF(CI300="","",ROUND(SUM(CI301:CI304)-CI300,0))</f>
        <v/>
      </c>
      <c r="CJ305" s="454">
        <f>IF(CJ300="","",ROUND(SUM(CJ301:CJ304)-CJ300,0))</f>
        <v/>
      </c>
      <c r="CK305" s="454">
        <f>IF(CK300="","",ROUND(SUM(CK301:CK304)-CK300,0))</f>
        <v/>
      </c>
      <c r="CL305" s="454">
        <f>IF(CL300="","",ROUND(SUM(CL301:CL304)-CL300,0))</f>
        <v/>
      </c>
      <c r="CM305" s="454">
        <f>IF(CM300="","",ROUND(SUM(CM301:CM304)-CM300,0))</f>
        <v/>
      </c>
      <c r="CN305" s="454">
        <f>IF(CN300="","",ROUND(SUM(CN301:CN304)-CN300,0))</f>
        <v/>
      </c>
      <c r="CO305" s="454">
        <f>IF(CO300="","",ROUND(SUM(CO301:CO304)-CO300,0))</f>
        <v/>
      </c>
      <c r="CP305" s="454">
        <f>IF(CP300="","",ROUND(SUM(CP301:CP304)-CP300,0))</f>
        <v/>
      </c>
      <c r="CQ305" s="454">
        <f>IF(CQ300="","",ROUND(SUM(CQ301:CQ304)-CQ300,0))</f>
        <v/>
      </c>
      <c r="CR305" s="454">
        <f>IF(CR300="","",ROUND(SUM(CR301:CR304)-CR300,0))</f>
        <v/>
      </c>
      <c r="CS305" s="454">
        <f>IF(CS300="","",ROUND(SUM(CS301:CS304)-CS300,0))</f>
        <v/>
      </c>
      <c r="CT305" s="454">
        <f>IF(CT300="","",ROUND(SUM(CT301:CT304)-CT300,0))</f>
        <v/>
      </c>
      <c r="CU305" s="454">
        <f>IF(CU300="","",ROUND(SUM(CU301:CU304)-CU300,0))</f>
        <v/>
      </c>
      <c r="CV305" s="454">
        <f>IF(CV300="","",ROUND(SUM(CV301:CV304)-CV300,0))</f>
        <v/>
      </c>
      <c r="CW305" s="454">
        <f>IF(CW300="","",ROUND(SUM(CW301:CW304)-CW300,0))</f>
        <v/>
      </c>
      <c r="CX305" s="454">
        <f>IF(CX300="","",ROUND(SUM(CX301:CX304)-CX300,0))</f>
        <v/>
      </c>
      <c r="CY305" s="454">
        <f>IF(CY300="","",ROUND(SUM(CY301:CY304)-CY300,0))</f>
        <v/>
      </c>
      <c r="CZ305" s="454">
        <f>IF(CZ300="","",ROUND(SUM(CZ301:CZ304)-CZ300,0))</f>
        <v/>
      </c>
      <c r="DA305" s="454">
        <f>IF(DA300="","",ROUND(SUM(DA301:DA304)-DA300,0))</f>
        <v/>
      </c>
      <c r="DB305" s="454">
        <f>IF(DB300="","",ROUND(SUM(DB301:DB304)-DB300,0))</f>
        <v/>
      </c>
      <c r="DC305" s="454">
        <f>IF(DC300="","",ROUND(SUM(DC301:DC304)-DC300,0))</f>
        <v/>
      </c>
      <c r="DD305" s="454">
        <f>IF(DD300="","",ROUND(SUM(DD301:DD304)-DD300,0))</f>
        <v/>
      </c>
      <c r="DE305" s="454">
        <f>IF(DE300="","",ROUND(SUM(DE301:DE304)-DE300,0))</f>
        <v/>
      </c>
    </row>
    <row r="306" ht="15" customFormat="1" customHeight="1" s="380">
      <c r="A306" s="397" t="inlineStr">
        <is>
          <t>Six Peak Capital LP (Consolidated) B/S — Cash  [Six Peak cash]</t>
        </is>
      </c>
      <c r="B306" s="453" t="n">
        <v>378187</v>
      </c>
      <c r="C306" s="453" t="n">
        <v>110882</v>
      </c>
      <c r="D306" s="453" t="n">
        <v>171148</v>
      </c>
      <c r="E306" s="453" t="n">
        <v>368691</v>
      </c>
      <c r="F306" s="453" t="n">
        <v>343251</v>
      </c>
      <c r="G306" s="453" t="n">
        <v>665368</v>
      </c>
      <c r="H306" s="453" t="n">
        <v>122223</v>
      </c>
      <c r="I306" s="392" t="n"/>
      <c r="J306" s="392" t="n"/>
      <c r="K306" s="392" t="n"/>
      <c r="L306" s="392" t="n"/>
      <c r="M306" s="392" t="n"/>
      <c r="N306" s="392" t="n"/>
      <c r="O306" s="392" t="n"/>
      <c r="P306" s="392" t="n"/>
      <c r="Q306" s="392" t="n"/>
      <c r="R306" s="392" t="n"/>
      <c r="S306" s="392" t="n"/>
      <c r="T306" s="392" t="n"/>
      <c r="U306" s="392" t="n"/>
      <c r="V306" s="392" t="n"/>
      <c r="W306" s="392" t="n"/>
      <c r="X306" s="392" t="n"/>
      <c r="Y306" s="392" t="n"/>
      <c r="Z306" s="392" t="n"/>
      <c r="AA306" s="392" t="n"/>
      <c r="AB306" s="392" t="n"/>
      <c r="AC306" s="392" t="n"/>
      <c r="AD306" s="392" t="n"/>
      <c r="AE306" s="392" t="n"/>
      <c r="AF306" s="392" t="n"/>
      <c r="AG306" s="392" t="n"/>
      <c r="AH306" s="392" t="n"/>
      <c r="AI306" s="392" t="n"/>
      <c r="AJ306" s="392" t="n"/>
      <c r="AK306" s="392" t="n"/>
      <c r="AL306" s="392" t="n"/>
      <c r="AM306" s="392" t="n"/>
      <c r="AN306" s="392" t="n"/>
      <c r="AO306" s="392" t="n"/>
      <c r="AP306" s="392" t="n"/>
      <c r="AQ306" s="392" t="n"/>
      <c r="AR306" s="392" t="n"/>
      <c r="AS306" s="392" t="n"/>
      <c r="AT306" s="392" t="n"/>
      <c r="AU306" s="392" t="n"/>
      <c r="AV306" s="392" t="n"/>
      <c r="AW306" s="392" t="n"/>
      <c r="AX306" s="392" t="n"/>
      <c r="AY306" s="392" t="n"/>
      <c r="AZ306" s="392" t="n"/>
      <c r="BA306" s="392" t="n"/>
      <c r="BB306" s="392" t="n"/>
      <c r="BC306" s="392" t="n"/>
      <c r="BD306" s="392" t="n"/>
      <c r="BE306" s="392" t="n"/>
      <c r="BF306" s="392" t="n"/>
      <c r="BG306" s="392" t="n"/>
      <c r="BH306" s="392" t="n"/>
      <c r="BI306" s="392" t="n"/>
      <c r="BJ306" s="392" t="n"/>
      <c r="BK306" s="392" t="n"/>
      <c r="BL306" s="392" t="n"/>
      <c r="BM306" s="392" t="n"/>
      <c r="BN306" s="392" t="n"/>
      <c r="BO306" s="392" t="n"/>
      <c r="BP306" s="392" t="n"/>
      <c r="BQ306" s="392" t="n"/>
      <c r="BR306" s="392" t="n"/>
      <c r="BS306" s="392" t="n"/>
      <c r="BT306" s="392" t="n"/>
      <c r="BU306" s="392" t="n"/>
      <c r="BV306" s="392" t="n"/>
      <c r="BW306" s="392" t="n"/>
      <c r="BX306" s="392" t="n"/>
      <c r="BY306" s="392" t="n"/>
      <c r="BZ306" s="392" t="n"/>
      <c r="CA306" s="392" t="n"/>
      <c r="CB306" s="392" t="n"/>
      <c r="CC306" s="392" t="n"/>
      <c r="CD306" s="392" t="n"/>
      <c r="CE306" s="392" t="n"/>
      <c r="CF306" s="392" t="n"/>
      <c r="CG306" s="392" t="n"/>
      <c r="CH306" s="392" t="n"/>
      <c r="CI306" s="392" t="n"/>
      <c r="CJ306" s="392" t="n"/>
      <c r="CK306" s="392" t="n"/>
      <c r="CL306" s="392" t="n"/>
      <c r="CM306" s="392" t="n"/>
      <c r="CN306" s="392" t="n"/>
      <c r="CO306" s="392" t="n"/>
      <c r="CP306" s="392" t="n"/>
      <c r="CQ306" s="392" t="n"/>
      <c r="CR306" s="392" t="n"/>
      <c r="CS306" s="392" t="n"/>
      <c r="CT306" s="392" t="n"/>
      <c r="CU306" s="392" t="n"/>
      <c r="CV306" s="392" t="n"/>
      <c r="CW306" s="392" t="n"/>
      <c r="CX306" s="392" t="n"/>
      <c r="CY306" s="392" t="n"/>
      <c r="CZ306" s="392" t="n"/>
      <c r="DA306" s="392" t="n"/>
      <c r="DB306" s="392" t="n"/>
      <c r="DC306" s="392" t="n"/>
      <c r="DD306" s="392" t="n"/>
      <c r="DE306" s="392" t="n"/>
    </row>
    <row r="307" ht="15" customFormat="1" customHeight="1" s="380">
      <c r="A307" s="397" t="inlineStr">
        <is>
          <t xml:space="preserve">     Chase – Six Peak Capital LP (spc)</t>
        </is>
      </c>
      <c r="B307" s="453" t="n">
        <v>369156.23</v>
      </c>
      <c r="C307" s="453" t="n">
        <v>110746.48</v>
      </c>
      <c r="D307" s="453" t="n">
        <v>171012.63</v>
      </c>
      <c r="E307" s="453" t="n">
        <v>368555.41</v>
      </c>
      <c r="F307" s="453" t="n">
        <v>343114.99</v>
      </c>
      <c r="G307" s="453" t="n">
        <v>665232.34</v>
      </c>
      <c r="H307" s="453" t="n">
        <v>122087.33</v>
      </c>
      <c r="I307" s="392" t="n"/>
      <c r="J307" s="392" t="n"/>
      <c r="K307" s="392" t="n"/>
      <c r="L307" s="392" t="n"/>
      <c r="M307" s="392" t="n"/>
      <c r="N307" s="392" t="n"/>
      <c r="O307" s="392" t="n"/>
      <c r="P307" s="392" t="n"/>
      <c r="Q307" s="392" t="n"/>
      <c r="R307" s="392" t="n"/>
      <c r="S307" s="392" t="n"/>
      <c r="T307" s="392" t="n"/>
      <c r="U307" s="392" t="n"/>
      <c r="V307" s="392" t="n"/>
      <c r="W307" s="392" t="n"/>
      <c r="X307" s="392" t="n"/>
      <c r="Y307" s="392" t="n"/>
      <c r="Z307" s="392" t="n"/>
      <c r="AA307" s="392" t="n"/>
      <c r="AB307" s="392" t="n"/>
      <c r="AC307" s="392" t="n"/>
      <c r="AD307" s="392" t="n"/>
      <c r="AE307" s="392" t="n"/>
      <c r="AF307" s="392" t="n"/>
      <c r="AG307" s="392" t="n"/>
      <c r="AH307" s="392" t="n"/>
      <c r="AI307" s="392" t="n"/>
      <c r="AJ307" s="392" t="n"/>
      <c r="AK307" s="392" t="n"/>
      <c r="AL307" s="392" t="n"/>
      <c r="AM307" s="392" t="n"/>
      <c r="AN307" s="392" t="n"/>
      <c r="AO307" s="392" t="n"/>
      <c r="AP307" s="392" t="n"/>
      <c r="AQ307" s="392" t="n"/>
      <c r="AR307" s="392" t="n"/>
      <c r="AS307" s="392" t="n"/>
      <c r="AT307" s="392" t="n"/>
      <c r="AU307" s="392" t="n"/>
      <c r="AV307" s="392" t="n"/>
      <c r="AW307" s="392" t="n"/>
      <c r="AX307" s="392" t="n"/>
      <c r="AY307" s="392" t="n"/>
      <c r="AZ307" s="392" t="n"/>
      <c r="BA307" s="392" t="n"/>
      <c r="BB307" s="392" t="n"/>
      <c r="BC307" s="392" t="n"/>
      <c r="BD307" s="392" t="n"/>
      <c r="BE307" s="392" t="n"/>
      <c r="BF307" s="392" t="n"/>
      <c r="BG307" s="392" t="n"/>
      <c r="BH307" s="392" t="n"/>
      <c r="BI307" s="392" t="n"/>
      <c r="BJ307" s="392" t="n"/>
      <c r="BK307" s="392" t="n"/>
      <c r="BL307" s="392" t="n"/>
      <c r="BM307" s="392" t="n"/>
      <c r="BN307" s="392" t="n"/>
      <c r="BO307" s="392" t="n"/>
      <c r="BP307" s="392" t="n"/>
      <c r="BQ307" s="392" t="n"/>
      <c r="BR307" s="392" t="n"/>
      <c r="BS307" s="392" t="n"/>
      <c r="BT307" s="392" t="n"/>
      <c r="BU307" s="392" t="n"/>
      <c r="BV307" s="392" t="n"/>
      <c r="BW307" s="392" t="n"/>
      <c r="BX307" s="392" t="n"/>
      <c r="BY307" s="392" t="n"/>
      <c r="BZ307" s="392" t="n"/>
      <c r="CA307" s="392" t="n"/>
      <c r="CB307" s="392" t="n"/>
      <c r="CC307" s="392" t="n"/>
      <c r="CD307" s="392" t="n"/>
      <c r="CE307" s="392" t="n"/>
      <c r="CF307" s="392" t="n"/>
      <c r="CG307" s="392" t="n"/>
      <c r="CH307" s="392" t="n"/>
      <c r="CI307" s="392" t="n"/>
      <c r="CJ307" s="392" t="n"/>
      <c r="CK307" s="392" t="n"/>
      <c r="CL307" s="392" t="n"/>
      <c r="CM307" s="392" t="n"/>
      <c r="CN307" s="392" t="n"/>
      <c r="CO307" s="392" t="n"/>
      <c r="CP307" s="392" t="n"/>
      <c r="CQ307" s="392" t="n"/>
      <c r="CR307" s="392" t="n"/>
      <c r="CS307" s="392" t="n"/>
      <c r="CT307" s="392" t="n"/>
      <c r="CU307" s="392" t="n"/>
      <c r="CV307" s="392" t="n"/>
      <c r="CW307" s="392" t="n"/>
      <c r="CX307" s="392" t="n"/>
      <c r="CY307" s="392" t="n"/>
      <c r="CZ307" s="392" t="n"/>
      <c r="DA307" s="392" t="n"/>
      <c r="DB307" s="392" t="n"/>
      <c r="DC307" s="392" t="n"/>
      <c r="DD307" s="392" t="n"/>
      <c r="DE307" s="392" t="n"/>
    </row>
    <row r="308" ht="15" customFormat="1" customHeight="1" s="380">
      <c r="A308" s="397" t="inlineStr">
        <is>
          <t xml:space="preserve">     Chase – Six Peak Development (spd)</t>
        </is>
      </c>
      <c r="B308" s="453" t="n">
        <v>23.76</v>
      </c>
      <c r="C308" s="453" t="n">
        <v>23.76</v>
      </c>
      <c r="D308" s="453" t="n">
        <v>23.76</v>
      </c>
      <c r="E308" s="453" t="n">
        <v>23.76</v>
      </c>
      <c r="F308" s="453" t="n">
        <v>23.76</v>
      </c>
      <c r="G308" s="453" t="n">
        <v>23.76</v>
      </c>
      <c r="H308" s="453" t="n">
        <v>23.76</v>
      </c>
      <c r="I308" s="392" t="n"/>
      <c r="J308" s="392" t="n"/>
      <c r="K308" s="392" t="n"/>
      <c r="L308" s="392" t="n"/>
      <c r="M308" s="392" t="n"/>
      <c r="N308" s="392" t="n"/>
      <c r="O308" s="392" t="n"/>
      <c r="P308" s="392" t="n"/>
      <c r="Q308" s="392" t="n"/>
      <c r="R308" s="392" t="n"/>
      <c r="S308" s="392" t="n"/>
      <c r="T308" s="392" t="n"/>
      <c r="U308" s="392" t="n"/>
      <c r="V308" s="392" t="n"/>
      <c r="W308" s="392" t="n"/>
      <c r="X308" s="392" t="n"/>
      <c r="Y308" s="392" t="n"/>
      <c r="Z308" s="392" t="n"/>
      <c r="AA308" s="392" t="n"/>
      <c r="AB308" s="392" t="n"/>
      <c r="AC308" s="392" t="n"/>
      <c r="AD308" s="392" t="n"/>
      <c r="AE308" s="392" t="n"/>
      <c r="AF308" s="392" t="n"/>
      <c r="AG308" s="392" t="n"/>
      <c r="AH308" s="392" t="n"/>
      <c r="AI308" s="392" t="n"/>
      <c r="AJ308" s="392" t="n"/>
      <c r="AK308" s="392" t="n"/>
      <c r="AL308" s="392" t="n"/>
      <c r="AM308" s="392" t="n"/>
      <c r="AN308" s="392" t="n"/>
      <c r="AO308" s="392" t="n"/>
      <c r="AP308" s="392" t="n"/>
      <c r="AQ308" s="392" t="n"/>
      <c r="AR308" s="392" t="n"/>
      <c r="AS308" s="392" t="n"/>
      <c r="AT308" s="392" t="n"/>
      <c r="AU308" s="392" t="n"/>
      <c r="AV308" s="392" t="n"/>
      <c r="AW308" s="392" t="n"/>
      <c r="AX308" s="392" t="n"/>
      <c r="AY308" s="392" t="n"/>
      <c r="AZ308" s="392" t="n"/>
      <c r="BA308" s="392" t="n"/>
      <c r="BB308" s="392" t="n"/>
      <c r="BC308" s="392" t="n"/>
      <c r="BD308" s="392" t="n"/>
      <c r="BE308" s="392" t="n"/>
      <c r="BF308" s="392" t="n"/>
      <c r="BG308" s="392" t="n"/>
      <c r="BH308" s="392" t="n"/>
      <c r="BI308" s="392" t="n"/>
      <c r="BJ308" s="392" t="n"/>
      <c r="BK308" s="392" t="n"/>
      <c r="BL308" s="392" t="n"/>
      <c r="BM308" s="392" t="n"/>
      <c r="BN308" s="392" t="n"/>
      <c r="BO308" s="392" t="n"/>
      <c r="BP308" s="392" t="n"/>
      <c r="BQ308" s="392" t="n"/>
      <c r="BR308" s="392" t="n"/>
      <c r="BS308" s="392" t="n"/>
      <c r="BT308" s="392" t="n"/>
      <c r="BU308" s="392" t="n"/>
      <c r="BV308" s="392" t="n"/>
      <c r="BW308" s="392" t="n"/>
      <c r="BX308" s="392" t="n"/>
      <c r="BY308" s="392" t="n"/>
      <c r="BZ308" s="392" t="n"/>
      <c r="CA308" s="392" t="n"/>
      <c r="CB308" s="392" t="n"/>
      <c r="CC308" s="392" t="n"/>
      <c r="CD308" s="392" t="n"/>
      <c r="CE308" s="392" t="n"/>
      <c r="CF308" s="392" t="n"/>
      <c r="CG308" s="392" t="n"/>
      <c r="CH308" s="392" t="n"/>
      <c r="CI308" s="392" t="n"/>
      <c r="CJ308" s="392" t="n"/>
      <c r="CK308" s="392" t="n"/>
      <c r="CL308" s="392" t="n"/>
      <c r="CM308" s="392" t="n"/>
      <c r="CN308" s="392" t="n"/>
      <c r="CO308" s="392" t="n"/>
      <c r="CP308" s="392" t="n"/>
      <c r="CQ308" s="392" t="n"/>
      <c r="CR308" s="392" t="n"/>
      <c r="CS308" s="392" t="n"/>
      <c r="CT308" s="392" t="n"/>
      <c r="CU308" s="392" t="n"/>
      <c r="CV308" s="392" t="n"/>
      <c r="CW308" s="392" t="n"/>
      <c r="CX308" s="392" t="n"/>
      <c r="CY308" s="392" t="n"/>
      <c r="CZ308" s="392" t="n"/>
      <c r="DA308" s="392" t="n"/>
      <c r="DB308" s="392" t="n"/>
      <c r="DC308" s="392" t="n"/>
      <c r="DD308" s="392" t="n"/>
      <c r="DE308" s="392" t="n"/>
    </row>
    <row r="309" ht="15" customFormat="1" customHeight="1" s="380">
      <c r="A309" s="397" t="inlineStr">
        <is>
          <t xml:space="preserve">     Other entities in the consolidation (Aimwell SW, Haralex, Aimwell)</t>
        </is>
      </c>
      <c r="B309" s="453" t="n">
        <v>9006.610000000001</v>
      </c>
      <c r="C309" s="453" t="n">
        <v>112</v>
      </c>
      <c r="D309" s="453" t="n">
        <v>112</v>
      </c>
      <c r="E309" s="453" t="n">
        <v>112</v>
      </c>
      <c r="F309" s="453" t="n">
        <v>112</v>
      </c>
      <c r="G309" s="453" t="n">
        <v>112</v>
      </c>
      <c r="H309" s="453" t="n">
        <v>112</v>
      </c>
      <c r="I309" s="392" t="n"/>
      <c r="J309" s="392" t="n"/>
      <c r="K309" s="392" t="n"/>
      <c r="L309" s="392" t="n"/>
      <c r="M309" s="392" t="n"/>
      <c r="N309" s="392" t="n"/>
      <c r="O309" s="392" t="n"/>
      <c r="P309" s="392" t="n"/>
      <c r="Q309" s="392" t="n"/>
      <c r="R309" s="392" t="n"/>
      <c r="S309" s="392" t="n"/>
      <c r="T309" s="392" t="n"/>
      <c r="U309" s="392" t="n"/>
      <c r="V309" s="392" t="n"/>
      <c r="W309" s="392" t="n"/>
      <c r="X309" s="392" t="n"/>
      <c r="Y309" s="392" t="n"/>
      <c r="Z309" s="392" t="n"/>
      <c r="AA309" s="392" t="n"/>
      <c r="AB309" s="392" t="n"/>
      <c r="AC309" s="392" t="n"/>
      <c r="AD309" s="392" t="n"/>
      <c r="AE309" s="392" t="n"/>
      <c r="AF309" s="392" t="n"/>
      <c r="AG309" s="392" t="n"/>
      <c r="AH309" s="392" t="n"/>
      <c r="AI309" s="392" t="n"/>
      <c r="AJ309" s="392" t="n"/>
      <c r="AK309" s="392" t="n"/>
      <c r="AL309" s="392" t="n"/>
      <c r="AM309" s="392" t="n"/>
      <c r="AN309" s="392" t="n"/>
      <c r="AO309" s="392" t="n"/>
      <c r="AP309" s="392" t="n"/>
      <c r="AQ309" s="392" t="n"/>
      <c r="AR309" s="392" t="n"/>
      <c r="AS309" s="392" t="n"/>
      <c r="AT309" s="392" t="n"/>
      <c r="AU309" s="392" t="n"/>
      <c r="AV309" s="392" t="n"/>
      <c r="AW309" s="392" t="n"/>
      <c r="AX309" s="392" t="n"/>
      <c r="AY309" s="392" t="n"/>
      <c r="AZ309" s="392" t="n"/>
      <c r="BA309" s="392" t="n"/>
      <c r="BB309" s="392" t="n"/>
      <c r="BC309" s="392" t="n"/>
      <c r="BD309" s="392" t="n"/>
      <c r="BE309" s="392" t="n"/>
      <c r="BF309" s="392" t="n"/>
      <c r="BG309" s="392" t="n"/>
      <c r="BH309" s="392" t="n"/>
      <c r="BI309" s="392" t="n"/>
      <c r="BJ309" s="392" t="n"/>
      <c r="BK309" s="392" t="n"/>
      <c r="BL309" s="392" t="n"/>
      <c r="BM309" s="392" t="n"/>
      <c r="BN309" s="392" t="n"/>
      <c r="BO309" s="392" t="n"/>
      <c r="BP309" s="392" t="n"/>
      <c r="BQ309" s="392" t="n"/>
      <c r="BR309" s="392" t="n"/>
      <c r="BS309" s="392" t="n"/>
      <c r="BT309" s="392" t="n"/>
      <c r="BU309" s="392" t="n"/>
      <c r="BV309" s="392" t="n"/>
      <c r="BW309" s="392" t="n"/>
      <c r="BX309" s="392" t="n"/>
      <c r="BY309" s="392" t="n"/>
      <c r="BZ309" s="392" t="n"/>
      <c r="CA309" s="392" t="n"/>
      <c r="CB309" s="392" t="n"/>
      <c r="CC309" s="392" t="n"/>
      <c r="CD309" s="392" t="n"/>
      <c r="CE309" s="392" t="n"/>
      <c r="CF309" s="392" t="n"/>
      <c r="CG309" s="392" t="n"/>
      <c r="CH309" s="392" t="n"/>
      <c r="CI309" s="392" t="n"/>
      <c r="CJ309" s="392" t="n"/>
      <c r="CK309" s="392" t="n"/>
      <c r="CL309" s="392" t="n"/>
      <c r="CM309" s="392" t="n"/>
      <c r="CN309" s="392" t="n"/>
      <c r="CO309" s="392" t="n"/>
      <c r="CP309" s="392" t="n"/>
      <c r="CQ309" s="392" t="n"/>
      <c r="CR309" s="392" t="n"/>
      <c r="CS309" s="392" t="n"/>
      <c r="CT309" s="392" t="n"/>
      <c r="CU309" s="392" t="n"/>
      <c r="CV309" s="392" t="n"/>
      <c r="CW309" s="392" t="n"/>
      <c r="CX309" s="392" t="n"/>
      <c r="CY309" s="392" t="n"/>
      <c r="CZ309" s="392" t="n"/>
      <c r="DA309" s="392" t="n"/>
      <c r="DB309" s="392" t="n"/>
      <c r="DC309" s="392" t="n"/>
      <c r="DD309" s="392" t="n"/>
      <c r="DE309" s="392" t="n"/>
    </row>
    <row r="310" ht="15" customFormat="1" customHeight="1" s="380">
      <c r="A310" s="397" t="inlineStr">
        <is>
          <t xml:space="preserve">     Check: entity accounts less B/S cash (should be 0)</t>
        </is>
      </c>
      <c r="B310" s="454">
        <f>IF(B306="","",ROUND(SUM(B307:B309)-B306,0))</f>
        <v/>
      </c>
      <c r="C310" s="454">
        <f>IF(C306="","",ROUND(SUM(C307:C309)-C306,0))</f>
        <v/>
      </c>
      <c r="D310" s="454">
        <f>IF(D306="","",ROUND(SUM(D307:D309)-D306,0))</f>
        <v/>
      </c>
      <c r="E310" s="454">
        <f>IF(E306="","",ROUND(SUM(E307:E309)-E306,0))</f>
        <v/>
      </c>
      <c r="F310" s="454">
        <f>IF(F306="","",ROUND(SUM(F307:F309)-F306,0))</f>
        <v/>
      </c>
      <c r="G310" s="454">
        <f>IF(G306="","",ROUND(SUM(G307:G309)-G306,0))</f>
        <v/>
      </c>
      <c r="H310" s="454">
        <f>IF(H306="","",ROUND(SUM(H307:H309)-H306,0))</f>
        <v/>
      </c>
      <c r="I310" s="454">
        <f>IF(I306="","",ROUND(SUM(I307:I309)-I306,0))</f>
        <v/>
      </c>
      <c r="J310" s="454">
        <f>IF(J306="","",ROUND(SUM(J307:J309)-J306,0))</f>
        <v/>
      </c>
      <c r="K310" s="454">
        <f>IF(K306="","",ROUND(SUM(K307:K309)-K306,0))</f>
        <v/>
      </c>
      <c r="L310" s="454">
        <f>IF(L306="","",ROUND(SUM(L307:L309)-L306,0))</f>
        <v/>
      </c>
      <c r="M310" s="454">
        <f>IF(M306="","",ROUND(SUM(M307:M309)-M306,0))</f>
        <v/>
      </c>
      <c r="N310" s="454">
        <f>IF(N306="","",ROUND(SUM(N307:N309)-N306,0))</f>
        <v/>
      </c>
      <c r="O310" s="454">
        <f>IF(O306="","",ROUND(SUM(O307:O309)-O306,0))</f>
        <v/>
      </c>
      <c r="P310" s="454">
        <f>IF(P306="","",ROUND(SUM(P307:P309)-P306,0))</f>
        <v/>
      </c>
      <c r="Q310" s="454">
        <f>IF(Q306="","",ROUND(SUM(Q307:Q309)-Q306,0))</f>
        <v/>
      </c>
      <c r="R310" s="454">
        <f>IF(R306="","",ROUND(SUM(R307:R309)-R306,0))</f>
        <v/>
      </c>
      <c r="S310" s="454">
        <f>IF(S306="","",ROUND(SUM(S307:S309)-S306,0))</f>
        <v/>
      </c>
      <c r="T310" s="454">
        <f>IF(T306="","",ROUND(SUM(T307:T309)-T306,0))</f>
        <v/>
      </c>
      <c r="U310" s="454">
        <f>IF(U306="","",ROUND(SUM(U307:U309)-U306,0))</f>
        <v/>
      </c>
      <c r="V310" s="454">
        <f>IF(V306="","",ROUND(SUM(V307:V309)-V306,0))</f>
        <v/>
      </c>
      <c r="W310" s="454">
        <f>IF(W306="","",ROUND(SUM(W307:W309)-W306,0))</f>
        <v/>
      </c>
      <c r="X310" s="454">
        <f>IF(X306="","",ROUND(SUM(X307:X309)-X306,0))</f>
        <v/>
      </c>
      <c r="Y310" s="454">
        <f>IF(Y306="","",ROUND(SUM(Y307:Y309)-Y306,0))</f>
        <v/>
      </c>
      <c r="Z310" s="454">
        <f>IF(Z306="","",ROUND(SUM(Z307:Z309)-Z306,0))</f>
        <v/>
      </c>
      <c r="AA310" s="454">
        <f>IF(AA306="","",ROUND(SUM(AA307:AA309)-AA306,0))</f>
        <v/>
      </c>
      <c r="AB310" s="454">
        <f>IF(AB306="","",ROUND(SUM(AB307:AB309)-AB306,0))</f>
        <v/>
      </c>
      <c r="AC310" s="454">
        <f>IF(AC306="","",ROUND(SUM(AC307:AC309)-AC306,0))</f>
        <v/>
      </c>
      <c r="AD310" s="454">
        <f>IF(AD306="","",ROUND(SUM(AD307:AD309)-AD306,0))</f>
        <v/>
      </c>
      <c r="AE310" s="454">
        <f>IF(AE306="","",ROUND(SUM(AE307:AE309)-AE306,0))</f>
        <v/>
      </c>
      <c r="AF310" s="454">
        <f>IF(AF306="","",ROUND(SUM(AF307:AF309)-AF306,0))</f>
        <v/>
      </c>
      <c r="AG310" s="454">
        <f>IF(AG306="","",ROUND(SUM(AG307:AG309)-AG306,0))</f>
        <v/>
      </c>
      <c r="AH310" s="454">
        <f>IF(AH306="","",ROUND(SUM(AH307:AH309)-AH306,0))</f>
        <v/>
      </c>
      <c r="AI310" s="454">
        <f>IF(AI306="","",ROUND(SUM(AI307:AI309)-AI306,0))</f>
        <v/>
      </c>
      <c r="AJ310" s="454">
        <f>IF(AJ306="","",ROUND(SUM(AJ307:AJ309)-AJ306,0))</f>
        <v/>
      </c>
      <c r="AK310" s="454">
        <f>IF(AK306="","",ROUND(SUM(AK307:AK309)-AK306,0))</f>
        <v/>
      </c>
      <c r="AL310" s="454">
        <f>IF(AL306="","",ROUND(SUM(AL307:AL309)-AL306,0))</f>
        <v/>
      </c>
      <c r="AM310" s="454">
        <f>IF(AM306="","",ROUND(SUM(AM307:AM309)-AM306,0))</f>
        <v/>
      </c>
      <c r="AN310" s="454">
        <f>IF(AN306="","",ROUND(SUM(AN307:AN309)-AN306,0))</f>
        <v/>
      </c>
      <c r="AO310" s="454">
        <f>IF(AO306="","",ROUND(SUM(AO307:AO309)-AO306,0))</f>
        <v/>
      </c>
      <c r="AP310" s="454">
        <f>IF(AP306="","",ROUND(SUM(AP307:AP309)-AP306,0))</f>
        <v/>
      </c>
      <c r="AQ310" s="454">
        <f>IF(AQ306="","",ROUND(SUM(AQ307:AQ309)-AQ306,0))</f>
        <v/>
      </c>
      <c r="AR310" s="454">
        <f>IF(AR306="","",ROUND(SUM(AR307:AR309)-AR306,0))</f>
        <v/>
      </c>
      <c r="AS310" s="454">
        <f>IF(AS306="","",ROUND(SUM(AS307:AS309)-AS306,0))</f>
        <v/>
      </c>
      <c r="AT310" s="454">
        <f>IF(AT306="","",ROUND(SUM(AT307:AT309)-AT306,0))</f>
        <v/>
      </c>
      <c r="AU310" s="454">
        <f>IF(AU306="","",ROUND(SUM(AU307:AU309)-AU306,0))</f>
        <v/>
      </c>
      <c r="AV310" s="454">
        <f>IF(AV306="","",ROUND(SUM(AV307:AV309)-AV306,0))</f>
        <v/>
      </c>
      <c r="AW310" s="454">
        <f>IF(AW306="","",ROUND(SUM(AW307:AW309)-AW306,0))</f>
        <v/>
      </c>
      <c r="AX310" s="454">
        <f>IF(AX306="","",ROUND(SUM(AX307:AX309)-AX306,0))</f>
        <v/>
      </c>
      <c r="AY310" s="454">
        <f>IF(AY306="","",ROUND(SUM(AY307:AY309)-AY306,0))</f>
        <v/>
      </c>
      <c r="AZ310" s="454">
        <f>IF(AZ306="","",ROUND(SUM(AZ307:AZ309)-AZ306,0))</f>
        <v/>
      </c>
      <c r="BA310" s="454">
        <f>IF(BA306="","",ROUND(SUM(BA307:BA309)-BA306,0))</f>
        <v/>
      </c>
      <c r="BB310" s="454">
        <f>IF(BB306="","",ROUND(SUM(BB307:BB309)-BB306,0))</f>
        <v/>
      </c>
      <c r="BC310" s="454">
        <f>IF(BC306="","",ROUND(SUM(BC307:BC309)-BC306,0))</f>
        <v/>
      </c>
      <c r="BD310" s="454">
        <f>IF(BD306="","",ROUND(SUM(BD307:BD309)-BD306,0))</f>
        <v/>
      </c>
      <c r="BE310" s="454">
        <f>IF(BE306="","",ROUND(SUM(BE307:BE309)-BE306,0))</f>
        <v/>
      </c>
      <c r="BF310" s="454">
        <f>IF(BF306="","",ROUND(SUM(BF307:BF309)-BF306,0))</f>
        <v/>
      </c>
      <c r="BG310" s="454">
        <f>IF(BG306="","",ROUND(SUM(BG307:BG309)-BG306,0))</f>
        <v/>
      </c>
      <c r="BH310" s="454">
        <f>IF(BH306="","",ROUND(SUM(BH307:BH309)-BH306,0))</f>
        <v/>
      </c>
      <c r="BI310" s="454">
        <f>IF(BI306="","",ROUND(SUM(BI307:BI309)-BI306,0))</f>
        <v/>
      </c>
      <c r="BJ310" s="454">
        <f>IF(BJ306="","",ROUND(SUM(BJ307:BJ309)-BJ306,0))</f>
        <v/>
      </c>
      <c r="BK310" s="454">
        <f>IF(BK306="","",ROUND(SUM(BK307:BK309)-BK306,0))</f>
        <v/>
      </c>
      <c r="BL310" s="454">
        <f>IF(BL306="","",ROUND(SUM(BL307:BL309)-BL306,0))</f>
        <v/>
      </c>
      <c r="BM310" s="454">
        <f>IF(BM306="","",ROUND(SUM(BM307:BM309)-BM306,0))</f>
        <v/>
      </c>
      <c r="BN310" s="454">
        <f>IF(BN306="","",ROUND(SUM(BN307:BN309)-BN306,0))</f>
        <v/>
      </c>
      <c r="BO310" s="454">
        <f>IF(BO306="","",ROUND(SUM(BO307:BO309)-BO306,0))</f>
        <v/>
      </c>
      <c r="BP310" s="454">
        <f>IF(BP306="","",ROUND(SUM(BP307:BP309)-BP306,0))</f>
        <v/>
      </c>
      <c r="BQ310" s="454">
        <f>IF(BQ306="","",ROUND(SUM(BQ307:BQ309)-BQ306,0))</f>
        <v/>
      </c>
      <c r="BR310" s="454">
        <f>IF(BR306="","",ROUND(SUM(BR307:BR309)-BR306,0))</f>
        <v/>
      </c>
      <c r="BS310" s="454">
        <f>IF(BS306="","",ROUND(SUM(BS307:BS309)-BS306,0))</f>
        <v/>
      </c>
      <c r="BT310" s="454">
        <f>IF(BT306="","",ROUND(SUM(BT307:BT309)-BT306,0))</f>
        <v/>
      </c>
      <c r="BU310" s="454">
        <f>IF(BU306="","",ROUND(SUM(BU307:BU309)-BU306,0))</f>
        <v/>
      </c>
      <c r="BV310" s="454">
        <f>IF(BV306="","",ROUND(SUM(BV307:BV309)-BV306,0))</f>
        <v/>
      </c>
      <c r="BW310" s="454">
        <f>IF(BW306="","",ROUND(SUM(BW307:BW309)-BW306,0))</f>
        <v/>
      </c>
      <c r="BX310" s="454">
        <f>IF(BX306="","",ROUND(SUM(BX307:BX309)-BX306,0))</f>
        <v/>
      </c>
      <c r="BY310" s="454">
        <f>IF(BY306="","",ROUND(SUM(BY307:BY309)-BY306,0))</f>
        <v/>
      </c>
      <c r="BZ310" s="454">
        <f>IF(BZ306="","",ROUND(SUM(BZ307:BZ309)-BZ306,0))</f>
        <v/>
      </c>
      <c r="CA310" s="454">
        <f>IF(CA306="","",ROUND(SUM(CA307:CA309)-CA306,0))</f>
        <v/>
      </c>
      <c r="CB310" s="454">
        <f>IF(CB306="","",ROUND(SUM(CB307:CB309)-CB306,0))</f>
        <v/>
      </c>
      <c r="CC310" s="454">
        <f>IF(CC306="","",ROUND(SUM(CC307:CC309)-CC306,0))</f>
        <v/>
      </c>
      <c r="CD310" s="454">
        <f>IF(CD306="","",ROUND(SUM(CD307:CD309)-CD306,0))</f>
        <v/>
      </c>
      <c r="CE310" s="454">
        <f>IF(CE306="","",ROUND(SUM(CE307:CE309)-CE306,0))</f>
        <v/>
      </c>
      <c r="CF310" s="454">
        <f>IF(CF306="","",ROUND(SUM(CF307:CF309)-CF306,0))</f>
        <v/>
      </c>
      <c r="CG310" s="454">
        <f>IF(CG306="","",ROUND(SUM(CG307:CG309)-CG306,0))</f>
        <v/>
      </c>
      <c r="CH310" s="454">
        <f>IF(CH306="","",ROUND(SUM(CH307:CH309)-CH306,0))</f>
        <v/>
      </c>
      <c r="CI310" s="454">
        <f>IF(CI306="","",ROUND(SUM(CI307:CI309)-CI306,0))</f>
        <v/>
      </c>
      <c r="CJ310" s="454">
        <f>IF(CJ306="","",ROUND(SUM(CJ307:CJ309)-CJ306,0))</f>
        <v/>
      </c>
      <c r="CK310" s="454">
        <f>IF(CK306="","",ROUND(SUM(CK307:CK309)-CK306,0))</f>
        <v/>
      </c>
      <c r="CL310" s="454">
        <f>IF(CL306="","",ROUND(SUM(CL307:CL309)-CL306,0))</f>
        <v/>
      </c>
      <c r="CM310" s="454">
        <f>IF(CM306="","",ROUND(SUM(CM307:CM309)-CM306,0))</f>
        <v/>
      </c>
      <c r="CN310" s="454">
        <f>IF(CN306="","",ROUND(SUM(CN307:CN309)-CN306,0))</f>
        <v/>
      </c>
      <c r="CO310" s="454">
        <f>IF(CO306="","",ROUND(SUM(CO307:CO309)-CO306,0))</f>
        <v/>
      </c>
      <c r="CP310" s="454">
        <f>IF(CP306="","",ROUND(SUM(CP307:CP309)-CP306,0))</f>
        <v/>
      </c>
      <c r="CQ310" s="454">
        <f>IF(CQ306="","",ROUND(SUM(CQ307:CQ309)-CQ306,0))</f>
        <v/>
      </c>
      <c r="CR310" s="454">
        <f>IF(CR306="","",ROUND(SUM(CR307:CR309)-CR306,0))</f>
        <v/>
      </c>
      <c r="CS310" s="454">
        <f>IF(CS306="","",ROUND(SUM(CS307:CS309)-CS306,0))</f>
        <v/>
      </c>
      <c r="CT310" s="454">
        <f>IF(CT306="","",ROUND(SUM(CT307:CT309)-CT306,0))</f>
        <v/>
      </c>
      <c r="CU310" s="454">
        <f>IF(CU306="","",ROUND(SUM(CU307:CU309)-CU306,0))</f>
        <v/>
      </c>
      <c r="CV310" s="454">
        <f>IF(CV306="","",ROUND(SUM(CV307:CV309)-CV306,0))</f>
        <v/>
      </c>
      <c r="CW310" s="454">
        <f>IF(CW306="","",ROUND(SUM(CW307:CW309)-CW306,0))</f>
        <v/>
      </c>
      <c r="CX310" s="454">
        <f>IF(CX306="","",ROUND(SUM(CX307:CX309)-CX306,0))</f>
        <v/>
      </c>
      <c r="CY310" s="454">
        <f>IF(CY306="","",ROUND(SUM(CY307:CY309)-CY306,0))</f>
        <v/>
      </c>
      <c r="CZ310" s="454">
        <f>IF(CZ306="","",ROUND(SUM(CZ307:CZ309)-CZ306,0))</f>
        <v/>
      </c>
      <c r="DA310" s="454">
        <f>IF(DA306="","",ROUND(SUM(DA307:DA309)-DA306,0))</f>
        <v/>
      </c>
      <c r="DB310" s="454">
        <f>IF(DB306="","",ROUND(SUM(DB307:DB309)-DB306,0))</f>
        <v/>
      </c>
      <c r="DC310" s="454">
        <f>IF(DC306="","",ROUND(SUM(DC307:DC309)-DC306,0))</f>
        <v/>
      </c>
      <c r="DD310" s="454">
        <f>IF(DD306="","",ROUND(SUM(DD307:DD309)-DD306,0))</f>
        <v/>
      </c>
      <c r="DE310" s="454">
        <f>IF(DE306="","",ROUND(SUM(DE307:DE309)-DE306,0))</f>
        <v/>
      </c>
    </row>
    <row r="311" ht="15" customFormat="1" customHeight="1" s="380">
      <c r="A311" s="447" t="inlineStr">
        <is>
          <t>Actual Consolidated Cash (LV + Six Peak)</t>
        </is>
      </c>
      <c r="B311" s="448">
        <f>IF(B300="","",B300+B306)</f>
        <v/>
      </c>
      <c r="C311" s="448">
        <f>IF(C300="","",C300+C306)</f>
        <v/>
      </c>
      <c r="D311" s="448">
        <f>IF(D300="","",D300+D306)</f>
        <v/>
      </c>
      <c r="E311" s="448">
        <f>IF(E300="","",E300+E306)</f>
        <v/>
      </c>
      <c r="F311" s="448">
        <f>IF(F300="","",F300+F306)</f>
        <v/>
      </c>
      <c r="G311" s="448">
        <f>IF(G300="","",G300+G306)</f>
        <v/>
      </c>
      <c r="H311" s="448">
        <f>IF(H300="","",H300+H306)</f>
        <v/>
      </c>
      <c r="I311" s="448">
        <f>IF(I300="","",I300+I306)</f>
        <v/>
      </c>
      <c r="J311" s="448">
        <f>IF(J300="","",J300+J306)</f>
        <v/>
      </c>
      <c r="K311" s="448">
        <f>IF(K300="","",K300+K306)</f>
        <v/>
      </c>
      <c r="L311" s="448">
        <f>IF(L300="","",L300+L306)</f>
        <v/>
      </c>
      <c r="M311" s="448">
        <f>IF(M300="","",M300+M306)</f>
        <v/>
      </c>
      <c r="N311" s="448">
        <f>IF(N300="","",N300+N306)</f>
        <v/>
      </c>
      <c r="O311" s="448">
        <f>IF(O300="","",O300+O306)</f>
        <v/>
      </c>
      <c r="P311" s="448">
        <f>IF(P300="","",P300+P306)</f>
        <v/>
      </c>
      <c r="Q311" s="448">
        <f>IF(Q300="","",Q300+Q306)</f>
        <v/>
      </c>
      <c r="R311" s="448">
        <f>IF(R300="","",R300+R306)</f>
        <v/>
      </c>
      <c r="S311" s="448">
        <f>IF(S300="","",S300+S306)</f>
        <v/>
      </c>
      <c r="T311" s="448">
        <f>IF(T300="","",T300+T306)</f>
        <v/>
      </c>
      <c r="U311" s="448">
        <f>IF(U300="","",U300+U306)</f>
        <v/>
      </c>
      <c r="V311" s="448">
        <f>IF(V300="","",V300+V306)</f>
        <v/>
      </c>
      <c r="W311" s="448">
        <f>IF(W300="","",W300+W306)</f>
        <v/>
      </c>
      <c r="X311" s="448">
        <f>IF(X300="","",X300+X306)</f>
        <v/>
      </c>
      <c r="Y311" s="448">
        <f>IF(Y300="","",Y300+Y306)</f>
        <v/>
      </c>
      <c r="Z311" s="448">
        <f>IF(Z300="","",Z300+Z306)</f>
        <v/>
      </c>
      <c r="AA311" s="448">
        <f>IF(AA300="","",AA300+AA306)</f>
        <v/>
      </c>
      <c r="AB311" s="448">
        <f>IF(AB300="","",AB300+AB306)</f>
        <v/>
      </c>
      <c r="AC311" s="448">
        <f>IF(AC300="","",AC300+AC306)</f>
        <v/>
      </c>
      <c r="AD311" s="448">
        <f>IF(AD300="","",AD300+AD306)</f>
        <v/>
      </c>
      <c r="AE311" s="448">
        <f>IF(AE300="","",AE300+AE306)</f>
        <v/>
      </c>
      <c r="AF311" s="448">
        <f>IF(AF300="","",AF300+AF306)</f>
        <v/>
      </c>
      <c r="AG311" s="448">
        <f>IF(AG300="","",AG300+AG306)</f>
        <v/>
      </c>
      <c r="AH311" s="448">
        <f>IF(AH300="","",AH300+AH306)</f>
        <v/>
      </c>
      <c r="AI311" s="448">
        <f>IF(AI300="","",AI300+AI306)</f>
        <v/>
      </c>
      <c r="AJ311" s="448">
        <f>IF(AJ300="","",AJ300+AJ306)</f>
        <v/>
      </c>
      <c r="AK311" s="448">
        <f>IF(AK300="","",AK300+AK306)</f>
        <v/>
      </c>
      <c r="AL311" s="448">
        <f>IF(AL300="","",AL300+AL306)</f>
        <v/>
      </c>
      <c r="AM311" s="448">
        <f>IF(AM300="","",AM300+AM306)</f>
        <v/>
      </c>
      <c r="AN311" s="448">
        <f>IF(AN300="","",AN300+AN306)</f>
        <v/>
      </c>
      <c r="AO311" s="448">
        <f>IF(AO300="","",AO300+AO306)</f>
        <v/>
      </c>
      <c r="AP311" s="448">
        <f>IF(AP300="","",AP300+AP306)</f>
        <v/>
      </c>
      <c r="AQ311" s="448">
        <f>IF(AQ300="","",AQ300+AQ306)</f>
        <v/>
      </c>
      <c r="AR311" s="448">
        <f>IF(AR300="","",AR300+AR306)</f>
        <v/>
      </c>
      <c r="AS311" s="448">
        <f>IF(AS300="","",AS300+AS306)</f>
        <v/>
      </c>
      <c r="AT311" s="448">
        <f>IF(AT300="","",AT300+AT306)</f>
        <v/>
      </c>
      <c r="AU311" s="448">
        <f>IF(AU300="","",AU300+AU306)</f>
        <v/>
      </c>
      <c r="AV311" s="448">
        <f>IF(AV300="","",AV300+AV306)</f>
        <v/>
      </c>
      <c r="AW311" s="448">
        <f>IF(AW300="","",AW300+AW306)</f>
        <v/>
      </c>
      <c r="AX311" s="448">
        <f>IF(AX300="","",AX300+AX306)</f>
        <v/>
      </c>
      <c r="AY311" s="448">
        <f>IF(AY300="","",AY300+AY306)</f>
        <v/>
      </c>
      <c r="AZ311" s="448">
        <f>IF(AZ300="","",AZ300+AZ306)</f>
        <v/>
      </c>
      <c r="BA311" s="448">
        <f>IF(BA300="","",BA300+BA306)</f>
        <v/>
      </c>
      <c r="BB311" s="448">
        <f>IF(BB300="","",BB300+BB306)</f>
        <v/>
      </c>
      <c r="BC311" s="448">
        <f>IF(BC300="","",BC300+BC306)</f>
        <v/>
      </c>
      <c r="BD311" s="448">
        <f>IF(BD300="","",BD300+BD306)</f>
        <v/>
      </c>
      <c r="BE311" s="448">
        <f>IF(BE300="","",BE300+BE306)</f>
        <v/>
      </c>
      <c r="BF311" s="448">
        <f>IF(BF300="","",BF300+BF306)</f>
        <v/>
      </c>
      <c r="BG311" s="448">
        <f>IF(BG300="","",BG300+BG306)</f>
        <v/>
      </c>
      <c r="BH311" s="448">
        <f>IF(BH300="","",BH300+BH306)</f>
        <v/>
      </c>
      <c r="BI311" s="448">
        <f>IF(BI300="","",BI300+BI306)</f>
        <v/>
      </c>
      <c r="BJ311" s="448">
        <f>IF(BJ300="","",BJ300+BJ306)</f>
        <v/>
      </c>
      <c r="BK311" s="448">
        <f>IF(BK300="","",BK300+BK306)</f>
        <v/>
      </c>
      <c r="BL311" s="448">
        <f>IF(BL300="","",BL300+BL306)</f>
        <v/>
      </c>
      <c r="BM311" s="448">
        <f>IF(BM300="","",BM300+BM306)</f>
        <v/>
      </c>
      <c r="BN311" s="448">
        <f>IF(BN300="","",BN300+BN306)</f>
        <v/>
      </c>
      <c r="BO311" s="448">
        <f>IF(BO300="","",BO300+BO306)</f>
        <v/>
      </c>
      <c r="BP311" s="448">
        <f>IF(BP300="","",BP300+BP306)</f>
        <v/>
      </c>
      <c r="BQ311" s="448">
        <f>IF(BQ300="","",BQ300+BQ306)</f>
        <v/>
      </c>
      <c r="BR311" s="448">
        <f>IF(BR300="","",BR300+BR306)</f>
        <v/>
      </c>
      <c r="BS311" s="448">
        <f>IF(BS300="","",BS300+BS306)</f>
        <v/>
      </c>
      <c r="BT311" s="448">
        <f>IF(BT300="","",BT300+BT306)</f>
        <v/>
      </c>
      <c r="BU311" s="448">
        <f>IF(BU300="","",BU300+BU306)</f>
        <v/>
      </c>
      <c r="BV311" s="448">
        <f>IF(BV300="","",BV300+BV306)</f>
        <v/>
      </c>
      <c r="BW311" s="448">
        <f>IF(BW300="","",BW300+BW306)</f>
        <v/>
      </c>
      <c r="BX311" s="448">
        <f>IF(BX300="","",BX300+BX306)</f>
        <v/>
      </c>
      <c r="BY311" s="448">
        <f>IF(BY300="","",BY300+BY306)</f>
        <v/>
      </c>
      <c r="BZ311" s="448">
        <f>IF(BZ300="","",BZ300+BZ306)</f>
        <v/>
      </c>
      <c r="CA311" s="448">
        <f>IF(CA300="","",CA300+CA306)</f>
        <v/>
      </c>
      <c r="CB311" s="448">
        <f>IF(CB300="","",CB300+CB306)</f>
        <v/>
      </c>
      <c r="CC311" s="448">
        <f>IF(CC300="","",CC300+CC306)</f>
        <v/>
      </c>
      <c r="CD311" s="448">
        <f>IF(CD300="","",CD300+CD306)</f>
        <v/>
      </c>
      <c r="CE311" s="448">
        <f>IF(CE300="","",CE300+CE306)</f>
        <v/>
      </c>
      <c r="CF311" s="448">
        <f>IF(CF300="","",CF300+CF306)</f>
        <v/>
      </c>
      <c r="CG311" s="448">
        <f>IF(CG300="","",CG300+CG306)</f>
        <v/>
      </c>
      <c r="CH311" s="448">
        <f>IF(CH300="","",CH300+CH306)</f>
        <v/>
      </c>
      <c r="CI311" s="448">
        <f>IF(CI300="","",CI300+CI306)</f>
        <v/>
      </c>
      <c r="CJ311" s="448">
        <f>IF(CJ300="","",CJ300+CJ306)</f>
        <v/>
      </c>
      <c r="CK311" s="448">
        <f>IF(CK300="","",CK300+CK306)</f>
        <v/>
      </c>
      <c r="CL311" s="448">
        <f>IF(CL300="","",CL300+CL306)</f>
        <v/>
      </c>
      <c r="CM311" s="448">
        <f>IF(CM300="","",CM300+CM306)</f>
        <v/>
      </c>
      <c r="CN311" s="448">
        <f>IF(CN300="","",CN300+CN306)</f>
        <v/>
      </c>
      <c r="CO311" s="448">
        <f>IF(CO300="","",CO300+CO306)</f>
        <v/>
      </c>
      <c r="CP311" s="448">
        <f>IF(CP300="","",CP300+CP306)</f>
        <v/>
      </c>
      <c r="CQ311" s="448">
        <f>IF(CQ300="","",CQ300+CQ306)</f>
        <v/>
      </c>
      <c r="CR311" s="448">
        <f>IF(CR300="","",CR300+CR306)</f>
        <v/>
      </c>
      <c r="CS311" s="448">
        <f>IF(CS300="","",CS300+CS306)</f>
        <v/>
      </c>
      <c r="CT311" s="448">
        <f>IF(CT300="","",CT300+CT306)</f>
        <v/>
      </c>
      <c r="CU311" s="448">
        <f>IF(CU300="","",CU300+CU306)</f>
        <v/>
      </c>
      <c r="CV311" s="448">
        <f>IF(CV300="","",CV300+CV306)</f>
        <v/>
      </c>
      <c r="CW311" s="448">
        <f>IF(CW300="","",CW300+CW306)</f>
        <v/>
      </c>
      <c r="CX311" s="448">
        <f>IF(CX300="","",CX300+CX306)</f>
        <v/>
      </c>
      <c r="CY311" s="448">
        <f>IF(CY300="","",CY300+CY306)</f>
        <v/>
      </c>
      <c r="CZ311" s="448">
        <f>IF(CZ300="","",CZ300+CZ306)</f>
        <v/>
      </c>
      <c r="DA311" s="448">
        <f>IF(DA300="","",DA300+DA306)</f>
        <v/>
      </c>
      <c r="DB311" s="448">
        <f>IF(DB300="","",DB300+DB306)</f>
        <v/>
      </c>
      <c r="DC311" s="448">
        <f>IF(DC300="","",DC300+DC306)</f>
        <v/>
      </c>
      <c r="DD311" s="448">
        <f>IF(DD300="","",DD300+DD306)</f>
        <v/>
      </c>
      <c r="DE311" s="448">
        <f>IF(DE300="","",DE300+DE306)</f>
        <v/>
      </c>
    </row>
    <row r="312" ht="15" customFormat="1" customHeight="1" s="380">
      <c r="A312" s="452" t="n"/>
      <c r="B312" s="451" t="n"/>
      <c r="C312" s="451" t="n"/>
      <c r="D312" s="451" t="n"/>
      <c r="E312" s="451" t="n"/>
      <c r="F312" s="451" t="n"/>
      <c r="G312" s="451" t="n"/>
      <c r="H312" s="451" t="n"/>
      <c r="I312" s="451" t="n"/>
      <c r="J312" s="451" t="n"/>
      <c r="K312" s="451" t="n"/>
      <c r="L312" s="451" t="n"/>
      <c r="M312" s="451" t="n"/>
      <c r="N312" s="451" t="n"/>
      <c r="O312" s="451" t="n"/>
      <c r="P312" s="451" t="n"/>
      <c r="Q312" s="451" t="n"/>
      <c r="R312" s="451" t="n"/>
      <c r="S312" s="451" t="n"/>
      <c r="T312" s="451" t="n"/>
      <c r="U312" s="451" t="n"/>
      <c r="V312" s="451" t="n"/>
      <c r="W312" s="451" t="n"/>
      <c r="X312" s="451" t="n"/>
      <c r="Y312" s="451" t="n"/>
      <c r="Z312" s="451" t="n"/>
      <c r="AA312" s="451" t="n"/>
      <c r="AB312" s="451" t="n"/>
      <c r="AC312" s="451" t="n"/>
      <c r="AD312" s="451" t="n"/>
      <c r="AE312" s="451" t="n"/>
      <c r="AF312" s="451" t="n"/>
      <c r="AG312" s="451" t="n"/>
      <c r="AH312" s="451" t="n"/>
      <c r="AI312" s="451" t="n"/>
      <c r="AJ312" s="451" t="n"/>
      <c r="AK312" s="451" t="n"/>
      <c r="AL312" s="451" t="n"/>
      <c r="AM312" s="451" t="n"/>
      <c r="AN312" s="451" t="n"/>
      <c r="AO312" s="451" t="n"/>
      <c r="AP312" s="451" t="n"/>
      <c r="AQ312" s="451" t="n"/>
      <c r="AR312" s="451" t="n"/>
      <c r="AS312" s="451" t="n"/>
      <c r="AT312" s="451" t="n"/>
      <c r="AU312" s="451" t="n"/>
      <c r="AV312" s="451" t="n"/>
      <c r="AW312" s="451" t="n"/>
      <c r="AX312" s="451" t="n"/>
      <c r="AY312" s="451" t="n"/>
      <c r="AZ312" s="451" t="n"/>
      <c r="BA312" s="451" t="n"/>
      <c r="BB312" s="451" t="n"/>
      <c r="BC312" s="451" t="n"/>
      <c r="BD312" s="451" t="n"/>
      <c r="BE312" s="451" t="n"/>
      <c r="BF312" s="451" t="n"/>
      <c r="BG312" s="451" t="n"/>
      <c r="BH312" s="451" t="n"/>
      <c r="BI312" s="451" t="n"/>
      <c r="BJ312" s="451" t="n"/>
      <c r="BK312" s="451" t="n"/>
      <c r="BL312" s="451" t="n"/>
      <c r="BM312" s="451" t="n"/>
      <c r="BN312" s="451" t="n"/>
      <c r="BO312" s="451" t="n"/>
      <c r="BP312" s="451" t="n"/>
      <c r="BQ312" s="451" t="n"/>
      <c r="BR312" s="451" t="n"/>
      <c r="BS312" s="451" t="n"/>
      <c r="BT312" s="451" t="n"/>
      <c r="BU312" s="451" t="n"/>
      <c r="BV312" s="451" t="n"/>
      <c r="BW312" s="451" t="n"/>
      <c r="BX312" s="451" t="n"/>
      <c r="BY312" s="451" t="n"/>
      <c r="BZ312" s="451" t="n"/>
      <c r="CA312" s="451" t="n"/>
      <c r="CB312" s="451" t="n"/>
      <c r="CC312" s="451" t="n"/>
      <c r="CD312" s="451" t="n"/>
      <c r="CE312" s="451" t="n"/>
      <c r="CF312" s="451" t="n"/>
      <c r="CG312" s="451" t="n"/>
      <c r="CH312" s="451" t="n"/>
      <c r="CI312" s="451" t="n"/>
      <c r="CJ312" s="451" t="n"/>
      <c r="CK312" s="451" t="n"/>
      <c r="CL312" s="451" t="n"/>
      <c r="CM312" s="451" t="n"/>
      <c r="CN312" s="451" t="n"/>
      <c r="CO312" s="451" t="n"/>
      <c r="CP312" s="451" t="n"/>
      <c r="CQ312" s="451" t="n"/>
      <c r="CR312" s="451" t="n"/>
      <c r="CS312" s="451" t="n"/>
      <c r="CT312" s="451" t="n"/>
      <c r="CU312" s="451" t="n"/>
      <c r="CV312" s="451" t="n"/>
      <c r="CW312" s="451" t="n"/>
      <c r="CX312" s="451" t="n"/>
      <c r="CY312" s="451" t="n"/>
      <c r="CZ312" s="451" t="n"/>
      <c r="DA312" s="451" t="n"/>
      <c r="DB312" s="451" t="n"/>
      <c r="DC312" s="451" t="n"/>
      <c r="DD312" s="451" t="n"/>
      <c r="DE312" s="451" t="n"/>
    </row>
    <row r="313" ht="15" customFormat="1" customHeight="1" s="380">
      <c r="A313" s="402" t="inlineStr">
        <is>
          <t>B. LV (GC) CASH — MODEL vs ACTUAL</t>
        </is>
      </c>
      <c r="B313" s="414" t="n"/>
      <c r="C313" s="414" t="n"/>
      <c r="D313" s="414" t="n"/>
      <c r="E313" s="414" t="n"/>
      <c r="F313" s="414" t="n"/>
      <c r="G313" s="414" t="n"/>
      <c r="H313" s="414" t="n"/>
      <c r="I313" s="414" t="n"/>
      <c r="J313" s="414" t="n"/>
      <c r="K313" s="414" t="n"/>
      <c r="L313" s="414" t="n"/>
      <c r="M313" s="414" t="n"/>
      <c r="N313" s="414" t="n"/>
      <c r="O313" s="414" t="n"/>
      <c r="P313" s="414" t="n"/>
      <c r="Q313" s="414" t="n"/>
      <c r="R313" s="414" t="n"/>
      <c r="S313" s="414" t="n"/>
      <c r="T313" s="414" t="n"/>
      <c r="U313" s="414" t="n"/>
      <c r="V313" s="414" t="n"/>
      <c r="W313" s="414" t="n"/>
      <c r="X313" s="414" t="n"/>
      <c r="Y313" s="414" t="n"/>
      <c r="Z313" s="414" t="n"/>
      <c r="AA313" s="414" t="n"/>
      <c r="AB313" s="414" t="n"/>
      <c r="AC313" s="414" t="n"/>
      <c r="AD313" s="414" t="n"/>
      <c r="AE313" s="414" t="n"/>
      <c r="AF313" s="414" t="n"/>
      <c r="AG313" s="414" t="n"/>
      <c r="AH313" s="414" t="n"/>
      <c r="AI313" s="414" t="n"/>
      <c r="AJ313" s="414" t="n"/>
      <c r="AK313" s="414" t="n"/>
      <c r="AL313" s="414" t="n"/>
      <c r="AM313" s="414" t="n"/>
      <c r="AN313" s="414" t="n"/>
      <c r="AO313" s="414" t="n"/>
      <c r="AP313" s="414" t="n"/>
      <c r="AQ313" s="414" t="n"/>
      <c r="AR313" s="414" t="n"/>
      <c r="AS313" s="414" t="n"/>
      <c r="AT313" s="414" t="n"/>
      <c r="AU313" s="414" t="n"/>
      <c r="AV313" s="414" t="n"/>
      <c r="AW313" s="414" t="n"/>
      <c r="AX313" s="414" t="n"/>
      <c r="AY313" s="414" t="n"/>
      <c r="AZ313" s="414" t="n"/>
      <c r="BA313" s="414" t="n"/>
      <c r="BB313" s="414" t="n"/>
      <c r="BC313" s="414" t="n"/>
      <c r="BD313" s="414" t="n"/>
      <c r="BE313" s="414" t="n"/>
      <c r="BF313" s="414" t="n"/>
      <c r="BG313" s="414" t="n"/>
      <c r="BH313" s="414" t="n"/>
      <c r="BI313" s="414" t="n"/>
      <c r="BJ313" s="414" t="n"/>
      <c r="BK313" s="414" t="n"/>
      <c r="BL313" s="414" t="n"/>
      <c r="BM313" s="414" t="n"/>
      <c r="BN313" s="414" t="n"/>
      <c r="BO313" s="414" t="n"/>
      <c r="BP313" s="414" t="n"/>
      <c r="BQ313" s="414" t="n"/>
      <c r="BR313" s="414" t="n"/>
      <c r="BS313" s="414" t="n"/>
      <c r="BT313" s="414" t="n"/>
      <c r="BU313" s="414" t="n"/>
      <c r="BV313" s="414" t="n"/>
      <c r="BW313" s="414" t="n"/>
      <c r="BX313" s="414" t="n"/>
      <c r="BY313" s="414" t="n"/>
      <c r="BZ313" s="414" t="n"/>
      <c r="CA313" s="414" t="n"/>
      <c r="CB313" s="414" t="n"/>
      <c r="CC313" s="414" t="n"/>
      <c r="CD313" s="414" t="n"/>
      <c r="CE313" s="414" t="n"/>
      <c r="CF313" s="414" t="n"/>
      <c r="CG313" s="414" t="n"/>
      <c r="CH313" s="414" t="n"/>
      <c r="CI313" s="414" t="n"/>
      <c r="CJ313" s="414" t="n"/>
      <c r="CK313" s="414" t="n"/>
      <c r="CL313" s="414" t="n"/>
      <c r="CM313" s="414" t="n"/>
      <c r="CN313" s="414" t="n"/>
      <c r="CO313" s="414" t="n"/>
      <c r="CP313" s="414" t="n"/>
      <c r="CQ313" s="414" t="n"/>
      <c r="CR313" s="414" t="n"/>
      <c r="CS313" s="414" t="n"/>
      <c r="CT313" s="414" t="n"/>
      <c r="CU313" s="414" t="n"/>
      <c r="CV313" s="414" t="n"/>
      <c r="CW313" s="414" t="n"/>
      <c r="CX313" s="414" t="n"/>
      <c r="CY313" s="414" t="n"/>
      <c r="CZ313" s="414" t="n"/>
      <c r="DA313" s="414" t="n"/>
      <c r="DB313" s="414" t="n"/>
      <c r="DC313" s="414" t="n"/>
      <c r="DD313" s="414" t="n"/>
      <c r="DE313" s="414" t="n"/>
    </row>
    <row r="314" ht="15" customFormat="1" customHeight="1" s="380">
      <c r="A314" s="397" t="inlineStr">
        <is>
          <t>Actual per B/S</t>
        </is>
      </c>
      <c r="B314" s="392">
        <f>IF(B300="","",B300)</f>
        <v/>
      </c>
      <c r="C314" s="392">
        <f>IF(C300="","",C300)</f>
        <v/>
      </c>
      <c r="D314" s="392">
        <f>IF(D300="","",D300)</f>
        <v/>
      </c>
      <c r="E314" s="392">
        <f>IF(E300="","",E300)</f>
        <v/>
      </c>
      <c r="F314" s="392">
        <f>IF(F300="","",F300)</f>
        <v/>
      </c>
      <c r="G314" s="392">
        <f>IF(G300="","",G300)</f>
        <v/>
      </c>
      <c r="H314" s="392">
        <f>IF(H300="","",H300)</f>
        <v/>
      </c>
      <c r="I314" s="392">
        <f>IF(I300="","",I300)</f>
        <v/>
      </c>
      <c r="J314" s="392">
        <f>IF(J300="","",J300)</f>
        <v/>
      </c>
      <c r="K314" s="392">
        <f>IF(K300="","",K300)</f>
        <v/>
      </c>
      <c r="L314" s="392">
        <f>IF(L300="","",L300)</f>
        <v/>
      </c>
      <c r="M314" s="392">
        <f>IF(M300="","",M300)</f>
        <v/>
      </c>
      <c r="N314" s="392">
        <f>IF(N300="","",N300)</f>
        <v/>
      </c>
      <c r="O314" s="392">
        <f>IF(O300="","",O300)</f>
        <v/>
      </c>
      <c r="P314" s="392">
        <f>IF(P300="","",P300)</f>
        <v/>
      </c>
      <c r="Q314" s="392">
        <f>IF(Q300="","",Q300)</f>
        <v/>
      </c>
      <c r="R314" s="392">
        <f>IF(R300="","",R300)</f>
        <v/>
      </c>
      <c r="S314" s="392">
        <f>IF(S300="","",S300)</f>
        <v/>
      </c>
      <c r="T314" s="392">
        <f>IF(T300="","",T300)</f>
        <v/>
      </c>
      <c r="U314" s="392">
        <f>IF(U300="","",U300)</f>
        <v/>
      </c>
      <c r="V314" s="392">
        <f>IF(V300="","",V300)</f>
        <v/>
      </c>
      <c r="W314" s="392">
        <f>IF(W300="","",W300)</f>
        <v/>
      </c>
      <c r="X314" s="392">
        <f>IF(X300="","",X300)</f>
        <v/>
      </c>
      <c r="Y314" s="392">
        <f>IF(Y300="","",Y300)</f>
        <v/>
      </c>
      <c r="Z314" s="392">
        <f>IF(Z300="","",Z300)</f>
        <v/>
      </c>
      <c r="AA314" s="392">
        <f>IF(AA300="","",AA300)</f>
        <v/>
      </c>
      <c r="AB314" s="392">
        <f>IF(AB300="","",AB300)</f>
        <v/>
      </c>
      <c r="AC314" s="392">
        <f>IF(AC300="","",AC300)</f>
        <v/>
      </c>
      <c r="AD314" s="392">
        <f>IF(AD300="","",AD300)</f>
        <v/>
      </c>
      <c r="AE314" s="392">
        <f>IF(AE300="","",AE300)</f>
        <v/>
      </c>
      <c r="AF314" s="392">
        <f>IF(AF300="","",AF300)</f>
        <v/>
      </c>
      <c r="AG314" s="392">
        <f>IF(AG300="","",AG300)</f>
        <v/>
      </c>
      <c r="AH314" s="392">
        <f>IF(AH300="","",AH300)</f>
        <v/>
      </c>
      <c r="AI314" s="392">
        <f>IF(AI300="","",AI300)</f>
        <v/>
      </c>
      <c r="AJ314" s="392">
        <f>IF(AJ300="","",AJ300)</f>
        <v/>
      </c>
      <c r="AK314" s="392">
        <f>IF(AK300="","",AK300)</f>
        <v/>
      </c>
      <c r="AL314" s="392">
        <f>IF(AL300="","",AL300)</f>
        <v/>
      </c>
      <c r="AM314" s="392">
        <f>IF(AM300="","",AM300)</f>
        <v/>
      </c>
      <c r="AN314" s="392">
        <f>IF(AN300="","",AN300)</f>
        <v/>
      </c>
      <c r="AO314" s="392">
        <f>IF(AO300="","",AO300)</f>
        <v/>
      </c>
      <c r="AP314" s="392">
        <f>IF(AP300="","",AP300)</f>
        <v/>
      </c>
      <c r="AQ314" s="392">
        <f>IF(AQ300="","",AQ300)</f>
        <v/>
      </c>
      <c r="AR314" s="392">
        <f>IF(AR300="","",AR300)</f>
        <v/>
      </c>
      <c r="AS314" s="392">
        <f>IF(AS300="","",AS300)</f>
        <v/>
      </c>
      <c r="AT314" s="392">
        <f>IF(AT300="","",AT300)</f>
        <v/>
      </c>
      <c r="AU314" s="392">
        <f>IF(AU300="","",AU300)</f>
        <v/>
      </c>
      <c r="AV314" s="392">
        <f>IF(AV300="","",AV300)</f>
        <v/>
      </c>
      <c r="AW314" s="392">
        <f>IF(AW300="","",AW300)</f>
        <v/>
      </c>
      <c r="AX314" s="392">
        <f>IF(AX300="","",AX300)</f>
        <v/>
      </c>
      <c r="AY314" s="392">
        <f>IF(AY300="","",AY300)</f>
        <v/>
      </c>
      <c r="AZ314" s="392">
        <f>IF(AZ300="","",AZ300)</f>
        <v/>
      </c>
      <c r="BA314" s="392">
        <f>IF(BA300="","",BA300)</f>
        <v/>
      </c>
      <c r="BB314" s="392">
        <f>IF(BB300="","",BB300)</f>
        <v/>
      </c>
      <c r="BC314" s="392">
        <f>IF(BC300="","",BC300)</f>
        <v/>
      </c>
      <c r="BD314" s="392">
        <f>IF(BD300="","",BD300)</f>
        <v/>
      </c>
      <c r="BE314" s="392">
        <f>IF(BE300="","",BE300)</f>
        <v/>
      </c>
      <c r="BF314" s="392">
        <f>IF(BF300="","",BF300)</f>
        <v/>
      </c>
      <c r="BG314" s="392">
        <f>IF(BG300="","",BG300)</f>
        <v/>
      </c>
      <c r="BH314" s="392">
        <f>IF(BH300="","",BH300)</f>
        <v/>
      </c>
      <c r="BI314" s="392">
        <f>IF(BI300="","",BI300)</f>
        <v/>
      </c>
      <c r="BJ314" s="392">
        <f>IF(BJ300="","",BJ300)</f>
        <v/>
      </c>
      <c r="BK314" s="392">
        <f>IF(BK300="","",BK300)</f>
        <v/>
      </c>
      <c r="BL314" s="392">
        <f>IF(BL300="","",BL300)</f>
        <v/>
      </c>
      <c r="BM314" s="392">
        <f>IF(BM300="","",BM300)</f>
        <v/>
      </c>
      <c r="BN314" s="392">
        <f>IF(BN300="","",BN300)</f>
        <v/>
      </c>
      <c r="BO314" s="392">
        <f>IF(BO300="","",BO300)</f>
        <v/>
      </c>
      <c r="BP314" s="392">
        <f>IF(BP300="","",BP300)</f>
        <v/>
      </c>
      <c r="BQ314" s="392">
        <f>IF(BQ300="","",BQ300)</f>
        <v/>
      </c>
      <c r="BR314" s="392">
        <f>IF(BR300="","",BR300)</f>
        <v/>
      </c>
      <c r="BS314" s="392">
        <f>IF(BS300="","",BS300)</f>
        <v/>
      </c>
      <c r="BT314" s="392">
        <f>IF(BT300="","",BT300)</f>
        <v/>
      </c>
      <c r="BU314" s="392">
        <f>IF(BU300="","",BU300)</f>
        <v/>
      </c>
      <c r="BV314" s="392">
        <f>IF(BV300="","",BV300)</f>
        <v/>
      </c>
      <c r="BW314" s="392">
        <f>IF(BW300="","",BW300)</f>
        <v/>
      </c>
      <c r="BX314" s="392">
        <f>IF(BX300="","",BX300)</f>
        <v/>
      </c>
      <c r="BY314" s="392">
        <f>IF(BY300="","",BY300)</f>
        <v/>
      </c>
      <c r="BZ314" s="392">
        <f>IF(BZ300="","",BZ300)</f>
        <v/>
      </c>
      <c r="CA314" s="392">
        <f>IF(CA300="","",CA300)</f>
        <v/>
      </c>
      <c r="CB314" s="392">
        <f>IF(CB300="","",CB300)</f>
        <v/>
      </c>
      <c r="CC314" s="392">
        <f>IF(CC300="","",CC300)</f>
        <v/>
      </c>
      <c r="CD314" s="392">
        <f>IF(CD300="","",CD300)</f>
        <v/>
      </c>
      <c r="CE314" s="392">
        <f>IF(CE300="","",CE300)</f>
        <v/>
      </c>
      <c r="CF314" s="392">
        <f>IF(CF300="","",CF300)</f>
        <v/>
      </c>
      <c r="CG314" s="392">
        <f>IF(CG300="","",CG300)</f>
        <v/>
      </c>
      <c r="CH314" s="392">
        <f>IF(CH300="","",CH300)</f>
        <v/>
      </c>
      <c r="CI314" s="392">
        <f>IF(CI300="","",CI300)</f>
        <v/>
      </c>
      <c r="CJ314" s="392">
        <f>IF(CJ300="","",CJ300)</f>
        <v/>
      </c>
      <c r="CK314" s="392">
        <f>IF(CK300="","",CK300)</f>
        <v/>
      </c>
      <c r="CL314" s="392">
        <f>IF(CL300="","",CL300)</f>
        <v/>
      </c>
      <c r="CM314" s="392">
        <f>IF(CM300="","",CM300)</f>
        <v/>
      </c>
      <c r="CN314" s="392">
        <f>IF(CN300="","",CN300)</f>
        <v/>
      </c>
      <c r="CO314" s="392">
        <f>IF(CO300="","",CO300)</f>
        <v/>
      </c>
      <c r="CP314" s="392">
        <f>IF(CP300="","",CP300)</f>
        <v/>
      </c>
      <c r="CQ314" s="392">
        <f>IF(CQ300="","",CQ300)</f>
        <v/>
      </c>
      <c r="CR314" s="392">
        <f>IF(CR300="","",CR300)</f>
        <v/>
      </c>
      <c r="CS314" s="392">
        <f>IF(CS300="","",CS300)</f>
        <v/>
      </c>
      <c r="CT314" s="392">
        <f>IF(CT300="","",CT300)</f>
        <v/>
      </c>
      <c r="CU314" s="392">
        <f>IF(CU300="","",CU300)</f>
        <v/>
      </c>
      <c r="CV314" s="392">
        <f>IF(CV300="","",CV300)</f>
        <v/>
      </c>
      <c r="CW314" s="392">
        <f>IF(CW300="","",CW300)</f>
        <v/>
      </c>
      <c r="CX314" s="392">
        <f>IF(CX300="","",CX300)</f>
        <v/>
      </c>
      <c r="CY314" s="392">
        <f>IF(CY300="","",CY300)</f>
        <v/>
      </c>
      <c r="CZ314" s="392">
        <f>IF(CZ300="","",CZ300)</f>
        <v/>
      </c>
      <c r="DA314" s="392">
        <f>IF(DA300="","",DA300)</f>
        <v/>
      </c>
      <c r="DB314" s="392">
        <f>IF(DB300="","",DB300)</f>
        <v/>
      </c>
      <c r="DC314" s="392">
        <f>IF(DC300="","",DC300)</f>
        <v/>
      </c>
      <c r="DD314" s="392">
        <f>IF(DD300="","",DD300)</f>
        <v/>
      </c>
      <c r="DE314" s="392">
        <f>IF(DE300="","",DE300)</f>
        <v/>
      </c>
    </row>
    <row r="315" ht="15" customHeight="1" s="410">
      <c r="A315" s="397" t="inlineStr">
        <is>
          <t>Model (live): projected ending cash; in the last closed month, the next month's opening balance</t>
        </is>
      </c>
      <c r="B315" s="392">
        <f>IF(B$4="Actuals",IF(C$4="Actuals","",C265),B273)</f>
        <v/>
      </c>
      <c r="C315" s="392">
        <f>IF(C$4="Actuals",IF(D$4="Actuals","",D265),C273)</f>
        <v/>
      </c>
      <c r="D315" s="392">
        <f>IF(D$4="Actuals",IF(E$4="Actuals","",E265),D273)</f>
        <v/>
      </c>
      <c r="E315" s="392">
        <f>IF(E$4="Actuals",IF(F$4="Actuals","",F265),E273)</f>
        <v/>
      </c>
      <c r="F315" s="392">
        <f>IF(F$4="Actuals",IF(G$4="Actuals","",G265),F273)</f>
        <v/>
      </c>
      <c r="G315" s="392">
        <f>IF(G$4="Actuals",IF(H$4="Actuals","",H265),G273)</f>
        <v/>
      </c>
      <c r="H315" s="392">
        <f>IF(H$4="Actuals",IF(I$4="Actuals","",I265),H273)</f>
        <v/>
      </c>
      <c r="I315" s="392">
        <f>IF(I$4="Actuals",IF(J$4="Actuals","",J265),I273)</f>
        <v/>
      </c>
      <c r="J315" s="392">
        <f>IF(J$4="Actuals",IF(K$4="Actuals","",K265),J273)</f>
        <v/>
      </c>
      <c r="K315" s="392">
        <f>IF(K$4="Actuals",IF(L$4="Actuals","",L265),K273)</f>
        <v/>
      </c>
      <c r="L315" s="392">
        <f>IF(L$4="Actuals",IF(M$4="Actuals","",M265),L273)</f>
        <v/>
      </c>
      <c r="M315" s="392">
        <f>IF(M$4="Actuals",IF(N$4="Actuals","",N265),M273)</f>
        <v/>
      </c>
      <c r="N315" s="392">
        <f>IF(N$4="Actuals",IF(O$4="Actuals","",O265),N273)</f>
        <v/>
      </c>
      <c r="O315" s="392">
        <f>IF(O$4="Actuals",IF(P$4="Actuals","",P265),O273)</f>
        <v/>
      </c>
      <c r="P315" s="392">
        <f>IF(P$4="Actuals",IF(Q$4="Actuals","",Q265),P273)</f>
        <v/>
      </c>
      <c r="Q315" s="392">
        <f>IF(Q$4="Actuals",IF(R$4="Actuals","",R265),Q273)</f>
        <v/>
      </c>
      <c r="R315" s="392">
        <f>IF(R$4="Actuals",IF(S$4="Actuals","",S265),R273)</f>
        <v/>
      </c>
      <c r="S315" s="392">
        <f>IF(S$4="Actuals",IF(T$4="Actuals","",T265),S273)</f>
        <v/>
      </c>
      <c r="T315" s="392">
        <f>IF(T$4="Actuals",IF(U$4="Actuals","",U265),T273)</f>
        <v/>
      </c>
      <c r="U315" s="392">
        <f>IF(U$4="Actuals",IF(V$4="Actuals","",V265),U273)</f>
        <v/>
      </c>
      <c r="V315" s="392">
        <f>IF(V$4="Actuals",IF(W$4="Actuals","",W265),V273)</f>
        <v/>
      </c>
      <c r="W315" s="392">
        <f>IF(W$4="Actuals",IF(X$4="Actuals","",X265),W273)</f>
        <v/>
      </c>
      <c r="X315" s="392">
        <f>IF(X$4="Actuals",IF(Y$4="Actuals","",Y265),X273)</f>
        <v/>
      </c>
      <c r="Y315" s="392">
        <f>IF(Y$4="Actuals",IF(Z$4="Actuals","",Z265),Y273)</f>
        <v/>
      </c>
      <c r="Z315" s="392">
        <f>IF(Z$4="Actuals",IF(AA$4="Actuals","",AA265),Z273)</f>
        <v/>
      </c>
      <c r="AA315" s="392">
        <f>IF(AA$4="Actuals",IF(AB$4="Actuals","",AB265),AA273)</f>
        <v/>
      </c>
      <c r="AB315" s="392">
        <f>IF(AB$4="Actuals",IF(AC$4="Actuals","",AC265),AB273)</f>
        <v/>
      </c>
      <c r="AC315" s="392">
        <f>IF(AC$4="Actuals",IF(AD$4="Actuals","",AD265),AC273)</f>
        <v/>
      </c>
      <c r="AD315" s="392">
        <f>IF(AD$4="Actuals",IF(AE$4="Actuals","",AE265),AD273)</f>
        <v/>
      </c>
      <c r="AE315" s="392">
        <f>IF(AE$4="Actuals",IF(AF$4="Actuals","",AF265),AE273)</f>
        <v/>
      </c>
      <c r="AF315" s="392">
        <f>IF(AF$4="Actuals",IF(AG$4="Actuals","",AG265),AF273)</f>
        <v/>
      </c>
      <c r="AG315" s="392">
        <f>IF(AG$4="Actuals",IF(AH$4="Actuals","",AH265),AG273)</f>
        <v/>
      </c>
      <c r="AH315" s="392">
        <f>IF(AH$4="Actuals",IF(AI$4="Actuals","",AI265),AH273)</f>
        <v/>
      </c>
      <c r="AI315" s="392">
        <f>IF(AI$4="Actuals",IF(AJ$4="Actuals","",AJ265),AI273)</f>
        <v/>
      </c>
      <c r="AJ315" s="392">
        <f>IF(AJ$4="Actuals",IF(AK$4="Actuals","",AK265),AJ273)</f>
        <v/>
      </c>
      <c r="AK315" s="392">
        <f>IF(AK$4="Actuals",IF(AL$4="Actuals","",AL265),AK273)</f>
        <v/>
      </c>
      <c r="AL315" s="392">
        <f>IF(AL$4="Actuals",IF(AM$4="Actuals","",AM265),AL273)</f>
        <v/>
      </c>
      <c r="AM315" s="392">
        <f>IF(AM$4="Actuals",IF(AN$4="Actuals","",AN265),AM273)</f>
        <v/>
      </c>
      <c r="AN315" s="392">
        <f>IF(AN$4="Actuals",IF(AO$4="Actuals","",AO265),AN273)</f>
        <v/>
      </c>
      <c r="AO315" s="392">
        <f>IF(AO$4="Actuals",IF(AP$4="Actuals","",AP265),AO273)</f>
        <v/>
      </c>
      <c r="AP315" s="392">
        <f>IF(AP$4="Actuals",IF(AQ$4="Actuals","",AQ265),AP273)</f>
        <v/>
      </c>
      <c r="AQ315" s="392">
        <f>IF(AQ$4="Actuals",IF(AR$4="Actuals","",AR265),AQ273)</f>
        <v/>
      </c>
      <c r="AR315" s="392">
        <f>IF(AR$4="Actuals",IF(AS$4="Actuals","",AS265),AR273)</f>
        <v/>
      </c>
      <c r="AS315" s="392">
        <f>IF(AS$4="Actuals",IF(AT$4="Actuals","",AT265),AS273)</f>
        <v/>
      </c>
      <c r="AT315" s="392">
        <f>IF(AT$4="Actuals",IF(AU$4="Actuals","",AU265),AT273)</f>
        <v/>
      </c>
      <c r="AU315" s="392">
        <f>IF(AU$4="Actuals",IF(AV$4="Actuals","",AV265),AU273)</f>
        <v/>
      </c>
      <c r="AV315" s="392">
        <f>IF(AV$4="Actuals",IF(AW$4="Actuals","",AW265),AV273)</f>
        <v/>
      </c>
      <c r="AW315" s="392">
        <f>IF(AW$4="Actuals",IF(AX$4="Actuals","",AX265),AW273)</f>
        <v/>
      </c>
      <c r="AX315" s="392">
        <f>IF(AX$4="Actuals",IF(AY$4="Actuals","",AY265),AX273)</f>
        <v/>
      </c>
      <c r="AY315" s="392">
        <f>IF(AY$4="Actuals",IF(AZ$4="Actuals","",AZ265),AY273)</f>
        <v/>
      </c>
      <c r="AZ315" s="392">
        <f>IF(AZ$4="Actuals",IF(BA$4="Actuals","",BA265),AZ273)</f>
        <v/>
      </c>
      <c r="BA315" s="392">
        <f>IF(BA$4="Actuals",IF(BB$4="Actuals","",BB265),BA273)</f>
        <v/>
      </c>
      <c r="BB315" s="392">
        <f>IF(BB$4="Actuals",IF(BC$4="Actuals","",BC265),BB273)</f>
        <v/>
      </c>
      <c r="BC315" s="392">
        <f>IF(BC$4="Actuals",IF(BD$4="Actuals","",BD265),BC273)</f>
        <v/>
      </c>
      <c r="BD315" s="392">
        <f>IF(BD$4="Actuals",IF(BE$4="Actuals","",BE265),BD273)</f>
        <v/>
      </c>
      <c r="BE315" s="392">
        <f>IF(BE$4="Actuals",IF(BF$4="Actuals","",BF265),BE273)</f>
        <v/>
      </c>
      <c r="BF315" s="392">
        <f>IF(BF$4="Actuals",IF(BG$4="Actuals","",BG265),BF273)</f>
        <v/>
      </c>
      <c r="BG315" s="392">
        <f>IF(BG$4="Actuals",IF(BH$4="Actuals","",BH265),BG273)</f>
        <v/>
      </c>
      <c r="BH315" s="392">
        <f>IF(BH$4="Actuals",IF(BI$4="Actuals","",BI265),BH273)</f>
        <v/>
      </c>
      <c r="BI315" s="392">
        <f>IF(BI$4="Actuals",IF(BJ$4="Actuals","",BJ265),BI273)</f>
        <v/>
      </c>
      <c r="BJ315" s="392">
        <f>IF(BJ$4="Actuals",IF(BK$4="Actuals","",BK265),BJ273)</f>
        <v/>
      </c>
      <c r="BK315" s="392">
        <f>IF(BK$4="Actuals",IF(BL$4="Actuals","",BL265),BK273)</f>
        <v/>
      </c>
      <c r="BL315" s="392">
        <f>IF(BL$4="Actuals",IF(BM$4="Actuals","",BM265),BL273)</f>
        <v/>
      </c>
      <c r="BM315" s="392">
        <f>IF(BM$4="Actuals",IF(BN$4="Actuals","",BN265),BM273)</f>
        <v/>
      </c>
      <c r="BN315" s="392">
        <f>IF(BN$4="Actuals",IF(BO$4="Actuals","",BO265),BN273)</f>
        <v/>
      </c>
      <c r="BO315" s="392">
        <f>IF(BO$4="Actuals",IF(BP$4="Actuals","",BP265),BO273)</f>
        <v/>
      </c>
      <c r="BP315" s="392">
        <f>IF(BP$4="Actuals",IF(BQ$4="Actuals","",BQ265),BP273)</f>
        <v/>
      </c>
      <c r="BQ315" s="392">
        <f>IF(BQ$4="Actuals",IF(BR$4="Actuals","",BR265),BQ273)</f>
        <v/>
      </c>
      <c r="BR315" s="392">
        <f>IF(BR$4="Actuals",IF(BS$4="Actuals","",BS265),BR273)</f>
        <v/>
      </c>
      <c r="BS315" s="392">
        <f>IF(BS$4="Actuals",IF(BT$4="Actuals","",BT265),BS273)</f>
        <v/>
      </c>
      <c r="BT315" s="392">
        <f>IF(BT$4="Actuals",IF(BU$4="Actuals","",BU265),BT273)</f>
        <v/>
      </c>
      <c r="BU315" s="392">
        <f>IF(BU$4="Actuals",IF(BV$4="Actuals","",BV265),BU273)</f>
        <v/>
      </c>
      <c r="BV315" s="392">
        <f>IF(BV$4="Actuals",IF(BW$4="Actuals","",BW265),BV273)</f>
        <v/>
      </c>
      <c r="BW315" s="392">
        <f>IF(BW$4="Actuals",IF(BX$4="Actuals","",BX265),BW273)</f>
        <v/>
      </c>
      <c r="BX315" s="392">
        <f>IF(BX$4="Actuals",IF(BY$4="Actuals","",BY265),BX273)</f>
        <v/>
      </c>
      <c r="BY315" s="392">
        <f>IF(BY$4="Actuals",IF(BZ$4="Actuals","",BZ265),BY273)</f>
        <v/>
      </c>
      <c r="BZ315" s="392">
        <f>IF(BZ$4="Actuals",IF(CA$4="Actuals","",CA265),BZ273)</f>
        <v/>
      </c>
      <c r="CA315" s="392">
        <f>IF(CA$4="Actuals",IF(CB$4="Actuals","",CB265),CA273)</f>
        <v/>
      </c>
      <c r="CB315" s="392">
        <f>IF(CB$4="Actuals",IF(CC$4="Actuals","",CC265),CB273)</f>
        <v/>
      </c>
      <c r="CC315" s="392">
        <f>IF(CC$4="Actuals",IF(CD$4="Actuals","",CD265),CC273)</f>
        <v/>
      </c>
      <c r="CD315" s="392">
        <f>IF(CD$4="Actuals",IF(CE$4="Actuals","",CE265),CD273)</f>
        <v/>
      </c>
      <c r="CE315" s="392">
        <f>IF(CE$4="Actuals",IF(CF$4="Actuals","",CF265),CE273)</f>
        <v/>
      </c>
      <c r="CF315" s="392">
        <f>IF(CF$4="Actuals",IF(CG$4="Actuals","",CG265),CF273)</f>
        <v/>
      </c>
      <c r="CG315" s="392">
        <f>IF(CG$4="Actuals",IF(CH$4="Actuals","",CH265),CG273)</f>
        <v/>
      </c>
      <c r="CH315" s="392">
        <f>IF(CH$4="Actuals",IF(CI$4="Actuals","",CI265),CH273)</f>
        <v/>
      </c>
      <c r="CI315" s="392">
        <f>IF(CI$4="Actuals",IF(CJ$4="Actuals","",CJ265),CI273)</f>
        <v/>
      </c>
      <c r="CJ315" s="392">
        <f>IF(CJ$4="Actuals",IF(CK$4="Actuals","",CK265),CJ273)</f>
        <v/>
      </c>
      <c r="CK315" s="392">
        <f>IF(CK$4="Actuals",IF(CL$4="Actuals","",CL265),CK273)</f>
        <v/>
      </c>
      <c r="CL315" s="392">
        <f>IF(CL$4="Actuals",IF(CM$4="Actuals","",CM265),CL273)</f>
        <v/>
      </c>
      <c r="CM315" s="392">
        <f>IF(CM$4="Actuals",IF(CN$4="Actuals","",CN265),CM273)</f>
        <v/>
      </c>
      <c r="CN315" s="392">
        <f>IF(CN$4="Actuals",IF(CO$4="Actuals","",CO265),CN273)</f>
        <v/>
      </c>
      <c r="CO315" s="392">
        <f>IF(CO$4="Actuals",IF(CP$4="Actuals","",CP265),CO273)</f>
        <v/>
      </c>
      <c r="CP315" s="392">
        <f>IF(CP$4="Actuals",IF(CQ$4="Actuals","",CQ265),CP273)</f>
        <v/>
      </c>
      <c r="CQ315" s="392">
        <f>IF(CQ$4="Actuals",IF(CR$4="Actuals","",CR265),CQ273)</f>
        <v/>
      </c>
      <c r="CR315" s="392">
        <f>IF(CR$4="Actuals",IF(CS$4="Actuals","",CS265),CR273)</f>
        <v/>
      </c>
      <c r="CS315" s="392">
        <f>IF(CS$4="Actuals",IF(CT$4="Actuals","",CT265),CS273)</f>
        <v/>
      </c>
      <c r="CT315" s="392">
        <f>IF(CT$4="Actuals",IF(CU$4="Actuals","",CU265),CT273)</f>
        <v/>
      </c>
      <c r="CU315" s="392">
        <f>IF(CU$4="Actuals",IF(CV$4="Actuals","",CV265),CU273)</f>
        <v/>
      </c>
      <c r="CV315" s="392">
        <f>IF(CV$4="Actuals",IF(CW$4="Actuals","",CW265),CV273)</f>
        <v/>
      </c>
      <c r="CW315" s="392">
        <f>IF(CW$4="Actuals",IF(CX$4="Actuals","",CX265),CW273)</f>
        <v/>
      </c>
      <c r="CX315" s="392">
        <f>IF(CX$4="Actuals",IF(CY$4="Actuals","",CY265),CX273)</f>
        <v/>
      </c>
      <c r="CY315" s="392">
        <f>IF(CY$4="Actuals",IF(CZ$4="Actuals","",CZ265),CY273)</f>
        <v/>
      </c>
      <c r="CZ315" s="392">
        <f>IF(CZ$4="Actuals",IF(DA$4="Actuals","",DA265),CZ273)</f>
        <v/>
      </c>
      <c r="DA315" s="392">
        <f>IF(DA$4="Actuals",IF(DB$4="Actuals","",DB265),DA273)</f>
        <v/>
      </c>
      <c r="DB315" s="392">
        <f>IF(DB$4="Actuals",IF(DC$4="Actuals","",DC265),DB273)</f>
        <v/>
      </c>
      <c r="DC315" s="392">
        <f>IF(DC$4="Actuals",IF(DD$4="Actuals","",DD265),DC273)</f>
        <v/>
      </c>
      <c r="DD315" s="392">
        <f>IF(DD$4="Actuals",IF(DE$4="Actuals","",DE265),DD273)</f>
        <v/>
      </c>
      <c r="DE315" s="392">
        <f>IF(DE$4="Actuals",IF(DF$4="Actuals","",DF265),DE273)</f>
        <v/>
      </c>
    </row>
    <row r="316" ht="15" customHeight="1" s="410">
      <c r="A316" s="397" t="inlineStr">
        <is>
          <t>Variance — model less actual (must be 0 on the opening balance)</t>
        </is>
      </c>
      <c r="B316" s="392">
        <f>IF(OR(B314="",B315=""),"",B315-B314)</f>
        <v/>
      </c>
      <c r="C316" s="392">
        <f>IF(OR(C314="",C315=""),"",C315-C314)</f>
        <v/>
      </c>
      <c r="D316" s="392">
        <f>IF(OR(D314="",D315=""),"",D315-D314)</f>
        <v/>
      </c>
      <c r="E316" s="392">
        <f>IF(OR(E314="",E315=""),"",E315-E314)</f>
        <v/>
      </c>
      <c r="F316" s="392">
        <f>IF(OR(F314="",F315=""),"",F315-F314)</f>
        <v/>
      </c>
      <c r="G316" s="392">
        <f>IF(OR(G314="",G315=""),"",G315-G314)</f>
        <v/>
      </c>
      <c r="H316" s="392">
        <f>IF(OR(H314="",H315=""),"",H315-H314)</f>
        <v/>
      </c>
      <c r="I316" s="392">
        <f>IF(OR(I314="",I315=""),"",I315-I314)</f>
        <v/>
      </c>
      <c r="J316" s="392">
        <f>IF(OR(J314="",J315=""),"",J315-J314)</f>
        <v/>
      </c>
      <c r="K316" s="392">
        <f>IF(OR(K314="",K315=""),"",K315-K314)</f>
        <v/>
      </c>
      <c r="L316" s="392">
        <f>IF(OR(L314="",L315=""),"",L315-L314)</f>
        <v/>
      </c>
      <c r="M316" s="392">
        <f>IF(OR(M314="",M315=""),"",M315-M314)</f>
        <v/>
      </c>
      <c r="N316" s="392">
        <f>IF(OR(N314="",N315=""),"",N315-N314)</f>
        <v/>
      </c>
      <c r="O316" s="392">
        <f>IF(OR(O314="",O315=""),"",O315-O314)</f>
        <v/>
      </c>
      <c r="P316" s="392">
        <f>IF(OR(P314="",P315=""),"",P315-P314)</f>
        <v/>
      </c>
      <c r="Q316" s="392">
        <f>IF(OR(Q314="",Q315=""),"",Q315-Q314)</f>
        <v/>
      </c>
      <c r="R316" s="392">
        <f>IF(OR(R314="",R315=""),"",R315-R314)</f>
        <v/>
      </c>
      <c r="S316" s="392">
        <f>IF(OR(S314="",S315=""),"",S315-S314)</f>
        <v/>
      </c>
      <c r="T316" s="392">
        <f>IF(OR(T314="",T315=""),"",T315-T314)</f>
        <v/>
      </c>
      <c r="U316" s="392">
        <f>IF(OR(U314="",U315=""),"",U315-U314)</f>
        <v/>
      </c>
      <c r="V316" s="392">
        <f>IF(OR(V314="",V315=""),"",V315-V314)</f>
        <v/>
      </c>
      <c r="W316" s="392">
        <f>IF(OR(W314="",W315=""),"",W315-W314)</f>
        <v/>
      </c>
      <c r="X316" s="392">
        <f>IF(OR(X314="",X315=""),"",X315-X314)</f>
        <v/>
      </c>
      <c r="Y316" s="392">
        <f>IF(OR(Y314="",Y315=""),"",Y315-Y314)</f>
        <v/>
      </c>
      <c r="Z316" s="392">
        <f>IF(OR(Z314="",Z315=""),"",Z315-Z314)</f>
        <v/>
      </c>
      <c r="AA316" s="392">
        <f>IF(OR(AA314="",AA315=""),"",AA315-AA314)</f>
        <v/>
      </c>
      <c r="AB316" s="392">
        <f>IF(OR(AB314="",AB315=""),"",AB315-AB314)</f>
        <v/>
      </c>
      <c r="AC316" s="392">
        <f>IF(OR(AC314="",AC315=""),"",AC315-AC314)</f>
        <v/>
      </c>
      <c r="AD316" s="392">
        <f>IF(OR(AD314="",AD315=""),"",AD315-AD314)</f>
        <v/>
      </c>
      <c r="AE316" s="392">
        <f>IF(OR(AE314="",AE315=""),"",AE315-AE314)</f>
        <v/>
      </c>
      <c r="AF316" s="392">
        <f>IF(OR(AF314="",AF315=""),"",AF315-AF314)</f>
        <v/>
      </c>
      <c r="AG316" s="392">
        <f>IF(OR(AG314="",AG315=""),"",AG315-AG314)</f>
        <v/>
      </c>
      <c r="AH316" s="392">
        <f>IF(OR(AH314="",AH315=""),"",AH315-AH314)</f>
        <v/>
      </c>
      <c r="AI316" s="392">
        <f>IF(OR(AI314="",AI315=""),"",AI315-AI314)</f>
        <v/>
      </c>
      <c r="AJ316" s="392">
        <f>IF(OR(AJ314="",AJ315=""),"",AJ315-AJ314)</f>
        <v/>
      </c>
      <c r="AK316" s="392">
        <f>IF(OR(AK314="",AK315=""),"",AK315-AK314)</f>
        <v/>
      </c>
      <c r="AL316" s="392">
        <f>IF(OR(AL314="",AL315=""),"",AL315-AL314)</f>
        <v/>
      </c>
      <c r="AM316" s="392">
        <f>IF(OR(AM314="",AM315=""),"",AM315-AM314)</f>
        <v/>
      </c>
      <c r="AN316" s="392">
        <f>IF(OR(AN314="",AN315=""),"",AN315-AN314)</f>
        <v/>
      </c>
      <c r="AO316" s="392">
        <f>IF(OR(AO314="",AO315=""),"",AO315-AO314)</f>
        <v/>
      </c>
      <c r="AP316" s="392">
        <f>IF(OR(AP314="",AP315=""),"",AP315-AP314)</f>
        <v/>
      </c>
      <c r="AQ316" s="392">
        <f>IF(OR(AQ314="",AQ315=""),"",AQ315-AQ314)</f>
        <v/>
      </c>
      <c r="AR316" s="392">
        <f>IF(OR(AR314="",AR315=""),"",AR315-AR314)</f>
        <v/>
      </c>
      <c r="AS316" s="392">
        <f>IF(OR(AS314="",AS315=""),"",AS315-AS314)</f>
        <v/>
      </c>
      <c r="AT316" s="392">
        <f>IF(OR(AT314="",AT315=""),"",AT315-AT314)</f>
        <v/>
      </c>
      <c r="AU316" s="392">
        <f>IF(OR(AU314="",AU315=""),"",AU315-AU314)</f>
        <v/>
      </c>
      <c r="AV316" s="392">
        <f>IF(OR(AV314="",AV315=""),"",AV315-AV314)</f>
        <v/>
      </c>
      <c r="AW316" s="392">
        <f>IF(OR(AW314="",AW315=""),"",AW315-AW314)</f>
        <v/>
      </c>
      <c r="AX316" s="392">
        <f>IF(OR(AX314="",AX315=""),"",AX315-AX314)</f>
        <v/>
      </c>
      <c r="AY316" s="392">
        <f>IF(OR(AY314="",AY315=""),"",AY315-AY314)</f>
        <v/>
      </c>
      <c r="AZ316" s="392">
        <f>IF(OR(AZ314="",AZ315=""),"",AZ315-AZ314)</f>
        <v/>
      </c>
      <c r="BA316" s="392">
        <f>IF(OR(BA314="",BA315=""),"",BA315-BA314)</f>
        <v/>
      </c>
      <c r="BB316" s="392">
        <f>IF(OR(BB314="",BB315=""),"",BB315-BB314)</f>
        <v/>
      </c>
      <c r="BC316" s="392">
        <f>IF(OR(BC314="",BC315=""),"",BC315-BC314)</f>
        <v/>
      </c>
      <c r="BD316" s="392">
        <f>IF(OR(BD314="",BD315=""),"",BD315-BD314)</f>
        <v/>
      </c>
      <c r="BE316" s="392">
        <f>IF(OR(BE314="",BE315=""),"",BE315-BE314)</f>
        <v/>
      </c>
      <c r="BF316" s="392">
        <f>IF(OR(BF314="",BF315=""),"",BF315-BF314)</f>
        <v/>
      </c>
      <c r="BG316" s="392">
        <f>IF(OR(BG314="",BG315=""),"",BG315-BG314)</f>
        <v/>
      </c>
      <c r="BH316" s="392">
        <f>IF(OR(BH314="",BH315=""),"",BH315-BH314)</f>
        <v/>
      </c>
      <c r="BI316" s="392">
        <f>IF(OR(BI314="",BI315=""),"",BI315-BI314)</f>
        <v/>
      </c>
      <c r="BJ316" s="392">
        <f>IF(OR(BJ314="",BJ315=""),"",BJ315-BJ314)</f>
        <v/>
      </c>
      <c r="BK316" s="392">
        <f>IF(OR(BK314="",BK315=""),"",BK315-BK314)</f>
        <v/>
      </c>
      <c r="BL316" s="392">
        <f>IF(OR(BL314="",BL315=""),"",BL315-BL314)</f>
        <v/>
      </c>
      <c r="BM316" s="392">
        <f>IF(OR(BM314="",BM315=""),"",BM315-BM314)</f>
        <v/>
      </c>
      <c r="BN316" s="392">
        <f>IF(OR(BN314="",BN315=""),"",BN315-BN314)</f>
        <v/>
      </c>
      <c r="BO316" s="392">
        <f>IF(OR(BO314="",BO315=""),"",BO315-BO314)</f>
        <v/>
      </c>
      <c r="BP316" s="392">
        <f>IF(OR(BP314="",BP315=""),"",BP315-BP314)</f>
        <v/>
      </c>
      <c r="BQ316" s="392">
        <f>IF(OR(BQ314="",BQ315=""),"",BQ315-BQ314)</f>
        <v/>
      </c>
      <c r="BR316" s="392">
        <f>IF(OR(BR314="",BR315=""),"",BR315-BR314)</f>
        <v/>
      </c>
      <c r="BS316" s="392">
        <f>IF(OR(BS314="",BS315=""),"",BS315-BS314)</f>
        <v/>
      </c>
      <c r="BT316" s="392">
        <f>IF(OR(BT314="",BT315=""),"",BT315-BT314)</f>
        <v/>
      </c>
      <c r="BU316" s="392">
        <f>IF(OR(BU314="",BU315=""),"",BU315-BU314)</f>
        <v/>
      </c>
      <c r="BV316" s="392">
        <f>IF(OR(BV314="",BV315=""),"",BV315-BV314)</f>
        <v/>
      </c>
      <c r="BW316" s="392">
        <f>IF(OR(BW314="",BW315=""),"",BW315-BW314)</f>
        <v/>
      </c>
      <c r="BX316" s="392">
        <f>IF(OR(BX314="",BX315=""),"",BX315-BX314)</f>
        <v/>
      </c>
      <c r="BY316" s="392">
        <f>IF(OR(BY314="",BY315=""),"",BY315-BY314)</f>
        <v/>
      </c>
      <c r="BZ316" s="392">
        <f>IF(OR(BZ314="",BZ315=""),"",BZ315-BZ314)</f>
        <v/>
      </c>
      <c r="CA316" s="392">
        <f>IF(OR(CA314="",CA315=""),"",CA315-CA314)</f>
        <v/>
      </c>
      <c r="CB316" s="392">
        <f>IF(OR(CB314="",CB315=""),"",CB315-CB314)</f>
        <v/>
      </c>
      <c r="CC316" s="392">
        <f>IF(OR(CC314="",CC315=""),"",CC315-CC314)</f>
        <v/>
      </c>
      <c r="CD316" s="392">
        <f>IF(OR(CD314="",CD315=""),"",CD315-CD314)</f>
        <v/>
      </c>
      <c r="CE316" s="392">
        <f>IF(OR(CE314="",CE315=""),"",CE315-CE314)</f>
        <v/>
      </c>
      <c r="CF316" s="392">
        <f>IF(OR(CF314="",CF315=""),"",CF315-CF314)</f>
        <v/>
      </c>
      <c r="CG316" s="392">
        <f>IF(OR(CG314="",CG315=""),"",CG315-CG314)</f>
        <v/>
      </c>
      <c r="CH316" s="392">
        <f>IF(OR(CH314="",CH315=""),"",CH315-CH314)</f>
        <v/>
      </c>
      <c r="CI316" s="392">
        <f>IF(OR(CI314="",CI315=""),"",CI315-CI314)</f>
        <v/>
      </c>
      <c r="CJ316" s="392">
        <f>IF(OR(CJ314="",CJ315=""),"",CJ315-CJ314)</f>
        <v/>
      </c>
      <c r="CK316" s="392">
        <f>IF(OR(CK314="",CK315=""),"",CK315-CK314)</f>
        <v/>
      </c>
      <c r="CL316" s="392">
        <f>IF(OR(CL314="",CL315=""),"",CL315-CL314)</f>
        <v/>
      </c>
      <c r="CM316" s="392">
        <f>IF(OR(CM314="",CM315=""),"",CM315-CM314)</f>
        <v/>
      </c>
      <c r="CN316" s="392">
        <f>IF(OR(CN314="",CN315=""),"",CN315-CN314)</f>
        <v/>
      </c>
      <c r="CO316" s="392">
        <f>IF(OR(CO314="",CO315=""),"",CO315-CO314)</f>
        <v/>
      </c>
      <c r="CP316" s="392">
        <f>IF(OR(CP314="",CP315=""),"",CP315-CP314)</f>
        <v/>
      </c>
      <c r="CQ316" s="392">
        <f>IF(OR(CQ314="",CQ315=""),"",CQ315-CQ314)</f>
        <v/>
      </c>
      <c r="CR316" s="392">
        <f>IF(OR(CR314="",CR315=""),"",CR315-CR314)</f>
        <v/>
      </c>
      <c r="CS316" s="392">
        <f>IF(OR(CS314="",CS315=""),"",CS315-CS314)</f>
        <v/>
      </c>
      <c r="CT316" s="392">
        <f>IF(OR(CT314="",CT315=""),"",CT315-CT314)</f>
        <v/>
      </c>
      <c r="CU316" s="392">
        <f>IF(OR(CU314="",CU315=""),"",CU315-CU314)</f>
        <v/>
      </c>
      <c r="CV316" s="392">
        <f>IF(OR(CV314="",CV315=""),"",CV315-CV314)</f>
        <v/>
      </c>
      <c r="CW316" s="392">
        <f>IF(OR(CW314="",CW315=""),"",CW315-CW314)</f>
        <v/>
      </c>
      <c r="CX316" s="392">
        <f>IF(OR(CX314="",CX315=""),"",CX315-CX314)</f>
        <v/>
      </c>
      <c r="CY316" s="392">
        <f>IF(OR(CY314="",CY315=""),"",CY315-CY314)</f>
        <v/>
      </c>
      <c r="CZ316" s="392">
        <f>IF(OR(CZ314="",CZ315=""),"",CZ315-CZ314)</f>
        <v/>
      </c>
      <c r="DA316" s="392">
        <f>IF(OR(DA314="",DA315=""),"",DA315-DA314)</f>
        <v/>
      </c>
      <c r="DB316" s="392">
        <f>IF(OR(DB314="",DB315=""),"",DB315-DB314)</f>
        <v/>
      </c>
      <c r="DC316" s="392">
        <f>IF(OR(DC314="",DC315=""),"",DC315-DC314)</f>
        <v/>
      </c>
      <c r="DD316" s="392">
        <f>IF(OR(DD314="",DD315=""),"",DD315-DD314)</f>
        <v/>
      </c>
      <c r="DE316" s="392">
        <f>IF(OR(DE314="",DE315=""),"",DE315-DE314)</f>
        <v/>
      </c>
    </row>
    <row r="317" ht="15" customHeight="1" s="410">
      <c r="A317" s="397" t="inlineStr">
        <is>
          <t>Tie check</t>
        </is>
      </c>
      <c r="B317" s="401">
        <f>IF(B316="","",IF(ABS(B316)&lt;1,"OK","CHECK"))</f>
        <v/>
      </c>
      <c r="C317" s="401">
        <f>IF(C316="","",IF(ABS(C316)&lt;1,"OK","CHECK"))</f>
        <v/>
      </c>
      <c r="D317" s="401">
        <f>IF(D316="","",IF(ABS(D316)&lt;1,"OK","CHECK"))</f>
        <v/>
      </c>
      <c r="E317" s="401">
        <f>IF(E316="","",IF(ABS(E316)&lt;1,"OK","CHECK"))</f>
        <v/>
      </c>
      <c r="F317" s="401">
        <f>IF(F316="","",IF(ABS(F316)&lt;1,"OK","CHECK"))</f>
        <v/>
      </c>
      <c r="G317" s="401">
        <f>IF(G316="","",IF(ABS(G316)&lt;1,"OK","CHECK"))</f>
        <v/>
      </c>
      <c r="H317" s="401">
        <f>IF(H316="","",IF(ABS(H316)&lt;1,"OK","CHECK"))</f>
        <v/>
      </c>
      <c r="I317" s="401">
        <f>IF(I316="","",IF(ABS(I316)&lt;1,"OK","CHECK"))</f>
        <v/>
      </c>
      <c r="J317" s="401">
        <f>IF(J316="","",IF(ABS(J316)&lt;1,"OK","CHECK"))</f>
        <v/>
      </c>
      <c r="K317" s="401">
        <f>IF(K316="","",IF(ABS(K316)&lt;1,"OK","CHECK"))</f>
        <v/>
      </c>
      <c r="L317" s="401">
        <f>IF(L316="","",IF(ABS(L316)&lt;1,"OK","CHECK"))</f>
        <v/>
      </c>
      <c r="M317" s="401">
        <f>IF(M316="","",IF(ABS(M316)&lt;1,"OK","CHECK"))</f>
        <v/>
      </c>
      <c r="N317" s="401">
        <f>IF(N316="","",IF(ABS(N316)&lt;1,"OK","CHECK"))</f>
        <v/>
      </c>
      <c r="O317" s="401">
        <f>IF(O316="","",IF(ABS(O316)&lt;1,"OK","CHECK"))</f>
        <v/>
      </c>
      <c r="P317" s="401">
        <f>IF(P316="","",IF(ABS(P316)&lt;1,"OK","CHECK"))</f>
        <v/>
      </c>
      <c r="Q317" s="401">
        <f>IF(Q316="","",IF(ABS(Q316)&lt;1,"OK","CHECK"))</f>
        <v/>
      </c>
      <c r="R317" s="401">
        <f>IF(R316="","",IF(ABS(R316)&lt;1,"OK","CHECK"))</f>
        <v/>
      </c>
      <c r="S317" s="401">
        <f>IF(S316="","",IF(ABS(S316)&lt;1,"OK","CHECK"))</f>
        <v/>
      </c>
      <c r="T317" s="401">
        <f>IF(T316="","",IF(ABS(T316)&lt;1,"OK","CHECK"))</f>
        <v/>
      </c>
      <c r="U317" s="401">
        <f>IF(U316="","",IF(ABS(U316)&lt;1,"OK","CHECK"))</f>
        <v/>
      </c>
      <c r="V317" s="401">
        <f>IF(V316="","",IF(ABS(V316)&lt;1,"OK","CHECK"))</f>
        <v/>
      </c>
      <c r="W317" s="401">
        <f>IF(W316="","",IF(ABS(W316)&lt;1,"OK","CHECK"))</f>
        <v/>
      </c>
      <c r="X317" s="401">
        <f>IF(X316="","",IF(ABS(X316)&lt;1,"OK","CHECK"))</f>
        <v/>
      </c>
      <c r="Y317" s="401">
        <f>IF(Y316="","",IF(ABS(Y316)&lt;1,"OK","CHECK"))</f>
        <v/>
      </c>
      <c r="Z317" s="401">
        <f>IF(Z316="","",IF(ABS(Z316)&lt;1,"OK","CHECK"))</f>
        <v/>
      </c>
      <c r="AA317" s="401">
        <f>IF(AA316="","",IF(ABS(AA316)&lt;1,"OK","CHECK"))</f>
        <v/>
      </c>
      <c r="AB317" s="401">
        <f>IF(AB316="","",IF(ABS(AB316)&lt;1,"OK","CHECK"))</f>
        <v/>
      </c>
      <c r="AC317" s="401">
        <f>IF(AC316="","",IF(ABS(AC316)&lt;1,"OK","CHECK"))</f>
        <v/>
      </c>
      <c r="AD317" s="401">
        <f>IF(AD316="","",IF(ABS(AD316)&lt;1,"OK","CHECK"))</f>
        <v/>
      </c>
      <c r="AE317" s="401">
        <f>IF(AE316="","",IF(ABS(AE316)&lt;1,"OK","CHECK"))</f>
        <v/>
      </c>
      <c r="AF317" s="401">
        <f>IF(AF316="","",IF(ABS(AF316)&lt;1,"OK","CHECK"))</f>
        <v/>
      </c>
      <c r="AG317" s="401">
        <f>IF(AG316="","",IF(ABS(AG316)&lt;1,"OK","CHECK"))</f>
        <v/>
      </c>
      <c r="AH317" s="401">
        <f>IF(AH316="","",IF(ABS(AH316)&lt;1,"OK","CHECK"))</f>
        <v/>
      </c>
      <c r="AI317" s="401">
        <f>IF(AI316="","",IF(ABS(AI316)&lt;1,"OK","CHECK"))</f>
        <v/>
      </c>
      <c r="AJ317" s="401">
        <f>IF(AJ316="","",IF(ABS(AJ316)&lt;1,"OK","CHECK"))</f>
        <v/>
      </c>
      <c r="AK317" s="401">
        <f>IF(AK316="","",IF(ABS(AK316)&lt;1,"OK","CHECK"))</f>
        <v/>
      </c>
      <c r="AL317" s="401">
        <f>IF(AL316="","",IF(ABS(AL316)&lt;1,"OK","CHECK"))</f>
        <v/>
      </c>
      <c r="AM317" s="401">
        <f>IF(AM316="","",IF(ABS(AM316)&lt;1,"OK","CHECK"))</f>
        <v/>
      </c>
      <c r="AN317" s="401">
        <f>IF(AN316="","",IF(ABS(AN316)&lt;1,"OK","CHECK"))</f>
        <v/>
      </c>
      <c r="AO317" s="401">
        <f>IF(AO316="","",IF(ABS(AO316)&lt;1,"OK","CHECK"))</f>
        <v/>
      </c>
      <c r="AP317" s="401">
        <f>IF(AP316="","",IF(ABS(AP316)&lt;1,"OK","CHECK"))</f>
        <v/>
      </c>
      <c r="AQ317" s="401">
        <f>IF(AQ316="","",IF(ABS(AQ316)&lt;1,"OK","CHECK"))</f>
        <v/>
      </c>
      <c r="AR317" s="401">
        <f>IF(AR316="","",IF(ABS(AR316)&lt;1,"OK","CHECK"))</f>
        <v/>
      </c>
      <c r="AS317" s="401">
        <f>IF(AS316="","",IF(ABS(AS316)&lt;1,"OK","CHECK"))</f>
        <v/>
      </c>
      <c r="AT317" s="401">
        <f>IF(AT316="","",IF(ABS(AT316)&lt;1,"OK","CHECK"))</f>
        <v/>
      </c>
      <c r="AU317" s="401">
        <f>IF(AU316="","",IF(ABS(AU316)&lt;1,"OK","CHECK"))</f>
        <v/>
      </c>
      <c r="AV317" s="401">
        <f>IF(AV316="","",IF(ABS(AV316)&lt;1,"OK","CHECK"))</f>
        <v/>
      </c>
      <c r="AW317" s="401">
        <f>IF(AW316="","",IF(ABS(AW316)&lt;1,"OK","CHECK"))</f>
        <v/>
      </c>
      <c r="AX317" s="401">
        <f>IF(AX316="","",IF(ABS(AX316)&lt;1,"OK","CHECK"))</f>
        <v/>
      </c>
      <c r="AY317" s="401">
        <f>IF(AY316="","",IF(ABS(AY316)&lt;1,"OK","CHECK"))</f>
        <v/>
      </c>
      <c r="AZ317" s="401">
        <f>IF(AZ316="","",IF(ABS(AZ316)&lt;1,"OK","CHECK"))</f>
        <v/>
      </c>
      <c r="BA317" s="401">
        <f>IF(BA316="","",IF(ABS(BA316)&lt;1,"OK","CHECK"))</f>
        <v/>
      </c>
      <c r="BB317" s="401">
        <f>IF(BB316="","",IF(ABS(BB316)&lt;1,"OK","CHECK"))</f>
        <v/>
      </c>
      <c r="BC317" s="401">
        <f>IF(BC316="","",IF(ABS(BC316)&lt;1,"OK","CHECK"))</f>
        <v/>
      </c>
      <c r="BD317" s="401">
        <f>IF(BD316="","",IF(ABS(BD316)&lt;1,"OK","CHECK"))</f>
        <v/>
      </c>
      <c r="BE317" s="401">
        <f>IF(BE316="","",IF(ABS(BE316)&lt;1,"OK","CHECK"))</f>
        <v/>
      </c>
      <c r="BF317" s="401">
        <f>IF(BF316="","",IF(ABS(BF316)&lt;1,"OK","CHECK"))</f>
        <v/>
      </c>
      <c r="BG317" s="401">
        <f>IF(BG316="","",IF(ABS(BG316)&lt;1,"OK","CHECK"))</f>
        <v/>
      </c>
      <c r="BH317" s="401">
        <f>IF(BH316="","",IF(ABS(BH316)&lt;1,"OK","CHECK"))</f>
        <v/>
      </c>
      <c r="BI317" s="401">
        <f>IF(BI316="","",IF(ABS(BI316)&lt;1,"OK","CHECK"))</f>
        <v/>
      </c>
      <c r="BJ317" s="401">
        <f>IF(BJ316="","",IF(ABS(BJ316)&lt;1,"OK","CHECK"))</f>
        <v/>
      </c>
      <c r="BK317" s="401">
        <f>IF(BK316="","",IF(ABS(BK316)&lt;1,"OK","CHECK"))</f>
        <v/>
      </c>
      <c r="BL317" s="401">
        <f>IF(BL316="","",IF(ABS(BL316)&lt;1,"OK","CHECK"))</f>
        <v/>
      </c>
      <c r="BM317" s="401">
        <f>IF(BM316="","",IF(ABS(BM316)&lt;1,"OK","CHECK"))</f>
        <v/>
      </c>
      <c r="BN317" s="401">
        <f>IF(BN316="","",IF(ABS(BN316)&lt;1,"OK","CHECK"))</f>
        <v/>
      </c>
      <c r="BO317" s="401">
        <f>IF(BO316="","",IF(ABS(BO316)&lt;1,"OK","CHECK"))</f>
        <v/>
      </c>
      <c r="BP317" s="401">
        <f>IF(BP316="","",IF(ABS(BP316)&lt;1,"OK","CHECK"))</f>
        <v/>
      </c>
      <c r="BQ317" s="401">
        <f>IF(BQ316="","",IF(ABS(BQ316)&lt;1,"OK","CHECK"))</f>
        <v/>
      </c>
      <c r="BR317" s="401">
        <f>IF(BR316="","",IF(ABS(BR316)&lt;1,"OK","CHECK"))</f>
        <v/>
      </c>
      <c r="BS317" s="401">
        <f>IF(BS316="","",IF(ABS(BS316)&lt;1,"OK","CHECK"))</f>
        <v/>
      </c>
      <c r="BT317" s="401">
        <f>IF(BT316="","",IF(ABS(BT316)&lt;1,"OK","CHECK"))</f>
        <v/>
      </c>
      <c r="BU317" s="401">
        <f>IF(BU316="","",IF(ABS(BU316)&lt;1,"OK","CHECK"))</f>
        <v/>
      </c>
      <c r="BV317" s="401">
        <f>IF(BV316="","",IF(ABS(BV316)&lt;1,"OK","CHECK"))</f>
        <v/>
      </c>
      <c r="BW317" s="401">
        <f>IF(BW316="","",IF(ABS(BW316)&lt;1,"OK","CHECK"))</f>
        <v/>
      </c>
      <c r="BX317" s="401">
        <f>IF(BX316="","",IF(ABS(BX316)&lt;1,"OK","CHECK"))</f>
        <v/>
      </c>
      <c r="BY317" s="401">
        <f>IF(BY316="","",IF(ABS(BY316)&lt;1,"OK","CHECK"))</f>
        <v/>
      </c>
      <c r="BZ317" s="401">
        <f>IF(BZ316="","",IF(ABS(BZ316)&lt;1,"OK","CHECK"))</f>
        <v/>
      </c>
      <c r="CA317" s="401">
        <f>IF(CA316="","",IF(ABS(CA316)&lt;1,"OK","CHECK"))</f>
        <v/>
      </c>
      <c r="CB317" s="401">
        <f>IF(CB316="","",IF(ABS(CB316)&lt;1,"OK","CHECK"))</f>
        <v/>
      </c>
      <c r="CC317" s="401">
        <f>IF(CC316="","",IF(ABS(CC316)&lt;1,"OK","CHECK"))</f>
        <v/>
      </c>
      <c r="CD317" s="401">
        <f>IF(CD316="","",IF(ABS(CD316)&lt;1,"OK","CHECK"))</f>
        <v/>
      </c>
      <c r="CE317" s="401">
        <f>IF(CE316="","",IF(ABS(CE316)&lt;1,"OK","CHECK"))</f>
        <v/>
      </c>
      <c r="CF317" s="401">
        <f>IF(CF316="","",IF(ABS(CF316)&lt;1,"OK","CHECK"))</f>
        <v/>
      </c>
      <c r="CG317" s="401">
        <f>IF(CG316="","",IF(ABS(CG316)&lt;1,"OK","CHECK"))</f>
        <v/>
      </c>
      <c r="CH317" s="401">
        <f>IF(CH316="","",IF(ABS(CH316)&lt;1,"OK","CHECK"))</f>
        <v/>
      </c>
      <c r="CI317" s="401">
        <f>IF(CI316="","",IF(ABS(CI316)&lt;1,"OK","CHECK"))</f>
        <v/>
      </c>
      <c r="CJ317" s="401">
        <f>IF(CJ316="","",IF(ABS(CJ316)&lt;1,"OK","CHECK"))</f>
        <v/>
      </c>
      <c r="CK317" s="401">
        <f>IF(CK316="","",IF(ABS(CK316)&lt;1,"OK","CHECK"))</f>
        <v/>
      </c>
      <c r="CL317" s="401">
        <f>IF(CL316="","",IF(ABS(CL316)&lt;1,"OK","CHECK"))</f>
        <v/>
      </c>
      <c r="CM317" s="401">
        <f>IF(CM316="","",IF(ABS(CM316)&lt;1,"OK","CHECK"))</f>
        <v/>
      </c>
      <c r="CN317" s="401">
        <f>IF(CN316="","",IF(ABS(CN316)&lt;1,"OK","CHECK"))</f>
        <v/>
      </c>
      <c r="CO317" s="401">
        <f>IF(CO316="","",IF(ABS(CO316)&lt;1,"OK","CHECK"))</f>
        <v/>
      </c>
      <c r="CP317" s="401">
        <f>IF(CP316="","",IF(ABS(CP316)&lt;1,"OK","CHECK"))</f>
        <v/>
      </c>
      <c r="CQ317" s="401">
        <f>IF(CQ316="","",IF(ABS(CQ316)&lt;1,"OK","CHECK"))</f>
        <v/>
      </c>
      <c r="CR317" s="401">
        <f>IF(CR316="","",IF(ABS(CR316)&lt;1,"OK","CHECK"))</f>
        <v/>
      </c>
      <c r="CS317" s="401">
        <f>IF(CS316="","",IF(ABS(CS316)&lt;1,"OK","CHECK"))</f>
        <v/>
      </c>
      <c r="CT317" s="401">
        <f>IF(CT316="","",IF(ABS(CT316)&lt;1,"OK","CHECK"))</f>
        <v/>
      </c>
      <c r="CU317" s="401">
        <f>IF(CU316="","",IF(ABS(CU316)&lt;1,"OK","CHECK"))</f>
        <v/>
      </c>
      <c r="CV317" s="401">
        <f>IF(CV316="","",IF(ABS(CV316)&lt;1,"OK","CHECK"))</f>
        <v/>
      </c>
      <c r="CW317" s="401">
        <f>IF(CW316="","",IF(ABS(CW316)&lt;1,"OK","CHECK"))</f>
        <v/>
      </c>
      <c r="CX317" s="401">
        <f>IF(CX316="","",IF(ABS(CX316)&lt;1,"OK","CHECK"))</f>
        <v/>
      </c>
      <c r="CY317" s="401">
        <f>IF(CY316="","",IF(ABS(CY316)&lt;1,"OK","CHECK"))</f>
        <v/>
      </c>
      <c r="CZ317" s="401">
        <f>IF(CZ316="","",IF(ABS(CZ316)&lt;1,"OK","CHECK"))</f>
        <v/>
      </c>
      <c r="DA317" s="401">
        <f>IF(DA316="","",IF(ABS(DA316)&lt;1,"OK","CHECK"))</f>
        <v/>
      </c>
      <c r="DB317" s="401">
        <f>IF(DB316="","",IF(ABS(DB316)&lt;1,"OK","CHECK"))</f>
        <v/>
      </c>
      <c r="DC317" s="401">
        <f>IF(DC316="","",IF(ABS(DC316)&lt;1,"OK","CHECK"))</f>
        <v/>
      </c>
      <c r="DD317" s="401">
        <f>IF(DD316="","",IF(ABS(DD316)&lt;1,"OK","CHECK"))</f>
        <v/>
      </c>
      <c r="DE317" s="401">
        <f>IF(DE316="","",IF(ABS(DE316)&lt;1,"OK","CHECK"))</f>
        <v/>
      </c>
    </row>
    <row r="318" ht="15" customHeight="1" s="410">
      <c r="A318" s="397" t="inlineStr">
        <is>
          <t>Prior pack: model ending cash projected for this month-end (hardcode at each close)</t>
        </is>
      </c>
      <c r="B318" s="392" t="n"/>
      <c r="C318" s="392" t="n"/>
      <c r="D318" s="392" t="n"/>
      <c r="E318" s="392" t="n"/>
      <c r="F318" s="392" t="n"/>
      <c r="G318" s="392" t="n"/>
      <c r="H318" s="453" t="n">
        <v>778701</v>
      </c>
      <c r="I318" s="453" t="n">
        <v>2671750</v>
      </c>
      <c r="J318" s="392" t="n"/>
      <c r="K318" s="392" t="n"/>
      <c r="L318" s="392" t="n"/>
      <c r="M318" s="392" t="n"/>
      <c r="N318" s="392" t="n"/>
      <c r="O318" s="392" t="n"/>
      <c r="P318" s="392" t="n"/>
      <c r="Q318" s="392" t="n"/>
      <c r="R318" s="392" t="n"/>
      <c r="S318" s="392" t="n"/>
      <c r="T318" s="392" t="n"/>
      <c r="U318" s="392" t="n"/>
      <c r="V318" s="392" t="n"/>
      <c r="W318" s="392" t="n"/>
      <c r="X318" s="392" t="n"/>
      <c r="Y318" s="392" t="n"/>
      <c r="Z318" s="392" t="n"/>
      <c r="AA318" s="392" t="n"/>
      <c r="AB318" s="392" t="n"/>
      <c r="AC318" s="392" t="n"/>
      <c r="AD318" s="392" t="n"/>
      <c r="AE318" s="392" t="n"/>
      <c r="AF318" s="392" t="n"/>
      <c r="AG318" s="392" t="n"/>
      <c r="AH318" s="392" t="n"/>
      <c r="AI318" s="392" t="n"/>
      <c r="AJ318" s="392" t="n"/>
      <c r="AK318" s="392" t="n"/>
      <c r="AL318" s="392" t="n"/>
      <c r="AM318" s="392" t="n"/>
      <c r="AN318" s="392" t="n"/>
      <c r="AO318" s="392" t="n"/>
      <c r="AP318" s="392" t="n"/>
      <c r="AQ318" s="392" t="n"/>
      <c r="AR318" s="392" t="n"/>
      <c r="AS318" s="392" t="n"/>
      <c r="AT318" s="392" t="n"/>
      <c r="AU318" s="392" t="n"/>
      <c r="AV318" s="392" t="n"/>
      <c r="AW318" s="392" t="n"/>
      <c r="AX318" s="392" t="n"/>
      <c r="AY318" s="392" t="n"/>
      <c r="AZ318" s="392" t="n"/>
      <c r="BA318" s="392" t="n"/>
      <c r="BB318" s="392" t="n"/>
      <c r="BC318" s="392" t="n"/>
      <c r="BD318" s="392" t="n"/>
      <c r="BE318" s="392" t="n"/>
      <c r="BF318" s="392" t="n"/>
      <c r="BG318" s="392" t="n"/>
      <c r="BH318" s="392" t="n"/>
      <c r="BI318" s="392" t="n"/>
      <c r="BJ318" s="392" t="n"/>
      <c r="BK318" s="392" t="n"/>
      <c r="BL318" s="392" t="n"/>
      <c r="BM318" s="392" t="n"/>
      <c r="BN318" s="392" t="n"/>
      <c r="BO318" s="392" t="n"/>
      <c r="BP318" s="392" t="n"/>
      <c r="BQ318" s="392" t="n"/>
      <c r="BR318" s="392" t="n"/>
      <c r="BS318" s="392" t="n"/>
      <c r="BT318" s="392" t="n"/>
      <c r="BU318" s="392" t="n"/>
      <c r="BV318" s="392" t="n"/>
      <c r="BW318" s="392" t="n"/>
      <c r="BX318" s="392" t="n"/>
      <c r="BY318" s="392" t="n"/>
      <c r="BZ318" s="392" t="n"/>
      <c r="CA318" s="392" t="n"/>
      <c r="CB318" s="392" t="n"/>
      <c r="CC318" s="392" t="n"/>
      <c r="CD318" s="392" t="n"/>
      <c r="CE318" s="392" t="n"/>
      <c r="CF318" s="392" t="n"/>
      <c r="CG318" s="392" t="n"/>
      <c r="CH318" s="392" t="n"/>
      <c r="CI318" s="392" t="n"/>
      <c r="CJ318" s="392" t="n"/>
      <c r="CK318" s="392" t="n"/>
      <c r="CL318" s="392" t="n"/>
      <c r="CM318" s="392" t="n"/>
      <c r="CN318" s="392" t="n"/>
      <c r="CO318" s="392" t="n"/>
      <c r="CP318" s="392" t="n"/>
      <c r="CQ318" s="392" t="n"/>
      <c r="CR318" s="392" t="n"/>
      <c r="CS318" s="392" t="n"/>
      <c r="CT318" s="392" t="n"/>
      <c r="CU318" s="392" t="n"/>
      <c r="CV318" s="392" t="n"/>
      <c r="CW318" s="392" t="n"/>
      <c r="CX318" s="392" t="n"/>
      <c r="CY318" s="392" t="n"/>
      <c r="CZ318" s="392" t="n"/>
      <c r="DA318" s="392" t="n"/>
      <c r="DB318" s="392" t="n"/>
      <c r="DC318" s="392" t="n"/>
      <c r="DD318" s="392" t="n"/>
      <c r="DE318" s="392" t="n"/>
    </row>
    <row r="319" ht="15" customHeight="1" s="410">
      <c r="A319" s="397" t="inlineStr">
        <is>
          <t>Forecast variance — prior pack less actual</t>
        </is>
      </c>
      <c r="B319" s="392">
        <f>IF(OR(B314="",B318=""),"",B318-B314)</f>
        <v/>
      </c>
      <c r="C319" s="392">
        <f>IF(OR(C314="",C318=""),"",C318-C314)</f>
        <v/>
      </c>
      <c r="D319" s="392">
        <f>IF(OR(D314="",D318=""),"",D318-D314)</f>
        <v/>
      </c>
      <c r="E319" s="392">
        <f>IF(OR(E314="",E318=""),"",E318-E314)</f>
        <v/>
      </c>
      <c r="F319" s="392">
        <f>IF(OR(F314="",F318=""),"",F318-F314)</f>
        <v/>
      </c>
      <c r="G319" s="392">
        <f>IF(OR(G314="",G318=""),"",G318-G314)</f>
        <v/>
      </c>
      <c r="H319" s="392">
        <f>IF(OR(H314="",H318=""),"",H318-H314)</f>
        <v/>
      </c>
      <c r="I319" s="392">
        <f>IF(OR(I314="",I318=""),"",I318-I314)</f>
        <v/>
      </c>
      <c r="J319" s="392">
        <f>IF(OR(J314="",J318=""),"",J318-J314)</f>
        <v/>
      </c>
      <c r="K319" s="392">
        <f>IF(OR(K314="",K318=""),"",K318-K314)</f>
        <v/>
      </c>
      <c r="L319" s="392">
        <f>IF(OR(L314="",L318=""),"",L318-L314)</f>
        <v/>
      </c>
      <c r="M319" s="392">
        <f>IF(OR(M314="",M318=""),"",M318-M314)</f>
        <v/>
      </c>
      <c r="N319" s="392">
        <f>IF(OR(N314="",N318=""),"",N318-N314)</f>
        <v/>
      </c>
      <c r="O319" s="392">
        <f>IF(OR(O314="",O318=""),"",O318-O314)</f>
        <v/>
      </c>
      <c r="P319" s="392">
        <f>IF(OR(P314="",P318=""),"",P318-P314)</f>
        <v/>
      </c>
      <c r="Q319" s="392">
        <f>IF(OR(Q314="",Q318=""),"",Q318-Q314)</f>
        <v/>
      </c>
      <c r="R319" s="392">
        <f>IF(OR(R314="",R318=""),"",R318-R314)</f>
        <v/>
      </c>
      <c r="S319" s="392">
        <f>IF(OR(S314="",S318=""),"",S318-S314)</f>
        <v/>
      </c>
      <c r="T319" s="392">
        <f>IF(OR(T314="",T318=""),"",T318-T314)</f>
        <v/>
      </c>
      <c r="U319" s="392">
        <f>IF(OR(U314="",U318=""),"",U318-U314)</f>
        <v/>
      </c>
      <c r="V319" s="392">
        <f>IF(OR(V314="",V318=""),"",V318-V314)</f>
        <v/>
      </c>
      <c r="W319" s="392">
        <f>IF(OR(W314="",W318=""),"",W318-W314)</f>
        <v/>
      </c>
      <c r="X319" s="392">
        <f>IF(OR(X314="",X318=""),"",X318-X314)</f>
        <v/>
      </c>
      <c r="Y319" s="392">
        <f>IF(OR(Y314="",Y318=""),"",Y318-Y314)</f>
        <v/>
      </c>
      <c r="Z319" s="392">
        <f>IF(OR(Z314="",Z318=""),"",Z318-Z314)</f>
        <v/>
      </c>
      <c r="AA319" s="392">
        <f>IF(OR(AA314="",AA318=""),"",AA318-AA314)</f>
        <v/>
      </c>
      <c r="AB319" s="392">
        <f>IF(OR(AB314="",AB318=""),"",AB318-AB314)</f>
        <v/>
      </c>
      <c r="AC319" s="392">
        <f>IF(OR(AC314="",AC318=""),"",AC318-AC314)</f>
        <v/>
      </c>
      <c r="AD319" s="392">
        <f>IF(OR(AD314="",AD318=""),"",AD318-AD314)</f>
        <v/>
      </c>
      <c r="AE319" s="392">
        <f>IF(OR(AE314="",AE318=""),"",AE318-AE314)</f>
        <v/>
      </c>
      <c r="AF319" s="392">
        <f>IF(OR(AF314="",AF318=""),"",AF318-AF314)</f>
        <v/>
      </c>
      <c r="AG319" s="392">
        <f>IF(OR(AG314="",AG318=""),"",AG318-AG314)</f>
        <v/>
      </c>
      <c r="AH319" s="392">
        <f>IF(OR(AH314="",AH318=""),"",AH318-AH314)</f>
        <v/>
      </c>
      <c r="AI319" s="392">
        <f>IF(OR(AI314="",AI318=""),"",AI318-AI314)</f>
        <v/>
      </c>
      <c r="AJ319" s="392">
        <f>IF(OR(AJ314="",AJ318=""),"",AJ318-AJ314)</f>
        <v/>
      </c>
      <c r="AK319" s="392">
        <f>IF(OR(AK314="",AK318=""),"",AK318-AK314)</f>
        <v/>
      </c>
      <c r="AL319" s="392">
        <f>IF(OR(AL314="",AL318=""),"",AL318-AL314)</f>
        <v/>
      </c>
      <c r="AM319" s="392">
        <f>IF(OR(AM314="",AM318=""),"",AM318-AM314)</f>
        <v/>
      </c>
      <c r="AN319" s="392">
        <f>IF(OR(AN314="",AN318=""),"",AN318-AN314)</f>
        <v/>
      </c>
      <c r="AO319" s="392">
        <f>IF(OR(AO314="",AO318=""),"",AO318-AO314)</f>
        <v/>
      </c>
      <c r="AP319" s="392">
        <f>IF(OR(AP314="",AP318=""),"",AP318-AP314)</f>
        <v/>
      </c>
      <c r="AQ319" s="392">
        <f>IF(OR(AQ314="",AQ318=""),"",AQ318-AQ314)</f>
        <v/>
      </c>
      <c r="AR319" s="392">
        <f>IF(OR(AR314="",AR318=""),"",AR318-AR314)</f>
        <v/>
      </c>
      <c r="AS319" s="392">
        <f>IF(OR(AS314="",AS318=""),"",AS318-AS314)</f>
        <v/>
      </c>
      <c r="AT319" s="392">
        <f>IF(OR(AT314="",AT318=""),"",AT318-AT314)</f>
        <v/>
      </c>
      <c r="AU319" s="392">
        <f>IF(OR(AU314="",AU318=""),"",AU318-AU314)</f>
        <v/>
      </c>
      <c r="AV319" s="392">
        <f>IF(OR(AV314="",AV318=""),"",AV318-AV314)</f>
        <v/>
      </c>
      <c r="AW319" s="392">
        <f>IF(OR(AW314="",AW318=""),"",AW318-AW314)</f>
        <v/>
      </c>
      <c r="AX319" s="392">
        <f>IF(OR(AX314="",AX318=""),"",AX318-AX314)</f>
        <v/>
      </c>
      <c r="AY319" s="392">
        <f>IF(OR(AY314="",AY318=""),"",AY318-AY314)</f>
        <v/>
      </c>
      <c r="AZ319" s="392">
        <f>IF(OR(AZ314="",AZ318=""),"",AZ318-AZ314)</f>
        <v/>
      </c>
      <c r="BA319" s="392">
        <f>IF(OR(BA314="",BA318=""),"",BA318-BA314)</f>
        <v/>
      </c>
      <c r="BB319" s="392">
        <f>IF(OR(BB314="",BB318=""),"",BB318-BB314)</f>
        <v/>
      </c>
      <c r="BC319" s="392">
        <f>IF(OR(BC314="",BC318=""),"",BC318-BC314)</f>
        <v/>
      </c>
      <c r="BD319" s="392">
        <f>IF(OR(BD314="",BD318=""),"",BD318-BD314)</f>
        <v/>
      </c>
      <c r="BE319" s="392">
        <f>IF(OR(BE314="",BE318=""),"",BE318-BE314)</f>
        <v/>
      </c>
      <c r="BF319" s="392">
        <f>IF(OR(BF314="",BF318=""),"",BF318-BF314)</f>
        <v/>
      </c>
      <c r="BG319" s="392">
        <f>IF(OR(BG314="",BG318=""),"",BG318-BG314)</f>
        <v/>
      </c>
      <c r="BH319" s="392">
        <f>IF(OR(BH314="",BH318=""),"",BH318-BH314)</f>
        <v/>
      </c>
      <c r="BI319" s="392">
        <f>IF(OR(BI314="",BI318=""),"",BI318-BI314)</f>
        <v/>
      </c>
      <c r="BJ319" s="392">
        <f>IF(OR(BJ314="",BJ318=""),"",BJ318-BJ314)</f>
        <v/>
      </c>
      <c r="BK319" s="392">
        <f>IF(OR(BK314="",BK318=""),"",BK318-BK314)</f>
        <v/>
      </c>
      <c r="BL319" s="392">
        <f>IF(OR(BL314="",BL318=""),"",BL318-BL314)</f>
        <v/>
      </c>
      <c r="BM319" s="392">
        <f>IF(OR(BM314="",BM318=""),"",BM318-BM314)</f>
        <v/>
      </c>
      <c r="BN319" s="392">
        <f>IF(OR(BN314="",BN318=""),"",BN318-BN314)</f>
        <v/>
      </c>
      <c r="BO319" s="392">
        <f>IF(OR(BO314="",BO318=""),"",BO318-BO314)</f>
        <v/>
      </c>
      <c r="BP319" s="392">
        <f>IF(OR(BP314="",BP318=""),"",BP318-BP314)</f>
        <v/>
      </c>
      <c r="BQ319" s="392">
        <f>IF(OR(BQ314="",BQ318=""),"",BQ318-BQ314)</f>
        <v/>
      </c>
      <c r="BR319" s="392">
        <f>IF(OR(BR314="",BR318=""),"",BR318-BR314)</f>
        <v/>
      </c>
      <c r="BS319" s="392">
        <f>IF(OR(BS314="",BS318=""),"",BS318-BS314)</f>
        <v/>
      </c>
      <c r="BT319" s="392">
        <f>IF(OR(BT314="",BT318=""),"",BT318-BT314)</f>
        <v/>
      </c>
      <c r="BU319" s="392">
        <f>IF(OR(BU314="",BU318=""),"",BU318-BU314)</f>
        <v/>
      </c>
      <c r="BV319" s="392">
        <f>IF(OR(BV314="",BV318=""),"",BV318-BV314)</f>
        <v/>
      </c>
      <c r="BW319" s="392">
        <f>IF(OR(BW314="",BW318=""),"",BW318-BW314)</f>
        <v/>
      </c>
      <c r="BX319" s="392">
        <f>IF(OR(BX314="",BX318=""),"",BX318-BX314)</f>
        <v/>
      </c>
      <c r="BY319" s="392">
        <f>IF(OR(BY314="",BY318=""),"",BY318-BY314)</f>
        <v/>
      </c>
      <c r="BZ319" s="392">
        <f>IF(OR(BZ314="",BZ318=""),"",BZ318-BZ314)</f>
        <v/>
      </c>
      <c r="CA319" s="392">
        <f>IF(OR(CA314="",CA318=""),"",CA318-CA314)</f>
        <v/>
      </c>
      <c r="CB319" s="392">
        <f>IF(OR(CB314="",CB318=""),"",CB318-CB314)</f>
        <v/>
      </c>
      <c r="CC319" s="392">
        <f>IF(OR(CC314="",CC318=""),"",CC318-CC314)</f>
        <v/>
      </c>
      <c r="CD319" s="392">
        <f>IF(OR(CD314="",CD318=""),"",CD318-CD314)</f>
        <v/>
      </c>
      <c r="CE319" s="392">
        <f>IF(OR(CE314="",CE318=""),"",CE318-CE314)</f>
        <v/>
      </c>
      <c r="CF319" s="392">
        <f>IF(OR(CF314="",CF318=""),"",CF318-CF314)</f>
        <v/>
      </c>
      <c r="CG319" s="392">
        <f>IF(OR(CG314="",CG318=""),"",CG318-CG314)</f>
        <v/>
      </c>
      <c r="CH319" s="392">
        <f>IF(OR(CH314="",CH318=""),"",CH318-CH314)</f>
        <v/>
      </c>
      <c r="CI319" s="392">
        <f>IF(OR(CI314="",CI318=""),"",CI318-CI314)</f>
        <v/>
      </c>
      <c r="CJ319" s="392">
        <f>IF(OR(CJ314="",CJ318=""),"",CJ318-CJ314)</f>
        <v/>
      </c>
      <c r="CK319" s="392">
        <f>IF(OR(CK314="",CK318=""),"",CK318-CK314)</f>
        <v/>
      </c>
      <c r="CL319" s="392">
        <f>IF(OR(CL314="",CL318=""),"",CL318-CL314)</f>
        <v/>
      </c>
      <c r="CM319" s="392">
        <f>IF(OR(CM314="",CM318=""),"",CM318-CM314)</f>
        <v/>
      </c>
      <c r="CN319" s="392">
        <f>IF(OR(CN314="",CN318=""),"",CN318-CN314)</f>
        <v/>
      </c>
      <c r="CO319" s="392">
        <f>IF(OR(CO314="",CO318=""),"",CO318-CO314)</f>
        <v/>
      </c>
      <c r="CP319" s="392">
        <f>IF(OR(CP314="",CP318=""),"",CP318-CP314)</f>
        <v/>
      </c>
      <c r="CQ319" s="392">
        <f>IF(OR(CQ314="",CQ318=""),"",CQ318-CQ314)</f>
        <v/>
      </c>
      <c r="CR319" s="392">
        <f>IF(OR(CR314="",CR318=""),"",CR318-CR314)</f>
        <v/>
      </c>
      <c r="CS319" s="392">
        <f>IF(OR(CS314="",CS318=""),"",CS318-CS314)</f>
        <v/>
      </c>
      <c r="CT319" s="392">
        <f>IF(OR(CT314="",CT318=""),"",CT318-CT314)</f>
        <v/>
      </c>
      <c r="CU319" s="392">
        <f>IF(OR(CU314="",CU318=""),"",CU318-CU314)</f>
        <v/>
      </c>
      <c r="CV319" s="392">
        <f>IF(OR(CV314="",CV318=""),"",CV318-CV314)</f>
        <v/>
      </c>
      <c r="CW319" s="392">
        <f>IF(OR(CW314="",CW318=""),"",CW318-CW314)</f>
        <v/>
      </c>
      <c r="CX319" s="392">
        <f>IF(OR(CX314="",CX318=""),"",CX318-CX314)</f>
        <v/>
      </c>
      <c r="CY319" s="392">
        <f>IF(OR(CY314="",CY318=""),"",CY318-CY314)</f>
        <v/>
      </c>
      <c r="CZ319" s="392">
        <f>IF(OR(CZ314="",CZ318=""),"",CZ318-CZ314)</f>
        <v/>
      </c>
      <c r="DA319" s="392">
        <f>IF(OR(DA314="",DA318=""),"",DA318-DA314)</f>
        <v/>
      </c>
      <c r="DB319" s="392">
        <f>IF(OR(DB314="",DB318=""),"",DB318-DB314)</f>
        <v/>
      </c>
      <c r="DC319" s="392">
        <f>IF(OR(DC314="",DC318=""),"",DC318-DC314)</f>
        <v/>
      </c>
      <c r="DD319" s="392">
        <f>IF(OR(DD314="",DD318=""),"",DD318-DD314)</f>
        <v/>
      </c>
      <c r="DE319" s="392">
        <f>IF(OR(DE314="",DE318=""),"",DE318-DE314)</f>
        <v/>
      </c>
    </row>
    <row r="321" ht="15" customHeight="1" s="410">
      <c r="A321" s="402" t="inlineStr">
        <is>
          <t>C. SIX PEAK CASH — MODEL vs ACTUAL</t>
        </is>
      </c>
      <c r="B321" s="414" t="n"/>
      <c r="C321" s="414" t="n"/>
      <c r="D321" s="414" t="n"/>
      <c r="E321" s="414" t="n"/>
      <c r="F321" s="414" t="n"/>
      <c r="G321" s="414" t="n"/>
      <c r="H321" s="414" t="n"/>
      <c r="I321" s="414" t="n"/>
      <c r="J321" s="414" t="n"/>
      <c r="K321" s="414" t="n"/>
      <c r="L321" s="414" t="n"/>
      <c r="M321" s="414" t="n"/>
      <c r="N321" s="414" t="n"/>
      <c r="O321" s="414" t="n"/>
      <c r="P321" s="414" t="n"/>
      <c r="Q321" s="414" t="n"/>
      <c r="R321" s="414" t="n"/>
      <c r="S321" s="414" t="n"/>
      <c r="T321" s="414" t="n"/>
      <c r="U321" s="414" t="n"/>
      <c r="V321" s="414" t="n"/>
      <c r="W321" s="414" t="n"/>
      <c r="X321" s="414" t="n"/>
      <c r="Y321" s="414" t="n"/>
      <c r="Z321" s="414" t="n"/>
      <c r="AA321" s="414" t="n"/>
      <c r="AB321" s="414" t="n"/>
      <c r="AC321" s="414" t="n"/>
      <c r="AD321" s="414" t="n"/>
      <c r="AE321" s="414" t="n"/>
      <c r="AF321" s="414" t="n"/>
      <c r="AG321" s="414" t="n"/>
      <c r="AH321" s="414" t="n"/>
      <c r="AI321" s="414" t="n"/>
      <c r="AJ321" s="414" t="n"/>
      <c r="AK321" s="414" t="n"/>
      <c r="AL321" s="414" t="n"/>
      <c r="AM321" s="414" t="n"/>
      <c r="AN321" s="414" t="n"/>
      <c r="AO321" s="414" t="n"/>
      <c r="AP321" s="414" t="n"/>
      <c r="AQ321" s="414" t="n"/>
      <c r="AR321" s="414" t="n"/>
      <c r="AS321" s="414" t="n"/>
      <c r="AT321" s="414" t="n"/>
      <c r="AU321" s="414" t="n"/>
      <c r="AV321" s="414" t="n"/>
      <c r="AW321" s="414" t="n"/>
      <c r="AX321" s="414" t="n"/>
      <c r="AY321" s="414" t="n"/>
      <c r="AZ321" s="414" t="n"/>
      <c r="BA321" s="414" t="n"/>
      <c r="BB321" s="414" t="n"/>
      <c r="BC321" s="414" t="n"/>
      <c r="BD321" s="414" t="n"/>
      <c r="BE321" s="414" t="n"/>
      <c r="BF321" s="414" t="n"/>
      <c r="BG321" s="414" t="n"/>
      <c r="BH321" s="414" t="n"/>
      <c r="BI321" s="414" t="n"/>
      <c r="BJ321" s="414" t="n"/>
      <c r="BK321" s="414" t="n"/>
      <c r="BL321" s="414" t="n"/>
      <c r="BM321" s="414" t="n"/>
      <c r="BN321" s="414" t="n"/>
      <c r="BO321" s="414" t="n"/>
      <c r="BP321" s="414" t="n"/>
      <c r="BQ321" s="414" t="n"/>
      <c r="BR321" s="414" t="n"/>
      <c r="BS321" s="414" t="n"/>
      <c r="BT321" s="414" t="n"/>
      <c r="BU321" s="414" t="n"/>
      <c r="BV321" s="414" t="n"/>
      <c r="BW321" s="414" t="n"/>
      <c r="BX321" s="414" t="n"/>
      <c r="BY321" s="414" t="n"/>
      <c r="BZ321" s="414" t="n"/>
      <c r="CA321" s="414" t="n"/>
      <c r="CB321" s="414" t="n"/>
      <c r="CC321" s="414" t="n"/>
      <c r="CD321" s="414" t="n"/>
      <c r="CE321" s="414" t="n"/>
      <c r="CF321" s="414" t="n"/>
      <c r="CG321" s="414" t="n"/>
      <c r="CH321" s="414" t="n"/>
      <c r="CI321" s="414" t="n"/>
      <c r="CJ321" s="414" t="n"/>
      <c r="CK321" s="414" t="n"/>
      <c r="CL321" s="414" t="n"/>
      <c r="CM321" s="414" t="n"/>
      <c r="CN321" s="414" t="n"/>
      <c r="CO321" s="414" t="n"/>
      <c r="CP321" s="414" t="n"/>
      <c r="CQ321" s="414" t="n"/>
      <c r="CR321" s="414" t="n"/>
      <c r="CS321" s="414" t="n"/>
      <c r="CT321" s="414" t="n"/>
      <c r="CU321" s="414" t="n"/>
      <c r="CV321" s="414" t="n"/>
      <c r="CW321" s="414" t="n"/>
      <c r="CX321" s="414" t="n"/>
      <c r="CY321" s="414" t="n"/>
      <c r="CZ321" s="414" t="n"/>
      <c r="DA321" s="414" t="n"/>
      <c r="DB321" s="414" t="n"/>
      <c r="DC321" s="414" t="n"/>
      <c r="DD321" s="414" t="n"/>
      <c r="DE321" s="414" t="n"/>
    </row>
    <row r="322" ht="15" customHeight="1" s="410">
      <c r="A322" s="397" t="inlineStr">
        <is>
          <t>Actual per B/S</t>
        </is>
      </c>
      <c r="B322" s="392">
        <f>IF(B306="","",B306)</f>
        <v/>
      </c>
      <c r="C322" s="392">
        <f>IF(C306="","",C306)</f>
        <v/>
      </c>
      <c r="D322" s="392">
        <f>IF(D306="","",D306)</f>
        <v/>
      </c>
      <c r="E322" s="392">
        <f>IF(E306="","",E306)</f>
        <v/>
      </c>
      <c r="F322" s="392">
        <f>IF(F306="","",F306)</f>
        <v/>
      </c>
      <c r="G322" s="392">
        <f>IF(G306="","",G306)</f>
        <v/>
      </c>
      <c r="H322" s="392">
        <f>IF(H306="","",H306)</f>
        <v/>
      </c>
      <c r="I322" s="392">
        <f>IF(I306="","",I306)</f>
        <v/>
      </c>
      <c r="J322" s="392">
        <f>IF(J306="","",J306)</f>
        <v/>
      </c>
      <c r="K322" s="392">
        <f>IF(K306="","",K306)</f>
        <v/>
      </c>
      <c r="L322" s="392">
        <f>IF(L306="","",L306)</f>
        <v/>
      </c>
      <c r="M322" s="392">
        <f>IF(M306="","",M306)</f>
        <v/>
      </c>
      <c r="N322" s="392">
        <f>IF(N306="","",N306)</f>
        <v/>
      </c>
      <c r="O322" s="392">
        <f>IF(O306="","",O306)</f>
        <v/>
      </c>
      <c r="P322" s="392">
        <f>IF(P306="","",P306)</f>
        <v/>
      </c>
      <c r="Q322" s="392">
        <f>IF(Q306="","",Q306)</f>
        <v/>
      </c>
      <c r="R322" s="392">
        <f>IF(R306="","",R306)</f>
        <v/>
      </c>
      <c r="S322" s="392">
        <f>IF(S306="","",S306)</f>
        <v/>
      </c>
      <c r="T322" s="392">
        <f>IF(T306="","",T306)</f>
        <v/>
      </c>
      <c r="U322" s="392">
        <f>IF(U306="","",U306)</f>
        <v/>
      </c>
      <c r="V322" s="392">
        <f>IF(V306="","",V306)</f>
        <v/>
      </c>
      <c r="W322" s="392">
        <f>IF(W306="","",W306)</f>
        <v/>
      </c>
      <c r="X322" s="392">
        <f>IF(X306="","",X306)</f>
        <v/>
      </c>
      <c r="Y322" s="392">
        <f>IF(Y306="","",Y306)</f>
        <v/>
      </c>
      <c r="Z322" s="392">
        <f>IF(Z306="","",Z306)</f>
        <v/>
      </c>
      <c r="AA322" s="392">
        <f>IF(AA306="","",AA306)</f>
        <v/>
      </c>
      <c r="AB322" s="392">
        <f>IF(AB306="","",AB306)</f>
        <v/>
      </c>
      <c r="AC322" s="392">
        <f>IF(AC306="","",AC306)</f>
        <v/>
      </c>
      <c r="AD322" s="392">
        <f>IF(AD306="","",AD306)</f>
        <v/>
      </c>
      <c r="AE322" s="392">
        <f>IF(AE306="","",AE306)</f>
        <v/>
      </c>
      <c r="AF322" s="392">
        <f>IF(AF306="","",AF306)</f>
        <v/>
      </c>
      <c r="AG322" s="392">
        <f>IF(AG306="","",AG306)</f>
        <v/>
      </c>
      <c r="AH322" s="392">
        <f>IF(AH306="","",AH306)</f>
        <v/>
      </c>
      <c r="AI322" s="392">
        <f>IF(AI306="","",AI306)</f>
        <v/>
      </c>
      <c r="AJ322" s="392">
        <f>IF(AJ306="","",AJ306)</f>
        <v/>
      </c>
      <c r="AK322" s="392">
        <f>IF(AK306="","",AK306)</f>
        <v/>
      </c>
      <c r="AL322" s="392">
        <f>IF(AL306="","",AL306)</f>
        <v/>
      </c>
      <c r="AM322" s="392">
        <f>IF(AM306="","",AM306)</f>
        <v/>
      </c>
      <c r="AN322" s="392">
        <f>IF(AN306="","",AN306)</f>
        <v/>
      </c>
      <c r="AO322" s="392">
        <f>IF(AO306="","",AO306)</f>
        <v/>
      </c>
      <c r="AP322" s="392">
        <f>IF(AP306="","",AP306)</f>
        <v/>
      </c>
      <c r="AQ322" s="392">
        <f>IF(AQ306="","",AQ306)</f>
        <v/>
      </c>
      <c r="AR322" s="392">
        <f>IF(AR306="","",AR306)</f>
        <v/>
      </c>
      <c r="AS322" s="392">
        <f>IF(AS306="","",AS306)</f>
        <v/>
      </c>
      <c r="AT322" s="392">
        <f>IF(AT306="","",AT306)</f>
        <v/>
      </c>
      <c r="AU322" s="392">
        <f>IF(AU306="","",AU306)</f>
        <v/>
      </c>
      <c r="AV322" s="392">
        <f>IF(AV306="","",AV306)</f>
        <v/>
      </c>
      <c r="AW322" s="392">
        <f>IF(AW306="","",AW306)</f>
        <v/>
      </c>
      <c r="AX322" s="392">
        <f>IF(AX306="","",AX306)</f>
        <v/>
      </c>
      <c r="AY322" s="392">
        <f>IF(AY306="","",AY306)</f>
        <v/>
      </c>
      <c r="AZ322" s="392">
        <f>IF(AZ306="","",AZ306)</f>
        <v/>
      </c>
      <c r="BA322" s="392">
        <f>IF(BA306="","",BA306)</f>
        <v/>
      </c>
      <c r="BB322" s="392">
        <f>IF(BB306="","",BB306)</f>
        <v/>
      </c>
      <c r="BC322" s="392">
        <f>IF(BC306="","",BC306)</f>
        <v/>
      </c>
      <c r="BD322" s="392">
        <f>IF(BD306="","",BD306)</f>
        <v/>
      </c>
      <c r="BE322" s="392">
        <f>IF(BE306="","",BE306)</f>
        <v/>
      </c>
      <c r="BF322" s="392">
        <f>IF(BF306="","",BF306)</f>
        <v/>
      </c>
      <c r="BG322" s="392">
        <f>IF(BG306="","",BG306)</f>
        <v/>
      </c>
      <c r="BH322" s="392">
        <f>IF(BH306="","",BH306)</f>
        <v/>
      </c>
      <c r="BI322" s="392">
        <f>IF(BI306="","",BI306)</f>
        <v/>
      </c>
      <c r="BJ322" s="392">
        <f>IF(BJ306="","",BJ306)</f>
        <v/>
      </c>
      <c r="BK322" s="392">
        <f>IF(BK306="","",BK306)</f>
        <v/>
      </c>
      <c r="BL322" s="392">
        <f>IF(BL306="","",BL306)</f>
        <v/>
      </c>
      <c r="BM322" s="392">
        <f>IF(BM306="","",BM306)</f>
        <v/>
      </c>
      <c r="BN322" s="392">
        <f>IF(BN306="","",BN306)</f>
        <v/>
      </c>
      <c r="BO322" s="392">
        <f>IF(BO306="","",BO306)</f>
        <v/>
      </c>
      <c r="BP322" s="392">
        <f>IF(BP306="","",BP306)</f>
        <v/>
      </c>
      <c r="BQ322" s="392">
        <f>IF(BQ306="","",BQ306)</f>
        <v/>
      </c>
      <c r="BR322" s="392">
        <f>IF(BR306="","",BR306)</f>
        <v/>
      </c>
      <c r="BS322" s="392">
        <f>IF(BS306="","",BS306)</f>
        <v/>
      </c>
      <c r="BT322" s="392">
        <f>IF(BT306="","",BT306)</f>
        <v/>
      </c>
      <c r="BU322" s="392">
        <f>IF(BU306="","",BU306)</f>
        <v/>
      </c>
      <c r="BV322" s="392">
        <f>IF(BV306="","",BV306)</f>
        <v/>
      </c>
      <c r="BW322" s="392">
        <f>IF(BW306="","",BW306)</f>
        <v/>
      </c>
      <c r="BX322" s="392">
        <f>IF(BX306="","",BX306)</f>
        <v/>
      </c>
      <c r="BY322" s="392">
        <f>IF(BY306="","",BY306)</f>
        <v/>
      </c>
      <c r="BZ322" s="392">
        <f>IF(BZ306="","",BZ306)</f>
        <v/>
      </c>
      <c r="CA322" s="392">
        <f>IF(CA306="","",CA306)</f>
        <v/>
      </c>
      <c r="CB322" s="392">
        <f>IF(CB306="","",CB306)</f>
        <v/>
      </c>
      <c r="CC322" s="392">
        <f>IF(CC306="","",CC306)</f>
        <v/>
      </c>
      <c r="CD322" s="392">
        <f>IF(CD306="","",CD306)</f>
        <v/>
      </c>
      <c r="CE322" s="392">
        <f>IF(CE306="","",CE306)</f>
        <v/>
      </c>
      <c r="CF322" s="392">
        <f>IF(CF306="","",CF306)</f>
        <v/>
      </c>
      <c r="CG322" s="392">
        <f>IF(CG306="","",CG306)</f>
        <v/>
      </c>
      <c r="CH322" s="392">
        <f>IF(CH306="","",CH306)</f>
        <v/>
      </c>
      <c r="CI322" s="392">
        <f>IF(CI306="","",CI306)</f>
        <v/>
      </c>
      <c r="CJ322" s="392">
        <f>IF(CJ306="","",CJ306)</f>
        <v/>
      </c>
      <c r="CK322" s="392">
        <f>IF(CK306="","",CK306)</f>
        <v/>
      </c>
      <c r="CL322" s="392">
        <f>IF(CL306="","",CL306)</f>
        <v/>
      </c>
      <c r="CM322" s="392">
        <f>IF(CM306="","",CM306)</f>
        <v/>
      </c>
      <c r="CN322" s="392">
        <f>IF(CN306="","",CN306)</f>
        <v/>
      </c>
      <c r="CO322" s="392">
        <f>IF(CO306="","",CO306)</f>
        <v/>
      </c>
      <c r="CP322" s="392">
        <f>IF(CP306="","",CP306)</f>
        <v/>
      </c>
      <c r="CQ322" s="392">
        <f>IF(CQ306="","",CQ306)</f>
        <v/>
      </c>
      <c r="CR322" s="392">
        <f>IF(CR306="","",CR306)</f>
        <v/>
      </c>
      <c r="CS322" s="392">
        <f>IF(CS306="","",CS306)</f>
        <v/>
      </c>
      <c r="CT322" s="392">
        <f>IF(CT306="","",CT306)</f>
        <v/>
      </c>
      <c r="CU322" s="392">
        <f>IF(CU306="","",CU306)</f>
        <v/>
      </c>
      <c r="CV322" s="392">
        <f>IF(CV306="","",CV306)</f>
        <v/>
      </c>
      <c r="CW322" s="392">
        <f>IF(CW306="","",CW306)</f>
        <v/>
      </c>
      <c r="CX322" s="392">
        <f>IF(CX306="","",CX306)</f>
        <v/>
      </c>
      <c r="CY322" s="392">
        <f>IF(CY306="","",CY306)</f>
        <v/>
      </c>
      <c r="CZ322" s="392">
        <f>IF(CZ306="","",CZ306)</f>
        <v/>
      </c>
      <c r="DA322" s="392">
        <f>IF(DA306="","",DA306)</f>
        <v/>
      </c>
      <c r="DB322" s="392">
        <f>IF(DB306="","",DB306)</f>
        <v/>
      </c>
      <c r="DC322" s="392">
        <f>IF(DC306="","",DC306)</f>
        <v/>
      </c>
      <c r="DD322" s="392">
        <f>IF(DD306="","",DD306)</f>
        <v/>
      </c>
      <c r="DE322" s="392">
        <f>IF(DE306="","",DE306)</f>
        <v/>
      </c>
    </row>
    <row r="323" ht="15" customHeight="1" s="410">
      <c r="A323" s="397" t="inlineStr">
        <is>
          <t>Model (live): projected ending cash; in the last closed month, the next month's opening balance</t>
        </is>
      </c>
      <c r="B323" s="392">
        <f>IF(B$4="Actuals",IF(C$4="Actuals","",C276),B281)</f>
        <v/>
      </c>
      <c r="C323" s="392">
        <f>IF(C$4="Actuals",IF(D$4="Actuals","",D276),C281)</f>
        <v/>
      </c>
      <c r="D323" s="392">
        <f>IF(D$4="Actuals",IF(E$4="Actuals","",E276),D281)</f>
        <v/>
      </c>
      <c r="E323" s="392">
        <f>IF(E$4="Actuals",IF(F$4="Actuals","",F276),E281)</f>
        <v/>
      </c>
      <c r="F323" s="392">
        <f>IF(F$4="Actuals",IF(G$4="Actuals","",G276),F281)</f>
        <v/>
      </c>
      <c r="G323" s="392">
        <f>IF(G$4="Actuals",IF(H$4="Actuals","",H276),G281)</f>
        <v/>
      </c>
      <c r="H323" s="392">
        <f>IF(H$4="Actuals",IF(I$4="Actuals","",I276),H281)</f>
        <v/>
      </c>
      <c r="I323" s="392">
        <f>IF(I$4="Actuals",IF(J$4="Actuals","",J276),I281)</f>
        <v/>
      </c>
      <c r="J323" s="392">
        <f>IF(J$4="Actuals",IF(K$4="Actuals","",K276),J281)</f>
        <v/>
      </c>
      <c r="K323" s="392">
        <f>IF(K$4="Actuals",IF(L$4="Actuals","",L276),K281)</f>
        <v/>
      </c>
      <c r="L323" s="392">
        <f>IF(L$4="Actuals",IF(M$4="Actuals","",M276),L281)</f>
        <v/>
      </c>
      <c r="M323" s="392">
        <f>IF(M$4="Actuals",IF(N$4="Actuals","",N276),M281)</f>
        <v/>
      </c>
      <c r="N323" s="392">
        <f>IF(N$4="Actuals",IF(O$4="Actuals","",O276),N281)</f>
        <v/>
      </c>
      <c r="O323" s="392">
        <f>IF(O$4="Actuals",IF(P$4="Actuals","",P276),O281)</f>
        <v/>
      </c>
      <c r="P323" s="392">
        <f>IF(P$4="Actuals",IF(Q$4="Actuals","",Q276),P281)</f>
        <v/>
      </c>
      <c r="Q323" s="392">
        <f>IF(Q$4="Actuals",IF(R$4="Actuals","",R276),Q281)</f>
        <v/>
      </c>
      <c r="R323" s="392">
        <f>IF(R$4="Actuals",IF(S$4="Actuals","",S276),R281)</f>
        <v/>
      </c>
      <c r="S323" s="392">
        <f>IF(S$4="Actuals",IF(T$4="Actuals","",T276),S281)</f>
        <v/>
      </c>
      <c r="T323" s="392">
        <f>IF(T$4="Actuals",IF(U$4="Actuals","",U276),T281)</f>
        <v/>
      </c>
      <c r="U323" s="392">
        <f>IF(U$4="Actuals",IF(V$4="Actuals","",V276),U281)</f>
        <v/>
      </c>
      <c r="V323" s="392">
        <f>IF(V$4="Actuals",IF(W$4="Actuals","",W276),V281)</f>
        <v/>
      </c>
      <c r="W323" s="392">
        <f>IF(W$4="Actuals",IF(X$4="Actuals","",X276),W281)</f>
        <v/>
      </c>
      <c r="X323" s="392">
        <f>IF(X$4="Actuals",IF(Y$4="Actuals","",Y276),X281)</f>
        <v/>
      </c>
      <c r="Y323" s="392">
        <f>IF(Y$4="Actuals",IF(Z$4="Actuals","",Z276),Y281)</f>
        <v/>
      </c>
      <c r="Z323" s="392">
        <f>IF(Z$4="Actuals",IF(AA$4="Actuals","",AA276),Z281)</f>
        <v/>
      </c>
      <c r="AA323" s="392">
        <f>IF(AA$4="Actuals",IF(AB$4="Actuals","",AB276),AA281)</f>
        <v/>
      </c>
      <c r="AB323" s="392">
        <f>IF(AB$4="Actuals",IF(AC$4="Actuals","",AC276),AB281)</f>
        <v/>
      </c>
      <c r="AC323" s="392">
        <f>IF(AC$4="Actuals",IF(AD$4="Actuals","",AD276),AC281)</f>
        <v/>
      </c>
      <c r="AD323" s="392">
        <f>IF(AD$4="Actuals",IF(AE$4="Actuals","",AE276),AD281)</f>
        <v/>
      </c>
      <c r="AE323" s="392">
        <f>IF(AE$4="Actuals",IF(AF$4="Actuals","",AF276),AE281)</f>
        <v/>
      </c>
      <c r="AF323" s="392">
        <f>IF(AF$4="Actuals",IF(AG$4="Actuals","",AG276),AF281)</f>
        <v/>
      </c>
      <c r="AG323" s="392">
        <f>IF(AG$4="Actuals",IF(AH$4="Actuals","",AH276),AG281)</f>
        <v/>
      </c>
      <c r="AH323" s="392">
        <f>IF(AH$4="Actuals",IF(AI$4="Actuals","",AI276),AH281)</f>
        <v/>
      </c>
      <c r="AI323" s="392">
        <f>IF(AI$4="Actuals",IF(AJ$4="Actuals","",AJ276),AI281)</f>
        <v/>
      </c>
      <c r="AJ323" s="392">
        <f>IF(AJ$4="Actuals",IF(AK$4="Actuals","",AK276),AJ281)</f>
        <v/>
      </c>
      <c r="AK323" s="392">
        <f>IF(AK$4="Actuals",IF(AL$4="Actuals","",AL276),AK281)</f>
        <v/>
      </c>
      <c r="AL323" s="392">
        <f>IF(AL$4="Actuals",IF(AM$4="Actuals","",AM276),AL281)</f>
        <v/>
      </c>
      <c r="AM323" s="392">
        <f>IF(AM$4="Actuals",IF(AN$4="Actuals","",AN276),AM281)</f>
        <v/>
      </c>
      <c r="AN323" s="392">
        <f>IF(AN$4="Actuals",IF(AO$4="Actuals","",AO276),AN281)</f>
        <v/>
      </c>
      <c r="AO323" s="392">
        <f>IF(AO$4="Actuals",IF(AP$4="Actuals","",AP276),AO281)</f>
        <v/>
      </c>
      <c r="AP323" s="392">
        <f>IF(AP$4="Actuals",IF(AQ$4="Actuals","",AQ276),AP281)</f>
        <v/>
      </c>
      <c r="AQ323" s="392">
        <f>IF(AQ$4="Actuals",IF(AR$4="Actuals","",AR276),AQ281)</f>
        <v/>
      </c>
      <c r="AR323" s="392">
        <f>IF(AR$4="Actuals",IF(AS$4="Actuals","",AS276),AR281)</f>
        <v/>
      </c>
      <c r="AS323" s="392">
        <f>IF(AS$4="Actuals",IF(AT$4="Actuals","",AT276),AS281)</f>
        <v/>
      </c>
      <c r="AT323" s="392">
        <f>IF(AT$4="Actuals",IF(AU$4="Actuals","",AU276),AT281)</f>
        <v/>
      </c>
      <c r="AU323" s="392">
        <f>IF(AU$4="Actuals",IF(AV$4="Actuals","",AV276),AU281)</f>
        <v/>
      </c>
      <c r="AV323" s="392">
        <f>IF(AV$4="Actuals",IF(AW$4="Actuals","",AW276),AV281)</f>
        <v/>
      </c>
      <c r="AW323" s="392">
        <f>IF(AW$4="Actuals",IF(AX$4="Actuals","",AX276),AW281)</f>
        <v/>
      </c>
      <c r="AX323" s="392">
        <f>IF(AX$4="Actuals",IF(AY$4="Actuals","",AY276),AX281)</f>
        <v/>
      </c>
      <c r="AY323" s="392">
        <f>IF(AY$4="Actuals",IF(AZ$4="Actuals","",AZ276),AY281)</f>
        <v/>
      </c>
      <c r="AZ323" s="392">
        <f>IF(AZ$4="Actuals",IF(BA$4="Actuals","",BA276),AZ281)</f>
        <v/>
      </c>
      <c r="BA323" s="392">
        <f>IF(BA$4="Actuals",IF(BB$4="Actuals","",BB276),BA281)</f>
        <v/>
      </c>
      <c r="BB323" s="392">
        <f>IF(BB$4="Actuals",IF(BC$4="Actuals","",BC276),BB281)</f>
        <v/>
      </c>
      <c r="BC323" s="392">
        <f>IF(BC$4="Actuals",IF(BD$4="Actuals","",BD276),BC281)</f>
        <v/>
      </c>
      <c r="BD323" s="392">
        <f>IF(BD$4="Actuals",IF(BE$4="Actuals","",BE276),BD281)</f>
        <v/>
      </c>
      <c r="BE323" s="392">
        <f>IF(BE$4="Actuals",IF(BF$4="Actuals","",BF276),BE281)</f>
        <v/>
      </c>
      <c r="BF323" s="392">
        <f>IF(BF$4="Actuals",IF(BG$4="Actuals","",BG276),BF281)</f>
        <v/>
      </c>
      <c r="BG323" s="392">
        <f>IF(BG$4="Actuals",IF(BH$4="Actuals","",BH276),BG281)</f>
        <v/>
      </c>
      <c r="BH323" s="392">
        <f>IF(BH$4="Actuals",IF(BI$4="Actuals","",BI276),BH281)</f>
        <v/>
      </c>
      <c r="BI323" s="392">
        <f>IF(BI$4="Actuals",IF(BJ$4="Actuals","",BJ276),BI281)</f>
        <v/>
      </c>
      <c r="BJ323" s="392">
        <f>IF(BJ$4="Actuals",IF(BK$4="Actuals","",BK276),BJ281)</f>
        <v/>
      </c>
      <c r="BK323" s="392">
        <f>IF(BK$4="Actuals",IF(BL$4="Actuals","",BL276),BK281)</f>
        <v/>
      </c>
      <c r="BL323" s="392">
        <f>IF(BL$4="Actuals",IF(BM$4="Actuals","",BM276),BL281)</f>
        <v/>
      </c>
      <c r="BM323" s="392">
        <f>IF(BM$4="Actuals",IF(BN$4="Actuals","",BN276),BM281)</f>
        <v/>
      </c>
      <c r="BN323" s="392">
        <f>IF(BN$4="Actuals",IF(BO$4="Actuals","",BO276),BN281)</f>
        <v/>
      </c>
      <c r="BO323" s="392">
        <f>IF(BO$4="Actuals",IF(BP$4="Actuals","",BP276),BO281)</f>
        <v/>
      </c>
      <c r="BP323" s="392">
        <f>IF(BP$4="Actuals",IF(BQ$4="Actuals","",BQ276),BP281)</f>
        <v/>
      </c>
      <c r="BQ323" s="392">
        <f>IF(BQ$4="Actuals",IF(BR$4="Actuals","",BR276),BQ281)</f>
        <v/>
      </c>
      <c r="BR323" s="392">
        <f>IF(BR$4="Actuals",IF(BS$4="Actuals","",BS276),BR281)</f>
        <v/>
      </c>
      <c r="BS323" s="392">
        <f>IF(BS$4="Actuals",IF(BT$4="Actuals","",BT276),BS281)</f>
        <v/>
      </c>
      <c r="BT323" s="392">
        <f>IF(BT$4="Actuals",IF(BU$4="Actuals","",BU276),BT281)</f>
        <v/>
      </c>
      <c r="BU323" s="392">
        <f>IF(BU$4="Actuals",IF(BV$4="Actuals","",BV276),BU281)</f>
        <v/>
      </c>
      <c r="BV323" s="392">
        <f>IF(BV$4="Actuals",IF(BW$4="Actuals","",BW276),BV281)</f>
        <v/>
      </c>
      <c r="BW323" s="392">
        <f>IF(BW$4="Actuals",IF(BX$4="Actuals","",BX276),BW281)</f>
        <v/>
      </c>
      <c r="BX323" s="392">
        <f>IF(BX$4="Actuals",IF(BY$4="Actuals","",BY276),BX281)</f>
        <v/>
      </c>
      <c r="BY323" s="392">
        <f>IF(BY$4="Actuals",IF(BZ$4="Actuals","",BZ276),BY281)</f>
        <v/>
      </c>
      <c r="BZ323" s="392">
        <f>IF(BZ$4="Actuals",IF(CA$4="Actuals","",CA276),BZ281)</f>
        <v/>
      </c>
      <c r="CA323" s="392">
        <f>IF(CA$4="Actuals",IF(CB$4="Actuals","",CB276),CA281)</f>
        <v/>
      </c>
      <c r="CB323" s="392">
        <f>IF(CB$4="Actuals",IF(CC$4="Actuals","",CC276),CB281)</f>
        <v/>
      </c>
      <c r="CC323" s="392">
        <f>IF(CC$4="Actuals",IF(CD$4="Actuals","",CD276),CC281)</f>
        <v/>
      </c>
      <c r="CD323" s="392">
        <f>IF(CD$4="Actuals",IF(CE$4="Actuals","",CE276),CD281)</f>
        <v/>
      </c>
      <c r="CE323" s="392">
        <f>IF(CE$4="Actuals",IF(CF$4="Actuals","",CF276),CE281)</f>
        <v/>
      </c>
      <c r="CF323" s="392">
        <f>IF(CF$4="Actuals",IF(CG$4="Actuals","",CG276),CF281)</f>
        <v/>
      </c>
      <c r="CG323" s="392">
        <f>IF(CG$4="Actuals",IF(CH$4="Actuals","",CH276),CG281)</f>
        <v/>
      </c>
      <c r="CH323" s="392">
        <f>IF(CH$4="Actuals",IF(CI$4="Actuals","",CI276),CH281)</f>
        <v/>
      </c>
      <c r="CI323" s="392">
        <f>IF(CI$4="Actuals",IF(CJ$4="Actuals","",CJ276),CI281)</f>
        <v/>
      </c>
      <c r="CJ323" s="392">
        <f>IF(CJ$4="Actuals",IF(CK$4="Actuals","",CK276),CJ281)</f>
        <v/>
      </c>
      <c r="CK323" s="392">
        <f>IF(CK$4="Actuals",IF(CL$4="Actuals","",CL276),CK281)</f>
        <v/>
      </c>
      <c r="CL323" s="392">
        <f>IF(CL$4="Actuals",IF(CM$4="Actuals","",CM276),CL281)</f>
        <v/>
      </c>
      <c r="CM323" s="392">
        <f>IF(CM$4="Actuals",IF(CN$4="Actuals","",CN276),CM281)</f>
        <v/>
      </c>
      <c r="CN323" s="392">
        <f>IF(CN$4="Actuals",IF(CO$4="Actuals","",CO276),CN281)</f>
        <v/>
      </c>
      <c r="CO323" s="392">
        <f>IF(CO$4="Actuals",IF(CP$4="Actuals","",CP276),CO281)</f>
        <v/>
      </c>
      <c r="CP323" s="392">
        <f>IF(CP$4="Actuals",IF(CQ$4="Actuals","",CQ276),CP281)</f>
        <v/>
      </c>
      <c r="CQ323" s="392">
        <f>IF(CQ$4="Actuals",IF(CR$4="Actuals","",CR276),CQ281)</f>
        <v/>
      </c>
      <c r="CR323" s="392">
        <f>IF(CR$4="Actuals",IF(CS$4="Actuals","",CS276),CR281)</f>
        <v/>
      </c>
      <c r="CS323" s="392">
        <f>IF(CS$4="Actuals",IF(CT$4="Actuals","",CT276),CS281)</f>
        <v/>
      </c>
      <c r="CT323" s="392">
        <f>IF(CT$4="Actuals",IF(CU$4="Actuals","",CU276),CT281)</f>
        <v/>
      </c>
      <c r="CU323" s="392">
        <f>IF(CU$4="Actuals",IF(CV$4="Actuals","",CV276),CU281)</f>
        <v/>
      </c>
      <c r="CV323" s="392">
        <f>IF(CV$4="Actuals",IF(CW$4="Actuals","",CW276),CV281)</f>
        <v/>
      </c>
      <c r="CW323" s="392">
        <f>IF(CW$4="Actuals",IF(CX$4="Actuals","",CX276),CW281)</f>
        <v/>
      </c>
      <c r="CX323" s="392">
        <f>IF(CX$4="Actuals",IF(CY$4="Actuals","",CY276),CX281)</f>
        <v/>
      </c>
      <c r="CY323" s="392">
        <f>IF(CY$4="Actuals",IF(CZ$4="Actuals","",CZ276),CY281)</f>
        <v/>
      </c>
      <c r="CZ323" s="392">
        <f>IF(CZ$4="Actuals",IF(DA$4="Actuals","",DA276),CZ281)</f>
        <v/>
      </c>
      <c r="DA323" s="392">
        <f>IF(DA$4="Actuals",IF(DB$4="Actuals","",DB276),DA281)</f>
        <v/>
      </c>
      <c r="DB323" s="392">
        <f>IF(DB$4="Actuals",IF(DC$4="Actuals","",DC276),DB281)</f>
        <v/>
      </c>
      <c r="DC323" s="392">
        <f>IF(DC$4="Actuals",IF(DD$4="Actuals","",DD276),DC281)</f>
        <v/>
      </c>
      <c r="DD323" s="392">
        <f>IF(DD$4="Actuals",IF(DE$4="Actuals","",DE276),DD281)</f>
        <v/>
      </c>
      <c r="DE323" s="392">
        <f>IF(DE$4="Actuals",IF(DF$4="Actuals","",DF276),DE281)</f>
        <v/>
      </c>
    </row>
    <row r="324" ht="15" customHeight="1" s="410">
      <c r="A324" s="397" t="inlineStr">
        <is>
          <t>Variance — model less actual (must be 0 on the opening balance)</t>
        </is>
      </c>
      <c r="B324" s="392">
        <f>IF(OR(B322="",B323=""),"",B323-B322)</f>
        <v/>
      </c>
      <c r="C324" s="392">
        <f>IF(OR(C322="",C323=""),"",C323-C322)</f>
        <v/>
      </c>
      <c r="D324" s="392">
        <f>IF(OR(D322="",D323=""),"",D323-D322)</f>
        <v/>
      </c>
      <c r="E324" s="392">
        <f>IF(OR(E322="",E323=""),"",E323-E322)</f>
        <v/>
      </c>
      <c r="F324" s="392">
        <f>IF(OR(F322="",F323=""),"",F323-F322)</f>
        <v/>
      </c>
      <c r="G324" s="392">
        <f>IF(OR(G322="",G323=""),"",G323-G322)</f>
        <v/>
      </c>
      <c r="H324" s="392">
        <f>IF(OR(H322="",H323=""),"",H323-H322)</f>
        <v/>
      </c>
      <c r="I324" s="392">
        <f>IF(OR(I322="",I323=""),"",I323-I322)</f>
        <v/>
      </c>
      <c r="J324" s="392">
        <f>IF(OR(J322="",J323=""),"",J323-J322)</f>
        <v/>
      </c>
      <c r="K324" s="392">
        <f>IF(OR(K322="",K323=""),"",K323-K322)</f>
        <v/>
      </c>
      <c r="L324" s="392">
        <f>IF(OR(L322="",L323=""),"",L323-L322)</f>
        <v/>
      </c>
      <c r="M324" s="392">
        <f>IF(OR(M322="",M323=""),"",M323-M322)</f>
        <v/>
      </c>
      <c r="N324" s="392">
        <f>IF(OR(N322="",N323=""),"",N323-N322)</f>
        <v/>
      </c>
      <c r="O324" s="392">
        <f>IF(OR(O322="",O323=""),"",O323-O322)</f>
        <v/>
      </c>
      <c r="P324" s="392">
        <f>IF(OR(P322="",P323=""),"",P323-P322)</f>
        <v/>
      </c>
      <c r="Q324" s="392">
        <f>IF(OR(Q322="",Q323=""),"",Q323-Q322)</f>
        <v/>
      </c>
      <c r="R324" s="392">
        <f>IF(OR(R322="",R323=""),"",R323-R322)</f>
        <v/>
      </c>
      <c r="S324" s="392">
        <f>IF(OR(S322="",S323=""),"",S323-S322)</f>
        <v/>
      </c>
      <c r="T324" s="392">
        <f>IF(OR(T322="",T323=""),"",T323-T322)</f>
        <v/>
      </c>
      <c r="U324" s="392">
        <f>IF(OR(U322="",U323=""),"",U323-U322)</f>
        <v/>
      </c>
      <c r="V324" s="392">
        <f>IF(OR(V322="",V323=""),"",V323-V322)</f>
        <v/>
      </c>
      <c r="W324" s="392">
        <f>IF(OR(W322="",W323=""),"",W323-W322)</f>
        <v/>
      </c>
      <c r="X324" s="392">
        <f>IF(OR(X322="",X323=""),"",X323-X322)</f>
        <v/>
      </c>
      <c r="Y324" s="392">
        <f>IF(OR(Y322="",Y323=""),"",Y323-Y322)</f>
        <v/>
      </c>
      <c r="Z324" s="392">
        <f>IF(OR(Z322="",Z323=""),"",Z323-Z322)</f>
        <v/>
      </c>
      <c r="AA324" s="392">
        <f>IF(OR(AA322="",AA323=""),"",AA323-AA322)</f>
        <v/>
      </c>
      <c r="AB324" s="392">
        <f>IF(OR(AB322="",AB323=""),"",AB323-AB322)</f>
        <v/>
      </c>
      <c r="AC324" s="392">
        <f>IF(OR(AC322="",AC323=""),"",AC323-AC322)</f>
        <v/>
      </c>
      <c r="AD324" s="392">
        <f>IF(OR(AD322="",AD323=""),"",AD323-AD322)</f>
        <v/>
      </c>
      <c r="AE324" s="392">
        <f>IF(OR(AE322="",AE323=""),"",AE323-AE322)</f>
        <v/>
      </c>
      <c r="AF324" s="392">
        <f>IF(OR(AF322="",AF323=""),"",AF323-AF322)</f>
        <v/>
      </c>
      <c r="AG324" s="392">
        <f>IF(OR(AG322="",AG323=""),"",AG323-AG322)</f>
        <v/>
      </c>
      <c r="AH324" s="392">
        <f>IF(OR(AH322="",AH323=""),"",AH323-AH322)</f>
        <v/>
      </c>
      <c r="AI324" s="392">
        <f>IF(OR(AI322="",AI323=""),"",AI323-AI322)</f>
        <v/>
      </c>
      <c r="AJ324" s="392">
        <f>IF(OR(AJ322="",AJ323=""),"",AJ323-AJ322)</f>
        <v/>
      </c>
      <c r="AK324" s="392">
        <f>IF(OR(AK322="",AK323=""),"",AK323-AK322)</f>
        <v/>
      </c>
      <c r="AL324" s="392">
        <f>IF(OR(AL322="",AL323=""),"",AL323-AL322)</f>
        <v/>
      </c>
      <c r="AM324" s="392">
        <f>IF(OR(AM322="",AM323=""),"",AM323-AM322)</f>
        <v/>
      </c>
      <c r="AN324" s="392">
        <f>IF(OR(AN322="",AN323=""),"",AN323-AN322)</f>
        <v/>
      </c>
      <c r="AO324" s="392">
        <f>IF(OR(AO322="",AO323=""),"",AO323-AO322)</f>
        <v/>
      </c>
      <c r="AP324" s="392">
        <f>IF(OR(AP322="",AP323=""),"",AP323-AP322)</f>
        <v/>
      </c>
      <c r="AQ324" s="392">
        <f>IF(OR(AQ322="",AQ323=""),"",AQ323-AQ322)</f>
        <v/>
      </c>
      <c r="AR324" s="392">
        <f>IF(OR(AR322="",AR323=""),"",AR323-AR322)</f>
        <v/>
      </c>
      <c r="AS324" s="392">
        <f>IF(OR(AS322="",AS323=""),"",AS323-AS322)</f>
        <v/>
      </c>
      <c r="AT324" s="392">
        <f>IF(OR(AT322="",AT323=""),"",AT323-AT322)</f>
        <v/>
      </c>
      <c r="AU324" s="392">
        <f>IF(OR(AU322="",AU323=""),"",AU323-AU322)</f>
        <v/>
      </c>
      <c r="AV324" s="392">
        <f>IF(OR(AV322="",AV323=""),"",AV323-AV322)</f>
        <v/>
      </c>
      <c r="AW324" s="392">
        <f>IF(OR(AW322="",AW323=""),"",AW323-AW322)</f>
        <v/>
      </c>
      <c r="AX324" s="392">
        <f>IF(OR(AX322="",AX323=""),"",AX323-AX322)</f>
        <v/>
      </c>
      <c r="AY324" s="392">
        <f>IF(OR(AY322="",AY323=""),"",AY323-AY322)</f>
        <v/>
      </c>
      <c r="AZ324" s="392">
        <f>IF(OR(AZ322="",AZ323=""),"",AZ323-AZ322)</f>
        <v/>
      </c>
      <c r="BA324" s="392">
        <f>IF(OR(BA322="",BA323=""),"",BA323-BA322)</f>
        <v/>
      </c>
      <c r="BB324" s="392">
        <f>IF(OR(BB322="",BB323=""),"",BB323-BB322)</f>
        <v/>
      </c>
      <c r="BC324" s="392">
        <f>IF(OR(BC322="",BC323=""),"",BC323-BC322)</f>
        <v/>
      </c>
      <c r="BD324" s="392">
        <f>IF(OR(BD322="",BD323=""),"",BD323-BD322)</f>
        <v/>
      </c>
      <c r="BE324" s="392">
        <f>IF(OR(BE322="",BE323=""),"",BE323-BE322)</f>
        <v/>
      </c>
      <c r="BF324" s="392">
        <f>IF(OR(BF322="",BF323=""),"",BF323-BF322)</f>
        <v/>
      </c>
      <c r="BG324" s="392">
        <f>IF(OR(BG322="",BG323=""),"",BG323-BG322)</f>
        <v/>
      </c>
      <c r="BH324" s="392">
        <f>IF(OR(BH322="",BH323=""),"",BH323-BH322)</f>
        <v/>
      </c>
      <c r="BI324" s="392">
        <f>IF(OR(BI322="",BI323=""),"",BI323-BI322)</f>
        <v/>
      </c>
      <c r="BJ324" s="392">
        <f>IF(OR(BJ322="",BJ323=""),"",BJ323-BJ322)</f>
        <v/>
      </c>
      <c r="BK324" s="392">
        <f>IF(OR(BK322="",BK323=""),"",BK323-BK322)</f>
        <v/>
      </c>
      <c r="BL324" s="392">
        <f>IF(OR(BL322="",BL323=""),"",BL323-BL322)</f>
        <v/>
      </c>
      <c r="BM324" s="392">
        <f>IF(OR(BM322="",BM323=""),"",BM323-BM322)</f>
        <v/>
      </c>
      <c r="BN324" s="392">
        <f>IF(OR(BN322="",BN323=""),"",BN323-BN322)</f>
        <v/>
      </c>
      <c r="BO324" s="392">
        <f>IF(OR(BO322="",BO323=""),"",BO323-BO322)</f>
        <v/>
      </c>
      <c r="BP324" s="392">
        <f>IF(OR(BP322="",BP323=""),"",BP323-BP322)</f>
        <v/>
      </c>
      <c r="BQ324" s="392">
        <f>IF(OR(BQ322="",BQ323=""),"",BQ323-BQ322)</f>
        <v/>
      </c>
      <c r="BR324" s="392">
        <f>IF(OR(BR322="",BR323=""),"",BR323-BR322)</f>
        <v/>
      </c>
      <c r="BS324" s="392">
        <f>IF(OR(BS322="",BS323=""),"",BS323-BS322)</f>
        <v/>
      </c>
      <c r="BT324" s="392">
        <f>IF(OR(BT322="",BT323=""),"",BT323-BT322)</f>
        <v/>
      </c>
      <c r="BU324" s="392">
        <f>IF(OR(BU322="",BU323=""),"",BU323-BU322)</f>
        <v/>
      </c>
      <c r="BV324" s="392">
        <f>IF(OR(BV322="",BV323=""),"",BV323-BV322)</f>
        <v/>
      </c>
      <c r="BW324" s="392">
        <f>IF(OR(BW322="",BW323=""),"",BW323-BW322)</f>
        <v/>
      </c>
      <c r="BX324" s="392">
        <f>IF(OR(BX322="",BX323=""),"",BX323-BX322)</f>
        <v/>
      </c>
      <c r="BY324" s="392">
        <f>IF(OR(BY322="",BY323=""),"",BY323-BY322)</f>
        <v/>
      </c>
      <c r="BZ324" s="392">
        <f>IF(OR(BZ322="",BZ323=""),"",BZ323-BZ322)</f>
        <v/>
      </c>
      <c r="CA324" s="392">
        <f>IF(OR(CA322="",CA323=""),"",CA323-CA322)</f>
        <v/>
      </c>
      <c r="CB324" s="392">
        <f>IF(OR(CB322="",CB323=""),"",CB323-CB322)</f>
        <v/>
      </c>
      <c r="CC324" s="392">
        <f>IF(OR(CC322="",CC323=""),"",CC323-CC322)</f>
        <v/>
      </c>
      <c r="CD324" s="392">
        <f>IF(OR(CD322="",CD323=""),"",CD323-CD322)</f>
        <v/>
      </c>
      <c r="CE324" s="392">
        <f>IF(OR(CE322="",CE323=""),"",CE323-CE322)</f>
        <v/>
      </c>
      <c r="CF324" s="392">
        <f>IF(OR(CF322="",CF323=""),"",CF323-CF322)</f>
        <v/>
      </c>
      <c r="CG324" s="392">
        <f>IF(OR(CG322="",CG323=""),"",CG323-CG322)</f>
        <v/>
      </c>
      <c r="CH324" s="392">
        <f>IF(OR(CH322="",CH323=""),"",CH323-CH322)</f>
        <v/>
      </c>
      <c r="CI324" s="392">
        <f>IF(OR(CI322="",CI323=""),"",CI323-CI322)</f>
        <v/>
      </c>
      <c r="CJ324" s="392">
        <f>IF(OR(CJ322="",CJ323=""),"",CJ323-CJ322)</f>
        <v/>
      </c>
      <c r="CK324" s="392">
        <f>IF(OR(CK322="",CK323=""),"",CK323-CK322)</f>
        <v/>
      </c>
      <c r="CL324" s="392">
        <f>IF(OR(CL322="",CL323=""),"",CL323-CL322)</f>
        <v/>
      </c>
      <c r="CM324" s="392">
        <f>IF(OR(CM322="",CM323=""),"",CM323-CM322)</f>
        <v/>
      </c>
      <c r="CN324" s="392">
        <f>IF(OR(CN322="",CN323=""),"",CN323-CN322)</f>
        <v/>
      </c>
      <c r="CO324" s="392">
        <f>IF(OR(CO322="",CO323=""),"",CO323-CO322)</f>
        <v/>
      </c>
      <c r="CP324" s="392">
        <f>IF(OR(CP322="",CP323=""),"",CP323-CP322)</f>
        <v/>
      </c>
      <c r="CQ324" s="392">
        <f>IF(OR(CQ322="",CQ323=""),"",CQ323-CQ322)</f>
        <v/>
      </c>
      <c r="CR324" s="392">
        <f>IF(OR(CR322="",CR323=""),"",CR323-CR322)</f>
        <v/>
      </c>
      <c r="CS324" s="392">
        <f>IF(OR(CS322="",CS323=""),"",CS323-CS322)</f>
        <v/>
      </c>
      <c r="CT324" s="392">
        <f>IF(OR(CT322="",CT323=""),"",CT323-CT322)</f>
        <v/>
      </c>
      <c r="CU324" s="392">
        <f>IF(OR(CU322="",CU323=""),"",CU323-CU322)</f>
        <v/>
      </c>
      <c r="CV324" s="392">
        <f>IF(OR(CV322="",CV323=""),"",CV323-CV322)</f>
        <v/>
      </c>
      <c r="CW324" s="392">
        <f>IF(OR(CW322="",CW323=""),"",CW323-CW322)</f>
        <v/>
      </c>
      <c r="CX324" s="392">
        <f>IF(OR(CX322="",CX323=""),"",CX323-CX322)</f>
        <v/>
      </c>
      <c r="CY324" s="392">
        <f>IF(OR(CY322="",CY323=""),"",CY323-CY322)</f>
        <v/>
      </c>
      <c r="CZ324" s="392">
        <f>IF(OR(CZ322="",CZ323=""),"",CZ323-CZ322)</f>
        <v/>
      </c>
      <c r="DA324" s="392">
        <f>IF(OR(DA322="",DA323=""),"",DA323-DA322)</f>
        <v/>
      </c>
      <c r="DB324" s="392">
        <f>IF(OR(DB322="",DB323=""),"",DB323-DB322)</f>
        <v/>
      </c>
      <c r="DC324" s="392">
        <f>IF(OR(DC322="",DC323=""),"",DC323-DC322)</f>
        <v/>
      </c>
      <c r="DD324" s="392">
        <f>IF(OR(DD322="",DD323=""),"",DD323-DD322)</f>
        <v/>
      </c>
      <c r="DE324" s="392">
        <f>IF(OR(DE322="",DE323=""),"",DE323-DE322)</f>
        <v/>
      </c>
    </row>
    <row r="325" ht="15" customHeight="1" s="410">
      <c r="A325" s="397" t="inlineStr">
        <is>
          <t>Tie check</t>
        </is>
      </c>
      <c r="B325" s="401">
        <f>IF(B324="","",IF(ABS(B324)&lt;1,"OK","CHECK"))</f>
        <v/>
      </c>
      <c r="C325" s="401">
        <f>IF(C324="","",IF(ABS(C324)&lt;1,"OK","CHECK"))</f>
        <v/>
      </c>
      <c r="D325" s="401">
        <f>IF(D324="","",IF(ABS(D324)&lt;1,"OK","CHECK"))</f>
        <v/>
      </c>
      <c r="E325" s="401">
        <f>IF(E324="","",IF(ABS(E324)&lt;1,"OK","CHECK"))</f>
        <v/>
      </c>
      <c r="F325" s="401">
        <f>IF(F324="","",IF(ABS(F324)&lt;1,"OK","CHECK"))</f>
        <v/>
      </c>
      <c r="G325" s="401">
        <f>IF(G324="","",IF(ABS(G324)&lt;1,"OK","CHECK"))</f>
        <v/>
      </c>
      <c r="H325" s="401">
        <f>IF(H324="","",IF(ABS(H324)&lt;1,"OK","CHECK"))</f>
        <v/>
      </c>
      <c r="I325" s="401">
        <f>IF(I324="","",IF(ABS(I324)&lt;1,"OK","CHECK"))</f>
        <v/>
      </c>
      <c r="J325" s="401">
        <f>IF(J324="","",IF(ABS(J324)&lt;1,"OK","CHECK"))</f>
        <v/>
      </c>
      <c r="K325" s="401">
        <f>IF(K324="","",IF(ABS(K324)&lt;1,"OK","CHECK"))</f>
        <v/>
      </c>
      <c r="L325" s="401">
        <f>IF(L324="","",IF(ABS(L324)&lt;1,"OK","CHECK"))</f>
        <v/>
      </c>
      <c r="M325" s="401">
        <f>IF(M324="","",IF(ABS(M324)&lt;1,"OK","CHECK"))</f>
        <v/>
      </c>
      <c r="N325" s="401">
        <f>IF(N324="","",IF(ABS(N324)&lt;1,"OK","CHECK"))</f>
        <v/>
      </c>
      <c r="O325" s="401">
        <f>IF(O324="","",IF(ABS(O324)&lt;1,"OK","CHECK"))</f>
        <v/>
      </c>
      <c r="P325" s="401">
        <f>IF(P324="","",IF(ABS(P324)&lt;1,"OK","CHECK"))</f>
        <v/>
      </c>
      <c r="Q325" s="401">
        <f>IF(Q324="","",IF(ABS(Q324)&lt;1,"OK","CHECK"))</f>
        <v/>
      </c>
      <c r="R325" s="401">
        <f>IF(R324="","",IF(ABS(R324)&lt;1,"OK","CHECK"))</f>
        <v/>
      </c>
      <c r="S325" s="401">
        <f>IF(S324="","",IF(ABS(S324)&lt;1,"OK","CHECK"))</f>
        <v/>
      </c>
      <c r="T325" s="401">
        <f>IF(T324="","",IF(ABS(T324)&lt;1,"OK","CHECK"))</f>
        <v/>
      </c>
      <c r="U325" s="401">
        <f>IF(U324="","",IF(ABS(U324)&lt;1,"OK","CHECK"))</f>
        <v/>
      </c>
      <c r="V325" s="401">
        <f>IF(V324="","",IF(ABS(V324)&lt;1,"OK","CHECK"))</f>
        <v/>
      </c>
      <c r="W325" s="401">
        <f>IF(W324="","",IF(ABS(W324)&lt;1,"OK","CHECK"))</f>
        <v/>
      </c>
      <c r="X325" s="401">
        <f>IF(X324="","",IF(ABS(X324)&lt;1,"OK","CHECK"))</f>
        <v/>
      </c>
      <c r="Y325" s="401">
        <f>IF(Y324="","",IF(ABS(Y324)&lt;1,"OK","CHECK"))</f>
        <v/>
      </c>
      <c r="Z325" s="401">
        <f>IF(Z324="","",IF(ABS(Z324)&lt;1,"OK","CHECK"))</f>
        <v/>
      </c>
      <c r="AA325" s="401">
        <f>IF(AA324="","",IF(ABS(AA324)&lt;1,"OK","CHECK"))</f>
        <v/>
      </c>
      <c r="AB325" s="401">
        <f>IF(AB324="","",IF(ABS(AB324)&lt;1,"OK","CHECK"))</f>
        <v/>
      </c>
      <c r="AC325" s="401">
        <f>IF(AC324="","",IF(ABS(AC324)&lt;1,"OK","CHECK"))</f>
        <v/>
      </c>
      <c r="AD325" s="401">
        <f>IF(AD324="","",IF(ABS(AD324)&lt;1,"OK","CHECK"))</f>
        <v/>
      </c>
      <c r="AE325" s="401">
        <f>IF(AE324="","",IF(ABS(AE324)&lt;1,"OK","CHECK"))</f>
        <v/>
      </c>
      <c r="AF325" s="401">
        <f>IF(AF324="","",IF(ABS(AF324)&lt;1,"OK","CHECK"))</f>
        <v/>
      </c>
      <c r="AG325" s="401">
        <f>IF(AG324="","",IF(ABS(AG324)&lt;1,"OK","CHECK"))</f>
        <v/>
      </c>
      <c r="AH325" s="401">
        <f>IF(AH324="","",IF(ABS(AH324)&lt;1,"OK","CHECK"))</f>
        <v/>
      </c>
      <c r="AI325" s="401">
        <f>IF(AI324="","",IF(ABS(AI324)&lt;1,"OK","CHECK"))</f>
        <v/>
      </c>
      <c r="AJ325" s="401">
        <f>IF(AJ324="","",IF(ABS(AJ324)&lt;1,"OK","CHECK"))</f>
        <v/>
      </c>
      <c r="AK325" s="401">
        <f>IF(AK324="","",IF(ABS(AK324)&lt;1,"OK","CHECK"))</f>
        <v/>
      </c>
      <c r="AL325" s="401">
        <f>IF(AL324="","",IF(ABS(AL324)&lt;1,"OK","CHECK"))</f>
        <v/>
      </c>
      <c r="AM325" s="401">
        <f>IF(AM324="","",IF(ABS(AM324)&lt;1,"OK","CHECK"))</f>
        <v/>
      </c>
      <c r="AN325" s="401">
        <f>IF(AN324="","",IF(ABS(AN324)&lt;1,"OK","CHECK"))</f>
        <v/>
      </c>
      <c r="AO325" s="401">
        <f>IF(AO324="","",IF(ABS(AO324)&lt;1,"OK","CHECK"))</f>
        <v/>
      </c>
      <c r="AP325" s="401">
        <f>IF(AP324="","",IF(ABS(AP324)&lt;1,"OK","CHECK"))</f>
        <v/>
      </c>
      <c r="AQ325" s="401">
        <f>IF(AQ324="","",IF(ABS(AQ324)&lt;1,"OK","CHECK"))</f>
        <v/>
      </c>
      <c r="AR325" s="401">
        <f>IF(AR324="","",IF(ABS(AR324)&lt;1,"OK","CHECK"))</f>
        <v/>
      </c>
      <c r="AS325" s="401">
        <f>IF(AS324="","",IF(ABS(AS324)&lt;1,"OK","CHECK"))</f>
        <v/>
      </c>
      <c r="AT325" s="401">
        <f>IF(AT324="","",IF(ABS(AT324)&lt;1,"OK","CHECK"))</f>
        <v/>
      </c>
      <c r="AU325" s="401">
        <f>IF(AU324="","",IF(ABS(AU324)&lt;1,"OK","CHECK"))</f>
        <v/>
      </c>
      <c r="AV325" s="401">
        <f>IF(AV324="","",IF(ABS(AV324)&lt;1,"OK","CHECK"))</f>
        <v/>
      </c>
      <c r="AW325" s="401">
        <f>IF(AW324="","",IF(ABS(AW324)&lt;1,"OK","CHECK"))</f>
        <v/>
      </c>
      <c r="AX325" s="401">
        <f>IF(AX324="","",IF(ABS(AX324)&lt;1,"OK","CHECK"))</f>
        <v/>
      </c>
      <c r="AY325" s="401">
        <f>IF(AY324="","",IF(ABS(AY324)&lt;1,"OK","CHECK"))</f>
        <v/>
      </c>
      <c r="AZ325" s="401">
        <f>IF(AZ324="","",IF(ABS(AZ324)&lt;1,"OK","CHECK"))</f>
        <v/>
      </c>
      <c r="BA325" s="401">
        <f>IF(BA324="","",IF(ABS(BA324)&lt;1,"OK","CHECK"))</f>
        <v/>
      </c>
      <c r="BB325" s="401">
        <f>IF(BB324="","",IF(ABS(BB324)&lt;1,"OK","CHECK"))</f>
        <v/>
      </c>
      <c r="BC325" s="401">
        <f>IF(BC324="","",IF(ABS(BC324)&lt;1,"OK","CHECK"))</f>
        <v/>
      </c>
      <c r="BD325" s="401">
        <f>IF(BD324="","",IF(ABS(BD324)&lt;1,"OK","CHECK"))</f>
        <v/>
      </c>
      <c r="BE325" s="401">
        <f>IF(BE324="","",IF(ABS(BE324)&lt;1,"OK","CHECK"))</f>
        <v/>
      </c>
      <c r="BF325" s="401">
        <f>IF(BF324="","",IF(ABS(BF324)&lt;1,"OK","CHECK"))</f>
        <v/>
      </c>
      <c r="BG325" s="401">
        <f>IF(BG324="","",IF(ABS(BG324)&lt;1,"OK","CHECK"))</f>
        <v/>
      </c>
      <c r="BH325" s="401">
        <f>IF(BH324="","",IF(ABS(BH324)&lt;1,"OK","CHECK"))</f>
        <v/>
      </c>
      <c r="BI325" s="401">
        <f>IF(BI324="","",IF(ABS(BI324)&lt;1,"OK","CHECK"))</f>
        <v/>
      </c>
      <c r="BJ325" s="401">
        <f>IF(BJ324="","",IF(ABS(BJ324)&lt;1,"OK","CHECK"))</f>
        <v/>
      </c>
      <c r="BK325" s="401">
        <f>IF(BK324="","",IF(ABS(BK324)&lt;1,"OK","CHECK"))</f>
        <v/>
      </c>
      <c r="BL325" s="401">
        <f>IF(BL324="","",IF(ABS(BL324)&lt;1,"OK","CHECK"))</f>
        <v/>
      </c>
      <c r="BM325" s="401">
        <f>IF(BM324="","",IF(ABS(BM324)&lt;1,"OK","CHECK"))</f>
        <v/>
      </c>
      <c r="BN325" s="401">
        <f>IF(BN324="","",IF(ABS(BN324)&lt;1,"OK","CHECK"))</f>
        <v/>
      </c>
      <c r="BO325" s="401">
        <f>IF(BO324="","",IF(ABS(BO324)&lt;1,"OK","CHECK"))</f>
        <v/>
      </c>
      <c r="BP325" s="401">
        <f>IF(BP324="","",IF(ABS(BP324)&lt;1,"OK","CHECK"))</f>
        <v/>
      </c>
      <c r="BQ325" s="401">
        <f>IF(BQ324="","",IF(ABS(BQ324)&lt;1,"OK","CHECK"))</f>
        <v/>
      </c>
      <c r="BR325" s="401">
        <f>IF(BR324="","",IF(ABS(BR324)&lt;1,"OK","CHECK"))</f>
        <v/>
      </c>
      <c r="BS325" s="401">
        <f>IF(BS324="","",IF(ABS(BS324)&lt;1,"OK","CHECK"))</f>
        <v/>
      </c>
      <c r="BT325" s="401">
        <f>IF(BT324="","",IF(ABS(BT324)&lt;1,"OK","CHECK"))</f>
        <v/>
      </c>
      <c r="BU325" s="401">
        <f>IF(BU324="","",IF(ABS(BU324)&lt;1,"OK","CHECK"))</f>
        <v/>
      </c>
      <c r="BV325" s="401">
        <f>IF(BV324="","",IF(ABS(BV324)&lt;1,"OK","CHECK"))</f>
        <v/>
      </c>
      <c r="BW325" s="401">
        <f>IF(BW324="","",IF(ABS(BW324)&lt;1,"OK","CHECK"))</f>
        <v/>
      </c>
      <c r="BX325" s="401">
        <f>IF(BX324="","",IF(ABS(BX324)&lt;1,"OK","CHECK"))</f>
        <v/>
      </c>
      <c r="BY325" s="401">
        <f>IF(BY324="","",IF(ABS(BY324)&lt;1,"OK","CHECK"))</f>
        <v/>
      </c>
      <c r="BZ325" s="401">
        <f>IF(BZ324="","",IF(ABS(BZ324)&lt;1,"OK","CHECK"))</f>
        <v/>
      </c>
      <c r="CA325" s="401">
        <f>IF(CA324="","",IF(ABS(CA324)&lt;1,"OK","CHECK"))</f>
        <v/>
      </c>
      <c r="CB325" s="401">
        <f>IF(CB324="","",IF(ABS(CB324)&lt;1,"OK","CHECK"))</f>
        <v/>
      </c>
      <c r="CC325" s="401">
        <f>IF(CC324="","",IF(ABS(CC324)&lt;1,"OK","CHECK"))</f>
        <v/>
      </c>
      <c r="CD325" s="401">
        <f>IF(CD324="","",IF(ABS(CD324)&lt;1,"OK","CHECK"))</f>
        <v/>
      </c>
      <c r="CE325" s="401">
        <f>IF(CE324="","",IF(ABS(CE324)&lt;1,"OK","CHECK"))</f>
        <v/>
      </c>
      <c r="CF325" s="401">
        <f>IF(CF324="","",IF(ABS(CF324)&lt;1,"OK","CHECK"))</f>
        <v/>
      </c>
      <c r="CG325" s="401">
        <f>IF(CG324="","",IF(ABS(CG324)&lt;1,"OK","CHECK"))</f>
        <v/>
      </c>
      <c r="CH325" s="401">
        <f>IF(CH324="","",IF(ABS(CH324)&lt;1,"OK","CHECK"))</f>
        <v/>
      </c>
      <c r="CI325" s="401">
        <f>IF(CI324="","",IF(ABS(CI324)&lt;1,"OK","CHECK"))</f>
        <v/>
      </c>
      <c r="CJ325" s="401">
        <f>IF(CJ324="","",IF(ABS(CJ324)&lt;1,"OK","CHECK"))</f>
        <v/>
      </c>
      <c r="CK325" s="401">
        <f>IF(CK324="","",IF(ABS(CK324)&lt;1,"OK","CHECK"))</f>
        <v/>
      </c>
      <c r="CL325" s="401">
        <f>IF(CL324="","",IF(ABS(CL324)&lt;1,"OK","CHECK"))</f>
        <v/>
      </c>
      <c r="CM325" s="401">
        <f>IF(CM324="","",IF(ABS(CM324)&lt;1,"OK","CHECK"))</f>
        <v/>
      </c>
      <c r="CN325" s="401">
        <f>IF(CN324="","",IF(ABS(CN324)&lt;1,"OK","CHECK"))</f>
        <v/>
      </c>
      <c r="CO325" s="401">
        <f>IF(CO324="","",IF(ABS(CO324)&lt;1,"OK","CHECK"))</f>
        <v/>
      </c>
      <c r="CP325" s="401">
        <f>IF(CP324="","",IF(ABS(CP324)&lt;1,"OK","CHECK"))</f>
        <v/>
      </c>
      <c r="CQ325" s="401">
        <f>IF(CQ324="","",IF(ABS(CQ324)&lt;1,"OK","CHECK"))</f>
        <v/>
      </c>
      <c r="CR325" s="401">
        <f>IF(CR324="","",IF(ABS(CR324)&lt;1,"OK","CHECK"))</f>
        <v/>
      </c>
      <c r="CS325" s="401">
        <f>IF(CS324="","",IF(ABS(CS324)&lt;1,"OK","CHECK"))</f>
        <v/>
      </c>
      <c r="CT325" s="401">
        <f>IF(CT324="","",IF(ABS(CT324)&lt;1,"OK","CHECK"))</f>
        <v/>
      </c>
      <c r="CU325" s="401">
        <f>IF(CU324="","",IF(ABS(CU324)&lt;1,"OK","CHECK"))</f>
        <v/>
      </c>
      <c r="CV325" s="401">
        <f>IF(CV324="","",IF(ABS(CV324)&lt;1,"OK","CHECK"))</f>
        <v/>
      </c>
      <c r="CW325" s="401">
        <f>IF(CW324="","",IF(ABS(CW324)&lt;1,"OK","CHECK"))</f>
        <v/>
      </c>
      <c r="CX325" s="401">
        <f>IF(CX324="","",IF(ABS(CX324)&lt;1,"OK","CHECK"))</f>
        <v/>
      </c>
      <c r="CY325" s="401">
        <f>IF(CY324="","",IF(ABS(CY324)&lt;1,"OK","CHECK"))</f>
        <v/>
      </c>
      <c r="CZ325" s="401">
        <f>IF(CZ324="","",IF(ABS(CZ324)&lt;1,"OK","CHECK"))</f>
        <v/>
      </c>
      <c r="DA325" s="401">
        <f>IF(DA324="","",IF(ABS(DA324)&lt;1,"OK","CHECK"))</f>
        <v/>
      </c>
      <c r="DB325" s="401">
        <f>IF(DB324="","",IF(ABS(DB324)&lt;1,"OK","CHECK"))</f>
        <v/>
      </c>
      <c r="DC325" s="401">
        <f>IF(DC324="","",IF(ABS(DC324)&lt;1,"OK","CHECK"))</f>
        <v/>
      </c>
      <c r="DD325" s="401">
        <f>IF(DD324="","",IF(ABS(DD324)&lt;1,"OK","CHECK"))</f>
        <v/>
      </c>
      <c r="DE325" s="401">
        <f>IF(DE324="","",IF(ABS(DE324)&lt;1,"OK","CHECK"))</f>
        <v/>
      </c>
    </row>
    <row r="326" ht="15" customHeight="1" s="410">
      <c r="A326" s="397" t="inlineStr">
        <is>
          <t>Prior pack: model ending cash projected for this month-end (hardcode at each close)</t>
        </is>
      </c>
      <c r="B326" s="392" t="n"/>
      <c r="C326" s="392" t="n"/>
      <c r="D326" s="392" t="n"/>
      <c r="E326" s="392" t="n"/>
      <c r="F326" s="392" t="n"/>
      <c r="G326" s="392" t="n"/>
      <c r="H326" s="453" t="n">
        <v>133317</v>
      </c>
      <c r="I326" s="453" t="n">
        <v>-22279</v>
      </c>
      <c r="J326" s="392" t="n"/>
      <c r="K326" s="392" t="n"/>
      <c r="L326" s="392" t="n"/>
      <c r="M326" s="392" t="n"/>
      <c r="N326" s="392" t="n"/>
      <c r="O326" s="392" t="n"/>
      <c r="P326" s="392" t="n"/>
      <c r="Q326" s="392" t="n"/>
      <c r="R326" s="392" t="n"/>
      <c r="S326" s="392" t="n"/>
      <c r="T326" s="392" t="n"/>
      <c r="U326" s="392" t="n"/>
      <c r="V326" s="392" t="n"/>
      <c r="W326" s="392" t="n"/>
      <c r="X326" s="392" t="n"/>
      <c r="Y326" s="392" t="n"/>
      <c r="Z326" s="392" t="n"/>
      <c r="AA326" s="392" t="n"/>
      <c r="AB326" s="392" t="n"/>
      <c r="AC326" s="392" t="n"/>
      <c r="AD326" s="392" t="n"/>
      <c r="AE326" s="392" t="n"/>
      <c r="AF326" s="392" t="n"/>
      <c r="AG326" s="392" t="n"/>
      <c r="AH326" s="392" t="n"/>
      <c r="AI326" s="392" t="n"/>
      <c r="AJ326" s="392" t="n"/>
      <c r="AK326" s="392" t="n"/>
      <c r="AL326" s="392" t="n"/>
      <c r="AM326" s="392" t="n"/>
      <c r="AN326" s="392" t="n"/>
      <c r="AO326" s="392" t="n"/>
      <c r="AP326" s="392" t="n"/>
      <c r="AQ326" s="392" t="n"/>
      <c r="AR326" s="392" t="n"/>
      <c r="AS326" s="392" t="n"/>
      <c r="AT326" s="392" t="n"/>
      <c r="AU326" s="392" t="n"/>
      <c r="AV326" s="392" t="n"/>
      <c r="AW326" s="392" t="n"/>
      <c r="AX326" s="392" t="n"/>
      <c r="AY326" s="392" t="n"/>
      <c r="AZ326" s="392" t="n"/>
      <c r="BA326" s="392" t="n"/>
      <c r="BB326" s="392" t="n"/>
      <c r="BC326" s="392" t="n"/>
      <c r="BD326" s="392" t="n"/>
      <c r="BE326" s="392" t="n"/>
      <c r="BF326" s="392" t="n"/>
      <c r="BG326" s="392" t="n"/>
      <c r="BH326" s="392" t="n"/>
      <c r="BI326" s="392" t="n"/>
      <c r="BJ326" s="392" t="n"/>
      <c r="BK326" s="392" t="n"/>
      <c r="BL326" s="392" t="n"/>
      <c r="BM326" s="392" t="n"/>
      <c r="BN326" s="392" t="n"/>
      <c r="BO326" s="392" t="n"/>
      <c r="BP326" s="392" t="n"/>
      <c r="BQ326" s="392" t="n"/>
      <c r="BR326" s="392" t="n"/>
      <c r="BS326" s="392" t="n"/>
      <c r="BT326" s="392" t="n"/>
      <c r="BU326" s="392" t="n"/>
      <c r="BV326" s="392" t="n"/>
      <c r="BW326" s="392" t="n"/>
      <c r="BX326" s="392" t="n"/>
      <c r="BY326" s="392" t="n"/>
      <c r="BZ326" s="392" t="n"/>
      <c r="CA326" s="392" t="n"/>
      <c r="CB326" s="392" t="n"/>
      <c r="CC326" s="392" t="n"/>
      <c r="CD326" s="392" t="n"/>
      <c r="CE326" s="392" t="n"/>
      <c r="CF326" s="392" t="n"/>
      <c r="CG326" s="392" t="n"/>
      <c r="CH326" s="392" t="n"/>
      <c r="CI326" s="392" t="n"/>
      <c r="CJ326" s="392" t="n"/>
      <c r="CK326" s="392" t="n"/>
      <c r="CL326" s="392" t="n"/>
      <c r="CM326" s="392" t="n"/>
      <c r="CN326" s="392" t="n"/>
      <c r="CO326" s="392" t="n"/>
      <c r="CP326" s="392" t="n"/>
      <c r="CQ326" s="392" t="n"/>
      <c r="CR326" s="392" t="n"/>
      <c r="CS326" s="392" t="n"/>
      <c r="CT326" s="392" t="n"/>
      <c r="CU326" s="392" t="n"/>
      <c r="CV326" s="392" t="n"/>
      <c r="CW326" s="392" t="n"/>
      <c r="CX326" s="392" t="n"/>
      <c r="CY326" s="392" t="n"/>
      <c r="CZ326" s="392" t="n"/>
      <c r="DA326" s="392" t="n"/>
      <c r="DB326" s="392" t="n"/>
      <c r="DC326" s="392" t="n"/>
      <c r="DD326" s="392" t="n"/>
      <c r="DE326" s="392" t="n"/>
    </row>
    <row r="327" ht="15" customHeight="1" s="410">
      <c r="A327" s="397" t="inlineStr">
        <is>
          <t>Forecast variance — prior pack less actual</t>
        </is>
      </c>
      <c r="B327" s="392">
        <f>IF(OR(B322="",B326=""),"",B326-B322)</f>
        <v/>
      </c>
      <c r="C327" s="392">
        <f>IF(OR(C322="",C326=""),"",C326-C322)</f>
        <v/>
      </c>
      <c r="D327" s="392">
        <f>IF(OR(D322="",D326=""),"",D326-D322)</f>
        <v/>
      </c>
      <c r="E327" s="392">
        <f>IF(OR(E322="",E326=""),"",E326-E322)</f>
        <v/>
      </c>
      <c r="F327" s="392">
        <f>IF(OR(F322="",F326=""),"",F326-F322)</f>
        <v/>
      </c>
      <c r="G327" s="392">
        <f>IF(OR(G322="",G326=""),"",G326-G322)</f>
        <v/>
      </c>
      <c r="H327" s="392">
        <f>IF(OR(H322="",H326=""),"",H326-H322)</f>
        <v/>
      </c>
      <c r="I327" s="392">
        <f>IF(OR(I322="",I326=""),"",I326-I322)</f>
        <v/>
      </c>
      <c r="J327" s="392">
        <f>IF(OR(J322="",J326=""),"",J326-J322)</f>
        <v/>
      </c>
      <c r="K327" s="392">
        <f>IF(OR(K322="",K326=""),"",K326-K322)</f>
        <v/>
      </c>
      <c r="L327" s="392">
        <f>IF(OR(L322="",L326=""),"",L326-L322)</f>
        <v/>
      </c>
      <c r="M327" s="392">
        <f>IF(OR(M322="",M326=""),"",M326-M322)</f>
        <v/>
      </c>
      <c r="N327" s="392">
        <f>IF(OR(N322="",N326=""),"",N326-N322)</f>
        <v/>
      </c>
      <c r="O327" s="392">
        <f>IF(OR(O322="",O326=""),"",O326-O322)</f>
        <v/>
      </c>
      <c r="P327" s="392">
        <f>IF(OR(P322="",P326=""),"",P326-P322)</f>
        <v/>
      </c>
      <c r="Q327" s="392">
        <f>IF(OR(Q322="",Q326=""),"",Q326-Q322)</f>
        <v/>
      </c>
      <c r="R327" s="392">
        <f>IF(OR(R322="",R326=""),"",R326-R322)</f>
        <v/>
      </c>
      <c r="S327" s="392">
        <f>IF(OR(S322="",S326=""),"",S326-S322)</f>
        <v/>
      </c>
      <c r="T327" s="392">
        <f>IF(OR(T322="",T326=""),"",T326-T322)</f>
        <v/>
      </c>
      <c r="U327" s="392">
        <f>IF(OR(U322="",U326=""),"",U326-U322)</f>
        <v/>
      </c>
      <c r="V327" s="392">
        <f>IF(OR(V322="",V326=""),"",V326-V322)</f>
        <v/>
      </c>
      <c r="W327" s="392">
        <f>IF(OR(W322="",W326=""),"",W326-W322)</f>
        <v/>
      </c>
      <c r="X327" s="392">
        <f>IF(OR(X322="",X326=""),"",X326-X322)</f>
        <v/>
      </c>
      <c r="Y327" s="392">
        <f>IF(OR(Y322="",Y326=""),"",Y326-Y322)</f>
        <v/>
      </c>
      <c r="Z327" s="392">
        <f>IF(OR(Z322="",Z326=""),"",Z326-Z322)</f>
        <v/>
      </c>
      <c r="AA327" s="392">
        <f>IF(OR(AA322="",AA326=""),"",AA326-AA322)</f>
        <v/>
      </c>
      <c r="AB327" s="392">
        <f>IF(OR(AB322="",AB326=""),"",AB326-AB322)</f>
        <v/>
      </c>
      <c r="AC327" s="392">
        <f>IF(OR(AC322="",AC326=""),"",AC326-AC322)</f>
        <v/>
      </c>
      <c r="AD327" s="392">
        <f>IF(OR(AD322="",AD326=""),"",AD326-AD322)</f>
        <v/>
      </c>
      <c r="AE327" s="392">
        <f>IF(OR(AE322="",AE326=""),"",AE326-AE322)</f>
        <v/>
      </c>
      <c r="AF327" s="392">
        <f>IF(OR(AF322="",AF326=""),"",AF326-AF322)</f>
        <v/>
      </c>
      <c r="AG327" s="392">
        <f>IF(OR(AG322="",AG326=""),"",AG326-AG322)</f>
        <v/>
      </c>
      <c r="AH327" s="392">
        <f>IF(OR(AH322="",AH326=""),"",AH326-AH322)</f>
        <v/>
      </c>
      <c r="AI327" s="392">
        <f>IF(OR(AI322="",AI326=""),"",AI326-AI322)</f>
        <v/>
      </c>
      <c r="AJ327" s="392">
        <f>IF(OR(AJ322="",AJ326=""),"",AJ326-AJ322)</f>
        <v/>
      </c>
      <c r="AK327" s="392">
        <f>IF(OR(AK322="",AK326=""),"",AK326-AK322)</f>
        <v/>
      </c>
      <c r="AL327" s="392">
        <f>IF(OR(AL322="",AL326=""),"",AL326-AL322)</f>
        <v/>
      </c>
      <c r="AM327" s="392">
        <f>IF(OR(AM322="",AM326=""),"",AM326-AM322)</f>
        <v/>
      </c>
      <c r="AN327" s="392">
        <f>IF(OR(AN322="",AN326=""),"",AN326-AN322)</f>
        <v/>
      </c>
      <c r="AO327" s="392">
        <f>IF(OR(AO322="",AO326=""),"",AO326-AO322)</f>
        <v/>
      </c>
      <c r="AP327" s="392">
        <f>IF(OR(AP322="",AP326=""),"",AP326-AP322)</f>
        <v/>
      </c>
      <c r="AQ327" s="392">
        <f>IF(OR(AQ322="",AQ326=""),"",AQ326-AQ322)</f>
        <v/>
      </c>
      <c r="AR327" s="392">
        <f>IF(OR(AR322="",AR326=""),"",AR326-AR322)</f>
        <v/>
      </c>
      <c r="AS327" s="392">
        <f>IF(OR(AS322="",AS326=""),"",AS326-AS322)</f>
        <v/>
      </c>
      <c r="AT327" s="392">
        <f>IF(OR(AT322="",AT326=""),"",AT326-AT322)</f>
        <v/>
      </c>
      <c r="AU327" s="392">
        <f>IF(OR(AU322="",AU326=""),"",AU326-AU322)</f>
        <v/>
      </c>
      <c r="AV327" s="392">
        <f>IF(OR(AV322="",AV326=""),"",AV326-AV322)</f>
        <v/>
      </c>
      <c r="AW327" s="392">
        <f>IF(OR(AW322="",AW326=""),"",AW326-AW322)</f>
        <v/>
      </c>
      <c r="AX327" s="392">
        <f>IF(OR(AX322="",AX326=""),"",AX326-AX322)</f>
        <v/>
      </c>
      <c r="AY327" s="392">
        <f>IF(OR(AY322="",AY326=""),"",AY326-AY322)</f>
        <v/>
      </c>
      <c r="AZ327" s="392">
        <f>IF(OR(AZ322="",AZ326=""),"",AZ326-AZ322)</f>
        <v/>
      </c>
      <c r="BA327" s="392">
        <f>IF(OR(BA322="",BA326=""),"",BA326-BA322)</f>
        <v/>
      </c>
      <c r="BB327" s="392">
        <f>IF(OR(BB322="",BB326=""),"",BB326-BB322)</f>
        <v/>
      </c>
      <c r="BC327" s="392">
        <f>IF(OR(BC322="",BC326=""),"",BC326-BC322)</f>
        <v/>
      </c>
      <c r="BD327" s="392">
        <f>IF(OR(BD322="",BD326=""),"",BD326-BD322)</f>
        <v/>
      </c>
      <c r="BE327" s="392">
        <f>IF(OR(BE322="",BE326=""),"",BE326-BE322)</f>
        <v/>
      </c>
      <c r="BF327" s="392">
        <f>IF(OR(BF322="",BF326=""),"",BF326-BF322)</f>
        <v/>
      </c>
      <c r="BG327" s="392">
        <f>IF(OR(BG322="",BG326=""),"",BG326-BG322)</f>
        <v/>
      </c>
      <c r="BH327" s="392">
        <f>IF(OR(BH322="",BH326=""),"",BH326-BH322)</f>
        <v/>
      </c>
      <c r="BI327" s="392">
        <f>IF(OR(BI322="",BI326=""),"",BI326-BI322)</f>
        <v/>
      </c>
      <c r="BJ327" s="392">
        <f>IF(OR(BJ322="",BJ326=""),"",BJ326-BJ322)</f>
        <v/>
      </c>
      <c r="BK327" s="392">
        <f>IF(OR(BK322="",BK326=""),"",BK326-BK322)</f>
        <v/>
      </c>
      <c r="BL327" s="392">
        <f>IF(OR(BL322="",BL326=""),"",BL326-BL322)</f>
        <v/>
      </c>
      <c r="BM327" s="392">
        <f>IF(OR(BM322="",BM326=""),"",BM326-BM322)</f>
        <v/>
      </c>
      <c r="BN327" s="392">
        <f>IF(OR(BN322="",BN326=""),"",BN326-BN322)</f>
        <v/>
      </c>
      <c r="BO327" s="392">
        <f>IF(OR(BO322="",BO326=""),"",BO326-BO322)</f>
        <v/>
      </c>
      <c r="BP327" s="392">
        <f>IF(OR(BP322="",BP326=""),"",BP326-BP322)</f>
        <v/>
      </c>
      <c r="BQ327" s="392">
        <f>IF(OR(BQ322="",BQ326=""),"",BQ326-BQ322)</f>
        <v/>
      </c>
      <c r="BR327" s="392">
        <f>IF(OR(BR322="",BR326=""),"",BR326-BR322)</f>
        <v/>
      </c>
      <c r="BS327" s="392">
        <f>IF(OR(BS322="",BS326=""),"",BS326-BS322)</f>
        <v/>
      </c>
      <c r="BT327" s="392">
        <f>IF(OR(BT322="",BT326=""),"",BT326-BT322)</f>
        <v/>
      </c>
      <c r="BU327" s="392">
        <f>IF(OR(BU322="",BU326=""),"",BU326-BU322)</f>
        <v/>
      </c>
      <c r="BV327" s="392">
        <f>IF(OR(BV322="",BV326=""),"",BV326-BV322)</f>
        <v/>
      </c>
      <c r="BW327" s="392">
        <f>IF(OR(BW322="",BW326=""),"",BW326-BW322)</f>
        <v/>
      </c>
      <c r="BX327" s="392">
        <f>IF(OR(BX322="",BX326=""),"",BX326-BX322)</f>
        <v/>
      </c>
      <c r="BY327" s="392">
        <f>IF(OR(BY322="",BY326=""),"",BY326-BY322)</f>
        <v/>
      </c>
      <c r="BZ327" s="392">
        <f>IF(OR(BZ322="",BZ326=""),"",BZ326-BZ322)</f>
        <v/>
      </c>
      <c r="CA327" s="392">
        <f>IF(OR(CA322="",CA326=""),"",CA326-CA322)</f>
        <v/>
      </c>
      <c r="CB327" s="392">
        <f>IF(OR(CB322="",CB326=""),"",CB326-CB322)</f>
        <v/>
      </c>
      <c r="CC327" s="392">
        <f>IF(OR(CC322="",CC326=""),"",CC326-CC322)</f>
        <v/>
      </c>
      <c r="CD327" s="392">
        <f>IF(OR(CD322="",CD326=""),"",CD326-CD322)</f>
        <v/>
      </c>
      <c r="CE327" s="392">
        <f>IF(OR(CE322="",CE326=""),"",CE326-CE322)</f>
        <v/>
      </c>
      <c r="CF327" s="392">
        <f>IF(OR(CF322="",CF326=""),"",CF326-CF322)</f>
        <v/>
      </c>
      <c r="CG327" s="392">
        <f>IF(OR(CG322="",CG326=""),"",CG326-CG322)</f>
        <v/>
      </c>
      <c r="CH327" s="392">
        <f>IF(OR(CH322="",CH326=""),"",CH326-CH322)</f>
        <v/>
      </c>
      <c r="CI327" s="392">
        <f>IF(OR(CI322="",CI326=""),"",CI326-CI322)</f>
        <v/>
      </c>
      <c r="CJ327" s="392">
        <f>IF(OR(CJ322="",CJ326=""),"",CJ326-CJ322)</f>
        <v/>
      </c>
      <c r="CK327" s="392">
        <f>IF(OR(CK322="",CK326=""),"",CK326-CK322)</f>
        <v/>
      </c>
      <c r="CL327" s="392">
        <f>IF(OR(CL322="",CL326=""),"",CL326-CL322)</f>
        <v/>
      </c>
      <c r="CM327" s="392">
        <f>IF(OR(CM322="",CM326=""),"",CM326-CM322)</f>
        <v/>
      </c>
      <c r="CN327" s="392">
        <f>IF(OR(CN322="",CN326=""),"",CN326-CN322)</f>
        <v/>
      </c>
      <c r="CO327" s="392">
        <f>IF(OR(CO322="",CO326=""),"",CO326-CO322)</f>
        <v/>
      </c>
      <c r="CP327" s="392">
        <f>IF(OR(CP322="",CP326=""),"",CP326-CP322)</f>
        <v/>
      </c>
      <c r="CQ327" s="392">
        <f>IF(OR(CQ322="",CQ326=""),"",CQ326-CQ322)</f>
        <v/>
      </c>
      <c r="CR327" s="392">
        <f>IF(OR(CR322="",CR326=""),"",CR326-CR322)</f>
        <v/>
      </c>
      <c r="CS327" s="392">
        <f>IF(OR(CS322="",CS326=""),"",CS326-CS322)</f>
        <v/>
      </c>
      <c r="CT327" s="392">
        <f>IF(OR(CT322="",CT326=""),"",CT326-CT322)</f>
        <v/>
      </c>
      <c r="CU327" s="392">
        <f>IF(OR(CU322="",CU326=""),"",CU326-CU322)</f>
        <v/>
      </c>
      <c r="CV327" s="392">
        <f>IF(OR(CV322="",CV326=""),"",CV326-CV322)</f>
        <v/>
      </c>
      <c r="CW327" s="392">
        <f>IF(OR(CW322="",CW326=""),"",CW326-CW322)</f>
        <v/>
      </c>
      <c r="CX327" s="392">
        <f>IF(OR(CX322="",CX326=""),"",CX326-CX322)</f>
        <v/>
      </c>
      <c r="CY327" s="392">
        <f>IF(OR(CY322="",CY326=""),"",CY326-CY322)</f>
        <v/>
      </c>
      <c r="CZ327" s="392">
        <f>IF(OR(CZ322="",CZ326=""),"",CZ326-CZ322)</f>
        <v/>
      </c>
      <c r="DA327" s="392">
        <f>IF(OR(DA322="",DA326=""),"",DA326-DA322)</f>
        <v/>
      </c>
      <c r="DB327" s="392">
        <f>IF(OR(DB322="",DB326=""),"",DB326-DB322)</f>
        <v/>
      </c>
      <c r="DC327" s="392">
        <f>IF(OR(DC322="",DC326=""),"",DC326-DC322)</f>
        <v/>
      </c>
      <c r="DD327" s="392">
        <f>IF(OR(DD322="",DD326=""),"",DD326-DD322)</f>
        <v/>
      </c>
      <c r="DE327" s="392">
        <f>IF(OR(DE322="",DE326=""),"",DE326-DE322)</f>
        <v/>
      </c>
    </row>
    <row r="329" ht="15" customHeight="1" s="410">
      <c r="A329" s="402" t="inlineStr">
        <is>
          <t>D. CONSOLIDATED CASH — MODEL vs ACTUAL</t>
        </is>
      </c>
      <c r="B329" s="414" t="n"/>
      <c r="C329" s="414" t="n"/>
      <c r="D329" s="414" t="n"/>
      <c r="E329" s="414" t="n"/>
      <c r="F329" s="414" t="n"/>
      <c r="G329" s="414" t="n"/>
      <c r="H329" s="414" t="n"/>
      <c r="I329" s="414" t="n"/>
      <c r="J329" s="414" t="n"/>
      <c r="K329" s="414" t="n"/>
      <c r="L329" s="414" t="n"/>
      <c r="M329" s="414" t="n"/>
      <c r="N329" s="414" t="n"/>
      <c r="O329" s="414" t="n"/>
      <c r="P329" s="414" t="n"/>
      <c r="Q329" s="414" t="n"/>
      <c r="R329" s="414" t="n"/>
      <c r="S329" s="414" t="n"/>
      <c r="T329" s="414" t="n"/>
      <c r="U329" s="414" t="n"/>
      <c r="V329" s="414" t="n"/>
      <c r="W329" s="414" t="n"/>
      <c r="X329" s="414" t="n"/>
      <c r="Y329" s="414" t="n"/>
      <c r="Z329" s="414" t="n"/>
      <c r="AA329" s="414" t="n"/>
      <c r="AB329" s="414" t="n"/>
      <c r="AC329" s="414" t="n"/>
      <c r="AD329" s="414" t="n"/>
      <c r="AE329" s="414" t="n"/>
      <c r="AF329" s="414" t="n"/>
      <c r="AG329" s="414" t="n"/>
      <c r="AH329" s="414" t="n"/>
      <c r="AI329" s="414" t="n"/>
      <c r="AJ329" s="414" t="n"/>
      <c r="AK329" s="414" t="n"/>
      <c r="AL329" s="414" t="n"/>
      <c r="AM329" s="414" t="n"/>
      <c r="AN329" s="414" t="n"/>
      <c r="AO329" s="414" t="n"/>
      <c r="AP329" s="414" t="n"/>
      <c r="AQ329" s="414" t="n"/>
      <c r="AR329" s="414" t="n"/>
      <c r="AS329" s="414" t="n"/>
      <c r="AT329" s="414" t="n"/>
      <c r="AU329" s="414" t="n"/>
      <c r="AV329" s="414" t="n"/>
      <c r="AW329" s="414" t="n"/>
      <c r="AX329" s="414" t="n"/>
      <c r="AY329" s="414" t="n"/>
      <c r="AZ329" s="414" t="n"/>
      <c r="BA329" s="414" t="n"/>
      <c r="BB329" s="414" t="n"/>
      <c r="BC329" s="414" t="n"/>
      <c r="BD329" s="414" t="n"/>
      <c r="BE329" s="414" t="n"/>
      <c r="BF329" s="414" t="n"/>
      <c r="BG329" s="414" t="n"/>
      <c r="BH329" s="414" t="n"/>
      <c r="BI329" s="414" t="n"/>
      <c r="BJ329" s="414" t="n"/>
      <c r="BK329" s="414" t="n"/>
      <c r="BL329" s="414" t="n"/>
      <c r="BM329" s="414" t="n"/>
      <c r="BN329" s="414" t="n"/>
      <c r="BO329" s="414" t="n"/>
      <c r="BP329" s="414" t="n"/>
      <c r="BQ329" s="414" t="n"/>
      <c r="BR329" s="414" t="n"/>
      <c r="BS329" s="414" t="n"/>
      <c r="BT329" s="414" t="n"/>
      <c r="BU329" s="414" t="n"/>
      <c r="BV329" s="414" t="n"/>
      <c r="BW329" s="414" t="n"/>
      <c r="BX329" s="414" t="n"/>
      <c r="BY329" s="414" t="n"/>
      <c r="BZ329" s="414" t="n"/>
      <c r="CA329" s="414" t="n"/>
      <c r="CB329" s="414" t="n"/>
      <c r="CC329" s="414" t="n"/>
      <c r="CD329" s="414" t="n"/>
      <c r="CE329" s="414" t="n"/>
      <c r="CF329" s="414" t="n"/>
      <c r="CG329" s="414" t="n"/>
      <c r="CH329" s="414" t="n"/>
      <c r="CI329" s="414" t="n"/>
      <c r="CJ329" s="414" t="n"/>
      <c r="CK329" s="414" t="n"/>
      <c r="CL329" s="414" t="n"/>
      <c r="CM329" s="414" t="n"/>
      <c r="CN329" s="414" t="n"/>
      <c r="CO329" s="414" t="n"/>
      <c r="CP329" s="414" t="n"/>
      <c r="CQ329" s="414" t="n"/>
      <c r="CR329" s="414" t="n"/>
      <c r="CS329" s="414" t="n"/>
      <c r="CT329" s="414" t="n"/>
      <c r="CU329" s="414" t="n"/>
      <c r="CV329" s="414" t="n"/>
      <c r="CW329" s="414" t="n"/>
      <c r="CX329" s="414" t="n"/>
      <c r="CY329" s="414" t="n"/>
      <c r="CZ329" s="414" t="n"/>
      <c r="DA329" s="414" t="n"/>
      <c r="DB329" s="414" t="n"/>
      <c r="DC329" s="414" t="n"/>
      <c r="DD329" s="414" t="n"/>
      <c r="DE329" s="414" t="n"/>
    </row>
    <row r="330" ht="15" customHeight="1" s="410">
      <c r="A330" s="397" t="inlineStr">
        <is>
          <t>Actual per B/S</t>
        </is>
      </c>
      <c r="B330" s="392">
        <f>IF(B311="","",B311)</f>
        <v/>
      </c>
      <c r="C330" s="392">
        <f>IF(C311="","",C311)</f>
        <v/>
      </c>
      <c r="D330" s="392">
        <f>IF(D311="","",D311)</f>
        <v/>
      </c>
      <c r="E330" s="392">
        <f>IF(E311="","",E311)</f>
        <v/>
      </c>
      <c r="F330" s="392">
        <f>IF(F311="","",F311)</f>
        <v/>
      </c>
      <c r="G330" s="392">
        <f>IF(G311="","",G311)</f>
        <v/>
      </c>
      <c r="H330" s="392">
        <f>IF(H311="","",H311)</f>
        <v/>
      </c>
      <c r="I330" s="392">
        <f>IF(I311="","",I311)</f>
        <v/>
      </c>
      <c r="J330" s="392">
        <f>IF(J311="","",J311)</f>
        <v/>
      </c>
      <c r="K330" s="392">
        <f>IF(K311="","",K311)</f>
        <v/>
      </c>
      <c r="L330" s="392">
        <f>IF(L311="","",L311)</f>
        <v/>
      </c>
      <c r="M330" s="392">
        <f>IF(M311="","",M311)</f>
        <v/>
      </c>
      <c r="N330" s="392">
        <f>IF(N311="","",N311)</f>
        <v/>
      </c>
      <c r="O330" s="392">
        <f>IF(O311="","",O311)</f>
        <v/>
      </c>
      <c r="P330" s="392">
        <f>IF(P311="","",P311)</f>
        <v/>
      </c>
      <c r="Q330" s="392">
        <f>IF(Q311="","",Q311)</f>
        <v/>
      </c>
      <c r="R330" s="392">
        <f>IF(R311="","",R311)</f>
        <v/>
      </c>
      <c r="S330" s="392">
        <f>IF(S311="","",S311)</f>
        <v/>
      </c>
      <c r="T330" s="392">
        <f>IF(T311="","",T311)</f>
        <v/>
      </c>
      <c r="U330" s="392">
        <f>IF(U311="","",U311)</f>
        <v/>
      </c>
      <c r="V330" s="392">
        <f>IF(V311="","",V311)</f>
        <v/>
      </c>
      <c r="W330" s="392">
        <f>IF(W311="","",W311)</f>
        <v/>
      </c>
      <c r="X330" s="392">
        <f>IF(X311="","",X311)</f>
        <v/>
      </c>
      <c r="Y330" s="392">
        <f>IF(Y311="","",Y311)</f>
        <v/>
      </c>
      <c r="Z330" s="392">
        <f>IF(Z311="","",Z311)</f>
        <v/>
      </c>
      <c r="AA330" s="392">
        <f>IF(AA311="","",AA311)</f>
        <v/>
      </c>
      <c r="AB330" s="392">
        <f>IF(AB311="","",AB311)</f>
        <v/>
      </c>
      <c r="AC330" s="392">
        <f>IF(AC311="","",AC311)</f>
        <v/>
      </c>
      <c r="AD330" s="392">
        <f>IF(AD311="","",AD311)</f>
        <v/>
      </c>
      <c r="AE330" s="392">
        <f>IF(AE311="","",AE311)</f>
        <v/>
      </c>
      <c r="AF330" s="392">
        <f>IF(AF311="","",AF311)</f>
        <v/>
      </c>
      <c r="AG330" s="392">
        <f>IF(AG311="","",AG311)</f>
        <v/>
      </c>
      <c r="AH330" s="392">
        <f>IF(AH311="","",AH311)</f>
        <v/>
      </c>
      <c r="AI330" s="392">
        <f>IF(AI311="","",AI311)</f>
        <v/>
      </c>
      <c r="AJ330" s="392">
        <f>IF(AJ311="","",AJ311)</f>
        <v/>
      </c>
      <c r="AK330" s="392">
        <f>IF(AK311="","",AK311)</f>
        <v/>
      </c>
      <c r="AL330" s="392">
        <f>IF(AL311="","",AL311)</f>
        <v/>
      </c>
      <c r="AM330" s="392">
        <f>IF(AM311="","",AM311)</f>
        <v/>
      </c>
      <c r="AN330" s="392">
        <f>IF(AN311="","",AN311)</f>
        <v/>
      </c>
      <c r="AO330" s="392">
        <f>IF(AO311="","",AO311)</f>
        <v/>
      </c>
      <c r="AP330" s="392">
        <f>IF(AP311="","",AP311)</f>
        <v/>
      </c>
      <c r="AQ330" s="392">
        <f>IF(AQ311="","",AQ311)</f>
        <v/>
      </c>
      <c r="AR330" s="392">
        <f>IF(AR311="","",AR311)</f>
        <v/>
      </c>
      <c r="AS330" s="392">
        <f>IF(AS311="","",AS311)</f>
        <v/>
      </c>
      <c r="AT330" s="392">
        <f>IF(AT311="","",AT311)</f>
        <v/>
      </c>
      <c r="AU330" s="392">
        <f>IF(AU311="","",AU311)</f>
        <v/>
      </c>
      <c r="AV330" s="392">
        <f>IF(AV311="","",AV311)</f>
        <v/>
      </c>
      <c r="AW330" s="392">
        <f>IF(AW311="","",AW311)</f>
        <v/>
      </c>
      <c r="AX330" s="392">
        <f>IF(AX311="","",AX311)</f>
        <v/>
      </c>
      <c r="AY330" s="392">
        <f>IF(AY311="","",AY311)</f>
        <v/>
      </c>
      <c r="AZ330" s="392">
        <f>IF(AZ311="","",AZ311)</f>
        <v/>
      </c>
      <c r="BA330" s="392">
        <f>IF(BA311="","",BA311)</f>
        <v/>
      </c>
      <c r="BB330" s="392">
        <f>IF(BB311="","",BB311)</f>
        <v/>
      </c>
      <c r="BC330" s="392">
        <f>IF(BC311="","",BC311)</f>
        <v/>
      </c>
      <c r="BD330" s="392">
        <f>IF(BD311="","",BD311)</f>
        <v/>
      </c>
      <c r="BE330" s="392">
        <f>IF(BE311="","",BE311)</f>
        <v/>
      </c>
      <c r="BF330" s="392">
        <f>IF(BF311="","",BF311)</f>
        <v/>
      </c>
      <c r="BG330" s="392">
        <f>IF(BG311="","",BG311)</f>
        <v/>
      </c>
      <c r="BH330" s="392">
        <f>IF(BH311="","",BH311)</f>
        <v/>
      </c>
      <c r="BI330" s="392">
        <f>IF(BI311="","",BI311)</f>
        <v/>
      </c>
      <c r="BJ330" s="392">
        <f>IF(BJ311="","",BJ311)</f>
        <v/>
      </c>
      <c r="BK330" s="392">
        <f>IF(BK311="","",BK311)</f>
        <v/>
      </c>
      <c r="BL330" s="392">
        <f>IF(BL311="","",BL311)</f>
        <v/>
      </c>
      <c r="BM330" s="392">
        <f>IF(BM311="","",BM311)</f>
        <v/>
      </c>
      <c r="BN330" s="392">
        <f>IF(BN311="","",BN311)</f>
        <v/>
      </c>
      <c r="BO330" s="392">
        <f>IF(BO311="","",BO311)</f>
        <v/>
      </c>
      <c r="BP330" s="392">
        <f>IF(BP311="","",BP311)</f>
        <v/>
      </c>
      <c r="BQ330" s="392">
        <f>IF(BQ311="","",BQ311)</f>
        <v/>
      </c>
      <c r="BR330" s="392">
        <f>IF(BR311="","",BR311)</f>
        <v/>
      </c>
      <c r="BS330" s="392">
        <f>IF(BS311="","",BS311)</f>
        <v/>
      </c>
      <c r="BT330" s="392">
        <f>IF(BT311="","",BT311)</f>
        <v/>
      </c>
      <c r="BU330" s="392">
        <f>IF(BU311="","",BU311)</f>
        <v/>
      </c>
      <c r="BV330" s="392">
        <f>IF(BV311="","",BV311)</f>
        <v/>
      </c>
      <c r="BW330" s="392">
        <f>IF(BW311="","",BW311)</f>
        <v/>
      </c>
      <c r="BX330" s="392">
        <f>IF(BX311="","",BX311)</f>
        <v/>
      </c>
      <c r="BY330" s="392">
        <f>IF(BY311="","",BY311)</f>
        <v/>
      </c>
      <c r="BZ330" s="392">
        <f>IF(BZ311="","",BZ311)</f>
        <v/>
      </c>
      <c r="CA330" s="392">
        <f>IF(CA311="","",CA311)</f>
        <v/>
      </c>
      <c r="CB330" s="392">
        <f>IF(CB311="","",CB311)</f>
        <v/>
      </c>
      <c r="CC330" s="392">
        <f>IF(CC311="","",CC311)</f>
        <v/>
      </c>
      <c r="CD330" s="392">
        <f>IF(CD311="","",CD311)</f>
        <v/>
      </c>
      <c r="CE330" s="392">
        <f>IF(CE311="","",CE311)</f>
        <v/>
      </c>
      <c r="CF330" s="392">
        <f>IF(CF311="","",CF311)</f>
        <v/>
      </c>
      <c r="CG330" s="392">
        <f>IF(CG311="","",CG311)</f>
        <v/>
      </c>
      <c r="CH330" s="392">
        <f>IF(CH311="","",CH311)</f>
        <v/>
      </c>
      <c r="CI330" s="392">
        <f>IF(CI311="","",CI311)</f>
        <v/>
      </c>
      <c r="CJ330" s="392">
        <f>IF(CJ311="","",CJ311)</f>
        <v/>
      </c>
      <c r="CK330" s="392">
        <f>IF(CK311="","",CK311)</f>
        <v/>
      </c>
      <c r="CL330" s="392">
        <f>IF(CL311="","",CL311)</f>
        <v/>
      </c>
      <c r="CM330" s="392">
        <f>IF(CM311="","",CM311)</f>
        <v/>
      </c>
      <c r="CN330" s="392">
        <f>IF(CN311="","",CN311)</f>
        <v/>
      </c>
      <c r="CO330" s="392">
        <f>IF(CO311="","",CO311)</f>
        <v/>
      </c>
      <c r="CP330" s="392">
        <f>IF(CP311="","",CP311)</f>
        <v/>
      </c>
      <c r="CQ330" s="392">
        <f>IF(CQ311="","",CQ311)</f>
        <v/>
      </c>
      <c r="CR330" s="392">
        <f>IF(CR311="","",CR311)</f>
        <v/>
      </c>
      <c r="CS330" s="392">
        <f>IF(CS311="","",CS311)</f>
        <v/>
      </c>
      <c r="CT330" s="392">
        <f>IF(CT311="","",CT311)</f>
        <v/>
      </c>
      <c r="CU330" s="392">
        <f>IF(CU311="","",CU311)</f>
        <v/>
      </c>
      <c r="CV330" s="392">
        <f>IF(CV311="","",CV311)</f>
        <v/>
      </c>
      <c r="CW330" s="392">
        <f>IF(CW311="","",CW311)</f>
        <v/>
      </c>
      <c r="CX330" s="392">
        <f>IF(CX311="","",CX311)</f>
        <v/>
      </c>
      <c r="CY330" s="392">
        <f>IF(CY311="","",CY311)</f>
        <v/>
      </c>
      <c r="CZ330" s="392">
        <f>IF(CZ311="","",CZ311)</f>
        <v/>
      </c>
      <c r="DA330" s="392">
        <f>IF(DA311="","",DA311)</f>
        <v/>
      </c>
      <c r="DB330" s="392">
        <f>IF(DB311="","",DB311)</f>
        <v/>
      </c>
      <c r="DC330" s="392">
        <f>IF(DC311="","",DC311)</f>
        <v/>
      </c>
      <c r="DD330" s="392">
        <f>IF(DD311="","",DD311)</f>
        <v/>
      </c>
      <c r="DE330" s="392">
        <f>IF(DE311="","",DE311)</f>
        <v/>
      </c>
    </row>
    <row r="331" ht="15" customHeight="1" s="410">
      <c r="A331" s="397" t="inlineStr">
        <is>
          <t>Model (live): projected ending cash; in the last closed month, the next month's opening balance</t>
        </is>
      </c>
      <c r="B331" s="392">
        <f>IF(B$4="Actuals",IF(C$4="Actuals","",C284),B286)</f>
        <v/>
      </c>
      <c r="C331" s="392">
        <f>IF(C$4="Actuals",IF(D$4="Actuals","",D284),C286)</f>
        <v/>
      </c>
      <c r="D331" s="392">
        <f>IF(D$4="Actuals",IF(E$4="Actuals","",E284),D286)</f>
        <v/>
      </c>
      <c r="E331" s="392">
        <f>IF(E$4="Actuals",IF(F$4="Actuals","",F284),E286)</f>
        <v/>
      </c>
      <c r="F331" s="392">
        <f>IF(F$4="Actuals",IF(G$4="Actuals","",G284),F286)</f>
        <v/>
      </c>
      <c r="G331" s="392">
        <f>IF(G$4="Actuals",IF(H$4="Actuals","",H284),G286)</f>
        <v/>
      </c>
      <c r="H331" s="392">
        <f>IF(H$4="Actuals",IF(I$4="Actuals","",I284),H286)</f>
        <v/>
      </c>
      <c r="I331" s="392">
        <f>IF(I$4="Actuals",IF(J$4="Actuals","",J284),I286)</f>
        <v/>
      </c>
      <c r="J331" s="392">
        <f>IF(J$4="Actuals",IF(K$4="Actuals","",K284),J286)</f>
        <v/>
      </c>
      <c r="K331" s="392">
        <f>IF(K$4="Actuals",IF(L$4="Actuals","",L284),K286)</f>
        <v/>
      </c>
      <c r="L331" s="392">
        <f>IF(L$4="Actuals",IF(M$4="Actuals","",M284),L286)</f>
        <v/>
      </c>
      <c r="M331" s="392">
        <f>IF(M$4="Actuals",IF(N$4="Actuals","",N284),M286)</f>
        <v/>
      </c>
      <c r="N331" s="392">
        <f>IF(N$4="Actuals",IF(O$4="Actuals","",O284),N286)</f>
        <v/>
      </c>
      <c r="O331" s="392">
        <f>IF(O$4="Actuals",IF(P$4="Actuals","",P284),O286)</f>
        <v/>
      </c>
      <c r="P331" s="392">
        <f>IF(P$4="Actuals",IF(Q$4="Actuals","",Q284),P286)</f>
        <v/>
      </c>
      <c r="Q331" s="392">
        <f>IF(Q$4="Actuals",IF(R$4="Actuals","",R284),Q286)</f>
        <v/>
      </c>
      <c r="R331" s="392">
        <f>IF(R$4="Actuals",IF(S$4="Actuals","",S284),R286)</f>
        <v/>
      </c>
      <c r="S331" s="392">
        <f>IF(S$4="Actuals",IF(T$4="Actuals","",T284),S286)</f>
        <v/>
      </c>
      <c r="T331" s="392">
        <f>IF(T$4="Actuals",IF(U$4="Actuals","",U284),T286)</f>
        <v/>
      </c>
      <c r="U331" s="392">
        <f>IF(U$4="Actuals",IF(V$4="Actuals","",V284),U286)</f>
        <v/>
      </c>
      <c r="V331" s="392">
        <f>IF(V$4="Actuals",IF(W$4="Actuals","",W284),V286)</f>
        <v/>
      </c>
      <c r="W331" s="392">
        <f>IF(W$4="Actuals",IF(X$4="Actuals","",X284),W286)</f>
        <v/>
      </c>
      <c r="X331" s="392">
        <f>IF(X$4="Actuals",IF(Y$4="Actuals","",Y284),X286)</f>
        <v/>
      </c>
      <c r="Y331" s="392">
        <f>IF(Y$4="Actuals",IF(Z$4="Actuals","",Z284),Y286)</f>
        <v/>
      </c>
      <c r="Z331" s="392">
        <f>IF(Z$4="Actuals",IF(AA$4="Actuals","",AA284),Z286)</f>
        <v/>
      </c>
      <c r="AA331" s="392">
        <f>IF(AA$4="Actuals",IF(AB$4="Actuals","",AB284),AA286)</f>
        <v/>
      </c>
      <c r="AB331" s="392">
        <f>IF(AB$4="Actuals",IF(AC$4="Actuals","",AC284),AB286)</f>
        <v/>
      </c>
      <c r="AC331" s="392">
        <f>IF(AC$4="Actuals",IF(AD$4="Actuals","",AD284),AC286)</f>
        <v/>
      </c>
      <c r="AD331" s="392">
        <f>IF(AD$4="Actuals",IF(AE$4="Actuals","",AE284),AD286)</f>
        <v/>
      </c>
      <c r="AE331" s="392">
        <f>IF(AE$4="Actuals",IF(AF$4="Actuals","",AF284),AE286)</f>
        <v/>
      </c>
      <c r="AF331" s="392">
        <f>IF(AF$4="Actuals",IF(AG$4="Actuals","",AG284),AF286)</f>
        <v/>
      </c>
      <c r="AG331" s="392">
        <f>IF(AG$4="Actuals",IF(AH$4="Actuals","",AH284),AG286)</f>
        <v/>
      </c>
      <c r="AH331" s="392">
        <f>IF(AH$4="Actuals",IF(AI$4="Actuals","",AI284),AH286)</f>
        <v/>
      </c>
      <c r="AI331" s="392">
        <f>IF(AI$4="Actuals",IF(AJ$4="Actuals","",AJ284),AI286)</f>
        <v/>
      </c>
      <c r="AJ331" s="392">
        <f>IF(AJ$4="Actuals",IF(AK$4="Actuals","",AK284),AJ286)</f>
        <v/>
      </c>
      <c r="AK331" s="392">
        <f>IF(AK$4="Actuals",IF(AL$4="Actuals","",AL284),AK286)</f>
        <v/>
      </c>
      <c r="AL331" s="392">
        <f>IF(AL$4="Actuals",IF(AM$4="Actuals","",AM284),AL286)</f>
        <v/>
      </c>
      <c r="AM331" s="392">
        <f>IF(AM$4="Actuals",IF(AN$4="Actuals","",AN284),AM286)</f>
        <v/>
      </c>
      <c r="AN331" s="392">
        <f>IF(AN$4="Actuals",IF(AO$4="Actuals","",AO284),AN286)</f>
        <v/>
      </c>
      <c r="AO331" s="392">
        <f>IF(AO$4="Actuals",IF(AP$4="Actuals","",AP284),AO286)</f>
        <v/>
      </c>
      <c r="AP331" s="392">
        <f>IF(AP$4="Actuals",IF(AQ$4="Actuals","",AQ284),AP286)</f>
        <v/>
      </c>
      <c r="AQ331" s="392">
        <f>IF(AQ$4="Actuals",IF(AR$4="Actuals","",AR284),AQ286)</f>
        <v/>
      </c>
      <c r="AR331" s="392">
        <f>IF(AR$4="Actuals",IF(AS$4="Actuals","",AS284),AR286)</f>
        <v/>
      </c>
      <c r="AS331" s="392">
        <f>IF(AS$4="Actuals",IF(AT$4="Actuals","",AT284),AS286)</f>
        <v/>
      </c>
      <c r="AT331" s="392">
        <f>IF(AT$4="Actuals",IF(AU$4="Actuals","",AU284),AT286)</f>
        <v/>
      </c>
      <c r="AU331" s="392">
        <f>IF(AU$4="Actuals",IF(AV$4="Actuals","",AV284),AU286)</f>
        <v/>
      </c>
      <c r="AV331" s="392">
        <f>IF(AV$4="Actuals",IF(AW$4="Actuals","",AW284),AV286)</f>
        <v/>
      </c>
      <c r="AW331" s="392">
        <f>IF(AW$4="Actuals",IF(AX$4="Actuals","",AX284),AW286)</f>
        <v/>
      </c>
      <c r="AX331" s="392">
        <f>IF(AX$4="Actuals",IF(AY$4="Actuals","",AY284),AX286)</f>
        <v/>
      </c>
      <c r="AY331" s="392">
        <f>IF(AY$4="Actuals",IF(AZ$4="Actuals","",AZ284),AY286)</f>
        <v/>
      </c>
      <c r="AZ331" s="392">
        <f>IF(AZ$4="Actuals",IF(BA$4="Actuals","",BA284),AZ286)</f>
        <v/>
      </c>
      <c r="BA331" s="392">
        <f>IF(BA$4="Actuals",IF(BB$4="Actuals","",BB284),BA286)</f>
        <v/>
      </c>
      <c r="BB331" s="392">
        <f>IF(BB$4="Actuals",IF(BC$4="Actuals","",BC284),BB286)</f>
        <v/>
      </c>
      <c r="BC331" s="392">
        <f>IF(BC$4="Actuals",IF(BD$4="Actuals","",BD284),BC286)</f>
        <v/>
      </c>
      <c r="BD331" s="392">
        <f>IF(BD$4="Actuals",IF(BE$4="Actuals","",BE284),BD286)</f>
        <v/>
      </c>
      <c r="BE331" s="392">
        <f>IF(BE$4="Actuals",IF(BF$4="Actuals","",BF284),BE286)</f>
        <v/>
      </c>
      <c r="BF331" s="392">
        <f>IF(BF$4="Actuals",IF(BG$4="Actuals","",BG284),BF286)</f>
        <v/>
      </c>
      <c r="BG331" s="392">
        <f>IF(BG$4="Actuals",IF(BH$4="Actuals","",BH284),BG286)</f>
        <v/>
      </c>
      <c r="BH331" s="392">
        <f>IF(BH$4="Actuals",IF(BI$4="Actuals","",BI284),BH286)</f>
        <v/>
      </c>
      <c r="BI331" s="392">
        <f>IF(BI$4="Actuals",IF(BJ$4="Actuals","",BJ284),BI286)</f>
        <v/>
      </c>
      <c r="BJ331" s="392">
        <f>IF(BJ$4="Actuals",IF(BK$4="Actuals","",BK284),BJ286)</f>
        <v/>
      </c>
      <c r="BK331" s="392">
        <f>IF(BK$4="Actuals",IF(BL$4="Actuals","",BL284),BK286)</f>
        <v/>
      </c>
      <c r="BL331" s="392">
        <f>IF(BL$4="Actuals",IF(BM$4="Actuals","",BM284),BL286)</f>
        <v/>
      </c>
      <c r="BM331" s="392">
        <f>IF(BM$4="Actuals",IF(BN$4="Actuals","",BN284),BM286)</f>
        <v/>
      </c>
      <c r="BN331" s="392">
        <f>IF(BN$4="Actuals",IF(BO$4="Actuals","",BO284),BN286)</f>
        <v/>
      </c>
      <c r="BO331" s="392">
        <f>IF(BO$4="Actuals",IF(BP$4="Actuals","",BP284),BO286)</f>
        <v/>
      </c>
      <c r="BP331" s="392">
        <f>IF(BP$4="Actuals",IF(BQ$4="Actuals","",BQ284),BP286)</f>
        <v/>
      </c>
      <c r="BQ331" s="392">
        <f>IF(BQ$4="Actuals",IF(BR$4="Actuals","",BR284),BQ286)</f>
        <v/>
      </c>
      <c r="BR331" s="392">
        <f>IF(BR$4="Actuals",IF(BS$4="Actuals","",BS284),BR286)</f>
        <v/>
      </c>
      <c r="BS331" s="392">
        <f>IF(BS$4="Actuals",IF(BT$4="Actuals","",BT284),BS286)</f>
        <v/>
      </c>
      <c r="BT331" s="392">
        <f>IF(BT$4="Actuals",IF(BU$4="Actuals","",BU284),BT286)</f>
        <v/>
      </c>
      <c r="BU331" s="392">
        <f>IF(BU$4="Actuals",IF(BV$4="Actuals","",BV284),BU286)</f>
        <v/>
      </c>
      <c r="BV331" s="392">
        <f>IF(BV$4="Actuals",IF(BW$4="Actuals","",BW284),BV286)</f>
        <v/>
      </c>
      <c r="BW331" s="392">
        <f>IF(BW$4="Actuals",IF(BX$4="Actuals","",BX284),BW286)</f>
        <v/>
      </c>
      <c r="BX331" s="392">
        <f>IF(BX$4="Actuals",IF(BY$4="Actuals","",BY284),BX286)</f>
        <v/>
      </c>
      <c r="BY331" s="392">
        <f>IF(BY$4="Actuals",IF(BZ$4="Actuals","",BZ284),BY286)</f>
        <v/>
      </c>
      <c r="BZ331" s="392">
        <f>IF(BZ$4="Actuals",IF(CA$4="Actuals","",CA284),BZ286)</f>
        <v/>
      </c>
      <c r="CA331" s="392">
        <f>IF(CA$4="Actuals",IF(CB$4="Actuals","",CB284),CA286)</f>
        <v/>
      </c>
      <c r="CB331" s="392">
        <f>IF(CB$4="Actuals",IF(CC$4="Actuals","",CC284),CB286)</f>
        <v/>
      </c>
      <c r="CC331" s="392">
        <f>IF(CC$4="Actuals",IF(CD$4="Actuals","",CD284),CC286)</f>
        <v/>
      </c>
      <c r="CD331" s="392">
        <f>IF(CD$4="Actuals",IF(CE$4="Actuals","",CE284),CD286)</f>
        <v/>
      </c>
      <c r="CE331" s="392">
        <f>IF(CE$4="Actuals",IF(CF$4="Actuals","",CF284),CE286)</f>
        <v/>
      </c>
      <c r="CF331" s="392">
        <f>IF(CF$4="Actuals",IF(CG$4="Actuals","",CG284),CF286)</f>
        <v/>
      </c>
      <c r="CG331" s="392">
        <f>IF(CG$4="Actuals",IF(CH$4="Actuals","",CH284),CG286)</f>
        <v/>
      </c>
      <c r="CH331" s="392">
        <f>IF(CH$4="Actuals",IF(CI$4="Actuals","",CI284),CH286)</f>
        <v/>
      </c>
      <c r="CI331" s="392">
        <f>IF(CI$4="Actuals",IF(CJ$4="Actuals","",CJ284),CI286)</f>
        <v/>
      </c>
      <c r="CJ331" s="392">
        <f>IF(CJ$4="Actuals",IF(CK$4="Actuals","",CK284),CJ286)</f>
        <v/>
      </c>
      <c r="CK331" s="392">
        <f>IF(CK$4="Actuals",IF(CL$4="Actuals","",CL284),CK286)</f>
        <v/>
      </c>
      <c r="CL331" s="392">
        <f>IF(CL$4="Actuals",IF(CM$4="Actuals","",CM284),CL286)</f>
        <v/>
      </c>
      <c r="CM331" s="392">
        <f>IF(CM$4="Actuals",IF(CN$4="Actuals","",CN284),CM286)</f>
        <v/>
      </c>
      <c r="CN331" s="392">
        <f>IF(CN$4="Actuals",IF(CO$4="Actuals","",CO284),CN286)</f>
        <v/>
      </c>
      <c r="CO331" s="392">
        <f>IF(CO$4="Actuals",IF(CP$4="Actuals","",CP284),CO286)</f>
        <v/>
      </c>
      <c r="CP331" s="392">
        <f>IF(CP$4="Actuals",IF(CQ$4="Actuals","",CQ284),CP286)</f>
        <v/>
      </c>
      <c r="CQ331" s="392">
        <f>IF(CQ$4="Actuals",IF(CR$4="Actuals","",CR284),CQ286)</f>
        <v/>
      </c>
      <c r="CR331" s="392">
        <f>IF(CR$4="Actuals",IF(CS$4="Actuals","",CS284),CR286)</f>
        <v/>
      </c>
      <c r="CS331" s="392">
        <f>IF(CS$4="Actuals",IF(CT$4="Actuals","",CT284),CS286)</f>
        <v/>
      </c>
      <c r="CT331" s="392">
        <f>IF(CT$4="Actuals",IF(CU$4="Actuals","",CU284),CT286)</f>
        <v/>
      </c>
      <c r="CU331" s="392">
        <f>IF(CU$4="Actuals",IF(CV$4="Actuals","",CV284),CU286)</f>
        <v/>
      </c>
      <c r="CV331" s="392">
        <f>IF(CV$4="Actuals",IF(CW$4="Actuals","",CW284),CV286)</f>
        <v/>
      </c>
      <c r="CW331" s="392">
        <f>IF(CW$4="Actuals",IF(CX$4="Actuals","",CX284),CW286)</f>
        <v/>
      </c>
      <c r="CX331" s="392">
        <f>IF(CX$4="Actuals",IF(CY$4="Actuals","",CY284),CX286)</f>
        <v/>
      </c>
      <c r="CY331" s="392">
        <f>IF(CY$4="Actuals",IF(CZ$4="Actuals","",CZ284),CY286)</f>
        <v/>
      </c>
      <c r="CZ331" s="392">
        <f>IF(CZ$4="Actuals",IF(DA$4="Actuals","",DA284),CZ286)</f>
        <v/>
      </c>
      <c r="DA331" s="392">
        <f>IF(DA$4="Actuals",IF(DB$4="Actuals","",DB284),DA286)</f>
        <v/>
      </c>
      <c r="DB331" s="392">
        <f>IF(DB$4="Actuals",IF(DC$4="Actuals","",DC284),DB286)</f>
        <v/>
      </c>
      <c r="DC331" s="392">
        <f>IF(DC$4="Actuals",IF(DD$4="Actuals","",DD284),DC286)</f>
        <v/>
      </c>
      <c r="DD331" s="392">
        <f>IF(DD$4="Actuals",IF(DE$4="Actuals","",DE284),DD286)</f>
        <v/>
      </c>
      <c r="DE331" s="392">
        <f>IF(DE$4="Actuals",IF(DF$4="Actuals","",DF284),DE286)</f>
        <v/>
      </c>
    </row>
    <row r="332" ht="15" customHeight="1" s="410">
      <c r="A332" s="397" t="inlineStr">
        <is>
          <t>Variance — model less actual (must be 0 on the opening balance)</t>
        </is>
      </c>
      <c r="B332" s="392">
        <f>IF(OR(B330="",B331=""),"",B331-B330)</f>
        <v/>
      </c>
      <c r="C332" s="392">
        <f>IF(OR(C330="",C331=""),"",C331-C330)</f>
        <v/>
      </c>
      <c r="D332" s="392">
        <f>IF(OR(D330="",D331=""),"",D331-D330)</f>
        <v/>
      </c>
      <c r="E332" s="392">
        <f>IF(OR(E330="",E331=""),"",E331-E330)</f>
        <v/>
      </c>
      <c r="F332" s="392">
        <f>IF(OR(F330="",F331=""),"",F331-F330)</f>
        <v/>
      </c>
      <c r="G332" s="392">
        <f>IF(OR(G330="",G331=""),"",G331-G330)</f>
        <v/>
      </c>
      <c r="H332" s="392">
        <f>IF(OR(H330="",H331=""),"",H331-H330)</f>
        <v/>
      </c>
      <c r="I332" s="392">
        <f>IF(OR(I330="",I331=""),"",I331-I330)</f>
        <v/>
      </c>
      <c r="J332" s="392">
        <f>IF(OR(J330="",J331=""),"",J331-J330)</f>
        <v/>
      </c>
      <c r="K332" s="392">
        <f>IF(OR(K330="",K331=""),"",K331-K330)</f>
        <v/>
      </c>
      <c r="L332" s="392">
        <f>IF(OR(L330="",L331=""),"",L331-L330)</f>
        <v/>
      </c>
      <c r="M332" s="392">
        <f>IF(OR(M330="",M331=""),"",M331-M330)</f>
        <v/>
      </c>
      <c r="N332" s="392">
        <f>IF(OR(N330="",N331=""),"",N331-N330)</f>
        <v/>
      </c>
      <c r="O332" s="392">
        <f>IF(OR(O330="",O331=""),"",O331-O330)</f>
        <v/>
      </c>
      <c r="P332" s="392">
        <f>IF(OR(P330="",P331=""),"",P331-P330)</f>
        <v/>
      </c>
      <c r="Q332" s="392">
        <f>IF(OR(Q330="",Q331=""),"",Q331-Q330)</f>
        <v/>
      </c>
      <c r="R332" s="392">
        <f>IF(OR(R330="",R331=""),"",R331-R330)</f>
        <v/>
      </c>
      <c r="S332" s="392">
        <f>IF(OR(S330="",S331=""),"",S331-S330)</f>
        <v/>
      </c>
      <c r="T332" s="392">
        <f>IF(OR(T330="",T331=""),"",T331-T330)</f>
        <v/>
      </c>
      <c r="U332" s="392">
        <f>IF(OR(U330="",U331=""),"",U331-U330)</f>
        <v/>
      </c>
      <c r="V332" s="392">
        <f>IF(OR(V330="",V331=""),"",V331-V330)</f>
        <v/>
      </c>
      <c r="W332" s="392">
        <f>IF(OR(W330="",W331=""),"",W331-W330)</f>
        <v/>
      </c>
      <c r="X332" s="392">
        <f>IF(OR(X330="",X331=""),"",X331-X330)</f>
        <v/>
      </c>
      <c r="Y332" s="392">
        <f>IF(OR(Y330="",Y331=""),"",Y331-Y330)</f>
        <v/>
      </c>
      <c r="Z332" s="392">
        <f>IF(OR(Z330="",Z331=""),"",Z331-Z330)</f>
        <v/>
      </c>
      <c r="AA332" s="392">
        <f>IF(OR(AA330="",AA331=""),"",AA331-AA330)</f>
        <v/>
      </c>
      <c r="AB332" s="392">
        <f>IF(OR(AB330="",AB331=""),"",AB331-AB330)</f>
        <v/>
      </c>
      <c r="AC332" s="392">
        <f>IF(OR(AC330="",AC331=""),"",AC331-AC330)</f>
        <v/>
      </c>
      <c r="AD332" s="392">
        <f>IF(OR(AD330="",AD331=""),"",AD331-AD330)</f>
        <v/>
      </c>
      <c r="AE332" s="392">
        <f>IF(OR(AE330="",AE331=""),"",AE331-AE330)</f>
        <v/>
      </c>
      <c r="AF332" s="392">
        <f>IF(OR(AF330="",AF331=""),"",AF331-AF330)</f>
        <v/>
      </c>
      <c r="AG332" s="392">
        <f>IF(OR(AG330="",AG331=""),"",AG331-AG330)</f>
        <v/>
      </c>
      <c r="AH332" s="392">
        <f>IF(OR(AH330="",AH331=""),"",AH331-AH330)</f>
        <v/>
      </c>
      <c r="AI332" s="392">
        <f>IF(OR(AI330="",AI331=""),"",AI331-AI330)</f>
        <v/>
      </c>
      <c r="AJ332" s="392">
        <f>IF(OR(AJ330="",AJ331=""),"",AJ331-AJ330)</f>
        <v/>
      </c>
      <c r="AK332" s="392">
        <f>IF(OR(AK330="",AK331=""),"",AK331-AK330)</f>
        <v/>
      </c>
      <c r="AL332" s="392">
        <f>IF(OR(AL330="",AL331=""),"",AL331-AL330)</f>
        <v/>
      </c>
      <c r="AM332" s="392">
        <f>IF(OR(AM330="",AM331=""),"",AM331-AM330)</f>
        <v/>
      </c>
      <c r="AN332" s="392">
        <f>IF(OR(AN330="",AN331=""),"",AN331-AN330)</f>
        <v/>
      </c>
      <c r="AO332" s="392">
        <f>IF(OR(AO330="",AO331=""),"",AO331-AO330)</f>
        <v/>
      </c>
      <c r="AP332" s="392">
        <f>IF(OR(AP330="",AP331=""),"",AP331-AP330)</f>
        <v/>
      </c>
      <c r="AQ332" s="392">
        <f>IF(OR(AQ330="",AQ331=""),"",AQ331-AQ330)</f>
        <v/>
      </c>
      <c r="AR332" s="392">
        <f>IF(OR(AR330="",AR331=""),"",AR331-AR330)</f>
        <v/>
      </c>
      <c r="AS332" s="392">
        <f>IF(OR(AS330="",AS331=""),"",AS331-AS330)</f>
        <v/>
      </c>
      <c r="AT332" s="392">
        <f>IF(OR(AT330="",AT331=""),"",AT331-AT330)</f>
        <v/>
      </c>
      <c r="AU332" s="392">
        <f>IF(OR(AU330="",AU331=""),"",AU331-AU330)</f>
        <v/>
      </c>
      <c r="AV332" s="392">
        <f>IF(OR(AV330="",AV331=""),"",AV331-AV330)</f>
        <v/>
      </c>
      <c r="AW332" s="392">
        <f>IF(OR(AW330="",AW331=""),"",AW331-AW330)</f>
        <v/>
      </c>
      <c r="AX332" s="392">
        <f>IF(OR(AX330="",AX331=""),"",AX331-AX330)</f>
        <v/>
      </c>
      <c r="AY332" s="392">
        <f>IF(OR(AY330="",AY331=""),"",AY331-AY330)</f>
        <v/>
      </c>
      <c r="AZ332" s="392">
        <f>IF(OR(AZ330="",AZ331=""),"",AZ331-AZ330)</f>
        <v/>
      </c>
      <c r="BA332" s="392">
        <f>IF(OR(BA330="",BA331=""),"",BA331-BA330)</f>
        <v/>
      </c>
      <c r="BB332" s="392">
        <f>IF(OR(BB330="",BB331=""),"",BB331-BB330)</f>
        <v/>
      </c>
      <c r="BC332" s="392">
        <f>IF(OR(BC330="",BC331=""),"",BC331-BC330)</f>
        <v/>
      </c>
      <c r="BD332" s="392">
        <f>IF(OR(BD330="",BD331=""),"",BD331-BD330)</f>
        <v/>
      </c>
      <c r="BE332" s="392">
        <f>IF(OR(BE330="",BE331=""),"",BE331-BE330)</f>
        <v/>
      </c>
      <c r="BF332" s="392">
        <f>IF(OR(BF330="",BF331=""),"",BF331-BF330)</f>
        <v/>
      </c>
      <c r="BG332" s="392">
        <f>IF(OR(BG330="",BG331=""),"",BG331-BG330)</f>
        <v/>
      </c>
      <c r="BH332" s="392">
        <f>IF(OR(BH330="",BH331=""),"",BH331-BH330)</f>
        <v/>
      </c>
      <c r="BI332" s="392">
        <f>IF(OR(BI330="",BI331=""),"",BI331-BI330)</f>
        <v/>
      </c>
      <c r="BJ332" s="392">
        <f>IF(OR(BJ330="",BJ331=""),"",BJ331-BJ330)</f>
        <v/>
      </c>
      <c r="BK332" s="392">
        <f>IF(OR(BK330="",BK331=""),"",BK331-BK330)</f>
        <v/>
      </c>
      <c r="BL332" s="392">
        <f>IF(OR(BL330="",BL331=""),"",BL331-BL330)</f>
        <v/>
      </c>
      <c r="BM332" s="392">
        <f>IF(OR(BM330="",BM331=""),"",BM331-BM330)</f>
        <v/>
      </c>
      <c r="BN332" s="392">
        <f>IF(OR(BN330="",BN331=""),"",BN331-BN330)</f>
        <v/>
      </c>
      <c r="BO332" s="392">
        <f>IF(OR(BO330="",BO331=""),"",BO331-BO330)</f>
        <v/>
      </c>
      <c r="BP332" s="392">
        <f>IF(OR(BP330="",BP331=""),"",BP331-BP330)</f>
        <v/>
      </c>
      <c r="BQ332" s="392">
        <f>IF(OR(BQ330="",BQ331=""),"",BQ331-BQ330)</f>
        <v/>
      </c>
      <c r="BR332" s="392">
        <f>IF(OR(BR330="",BR331=""),"",BR331-BR330)</f>
        <v/>
      </c>
      <c r="BS332" s="392">
        <f>IF(OR(BS330="",BS331=""),"",BS331-BS330)</f>
        <v/>
      </c>
      <c r="BT332" s="392">
        <f>IF(OR(BT330="",BT331=""),"",BT331-BT330)</f>
        <v/>
      </c>
      <c r="BU332" s="392">
        <f>IF(OR(BU330="",BU331=""),"",BU331-BU330)</f>
        <v/>
      </c>
      <c r="BV332" s="392">
        <f>IF(OR(BV330="",BV331=""),"",BV331-BV330)</f>
        <v/>
      </c>
      <c r="BW332" s="392">
        <f>IF(OR(BW330="",BW331=""),"",BW331-BW330)</f>
        <v/>
      </c>
      <c r="BX332" s="392">
        <f>IF(OR(BX330="",BX331=""),"",BX331-BX330)</f>
        <v/>
      </c>
      <c r="BY332" s="392">
        <f>IF(OR(BY330="",BY331=""),"",BY331-BY330)</f>
        <v/>
      </c>
      <c r="BZ332" s="392">
        <f>IF(OR(BZ330="",BZ331=""),"",BZ331-BZ330)</f>
        <v/>
      </c>
      <c r="CA332" s="392">
        <f>IF(OR(CA330="",CA331=""),"",CA331-CA330)</f>
        <v/>
      </c>
      <c r="CB332" s="392">
        <f>IF(OR(CB330="",CB331=""),"",CB331-CB330)</f>
        <v/>
      </c>
      <c r="CC332" s="392">
        <f>IF(OR(CC330="",CC331=""),"",CC331-CC330)</f>
        <v/>
      </c>
      <c r="CD332" s="392">
        <f>IF(OR(CD330="",CD331=""),"",CD331-CD330)</f>
        <v/>
      </c>
      <c r="CE332" s="392">
        <f>IF(OR(CE330="",CE331=""),"",CE331-CE330)</f>
        <v/>
      </c>
      <c r="CF332" s="392">
        <f>IF(OR(CF330="",CF331=""),"",CF331-CF330)</f>
        <v/>
      </c>
      <c r="CG332" s="392">
        <f>IF(OR(CG330="",CG331=""),"",CG331-CG330)</f>
        <v/>
      </c>
      <c r="CH332" s="392">
        <f>IF(OR(CH330="",CH331=""),"",CH331-CH330)</f>
        <v/>
      </c>
      <c r="CI332" s="392">
        <f>IF(OR(CI330="",CI331=""),"",CI331-CI330)</f>
        <v/>
      </c>
      <c r="CJ332" s="392">
        <f>IF(OR(CJ330="",CJ331=""),"",CJ331-CJ330)</f>
        <v/>
      </c>
      <c r="CK332" s="392">
        <f>IF(OR(CK330="",CK331=""),"",CK331-CK330)</f>
        <v/>
      </c>
      <c r="CL332" s="392">
        <f>IF(OR(CL330="",CL331=""),"",CL331-CL330)</f>
        <v/>
      </c>
      <c r="CM332" s="392">
        <f>IF(OR(CM330="",CM331=""),"",CM331-CM330)</f>
        <v/>
      </c>
      <c r="CN332" s="392">
        <f>IF(OR(CN330="",CN331=""),"",CN331-CN330)</f>
        <v/>
      </c>
      <c r="CO332" s="392">
        <f>IF(OR(CO330="",CO331=""),"",CO331-CO330)</f>
        <v/>
      </c>
      <c r="CP332" s="392">
        <f>IF(OR(CP330="",CP331=""),"",CP331-CP330)</f>
        <v/>
      </c>
      <c r="CQ332" s="392">
        <f>IF(OR(CQ330="",CQ331=""),"",CQ331-CQ330)</f>
        <v/>
      </c>
      <c r="CR332" s="392">
        <f>IF(OR(CR330="",CR331=""),"",CR331-CR330)</f>
        <v/>
      </c>
      <c r="CS332" s="392">
        <f>IF(OR(CS330="",CS331=""),"",CS331-CS330)</f>
        <v/>
      </c>
      <c r="CT332" s="392">
        <f>IF(OR(CT330="",CT331=""),"",CT331-CT330)</f>
        <v/>
      </c>
      <c r="CU332" s="392">
        <f>IF(OR(CU330="",CU331=""),"",CU331-CU330)</f>
        <v/>
      </c>
      <c r="CV332" s="392">
        <f>IF(OR(CV330="",CV331=""),"",CV331-CV330)</f>
        <v/>
      </c>
      <c r="CW332" s="392">
        <f>IF(OR(CW330="",CW331=""),"",CW331-CW330)</f>
        <v/>
      </c>
      <c r="CX332" s="392">
        <f>IF(OR(CX330="",CX331=""),"",CX331-CX330)</f>
        <v/>
      </c>
      <c r="CY332" s="392">
        <f>IF(OR(CY330="",CY331=""),"",CY331-CY330)</f>
        <v/>
      </c>
      <c r="CZ332" s="392">
        <f>IF(OR(CZ330="",CZ331=""),"",CZ331-CZ330)</f>
        <v/>
      </c>
      <c r="DA332" s="392">
        <f>IF(OR(DA330="",DA331=""),"",DA331-DA330)</f>
        <v/>
      </c>
      <c r="DB332" s="392">
        <f>IF(OR(DB330="",DB331=""),"",DB331-DB330)</f>
        <v/>
      </c>
      <c r="DC332" s="392">
        <f>IF(OR(DC330="",DC331=""),"",DC331-DC330)</f>
        <v/>
      </c>
      <c r="DD332" s="392">
        <f>IF(OR(DD330="",DD331=""),"",DD331-DD330)</f>
        <v/>
      </c>
      <c r="DE332" s="392">
        <f>IF(OR(DE330="",DE331=""),"",DE331-DE330)</f>
        <v/>
      </c>
    </row>
    <row r="333" ht="15" customHeight="1" s="410">
      <c r="A333" s="397" t="inlineStr">
        <is>
          <t>Tie check</t>
        </is>
      </c>
      <c r="B333" s="401">
        <f>IF(B332="","",IF(ABS(B332)&lt;1,"OK","CHECK"))</f>
        <v/>
      </c>
      <c r="C333" s="401">
        <f>IF(C332="","",IF(ABS(C332)&lt;1,"OK","CHECK"))</f>
        <v/>
      </c>
      <c r="D333" s="401">
        <f>IF(D332="","",IF(ABS(D332)&lt;1,"OK","CHECK"))</f>
        <v/>
      </c>
      <c r="E333" s="401">
        <f>IF(E332="","",IF(ABS(E332)&lt;1,"OK","CHECK"))</f>
        <v/>
      </c>
      <c r="F333" s="401">
        <f>IF(F332="","",IF(ABS(F332)&lt;1,"OK","CHECK"))</f>
        <v/>
      </c>
      <c r="G333" s="401">
        <f>IF(G332="","",IF(ABS(G332)&lt;1,"OK","CHECK"))</f>
        <v/>
      </c>
      <c r="H333" s="401">
        <f>IF(H332="","",IF(ABS(H332)&lt;1,"OK","CHECK"))</f>
        <v/>
      </c>
      <c r="I333" s="401">
        <f>IF(I332="","",IF(ABS(I332)&lt;1,"OK","CHECK"))</f>
        <v/>
      </c>
      <c r="J333" s="401">
        <f>IF(J332="","",IF(ABS(J332)&lt;1,"OK","CHECK"))</f>
        <v/>
      </c>
      <c r="K333" s="401">
        <f>IF(K332="","",IF(ABS(K332)&lt;1,"OK","CHECK"))</f>
        <v/>
      </c>
      <c r="L333" s="401">
        <f>IF(L332="","",IF(ABS(L332)&lt;1,"OK","CHECK"))</f>
        <v/>
      </c>
      <c r="M333" s="401">
        <f>IF(M332="","",IF(ABS(M332)&lt;1,"OK","CHECK"))</f>
        <v/>
      </c>
      <c r="N333" s="401">
        <f>IF(N332="","",IF(ABS(N332)&lt;1,"OK","CHECK"))</f>
        <v/>
      </c>
      <c r="O333" s="401">
        <f>IF(O332="","",IF(ABS(O332)&lt;1,"OK","CHECK"))</f>
        <v/>
      </c>
      <c r="P333" s="401">
        <f>IF(P332="","",IF(ABS(P332)&lt;1,"OK","CHECK"))</f>
        <v/>
      </c>
      <c r="Q333" s="401">
        <f>IF(Q332="","",IF(ABS(Q332)&lt;1,"OK","CHECK"))</f>
        <v/>
      </c>
      <c r="R333" s="401">
        <f>IF(R332="","",IF(ABS(R332)&lt;1,"OK","CHECK"))</f>
        <v/>
      </c>
      <c r="S333" s="401">
        <f>IF(S332="","",IF(ABS(S332)&lt;1,"OK","CHECK"))</f>
        <v/>
      </c>
      <c r="T333" s="401">
        <f>IF(T332="","",IF(ABS(T332)&lt;1,"OK","CHECK"))</f>
        <v/>
      </c>
      <c r="U333" s="401">
        <f>IF(U332="","",IF(ABS(U332)&lt;1,"OK","CHECK"))</f>
        <v/>
      </c>
      <c r="V333" s="401">
        <f>IF(V332="","",IF(ABS(V332)&lt;1,"OK","CHECK"))</f>
        <v/>
      </c>
      <c r="W333" s="401">
        <f>IF(W332="","",IF(ABS(W332)&lt;1,"OK","CHECK"))</f>
        <v/>
      </c>
      <c r="X333" s="401">
        <f>IF(X332="","",IF(ABS(X332)&lt;1,"OK","CHECK"))</f>
        <v/>
      </c>
      <c r="Y333" s="401">
        <f>IF(Y332="","",IF(ABS(Y332)&lt;1,"OK","CHECK"))</f>
        <v/>
      </c>
      <c r="Z333" s="401">
        <f>IF(Z332="","",IF(ABS(Z332)&lt;1,"OK","CHECK"))</f>
        <v/>
      </c>
      <c r="AA333" s="401">
        <f>IF(AA332="","",IF(ABS(AA332)&lt;1,"OK","CHECK"))</f>
        <v/>
      </c>
      <c r="AB333" s="401">
        <f>IF(AB332="","",IF(ABS(AB332)&lt;1,"OK","CHECK"))</f>
        <v/>
      </c>
      <c r="AC333" s="401">
        <f>IF(AC332="","",IF(ABS(AC332)&lt;1,"OK","CHECK"))</f>
        <v/>
      </c>
      <c r="AD333" s="401">
        <f>IF(AD332="","",IF(ABS(AD332)&lt;1,"OK","CHECK"))</f>
        <v/>
      </c>
      <c r="AE333" s="401">
        <f>IF(AE332="","",IF(ABS(AE332)&lt;1,"OK","CHECK"))</f>
        <v/>
      </c>
      <c r="AF333" s="401">
        <f>IF(AF332="","",IF(ABS(AF332)&lt;1,"OK","CHECK"))</f>
        <v/>
      </c>
      <c r="AG333" s="401">
        <f>IF(AG332="","",IF(ABS(AG332)&lt;1,"OK","CHECK"))</f>
        <v/>
      </c>
      <c r="AH333" s="401">
        <f>IF(AH332="","",IF(ABS(AH332)&lt;1,"OK","CHECK"))</f>
        <v/>
      </c>
      <c r="AI333" s="401">
        <f>IF(AI332="","",IF(ABS(AI332)&lt;1,"OK","CHECK"))</f>
        <v/>
      </c>
      <c r="AJ333" s="401">
        <f>IF(AJ332="","",IF(ABS(AJ332)&lt;1,"OK","CHECK"))</f>
        <v/>
      </c>
      <c r="AK333" s="401">
        <f>IF(AK332="","",IF(ABS(AK332)&lt;1,"OK","CHECK"))</f>
        <v/>
      </c>
      <c r="AL333" s="401">
        <f>IF(AL332="","",IF(ABS(AL332)&lt;1,"OK","CHECK"))</f>
        <v/>
      </c>
      <c r="AM333" s="401">
        <f>IF(AM332="","",IF(ABS(AM332)&lt;1,"OK","CHECK"))</f>
        <v/>
      </c>
      <c r="AN333" s="401">
        <f>IF(AN332="","",IF(ABS(AN332)&lt;1,"OK","CHECK"))</f>
        <v/>
      </c>
      <c r="AO333" s="401">
        <f>IF(AO332="","",IF(ABS(AO332)&lt;1,"OK","CHECK"))</f>
        <v/>
      </c>
      <c r="AP333" s="401">
        <f>IF(AP332="","",IF(ABS(AP332)&lt;1,"OK","CHECK"))</f>
        <v/>
      </c>
      <c r="AQ333" s="401">
        <f>IF(AQ332="","",IF(ABS(AQ332)&lt;1,"OK","CHECK"))</f>
        <v/>
      </c>
      <c r="AR333" s="401">
        <f>IF(AR332="","",IF(ABS(AR332)&lt;1,"OK","CHECK"))</f>
        <v/>
      </c>
      <c r="AS333" s="401">
        <f>IF(AS332="","",IF(ABS(AS332)&lt;1,"OK","CHECK"))</f>
        <v/>
      </c>
      <c r="AT333" s="401">
        <f>IF(AT332="","",IF(ABS(AT332)&lt;1,"OK","CHECK"))</f>
        <v/>
      </c>
      <c r="AU333" s="401">
        <f>IF(AU332="","",IF(ABS(AU332)&lt;1,"OK","CHECK"))</f>
        <v/>
      </c>
      <c r="AV333" s="401">
        <f>IF(AV332="","",IF(ABS(AV332)&lt;1,"OK","CHECK"))</f>
        <v/>
      </c>
      <c r="AW333" s="401">
        <f>IF(AW332="","",IF(ABS(AW332)&lt;1,"OK","CHECK"))</f>
        <v/>
      </c>
      <c r="AX333" s="401">
        <f>IF(AX332="","",IF(ABS(AX332)&lt;1,"OK","CHECK"))</f>
        <v/>
      </c>
      <c r="AY333" s="401">
        <f>IF(AY332="","",IF(ABS(AY332)&lt;1,"OK","CHECK"))</f>
        <v/>
      </c>
      <c r="AZ333" s="401">
        <f>IF(AZ332="","",IF(ABS(AZ332)&lt;1,"OK","CHECK"))</f>
        <v/>
      </c>
      <c r="BA333" s="401">
        <f>IF(BA332="","",IF(ABS(BA332)&lt;1,"OK","CHECK"))</f>
        <v/>
      </c>
      <c r="BB333" s="401">
        <f>IF(BB332="","",IF(ABS(BB332)&lt;1,"OK","CHECK"))</f>
        <v/>
      </c>
      <c r="BC333" s="401">
        <f>IF(BC332="","",IF(ABS(BC332)&lt;1,"OK","CHECK"))</f>
        <v/>
      </c>
      <c r="BD333" s="401">
        <f>IF(BD332="","",IF(ABS(BD332)&lt;1,"OK","CHECK"))</f>
        <v/>
      </c>
      <c r="BE333" s="401">
        <f>IF(BE332="","",IF(ABS(BE332)&lt;1,"OK","CHECK"))</f>
        <v/>
      </c>
      <c r="BF333" s="401">
        <f>IF(BF332="","",IF(ABS(BF332)&lt;1,"OK","CHECK"))</f>
        <v/>
      </c>
      <c r="BG333" s="401">
        <f>IF(BG332="","",IF(ABS(BG332)&lt;1,"OK","CHECK"))</f>
        <v/>
      </c>
      <c r="BH333" s="401">
        <f>IF(BH332="","",IF(ABS(BH332)&lt;1,"OK","CHECK"))</f>
        <v/>
      </c>
      <c r="BI333" s="401">
        <f>IF(BI332="","",IF(ABS(BI332)&lt;1,"OK","CHECK"))</f>
        <v/>
      </c>
      <c r="BJ333" s="401">
        <f>IF(BJ332="","",IF(ABS(BJ332)&lt;1,"OK","CHECK"))</f>
        <v/>
      </c>
      <c r="BK333" s="401">
        <f>IF(BK332="","",IF(ABS(BK332)&lt;1,"OK","CHECK"))</f>
        <v/>
      </c>
      <c r="BL333" s="401">
        <f>IF(BL332="","",IF(ABS(BL332)&lt;1,"OK","CHECK"))</f>
        <v/>
      </c>
      <c r="BM333" s="401">
        <f>IF(BM332="","",IF(ABS(BM332)&lt;1,"OK","CHECK"))</f>
        <v/>
      </c>
      <c r="BN333" s="401">
        <f>IF(BN332="","",IF(ABS(BN332)&lt;1,"OK","CHECK"))</f>
        <v/>
      </c>
      <c r="BO333" s="401">
        <f>IF(BO332="","",IF(ABS(BO332)&lt;1,"OK","CHECK"))</f>
        <v/>
      </c>
      <c r="BP333" s="401">
        <f>IF(BP332="","",IF(ABS(BP332)&lt;1,"OK","CHECK"))</f>
        <v/>
      </c>
      <c r="BQ333" s="401">
        <f>IF(BQ332="","",IF(ABS(BQ332)&lt;1,"OK","CHECK"))</f>
        <v/>
      </c>
      <c r="BR333" s="401">
        <f>IF(BR332="","",IF(ABS(BR332)&lt;1,"OK","CHECK"))</f>
        <v/>
      </c>
      <c r="BS333" s="401">
        <f>IF(BS332="","",IF(ABS(BS332)&lt;1,"OK","CHECK"))</f>
        <v/>
      </c>
      <c r="BT333" s="401">
        <f>IF(BT332="","",IF(ABS(BT332)&lt;1,"OK","CHECK"))</f>
        <v/>
      </c>
      <c r="BU333" s="401">
        <f>IF(BU332="","",IF(ABS(BU332)&lt;1,"OK","CHECK"))</f>
        <v/>
      </c>
      <c r="BV333" s="401">
        <f>IF(BV332="","",IF(ABS(BV332)&lt;1,"OK","CHECK"))</f>
        <v/>
      </c>
      <c r="BW333" s="401">
        <f>IF(BW332="","",IF(ABS(BW332)&lt;1,"OK","CHECK"))</f>
        <v/>
      </c>
      <c r="BX333" s="401">
        <f>IF(BX332="","",IF(ABS(BX332)&lt;1,"OK","CHECK"))</f>
        <v/>
      </c>
      <c r="BY333" s="401">
        <f>IF(BY332="","",IF(ABS(BY332)&lt;1,"OK","CHECK"))</f>
        <v/>
      </c>
      <c r="BZ333" s="401">
        <f>IF(BZ332="","",IF(ABS(BZ332)&lt;1,"OK","CHECK"))</f>
        <v/>
      </c>
      <c r="CA333" s="401">
        <f>IF(CA332="","",IF(ABS(CA332)&lt;1,"OK","CHECK"))</f>
        <v/>
      </c>
      <c r="CB333" s="401">
        <f>IF(CB332="","",IF(ABS(CB332)&lt;1,"OK","CHECK"))</f>
        <v/>
      </c>
      <c r="CC333" s="401">
        <f>IF(CC332="","",IF(ABS(CC332)&lt;1,"OK","CHECK"))</f>
        <v/>
      </c>
      <c r="CD333" s="401">
        <f>IF(CD332="","",IF(ABS(CD332)&lt;1,"OK","CHECK"))</f>
        <v/>
      </c>
      <c r="CE333" s="401">
        <f>IF(CE332="","",IF(ABS(CE332)&lt;1,"OK","CHECK"))</f>
        <v/>
      </c>
      <c r="CF333" s="401">
        <f>IF(CF332="","",IF(ABS(CF332)&lt;1,"OK","CHECK"))</f>
        <v/>
      </c>
      <c r="CG333" s="401">
        <f>IF(CG332="","",IF(ABS(CG332)&lt;1,"OK","CHECK"))</f>
        <v/>
      </c>
      <c r="CH333" s="401">
        <f>IF(CH332="","",IF(ABS(CH332)&lt;1,"OK","CHECK"))</f>
        <v/>
      </c>
      <c r="CI333" s="401">
        <f>IF(CI332="","",IF(ABS(CI332)&lt;1,"OK","CHECK"))</f>
        <v/>
      </c>
      <c r="CJ333" s="401">
        <f>IF(CJ332="","",IF(ABS(CJ332)&lt;1,"OK","CHECK"))</f>
        <v/>
      </c>
      <c r="CK333" s="401">
        <f>IF(CK332="","",IF(ABS(CK332)&lt;1,"OK","CHECK"))</f>
        <v/>
      </c>
      <c r="CL333" s="401">
        <f>IF(CL332="","",IF(ABS(CL332)&lt;1,"OK","CHECK"))</f>
        <v/>
      </c>
      <c r="CM333" s="401">
        <f>IF(CM332="","",IF(ABS(CM332)&lt;1,"OK","CHECK"))</f>
        <v/>
      </c>
      <c r="CN333" s="401">
        <f>IF(CN332="","",IF(ABS(CN332)&lt;1,"OK","CHECK"))</f>
        <v/>
      </c>
      <c r="CO333" s="401">
        <f>IF(CO332="","",IF(ABS(CO332)&lt;1,"OK","CHECK"))</f>
        <v/>
      </c>
      <c r="CP333" s="401">
        <f>IF(CP332="","",IF(ABS(CP332)&lt;1,"OK","CHECK"))</f>
        <v/>
      </c>
      <c r="CQ333" s="401">
        <f>IF(CQ332="","",IF(ABS(CQ332)&lt;1,"OK","CHECK"))</f>
        <v/>
      </c>
      <c r="CR333" s="401">
        <f>IF(CR332="","",IF(ABS(CR332)&lt;1,"OK","CHECK"))</f>
        <v/>
      </c>
      <c r="CS333" s="401">
        <f>IF(CS332="","",IF(ABS(CS332)&lt;1,"OK","CHECK"))</f>
        <v/>
      </c>
      <c r="CT333" s="401">
        <f>IF(CT332="","",IF(ABS(CT332)&lt;1,"OK","CHECK"))</f>
        <v/>
      </c>
      <c r="CU333" s="401">
        <f>IF(CU332="","",IF(ABS(CU332)&lt;1,"OK","CHECK"))</f>
        <v/>
      </c>
      <c r="CV333" s="401">
        <f>IF(CV332="","",IF(ABS(CV332)&lt;1,"OK","CHECK"))</f>
        <v/>
      </c>
      <c r="CW333" s="401">
        <f>IF(CW332="","",IF(ABS(CW332)&lt;1,"OK","CHECK"))</f>
        <v/>
      </c>
      <c r="CX333" s="401">
        <f>IF(CX332="","",IF(ABS(CX332)&lt;1,"OK","CHECK"))</f>
        <v/>
      </c>
      <c r="CY333" s="401">
        <f>IF(CY332="","",IF(ABS(CY332)&lt;1,"OK","CHECK"))</f>
        <v/>
      </c>
      <c r="CZ333" s="401">
        <f>IF(CZ332="","",IF(ABS(CZ332)&lt;1,"OK","CHECK"))</f>
        <v/>
      </c>
      <c r="DA333" s="401">
        <f>IF(DA332="","",IF(ABS(DA332)&lt;1,"OK","CHECK"))</f>
        <v/>
      </c>
      <c r="DB333" s="401">
        <f>IF(DB332="","",IF(ABS(DB332)&lt;1,"OK","CHECK"))</f>
        <v/>
      </c>
      <c r="DC333" s="401">
        <f>IF(DC332="","",IF(ABS(DC332)&lt;1,"OK","CHECK"))</f>
        <v/>
      </c>
      <c r="DD333" s="401">
        <f>IF(DD332="","",IF(ABS(DD332)&lt;1,"OK","CHECK"))</f>
        <v/>
      </c>
      <c r="DE333" s="401">
        <f>IF(DE332="","",IF(ABS(DE332)&lt;1,"OK","CHECK"))</f>
        <v/>
      </c>
    </row>
    <row r="334" ht="15" customHeight="1" s="410">
      <c r="A334" s="397" t="inlineStr">
        <is>
          <t>Prior pack: model ending cash projected for this month-end (hardcode at each close)</t>
        </is>
      </c>
      <c r="B334" s="392" t="n"/>
      <c r="C334" s="392" t="n"/>
      <c r="D334" s="392" t="n"/>
      <c r="E334" s="392" t="n"/>
      <c r="F334" s="392" t="n"/>
      <c r="G334" s="392" t="n"/>
      <c r="H334" s="453" t="n">
        <v>912018</v>
      </c>
      <c r="I334" s="453" t="n">
        <v>2649471</v>
      </c>
      <c r="J334" s="392" t="n"/>
      <c r="K334" s="392" t="n"/>
      <c r="L334" s="392" t="n"/>
      <c r="M334" s="392" t="n"/>
      <c r="N334" s="392" t="n"/>
      <c r="O334" s="392" t="n"/>
      <c r="P334" s="392" t="n"/>
      <c r="Q334" s="392" t="n"/>
      <c r="R334" s="392" t="n"/>
      <c r="S334" s="392" t="n"/>
      <c r="T334" s="392" t="n"/>
      <c r="U334" s="392" t="n"/>
      <c r="V334" s="392" t="n"/>
      <c r="W334" s="392" t="n"/>
      <c r="X334" s="392" t="n"/>
      <c r="Y334" s="392" t="n"/>
      <c r="Z334" s="392" t="n"/>
      <c r="AA334" s="392" t="n"/>
      <c r="AB334" s="392" t="n"/>
      <c r="AC334" s="392" t="n"/>
      <c r="AD334" s="392" t="n"/>
      <c r="AE334" s="392" t="n"/>
      <c r="AF334" s="392" t="n"/>
      <c r="AG334" s="392" t="n"/>
      <c r="AH334" s="392" t="n"/>
      <c r="AI334" s="392" t="n"/>
      <c r="AJ334" s="392" t="n"/>
      <c r="AK334" s="392" t="n"/>
      <c r="AL334" s="392" t="n"/>
      <c r="AM334" s="392" t="n"/>
      <c r="AN334" s="392" t="n"/>
      <c r="AO334" s="392" t="n"/>
      <c r="AP334" s="392" t="n"/>
      <c r="AQ334" s="392" t="n"/>
      <c r="AR334" s="392" t="n"/>
      <c r="AS334" s="392" t="n"/>
      <c r="AT334" s="392" t="n"/>
      <c r="AU334" s="392" t="n"/>
      <c r="AV334" s="392" t="n"/>
      <c r="AW334" s="392" t="n"/>
      <c r="AX334" s="392" t="n"/>
      <c r="AY334" s="392" t="n"/>
      <c r="AZ334" s="392" t="n"/>
      <c r="BA334" s="392" t="n"/>
      <c r="BB334" s="392" t="n"/>
      <c r="BC334" s="392" t="n"/>
      <c r="BD334" s="392" t="n"/>
      <c r="BE334" s="392" t="n"/>
      <c r="BF334" s="392" t="n"/>
      <c r="BG334" s="392" t="n"/>
      <c r="BH334" s="392" t="n"/>
      <c r="BI334" s="392" t="n"/>
      <c r="BJ334" s="392" t="n"/>
      <c r="BK334" s="392" t="n"/>
      <c r="BL334" s="392" t="n"/>
      <c r="BM334" s="392" t="n"/>
      <c r="BN334" s="392" t="n"/>
      <c r="BO334" s="392" t="n"/>
      <c r="BP334" s="392" t="n"/>
      <c r="BQ334" s="392" t="n"/>
      <c r="BR334" s="392" t="n"/>
      <c r="BS334" s="392" t="n"/>
      <c r="BT334" s="392" t="n"/>
      <c r="BU334" s="392" t="n"/>
      <c r="BV334" s="392" t="n"/>
      <c r="BW334" s="392" t="n"/>
      <c r="BX334" s="392" t="n"/>
      <c r="BY334" s="392" t="n"/>
      <c r="BZ334" s="392" t="n"/>
      <c r="CA334" s="392" t="n"/>
      <c r="CB334" s="392" t="n"/>
      <c r="CC334" s="392" t="n"/>
      <c r="CD334" s="392" t="n"/>
      <c r="CE334" s="392" t="n"/>
      <c r="CF334" s="392" t="n"/>
      <c r="CG334" s="392" t="n"/>
      <c r="CH334" s="392" t="n"/>
      <c r="CI334" s="392" t="n"/>
      <c r="CJ334" s="392" t="n"/>
      <c r="CK334" s="392" t="n"/>
      <c r="CL334" s="392" t="n"/>
      <c r="CM334" s="392" t="n"/>
      <c r="CN334" s="392" t="n"/>
      <c r="CO334" s="392" t="n"/>
      <c r="CP334" s="392" t="n"/>
      <c r="CQ334" s="392" t="n"/>
      <c r="CR334" s="392" t="n"/>
      <c r="CS334" s="392" t="n"/>
      <c r="CT334" s="392" t="n"/>
      <c r="CU334" s="392" t="n"/>
      <c r="CV334" s="392" t="n"/>
      <c r="CW334" s="392" t="n"/>
      <c r="CX334" s="392" t="n"/>
      <c r="CY334" s="392" t="n"/>
      <c r="CZ334" s="392" t="n"/>
      <c r="DA334" s="392" t="n"/>
      <c r="DB334" s="392" t="n"/>
      <c r="DC334" s="392" t="n"/>
      <c r="DD334" s="392" t="n"/>
      <c r="DE334" s="392" t="n"/>
    </row>
    <row r="335" ht="15" customHeight="1" s="410">
      <c r="A335" s="397" t="inlineStr">
        <is>
          <t>Forecast variance — prior pack less actual</t>
        </is>
      </c>
      <c r="B335" s="392">
        <f>IF(OR(B330="",B334=""),"",B334-B330)</f>
        <v/>
      </c>
      <c r="C335" s="392">
        <f>IF(OR(C330="",C334=""),"",C334-C330)</f>
        <v/>
      </c>
      <c r="D335" s="392">
        <f>IF(OR(D330="",D334=""),"",D334-D330)</f>
        <v/>
      </c>
      <c r="E335" s="392">
        <f>IF(OR(E330="",E334=""),"",E334-E330)</f>
        <v/>
      </c>
      <c r="F335" s="392">
        <f>IF(OR(F330="",F334=""),"",F334-F330)</f>
        <v/>
      </c>
      <c r="G335" s="392">
        <f>IF(OR(G330="",G334=""),"",G334-G330)</f>
        <v/>
      </c>
      <c r="H335" s="392">
        <f>IF(OR(H330="",H334=""),"",H334-H330)</f>
        <v/>
      </c>
      <c r="I335" s="392">
        <f>IF(OR(I330="",I334=""),"",I334-I330)</f>
        <v/>
      </c>
      <c r="J335" s="392">
        <f>IF(OR(J330="",J334=""),"",J334-J330)</f>
        <v/>
      </c>
      <c r="K335" s="392">
        <f>IF(OR(K330="",K334=""),"",K334-K330)</f>
        <v/>
      </c>
      <c r="L335" s="392">
        <f>IF(OR(L330="",L334=""),"",L334-L330)</f>
        <v/>
      </c>
      <c r="M335" s="392">
        <f>IF(OR(M330="",M334=""),"",M334-M330)</f>
        <v/>
      </c>
      <c r="N335" s="392">
        <f>IF(OR(N330="",N334=""),"",N334-N330)</f>
        <v/>
      </c>
      <c r="O335" s="392">
        <f>IF(OR(O330="",O334=""),"",O334-O330)</f>
        <v/>
      </c>
      <c r="P335" s="392">
        <f>IF(OR(P330="",P334=""),"",P334-P330)</f>
        <v/>
      </c>
      <c r="Q335" s="392">
        <f>IF(OR(Q330="",Q334=""),"",Q334-Q330)</f>
        <v/>
      </c>
      <c r="R335" s="392">
        <f>IF(OR(R330="",R334=""),"",R334-R330)</f>
        <v/>
      </c>
      <c r="S335" s="392">
        <f>IF(OR(S330="",S334=""),"",S334-S330)</f>
        <v/>
      </c>
      <c r="T335" s="392">
        <f>IF(OR(T330="",T334=""),"",T334-T330)</f>
        <v/>
      </c>
      <c r="U335" s="392">
        <f>IF(OR(U330="",U334=""),"",U334-U330)</f>
        <v/>
      </c>
      <c r="V335" s="392">
        <f>IF(OR(V330="",V334=""),"",V334-V330)</f>
        <v/>
      </c>
      <c r="W335" s="392">
        <f>IF(OR(W330="",W334=""),"",W334-W330)</f>
        <v/>
      </c>
      <c r="X335" s="392">
        <f>IF(OR(X330="",X334=""),"",X334-X330)</f>
        <v/>
      </c>
      <c r="Y335" s="392">
        <f>IF(OR(Y330="",Y334=""),"",Y334-Y330)</f>
        <v/>
      </c>
      <c r="Z335" s="392">
        <f>IF(OR(Z330="",Z334=""),"",Z334-Z330)</f>
        <v/>
      </c>
      <c r="AA335" s="392">
        <f>IF(OR(AA330="",AA334=""),"",AA334-AA330)</f>
        <v/>
      </c>
      <c r="AB335" s="392">
        <f>IF(OR(AB330="",AB334=""),"",AB334-AB330)</f>
        <v/>
      </c>
      <c r="AC335" s="392">
        <f>IF(OR(AC330="",AC334=""),"",AC334-AC330)</f>
        <v/>
      </c>
      <c r="AD335" s="392">
        <f>IF(OR(AD330="",AD334=""),"",AD334-AD330)</f>
        <v/>
      </c>
      <c r="AE335" s="392">
        <f>IF(OR(AE330="",AE334=""),"",AE334-AE330)</f>
        <v/>
      </c>
      <c r="AF335" s="392">
        <f>IF(OR(AF330="",AF334=""),"",AF334-AF330)</f>
        <v/>
      </c>
      <c r="AG335" s="392">
        <f>IF(OR(AG330="",AG334=""),"",AG334-AG330)</f>
        <v/>
      </c>
      <c r="AH335" s="392">
        <f>IF(OR(AH330="",AH334=""),"",AH334-AH330)</f>
        <v/>
      </c>
      <c r="AI335" s="392">
        <f>IF(OR(AI330="",AI334=""),"",AI334-AI330)</f>
        <v/>
      </c>
      <c r="AJ335" s="392">
        <f>IF(OR(AJ330="",AJ334=""),"",AJ334-AJ330)</f>
        <v/>
      </c>
      <c r="AK335" s="392">
        <f>IF(OR(AK330="",AK334=""),"",AK334-AK330)</f>
        <v/>
      </c>
      <c r="AL335" s="392">
        <f>IF(OR(AL330="",AL334=""),"",AL334-AL330)</f>
        <v/>
      </c>
      <c r="AM335" s="392">
        <f>IF(OR(AM330="",AM334=""),"",AM334-AM330)</f>
        <v/>
      </c>
      <c r="AN335" s="392">
        <f>IF(OR(AN330="",AN334=""),"",AN334-AN330)</f>
        <v/>
      </c>
      <c r="AO335" s="392">
        <f>IF(OR(AO330="",AO334=""),"",AO334-AO330)</f>
        <v/>
      </c>
      <c r="AP335" s="392">
        <f>IF(OR(AP330="",AP334=""),"",AP334-AP330)</f>
        <v/>
      </c>
      <c r="AQ335" s="392">
        <f>IF(OR(AQ330="",AQ334=""),"",AQ334-AQ330)</f>
        <v/>
      </c>
      <c r="AR335" s="392">
        <f>IF(OR(AR330="",AR334=""),"",AR334-AR330)</f>
        <v/>
      </c>
      <c r="AS335" s="392">
        <f>IF(OR(AS330="",AS334=""),"",AS334-AS330)</f>
        <v/>
      </c>
      <c r="AT335" s="392">
        <f>IF(OR(AT330="",AT334=""),"",AT334-AT330)</f>
        <v/>
      </c>
      <c r="AU335" s="392">
        <f>IF(OR(AU330="",AU334=""),"",AU334-AU330)</f>
        <v/>
      </c>
      <c r="AV335" s="392">
        <f>IF(OR(AV330="",AV334=""),"",AV334-AV330)</f>
        <v/>
      </c>
      <c r="AW335" s="392">
        <f>IF(OR(AW330="",AW334=""),"",AW334-AW330)</f>
        <v/>
      </c>
      <c r="AX335" s="392">
        <f>IF(OR(AX330="",AX334=""),"",AX334-AX330)</f>
        <v/>
      </c>
      <c r="AY335" s="392">
        <f>IF(OR(AY330="",AY334=""),"",AY334-AY330)</f>
        <v/>
      </c>
      <c r="AZ335" s="392">
        <f>IF(OR(AZ330="",AZ334=""),"",AZ334-AZ330)</f>
        <v/>
      </c>
      <c r="BA335" s="392">
        <f>IF(OR(BA330="",BA334=""),"",BA334-BA330)</f>
        <v/>
      </c>
      <c r="BB335" s="392">
        <f>IF(OR(BB330="",BB334=""),"",BB334-BB330)</f>
        <v/>
      </c>
      <c r="BC335" s="392">
        <f>IF(OR(BC330="",BC334=""),"",BC334-BC330)</f>
        <v/>
      </c>
      <c r="BD335" s="392">
        <f>IF(OR(BD330="",BD334=""),"",BD334-BD330)</f>
        <v/>
      </c>
      <c r="BE335" s="392">
        <f>IF(OR(BE330="",BE334=""),"",BE334-BE330)</f>
        <v/>
      </c>
      <c r="BF335" s="392">
        <f>IF(OR(BF330="",BF334=""),"",BF334-BF330)</f>
        <v/>
      </c>
      <c r="BG335" s="392">
        <f>IF(OR(BG330="",BG334=""),"",BG334-BG330)</f>
        <v/>
      </c>
      <c r="BH335" s="392">
        <f>IF(OR(BH330="",BH334=""),"",BH334-BH330)</f>
        <v/>
      </c>
      <c r="BI335" s="392">
        <f>IF(OR(BI330="",BI334=""),"",BI334-BI330)</f>
        <v/>
      </c>
      <c r="BJ335" s="392">
        <f>IF(OR(BJ330="",BJ334=""),"",BJ334-BJ330)</f>
        <v/>
      </c>
      <c r="BK335" s="392">
        <f>IF(OR(BK330="",BK334=""),"",BK334-BK330)</f>
        <v/>
      </c>
      <c r="BL335" s="392">
        <f>IF(OR(BL330="",BL334=""),"",BL334-BL330)</f>
        <v/>
      </c>
      <c r="BM335" s="392">
        <f>IF(OR(BM330="",BM334=""),"",BM334-BM330)</f>
        <v/>
      </c>
      <c r="BN335" s="392">
        <f>IF(OR(BN330="",BN334=""),"",BN334-BN330)</f>
        <v/>
      </c>
      <c r="BO335" s="392">
        <f>IF(OR(BO330="",BO334=""),"",BO334-BO330)</f>
        <v/>
      </c>
      <c r="BP335" s="392">
        <f>IF(OR(BP330="",BP334=""),"",BP334-BP330)</f>
        <v/>
      </c>
      <c r="BQ335" s="392">
        <f>IF(OR(BQ330="",BQ334=""),"",BQ334-BQ330)</f>
        <v/>
      </c>
      <c r="BR335" s="392">
        <f>IF(OR(BR330="",BR334=""),"",BR334-BR330)</f>
        <v/>
      </c>
      <c r="BS335" s="392">
        <f>IF(OR(BS330="",BS334=""),"",BS334-BS330)</f>
        <v/>
      </c>
      <c r="BT335" s="392">
        <f>IF(OR(BT330="",BT334=""),"",BT334-BT330)</f>
        <v/>
      </c>
      <c r="BU335" s="392">
        <f>IF(OR(BU330="",BU334=""),"",BU334-BU330)</f>
        <v/>
      </c>
      <c r="BV335" s="392">
        <f>IF(OR(BV330="",BV334=""),"",BV334-BV330)</f>
        <v/>
      </c>
      <c r="BW335" s="392">
        <f>IF(OR(BW330="",BW334=""),"",BW334-BW330)</f>
        <v/>
      </c>
      <c r="BX335" s="392">
        <f>IF(OR(BX330="",BX334=""),"",BX334-BX330)</f>
        <v/>
      </c>
      <c r="BY335" s="392">
        <f>IF(OR(BY330="",BY334=""),"",BY334-BY330)</f>
        <v/>
      </c>
      <c r="BZ335" s="392">
        <f>IF(OR(BZ330="",BZ334=""),"",BZ334-BZ330)</f>
        <v/>
      </c>
      <c r="CA335" s="392">
        <f>IF(OR(CA330="",CA334=""),"",CA334-CA330)</f>
        <v/>
      </c>
      <c r="CB335" s="392">
        <f>IF(OR(CB330="",CB334=""),"",CB334-CB330)</f>
        <v/>
      </c>
      <c r="CC335" s="392">
        <f>IF(OR(CC330="",CC334=""),"",CC334-CC330)</f>
        <v/>
      </c>
      <c r="CD335" s="392">
        <f>IF(OR(CD330="",CD334=""),"",CD334-CD330)</f>
        <v/>
      </c>
      <c r="CE335" s="392">
        <f>IF(OR(CE330="",CE334=""),"",CE334-CE330)</f>
        <v/>
      </c>
      <c r="CF335" s="392">
        <f>IF(OR(CF330="",CF334=""),"",CF334-CF330)</f>
        <v/>
      </c>
      <c r="CG335" s="392">
        <f>IF(OR(CG330="",CG334=""),"",CG334-CG330)</f>
        <v/>
      </c>
      <c r="CH335" s="392">
        <f>IF(OR(CH330="",CH334=""),"",CH334-CH330)</f>
        <v/>
      </c>
      <c r="CI335" s="392">
        <f>IF(OR(CI330="",CI334=""),"",CI334-CI330)</f>
        <v/>
      </c>
      <c r="CJ335" s="392">
        <f>IF(OR(CJ330="",CJ334=""),"",CJ334-CJ330)</f>
        <v/>
      </c>
      <c r="CK335" s="392">
        <f>IF(OR(CK330="",CK334=""),"",CK334-CK330)</f>
        <v/>
      </c>
      <c r="CL335" s="392">
        <f>IF(OR(CL330="",CL334=""),"",CL334-CL330)</f>
        <v/>
      </c>
      <c r="CM335" s="392">
        <f>IF(OR(CM330="",CM334=""),"",CM334-CM330)</f>
        <v/>
      </c>
      <c r="CN335" s="392">
        <f>IF(OR(CN330="",CN334=""),"",CN334-CN330)</f>
        <v/>
      </c>
      <c r="CO335" s="392">
        <f>IF(OR(CO330="",CO334=""),"",CO334-CO330)</f>
        <v/>
      </c>
      <c r="CP335" s="392">
        <f>IF(OR(CP330="",CP334=""),"",CP334-CP330)</f>
        <v/>
      </c>
      <c r="CQ335" s="392">
        <f>IF(OR(CQ330="",CQ334=""),"",CQ334-CQ330)</f>
        <v/>
      </c>
      <c r="CR335" s="392">
        <f>IF(OR(CR330="",CR334=""),"",CR334-CR330)</f>
        <v/>
      </c>
      <c r="CS335" s="392">
        <f>IF(OR(CS330="",CS334=""),"",CS334-CS330)</f>
        <v/>
      </c>
      <c r="CT335" s="392">
        <f>IF(OR(CT330="",CT334=""),"",CT334-CT330)</f>
        <v/>
      </c>
      <c r="CU335" s="392">
        <f>IF(OR(CU330="",CU334=""),"",CU334-CU330)</f>
        <v/>
      </c>
      <c r="CV335" s="392">
        <f>IF(OR(CV330="",CV334=""),"",CV334-CV330)</f>
        <v/>
      </c>
      <c r="CW335" s="392">
        <f>IF(OR(CW330="",CW334=""),"",CW334-CW330)</f>
        <v/>
      </c>
      <c r="CX335" s="392">
        <f>IF(OR(CX330="",CX334=""),"",CX334-CX330)</f>
        <v/>
      </c>
      <c r="CY335" s="392">
        <f>IF(OR(CY330="",CY334=""),"",CY334-CY330)</f>
        <v/>
      </c>
      <c r="CZ335" s="392">
        <f>IF(OR(CZ330="",CZ334=""),"",CZ334-CZ330)</f>
        <v/>
      </c>
      <c r="DA335" s="392">
        <f>IF(OR(DA330="",DA334=""),"",DA334-DA330)</f>
        <v/>
      </c>
      <c r="DB335" s="392">
        <f>IF(OR(DB330="",DB334=""),"",DB334-DB330)</f>
        <v/>
      </c>
      <c r="DC335" s="392">
        <f>IF(OR(DC330="",DC334=""),"",DC334-DC330)</f>
        <v/>
      </c>
      <c r="DD335" s="392">
        <f>IF(OR(DD330="",DD334=""),"",DD334-DD330)</f>
        <v/>
      </c>
      <c r="DE335" s="392">
        <f>IF(OR(DE330="",DE334=""),"",DE334-DE330)</f>
        <v/>
      </c>
    </row>
    <row r="337" ht="15" customHeight="1" s="410">
      <c r="A337" s="402" t="inlineStr">
        <is>
          <t>E. ACTUAL CASH ROLL-FORWARD — model-basis net income to B/S cash (why cash moved)</t>
        </is>
      </c>
      <c r="B337" s="414" t="n"/>
      <c r="C337" s="414" t="n"/>
      <c r="D337" s="414" t="n"/>
      <c r="E337" s="414" t="n"/>
      <c r="F337" s="414" t="n"/>
      <c r="G337" s="414" t="n"/>
      <c r="H337" s="414" t="n"/>
      <c r="I337" s="414" t="n"/>
      <c r="J337" s="414" t="n"/>
      <c r="K337" s="414" t="n"/>
      <c r="L337" s="414" t="n"/>
      <c r="M337" s="414" t="n"/>
      <c r="N337" s="414" t="n"/>
      <c r="O337" s="414" t="n"/>
      <c r="P337" s="414" t="n"/>
      <c r="Q337" s="414" t="n"/>
      <c r="R337" s="414" t="n"/>
      <c r="S337" s="414" t="n"/>
      <c r="T337" s="414" t="n"/>
      <c r="U337" s="414" t="n"/>
      <c r="V337" s="414" t="n"/>
      <c r="W337" s="414" t="n"/>
      <c r="X337" s="414" t="n"/>
      <c r="Y337" s="414" t="n"/>
      <c r="Z337" s="414" t="n"/>
      <c r="AA337" s="414" t="n"/>
      <c r="AB337" s="414" t="n"/>
      <c r="AC337" s="414" t="n"/>
      <c r="AD337" s="414" t="n"/>
      <c r="AE337" s="414" t="n"/>
      <c r="AF337" s="414" t="n"/>
      <c r="AG337" s="414" t="n"/>
      <c r="AH337" s="414" t="n"/>
      <c r="AI337" s="414" t="n"/>
      <c r="AJ337" s="414" t="n"/>
      <c r="AK337" s="414" t="n"/>
      <c r="AL337" s="414" t="n"/>
      <c r="AM337" s="414" t="n"/>
      <c r="AN337" s="414" t="n"/>
      <c r="AO337" s="414" t="n"/>
      <c r="AP337" s="414" t="n"/>
      <c r="AQ337" s="414" t="n"/>
      <c r="AR337" s="414" t="n"/>
      <c r="AS337" s="414" t="n"/>
      <c r="AT337" s="414" t="n"/>
      <c r="AU337" s="414" t="n"/>
      <c r="AV337" s="414" t="n"/>
      <c r="AW337" s="414" t="n"/>
      <c r="AX337" s="414" t="n"/>
      <c r="AY337" s="414" t="n"/>
      <c r="AZ337" s="414" t="n"/>
      <c r="BA337" s="414" t="n"/>
      <c r="BB337" s="414" t="n"/>
      <c r="BC337" s="414" t="n"/>
      <c r="BD337" s="414" t="n"/>
      <c r="BE337" s="414" t="n"/>
      <c r="BF337" s="414" t="n"/>
      <c r="BG337" s="414" t="n"/>
      <c r="BH337" s="414" t="n"/>
      <c r="BI337" s="414" t="n"/>
      <c r="BJ337" s="414" t="n"/>
      <c r="BK337" s="414" t="n"/>
      <c r="BL337" s="414" t="n"/>
      <c r="BM337" s="414" t="n"/>
      <c r="BN337" s="414" t="n"/>
      <c r="BO337" s="414" t="n"/>
      <c r="BP337" s="414" t="n"/>
      <c r="BQ337" s="414" t="n"/>
      <c r="BR337" s="414" t="n"/>
      <c r="BS337" s="414" t="n"/>
      <c r="BT337" s="414" t="n"/>
      <c r="BU337" s="414" t="n"/>
      <c r="BV337" s="414" t="n"/>
      <c r="BW337" s="414" t="n"/>
      <c r="BX337" s="414" t="n"/>
      <c r="BY337" s="414" t="n"/>
      <c r="BZ337" s="414" t="n"/>
      <c r="CA337" s="414" t="n"/>
      <c r="CB337" s="414" t="n"/>
      <c r="CC337" s="414" t="n"/>
      <c r="CD337" s="414" t="n"/>
      <c r="CE337" s="414" t="n"/>
      <c r="CF337" s="414" t="n"/>
      <c r="CG337" s="414" t="n"/>
      <c r="CH337" s="414" t="n"/>
      <c r="CI337" s="414" t="n"/>
      <c r="CJ337" s="414" t="n"/>
      <c r="CK337" s="414" t="n"/>
      <c r="CL337" s="414" t="n"/>
      <c r="CM337" s="414" t="n"/>
      <c r="CN337" s="414" t="n"/>
      <c r="CO337" s="414" t="n"/>
      <c r="CP337" s="414" t="n"/>
      <c r="CQ337" s="414" t="n"/>
      <c r="CR337" s="414" t="n"/>
      <c r="CS337" s="414" t="n"/>
      <c r="CT337" s="414" t="n"/>
      <c r="CU337" s="414" t="n"/>
      <c r="CV337" s="414" t="n"/>
      <c r="CW337" s="414" t="n"/>
      <c r="CX337" s="414" t="n"/>
      <c r="CY337" s="414" t="n"/>
      <c r="CZ337" s="414" t="n"/>
      <c r="DA337" s="414" t="n"/>
      <c r="DB337" s="414" t="n"/>
      <c r="DC337" s="414" t="n"/>
      <c r="DD337" s="414" t="n"/>
      <c r="DE337" s="414" t="n"/>
    </row>
    <row r="338" ht="15" customHeight="1" s="410">
      <c r="A338" s="450" t="inlineStr">
        <is>
          <t>Opening balances at 31-Dec-25 (packs' balance-forward columns) — column B holds the value</t>
        </is>
      </c>
      <c r="B338" s="392" t="n"/>
      <c r="C338" s="392" t="n"/>
      <c r="D338" s="392" t="n"/>
      <c r="E338" s="392" t="n"/>
      <c r="F338" s="392" t="n"/>
      <c r="G338" s="392" t="n"/>
      <c r="H338" s="392" t="n"/>
      <c r="I338" s="392" t="n"/>
      <c r="J338" s="392" t="n"/>
      <c r="K338" s="392" t="n"/>
      <c r="L338" s="392" t="n"/>
      <c r="M338" s="392" t="n"/>
      <c r="N338" s="392" t="n"/>
      <c r="O338" s="392" t="n"/>
      <c r="P338" s="392" t="n"/>
      <c r="Q338" s="392" t="n"/>
      <c r="R338" s="392" t="n"/>
      <c r="S338" s="392" t="n"/>
      <c r="T338" s="392" t="n"/>
      <c r="U338" s="392" t="n"/>
      <c r="V338" s="392" t="n"/>
      <c r="W338" s="392" t="n"/>
      <c r="X338" s="392" t="n"/>
      <c r="Y338" s="392" t="n"/>
      <c r="Z338" s="392" t="n"/>
      <c r="AA338" s="392" t="n"/>
      <c r="AB338" s="392" t="n"/>
      <c r="AC338" s="392" t="n"/>
      <c r="AD338" s="392" t="n"/>
      <c r="AE338" s="392" t="n"/>
      <c r="AF338" s="392" t="n"/>
      <c r="AG338" s="392" t="n"/>
      <c r="AH338" s="392" t="n"/>
      <c r="AI338" s="392" t="n"/>
      <c r="AJ338" s="392" t="n"/>
      <c r="AK338" s="392" t="n"/>
      <c r="AL338" s="392" t="n"/>
      <c r="AM338" s="392" t="n"/>
      <c r="AN338" s="392" t="n"/>
      <c r="AO338" s="392" t="n"/>
      <c r="AP338" s="392" t="n"/>
      <c r="AQ338" s="392" t="n"/>
      <c r="AR338" s="392" t="n"/>
      <c r="AS338" s="392" t="n"/>
      <c r="AT338" s="392" t="n"/>
      <c r="AU338" s="392" t="n"/>
      <c r="AV338" s="392" t="n"/>
      <c r="AW338" s="392" t="n"/>
      <c r="AX338" s="392" t="n"/>
      <c r="AY338" s="392" t="n"/>
      <c r="AZ338" s="392" t="n"/>
      <c r="BA338" s="392" t="n"/>
      <c r="BB338" s="392" t="n"/>
      <c r="BC338" s="392" t="n"/>
      <c r="BD338" s="392" t="n"/>
      <c r="BE338" s="392" t="n"/>
      <c r="BF338" s="392" t="n"/>
      <c r="BG338" s="392" t="n"/>
      <c r="BH338" s="392" t="n"/>
      <c r="BI338" s="392" t="n"/>
      <c r="BJ338" s="392" t="n"/>
      <c r="BK338" s="392" t="n"/>
      <c r="BL338" s="392" t="n"/>
      <c r="BM338" s="392" t="n"/>
      <c r="BN338" s="392" t="n"/>
      <c r="BO338" s="392" t="n"/>
      <c r="BP338" s="392" t="n"/>
      <c r="BQ338" s="392" t="n"/>
      <c r="BR338" s="392" t="n"/>
      <c r="BS338" s="392" t="n"/>
      <c r="BT338" s="392" t="n"/>
      <c r="BU338" s="392" t="n"/>
      <c r="BV338" s="392" t="n"/>
      <c r="BW338" s="392" t="n"/>
      <c r="BX338" s="392" t="n"/>
      <c r="BY338" s="392" t="n"/>
      <c r="BZ338" s="392" t="n"/>
      <c r="CA338" s="392" t="n"/>
      <c r="CB338" s="392" t="n"/>
      <c r="CC338" s="392" t="n"/>
      <c r="CD338" s="392" t="n"/>
      <c r="CE338" s="392" t="n"/>
      <c r="CF338" s="392" t="n"/>
      <c r="CG338" s="392" t="n"/>
      <c r="CH338" s="392" t="n"/>
      <c r="CI338" s="392" t="n"/>
      <c r="CJ338" s="392" t="n"/>
      <c r="CK338" s="392" t="n"/>
      <c r="CL338" s="392" t="n"/>
      <c r="CM338" s="392" t="n"/>
      <c r="CN338" s="392" t="n"/>
      <c r="CO338" s="392" t="n"/>
      <c r="CP338" s="392" t="n"/>
      <c r="CQ338" s="392" t="n"/>
      <c r="CR338" s="392" t="n"/>
      <c r="CS338" s="392" t="n"/>
      <c r="CT338" s="392" t="n"/>
      <c r="CU338" s="392" t="n"/>
      <c r="CV338" s="392" t="n"/>
      <c r="CW338" s="392" t="n"/>
      <c r="CX338" s="392" t="n"/>
      <c r="CY338" s="392" t="n"/>
      <c r="CZ338" s="392" t="n"/>
      <c r="DA338" s="392" t="n"/>
      <c r="DB338" s="392" t="n"/>
      <c r="DC338" s="392" t="n"/>
      <c r="DD338" s="392" t="n"/>
      <c r="DE338" s="392" t="n"/>
    </row>
    <row r="339" ht="15" customHeight="1" s="410">
      <c r="A339" s="397" t="inlineStr">
        <is>
          <t xml:space="preserve">     LV cash</t>
        </is>
      </c>
      <c r="B339" s="453" t="n">
        <v>489587</v>
      </c>
      <c r="C339" s="392" t="n"/>
      <c r="D339" s="392" t="n"/>
      <c r="E339" s="392" t="n"/>
      <c r="F339" s="392" t="n"/>
      <c r="G339" s="392" t="n"/>
      <c r="H339" s="392" t="n"/>
      <c r="I339" s="392" t="n"/>
      <c r="J339" s="392" t="n"/>
      <c r="K339" s="392" t="n"/>
      <c r="L339" s="392" t="n"/>
      <c r="M339" s="392" t="n"/>
      <c r="N339" s="392" t="n"/>
      <c r="O339" s="392" t="n"/>
      <c r="P339" s="392" t="n"/>
      <c r="Q339" s="392" t="n"/>
      <c r="R339" s="392" t="n"/>
      <c r="S339" s="392" t="n"/>
      <c r="T339" s="392" t="n"/>
      <c r="U339" s="392" t="n"/>
      <c r="V339" s="392" t="n"/>
      <c r="W339" s="392" t="n"/>
      <c r="X339" s="392" t="n"/>
      <c r="Y339" s="392" t="n"/>
      <c r="Z339" s="392" t="n"/>
      <c r="AA339" s="392" t="n"/>
      <c r="AB339" s="392" t="n"/>
      <c r="AC339" s="392" t="n"/>
      <c r="AD339" s="392" t="n"/>
      <c r="AE339" s="392" t="n"/>
      <c r="AF339" s="392" t="n"/>
      <c r="AG339" s="392" t="n"/>
      <c r="AH339" s="392" t="n"/>
      <c r="AI339" s="392" t="n"/>
      <c r="AJ339" s="392" t="n"/>
      <c r="AK339" s="392" t="n"/>
      <c r="AL339" s="392" t="n"/>
      <c r="AM339" s="392" t="n"/>
      <c r="AN339" s="392" t="n"/>
      <c r="AO339" s="392" t="n"/>
      <c r="AP339" s="392" t="n"/>
      <c r="AQ339" s="392" t="n"/>
      <c r="AR339" s="392" t="n"/>
      <c r="AS339" s="392" t="n"/>
      <c r="AT339" s="392" t="n"/>
      <c r="AU339" s="392" t="n"/>
      <c r="AV339" s="392" t="n"/>
      <c r="AW339" s="392" t="n"/>
      <c r="AX339" s="392" t="n"/>
      <c r="AY339" s="392" t="n"/>
      <c r="AZ339" s="392" t="n"/>
      <c r="BA339" s="392" t="n"/>
      <c r="BB339" s="392" t="n"/>
      <c r="BC339" s="392" t="n"/>
      <c r="BD339" s="392" t="n"/>
      <c r="BE339" s="392" t="n"/>
      <c r="BF339" s="392" t="n"/>
      <c r="BG339" s="392" t="n"/>
      <c r="BH339" s="392" t="n"/>
      <c r="BI339" s="392" t="n"/>
      <c r="BJ339" s="392" t="n"/>
      <c r="BK339" s="392" t="n"/>
      <c r="BL339" s="392" t="n"/>
      <c r="BM339" s="392" t="n"/>
      <c r="BN339" s="392" t="n"/>
      <c r="BO339" s="392" t="n"/>
      <c r="BP339" s="392" t="n"/>
      <c r="BQ339" s="392" t="n"/>
      <c r="BR339" s="392" t="n"/>
      <c r="BS339" s="392" t="n"/>
      <c r="BT339" s="392" t="n"/>
      <c r="BU339" s="392" t="n"/>
      <c r="BV339" s="392" t="n"/>
      <c r="BW339" s="392" t="n"/>
      <c r="BX339" s="392" t="n"/>
      <c r="BY339" s="392" t="n"/>
      <c r="BZ339" s="392" t="n"/>
      <c r="CA339" s="392" t="n"/>
      <c r="CB339" s="392" t="n"/>
      <c r="CC339" s="392" t="n"/>
      <c r="CD339" s="392" t="n"/>
      <c r="CE339" s="392" t="n"/>
      <c r="CF339" s="392" t="n"/>
      <c r="CG339" s="392" t="n"/>
      <c r="CH339" s="392" t="n"/>
      <c r="CI339" s="392" t="n"/>
      <c r="CJ339" s="392" t="n"/>
      <c r="CK339" s="392" t="n"/>
      <c r="CL339" s="392" t="n"/>
      <c r="CM339" s="392" t="n"/>
      <c r="CN339" s="392" t="n"/>
      <c r="CO339" s="392" t="n"/>
      <c r="CP339" s="392" t="n"/>
      <c r="CQ339" s="392" t="n"/>
      <c r="CR339" s="392" t="n"/>
      <c r="CS339" s="392" t="n"/>
      <c r="CT339" s="392" t="n"/>
      <c r="CU339" s="392" t="n"/>
      <c r="CV339" s="392" t="n"/>
      <c r="CW339" s="392" t="n"/>
      <c r="CX339" s="392" t="n"/>
      <c r="CY339" s="392" t="n"/>
      <c r="CZ339" s="392" t="n"/>
      <c r="DA339" s="392" t="n"/>
      <c r="DB339" s="392" t="n"/>
      <c r="DC339" s="392" t="n"/>
      <c r="DD339" s="392" t="n"/>
      <c r="DE339" s="392" t="n"/>
    </row>
    <row r="340" ht="15" customHeight="1" s="410">
      <c r="A340" s="397" t="inlineStr">
        <is>
          <t xml:space="preserve">     LV receivables (AR + retention + other)</t>
        </is>
      </c>
      <c r="B340" s="453" t="n">
        <v>3526180</v>
      </c>
      <c r="C340" s="392" t="n"/>
      <c r="D340" s="392" t="n"/>
      <c r="E340" s="392" t="n"/>
      <c r="F340" s="392" t="n"/>
      <c r="G340" s="392" t="n"/>
      <c r="H340" s="392" t="n"/>
      <c r="I340" s="392" t="n"/>
      <c r="J340" s="392" t="n"/>
      <c r="K340" s="392" t="n"/>
      <c r="L340" s="392" t="n"/>
      <c r="M340" s="392" t="n"/>
      <c r="N340" s="392" t="n"/>
      <c r="O340" s="392" t="n"/>
      <c r="P340" s="392" t="n"/>
      <c r="Q340" s="392" t="n"/>
      <c r="R340" s="392" t="n"/>
      <c r="S340" s="392" t="n"/>
      <c r="T340" s="392" t="n"/>
      <c r="U340" s="392" t="n"/>
      <c r="V340" s="392" t="n"/>
      <c r="W340" s="392" t="n"/>
      <c r="X340" s="392" t="n"/>
      <c r="Y340" s="392" t="n"/>
      <c r="Z340" s="392" t="n"/>
      <c r="AA340" s="392" t="n"/>
      <c r="AB340" s="392" t="n"/>
      <c r="AC340" s="392" t="n"/>
      <c r="AD340" s="392" t="n"/>
      <c r="AE340" s="392" t="n"/>
      <c r="AF340" s="392" t="n"/>
      <c r="AG340" s="392" t="n"/>
      <c r="AH340" s="392" t="n"/>
      <c r="AI340" s="392" t="n"/>
      <c r="AJ340" s="392" t="n"/>
      <c r="AK340" s="392" t="n"/>
      <c r="AL340" s="392" t="n"/>
      <c r="AM340" s="392" t="n"/>
      <c r="AN340" s="392" t="n"/>
      <c r="AO340" s="392" t="n"/>
      <c r="AP340" s="392" t="n"/>
      <c r="AQ340" s="392" t="n"/>
      <c r="AR340" s="392" t="n"/>
      <c r="AS340" s="392" t="n"/>
      <c r="AT340" s="392" t="n"/>
      <c r="AU340" s="392" t="n"/>
      <c r="AV340" s="392" t="n"/>
      <c r="AW340" s="392" t="n"/>
      <c r="AX340" s="392" t="n"/>
      <c r="AY340" s="392" t="n"/>
      <c r="AZ340" s="392" t="n"/>
      <c r="BA340" s="392" t="n"/>
      <c r="BB340" s="392" t="n"/>
      <c r="BC340" s="392" t="n"/>
      <c r="BD340" s="392" t="n"/>
      <c r="BE340" s="392" t="n"/>
      <c r="BF340" s="392" t="n"/>
      <c r="BG340" s="392" t="n"/>
      <c r="BH340" s="392" t="n"/>
      <c r="BI340" s="392" t="n"/>
      <c r="BJ340" s="392" t="n"/>
      <c r="BK340" s="392" t="n"/>
      <c r="BL340" s="392" t="n"/>
      <c r="BM340" s="392" t="n"/>
      <c r="BN340" s="392" t="n"/>
      <c r="BO340" s="392" t="n"/>
      <c r="BP340" s="392" t="n"/>
      <c r="BQ340" s="392" t="n"/>
      <c r="BR340" s="392" t="n"/>
      <c r="BS340" s="392" t="n"/>
      <c r="BT340" s="392" t="n"/>
      <c r="BU340" s="392" t="n"/>
      <c r="BV340" s="392" t="n"/>
      <c r="BW340" s="392" t="n"/>
      <c r="BX340" s="392" t="n"/>
      <c r="BY340" s="392" t="n"/>
      <c r="BZ340" s="392" t="n"/>
      <c r="CA340" s="392" t="n"/>
      <c r="CB340" s="392" t="n"/>
      <c r="CC340" s="392" t="n"/>
      <c r="CD340" s="392" t="n"/>
      <c r="CE340" s="392" t="n"/>
      <c r="CF340" s="392" t="n"/>
      <c r="CG340" s="392" t="n"/>
      <c r="CH340" s="392" t="n"/>
      <c r="CI340" s="392" t="n"/>
      <c r="CJ340" s="392" t="n"/>
      <c r="CK340" s="392" t="n"/>
      <c r="CL340" s="392" t="n"/>
      <c r="CM340" s="392" t="n"/>
      <c r="CN340" s="392" t="n"/>
      <c r="CO340" s="392" t="n"/>
      <c r="CP340" s="392" t="n"/>
      <c r="CQ340" s="392" t="n"/>
      <c r="CR340" s="392" t="n"/>
      <c r="CS340" s="392" t="n"/>
      <c r="CT340" s="392" t="n"/>
      <c r="CU340" s="392" t="n"/>
      <c r="CV340" s="392" t="n"/>
      <c r="CW340" s="392" t="n"/>
      <c r="CX340" s="392" t="n"/>
      <c r="CY340" s="392" t="n"/>
      <c r="CZ340" s="392" t="n"/>
      <c r="DA340" s="392" t="n"/>
      <c r="DB340" s="392" t="n"/>
      <c r="DC340" s="392" t="n"/>
      <c r="DD340" s="392" t="n"/>
      <c r="DE340" s="392" t="n"/>
    </row>
    <row r="341" ht="15" customHeight="1" s="410">
      <c r="A341" s="397" t="inlineStr">
        <is>
          <t xml:space="preserve">     LV payables (AP &amp; accrued incl. due to Six Peak + retention payable)</t>
        </is>
      </c>
      <c r="B341" s="453" t="n">
        <v>4378580</v>
      </c>
      <c r="C341" s="392" t="n"/>
      <c r="D341" s="392" t="n"/>
      <c r="E341" s="392" t="n"/>
      <c r="F341" s="392" t="n"/>
      <c r="G341" s="392" t="n"/>
      <c r="H341" s="392" t="n"/>
      <c r="I341" s="392" t="n"/>
      <c r="J341" s="392" t="n"/>
      <c r="K341" s="392" t="n"/>
      <c r="L341" s="392" t="n"/>
      <c r="M341" s="392" t="n"/>
      <c r="N341" s="392" t="n"/>
      <c r="O341" s="392" t="n"/>
      <c r="P341" s="392" t="n"/>
      <c r="Q341" s="392" t="n"/>
      <c r="R341" s="392" t="n"/>
      <c r="S341" s="392" t="n"/>
      <c r="T341" s="392" t="n"/>
      <c r="U341" s="392" t="n"/>
      <c r="V341" s="392" t="n"/>
      <c r="W341" s="392" t="n"/>
      <c r="X341" s="392" t="n"/>
      <c r="Y341" s="392" t="n"/>
      <c r="Z341" s="392" t="n"/>
      <c r="AA341" s="392" t="n"/>
      <c r="AB341" s="392" t="n"/>
      <c r="AC341" s="392" t="n"/>
      <c r="AD341" s="392" t="n"/>
      <c r="AE341" s="392" t="n"/>
      <c r="AF341" s="392" t="n"/>
      <c r="AG341" s="392" t="n"/>
      <c r="AH341" s="392" t="n"/>
      <c r="AI341" s="392" t="n"/>
      <c r="AJ341" s="392" t="n"/>
      <c r="AK341" s="392" t="n"/>
      <c r="AL341" s="392" t="n"/>
      <c r="AM341" s="392" t="n"/>
      <c r="AN341" s="392" t="n"/>
      <c r="AO341" s="392" t="n"/>
      <c r="AP341" s="392" t="n"/>
      <c r="AQ341" s="392" t="n"/>
      <c r="AR341" s="392" t="n"/>
      <c r="AS341" s="392" t="n"/>
      <c r="AT341" s="392" t="n"/>
      <c r="AU341" s="392" t="n"/>
      <c r="AV341" s="392" t="n"/>
      <c r="AW341" s="392" t="n"/>
      <c r="AX341" s="392" t="n"/>
      <c r="AY341" s="392" t="n"/>
      <c r="AZ341" s="392" t="n"/>
      <c r="BA341" s="392" t="n"/>
      <c r="BB341" s="392" t="n"/>
      <c r="BC341" s="392" t="n"/>
      <c r="BD341" s="392" t="n"/>
      <c r="BE341" s="392" t="n"/>
      <c r="BF341" s="392" t="n"/>
      <c r="BG341" s="392" t="n"/>
      <c r="BH341" s="392" t="n"/>
      <c r="BI341" s="392" t="n"/>
      <c r="BJ341" s="392" t="n"/>
      <c r="BK341" s="392" t="n"/>
      <c r="BL341" s="392" t="n"/>
      <c r="BM341" s="392" t="n"/>
      <c r="BN341" s="392" t="n"/>
      <c r="BO341" s="392" t="n"/>
      <c r="BP341" s="392" t="n"/>
      <c r="BQ341" s="392" t="n"/>
      <c r="BR341" s="392" t="n"/>
      <c r="BS341" s="392" t="n"/>
      <c r="BT341" s="392" t="n"/>
      <c r="BU341" s="392" t="n"/>
      <c r="BV341" s="392" t="n"/>
      <c r="BW341" s="392" t="n"/>
      <c r="BX341" s="392" t="n"/>
      <c r="BY341" s="392" t="n"/>
      <c r="BZ341" s="392" t="n"/>
      <c r="CA341" s="392" t="n"/>
      <c r="CB341" s="392" t="n"/>
      <c r="CC341" s="392" t="n"/>
      <c r="CD341" s="392" t="n"/>
      <c r="CE341" s="392" t="n"/>
      <c r="CF341" s="392" t="n"/>
      <c r="CG341" s="392" t="n"/>
      <c r="CH341" s="392" t="n"/>
      <c r="CI341" s="392" t="n"/>
      <c r="CJ341" s="392" t="n"/>
      <c r="CK341" s="392" t="n"/>
      <c r="CL341" s="392" t="n"/>
      <c r="CM341" s="392" t="n"/>
      <c r="CN341" s="392" t="n"/>
      <c r="CO341" s="392" t="n"/>
      <c r="CP341" s="392" t="n"/>
      <c r="CQ341" s="392" t="n"/>
      <c r="CR341" s="392" t="n"/>
      <c r="CS341" s="392" t="n"/>
      <c r="CT341" s="392" t="n"/>
      <c r="CU341" s="392" t="n"/>
      <c r="CV341" s="392" t="n"/>
      <c r="CW341" s="392" t="n"/>
      <c r="CX341" s="392" t="n"/>
      <c r="CY341" s="392" t="n"/>
      <c r="CZ341" s="392" t="n"/>
      <c r="DA341" s="392" t="n"/>
      <c r="DB341" s="392" t="n"/>
      <c r="DC341" s="392" t="n"/>
      <c r="DD341" s="392" t="n"/>
      <c r="DE341" s="392" t="n"/>
    </row>
    <row r="342" ht="15" customHeight="1" s="410">
      <c r="A342" s="397" t="inlineStr">
        <is>
          <t xml:space="preserve">     Six Peak cash</t>
        </is>
      </c>
      <c r="B342" s="453" t="n">
        <v>146586</v>
      </c>
      <c r="C342" s="392" t="n"/>
      <c r="D342" s="392" t="n"/>
      <c r="E342" s="392" t="n"/>
      <c r="F342" s="392" t="n"/>
      <c r="G342" s="392" t="n"/>
      <c r="H342" s="392" t="n"/>
      <c r="I342" s="392" t="n"/>
      <c r="J342" s="392" t="n"/>
      <c r="K342" s="392" t="n"/>
      <c r="L342" s="392" t="n"/>
      <c r="M342" s="392" t="n"/>
      <c r="N342" s="392" t="n"/>
      <c r="O342" s="392" t="n"/>
      <c r="P342" s="392" t="n"/>
      <c r="Q342" s="392" t="n"/>
      <c r="R342" s="392" t="n"/>
      <c r="S342" s="392" t="n"/>
      <c r="T342" s="392" t="n"/>
      <c r="U342" s="392" t="n"/>
      <c r="V342" s="392" t="n"/>
      <c r="W342" s="392" t="n"/>
      <c r="X342" s="392" t="n"/>
      <c r="Y342" s="392" t="n"/>
      <c r="Z342" s="392" t="n"/>
      <c r="AA342" s="392" t="n"/>
      <c r="AB342" s="392" t="n"/>
      <c r="AC342" s="392" t="n"/>
      <c r="AD342" s="392" t="n"/>
      <c r="AE342" s="392" t="n"/>
      <c r="AF342" s="392" t="n"/>
      <c r="AG342" s="392" t="n"/>
      <c r="AH342" s="392" t="n"/>
      <c r="AI342" s="392" t="n"/>
      <c r="AJ342" s="392" t="n"/>
      <c r="AK342" s="392" t="n"/>
      <c r="AL342" s="392" t="n"/>
      <c r="AM342" s="392" t="n"/>
      <c r="AN342" s="392" t="n"/>
      <c r="AO342" s="392" t="n"/>
      <c r="AP342" s="392" t="n"/>
      <c r="AQ342" s="392" t="n"/>
      <c r="AR342" s="392" t="n"/>
      <c r="AS342" s="392" t="n"/>
      <c r="AT342" s="392" t="n"/>
      <c r="AU342" s="392" t="n"/>
      <c r="AV342" s="392" t="n"/>
      <c r="AW342" s="392" t="n"/>
      <c r="AX342" s="392" t="n"/>
      <c r="AY342" s="392" t="n"/>
      <c r="AZ342" s="392" t="n"/>
      <c r="BA342" s="392" t="n"/>
      <c r="BB342" s="392" t="n"/>
      <c r="BC342" s="392" t="n"/>
      <c r="BD342" s="392" t="n"/>
      <c r="BE342" s="392" t="n"/>
      <c r="BF342" s="392" t="n"/>
      <c r="BG342" s="392" t="n"/>
      <c r="BH342" s="392" t="n"/>
      <c r="BI342" s="392" t="n"/>
      <c r="BJ342" s="392" t="n"/>
      <c r="BK342" s="392" t="n"/>
      <c r="BL342" s="392" t="n"/>
      <c r="BM342" s="392" t="n"/>
      <c r="BN342" s="392" t="n"/>
      <c r="BO342" s="392" t="n"/>
      <c r="BP342" s="392" t="n"/>
      <c r="BQ342" s="392" t="n"/>
      <c r="BR342" s="392" t="n"/>
      <c r="BS342" s="392" t="n"/>
      <c r="BT342" s="392" t="n"/>
      <c r="BU342" s="392" t="n"/>
      <c r="BV342" s="392" t="n"/>
      <c r="BW342" s="392" t="n"/>
      <c r="BX342" s="392" t="n"/>
      <c r="BY342" s="392" t="n"/>
      <c r="BZ342" s="392" t="n"/>
      <c r="CA342" s="392" t="n"/>
      <c r="CB342" s="392" t="n"/>
      <c r="CC342" s="392" t="n"/>
      <c r="CD342" s="392" t="n"/>
      <c r="CE342" s="392" t="n"/>
      <c r="CF342" s="392" t="n"/>
      <c r="CG342" s="392" t="n"/>
      <c r="CH342" s="392" t="n"/>
      <c r="CI342" s="392" t="n"/>
      <c r="CJ342" s="392" t="n"/>
      <c r="CK342" s="392" t="n"/>
      <c r="CL342" s="392" t="n"/>
      <c r="CM342" s="392" t="n"/>
      <c r="CN342" s="392" t="n"/>
      <c r="CO342" s="392" t="n"/>
      <c r="CP342" s="392" t="n"/>
      <c r="CQ342" s="392" t="n"/>
      <c r="CR342" s="392" t="n"/>
      <c r="CS342" s="392" t="n"/>
      <c r="CT342" s="392" t="n"/>
      <c r="CU342" s="392" t="n"/>
      <c r="CV342" s="392" t="n"/>
      <c r="CW342" s="392" t="n"/>
      <c r="CX342" s="392" t="n"/>
      <c r="CY342" s="392" t="n"/>
      <c r="CZ342" s="392" t="n"/>
      <c r="DA342" s="392" t="n"/>
      <c r="DB342" s="392" t="n"/>
      <c r="DC342" s="392" t="n"/>
      <c r="DD342" s="392" t="n"/>
      <c r="DE342" s="392" t="n"/>
    </row>
    <row r="343" ht="15" customHeight="1" s="410">
      <c r="A343" s="397" t="inlineStr">
        <is>
          <t xml:space="preserve">     Six Peak due from affiliates</t>
        </is>
      </c>
      <c r="B343" s="453" t="n">
        <v>1237504</v>
      </c>
      <c r="C343" s="392" t="n"/>
      <c r="D343" s="392" t="n"/>
      <c r="E343" s="392" t="n"/>
      <c r="F343" s="392" t="n"/>
      <c r="G343" s="392" t="n"/>
      <c r="H343" s="392" t="n"/>
      <c r="I343" s="392" t="n"/>
      <c r="J343" s="392" t="n"/>
      <c r="K343" s="392" t="n"/>
      <c r="L343" s="392" t="n"/>
      <c r="M343" s="392" t="n"/>
      <c r="N343" s="392" t="n"/>
      <c r="O343" s="392" t="n"/>
      <c r="P343" s="392" t="n"/>
      <c r="Q343" s="392" t="n"/>
      <c r="R343" s="392" t="n"/>
      <c r="S343" s="392" t="n"/>
      <c r="T343" s="392" t="n"/>
      <c r="U343" s="392" t="n"/>
      <c r="V343" s="392" t="n"/>
      <c r="W343" s="392" t="n"/>
      <c r="X343" s="392" t="n"/>
      <c r="Y343" s="392" t="n"/>
      <c r="Z343" s="392" t="n"/>
      <c r="AA343" s="392" t="n"/>
      <c r="AB343" s="392" t="n"/>
      <c r="AC343" s="392" t="n"/>
      <c r="AD343" s="392" t="n"/>
      <c r="AE343" s="392" t="n"/>
      <c r="AF343" s="392" t="n"/>
      <c r="AG343" s="392" t="n"/>
      <c r="AH343" s="392" t="n"/>
      <c r="AI343" s="392" t="n"/>
      <c r="AJ343" s="392" t="n"/>
      <c r="AK343" s="392" t="n"/>
      <c r="AL343" s="392" t="n"/>
      <c r="AM343" s="392" t="n"/>
      <c r="AN343" s="392" t="n"/>
      <c r="AO343" s="392" t="n"/>
      <c r="AP343" s="392" t="n"/>
      <c r="AQ343" s="392" t="n"/>
      <c r="AR343" s="392" t="n"/>
      <c r="AS343" s="392" t="n"/>
      <c r="AT343" s="392" t="n"/>
      <c r="AU343" s="392" t="n"/>
      <c r="AV343" s="392" t="n"/>
      <c r="AW343" s="392" t="n"/>
      <c r="AX343" s="392" t="n"/>
      <c r="AY343" s="392" t="n"/>
      <c r="AZ343" s="392" t="n"/>
      <c r="BA343" s="392" t="n"/>
      <c r="BB343" s="392" t="n"/>
      <c r="BC343" s="392" t="n"/>
      <c r="BD343" s="392" t="n"/>
      <c r="BE343" s="392" t="n"/>
      <c r="BF343" s="392" t="n"/>
      <c r="BG343" s="392" t="n"/>
      <c r="BH343" s="392" t="n"/>
      <c r="BI343" s="392" t="n"/>
      <c r="BJ343" s="392" t="n"/>
      <c r="BK343" s="392" t="n"/>
      <c r="BL343" s="392" t="n"/>
      <c r="BM343" s="392" t="n"/>
      <c r="BN343" s="392" t="n"/>
      <c r="BO343" s="392" t="n"/>
      <c r="BP343" s="392" t="n"/>
      <c r="BQ343" s="392" t="n"/>
      <c r="BR343" s="392" t="n"/>
      <c r="BS343" s="392" t="n"/>
      <c r="BT343" s="392" t="n"/>
      <c r="BU343" s="392" t="n"/>
      <c r="BV343" s="392" t="n"/>
      <c r="BW343" s="392" t="n"/>
      <c r="BX343" s="392" t="n"/>
      <c r="BY343" s="392" t="n"/>
      <c r="BZ343" s="392" t="n"/>
      <c r="CA343" s="392" t="n"/>
      <c r="CB343" s="392" t="n"/>
      <c r="CC343" s="392" t="n"/>
      <c r="CD343" s="392" t="n"/>
      <c r="CE343" s="392" t="n"/>
      <c r="CF343" s="392" t="n"/>
      <c r="CG343" s="392" t="n"/>
      <c r="CH343" s="392" t="n"/>
      <c r="CI343" s="392" t="n"/>
      <c r="CJ343" s="392" t="n"/>
      <c r="CK343" s="392" t="n"/>
      <c r="CL343" s="392" t="n"/>
      <c r="CM343" s="392" t="n"/>
      <c r="CN343" s="392" t="n"/>
      <c r="CO343" s="392" t="n"/>
      <c r="CP343" s="392" t="n"/>
      <c r="CQ343" s="392" t="n"/>
      <c r="CR343" s="392" t="n"/>
      <c r="CS343" s="392" t="n"/>
      <c r="CT343" s="392" t="n"/>
      <c r="CU343" s="392" t="n"/>
      <c r="CV343" s="392" t="n"/>
      <c r="CW343" s="392" t="n"/>
      <c r="CX343" s="392" t="n"/>
      <c r="CY343" s="392" t="n"/>
      <c r="CZ343" s="392" t="n"/>
      <c r="DA343" s="392" t="n"/>
      <c r="DB343" s="392" t="n"/>
      <c r="DC343" s="392" t="n"/>
      <c r="DD343" s="392" t="n"/>
      <c r="DE343" s="392" t="n"/>
    </row>
    <row r="344" ht="15" customHeight="1" s="410">
      <c r="A344" s="397" t="inlineStr">
        <is>
          <t xml:space="preserve">     Six Peak due to affiliates</t>
        </is>
      </c>
      <c r="B344" s="453" t="n">
        <v>2347037</v>
      </c>
      <c r="C344" s="392" t="n"/>
      <c r="D344" s="392" t="n"/>
      <c r="E344" s="392" t="n"/>
      <c r="F344" s="392" t="n"/>
      <c r="G344" s="392" t="n"/>
      <c r="H344" s="392" t="n"/>
      <c r="I344" s="392" t="n"/>
      <c r="J344" s="392" t="n"/>
      <c r="K344" s="392" t="n"/>
      <c r="L344" s="392" t="n"/>
      <c r="M344" s="392" t="n"/>
      <c r="N344" s="392" t="n"/>
      <c r="O344" s="392" t="n"/>
      <c r="P344" s="392" t="n"/>
      <c r="Q344" s="392" t="n"/>
      <c r="R344" s="392" t="n"/>
      <c r="S344" s="392" t="n"/>
      <c r="T344" s="392" t="n"/>
      <c r="U344" s="392" t="n"/>
      <c r="V344" s="392" t="n"/>
      <c r="W344" s="392" t="n"/>
      <c r="X344" s="392" t="n"/>
      <c r="Y344" s="392" t="n"/>
      <c r="Z344" s="392" t="n"/>
      <c r="AA344" s="392" t="n"/>
      <c r="AB344" s="392" t="n"/>
      <c r="AC344" s="392" t="n"/>
      <c r="AD344" s="392" t="n"/>
      <c r="AE344" s="392" t="n"/>
      <c r="AF344" s="392" t="n"/>
      <c r="AG344" s="392" t="n"/>
      <c r="AH344" s="392" t="n"/>
      <c r="AI344" s="392" t="n"/>
      <c r="AJ344" s="392" t="n"/>
      <c r="AK344" s="392" t="n"/>
      <c r="AL344" s="392" t="n"/>
      <c r="AM344" s="392" t="n"/>
      <c r="AN344" s="392" t="n"/>
      <c r="AO344" s="392" t="n"/>
      <c r="AP344" s="392" t="n"/>
      <c r="AQ344" s="392" t="n"/>
      <c r="AR344" s="392" t="n"/>
      <c r="AS344" s="392" t="n"/>
      <c r="AT344" s="392" t="n"/>
      <c r="AU344" s="392" t="n"/>
      <c r="AV344" s="392" t="n"/>
      <c r="AW344" s="392" t="n"/>
      <c r="AX344" s="392" t="n"/>
      <c r="AY344" s="392" t="n"/>
      <c r="AZ344" s="392" t="n"/>
      <c r="BA344" s="392" t="n"/>
      <c r="BB344" s="392" t="n"/>
      <c r="BC344" s="392" t="n"/>
      <c r="BD344" s="392" t="n"/>
      <c r="BE344" s="392" t="n"/>
      <c r="BF344" s="392" t="n"/>
      <c r="BG344" s="392" t="n"/>
      <c r="BH344" s="392" t="n"/>
      <c r="BI344" s="392" t="n"/>
      <c r="BJ344" s="392" t="n"/>
      <c r="BK344" s="392" t="n"/>
      <c r="BL344" s="392" t="n"/>
      <c r="BM344" s="392" t="n"/>
      <c r="BN344" s="392" t="n"/>
      <c r="BO344" s="392" t="n"/>
      <c r="BP344" s="392" t="n"/>
      <c r="BQ344" s="392" t="n"/>
      <c r="BR344" s="392" t="n"/>
      <c r="BS344" s="392" t="n"/>
      <c r="BT344" s="392" t="n"/>
      <c r="BU344" s="392" t="n"/>
      <c r="BV344" s="392" t="n"/>
      <c r="BW344" s="392" t="n"/>
      <c r="BX344" s="392" t="n"/>
      <c r="BY344" s="392" t="n"/>
      <c r="BZ344" s="392" t="n"/>
      <c r="CA344" s="392" t="n"/>
      <c r="CB344" s="392" t="n"/>
      <c r="CC344" s="392" t="n"/>
      <c r="CD344" s="392" t="n"/>
      <c r="CE344" s="392" t="n"/>
      <c r="CF344" s="392" t="n"/>
      <c r="CG344" s="392" t="n"/>
      <c r="CH344" s="392" t="n"/>
      <c r="CI344" s="392" t="n"/>
      <c r="CJ344" s="392" t="n"/>
      <c r="CK344" s="392" t="n"/>
      <c r="CL344" s="392" t="n"/>
      <c r="CM344" s="392" t="n"/>
      <c r="CN344" s="392" t="n"/>
      <c r="CO344" s="392" t="n"/>
      <c r="CP344" s="392" t="n"/>
      <c r="CQ344" s="392" t="n"/>
      <c r="CR344" s="392" t="n"/>
      <c r="CS344" s="392" t="n"/>
      <c r="CT344" s="392" t="n"/>
      <c r="CU344" s="392" t="n"/>
      <c r="CV344" s="392" t="n"/>
      <c r="CW344" s="392" t="n"/>
      <c r="CX344" s="392" t="n"/>
      <c r="CY344" s="392" t="n"/>
      <c r="CZ344" s="392" t="n"/>
      <c r="DA344" s="392" t="n"/>
      <c r="DB344" s="392" t="n"/>
      <c r="DC344" s="392" t="n"/>
      <c r="DD344" s="392" t="n"/>
      <c r="DE344" s="392" t="n"/>
    </row>
    <row r="345" ht="15" customHeight="1" s="410">
      <c r="A345" s="397" t="inlineStr">
        <is>
          <t xml:space="preserve">     Six Peak line of credit</t>
        </is>
      </c>
      <c r="B345" s="453" t="n">
        <v>299000</v>
      </c>
      <c r="C345" s="392" t="n"/>
      <c r="D345" s="392" t="n"/>
      <c r="E345" s="392" t="n"/>
      <c r="F345" s="392" t="n"/>
      <c r="G345" s="392" t="n"/>
      <c r="H345" s="392" t="n"/>
      <c r="I345" s="392" t="n"/>
      <c r="J345" s="392" t="n"/>
      <c r="K345" s="392" t="n"/>
      <c r="L345" s="392" t="n"/>
      <c r="M345" s="392" t="n"/>
      <c r="N345" s="392" t="n"/>
      <c r="O345" s="392" t="n"/>
      <c r="P345" s="392" t="n"/>
      <c r="Q345" s="392" t="n"/>
      <c r="R345" s="392" t="n"/>
      <c r="S345" s="392" t="n"/>
      <c r="T345" s="392" t="n"/>
      <c r="U345" s="392" t="n"/>
      <c r="V345" s="392" t="n"/>
      <c r="W345" s="392" t="n"/>
      <c r="X345" s="392" t="n"/>
      <c r="Y345" s="392" t="n"/>
      <c r="Z345" s="392" t="n"/>
      <c r="AA345" s="392" t="n"/>
      <c r="AB345" s="392" t="n"/>
      <c r="AC345" s="392" t="n"/>
      <c r="AD345" s="392" t="n"/>
      <c r="AE345" s="392" t="n"/>
      <c r="AF345" s="392" t="n"/>
      <c r="AG345" s="392" t="n"/>
      <c r="AH345" s="392" t="n"/>
      <c r="AI345" s="392" t="n"/>
      <c r="AJ345" s="392" t="n"/>
      <c r="AK345" s="392" t="n"/>
      <c r="AL345" s="392" t="n"/>
      <c r="AM345" s="392" t="n"/>
      <c r="AN345" s="392" t="n"/>
      <c r="AO345" s="392" t="n"/>
      <c r="AP345" s="392" t="n"/>
      <c r="AQ345" s="392" t="n"/>
      <c r="AR345" s="392" t="n"/>
      <c r="AS345" s="392" t="n"/>
      <c r="AT345" s="392" t="n"/>
      <c r="AU345" s="392" t="n"/>
      <c r="AV345" s="392" t="n"/>
      <c r="AW345" s="392" t="n"/>
      <c r="AX345" s="392" t="n"/>
      <c r="AY345" s="392" t="n"/>
      <c r="AZ345" s="392" t="n"/>
      <c r="BA345" s="392" t="n"/>
      <c r="BB345" s="392" t="n"/>
      <c r="BC345" s="392" t="n"/>
      <c r="BD345" s="392" t="n"/>
      <c r="BE345" s="392" t="n"/>
      <c r="BF345" s="392" t="n"/>
      <c r="BG345" s="392" t="n"/>
      <c r="BH345" s="392" t="n"/>
      <c r="BI345" s="392" t="n"/>
      <c r="BJ345" s="392" t="n"/>
      <c r="BK345" s="392" t="n"/>
      <c r="BL345" s="392" t="n"/>
      <c r="BM345" s="392" t="n"/>
      <c r="BN345" s="392" t="n"/>
      <c r="BO345" s="392" t="n"/>
      <c r="BP345" s="392" t="n"/>
      <c r="BQ345" s="392" t="n"/>
      <c r="BR345" s="392" t="n"/>
      <c r="BS345" s="392" t="n"/>
      <c r="BT345" s="392" t="n"/>
      <c r="BU345" s="392" t="n"/>
      <c r="BV345" s="392" t="n"/>
      <c r="BW345" s="392" t="n"/>
      <c r="BX345" s="392" t="n"/>
      <c r="BY345" s="392" t="n"/>
      <c r="BZ345" s="392" t="n"/>
      <c r="CA345" s="392" t="n"/>
      <c r="CB345" s="392" t="n"/>
      <c r="CC345" s="392" t="n"/>
      <c r="CD345" s="392" t="n"/>
      <c r="CE345" s="392" t="n"/>
      <c r="CF345" s="392" t="n"/>
      <c r="CG345" s="392" t="n"/>
      <c r="CH345" s="392" t="n"/>
      <c r="CI345" s="392" t="n"/>
      <c r="CJ345" s="392" t="n"/>
      <c r="CK345" s="392" t="n"/>
      <c r="CL345" s="392" t="n"/>
      <c r="CM345" s="392" t="n"/>
      <c r="CN345" s="392" t="n"/>
      <c r="CO345" s="392" t="n"/>
      <c r="CP345" s="392" t="n"/>
      <c r="CQ345" s="392" t="n"/>
      <c r="CR345" s="392" t="n"/>
      <c r="CS345" s="392" t="n"/>
      <c r="CT345" s="392" t="n"/>
      <c r="CU345" s="392" t="n"/>
      <c r="CV345" s="392" t="n"/>
      <c r="CW345" s="392" t="n"/>
      <c r="CX345" s="392" t="n"/>
      <c r="CY345" s="392" t="n"/>
      <c r="CZ345" s="392" t="n"/>
      <c r="DA345" s="392" t="n"/>
      <c r="DB345" s="392" t="n"/>
      <c r="DC345" s="392" t="n"/>
      <c r="DD345" s="392" t="n"/>
      <c r="DE345" s="392" t="n"/>
    </row>
    <row r="347" ht="15" customHeight="1" s="410">
      <c r="A347" s="450" t="inlineStr">
        <is>
          <t>LV balance sheet inputs (Six Peak Construction LA LP Consolidated)</t>
        </is>
      </c>
      <c r="B347" s="392" t="n"/>
      <c r="C347" s="392" t="n"/>
      <c r="D347" s="392" t="n"/>
      <c r="E347" s="392" t="n"/>
      <c r="F347" s="392" t="n"/>
      <c r="G347" s="392" t="n"/>
      <c r="H347" s="392" t="n"/>
      <c r="I347" s="392" t="n"/>
      <c r="J347" s="392" t="n"/>
      <c r="K347" s="392" t="n"/>
      <c r="L347" s="392" t="n"/>
      <c r="M347" s="392" t="n"/>
      <c r="N347" s="392" t="n"/>
      <c r="O347" s="392" t="n"/>
      <c r="P347" s="392" t="n"/>
      <c r="Q347" s="392" t="n"/>
      <c r="R347" s="392" t="n"/>
      <c r="S347" s="392" t="n"/>
      <c r="T347" s="392" t="n"/>
      <c r="U347" s="392" t="n"/>
      <c r="V347" s="392" t="n"/>
      <c r="W347" s="392" t="n"/>
      <c r="X347" s="392" t="n"/>
      <c r="Y347" s="392" t="n"/>
      <c r="Z347" s="392" t="n"/>
      <c r="AA347" s="392" t="n"/>
      <c r="AB347" s="392" t="n"/>
      <c r="AC347" s="392" t="n"/>
      <c r="AD347" s="392" t="n"/>
      <c r="AE347" s="392" t="n"/>
      <c r="AF347" s="392" t="n"/>
      <c r="AG347" s="392" t="n"/>
      <c r="AH347" s="392" t="n"/>
      <c r="AI347" s="392" t="n"/>
      <c r="AJ347" s="392" t="n"/>
      <c r="AK347" s="392" t="n"/>
      <c r="AL347" s="392" t="n"/>
      <c r="AM347" s="392" t="n"/>
      <c r="AN347" s="392" t="n"/>
      <c r="AO347" s="392" t="n"/>
      <c r="AP347" s="392" t="n"/>
      <c r="AQ347" s="392" t="n"/>
      <c r="AR347" s="392" t="n"/>
      <c r="AS347" s="392" t="n"/>
      <c r="AT347" s="392" t="n"/>
      <c r="AU347" s="392" t="n"/>
      <c r="AV347" s="392" t="n"/>
      <c r="AW347" s="392" t="n"/>
      <c r="AX347" s="392" t="n"/>
      <c r="AY347" s="392" t="n"/>
      <c r="AZ347" s="392" t="n"/>
      <c r="BA347" s="392" t="n"/>
      <c r="BB347" s="392" t="n"/>
      <c r="BC347" s="392" t="n"/>
      <c r="BD347" s="392" t="n"/>
      <c r="BE347" s="392" t="n"/>
      <c r="BF347" s="392" t="n"/>
      <c r="BG347" s="392" t="n"/>
      <c r="BH347" s="392" t="n"/>
      <c r="BI347" s="392" t="n"/>
      <c r="BJ347" s="392" t="n"/>
      <c r="BK347" s="392" t="n"/>
      <c r="BL347" s="392" t="n"/>
      <c r="BM347" s="392" t="n"/>
      <c r="BN347" s="392" t="n"/>
      <c r="BO347" s="392" t="n"/>
      <c r="BP347" s="392" t="n"/>
      <c r="BQ347" s="392" t="n"/>
      <c r="BR347" s="392" t="n"/>
      <c r="BS347" s="392" t="n"/>
      <c r="BT347" s="392" t="n"/>
      <c r="BU347" s="392" t="n"/>
      <c r="BV347" s="392" t="n"/>
      <c r="BW347" s="392" t="n"/>
      <c r="BX347" s="392" t="n"/>
      <c r="BY347" s="392" t="n"/>
      <c r="BZ347" s="392" t="n"/>
      <c r="CA347" s="392" t="n"/>
      <c r="CB347" s="392" t="n"/>
      <c r="CC347" s="392" t="n"/>
      <c r="CD347" s="392" t="n"/>
      <c r="CE347" s="392" t="n"/>
      <c r="CF347" s="392" t="n"/>
      <c r="CG347" s="392" t="n"/>
      <c r="CH347" s="392" t="n"/>
      <c r="CI347" s="392" t="n"/>
      <c r="CJ347" s="392" t="n"/>
      <c r="CK347" s="392" t="n"/>
      <c r="CL347" s="392" t="n"/>
      <c r="CM347" s="392" t="n"/>
      <c r="CN347" s="392" t="n"/>
      <c r="CO347" s="392" t="n"/>
      <c r="CP347" s="392" t="n"/>
      <c r="CQ347" s="392" t="n"/>
      <c r="CR347" s="392" t="n"/>
      <c r="CS347" s="392" t="n"/>
      <c r="CT347" s="392" t="n"/>
      <c r="CU347" s="392" t="n"/>
      <c r="CV347" s="392" t="n"/>
      <c r="CW347" s="392" t="n"/>
      <c r="CX347" s="392" t="n"/>
      <c r="CY347" s="392" t="n"/>
      <c r="CZ347" s="392" t="n"/>
      <c r="DA347" s="392" t="n"/>
      <c r="DB347" s="392" t="n"/>
      <c r="DC347" s="392" t="n"/>
      <c r="DD347" s="392" t="n"/>
      <c r="DE347" s="392" t="n"/>
    </row>
    <row r="348" ht="15" customHeight="1" s="410">
      <c r="A348" s="397" t="inlineStr">
        <is>
          <t xml:space="preserve">     Accounts receivable</t>
        </is>
      </c>
      <c r="B348" s="453" t="n">
        <v>2921863</v>
      </c>
      <c r="C348" s="453" t="n">
        <v>3816651</v>
      </c>
      <c r="D348" s="453" t="n">
        <v>3367521</v>
      </c>
      <c r="E348" s="453" t="n">
        <v>4913957</v>
      </c>
      <c r="F348" s="453" t="n">
        <v>5548038</v>
      </c>
      <c r="G348" s="453" t="n">
        <v>8605828</v>
      </c>
      <c r="H348" s="453" t="n">
        <v>9463439</v>
      </c>
      <c r="I348" s="392" t="n"/>
      <c r="J348" s="392" t="n"/>
      <c r="K348" s="392" t="n"/>
      <c r="L348" s="392" t="n"/>
      <c r="M348" s="392" t="n"/>
      <c r="N348" s="392" t="n"/>
      <c r="O348" s="392" t="n"/>
      <c r="P348" s="392" t="n"/>
      <c r="Q348" s="392" t="n"/>
      <c r="R348" s="392" t="n"/>
      <c r="S348" s="392" t="n"/>
      <c r="T348" s="392" t="n"/>
      <c r="U348" s="392" t="n"/>
      <c r="V348" s="392" t="n"/>
      <c r="W348" s="392" t="n"/>
      <c r="X348" s="392" t="n"/>
      <c r="Y348" s="392" t="n"/>
      <c r="Z348" s="392" t="n"/>
      <c r="AA348" s="392" t="n"/>
      <c r="AB348" s="392" t="n"/>
      <c r="AC348" s="392" t="n"/>
      <c r="AD348" s="392" t="n"/>
      <c r="AE348" s="392" t="n"/>
      <c r="AF348" s="392" t="n"/>
      <c r="AG348" s="392" t="n"/>
      <c r="AH348" s="392" t="n"/>
      <c r="AI348" s="392" t="n"/>
      <c r="AJ348" s="392" t="n"/>
      <c r="AK348" s="392" t="n"/>
      <c r="AL348" s="392" t="n"/>
      <c r="AM348" s="392" t="n"/>
      <c r="AN348" s="392" t="n"/>
      <c r="AO348" s="392" t="n"/>
      <c r="AP348" s="392" t="n"/>
      <c r="AQ348" s="392" t="n"/>
      <c r="AR348" s="392" t="n"/>
      <c r="AS348" s="392" t="n"/>
      <c r="AT348" s="392" t="n"/>
      <c r="AU348" s="392" t="n"/>
      <c r="AV348" s="392" t="n"/>
      <c r="AW348" s="392" t="n"/>
      <c r="AX348" s="392" t="n"/>
      <c r="AY348" s="392" t="n"/>
      <c r="AZ348" s="392" t="n"/>
      <c r="BA348" s="392" t="n"/>
      <c r="BB348" s="392" t="n"/>
      <c r="BC348" s="392" t="n"/>
      <c r="BD348" s="392" t="n"/>
      <c r="BE348" s="392" t="n"/>
      <c r="BF348" s="392" t="n"/>
      <c r="BG348" s="392" t="n"/>
      <c r="BH348" s="392" t="n"/>
      <c r="BI348" s="392" t="n"/>
      <c r="BJ348" s="392" t="n"/>
      <c r="BK348" s="392" t="n"/>
      <c r="BL348" s="392" t="n"/>
      <c r="BM348" s="392" t="n"/>
      <c r="BN348" s="392" t="n"/>
      <c r="BO348" s="392" t="n"/>
      <c r="BP348" s="392" t="n"/>
      <c r="BQ348" s="392" t="n"/>
      <c r="BR348" s="392" t="n"/>
      <c r="BS348" s="392" t="n"/>
      <c r="BT348" s="392" t="n"/>
      <c r="BU348" s="392" t="n"/>
      <c r="BV348" s="392" t="n"/>
      <c r="BW348" s="392" t="n"/>
      <c r="BX348" s="392" t="n"/>
      <c r="BY348" s="392" t="n"/>
      <c r="BZ348" s="392" t="n"/>
      <c r="CA348" s="392" t="n"/>
      <c r="CB348" s="392" t="n"/>
      <c r="CC348" s="392" t="n"/>
      <c r="CD348" s="392" t="n"/>
      <c r="CE348" s="392" t="n"/>
      <c r="CF348" s="392" t="n"/>
      <c r="CG348" s="392" t="n"/>
      <c r="CH348" s="392" t="n"/>
      <c r="CI348" s="392" t="n"/>
      <c r="CJ348" s="392" t="n"/>
      <c r="CK348" s="392" t="n"/>
      <c r="CL348" s="392" t="n"/>
      <c r="CM348" s="392" t="n"/>
      <c r="CN348" s="392" t="n"/>
      <c r="CO348" s="392" t="n"/>
      <c r="CP348" s="392" t="n"/>
      <c r="CQ348" s="392" t="n"/>
      <c r="CR348" s="392" t="n"/>
      <c r="CS348" s="392" t="n"/>
      <c r="CT348" s="392" t="n"/>
      <c r="CU348" s="392" t="n"/>
      <c r="CV348" s="392" t="n"/>
      <c r="CW348" s="392" t="n"/>
      <c r="CX348" s="392" t="n"/>
      <c r="CY348" s="392" t="n"/>
      <c r="CZ348" s="392" t="n"/>
      <c r="DA348" s="392" t="n"/>
      <c r="DB348" s="392" t="n"/>
      <c r="DC348" s="392" t="n"/>
      <c r="DD348" s="392" t="n"/>
      <c r="DE348" s="392" t="n"/>
    </row>
    <row r="349" ht="15" customHeight="1" s="410">
      <c r="A349" s="397" t="inlineStr">
        <is>
          <t xml:space="preserve">     Retention receivable</t>
        </is>
      </c>
      <c r="B349" s="453" t="n">
        <v>417159</v>
      </c>
      <c r="C349" s="453" t="n">
        <v>552746</v>
      </c>
      <c r="D349" s="453" t="n">
        <v>682719</v>
      </c>
      <c r="E349" s="453" t="n">
        <v>863823</v>
      </c>
      <c r="F349" s="453" t="n">
        <v>1075205</v>
      </c>
      <c r="G349" s="453" t="n">
        <v>1343596</v>
      </c>
      <c r="H349" s="453" t="n">
        <v>1609222</v>
      </c>
      <c r="I349" s="392" t="n"/>
      <c r="J349" s="392" t="n"/>
      <c r="K349" s="392" t="n"/>
      <c r="L349" s="392" t="n"/>
      <c r="M349" s="392" t="n"/>
      <c r="N349" s="392" t="n"/>
      <c r="O349" s="392" t="n"/>
      <c r="P349" s="392" t="n"/>
      <c r="Q349" s="392" t="n"/>
      <c r="R349" s="392" t="n"/>
      <c r="S349" s="392" t="n"/>
      <c r="T349" s="392" t="n"/>
      <c r="U349" s="392" t="n"/>
      <c r="V349" s="392" t="n"/>
      <c r="W349" s="392" t="n"/>
      <c r="X349" s="392" t="n"/>
      <c r="Y349" s="392" t="n"/>
      <c r="Z349" s="392" t="n"/>
      <c r="AA349" s="392" t="n"/>
      <c r="AB349" s="392" t="n"/>
      <c r="AC349" s="392" t="n"/>
      <c r="AD349" s="392" t="n"/>
      <c r="AE349" s="392" t="n"/>
      <c r="AF349" s="392" t="n"/>
      <c r="AG349" s="392" t="n"/>
      <c r="AH349" s="392" t="n"/>
      <c r="AI349" s="392" t="n"/>
      <c r="AJ349" s="392" t="n"/>
      <c r="AK349" s="392" t="n"/>
      <c r="AL349" s="392" t="n"/>
      <c r="AM349" s="392" t="n"/>
      <c r="AN349" s="392" t="n"/>
      <c r="AO349" s="392" t="n"/>
      <c r="AP349" s="392" t="n"/>
      <c r="AQ349" s="392" t="n"/>
      <c r="AR349" s="392" t="n"/>
      <c r="AS349" s="392" t="n"/>
      <c r="AT349" s="392" t="n"/>
      <c r="AU349" s="392" t="n"/>
      <c r="AV349" s="392" t="n"/>
      <c r="AW349" s="392" t="n"/>
      <c r="AX349" s="392" t="n"/>
      <c r="AY349" s="392" t="n"/>
      <c r="AZ349" s="392" t="n"/>
      <c r="BA349" s="392" t="n"/>
      <c r="BB349" s="392" t="n"/>
      <c r="BC349" s="392" t="n"/>
      <c r="BD349" s="392" t="n"/>
      <c r="BE349" s="392" t="n"/>
      <c r="BF349" s="392" t="n"/>
      <c r="BG349" s="392" t="n"/>
      <c r="BH349" s="392" t="n"/>
      <c r="BI349" s="392" t="n"/>
      <c r="BJ349" s="392" t="n"/>
      <c r="BK349" s="392" t="n"/>
      <c r="BL349" s="392" t="n"/>
      <c r="BM349" s="392" t="n"/>
      <c r="BN349" s="392" t="n"/>
      <c r="BO349" s="392" t="n"/>
      <c r="BP349" s="392" t="n"/>
      <c r="BQ349" s="392" t="n"/>
      <c r="BR349" s="392" t="n"/>
      <c r="BS349" s="392" t="n"/>
      <c r="BT349" s="392" t="n"/>
      <c r="BU349" s="392" t="n"/>
      <c r="BV349" s="392" t="n"/>
      <c r="BW349" s="392" t="n"/>
      <c r="BX349" s="392" t="n"/>
      <c r="BY349" s="392" t="n"/>
      <c r="BZ349" s="392" t="n"/>
      <c r="CA349" s="392" t="n"/>
      <c r="CB349" s="392" t="n"/>
      <c r="CC349" s="392" t="n"/>
      <c r="CD349" s="392" t="n"/>
      <c r="CE349" s="392" t="n"/>
      <c r="CF349" s="392" t="n"/>
      <c r="CG349" s="392" t="n"/>
      <c r="CH349" s="392" t="n"/>
      <c r="CI349" s="392" t="n"/>
      <c r="CJ349" s="392" t="n"/>
      <c r="CK349" s="392" t="n"/>
      <c r="CL349" s="392" t="n"/>
      <c r="CM349" s="392" t="n"/>
      <c r="CN349" s="392" t="n"/>
      <c r="CO349" s="392" t="n"/>
      <c r="CP349" s="392" t="n"/>
      <c r="CQ349" s="392" t="n"/>
      <c r="CR349" s="392" t="n"/>
      <c r="CS349" s="392" t="n"/>
      <c r="CT349" s="392" t="n"/>
      <c r="CU349" s="392" t="n"/>
      <c r="CV349" s="392" t="n"/>
      <c r="CW349" s="392" t="n"/>
      <c r="CX349" s="392" t="n"/>
      <c r="CY349" s="392" t="n"/>
      <c r="CZ349" s="392" t="n"/>
      <c r="DA349" s="392" t="n"/>
      <c r="DB349" s="392" t="n"/>
      <c r="DC349" s="392" t="n"/>
      <c r="DD349" s="392" t="n"/>
      <c r="DE349" s="392" t="n"/>
    </row>
    <row r="350" ht="15" customHeight="1" s="410">
      <c r="A350" s="397" t="inlineStr">
        <is>
          <t xml:space="preserve">     Other receivable</t>
        </is>
      </c>
      <c r="B350" s="453" t="n">
        <v>0</v>
      </c>
      <c r="C350" s="453" t="n">
        <v>0</v>
      </c>
      <c r="D350" s="453" t="n">
        <v>0</v>
      </c>
      <c r="E350" s="453" t="n">
        <v>0</v>
      </c>
      <c r="F350" s="453" t="n">
        <v>0</v>
      </c>
      <c r="G350" s="453" t="n">
        <v>0</v>
      </c>
      <c r="H350" s="453" t="n">
        <v>96097</v>
      </c>
      <c r="I350" s="392" t="n"/>
      <c r="J350" s="392" t="n"/>
      <c r="K350" s="392" t="n"/>
      <c r="L350" s="392" t="n"/>
      <c r="M350" s="392" t="n"/>
      <c r="N350" s="392" t="n"/>
      <c r="O350" s="392" t="n"/>
      <c r="P350" s="392" t="n"/>
      <c r="Q350" s="392" t="n"/>
      <c r="R350" s="392" t="n"/>
      <c r="S350" s="392" t="n"/>
      <c r="T350" s="392" t="n"/>
      <c r="U350" s="392" t="n"/>
      <c r="V350" s="392" t="n"/>
      <c r="W350" s="392" t="n"/>
      <c r="X350" s="392" t="n"/>
      <c r="Y350" s="392" t="n"/>
      <c r="Z350" s="392" t="n"/>
      <c r="AA350" s="392" t="n"/>
      <c r="AB350" s="392" t="n"/>
      <c r="AC350" s="392" t="n"/>
      <c r="AD350" s="392" t="n"/>
      <c r="AE350" s="392" t="n"/>
      <c r="AF350" s="392" t="n"/>
      <c r="AG350" s="392" t="n"/>
      <c r="AH350" s="392" t="n"/>
      <c r="AI350" s="392" t="n"/>
      <c r="AJ350" s="392" t="n"/>
      <c r="AK350" s="392" t="n"/>
      <c r="AL350" s="392" t="n"/>
      <c r="AM350" s="392" t="n"/>
      <c r="AN350" s="392" t="n"/>
      <c r="AO350" s="392" t="n"/>
      <c r="AP350" s="392" t="n"/>
      <c r="AQ350" s="392" t="n"/>
      <c r="AR350" s="392" t="n"/>
      <c r="AS350" s="392" t="n"/>
      <c r="AT350" s="392" t="n"/>
      <c r="AU350" s="392" t="n"/>
      <c r="AV350" s="392" t="n"/>
      <c r="AW350" s="392" t="n"/>
      <c r="AX350" s="392" t="n"/>
      <c r="AY350" s="392" t="n"/>
      <c r="AZ350" s="392" t="n"/>
      <c r="BA350" s="392" t="n"/>
      <c r="BB350" s="392" t="n"/>
      <c r="BC350" s="392" t="n"/>
      <c r="BD350" s="392" t="n"/>
      <c r="BE350" s="392" t="n"/>
      <c r="BF350" s="392" t="n"/>
      <c r="BG350" s="392" t="n"/>
      <c r="BH350" s="392" t="n"/>
      <c r="BI350" s="392" t="n"/>
      <c r="BJ350" s="392" t="n"/>
      <c r="BK350" s="392" t="n"/>
      <c r="BL350" s="392" t="n"/>
      <c r="BM350" s="392" t="n"/>
      <c r="BN350" s="392" t="n"/>
      <c r="BO350" s="392" t="n"/>
      <c r="BP350" s="392" t="n"/>
      <c r="BQ350" s="392" t="n"/>
      <c r="BR350" s="392" t="n"/>
      <c r="BS350" s="392" t="n"/>
      <c r="BT350" s="392" t="n"/>
      <c r="BU350" s="392" t="n"/>
      <c r="BV350" s="392" t="n"/>
      <c r="BW350" s="392" t="n"/>
      <c r="BX350" s="392" t="n"/>
      <c r="BY350" s="392" t="n"/>
      <c r="BZ350" s="392" t="n"/>
      <c r="CA350" s="392" t="n"/>
      <c r="CB350" s="392" t="n"/>
      <c r="CC350" s="392" t="n"/>
      <c r="CD350" s="392" t="n"/>
      <c r="CE350" s="392" t="n"/>
      <c r="CF350" s="392" t="n"/>
      <c r="CG350" s="392" t="n"/>
      <c r="CH350" s="392" t="n"/>
      <c r="CI350" s="392" t="n"/>
      <c r="CJ350" s="392" t="n"/>
      <c r="CK350" s="392" t="n"/>
      <c r="CL350" s="392" t="n"/>
      <c r="CM350" s="392" t="n"/>
      <c r="CN350" s="392" t="n"/>
      <c r="CO350" s="392" t="n"/>
      <c r="CP350" s="392" t="n"/>
      <c r="CQ350" s="392" t="n"/>
      <c r="CR350" s="392" t="n"/>
      <c r="CS350" s="392" t="n"/>
      <c r="CT350" s="392" t="n"/>
      <c r="CU350" s="392" t="n"/>
      <c r="CV350" s="392" t="n"/>
      <c r="CW350" s="392" t="n"/>
      <c r="CX350" s="392" t="n"/>
      <c r="CY350" s="392" t="n"/>
      <c r="CZ350" s="392" t="n"/>
      <c r="DA350" s="392" t="n"/>
      <c r="DB350" s="392" t="n"/>
      <c r="DC350" s="392" t="n"/>
      <c r="DD350" s="392" t="n"/>
      <c r="DE350" s="392" t="n"/>
    </row>
    <row r="351" ht="15" customHeight="1" s="410">
      <c r="A351" s="397" t="inlineStr">
        <is>
          <t xml:space="preserve">     Accounts payable &amp; accrued (incl. due to Six Peak Capital)</t>
        </is>
      </c>
      <c r="B351" s="453" t="n">
        <v>4052636</v>
      </c>
      <c r="C351" s="453" t="n">
        <v>4295889</v>
      </c>
      <c r="D351" s="453" t="n">
        <v>4394933</v>
      </c>
      <c r="E351" s="453" t="n">
        <v>5359073</v>
      </c>
      <c r="F351" s="453" t="n">
        <v>6161063</v>
      </c>
      <c r="G351" s="453" t="n">
        <v>8892451</v>
      </c>
      <c r="H351" s="453" t="n">
        <v>8434511</v>
      </c>
      <c r="I351" s="392" t="n"/>
      <c r="J351" s="392" t="n"/>
      <c r="K351" s="392" t="n"/>
      <c r="L351" s="392" t="n"/>
      <c r="M351" s="392" t="n"/>
      <c r="N351" s="392" t="n"/>
      <c r="O351" s="392" t="n"/>
      <c r="P351" s="392" t="n"/>
      <c r="Q351" s="392" t="n"/>
      <c r="R351" s="392" t="n"/>
      <c r="S351" s="392" t="n"/>
      <c r="T351" s="392" t="n"/>
      <c r="U351" s="392" t="n"/>
      <c r="V351" s="392" t="n"/>
      <c r="W351" s="392" t="n"/>
      <c r="X351" s="392" t="n"/>
      <c r="Y351" s="392" t="n"/>
      <c r="Z351" s="392" t="n"/>
      <c r="AA351" s="392" t="n"/>
      <c r="AB351" s="392" t="n"/>
      <c r="AC351" s="392" t="n"/>
      <c r="AD351" s="392" t="n"/>
      <c r="AE351" s="392" t="n"/>
      <c r="AF351" s="392" t="n"/>
      <c r="AG351" s="392" t="n"/>
      <c r="AH351" s="392" t="n"/>
      <c r="AI351" s="392" t="n"/>
      <c r="AJ351" s="392" t="n"/>
      <c r="AK351" s="392" t="n"/>
      <c r="AL351" s="392" t="n"/>
      <c r="AM351" s="392" t="n"/>
      <c r="AN351" s="392" t="n"/>
      <c r="AO351" s="392" t="n"/>
      <c r="AP351" s="392" t="n"/>
      <c r="AQ351" s="392" t="n"/>
      <c r="AR351" s="392" t="n"/>
      <c r="AS351" s="392" t="n"/>
      <c r="AT351" s="392" t="n"/>
      <c r="AU351" s="392" t="n"/>
      <c r="AV351" s="392" t="n"/>
      <c r="AW351" s="392" t="n"/>
      <c r="AX351" s="392" t="n"/>
      <c r="AY351" s="392" t="n"/>
      <c r="AZ351" s="392" t="n"/>
      <c r="BA351" s="392" t="n"/>
      <c r="BB351" s="392" t="n"/>
      <c r="BC351" s="392" t="n"/>
      <c r="BD351" s="392" t="n"/>
      <c r="BE351" s="392" t="n"/>
      <c r="BF351" s="392" t="n"/>
      <c r="BG351" s="392" t="n"/>
      <c r="BH351" s="392" t="n"/>
      <c r="BI351" s="392" t="n"/>
      <c r="BJ351" s="392" t="n"/>
      <c r="BK351" s="392" t="n"/>
      <c r="BL351" s="392" t="n"/>
      <c r="BM351" s="392" t="n"/>
      <c r="BN351" s="392" t="n"/>
      <c r="BO351" s="392" t="n"/>
      <c r="BP351" s="392" t="n"/>
      <c r="BQ351" s="392" t="n"/>
      <c r="BR351" s="392" t="n"/>
      <c r="BS351" s="392" t="n"/>
      <c r="BT351" s="392" t="n"/>
      <c r="BU351" s="392" t="n"/>
      <c r="BV351" s="392" t="n"/>
      <c r="BW351" s="392" t="n"/>
      <c r="BX351" s="392" t="n"/>
      <c r="BY351" s="392" t="n"/>
      <c r="BZ351" s="392" t="n"/>
      <c r="CA351" s="392" t="n"/>
      <c r="CB351" s="392" t="n"/>
      <c r="CC351" s="392" t="n"/>
      <c r="CD351" s="392" t="n"/>
      <c r="CE351" s="392" t="n"/>
      <c r="CF351" s="392" t="n"/>
      <c r="CG351" s="392" t="n"/>
      <c r="CH351" s="392" t="n"/>
      <c r="CI351" s="392" t="n"/>
      <c r="CJ351" s="392" t="n"/>
      <c r="CK351" s="392" t="n"/>
      <c r="CL351" s="392" t="n"/>
      <c r="CM351" s="392" t="n"/>
      <c r="CN351" s="392" t="n"/>
      <c r="CO351" s="392" t="n"/>
      <c r="CP351" s="392" t="n"/>
      <c r="CQ351" s="392" t="n"/>
      <c r="CR351" s="392" t="n"/>
      <c r="CS351" s="392" t="n"/>
      <c r="CT351" s="392" t="n"/>
      <c r="CU351" s="392" t="n"/>
      <c r="CV351" s="392" t="n"/>
      <c r="CW351" s="392" t="n"/>
      <c r="CX351" s="392" t="n"/>
      <c r="CY351" s="392" t="n"/>
      <c r="CZ351" s="392" t="n"/>
      <c r="DA351" s="392" t="n"/>
      <c r="DB351" s="392" t="n"/>
      <c r="DC351" s="392" t="n"/>
      <c r="DD351" s="392" t="n"/>
      <c r="DE351" s="392" t="n"/>
    </row>
    <row r="352" ht="15" customHeight="1" s="410">
      <c r="A352" s="397" t="inlineStr">
        <is>
          <t xml:space="preserve">     Retention payable</t>
        </is>
      </c>
      <c r="B352" s="453" t="n">
        <v>246844</v>
      </c>
      <c r="C352" s="453" t="n">
        <v>362001</v>
      </c>
      <c r="D352" s="453" t="n">
        <v>458628</v>
      </c>
      <c r="E352" s="453" t="n">
        <v>625437</v>
      </c>
      <c r="F352" s="453" t="n">
        <v>812294</v>
      </c>
      <c r="G352" s="453" t="n">
        <v>1055651</v>
      </c>
      <c r="H352" s="453" t="n">
        <v>1280305</v>
      </c>
      <c r="I352" s="392" t="n"/>
      <c r="J352" s="392" t="n"/>
      <c r="K352" s="392" t="n"/>
      <c r="L352" s="392" t="n"/>
      <c r="M352" s="392" t="n"/>
      <c r="N352" s="392" t="n"/>
      <c r="O352" s="392" t="n"/>
      <c r="P352" s="392" t="n"/>
      <c r="Q352" s="392" t="n"/>
      <c r="R352" s="392" t="n"/>
      <c r="S352" s="392" t="n"/>
      <c r="T352" s="392" t="n"/>
      <c r="U352" s="392" t="n"/>
      <c r="V352" s="392" t="n"/>
      <c r="W352" s="392" t="n"/>
      <c r="X352" s="392" t="n"/>
      <c r="Y352" s="392" t="n"/>
      <c r="Z352" s="392" t="n"/>
      <c r="AA352" s="392" t="n"/>
      <c r="AB352" s="392" t="n"/>
      <c r="AC352" s="392" t="n"/>
      <c r="AD352" s="392" t="n"/>
      <c r="AE352" s="392" t="n"/>
      <c r="AF352" s="392" t="n"/>
      <c r="AG352" s="392" t="n"/>
      <c r="AH352" s="392" t="n"/>
      <c r="AI352" s="392" t="n"/>
      <c r="AJ352" s="392" t="n"/>
      <c r="AK352" s="392" t="n"/>
      <c r="AL352" s="392" t="n"/>
      <c r="AM352" s="392" t="n"/>
      <c r="AN352" s="392" t="n"/>
      <c r="AO352" s="392" t="n"/>
      <c r="AP352" s="392" t="n"/>
      <c r="AQ352" s="392" t="n"/>
      <c r="AR352" s="392" t="n"/>
      <c r="AS352" s="392" t="n"/>
      <c r="AT352" s="392" t="n"/>
      <c r="AU352" s="392" t="n"/>
      <c r="AV352" s="392" t="n"/>
      <c r="AW352" s="392" t="n"/>
      <c r="AX352" s="392" t="n"/>
      <c r="AY352" s="392" t="n"/>
      <c r="AZ352" s="392" t="n"/>
      <c r="BA352" s="392" t="n"/>
      <c r="BB352" s="392" t="n"/>
      <c r="BC352" s="392" t="n"/>
      <c r="BD352" s="392" t="n"/>
      <c r="BE352" s="392" t="n"/>
      <c r="BF352" s="392" t="n"/>
      <c r="BG352" s="392" t="n"/>
      <c r="BH352" s="392" t="n"/>
      <c r="BI352" s="392" t="n"/>
      <c r="BJ352" s="392" t="n"/>
      <c r="BK352" s="392" t="n"/>
      <c r="BL352" s="392" t="n"/>
      <c r="BM352" s="392" t="n"/>
      <c r="BN352" s="392" t="n"/>
      <c r="BO352" s="392" t="n"/>
      <c r="BP352" s="392" t="n"/>
      <c r="BQ352" s="392" t="n"/>
      <c r="BR352" s="392" t="n"/>
      <c r="BS352" s="392" t="n"/>
      <c r="BT352" s="392" t="n"/>
      <c r="BU352" s="392" t="n"/>
      <c r="BV352" s="392" t="n"/>
      <c r="BW352" s="392" t="n"/>
      <c r="BX352" s="392" t="n"/>
      <c r="BY352" s="392" t="n"/>
      <c r="BZ352" s="392" t="n"/>
      <c r="CA352" s="392" t="n"/>
      <c r="CB352" s="392" t="n"/>
      <c r="CC352" s="392" t="n"/>
      <c r="CD352" s="392" t="n"/>
      <c r="CE352" s="392" t="n"/>
      <c r="CF352" s="392" t="n"/>
      <c r="CG352" s="392" t="n"/>
      <c r="CH352" s="392" t="n"/>
      <c r="CI352" s="392" t="n"/>
      <c r="CJ352" s="392" t="n"/>
      <c r="CK352" s="392" t="n"/>
      <c r="CL352" s="392" t="n"/>
      <c r="CM352" s="392" t="n"/>
      <c r="CN352" s="392" t="n"/>
      <c r="CO352" s="392" t="n"/>
      <c r="CP352" s="392" t="n"/>
      <c r="CQ352" s="392" t="n"/>
      <c r="CR352" s="392" t="n"/>
      <c r="CS352" s="392" t="n"/>
      <c r="CT352" s="392" t="n"/>
      <c r="CU352" s="392" t="n"/>
      <c r="CV352" s="392" t="n"/>
      <c r="CW352" s="392" t="n"/>
      <c r="CX352" s="392" t="n"/>
      <c r="CY352" s="392" t="n"/>
      <c r="CZ352" s="392" t="n"/>
      <c r="DA352" s="392" t="n"/>
      <c r="DB352" s="392" t="n"/>
      <c r="DC352" s="392" t="n"/>
      <c r="DD352" s="392" t="n"/>
      <c r="DE352" s="392" t="n"/>
    </row>
    <row r="354" ht="15" customHeight="1" s="410">
      <c r="A354" s="450" t="inlineStr">
        <is>
          <t>LV cash roll-forward</t>
        </is>
      </c>
      <c r="B354" s="392" t="n"/>
      <c r="C354" s="392" t="n"/>
      <c r="D354" s="392" t="n"/>
      <c r="E354" s="392" t="n"/>
      <c r="F354" s="392" t="n"/>
      <c r="G354" s="392" t="n"/>
      <c r="H354" s="392" t="n"/>
      <c r="I354" s="392" t="n"/>
      <c r="J354" s="392" t="n"/>
      <c r="K354" s="392" t="n"/>
      <c r="L354" s="392" t="n"/>
      <c r="M354" s="392" t="n"/>
      <c r="N354" s="392" t="n"/>
      <c r="O354" s="392" t="n"/>
      <c r="P354" s="392" t="n"/>
      <c r="Q354" s="392" t="n"/>
      <c r="R354" s="392" t="n"/>
      <c r="S354" s="392" t="n"/>
      <c r="T354" s="392" t="n"/>
      <c r="U354" s="392" t="n"/>
      <c r="V354" s="392" t="n"/>
      <c r="W354" s="392" t="n"/>
      <c r="X354" s="392" t="n"/>
      <c r="Y354" s="392" t="n"/>
      <c r="Z354" s="392" t="n"/>
      <c r="AA354" s="392" t="n"/>
      <c r="AB354" s="392" t="n"/>
      <c r="AC354" s="392" t="n"/>
      <c r="AD354" s="392" t="n"/>
      <c r="AE354" s="392" t="n"/>
      <c r="AF354" s="392" t="n"/>
      <c r="AG354" s="392" t="n"/>
      <c r="AH354" s="392" t="n"/>
      <c r="AI354" s="392" t="n"/>
      <c r="AJ354" s="392" t="n"/>
      <c r="AK354" s="392" t="n"/>
      <c r="AL354" s="392" t="n"/>
      <c r="AM354" s="392" t="n"/>
      <c r="AN354" s="392" t="n"/>
      <c r="AO354" s="392" t="n"/>
      <c r="AP354" s="392" t="n"/>
      <c r="AQ354" s="392" t="n"/>
      <c r="AR354" s="392" t="n"/>
      <c r="AS354" s="392" t="n"/>
      <c r="AT354" s="392" t="n"/>
      <c r="AU354" s="392" t="n"/>
      <c r="AV354" s="392" t="n"/>
      <c r="AW354" s="392" t="n"/>
      <c r="AX354" s="392" t="n"/>
      <c r="AY354" s="392" t="n"/>
      <c r="AZ354" s="392" t="n"/>
      <c r="BA354" s="392" t="n"/>
      <c r="BB354" s="392" t="n"/>
      <c r="BC354" s="392" t="n"/>
      <c r="BD354" s="392" t="n"/>
      <c r="BE354" s="392" t="n"/>
      <c r="BF354" s="392" t="n"/>
      <c r="BG354" s="392" t="n"/>
      <c r="BH354" s="392" t="n"/>
      <c r="BI354" s="392" t="n"/>
      <c r="BJ354" s="392" t="n"/>
      <c r="BK354" s="392" t="n"/>
      <c r="BL354" s="392" t="n"/>
      <c r="BM354" s="392" t="n"/>
      <c r="BN354" s="392" t="n"/>
      <c r="BO354" s="392" t="n"/>
      <c r="BP354" s="392" t="n"/>
      <c r="BQ354" s="392" t="n"/>
      <c r="BR354" s="392" t="n"/>
      <c r="BS354" s="392" t="n"/>
      <c r="BT354" s="392" t="n"/>
      <c r="BU354" s="392" t="n"/>
      <c r="BV354" s="392" t="n"/>
      <c r="BW354" s="392" t="n"/>
      <c r="BX354" s="392" t="n"/>
      <c r="BY354" s="392" t="n"/>
      <c r="BZ354" s="392" t="n"/>
      <c r="CA354" s="392" t="n"/>
      <c r="CB354" s="392" t="n"/>
      <c r="CC354" s="392" t="n"/>
      <c r="CD354" s="392" t="n"/>
      <c r="CE354" s="392" t="n"/>
      <c r="CF354" s="392" t="n"/>
      <c r="CG354" s="392" t="n"/>
      <c r="CH354" s="392" t="n"/>
      <c r="CI354" s="392" t="n"/>
      <c r="CJ354" s="392" t="n"/>
      <c r="CK354" s="392" t="n"/>
      <c r="CL354" s="392" t="n"/>
      <c r="CM354" s="392" t="n"/>
      <c r="CN354" s="392" t="n"/>
      <c r="CO354" s="392" t="n"/>
      <c r="CP354" s="392" t="n"/>
      <c r="CQ354" s="392" t="n"/>
      <c r="CR354" s="392" t="n"/>
      <c r="CS354" s="392" t="n"/>
      <c r="CT354" s="392" t="n"/>
      <c r="CU354" s="392" t="n"/>
      <c r="CV354" s="392" t="n"/>
      <c r="CW354" s="392" t="n"/>
      <c r="CX354" s="392" t="n"/>
      <c r="CY354" s="392" t="n"/>
      <c r="CZ354" s="392" t="n"/>
      <c r="DA354" s="392" t="n"/>
      <c r="DB354" s="392" t="n"/>
      <c r="DC354" s="392" t="n"/>
      <c r="DD354" s="392" t="n"/>
      <c r="DE354" s="392" t="n"/>
    </row>
    <row r="355" ht="15" customHeight="1" s="410">
      <c r="A355" s="397" t="inlineStr">
        <is>
          <t xml:space="preserve">     Beginning cash (prior month-end B/S)</t>
        </is>
      </c>
      <c r="B355" s="392">
        <f>IF(B300="","",$B$339)</f>
        <v/>
      </c>
      <c r="C355" s="392">
        <f>IF(C300="","",B300)</f>
        <v/>
      </c>
      <c r="D355" s="392">
        <f>IF(D300="","",C300)</f>
        <v/>
      </c>
      <c r="E355" s="392">
        <f>IF(E300="","",D300)</f>
        <v/>
      </c>
      <c r="F355" s="392">
        <f>IF(F300="","",E300)</f>
        <v/>
      </c>
      <c r="G355" s="392">
        <f>IF(G300="","",F300)</f>
        <v/>
      </c>
      <c r="H355" s="392">
        <f>IF(H300="","",G300)</f>
        <v/>
      </c>
      <c r="I355" s="392">
        <f>IF(I300="","",H300)</f>
        <v/>
      </c>
      <c r="J355" s="392">
        <f>IF(J300="","",I300)</f>
        <v/>
      </c>
      <c r="K355" s="392">
        <f>IF(K300="","",J300)</f>
        <v/>
      </c>
      <c r="L355" s="392">
        <f>IF(L300="","",K300)</f>
        <v/>
      </c>
      <c r="M355" s="392">
        <f>IF(M300="","",L300)</f>
        <v/>
      </c>
      <c r="N355" s="392">
        <f>IF(N300="","",M300)</f>
        <v/>
      </c>
      <c r="O355" s="392">
        <f>IF(O300="","",N300)</f>
        <v/>
      </c>
      <c r="P355" s="392">
        <f>IF(P300="","",O300)</f>
        <v/>
      </c>
      <c r="Q355" s="392">
        <f>IF(Q300="","",P300)</f>
        <v/>
      </c>
      <c r="R355" s="392">
        <f>IF(R300="","",Q300)</f>
        <v/>
      </c>
      <c r="S355" s="392">
        <f>IF(S300="","",R300)</f>
        <v/>
      </c>
      <c r="T355" s="392">
        <f>IF(T300="","",S300)</f>
        <v/>
      </c>
      <c r="U355" s="392">
        <f>IF(U300="","",T300)</f>
        <v/>
      </c>
      <c r="V355" s="392">
        <f>IF(V300="","",U300)</f>
        <v/>
      </c>
      <c r="W355" s="392">
        <f>IF(W300="","",V300)</f>
        <v/>
      </c>
      <c r="X355" s="392">
        <f>IF(X300="","",W300)</f>
        <v/>
      </c>
      <c r="Y355" s="392">
        <f>IF(Y300="","",X300)</f>
        <v/>
      </c>
      <c r="Z355" s="392">
        <f>IF(Z300="","",Y300)</f>
        <v/>
      </c>
      <c r="AA355" s="392">
        <f>IF(AA300="","",Z300)</f>
        <v/>
      </c>
      <c r="AB355" s="392">
        <f>IF(AB300="","",AA300)</f>
        <v/>
      </c>
      <c r="AC355" s="392">
        <f>IF(AC300="","",AB300)</f>
        <v/>
      </c>
      <c r="AD355" s="392">
        <f>IF(AD300="","",AC300)</f>
        <v/>
      </c>
      <c r="AE355" s="392">
        <f>IF(AE300="","",AD300)</f>
        <v/>
      </c>
      <c r="AF355" s="392">
        <f>IF(AF300="","",AE300)</f>
        <v/>
      </c>
      <c r="AG355" s="392">
        <f>IF(AG300="","",AF300)</f>
        <v/>
      </c>
      <c r="AH355" s="392">
        <f>IF(AH300="","",AG300)</f>
        <v/>
      </c>
      <c r="AI355" s="392">
        <f>IF(AI300="","",AH300)</f>
        <v/>
      </c>
      <c r="AJ355" s="392">
        <f>IF(AJ300="","",AI300)</f>
        <v/>
      </c>
      <c r="AK355" s="392">
        <f>IF(AK300="","",AJ300)</f>
        <v/>
      </c>
      <c r="AL355" s="392">
        <f>IF(AL300="","",AK300)</f>
        <v/>
      </c>
      <c r="AM355" s="392">
        <f>IF(AM300="","",AL300)</f>
        <v/>
      </c>
      <c r="AN355" s="392">
        <f>IF(AN300="","",AM300)</f>
        <v/>
      </c>
      <c r="AO355" s="392">
        <f>IF(AO300="","",AN300)</f>
        <v/>
      </c>
      <c r="AP355" s="392">
        <f>IF(AP300="","",AO300)</f>
        <v/>
      </c>
      <c r="AQ355" s="392">
        <f>IF(AQ300="","",AP300)</f>
        <v/>
      </c>
      <c r="AR355" s="392">
        <f>IF(AR300="","",AQ300)</f>
        <v/>
      </c>
      <c r="AS355" s="392">
        <f>IF(AS300="","",AR300)</f>
        <v/>
      </c>
      <c r="AT355" s="392">
        <f>IF(AT300="","",AS300)</f>
        <v/>
      </c>
      <c r="AU355" s="392">
        <f>IF(AU300="","",AT300)</f>
        <v/>
      </c>
      <c r="AV355" s="392">
        <f>IF(AV300="","",AU300)</f>
        <v/>
      </c>
      <c r="AW355" s="392">
        <f>IF(AW300="","",AV300)</f>
        <v/>
      </c>
      <c r="AX355" s="392">
        <f>IF(AX300="","",AW300)</f>
        <v/>
      </c>
      <c r="AY355" s="392">
        <f>IF(AY300="","",AX300)</f>
        <v/>
      </c>
      <c r="AZ355" s="392">
        <f>IF(AZ300="","",AY300)</f>
        <v/>
      </c>
      <c r="BA355" s="392">
        <f>IF(BA300="","",AZ300)</f>
        <v/>
      </c>
      <c r="BB355" s="392">
        <f>IF(BB300="","",BA300)</f>
        <v/>
      </c>
      <c r="BC355" s="392">
        <f>IF(BC300="","",BB300)</f>
        <v/>
      </c>
      <c r="BD355" s="392">
        <f>IF(BD300="","",BC300)</f>
        <v/>
      </c>
      <c r="BE355" s="392">
        <f>IF(BE300="","",BD300)</f>
        <v/>
      </c>
      <c r="BF355" s="392">
        <f>IF(BF300="","",BE300)</f>
        <v/>
      </c>
      <c r="BG355" s="392">
        <f>IF(BG300="","",BF300)</f>
        <v/>
      </c>
      <c r="BH355" s="392">
        <f>IF(BH300="","",BG300)</f>
        <v/>
      </c>
      <c r="BI355" s="392">
        <f>IF(BI300="","",BH300)</f>
        <v/>
      </c>
      <c r="BJ355" s="392">
        <f>IF(BJ300="","",BI300)</f>
        <v/>
      </c>
      <c r="BK355" s="392">
        <f>IF(BK300="","",BJ300)</f>
        <v/>
      </c>
      <c r="BL355" s="392">
        <f>IF(BL300="","",BK300)</f>
        <v/>
      </c>
      <c r="BM355" s="392">
        <f>IF(BM300="","",BL300)</f>
        <v/>
      </c>
      <c r="BN355" s="392">
        <f>IF(BN300="","",BM300)</f>
        <v/>
      </c>
      <c r="BO355" s="392">
        <f>IF(BO300="","",BN300)</f>
        <v/>
      </c>
      <c r="BP355" s="392">
        <f>IF(BP300="","",BO300)</f>
        <v/>
      </c>
      <c r="BQ355" s="392">
        <f>IF(BQ300="","",BP300)</f>
        <v/>
      </c>
      <c r="BR355" s="392">
        <f>IF(BR300="","",BQ300)</f>
        <v/>
      </c>
      <c r="BS355" s="392">
        <f>IF(BS300="","",BR300)</f>
        <v/>
      </c>
      <c r="BT355" s="392">
        <f>IF(BT300="","",BS300)</f>
        <v/>
      </c>
      <c r="BU355" s="392">
        <f>IF(BU300="","",BT300)</f>
        <v/>
      </c>
      <c r="BV355" s="392">
        <f>IF(BV300="","",BU300)</f>
        <v/>
      </c>
      <c r="BW355" s="392">
        <f>IF(BW300="","",BV300)</f>
        <v/>
      </c>
      <c r="BX355" s="392">
        <f>IF(BX300="","",BW300)</f>
        <v/>
      </c>
      <c r="BY355" s="392">
        <f>IF(BY300="","",BX300)</f>
        <v/>
      </c>
      <c r="BZ355" s="392">
        <f>IF(BZ300="","",BY300)</f>
        <v/>
      </c>
      <c r="CA355" s="392">
        <f>IF(CA300="","",BZ300)</f>
        <v/>
      </c>
      <c r="CB355" s="392">
        <f>IF(CB300="","",CA300)</f>
        <v/>
      </c>
      <c r="CC355" s="392">
        <f>IF(CC300="","",CB300)</f>
        <v/>
      </c>
      <c r="CD355" s="392">
        <f>IF(CD300="","",CC300)</f>
        <v/>
      </c>
      <c r="CE355" s="392">
        <f>IF(CE300="","",CD300)</f>
        <v/>
      </c>
      <c r="CF355" s="392">
        <f>IF(CF300="","",CE300)</f>
        <v/>
      </c>
      <c r="CG355" s="392">
        <f>IF(CG300="","",CF300)</f>
        <v/>
      </c>
      <c r="CH355" s="392">
        <f>IF(CH300="","",CG300)</f>
        <v/>
      </c>
      <c r="CI355" s="392">
        <f>IF(CI300="","",CH300)</f>
        <v/>
      </c>
      <c r="CJ355" s="392">
        <f>IF(CJ300="","",CI300)</f>
        <v/>
      </c>
      <c r="CK355" s="392">
        <f>IF(CK300="","",CJ300)</f>
        <v/>
      </c>
      <c r="CL355" s="392">
        <f>IF(CL300="","",CK300)</f>
        <v/>
      </c>
      <c r="CM355" s="392">
        <f>IF(CM300="","",CL300)</f>
        <v/>
      </c>
      <c r="CN355" s="392">
        <f>IF(CN300="","",CM300)</f>
        <v/>
      </c>
      <c r="CO355" s="392">
        <f>IF(CO300="","",CN300)</f>
        <v/>
      </c>
      <c r="CP355" s="392">
        <f>IF(CP300="","",CO300)</f>
        <v/>
      </c>
      <c r="CQ355" s="392">
        <f>IF(CQ300="","",CP300)</f>
        <v/>
      </c>
      <c r="CR355" s="392">
        <f>IF(CR300="","",CQ300)</f>
        <v/>
      </c>
      <c r="CS355" s="392">
        <f>IF(CS300="","",CR300)</f>
        <v/>
      </c>
      <c r="CT355" s="392">
        <f>IF(CT300="","",CS300)</f>
        <v/>
      </c>
      <c r="CU355" s="392">
        <f>IF(CU300="","",CT300)</f>
        <v/>
      </c>
      <c r="CV355" s="392">
        <f>IF(CV300="","",CU300)</f>
        <v/>
      </c>
      <c r="CW355" s="392">
        <f>IF(CW300="","",CV300)</f>
        <v/>
      </c>
      <c r="CX355" s="392">
        <f>IF(CX300="","",CW300)</f>
        <v/>
      </c>
      <c r="CY355" s="392">
        <f>IF(CY300="","",CX300)</f>
        <v/>
      </c>
      <c r="CZ355" s="392">
        <f>IF(CZ300="","",CY300)</f>
        <v/>
      </c>
      <c r="DA355" s="392">
        <f>IF(DA300="","",CZ300)</f>
        <v/>
      </c>
      <c r="DB355" s="392">
        <f>IF(DB300="","",DA300)</f>
        <v/>
      </c>
      <c r="DC355" s="392">
        <f>IF(DC300="","",DB300)</f>
        <v/>
      </c>
      <c r="DD355" s="392">
        <f>IF(DD300="","",DC300)</f>
        <v/>
      </c>
      <c r="DE355" s="392">
        <f>IF(DE300="","",DD300)</f>
        <v/>
      </c>
    </row>
    <row r="356" ht="15" customHeight="1" s="410">
      <c r="A356" s="397" t="inlineStr">
        <is>
          <t xml:space="preserve">     GC net income (Model row 147, Actuals)</t>
        </is>
      </c>
      <c r="B356" s="392">
        <f>IF(B$4="Actuals",B147,"")</f>
        <v/>
      </c>
      <c r="C356" s="392">
        <f>IF(C$4="Actuals",C147,"")</f>
        <v/>
      </c>
      <c r="D356" s="392">
        <f>IF(D$4="Actuals",D147,"")</f>
        <v/>
      </c>
      <c r="E356" s="392">
        <f>IF(E$4="Actuals",E147,"")</f>
        <v/>
      </c>
      <c r="F356" s="392">
        <f>IF(F$4="Actuals",F147,"")</f>
        <v/>
      </c>
      <c r="G356" s="392">
        <f>IF(G$4="Actuals",G147,"")</f>
        <v/>
      </c>
      <c r="H356" s="392">
        <f>IF(H$4="Actuals",H147,"")</f>
        <v/>
      </c>
      <c r="I356" s="392">
        <f>IF(I$4="Actuals",I147,"")</f>
        <v/>
      </c>
      <c r="J356" s="392">
        <f>IF(J$4="Actuals",J147,"")</f>
        <v/>
      </c>
      <c r="K356" s="392">
        <f>IF(K$4="Actuals",K147,"")</f>
        <v/>
      </c>
      <c r="L356" s="392">
        <f>IF(L$4="Actuals",L147,"")</f>
        <v/>
      </c>
      <c r="M356" s="392">
        <f>IF(M$4="Actuals",M147,"")</f>
        <v/>
      </c>
      <c r="N356" s="392">
        <f>IF(N$4="Actuals",N147,"")</f>
        <v/>
      </c>
      <c r="O356" s="392">
        <f>IF(O$4="Actuals",O147,"")</f>
        <v/>
      </c>
      <c r="P356" s="392">
        <f>IF(P$4="Actuals",P147,"")</f>
        <v/>
      </c>
      <c r="Q356" s="392">
        <f>IF(Q$4="Actuals",Q147,"")</f>
        <v/>
      </c>
      <c r="R356" s="392">
        <f>IF(R$4="Actuals",R147,"")</f>
        <v/>
      </c>
      <c r="S356" s="392">
        <f>IF(S$4="Actuals",S147,"")</f>
        <v/>
      </c>
      <c r="T356" s="392">
        <f>IF(T$4="Actuals",T147,"")</f>
        <v/>
      </c>
      <c r="U356" s="392">
        <f>IF(U$4="Actuals",U147,"")</f>
        <v/>
      </c>
      <c r="V356" s="392">
        <f>IF(V$4="Actuals",V147,"")</f>
        <v/>
      </c>
      <c r="W356" s="392">
        <f>IF(W$4="Actuals",W147,"")</f>
        <v/>
      </c>
      <c r="X356" s="392">
        <f>IF(X$4="Actuals",X147,"")</f>
        <v/>
      </c>
      <c r="Y356" s="392">
        <f>IF(Y$4="Actuals",Y147,"")</f>
        <v/>
      </c>
      <c r="Z356" s="392">
        <f>IF(Z$4="Actuals",Z147,"")</f>
        <v/>
      </c>
      <c r="AA356" s="392">
        <f>IF(AA$4="Actuals",AA147,"")</f>
        <v/>
      </c>
      <c r="AB356" s="392">
        <f>IF(AB$4="Actuals",AB147,"")</f>
        <v/>
      </c>
      <c r="AC356" s="392">
        <f>IF(AC$4="Actuals",AC147,"")</f>
        <v/>
      </c>
      <c r="AD356" s="392">
        <f>IF(AD$4="Actuals",AD147,"")</f>
        <v/>
      </c>
      <c r="AE356" s="392">
        <f>IF(AE$4="Actuals",AE147,"")</f>
        <v/>
      </c>
      <c r="AF356" s="392">
        <f>IF(AF$4="Actuals",AF147,"")</f>
        <v/>
      </c>
      <c r="AG356" s="392">
        <f>IF(AG$4="Actuals",AG147,"")</f>
        <v/>
      </c>
      <c r="AH356" s="392">
        <f>IF(AH$4="Actuals",AH147,"")</f>
        <v/>
      </c>
      <c r="AI356" s="392">
        <f>IF(AI$4="Actuals",AI147,"")</f>
        <v/>
      </c>
      <c r="AJ356" s="392">
        <f>IF(AJ$4="Actuals",AJ147,"")</f>
        <v/>
      </c>
      <c r="AK356" s="392">
        <f>IF(AK$4="Actuals",AK147,"")</f>
        <v/>
      </c>
      <c r="AL356" s="392">
        <f>IF(AL$4="Actuals",AL147,"")</f>
        <v/>
      </c>
      <c r="AM356" s="392">
        <f>IF(AM$4="Actuals",AM147,"")</f>
        <v/>
      </c>
      <c r="AN356" s="392">
        <f>IF(AN$4="Actuals",AN147,"")</f>
        <v/>
      </c>
      <c r="AO356" s="392">
        <f>IF(AO$4="Actuals",AO147,"")</f>
        <v/>
      </c>
      <c r="AP356" s="392">
        <f>IF(AP$4="Actuals",AP147,"")</f>
        <v/>
      </c>
      <c r="AQ356" s="392">
        <f>IF(AQ$4="Actuals",AQ147,"")</f>
        <v/>
      </c>
      <c r="AR356" s="392">
        <f>IF(AR$4="Actuals",AR147,"")</f>
        <v/>
      </c>
      <c r="AS356" s="392">
        <f>IF(AS$4="Actuals",AS147,"")</f>
        <v/>
      </c>
      <c r="AT356" s="392">
        <f>IF(AT$4="Actuals",AT147,"")</f>
        <v/>
      </c>
      <c r="AU356" s="392">
        <f>IF(AU$4="Actuals",AU147,"")</f>
        <v/>
      </c>
      <c r="AV356" s="392">
        <f>IF(AV$4="Actuals",AV147,"")</f>
        <v/>
      </c>
      <c r="AW356" s="392">
        <f>IF(AW$4="Actuals",AW147,"")</f>
        <v/>
      </c>
      <c r="AX356" s="392">
        <f>IF(AX$4="Actuals",AX147,"")</f>
        <v/>
      </c>
      <c r="AY356" s="392">
        <f>IF(AY$4="Actuals",AY147,"")</f>
        <v/>
      </c>
      <c r="AZ356" s="392">
        <f>IF(AZ$4="Actuals",AZ147,"")</f>
        <v/>
      </c>
      <c r="BA356" s="392">
        <f>IF(BA$4="Actuals",BA147,"")</f>
        <v/>
      </c>
      <c r="BB356" s="392">
        <f>IF(BB$4="Actuals",BB147,"")</f>
        <v/>
      </c>
      <c r="BC356" s="392">
        <f>IF(BC$4="Actuals",BC147,"")</f>
        <v/>
      </c>
      <c r="BD356" s="392">
        <f>IF(BD$4="Actuals",BD147,"")</f>
        <v/>
      </c>
      <c r="BE356" s="392">
        <f>IF(BE$4="Actuals",BE147,"")</f>
        <v/>
      </c>
      <c r="BF356" s="392">
        <f>IF(BF$4="Actuals",BF147,"")</f>
        <v/>
      </c>
      <c r="BG356" s="392">
        <f>IF(BG$4="Actuals",BG147,"")</f>
        <v/>
      </c>
      <c r="BH356" s="392">
        <f>IF(BH$4="Actuals",BH147,"")</f>
        <v/>
      </c>
      <c r="BI356" s="392">
        <f>IF(BI$4="Actuals",BI147,"")</f>
        <v/>
      </c>
      <c r="BJ356" s="392">
        <f>IF(BJ$4="Actuals",BJ147,"")</f>
        <v/>
      </c>
      <c r="BK356" s="392">
        <f>IF(BK$4="Actuals",BK147,"")</f>
        <v/>
      </c>
      <c r="BL356" s="392">
        <f>IF(BL$4="Actuals",BL147,"")</f>
        <v/>
      </c>
      <c r="BM356" s="392">
        <f>IF(BM$4="Actuals",BM147,"")</f>
        <v/>
      </c>
      <c r="BN356" s="392">
        <f>IF(BN$4="Actuals",BN147,"")</f>
        <v/>
      </c>
      <c r="BO356" s="392">
        <f>IF(BO$4="Actuals",BO147,"")</f>
        <v/>
      </c>
      <c r="BP356" s="392">
        <f>IF(BP$4="Actuals",BP147,"")</f>
        <v/>
      </c>
      <c r="BQ356" s="392">
        <f>IF(BQ$4="Actuals",BQ147,"")</f>
        <v/>
      </c>
      <c r="BR356" s="392">
        <f>IF(BR$4="Actuals",BR147,"")</f>
        <v/>
      </c>
      <c r="BS356" s="392">
        <f>IF(BS$4="Actuals",BS147,"")</f>
        <v/>
      </c>
      <c r="BT356" s="392">
        <f>IF(BT$4="Actuals",BT147,"")</f>
        <v/>
      </c>
      <c r="BU356" s="392">
        <f>IF(BU$4="Actuals",BU147,"")</f>
        <v/>
      </c>
      <c r="BV356" s="392">
        <f>IF(BV$4="Actuals",BV147,"")</f>
        <v/>
      </c>
      <c r="BW356" s="392">
        <f>IF(BW$4="Actuals",BW147,"")</f>
        <v/>
      </c>
      <c r="BX356" s="392">
        <f>IF(BX$4="Actuals",BX147,"")</f>
        <v/>
      </c>
      <c r="BY356" s="392">
        <f>IF(BY$4="Actuals",BY147,"")</f>
        <v/>
      </c>
      <c r="BZ356" s="392">
        <f>IF(BZ$4="Actuals",BZ147,"")</f>
        <v/>
      </c>
      <c r="CA356" s="392">
        <f>IF(CA$4="Actuals",CA147,"")</f>
        <v/>
      </c>
      <c r="CB356" s="392">
        <f>IF(CB$4="Actuals",CB147,"")</f>
        <v/>
      </c>
      <c r="CC356" s="392">
        <f>IF(CC$4="Actuals",CC147,"")</f>
        <v/>
      </c>
      <c r="CD356" s="392">
        <f>IF(CD$4="Actuals",CD147,"")</f>
        <v/>
      </c>
      <c r="CE356" s="392">
        <f>IF(CE$4="Actuals",CE147,"")</f>
        <v/>
      </c>
      <c r="CF356" s="392">
        <f>IF(CF$4="Actuals",CF147,"")</f>
        <v/>
      </c>
      <c r="CG356" s="392">
        <f>IF(CG$4="Actuals",CG147,"")</f>
        <v/>
      </c>
      <c r="CH356" s="392">
        <f>IF(CH$4="Actuals",CH147,"")</f>
        <v/>
      </c>
      <c r="CI356" s="392">
        <f>IF(CI$4="Actuals",CI147,"")</f>
        <v/>
      </c>
      <c r="CJ356" s="392">
        <f>IF(CJ$4="Actuals",CJ147,"")</f>
        <v/>
      </c>
      <c r="CK356" s="392">
        <f>IF(CK$4="Actuals",CK147,"")</f>
        <v/>
      </c>
      <c r="CL356" s="392">
        <f>IF(CL$4="Actuals",CL147,"")</f>
        <v/>
      </c>
      <c r="CM356" s="392">
        <f>IF(CM$4="Actuals",CM147,"")</f>
        <v/>
      </c>
      <c r="CN356" s="392">
        <f>IF(CN$4="Actuals",CN147,"")</f>
        <v/>
      </c>
      <c r="CO356" s="392">
        <f>IF(CO$4="Actuals",CO147,"")</f>
        <v/>
      </c>
      <c r="CP356" s="392">
        <f>IF(CP$4="Actuals",CP147,"")</f>
        <v/>
      </c>
      <c r="CQ356" s="392">
        <f>IF(CQ$4="Actuals",CQ147,"")</f>
        <v/>
      </c>
      <c r="CR356" s="392">
        <f>IF(CR$4="Actuals",CR147,"")</f>
        <v/>
      </c>
      <c r="CS356" s="392">
        <f>IF(CS$4="Actuals",CS147,"")</f>
        <v/>
      </c>
      <c r="CT356" s="392">
        <f>IF(CT$4="Actuals",CT147,"")</f>
        <v/>
      </c>
      <c r="CU356" s="392">
        <f>IF(CU$4="Actuals",CU147,"")</f>
        <v/>
      </c>
      <c r="CV356" s="392">
        <f>IF(CV$4="Actuals",CV147,"")</f>
        <v/>
      </c>
      <c r="CW356" s="392">
        <f>IF(CW$4="Actuals",CW147,"")</f>
        <v/>
      </c>
      <c r="CX356" s="392">
        <f>IF(CX$4="Actuals",CX147,"")</f>
        <v/>
      </c>
      <c r="CY356" s="392">
        <f>IF(CY$4="Actuals",CY147,"")</f>
        <v/>
      </c>
      <c r="CZ356" s="392">
        <f>IF(CZ$4="Actuals",CZ147,"")</f>
        <v/>
      </c>
      <c r="DA356" s="392">
        <f>IF(DA$4="Actuals",DA147,"")</f>
        <v/>
      </c>
      <c r="DB356" s="392">
        <f>IF(DB$4="Actuals",DB147,"")</f>
        <v/>
      </c>
      <c r="DC356" s="392">
        <f>IF(DC$4="Actuals",DC147,"")</f>
        <v/>
      </c>
      <c r="DD356" s="392">
        <f>IF(DD$4="Actuals",DD147,"")</f>
        <v/>
      </c>
      <c r="DE356" s="392">
        <f>IF(DE$4="Actuals",DE147,"")</f>
        <v/>
      </c>
    </row>
    <row r="357" ht="15" customHeight="1" s="410">
      <c r="A357" s="397" t="inlineStr">
        <is>
          <t xml:space="preserve">     (Increase)/decrease in receivables</t>
        </is>
      </c>
      <c r="B357" s="392">
        <f>IF(B300="","",-(SUM(B348:B350)-$B$340))</f>
        <v/>
      </c>
      <c r="C357" s="392">
        <f>IF(C300="","",-(SUM(C348:C350)-SUM(B348:B350)))</f>
        <v/>
      </c>
      <c r="D357" s="392">
        <f>IF(D300="","",-(SUM(D348:D350)-SUM(C348:C350)))</f>
        <v/>
      </c>
      <c r="E357" s="392">
        <f>IF(E300="","",-(SUM(E348:E350)-SUM(D348:D350)))</f>
        <v/>
      </c>
      <c r="F357" s="392">
        <f>IF(F300="","",-(SUM(F348:F350)-SUM(E348:E350)))</f>
        <v/>
      </c>
      <c r="G357" s="392">
        <f>IF(G300="","",-(SUM(G348:G350)-SUM(F348:F350)))</f>
        <v/>
      </c>
      <c r="H357" s="392">
        <f>IF(H300="","",-(SUM(H348:H350)-SUM(G348:G350)))</f>
        <v/>
      </c>
      <c r="I357" s="392">
        <f>IF(I300="","",-(SUM(I348:I350)-SUM(H348:H350)))</f>
        <v/>
      </c>
      <c r="J357" s="392">
        <f>IF(J300="","",-(SUM(J348:J350)-SUM(I348:I350)))</f>
        <v/>
      </c>
      <c r="K357" s="392">
        <f>IF(K300="","",-(SUM(K348:K350)-SUM(J348:J350)))</f>
        <v/>
      </c>
      <c r="L357" s="392">
        <f>IF(L300="","",-(SUM(L348:L350)-SUM(K348:K350)))</f>
        <v/>
      </c>
      <c r="M357" s="392">
        <f>IF(M300="","",-(SUM(M348:M350)-SUM(L348:L350)))</f>
        <v/>
      </c>
      <c r="N357" s="392">
        <f>IF(N300="","",-(SUM(N348:N350)-SUM(M348:M350)))</f>
        <v/>
      </c>
      <c r="O357" s="392">
        <f>IF(O300="","",-(SUM(O348:O350)-SUM(N348:N350)))</f>
        <v/>
      </c>
      <c r="P357" s="392">
        <f>IF(P300="","",-(SUM(P348:P350)-SUM(O348:O350)))</f>
        <v/>
      </c>
      <c r="Q357" s="392">
        <f>IF(Q300="","",-(SUM(Q348:Q350)-SUM(P348:P350)))</f>
        <v/>
      </c>
      <c r="R357" s="392">
        <f>IF(R300="","",-(SUM(R348:R350)-SUM(Q348:Q350)))</f>
        <v/>
      </c>
      <c r="S357" s="392">
        <f>IF(S300="","",-(SUM(S348:S350)-SUM(R348:R350)))</f>
        <v/>
      </c>
      <c r="T357" s="392">
        <f>IF(T300="","",-(SUM(T348:T350)-SUM(S348:S350)))</f>
        <v/>
      </c>
      <c r="U357" s="392">
        <f>IF(U300="","",-(SUM(U348:U350)-SUM(T348:T350)))</f>
        <v/>
      </c>
      <c r="V357" s="392">
        <f>IF(V300="","",-(SUM(V348:V350)-SUM(U348:U350)))</f>
        <v/>
      </c>
      <c r="W357" s="392">
        <f>IF(W300="","",-(SUM(W348:W350)-SUM(V348:V350)))</f>
        <v/>
      </c>
      <c r="X357" s="392">
        <f>IF(X300="","",-(SUM(X348:X350)-SUM(W348:W350)))</f>
        <v/>
      </c>
      <c r="Y357" s="392">
        <f>IF(Y300="","",-(SUM(Y348:Y350)-SUM(X348:X350)))</f>
        <v/>
      </c>
      <c r="Z357" s="392">
        <f>IF(Z300="","",-(SUM(Z348:Z350)-SUM(Y348:Y350)))</f>
        <v/>
      </c>
      <c r="AA357" s="392">
        <f>IF(AA300="","",-(SUM(AA348:AA350)-SUM(Z348:Z350)))</f>
        <v/>
      </c>
      <c r="AB357" s="392">
        <f>IF(AB300="","",-(SUM(AB348:AB350)-SUM(AA348:AA350)))</f>
        <v/>
      </c>
      <c r="AC357" s="392">
        <f>IF(AC300="","",-(SUM(AC348:AC350)-SUM(AB348:AB350)))</f>
        <v/>
      </c>
      <c r="AD357" s="392">
        <f>IF(AD300="","",-(SUM(AD348:AD350)-SUM(AC348:AC350)))</f>
        <v/>
      </c>
      <c r="AE357" s="392">
        <f>IF(AE300="","",-(SUM(AE348:AE350)-SUM(AD348:AD350)))</f>
        <v/>
      </c>
      <c r="AF357" s="392">
        <f>IF(AF300="","",-(SUM(AF348:AF350)-SUM(AE348:AE350)))</f>
        <v/>
      </c>
      <c r="AG357" s="392">
        <f>IF(AG300="","",-(SUM(AG348:AG350)-SUM(AF348:AF350)))</f>
        <v/>
      </c>
      <c r="AH357" s="392">
        <f>IF(AH300="","",-(SUM(AH348:AH350)-SUM(AG348:AG350)))</f>
        <v/>
      </c>
      <c r="AI357" s="392">
        <f>IF(AI300="","",-(SUM(AI348:AI350)-SUM(AH348:AH350)))</f>
        <v/>
      </c>
      <c r="AJ357" s="392">
        <f>IF(AJ300="","",-(SUM(AJ348:AJ350)-SUM(AI348:AI350)))</f>
        <v/>
      </c>
      <c r="AK357" s="392">
        <f>IF(AK300="","",-(SUM(AK348:AK350)-SUM(AJ348:AJ350)))</f>
        <v/>
      </c>
      <c r="AL357" s="392">
        <f>IF(AL300="","",-(SUM(AL348:AL350)-SUM(AK348:AK350)))</f>
        <v/>
      </c>
      <c r="AM357" s="392">
        <f>IF(AM300="","",-(SUM(AM348:AM350)-SUM(AL348:AL350)))</f>
        <v/>
      </c>
      <c r="AN357" s="392">
        <f>IF(AN300="","",-(SUM(AN348:AN350)-SUM(AM348:AM350)))</f>
        <v/>
      </c>
      <c r="AO357" s="392">
        <f>IF(AO300="","",-(SUM(AO348:AO350)-SUM(AN348:AN350)))</f>
        <v/>
      </c>
      <c r="AP357" s="392">
        <f>IF(AP300="","",-(SUM(AP348:AP350)-SUM(AO348:AO350)))</f>
        <v/>
      </c>
      <c r="AQ357" s="392">
        <f>IF(AQ300="","",-(SUM(AQ348:AQ350)-SUM(AP348:AP350)))</f>
        <v/>
      </c>
      <c r="AR357" s="392">
        <f>IF(AR300="","",-(SUM(AR348:AR350)-SUM(AQ348:AQ350)))</f>
        <v/>
      </c>
      <c r="AS357" s="392">
        <f>IF(AS300="","",-(SUM(AS348:AS350)-SUM(AR348:AR350)))</f>
        <v/>
      </c>
      <c r="AT357" s="392">
        <f>IF(AT300="","",-(SUM(AT348:AT350)-SUM(AS348:AS350)))</f>
        <v/>
      </c>
      <c r="AU357" s="392">
        <f>IF(AU300="","",-(SUM(AU348:AU350)-SUM(AT348:AT350)))</f>
        <v/>
      </c>
      <c r="AV357" s="392">
        <f>IF(AV300="","",-(SUM(AV348:AV350)-SUM(AU348:AU350)))</f>
        <v/>
      </c>
      <c r="AW357" s="392">
        <f>IF(AW300="","",-(SUM(AW348:AW350)-SUM(AV348:AV350)))</f>
        <v/>
      </c>
      <c r="AX357" s="392">
        <f>IF(AX300="","",-(SUM(AX348:AX350)-SUM(AW348:AW350)))</f>
        <v/>
      </c>
      <c r="AY357" s="392">
        <f>IF(AY300="","",-(SUM(AY348:AY350)-SUM(AX348:AX350)))</f>
        <v/>
      </c>
      <c r="AZ357" s="392">
        <f>IF(AZ300="","",-(SUM(AZ348:AZ350)-SUM(AY348:AY350)))</f>
        <v/>
      </c>
      <c r="BA357" s="392">
        <f>IF(BA300="","",-(SUM(BA348:BA350)-SUM(AZ348:AZ350)))</f>
        <v/>
      </c>
      <c r="BB357" s="392">
        <f>IF(BB300="","",-(SUM(BB348:BB350)-SUM(BA348:BA350)))</f>
        <v/>
      </c>
      <c r="BC357" s="392">
        <f>IF(BC300="","",-(SUM(BC348:BC350)-SUM(BB348:BB350)))</f>
        <v/>
      </c>
      <c r="BD357" s="392">
        <f>IF(BD300="","",-(SUM(BD348:BD350)-SUM(BC348:BC350)))</f>
        <v/>
      </c>
      <c r="BE357" s="392">
        <f>IF(BE300="","",-(SUM(BE348:BE350)-SUM(BD348:BD350)))</f>
        <v/>
      </c>
      <c r="BF357" s="392">
        <f>IF(BF300="","",-(SUM(BF348:BF350)-SUM(BE348:BE350)))</f>
        <v/>
      </c>
      <c r="BG357" s="392">
        <f>IF(BG300="","",-(SUM(BG348:BG350)-SUM(BF348:BF350)))</f>
        <v/>
      </c>
      <c r="BH357" s="392">
        <f>IF(BH300="","",-(SUM(BH348:BH350)-SUM(BG348:BG350)))</f>
        <v/>
      </c>
      <c r="BI357" s="392">
        <f>IF(BI300="","",-(SUM(BI348:BI350)-SUM(BH348:BH350)))</f>
        <v/>
      </c>
      <c r="BJ357" s="392">
        <f>IF(BJ300="","",-(SUM(BJ348:BJ350)-SUM(BI348:BI350)))</f>
        <v/>
      </c>
      <c r="BK357" s="392">
        <f>IF(BK300="","",-(SUM(BK348:BK350)-SUM(BJ348:BJ350)))</f>
        <v/>
      </c>
      <c r="BL357" s="392">
        <f>IF(BL300="","",-(SUM(BL348:BL350)-SUM(BK348:BK350)))</f>
        <v/>
      </c>
      <c r="BM357" s="392">
        <f>IF(BM300="","",-(SUM(BM348:BM350)-SUM(BL348:BL350)))</f>
        <v/>
      </c>
      <c r="BN357" s="392">
        <f>IF(BN300="","",-(SUM(BN348:BN350)-SUM(BM348:BM350)))</f>
        <v/>
      </c>
      <c r="BO357" s="392">
        <f>IF(BO300="","",-(SUM(BO348:BO350)-SUM(BN348:BN350)))</f>
        <v/>
      </c>
      <c r="BP357" s="392">
        <f>IF(BP300="","",-(SUM(BP348:BP350)-SUM(BO348:BO350)))</f>
        <v/>
      </c>
      <c r="BQ357" s="392">
        <f>IF(BQ300="","",-(SUM(BQ348:BQ350)-SUM(BP348:BP350)))</f>
        <v/>
      </c>
      <c r="BR357" s="392">
        <f>IF(BR300="","",-(SUM(BR348:BR350)-SUM(BQ348:BQ350)))</f>
        <v/>
      </c>
      <c r="BS357" s="392">
        <f>IF(BS300="","",-(SUM(BS348:BS350)-SUM(BR348:BR350)))</f>
        <v/>
      </c>
      <c r="BT357" s="392">
        <f>IF(BT300="","",-(SUM(BT348:BT350)-SUM(BS348:BS350)))</f>
        <v/>
      </c>
      <c r="BU357" s="392">
        <f>IF(BU300="","",-(SUM(BU348:BU350)-SUM(BT348:BT350)))</f>
        <v/>
      </c>
      <c r="BV357" s="392">
        <f>IF(BV300="","",-(SUM(BV348:BV350)-SUM(BU348:BU350)))</f>
        <v/>
      </c>
      <c r="BW357" s="392">
        <f>IF(BW300="","",-(SUM(BW348:BW350)-SUM(BV348:BV350)))</f>
        <v/>
      </c>
      <c r="BX357" s="392">
        <f>IF(BX300="","",-(SUM(BX348:BX350)-SUM(BW348:BW350)))</f>
        <v/>
      </c>
      <c r="BY357" s="392">
        <f>IF(BY300="","",-(SUM(BY348:BY350)-SUM(BX348:BX350)))</f>
        <v/>
      </c>
      <c r="BZ357" s="392">
        <f>IF(BZ300="","",-(SUM(BZ348:BZ350)-SUM(BY348:BY350)))</f>
        <v/>
      </c>
      <c r="CA357" s="392">
        <f>IF(CA300="","",-(SUM(CA348:CA350)-SUM(BZ348:BZ350)))</f>
        <v/>
      </c>
      <c r="CB357" s="392">
        <f>IF(CB300="","",-(SUM(CB348:CB350)-SUM(CA348:CA350)))</f>
        <v/>
      </c>
      <c r="CC357" s="392">
        <f>IF(CC300="","",-(SUM(CC348:CC350)-SUM(CB348:CB350)))</f>
        <v/>
      </c>
      <c r="CD357" s="392">
        <f>IF(CD300="","",-(SUM(CD348:CD350)-SUM(CC348:CC350)))</f>
        <v/>
      </c>
      <c r="CE357" s="392">
        <f>IF(CE300="","",-(SUM(CE348:CE350)-SUM(CD348:CD350)))</f>
        <v/>
      </c>
      <c r="CF357" s="392">
        <f>IF(CF300="","",-(SUM(CF348:CF350)-SUM(CE348:CE350)))</f>
        <v/>
      </c>
      <c r="CG357" s="392">
        <f>IF(CG300="","",-(SUM(CG348:CG350)-SUM(CF348:CF350)))</f>
        <v/>
      </c>
      <c r="CH357" s="392">
        <f>IF(CH300="","",-(SUM(CH348:CH350)-SUM(CG348:CG350)))</f>
        <v/>
      </c>
      <c r="CI357" s="392">
        <f>IF(CI300="","",-(SUM(CI348:CI350)-SUM(CH348:CH350)))</f>
        <v/>
      </c>
      <c r="CJ357" s="392">
        <f>IF(CJ300="","",-(SUM(CJ348:CJ350)-SUM(CI348:CI350)))</f>
        <v/>
      </c>
      <c r="CK357" s="392">
        <f>IF(CK300="","",-(SUM(CK348:CK350)-SUM(CJ348:CJ350)))</f>
        <v/>
      </c>
      <c r="CL357" s="392">
        <f>IF(CL300="","",-(SUM(CL348:CL350)-SUM(CK348:CK350)))</f>
        <v/>
      </c>
      <c r="CM357" s="392">
        <f>IF(CM300="","",-(SUM(CM348:CM350)-SUM(CL348:CL350)))</f>
        <v/>
      </c>
      <c r="CN357" s="392">
        <f>IF(CN300="","",-(SUM(CN348:CN350)-SUM(CM348:CM350)))</f>
        <v/>
      </c>
      <c r="CO357" s="392">
        <f>IF(CO300="","",-(SUM(CO348:CO350)-SUM(CN348:CN350)))</f>
        <v/>
      </c>
      <c r="CP357" s="392">
        <f>IF(CP300="","",-(SUM(CP348:CP350)-SUM(CO348:CO350)))</f>
        <v/>
      </c>
      <c r="CQ357" s="392">
        <f>IF(CQ300="","",-(SUM(CQ348:CQ350)-SUM(CP348:CP350)))</f>
        <v/>
      </c>
      <c r="CR357" s="392">
        <f>IF(CR300="","",-(SUM(CR348:CR350)-SUM(CQ348:CQ350)))</f>
        <v/>
      </c>
      <c r="CS357" s="392">
        <f>IF(CS300="","",-(SUM(CS348:CS350)-SUM(CR348:CR350)))</f>
        <v/>
      </c>
      <c r="CT357" s="392">
        <f>IF(CT300="","",-(SUM(CT348:CT350)-SUM(CS348:CS350)))</f>
        <v/>
      </c>
      <c r="CU357" s="392">
        <f>IF(CU300="","",-(SUM(CU348:CU350)-SUM(CT348:CT350)))</f>
        <v/>
      </c>
      <c r="CV357" s="392">
        <f>IF(CV300="","",-(SUM(CV348:CV350)-SUM(CU348:CU350)))</f>
        <v/>
      </c>
      <c r="CW357" s="392">
        <f>IF(CW300="","",-(SUM(CW348:CW350)-SUM(CV348:CV350)))</f>
        <v/>
      </c>
      <c r="CX357" s="392">
        <f>IF(CX300="","",-(SUM(CX348:CX350)-SUM(CW348:CW350)))</f>
        <v/>
      </c>
      <c r="CY357" s="392">
        <f>IF(CY300="","",-(SUM(CY348:CY350)-SUM(CX348:CX350)))</f>
        <v/>
      </c>
      <c r="CZ357" s="392">
        <f>IF(CZ300="","",-(SUM(CZ348:CZ350)-SUM(CY348:CY350)))</f>
        <v/>
      </c>
      <c r="DA357" s="392">
        <f>IF(DA300="","",-(SUM(DA348:DA350)-SUM(CZ348:CZ350)))</f>
        <v/>
      </c>
      <c r="DB357" s="392">
        <f>IF(DB300="","",-(SUM(DB348:DB350)-SUM(DA348:DA350)))</f>
        <v/>
      </c>
      <c r="DC357" s="392">
        <f>IF(DC300="","",-(SUM(DC348:DC350)-SUM(DB348:DB350)))</f>
        <v/>
      </c>
      <c r="DD357" s="392">
        <f>IF(DD300="","",-(SUM(DD348:DD350)-SUM(DC348:DC350)))</f>
        <v/>
      </c>
      <c r="DE357" s="392">
        <f>IF(DE300="","",-(SUM(DE348:DE350)-SUM(DD348:DD350)))</f>
        <v/>
      </c>
    </row>
    <row r="358" ht="15" customHeight="1" s="410">
      <c r="A358" s="397" t="inlineStr">
        <is>
          <t xml:space="preserve">     Increase/(decrease) in payables</t>
        </is>
      </c>
      <c r="B358" s="392">
        <f>IF(B300="","",SUM(B351:B352)-$B$341)</f>
        <v/>
      </c>
      <c r="C358" s="392">
        <f>IF(C300="","",SUM(C351:C352)-SUM(B351:B352))</f>
        <v/>
      </c>
      <c r="D358" s="392">
        <f>IF(D300="","",SUM(D351:D352)-SUM(C351:C352))</f>
        <v/>
      </c>
      <c r="E358" s="392">
        <f>IF(E300="","",SUM(E351:E352)-SUM(D351:D352))</f>
        <v/>
      </c>
      <c r="F358" s="392">
        <f>IF(F300="","",SUM(F351:F352)-SUM(E351:E352))</f>
        <v/>
      </c>
      <c r="G358" s="392">
        <f>IF(G300="","",SUM(G351:G352)-SUM(F351:F352))</f>
        <v/>
      </c>
      <c r="H358" s="392">
        <f>IF(H300="","",SUM(H351:H352)-SUM(G351:G352))</f>
        <v/>
      </c>
      <c r="I358" s="392">
        <f>IF(I300="","",SUM(I351:I352)-SUM(H351:H352))</f>
        <v/>
      </c>
      <c r="J358" s="392">
        <f>IF(J300="","",SUM(J351:J352)-SUM(I351:I352))</f>
        <v/>
      </c>
      <c r="K358" s="392">
        <f>IF(K300="","",SUM(K351:K352)-SUM(J351:J352))</f>
        <v/>
      </c>
      <c r="L358" s="392">
        <f>IF(L300="","",SUM(L351:L352)-SUM(K351:K352))</f>
        <v/>
      </c>
      <c r="M358" s="392">
        <f>IF(M300="","",SUM(M351:M352)-SUM(L351:L352))</f>
        <v/>
      </c>
      <c r="N358" s="392">
        <f>IF(N300="","",SUM(N351:N352)-SUM(M351:M352))</f>
        <v/>
      </c>
      <c r="O358" s="392">
        <f>IF(O300="","",SUM(O351:O352)-SUM(N351:N352))</f>
        <v/>
      </c>
      <c r="P358" s="392">
        <f>IF(P300="","",SUM(P351:P352)-SUM(O351:O352))</f>
        <v/>
      </c>
      <c r="Q358" s="392">
        <f>IF(Q300="","",SUM(Q351:Q352)-SUM(P351:P352))</f>
        <v/>
      </c>
      <c r="R358" s="392">
        <f>IF(R300="","",SUM(R351:R352)-SUM(Q351:Q352))</f>
        <v/>
      </c>
      <c r="S358" s="392">
        <f>IF(S300="","",SUM(S351:S352)-SUM(R351:R352))</f>
        <v/>
      </c>
      <c r="T358" s="392">
        <f>IF(T300="","",SUM(T351:T352)-SUM(S351:S352))</f>
        <v/>
      </c>
      <c r="U358" s="392">
        <f>IF(U300="","",SUM(U351:U352)-SUM(T351:T352))</f>
        <v/>
      </c>
      <c r="V358" s="392">
        <f>IF(V300="","",SUM(V351:V352)-SUM(U351:U352))</f>
        <v/>
      </c>
      <c r="W358" s="392">
        <f>IF(W300="","",SUM(W351:W352)-SUM(V351:V352))</f>
        <v/>
      </c>
      <c r="X358" s="392">
        <f>IF(X300="","",SUM(X351:X352)-SUM(W351:W352))</f>
        <v/>
      </c>
      <c r="Y358" s="392">
        <f>IF(Y300="","",SUM(Y351:Y352)-SUM(X351:X352))</f>
        <v/>
      </c>
      <c r="Z358" s="392">
        <f>IF(Z300="","",SUM(Z351:Z352)-SUM(Y351:Y352))</f>
        <v/>
      </c>
      <c r="AA358" s="392">
        <f>IF(AA300="","",SUM(AA351:AA352)-SUM(Z351:Z352))</f>
        <v/>
      </c>
      <c r="AB358" s="392">
        <f>IF(AB300="","",SUM(AB351:AB352)-SUM(AA351:AA352))</f>
        <v/>
      </c>
      <c r="AC358" s="392">
        <f>IF(AC300="","",SUM(AC351:AC352)-SUM(AB351:AB352))</f>
        <v/>
      </c>
      <c r="AD358" s="392">
        <f>IF(AD300="","",SUM(AD351:AD352)-SUM(AC351:AC352))</f>
        <v/>
      </c>
      <c r="AE358" s="392">
        <f>IF(AE300="","",SUM(AE351:AE352)-SUM(AD351:AD352))</f>
        <v/>
      </c>
      <c r="AF358" s="392">
        <f>IF(AF300="","",SUM(AF351:AF352)-SUM(AE351:AE352))</f>
        <v/>
      </c>
      <c r="AG358" s="392">
        <f>IF(AG300="","",SUM(AG351:AG352)-SUM(AF351:AF352))</f>
        <v/>
      </c>
      <c r="AH358" s="392">
        <f>IF(AH300="","",SUM(AH351:AH352)-SUM(AG351:AG352))</f>
        <v/>
      </c>
      <c r="AI358" s="392">
        <f>IF(AI300="","",SUM(AI351:AI352)-SUM(AH351:AH352))</f>
        <v/>
      </c>
      <c r="AJ358" s="392">
        <f>IF(AJ300="","",SUM(AJ351:AJ352)-SUM(AI351:AI352))</f>
        <v/>
      </c>
      <c r="AK358" s="392">
        <f>IF(AK300="","",SUM(AK351:AK352)-SUM(AJ351:AJ352))</f>
        <v/>
      </c>
      <c r="AL358" s="392">
        <f>IF(AL300="","",SUM(AL351:AL352)-SUM(AK351:AK352))</f>
        <v/>
      </c>
      <c r="AM358" s="392">
        <f>IF(AM300="","",SUM(AM351:AM352)-SUM(AL351:AL352))</f>
        <v/>
      </c>
      <c r="AN358" s="392">
        <f>IF(AN300="","",SUM(AN351:AN352)-SUM(AM351:AM352))</f>
        <v/>
      </c>
      <c r="AO358" s="392">
        <f>IF(AO300="","",SUM(AO351:AO352)-SUM(AN351:AN352))</f>
        <v/>
      </c>
      <c r="AP358" s="392">
        <f>IF(AP300="","",SUM(AP351:AP352)-SUM(AO351:AO352))</f>
        <v/>
      </c>
      <c r="AQ358" s="392">
        <f>IF(AQ300="","",SUM(AQ351:AQ352)-SUM(AP351:AP352))</f>
        <v/>
      </c>
      <c r="AR358" s="392">
        <f>IF(AR300="","",SUM(AR351:AR352)-SUM(AQ351:AQ352))</f>
        <v/>
      </c>
      <c r="AS358" s="392">
        <f>IF(AS300="","",SUM(AS351:AS352)-SUM(AR351:AR352))</f>
        <v/>
      </c>
      <c r="AT358" s="392">
        <f>IF(AT300="","",SUM(AT351:AT352)-SUM(AS351:AS352))</f>
        <v/>
      </c>
      <c r="AU358" s="392">
        <f>IF(AU300="","",SUM(AU351:AU352)-SUM(AT351:AT352))</f>
        <v/>
      </c>
      <c r="AV358" s="392">
        <f>IF(AV300="","",SUM(AV351:AV352)-SUM(AU351:AU352))</f>
        <v/>
      </c>
      <c r="AW358" s="392">
        <f>IF(AW300="","",SUM(AW351:AW352)-SUM(AV351:AV352))</f>
        <v/>
      </c>
      <c r="AX358" s="392">
        <f>IF(AX300="","",SUM(AX351:AX352)-SUM(AW351:AW352))</f>
        <v/>
      </c>
      <c r="AY358" s="392">
        <f>IF(AY300="","",SUM(AY351:AY352)-SUM(AX351:AX352))</f>
        <v/>
      </c>
      <c r="AZ358" s="392">
        <f>IF(AZ300="","",SUM(AZ351:AZ352)-SUM(AY351:AY352))</f>
        <v/>
      </c>
      <c r="BA358" s="392">
        <f>IF(BA300="","",SUM(BA351:BA352)-SUM(AZ351:AZ352))</f>
        <v/>
      </c>
      <c r="BB358" s="392">
        <f>IF(BB300="","",SUM(BB351:BB352)-SUM(BA351:BA352))</f>
        <v/>
      </c>
      <c r="BC358" s="392">
        <f>IF(BC300="","",SUM(BC351:BC352)-SUM(BB351:BB352))</f>
        <v/>
      </c>
      <c r="BD358" s="392">
        <f>IF(BD300="","",SUM(BD351:BD352)-SUM(BC351:BC352))</f>
        <v/>
      </c>
      <c r="BE358" s="392">
        <f>IF(BE300="","",SUM(BE351:BE352)-SUM(BD351:BD352))</f>
        <v/>
      </c>
      <c r="BF358" s="392">
        <f>IF(BF300="","",SUM(BF351:BF352)-SUM(BE351:BE352))</f>
        <v/>
      </c>
      <c r="BG358" s="392">
        <f>IF(BG300="","",SUM(BG351:BG352)-SUM(BF351:BF352))</f>
        <v/>
      </c>
      <c r="BH358" s="392">
        <f>IF(BH300="","",SUM(BH351:BH352)-SUM(BG351:BG352))</f>
        <v/>
      </c>
      <c r="BI358" s="392">
        <f>IF(BI300="","",SUM(BI351:BI352)-SUM(BH351:BH352))</f>
        <v/>
      </c>
      <c r="BJ358" s="392">
        <f>IF(BJ300="","",SUM(BJ351:BJ352)-SUM(BI351:BI352))</f>
        <v/>
      </c>
      <c r="BK358" s="392">
        <f>IF(BK300="","",SUM(BK351:BK352)-SUM(BJ351:BJ352))</f>
        <v/>
      </c>
      <c r="BL358" s="392">
        <f>IF(BL300="","",SUM(BL351:BL352)-SUM(BK351:BK352))</f>
        <v/>
      </c>
      <c r="BM358" s="392">
        <f>IF(BM300="","",SUM(BM351:BM352)-SUM(BL351:BL352))</f>
        <v/>
      </c>
      <c r="BN358" s="392">
        <f>IF(BN300="","",SUM(BN351:BN352)-SUM(BM351:BM352))</f>
        <v/>
      </c>
      <c r="BO358" s="392">
        <f>IF(BO300="","",SUM(BO351:BO352)-SUM(BN351:BN352))</f>
        <v/>
      </c>
      <c r="BP358" s="392">
        <f>IF(BP300="","",SUM(BP351:BP352)-SUM(BO351:BO352))</f>
        <v/>
      </c>
      <c r="BQ358" s="392">
        <f>IF(BQ300="","",SUM(BQ351:BQ352)-SUM(BP351:BP352))</f>
        <v/>
      </c>
      <c r="BR358" s="392">
        <f>IF(BR300="","",SUM(BR351:BR352)-SUM(BQ351:BQ352))</f>
        <v/>
      </c>
      <c r="BS358" s="392">
        <f>IF(BS300="","",SUM(BS351:BS352)-SUM(BR351:BR352))</f>
        <v/>
      </c>
      <c r="BT358" s="392">
        <f>IF(BT300="","",SUM(BT351:BT352)-SUM(BS351:BS352))</f>
        <v/>
      </c>
      <c r="BU358" s="392">
        <f>IF(BU300="","",SUM(BU351:BU352)-SUM(BT351:BT352))</f>
        <v/>
      </c>
      <c r="BV358" s="392">
        <f>IF(BV300="","",SUM(BV351:BV352)-SUM(BU351:BU352))</f>
        <v/>
      </c>
      <c r="BW358" s="392">
        <f>IF(BW300="","",SUM(BW351:BW352)-SUM(BV351:BV352))</f>
        <v/>
      </c>
      <c r="BX358" s="392">
        <f>IF(BX300="","",SUM(BX351:BX352)-SUM(BW351:BW352))</f>
        <v/>
      </c>
      <c r="BY358" s="392">
        <f>IF(BY300="","",SUM(BY351:BY352)-SUM(BX351:BX352))</f>
        <v/>
      </c>
      <c r="BZ358" s="392">
        <f>IF(BZ300="","",SUM(BZ351:BZ352)-SUM(BY351:BY352))</f>
        <v/>
      </c>
      <c r="CA358" s="392">
        <f>IF(CA300="","",SUM(CA351:CA352)-SUM(BZ351:BZ352))</f>
        <v/>
      </c>
      <c r="CB358" s="392">
        <f>IF(CB300="","",SUM(CB351:CB352)-SUM(CA351:CA352))</f>
        <v/>
      </c>
      <c r="CC358" s="392">
        <f>IF(CC300="","",SUM(CC351:CC352)-SUM(CB351:CB352))</f>
        <v/>
      </c>
      <c r="CD358" s="392">
        <f>IF(CD300="","",SUM(CD351:CD352)-SUM(CC351:CC352))</f>
        <v/>
      </c>
      <c r="CE358" s="392">
        <f>IF(CE300="","",SUM(CE351:CE352)-SUM(CD351:CD352))</f>
        <v/>
      </c>
      <c r="CF358" s="392">
        <f>IF(CF300="","",SUM(CF351:CF352)-SUM(CE351:CE352))</f>
        <v/>
      </c>
      <c r="CG358" s="392">
        <f>IF(CG300="","",SUM(CG351:CG352)-SUM(CF351:CF352))</f>
        <v/>
      </c>
      <c r="CH358" s="392">
        <f>IF(CH300="","",SUM(CH351:CH352)-SUM(CG351:CG352))</f>
        <v/>
      </c>
      <c r="CI358" s="392">
        <f>IF(CI300="","",SUM(CI351:CI352)-SUM(CH351:CH352))</f>
        <v/>
      </c>
      <c r="CJ358" s="392">
        <f>IF(CJ300="","",SUM(CJ351:CJ352)-SUM(CI351:CI352))</f>
        <v/>
      </c>
      <c r="CK358" s="392">
        <f>IF(CK300="","",SUM(CK351:CK352)-SUM(CJ351:CJ352))</f>
        <v/>
      </c>
      <c r="CL358" s="392">
        <f>IF(CL300="","",SUM(CL351:CL352)-SUM(CK351:CK352))</f>
        <v/>
      </c>
      <c r="CM358" s="392">
        <f>IF(CM300="","",SUM(CM351:CM352)-SUM(CL351:CL352))</f>
        <v/>
      </c>
      <c r="CN358" s="392">
        <f>IF(CN300="","",SUM(CN351:CN352)-SUM(CM351:CM352))</f>
        <v/>
      </c>
      <c r="CO358" s="392">
        <f>IF(CO300="","",SUM(CO351:CO352)-SUM(CN351:CN352))</f>
        <v/>
      </c>
      <c r="CP358" s="392">
        <f>IF(CP300="","",SUM(CP351:CP352)-SUM(CO351:CO352))</f>
        <v/>
      </c>
      <c r="CQ358" s="392">
        <f>IF(CQ300="","",SUM(CQ351:CQ352)-SUM(CP351:CP352))</f>
        <v/>
      </c>
      <c r="CR358" s="392">
        <f>IF(CR300="","",SUM(CR351:CR352)-SUM(CQ351:CQ352))</f>
        <v/>
      </c>
      <c r="CS358" s="392">
        <f>IF(CS300="","",SUM(CS351:CS352)-SUM(CR351:CR352))</f>
        <v/>
      </c>
      <c r="CT358" s="392">
        <f>IF(CT300="","",SUM(CT351:CT352)-SUM(CS351:CS352))</f>
        <v/>
      </c>
      <c r="CU358" s="392">
        <f>IF(CU300="","",SUM(CU351:CU352)-SUM(CT351:CT352))</f>
        <v/>
      </c>
      <c r="CV358" s="392">
        <f>IF(CV300="","",SUM(CV351:CV352)-SUM(CU351:CU352))</f>
        <v/>
      </c>
      <c r="CW358" s="392">
        <f>IF(CW300="","",SUM(CW351:CW352)-SUM(CV351:CV352))</f>
        <v/>
      </c>
      <c r="CX358" s="392">
        <f>IF(CX300="","",SUM(CX351:CX352)-SUM(CW351:CW352))</f>
        <v/>
      </c>
      <c r="CY358" s="392">
        <f>IF(CY300="","",SUM(CY351:CY352)-SUM(CX351:CX352))</f>
        <v/>
      </c>
      <c r="CZ358" s="392">
        <f>IF(CZ300="","",SUM(CZ351:CZ352)-SUM(CY351:CY352))</f>
        <v/>
      </c>
      <c r="DA358" s="392">
        <f>IF(DA300="","",SUM(DA351:DA352)-SUM(CZ351:CZ352))</f>
        <v/>
      </c>
      <c r="DB358" s="392">
        <f>IF(DB300="","",SUM(DB351:DB352)-SUM(DA351:DA352))</f>
        <v/>
      </c>
      <c r="DC358" s="392">
        <f>IF(DC300="","",SUM(DC351:DC352)-SUM(DB351:DB352))</f>
        <v/>
      </c>
      <c r="DD358" s="392">
        <f>IF(DD300="","",SUM(DD351:DD352)-SUM(DC351:DC352))</f>
        <v/>
      </c>
      <c r="DE358" s="392">
        <f>IF(DE300="","",SUM(DE351:DE352)-SUM(DD351:DD352))</f>
        <v/>
      </c>
    </row>
    <row r="359" ht="15" customHeight="1" s="410">
      <c r="A359" s="397" t="inlineStr">
        <is>
          <t xml:space="preserve">     Other (deferred revenue, prepaids, fixed assets, org costs, capital) — plug</t>
        </is>
      </c>
      <c r="B359" s="392">
        <f>IF(B300="","",B300-B355-B356-B357-B358)</f>
        <v/>
      </c>
      <c r="C359" s="392">
        <f>IF(C300="","",C300-C355-C356-C357-C358)</f>
        <v/>
      </c>
      <c r="D359" s="392">
        <f>IF(D300="","",D300-D355-D356-D357-D358)</f>
        <v/>
      </c>
      <c r="E359" s="392">
        <f>IF(E300="","",E300-E355-E356-E357-E358)</f>
        <v/>
      </c>
      <c r="F359" s="392">
        <f>IF(F300="","",F300-F355-F356-F357-F358)</f>
        <v/>
      </c>
      <c r="G359" s="392">
        <f>IF(G300="","",G300-G355-G356-G357-G358)</f>
        <v/>
      </c>
      <c r="H359" s="392">
        <f>IF(H300="","",H300-H355-H356-H357-H358)</f>
        <v/>
      </c>
      <c r="I359" s="392">
        <f>IF(I300="","",I300-I355-I356-I357-I358)</f>
        <v/>
      </c>
      <c r="J359" s="392">
        <f>IF(J300="","",J300-J355-J356-J357-J358)</f>
        <v/>
      </c>
      <c r="K359" s="392">
        <f>IF(K300="","",K300-K355-K356-K357-K358)</f>
        <v/>
      </c>
      <c r="L359" s="392">
        <f>IF(L300="","",L300-L355-L356-L357-L358)</f>
        <v/>
      </c>
      <c r="M359" s="392">
        <f>IF(M300="","",M300-M355-M356-M357-M358)</f>
        <v/>
      </c>
      <c r="N359" s="392">
        <f>IF(N300="","",N300-N355-N356-N357-N358)</f>
        <v/>
      </c>
      <c r="O359" s="392">
        <f>IF(O300="","",O300-O355-O356-O357-O358)</f>
        <v/>
      </c>
      <c r="P359" s="392">
        <f>IF(P300="","",P300-P355-P356-P357-P358)</f>
        <v/>
      </c>
      <c r="Q359" s="392">
        <f>IF(Q300="","",Q300-Q355-Q356-Q357-Q358)</f>
        <v/>
      </c>
      <c r="R359" s="392">
        <f>IF(R300="","",R300-R355-R356-R357-R358)</f>
        <v/>
      </c>
      <c r="S359" s="392">
        <f>IF(S300="","",S300-S355-S356-S357-S358)</f>
        <v/>
      </c>
      <c r="T359" s="392">
        <f>IF(T300="","",T300-T355-T356-T357-T358)</f>
        <v/>
      </c>
      <c r="U359" s="392">
        <f>IF(U300="","",U300-U355-U356-U357-U358)</f>
        <v/>
      </c>
      <c r="V359" s="392">
        <f>IF(V300="","",V300-V355-V356-V357-V358)</f>
        <v/>
      </c>
      <c r="W359" s="392">
        <f>IF(W300="","",W300-W355-W356-W357-W358)</f>
        <v/>
      </c>
      <c r="X359" s="392">
        <f>IF(X300="","",X300-X355-X356-X357-X358)</f>
        <v/>
      </c>
      <c r="Y359" s="392">
        <f>IF(Y300="","",Y300-Y355-Y356-Y357-Y358)</f>
        <v/>
      </c>
      <c r="Z359" s="392">
        <f>IF(Z300="","",Z300-Z355-Z356-Z357-Z358)</f>
        <v/>
      </c>
      <c r="AA359" s="392">
        <f>IF(AA300="","",AA300-AA355-AA356-AA357-AA358)</f>
        <v/>
      </c>
      <c r="AB359" s="392">
        <f>IF(AB300="","",AB300-AB355-AB356-AB357-AB358)</f>
        <v/>
      </c>
      <c r="AC359" s="392">
        <f>IF(AC300="","",AC300-AC355-AC356-AC357-AC358)</f>
        <v/>
      </c>
      <c r="AD359" s="392">
        <f>IF(AD300="","",AD300-AD355-AD356-AD357-AD358)</f>
        <v/>
      </c>
      <c r="AE359" s="392">
        <f>IF(AE300="","",AE300-AE355-AE356-AE357-AE358)</f>
        <v/>
      </c>
      <c r="AF359" s="392">
        <f>IF(AF300="","",AF300-AF355-AF356-AF357-AF358)</f>
        <v/>
      </c>
      <c r="AG359" s="392">
        <f>IF(AG300="","",AG300-AG355-AG356-AG357-AG358)</f>
        <v/>
      </c>
      <c r="AH359" s="392">
        <f>IF(AH300="","",AH300-AH355-AH356-AH357-AH358)</f>
        <v/>
      </c>
      <c r="AI359" s="392">
        <f>IF(AI300="","",AI300-AI355-AI356-AI357-AI358)</f>
        <v/>
      </c>
      <c r="AJ359" s="392">
        <f>IF(AJ300="","",AJ300-AJ355-AJ356-AJ357-AJ358)</f>
        <v/>
      </c>
      <c r="AK359" s="392">
        <f>IF(AK300="","",AK300-AK355-AK356-AK357-AK358)</f>
        <v/>
      </c>
      <c r="AL359" s="392">
        <f>IF(AL300="","",AL300-AL355-AL356-AL357-AL358)</f>
        <v/>
      </c>
      <c r="AM359" s="392">
        <f>IF(AM300="","",AM300-AM355-AM356-AM357-AM358)</f>
        <v/>
      </c>
      <c r="AN359" s="392">
        <f>IF(AN300="","",AN300-AN355-AN356-AN357-AN358)</f>
        <v/>
      </c>
      <c r="AO359" s="392">
        <f>IF(AO300="","",AO300-AO355-AO356-AO357-AO358)</f>
        <v/>
      </c>
      <c r="AP359" s="392">
        <f>IF(AP300="","",AP300-AP355-AP356-AP357-AP358)</f>
        <v/>
      </c>
      <c r="AQ359" s="392">
        <f>IF(AQ300="","",AQ300-AQ355-AQ356-AQ357-AQ358)</f>
        <v/>
      </c>
      <c r="AR359" s="392">
        <f>IF(AR300="","",AR300-AR355-AR356-AR357-AR358)</f>
        <v/>
      </c>
      <c r="AS359" s="392">
        <f>IF(AS300="","",AS300-AS355-AS356-AS357-AS358)</f>
        <v/>
      </c>
      <c r="AT359" s="392">
        <f>IF(AT300="","",AT300-AT355-AT356-AT357-AT358)</f>
        <v/>
      </c>
      <c r="AU359" s="392">
        <f>IF(AU300="","",AU300-AU355-AU356-AU357-AU358)</f>
        <v/>
      </c>
      <c r="AV359" s="392">
        <f>IF(AV300="","",AV300-AV355-AV356-AV357-AV358)</f>
        <v/>
      </c>
      <c r="AW359" s="392">
        <f>IF(AW300="","",AW300-AW355-AW356-AW357-AW358)</f>
        <v/>
      </c>
      <c r="AX359" s="392">
        <f>IF(AX300="","",AX300-AX355-AX356-AX357-AX358)</f>
        <v/>
      </c>
      <c r="AY359" s="392">
        <f>IF(AY300="","",AY300-AY355-AY356-AY357-AY358)</f>
        <v/>
      </c>
      <c r="AZ359" s="392">
        <f>IF(AZ300="","",AZ300-AZ355-AZ356-AZ357-AZ358)</f>
        <v/>
      </c>
      <c r="BA359" s="392">
        <f>IF(BA300="","",BA300-BA355-BA356-BA357-BA358)</f>
        <v/>
      </c>
      <c r="BB359" s="392">
        <f>IF(BB300="","",BB300-BB355-BB356-BB357-BB358)</f>
        <v/>
      </c>
      <c r="BC359" s="392">
        <f>IF(BC300="","",BC300-BC355-BC356-BC357-BC358)</f>
        <v/>
      </c>
      <c r="BD359" s="392">
        <f>IF(BD300="","",BD300-BD355-BD356-BD357-BD358)</f>
        <v/>
      </c>
      <c r="BE359" s="392">
        <f>IF(BE300="","",BE300-BE355-BE356-BE357-BE358)</f>
        <v/>
      </c>
      <c r="BF359" s="392">
        <f>IF(BF300="","",BF300-BF355-BF356-BF357-BF358)</f>
        <v/>
      </c>
      <c r="BG359" s="392">
        <f>IF(BG300="","",BG300-BG355-BG356-BG357-BG358)</f>
        <v/>
      </c>
      <c r="BH359" s="392">
        <f>IF(BH300="","",BH300-BH355-BH356-BH357-BH358)</f>
        <v/>
      </c>
      <c r="BI359" s="392">
        <f>IF(BI300="","",BI300-BI355-BI356-BI357-BI358)</f>
        <v/>
      </c>
      <c r="BJ359" s="392">
        <f>IF(BJ300="","",BJ300-BJ355-BJ356-BJ357-BJ358)</f>
        <v/>
      </c>
      <c r="BK359" s="392">
        <f>IF(BK300="","",BK300-BK355-BK356-BK357-BK358)</f>
        <v/>
      </c>
      <c r="BL359" s="392">
        <f>IF(BL300="","",BL300-BL355-BL356-BL357-BL358)</f>
        <v/>
      </c>
      <c r="BM359" s="392">
        <f>IF(BM300="","",BM300-BM355-BM356-BM357-BM358)</f>
        <v/>
      </c>
      <c r="BN359" s="392">
        <f>IF(BN300="","",BN300-BN355-BN356-BN357-BN358)</f>
        <v/>
      </c>
      <c r="BO359" s="392">
        <f>IF(BO300="","",BO300-BO355-BO356-BO357-BO358)</f>
        <v/>
      </c>
      <c r="BP359" s="392">
        <f>IF(BP300="","",BP300-BP355-BP356-BP357-BP358)</f>
        <v/>
      </c>
      <c r="BQ359" s="392">
        <f>IF(BQ300="","",BQ300-BQ355-BQ356-BQ357-BQ358)</f>
        <v/>
      </c>
      <c r="BR359" s="392">
        <f>IF(BR300="","",BR300-BR355-BR356-BR357-BR358)</f>
        <v/>
      </c>
      <c r="BS359" s="392">
        <f>IF(BS300="","",BS300-BS355-BS356-BS357-BS358)</f>
        <v/>
      </c>
      <c r="BT359" s="392">
        <f>IF(BT300="","",BT300-BT355-BT356-BT357-BT358)</f>
        <v/>
      </c>
      <c r="BU359" s="392">
        <f>IF(BU300="","",BU300-BU355-BU356-BU357-BU358)</f>
        <v/>
      </c>
      <c r="BV359" s="392">
        <f>IF(BV300="","",BV300-BV355-BV356-BV357-BV358)</f>
        <v/>
      </c>
      <c r="BW359" s="392">
        <f>IF(BW300="","",BW300-BW355-BW356-BW357-BW358)</f>
        <v/>
      </c>
      <c r="BX359" s="392">
        <f>IF(BX300="","",BX300-BX355-BX356-BX357-BX358)</f>
        <v/>
      </c>
      <c r="BY359" s="392">
        <f>IF(BY300="","",BY300-BY355-BY356-BY357-BY358)</f>
        <v/>
      </c>
      <c r="BZ359" s="392">
        <f>IF(BZ300="","",BZ300-BZ355-BZ356-BZ357-BZ358)</f>
        <v/>
      </c>
      <c r="CA359" s="392">
        <f>IF(CA300="","",CA300-CA355-CA356-CA357-CA358)</f>
        <v/>
      </c>
      <c r="CB359" s="392">
        <f>IF(CB300="","",CB300-CB355-CB356-CB357-CB358)</f>
        <v/>
      </c>
      <c r="CC359" s="392">
        <f>IF(CC300="","",CC300-CC355-CC356-CC357-CC358)</f>
        <v/>
      </c>
      <c r="CD359" s="392">
        <f>IF(CD300="","",CD300-CD355-CD356-CD357-CD358)</f>
        <v/>
      </c>
      <c r="CE359" s="392">
        <f>IF(CE300="","",CE300-CE355-CE356-CE357-CE358)</f>
        <v/>
      </c>
      <c r="CF359" s="392">
        <f>IF(CF300="","",CF300-CF355-CF356-CF357-CF358)</f>
        <v/>
      </c>
      <c r="CG359" s="392">
        <f>IF(CG300="","",CG300-CG355-CG356-CG357-CG358)</f>
        <v/>
      </c>
      <c r="CH359" s="392">
        <f>IF(CH300="","",CH300-CH355-CH356-CH357-CH358)</f>
        <v/>
      </c>
      <c r="CI359" s="392">
        <f>IF(CI300="","",CI300-CI355-CI356-CI357-CI358)</f>
        <v/>
      </c>
      <c r="CJ359" s="392">
        <f>IF(CJ300="","",CJ300-CJ355-CJ356-CJ357-CJ358)</f>
        <v/>
      </c>
      <c r="CK359" s="392">
        <f>IF(CK300="","",CK300-CK355-CK356-CK357-CK358)</f>
        <v/>
      </c>
      <c r="CL359" s="392">
        <f>IF(CL300="","",CL300-CL355-CL356-CL357-CL358)</f>
        <v/>
      </c>
      <c r="CM359" s="392">
        <f>IF(CM300="","",CM300-CM355-CM356-CM357-CM358)</f>
        <v/>
      </c>
      <c r="CN359" s="392">
        <f>IF(CN300="","",CN300-CN355-CN356-CN357-CN358)</f>
        <v/>
      </c>
      <c r="CO359" s="392">
        <f>IF(CO300="","",CO300-CO355-CO356-CO357-CO358)</f>
        <v/>
      </c>
      <c r="CP359" s="392">
        <f>IF(CP300="","",CP300-CP355-CP356-CP357-CP358)</f>
        <v/>
      </c>
      <c r="CQ359" s="392">
        <f>IF(CQ300="","",CQ300-CQ355-CQ356-CQ357-CQ358)</f>
        <v/>
      </c>
      <c r="CR359" s="392">
        <f>IF(CR300="","",CR300-CR355-CR356-CR357-CR358)</f>
        <v/>
      </c>
      <c r="CS359" s="392">
        <f>IF(CS300="","",CS300-CS355-CS356-CS357-CS358)</f>
        <v/>
      </c>
      <c r="CT359" s="392">
        <f>IF(CT300="","",CT300-CT355-CT356-CT357-CT358)</f>
        <v/>
      </c>
      <c r="CU359" s="392">
        <f>IF(CU300="","",CU300-CU355-CU356-CU357-CU358)</f>
        <v/>
      </c>
      <c r="CV359" s="392">
        <f>IF(CV300="","",CV300-CV355-CV356-CV357-CV358)</f>
        <v/>
      </c>
      <c r="CW359" s="392">
        <f>IF(CW300="","",CW300-CW355-CW356-CW357-CW358)</f>
        <v/>
      </c>
      <c r="CX359" s="392">
        <f>IF(CX300="","",CX300-CX355-CX356-CX357-CX358)</f>
        <v/>
      </c>
      <c r="CY359" s="392">
        <f>IF(CY300="","",CY300-CY355-CY356-CY357-CY358)</f>
        <v/>
      </c>
      <c r="CZ359" s="392">
        <f>IF(CZ300="","",CZ300-CZ355-CZ356-CZ357-CZ358)</f>
        <v/>
      </c>
      <c r="DA359" s="392">
        <f>IF(DA300="","",DA300-DA355-DA356-DA357-DA358)</f>
        <v/>
      </c>
      <c r="DB359" s="392">
        <f>IF(DB300="","",DB300-DB355-DB356-DB357-DB358)</f>
        <v/>
      </c>
      <c r="DC359" s="392">
        <f>IF(DC300="","",DC300-DC355-DC356-DC357-DC358)</f>
        <v/>
      </c>
      <c r="DD359" s="392">
        <f>IF(DD300="","",DD300-DD355-DD356-DD357-DD358)</f>
        <v/>
      </c>
      <c r="DE359" s="392">
        <f>IF(DE300="","",DE300-DE355-DE356-DE357-DE358)</f>
        <v/>
      </c>
    </row>
    <row r="360" ht="15" customHeight="1" s="410">
      <c r="A360" s="447" t="inlineStr">
        <is>
          <t xml:space="preserve">     Ending cash per B/S</t>
        </is>
      </c>
      <c r="B360" s="448">
        <f>IF(B300="","",B300)</f>
        <v/>
      </c>
      <c r="C360" s="448">
        <f>IF(C300="","",C300)</f>
        <v/>
      </c>
      <c r="D360" s="448">
        <f>IF(D300="","",D300)</f>
        <v/>
      </c>
      <c r="E360" s="448">
        <f>IF(E300="","",E300)</f>
        <v/>
      </c>
      <c r="F360" s="448">
        <f>IF(F300="","",F300)</f>
        <v/>
      </c>
      <c r="G360" s="448">
        <f>IF(G300="","",G300)</f>
        <v/>
      </c>
      <c r="H360" s="448">
        <f>IF(H300="","",H300)</f>
        <v/>
      </c>
      <c r="I360" s="448">
        <f>IF(I300="","",I300)</f>
        <v/>
      </c>
      <c r="J360" s="448">
        <f>IF(J300="","",J300)</f>
        <v/>
      </c>
      <c r="K360" s="448">
        <f>IF(K300="","",K300)</f>
        <v/>
      </c>
      <c r="L360" s="448">
        <f>IF(L300="","",L300)</f>
        <v/>
      </c>
      <c r="M360" s="448">
        <f>IF(M300="","",M300)</f>
        <v/>
      </c>
      <c r="N360" s="448">
        <f>IF(N300="","",N300)</f>
        <v/>
      </c>
      <c r="O360" s="448">
        <f>IF(O300="","",O300)</f>
        <v/>
      </c>
      <c r="P360" s="448">
        <f>IF(P300="","",P300)</f>
        <v/>
      </c>
      <c r="Q360" s="448">
        <f>IF(Q300="","",Q300)</f>
        <v/>
      </c>
      <c r="R360" s="448">
        <f>IF(R300="","",R300)</f>
        <v/>
      </c>
      <c r="S360" s="448">
        <f>IF(S300="","",S300)</f>
        <v/>
      </c>
      <c r="T360" s="448">
        <f>IF(T300="","",T300)</f>
        <v/>
      </c>
      <c r="U360" s="448">
        <f>IF(U300="","",U300)</f>
        <v/>
      </c>
      <c r="V360" s="448">
        <f>IF(V300="","",V300)</f>
        <v/>
      </c>
      <c r="W360" s="448">
        <f>IF(W300="","",W300)</f>
        <v/>
      </c>
      <c r="X360" s="448">
        <f>IF(X300="","",X300)</f>
        <v/>
      </c>
      <c r="Y360" s="448">
        <f>IF(Y300="","",Y300)</f>
        <v/>
      </c>
      <c r="Z360" s="448">
        <f>IF(Z300="","",Z300)</f>
        <v/>
      </c>
      <c r="AA360" s="448">
        <f>IF(AA300="","",AA300)</f>
        <v/>
      </c>
      <c r="AB360" s="448">
        <f>IF(AB300="","",AB300)</f>
        <v/>
      </c>
      <c r="AC360" s="448">
        <f>IF(AC300="","",AC300)</f>
        <v/>
      </c>
      <c r="AD360" s="448">
        <f>IF(AD300="","",AD300)</f>
        <v/>
      </c>
      <c r="AE360" s="448">
        <f>IF(AE300="","",AE300)</f>
        <v/>
      </c>
      <c r="AF360" s="448">
        <f>IF(AF300="","",AF300)</f>
        <v/>
      </c>
      <c r="AG360" s="448">
        <f>IF(AG300="","",AG300)</f>
        <v/>
      </c>
      <c r="AH360" s="448">
        <f>IF(AH300="","",AH300)</f>
        <v/>
      </c>
      <c r="AI360" s="448">
        <f>IF(AI300="","",AI300)</f>
        <v/>
      </c>
      <c r="AJ360" s="448">
        <f>IF(AJ300="","",AJ300)</f>
        <v/>
      </c>
      <c r="AK360" s="448">
        <f>IF(AK300="","",AK300)</f>
        <v/>
      </c>
      <c r="AL360" s="448">
        <f>IF(AL300="","",AL300)</f>
        <v/>
      </c>
      <c r="AM360" s="448">
        <f>IF(AM300="","",AM300)</f>
        <v/>
      </c>
      <c r="AN360" s="448">
        <f>IF(AN300="","",AN300)</f>
        <v/>
      </c>
      <c r="AO360" s="448">
        <f>IF(AO300="","",AO300)</f>
        <v/>
      </c>
      <c r="AP360" s="448">
        <f>IF(AP300="","",AP300)</f>
        <v/>
      </c>
      <c r="AQ360" s="448">
        <f>IF(AQ300="","",AQ300)</f>
        <v/>
      </c>
      <c r="AR360" s="448">
        <f>IF(AR300="","",AR300)</f>
        <v/>
      </c>
      <c r="AS360" s="448">
        <f>IF(AS300="","",AS300)</f>
        <v/>
      </c>
      <c r="AT360" s="448">
        <f>IF(AT300="","",AT300)</f>
        <v/>
      </c>
      <c r="AU360" s="448">
        <f>IF(AU300="","",AU300)</f>
        <v/>
      </c>
      <c r="AV360" s="448">
        <f>IF(AV300="","",AV300)</f>
        <v/>
      </c>
      <c r="AW360" s="448">
        <f>IF(AW300="","",AW300)</f>
        <v/>
      </c>
      <c r="AX360" s="448">
        <f>IF(AX300="","",AX300)</f>
        <v/>
      </c>
      <c r="AY360" s="448">
        <f>IF(AY300="","",AY300)</f>
        <v/>
      </c>
      <c r="AZ360" s="448">
        <f>IF(AZ300="","",AZ300)</f>
        <v/>
      </c>
      <c r="BA360" s="448">
        <f>IF(BA300="","",BA300)</f>
        <v/>
      </c>
      <c r="BB360" s="448">
        <f>IF(BB300="","",BB300)</f>
        <v/>
      </c>
      <c r="BC360" s="448">
        <f>IF(BC300="","",BC300)</f>
        <v/>
      </c>
      <c r="BD360" s="448">
        <f>IF(BD300="","",BD300)</f>
        <v/>
      </c>
      <c r="BE360" s="448">
        <f>IF(BE300="","",BE300)</f>
        <v/>
      </c>
      <c r="BF360" s="448">
        <f>IF(BF300="","",BF300)</f>
        <v/>
      </c>
      <c r="BG360" s="448">
        <f>IF(BG300="","",BG300)</f>
        <v/>
      </c>
      <c r="BH360" s="448">
        <f>IF(BH300="","",BH300)</f>
        <v/>
      </c>
      <c r="BI360" s="448">
        <f>IF(BI300="","",BI300)</f>
        <v/>
      </c>
      <c r="BJ360" s="448">
        <f>IF(BJ300="","",BJ300)</f>
        <v/>
      </c>
      <c r="BK360" s="448">
        <f>IF(BK300="","",BK300)</f>
        <v/>
      </c>
      <c r="BL360" s="448">
        <f>IF(BL300="","",BL300)</f>
        <v/>
      </c>
      <c r="BM360" s="448">
        <f>IF(BM300="","",BM300)</f>
        <v/>
      </c>
      <c r="BN360" s="448">
        <f>IF(BN300="","",BN300)</f>
        <v/>
      </c>
      <c r="BO360" s="448">
        <f>IF(BO300="","",BO300)</f>
        <v/>
      </c>
      <c r="BP360" s="448">
        <f>IF(BP300="","",BP300)</f>
        <v/>
      </c>
      <c r="BQ360" s="448">
        <f>IF(BQ300="","",BQ300)</f>
        <v/>
      </c>
      <c r="BR360" s="448">
        <f>IF(BR300="","",BR300)</f>
        <v/>
      </c>
      <c r="BS360" s="448">
        <f>IF(BS300="","",BS300)</f>
        <v/>
      </c>
      <c r="BT360" s="448">
        <f>IF(BT300="","",BT300)</f>
        <v/>
      </c>
      <c r="BU360" s="448">
        <f>IF(BU300="","",BU300)</f>
        <v/>
      </c>
      <c r="BV360" s="448">
        <f>IF(BV300="","",BV300)</f>
        <v/>
      </c>
      <c r="BW360" s="448">
        <f>IF(BW300="","",BW300)</f>
        <v/>
      </c>
      <c r="BX360" s="448">
        <f>IF(BX300="","",BX300)</f>
        <v/>
      </c>
      <c r="BY360" s="448">
        <f>IF(BY300="","",BY300)</f>
        <v/>
      </c>
      <c r="BZ360" s="448">
        <f>IF(BZ300="","",BZ300)</f>
        <v/>
      </c>
      <c r="CA360" s="448">
        <f>IF(CA300="","",CA300)</f>
        <v/>
      </c>
      <c r="CB360" s="448">
        <f>IF(CB300="","",CB300)</f>
        <v/>
      </c>
      <c r="CC360" s="448">
        <f>IF(CC300="","",CC300)</f>
        <v/>
      </c>
      <c r="CD360" s="448">
        <f>IF(CD300="","",CD300)</f>
        <v/>
      </c>
      <c r="CE360" s="448">
        <f>IF(CE300="","",CE300)</f>
        <v/>
      </c>
      <c r="CF360" s="448">
        <f>IF(CF300="","",CF300)</f>
        <v/>
      </c>
      <c r="CG360" s="448">
        <f>IF(CG300="","",CG300)</f>
        <v/>
      </c>
      <c r="CH360" s="448">
        <f>IF(CH300="","",CH300)</f>
        <v/>
      </c>
      <c r="CI360" s="448">
        <f>IF(CI300="","",CI300)</f>
        <v/>
      </c>
      <c r="CJ360" s="448">
        <f>IF(CJ300="","",CJ300)</f>
        <v/>
      </c>
      <c r="CK360" s="448">
        <f>IF(CK300="","",CK300)</f>
        <v/>
      </c>
      <c r="CL360" s="448">
        <f>IF(CL300="","",CL300)</f>
        <v/>
      </c>
      <c r="CM360" s="448">
        <f>IF(CM300="","",CM300)</f>
        <v/>
      </c>
      <c r="CN360" s="448">
        <f>IF(CN300="","",CN300)</f>
        <v/>
      </c>
      <c r="CO360" s="448">
        <f>IF(CO300="","",CO300)</f>
        <v/>
      </c>
      <c r="CP360" s="448">
        <f>IF(CP300="","",CP300)</f>
        <v/>
      </c>
      <c r="CQ360" s="448">
        <f>IF(CQ300="","",CQ300)</f>
        <v/>
      </c>
      <c r="CR360" s="448">
        <f>IF(CR300="","",CR300)</f>
        <v/>
      </c>
      <c r="CS360" s="448">
        <f>IF(CS300="","",CS300)</f>
        <v/>
      </c>
      <c r="CT360" s="448">
        <f>IF(CT300="","",CT300)</f>
        <v/>
      </c>
      <c r="CU360" s="448">
        <f>IF(CU300="","",CU300)</f>
        <v/>
      </c>
      <c r="CV360" s="448">
        <f>IF(CV300="","",CV300)</f>
        <v/>
      </c>
      <c r="CW360" s="448">
        <f>IF(CW300="","",CW300)</f>
        <v/>
      </c>
      <c r="CX360" s="448">
        <f>IF(CX300="","",CX300)</f>
        <v/>
      </c>
      <c r="CY360" s="448">
        <f>IF(CY300="","",CY300)</f>
        <v/>
      </c>
      <c r="CZ360" s="448">
        <f>IF(CZ300="","",CZ300)</f>
        <v/>
      </c>
      <c r="DA360" s="448">
        <f>IF(DA300="","",DA300)</f>
        <v/>
      </c>
      <c r="DB360" s="448">
        <f>IF(DB300="","",DB300)</f>
        <v/>
      </c>
      <c r="DC360" s="448">
        <f>IF(DC300="","",DC300)</f>
        <v/>
      </c>
      <c r="DD360" s="448">
        <f>IF(DD300="","",DD300)</f>
        <v/>
      </c>
      <c r="DE360" s="448">
        <f>IF(DE300="","",DE300)</f>
        <v/>
      </c>
    </row>
    <row r="361" ht="15" customHeight="1" s="410">
      <c r="A361" s="397" t="inlineStr">
        <is>
          <t xml:space="preserve">     Cash change less net income (working capital + other)</t>
        </is>
      </c>
      <c r="B361" s="392">
        <f>IF(B300="","",B300-B355-B356)</f>
        <v/>
      </c>
      <c r="C361" s="392">
        <f>IF(C300="","",C300-C355-C356)</f>
        <v/>
      </c>
      <c r="D361" s="392">
        <f>IF(D300="","",D300-D355-D356)</f>
        <v/>
      </c>
      <c r="E361" s="392">
        <f>IF(E300="","",E300-E355-E356)</f>
        <v/>
      </c>
      <c r="F361" s="392">
        <f>IF(F300="","",F300-F355-F356)</f>
        <v/>
      </c>
      <c r="G361" s="392">
        <f>IF(G300="","",G300-G355-G356)</f>
        <v/>
      </c>
      <c r="H361" s="392">
        <f>IF(H300="","",H300-H355-H356)</f>
        <v/>
      </c>
      <c r="I361" s="392">
        <f>IF(I300="","",I300-I355-I356)</f>
        <v/>
      </c>
      <c r="J361" s="392">
        <f>IF(J300="","",J300-J355-J356)</f>
        <v/>
      </c>
      <c r="K361" s="392">
        <f>IF(K300="","",K300-K355-K356)</f>
        <v/>
      </c>
      <c r="L361" s="392">
        <f>IF(L300="","",L300-L355-L356)</f>
        <v/>
      </c>
      <c r="M361" s="392">
        <f>IF(M300="","",M300-M355-M356)</f>
        <v/>
      </c>
      <c r="N361" s="392">
        <f>IF(N300="","",N300-N355-N356)</f>
        <v/>
      </c>
      <c r="O361" s="392">
        <f>IF(O300="","",O300-O355-O356)</f>
        <v/>
      </c>
      <c r="P361" s="392">
        <f>IF(P300="","",P300-P355-P356)</f>
        <v/>
      </c>
      <c r="Q361" s="392">
        <f>IF(Q300="","",Q300-Q355-Q356)</f>
        <v/>
      </c>
      <c r="R361" s="392">
        <f>IF(R300="","",R300-R355-R356)</f>
        <v/>
      </c>
      <c r="S361" s="392">
        <f>IF(S300="","",S300-S355-S356)</f>
        <v/>
      </c>
      <c r="T361" s="392">
        <f>IF(T300="","",T300-T355-T356)</f>
        <v/>
      </c>
      <c r="U361" s="392">
        <f>IF(U300="","",U300-U355-U356)</f>
        <v/>
      </c>
      <c r="V361" s="392">
        <f>IF(V300="","",V300-V355-V356)</f>
        <v/>
      </c>
      <c r="W361" s="392">
        <f>IF(W300="","",W300-W355-W356)</f>
        <v/>
      </c>
      <c r="X361" s="392">
        <f>IF(X300="","",X300-X355-X356)</f>
        <v/>
      </c>
      <c r="Y361" s="392">
        <f>IF(Y300="","",Y300-Y355-Y356)</f>
        <v/>
      </c>
      <c r="Z361" s="392">
        <f>IF(Z300="","",Z300-Z355-Z356)</f>
        <v/>
      </c>
      <c r="AA361" s="392">
        <f>IF(AA300="","",AA300-AA355-AA356)</f>
        <v/>
      </c>
      <c r="AB361" s="392">
        <f>IF(AB300="","",AB300-AB355-AB356)</f>
        <v/>
      </c>
      <c r="AC361" s="392">
        <f>IF(AC300="","",AC300-AC355-AC356)</f>
        <v/>
      </c>
      <c r="AD361" s="392">
        <f>IF(AD300="","",AD300-AD355-AD356)</f>
        <v/>
      </c>
      <c r="AE361" s="392">
        <f>IF(AE300="","",AE300-AE355-AE356)</f>
        <v/>
      </c>
      <c r="AF361" s="392">
        <f>IF(AF300="","",AF300-AF355-AF356)</f>
        <v/>
      </c>
      <c r="AG361" s="392">
        <f>IF(AG300="","",AG300-AG355-AG356)</f>
        <v/>
      </c>
      <c r="AH361" s="392">
        <f>IF(AH300="","",AH300-AH355-AH356)</f>
        <v/>
      </c>
      <c r="AI361" s="392">
        <f>IF(AI300="","",AI300-AI355-AI356)</f>
        <v/>
      </c>
      <c r="AJ361" s="392">
        <f>IF(AJ300="","",AJ300-AJ355-AJ356)</f>
        <v/>
      </c>
      <c r="AK361" s="392">
        <f>IF(AK300="","",AK300-AK355-AK356)</f>
        <v/>
      </c>
      <c r="AL361" s="392">
        <f>IF(AL300="","",AL300-AL355-AL356)</f>
        <v/>
      </c>
      <c r="AM361" s="392">
        <f>IF(AM300="","",AM300-AM355-AM356)</f>
        <v/>
      </c>
      <c r="AN361" s="392">
        <f>IF(AN300="","",AN300-AN355-AN356)</f>
        <v/>
      </c>
      <c r="AO361" s="392">
        <f>IF(AO300="","",AO300-AO355-AO356)</f>
        <v/>
      </c>
      <c r="AP361" s="392">
        <f>IF(AP300="","",AP300-AP355-AP356)</f>
        <v/>
      </c>
      <c r="AQ361" s="392">
        <f>IF(AQ300="","",AQ300-AQ355-AQ356)</f>
        <v/>
      </c>
      <c r="AR361" s="392">
        <f>IF(AR300="","",AR300-AR355-AR356)</f>
        <v/>
      </c>
      <c r="AS361" s="392">
        <f>IF(AS300="","",AS300-AS355-AS356)</f>
        <v/>
      </c>
      <c r="AT361" s="392">
        <f>IF(AT300="","",AT300-AT355-AT356)</f>
        <v/>
      </c>
      <c r="AU361" s="392">
        <f>IF(AU300="","",AU300-AU355-AU356)</f>
        <v/>
      </c>
      <c r="AV361" s="392">
        <f>IF(AV300="","",AV300-AV355-AV356)</f>
        <v/>
      </c>
      <c r="AW361" s="392">
        <f>IF(AW300="","",AW300-AW355-AW356)</f>
        <v/>
      </c>
      <c r="AX361" s="392">
        <f>IF(AX300="","",AX300-AX355-AX356)</f>
        <v/>
      </c>
      <c r="AY361" s="392">
        <f>IF(AY300="","",AY300-AY355-AY356)</f>
        <v/>
      </c>
      <c r="AZ361" s="392">
        <f>IF(AZ300="","",AZ300-AZ355-AZ356)</f>
        <v/>
      </c>
      <c r="BA361" s="392">
        <f>IF(BA300="","",BA300-BA355-BA356)</f>
        <v/>
      </c>
      <c r="BB361" s="392">
        <f>IF(BB300="","",BB300-BB355-BB356)</f>
        <v/>
      </c>
      <c r="BC361" s="392">
        <f>IF(BC300="","",BC300-BC355-BC356)</f>
        <v/>
      </c>
      <c r="BD361" s="392">
        <f>IF(BD300="","",BD300-BD355-BD356)</f>
        <v/>
      </c>
      <c r="BE361" s="392">
        <f>IF(BE300="","",BE300-BE355-BE356)</f>
        <v/>
      </c>
      <c r="BF361" s="392">
        <f>IF(BF300="","",BF300-BF355-BF356)</f>
        <v/>
      </c>
      <c r="BG361" s="392">
        <f>IF(BG300="","",BG300-BG355-BG356)</f>
        <v/>
      </c>
      <c r="BH361" s="392">
        <f>IF(BH300="","",BH300-BH355-BH356)</f>
        <v/>
      </c>
      <c r="BI361" s="392">
        <f>IF(BI300="","",BI300-BI355-BI356)</f>
        <v/>
      </c>
      <c r="BJ361" s="392">
        <f>IF(BJ300="","",BJ300-BJ355-BJ356)</f>
        <v/>
      </c>
      <c r="BK361" s="392">
        <f>IF(BK300="","",BK300-BK355-BK356)</f>
        <v/>
      </c>
      <c r="BL361" s="392">
        <f>IF(BL300="","",BL300-BL355-BL356)</f>
        <v/>
      </c>
      <c r="BM361" s="392">
        <f>IF(BM300="","",BM300-BM355-BM356)</f>
        <v/>
      </c>
      <c r="BN361" s="392">
        <f>IF(BN300="","",BN300-BN355-BN356)</f>
        <v/>
      </c>
      <c r="BO361" s="392">
        <f>IF(BO300="","",BO300-BO355-BO356)</f>
        <v/>
      </c>
      <c r="BP361" s="392">
        <f>IF(BP300="","",BP300-BP355-BP356)</f>
        <v/>
      </c>
      <c r="BQ361" s="392">
        <f>IF(BQ300="","",BQ300-BQ355-BQ356)</f>
        <v/>
      </c>
      <c r="BR361" s="392">
        <f>IF(BR300="","",BR300-BR355-BR356)</f>
        <v/>
      </c>
      <c r="BS361" s="392">
        <f>IF(BS300="","",BS300-BS355-BS356)</f>
        <v/>
      </c>
      <c r="BT361" s="392">
        <f>IF(BT300="","",BT300-BT355-BT356)</f>
        <v/>
      </c>
      <c r="BU361" s="392">
        <f>IF(BU300="","",BU300-BU355-BU356)</f>
        <v/>
      </c>
      <c r="BV361" s="392">
        <f>IF(BV300="","",BV300-BV355-BV356)</f>
        <v/>
      </c>
      <c r="BW361" s="392">
        <f>IF(BW300="","",BW300-BW355-BW356)</f>
        <v/>
      </c>
      <c r="BX361" s="392">
        <f>IF(BX300="","",BX300-BX355-BX356)</f>
        <v/>
      </c>
      <c r="BY361" s="392">
        <f>IF(BY300="","",BY300-BY355-BY356)</f>
        <v/>
      </c>
      <c r="BZ361" s="392">
        <f>IF(BZ300="","",BZ300-BZ355-BZ356)</f>
        <v/>
      </c>
      <c r="CA361" s="392">
        <f>IF(CA300="","",CA300-CA355-CA356)</f>
        <v/>
      </c>
      <c r="CB361" s="392">
        <f>IF(CB300="","",CB300-CB355-CB356)</f>
        <v/>
      </c>
      <c r="CC361" s="392">
        <f>IF(CC300="","",CC300-CC355-CC356)</f>
        <v/>
      </c>
      <c r="CD361" s="392">
        <f>IF(CD300="","",CD300-CD355-CD356)</f>
        <v/>
      </c>
      <c r="CE361" s="392">
        <f>IF(CE300="","",CE300-CE355-CE356)</f>
        <v/>
      </c>
      <c r="CF361" s="392">
        <f>IF(CF300="","",CF300-CF355-CF356)</f>
        <v/>
      </c>
      <c r="CG361" s="392">
        <f>IF(CG300="","",CG300-CG355-CG356)</f>
        <v/>
      </c>
      <c r="CH361" s="392">
        <f>IF(CH300="","",CH300-CH355-CH356)</f>
        <v/>
      </c>
      <c r="CI361" s="392">
        <f>IF(CI300="","",CI300-CI355-CI356)</f>
        <v/>
      </c>
      <c r="CJ361" s="392">
        <f>IF(CJ300="","",CJ300-CJ355-CJ356)</f>
        <v/>
      </c>
      <c r="CK361" s="392">
        <f>IF(CK300="","",CK300-CK355-CK356)</f>
        <v/>
      </c>
      <c r="CL361" s="392">
        <f>IF(CL300="","",CL300-CL355-CL356)</f>
        <v/>
      </c>
      <c r="CM361" s="392">
        <f>IF(CM300="","",CM300-CM355-CM356)</f>
        <v/>
      </c>
      <c r="CN361" s="392">
        <f>IF(CN300="","",CN300-CN355-CN356)</f>
        <v/>
      </c>
      <c r="CO361" s="392">
        <f>IF(CO300="","",CO300-CO355-CO356)</f>
        <v/>
      </c>
      <c r="CP361" s="392">
        <f>IF(CP300="","",CP300-CP355-CP356)</f>
        <v/>
      </c>
      <c r="CQ361" s="392">
        <f>IF(CQ300="","",CQ300-CQ355-CQ356)</f>
        <v/>
      </c>
      <c r="CR361" s="392">
        <f>IF(CR300="","",CR300-CR355-CR356)</f>
        <v/>
      </c>
      <c r="CS361" s="392">
        <f>IF(CS300="","",CS300-CS355-CS356)</f>
        <v/>
      </c>
      <c r="CT361" s="392">
        <f>IF(CT300="","",CT300-CT355-CT356)</f>
        <v/>
      </c>
      <c r="CU361" s="392">
        <f>IF(CU300="","",CU300-CU355-CU356)</f>
        <v/>
      </c>
      <c r="CV361" s="392">
        <f>IF(CV300="","",CV300-CV355-CV356)</f>
        <v/>
      </c>
      <c r="CW361" s="392">
        <f>IF(CW300="","",CW300-CW355-CW356)</f>
        <v/>
      </c>
      <c r="CX361" s="392">
        <f>IF(CX300="","",CX300-CX355-CX356)</f>
        <v/>
      </c>
      <c r="CY361" s="392">
        <f>IF(CY300="","",CY300-CY355-CY356)</f>
        <v/>
      </c>
      <c r="CZ361" s="392">
        <f>IF(CZ300="","",CZ300-CZ355-CZ356)</f>
        <v/>
      </c>
      <c r="DA361" s="392">
        <f>IF(DA300="","",DA300-DA355-DA356)</f>
        <v/>
      </c>
      <c r="DB361" s="392">
        <f>IF(DB300="","",DB300-DB355-DB356)</f>
        <v/>
      </c>
      <c r="DC361" s="392">
        <f>IF(DC300="","",DC300-DC355-DC356)</f>
        <v/>
      </c>
      <c r="DD361" s="392">
        <f>IF(DD300="","",DD300-DD355-DD356)</f>
        <v/>
      </c>
      <c r="DE361" s="392">
        <f>IF(DE300="","",DE300-DE355-DE356)</f>
        <v/>
      </c>
    </row>
    <row r="363" ht="15" customHeight="1" s="410">
      <c r="A363" s="450" t="inlineStr">
        <is>
          <t>Six Peak balance sheet inputs (Six Peak Capital LP Consolidated)</t>
        </is>
      </c>
      <c r="B363" s="392" t="n"/>
      <c r="C363" s="392" t="n"/>
      <c r="D363" s="392" t="n"/>
      <c r="E363" s="392" t="n"/>
      <c r="F363" s="392" t="n"/>
      <c r="G363" s="392" t="n"/>
      <c r="H363" s="392" t="n"/>
      <c r="I363" s="392" t="n"/>
      <c r="J363" s="392" t="n"/>
      <c r="K363" s="392" t="n"/>
      <c r="L363" s="392" t="n"/>
      <c r="M363" s="392" t="n"/>
      <c r="N363" s="392" t="n"/>
      <c r="O363" s="392" t="n"/>
      <c r="P363" s="392" t="n"/>
      <c r="Q363" s="392" t="n"/>
      <c r="R363" s="392" t="n"/>
      <c r="S363" s="392" t="n"/>
      <c r="T363" s="392" t="n"/>
      <c r="U363" s="392" t="n"/>
      <c r="V363" s="392" t="n"/>
      <c r="W363" s="392" t="n"/>
      <c r="X363" s="392" t="n"/>
      <c r="Y363" s="392" t="n"/>
      <c r="Z363" s="392" t="n"/>
      <c r="AA363" s="392" t="n"/>
      <c r="AB363" s="392" t="n"/>
      <c r="AC363" s="392" t="n"/>
      <c r="AD363" s="392" t="n"/>
      <c r="AE363" s="392" t="n"/>
      <c r="AF363" s="392" t="n"/>
      <c r="AG363" s="392" t="n"/>
      <c r="AH363" s="392" t="n"/>
      <c r="AI363" s="392" t="n"/>
      <c r="AJ363" s="392" t="n"/>
      <c r="AK363" s="392" t="n"/>
      <c r="AL363" s="392" t="n"/>
      <c r="AM363" s="392" t="n"/>
      <c r="AN363" s="392" t="n"/>
      <c r="AO363" s="392" t="n"/>
      <c r="AP363" s="392" t="n"/>
      <c r="AQ363" s="392" t="n"/>
      <c r="AR363" s="392" t="n"/>
      <c r="AS363" s="392" t="n"/>
      <c r="AT363" s="392" t="n"/>
      <c r="AU363" s="392" t="n"/>
      <c r="AV363" s="392" t="n"/>
      <c r="AW363" s="392" t="n"/>
      <c r="AX363" s="392" t="n"/>
      <c r="AY363" s="392" t="n"/>
      <c r="AZ363" s="392" t="n"/>
      <c r="BA363" s="392" t="n"/>
      <c r="BB363" s="392" t="n"/>
      <c r="BC363" s="392" t="n"/>
      <c r="BD363" s="392" t="n"/>
      <c r="BE363" s="392" t="n"/>
      <c r="BF363" s="392" t="n"/>
      <c r="BG363" s="392" t="n"/>
      <c r="BH363" s="392" t="n"/>
      <c r="BI363" s="392" t="n"/>
      <c r="BJ363" s="392" t="n"/>
      <c r="BK363" s="392" t="n"/>
      <c r="BL363" s="392" t="n"/>
      <c r="BM363" s="392" t="n"/>
      <c r="BN363" s="392" t="n"/>
      <c r="BO363" s="392" t="n"/>
      <c r="BP363" s="392" t="n"/>
      <c r="BQ363" s="392" t="n"/>
      <c r="BR363" s="392" t="n"/>
      <c r="BS363" s="392" t="n"/>
      <c r="BT363" s="392" t="n"/>
      <c r="BU363" s="392" t="n"/>
      <c r="BV363" s="392" t="n"/>
      <c r="BW363" s="392" t="n"/>
      <c r="BX363" s="392" t="n"/>
      <c r="BY363" s="392" t="n"/>
      <c r="BZ363" s="392" t="n"/>
      <c r="CA363" s="392" t="n"/>
      <c r="CB363" s="392" t="n"/>
      <c r="CC363" s="392" t="n"/>
      <c r="CD363" s="392" t="n"/>
      <c r="CE363" s="392" t="n"/>
      <c r="CF363" s="392" t="n"/>
      <c r="CG363" s="392" t="n"/>
      <c r="CH363" s="392" t="n"/>
      <c r="CI363" s="392" t="n"/>
      <c r="CJ363" s="392" t="n"/>
      <c r="CK363" s="392" t="n"/>
      <c r="CL363" s="392" t="n"/>
      <c r="CM363" s="392" t="n"/>
      <c r="CN363" s="392" t="n"/>
      <c r="CO363" s="392" t="n"/>
      <c r="CP363" s="392" t="n"/>
      <c r="CQ363" s="392" t="n"/>
      <c r="CR363" s="392" t="n"/>
      <c r="CS363" s="392" t="n"/>
      <c r="CT363" s="392" t="n"/>
      <c r="CU363" s="392" t="n"/>
      <c r="CV363" s="392" t="n"/>
      <c r="CW363" s="392" t="n"/>
      <c r="CX363" s="392" t="n"/>
      <c r="CY363" s="392" t="n"/>
      <c r="CZ363" s="392" t="n"/>
      <c r="DA363" s="392" t="n"/>
      <c r="DB363" s="392" t="n"/>
      <c r="DC363" s="392" t="n"/>
      <c r="DD363" s="392" t="n"/>
      <c r="DE363" s="392" t="n"/>
    </row>
    <row r="364" ht="15" customHeight="1" s="410">
      <c r="A364" s="397" t="inlineStr">
        <is>
          <t xml:space="preserve">     Due from affiliates</t>
        </is>
      </c>
      <c r="B364" s="453" t="n">
        <v>1301264</v>
      </c>
      <c r="C364" s="453" t="n">
        <v>1306764</v>
      </c>
      <c r="D364" s="453" t="n">
        <v>1217660</v>
      </c>
      <c r="E364" s="453" t="n">
        <v>998958</v>
      </c>
      <c r="F364" s="453" t="n">
        <v>989458</v>
      </c>
      <c r="G364" s="453" t="n">
        <v>939458</v>
      </c>
      <c r="H364" s="453" t="n">
        <v>860154</v>
      </c>
      <c r="I364" s="392" t="n"/>
      <c r="J364" s="392" t="n"/>
      <c r="K364" s="392" t="n"/>
      <c r="L364" s="392" t="n"/>
      <c r="M364" s="392" t="n"/>
      <c r="N364" s="392" t="n"/>
      <c r="O364" s="392" t="n"/>
      <c r="P364" s="392" t="n"/>
      <c r="Q364" s="392" t="n"/>
      <c r="R364" s="392" t="n"/>
      <c r="S364" s="392" t="n"/>
      <c r="T364" s="392" t="n"/>
      <c r="U364" s="392" t="n"/>
      <c r="V364" s="392" t="n"/>
      <c r="W364" s="392" t="n"/>
      <c r="X364" s="392" t="n"/>
      <c r="Y364" s="392" t="n"/>
      <c r="Z364" s="392" t="n"/>
      <c r="AA364" s="392" t="n"/>
      <c r="AB364" s="392" t="n"/>
      <c r="AC364" s="392" t="n"/>
      <c r="AD364" s="392" t="n"/>
      <c r="AE364" s="392" t="n"/>
      <c r="AF364" s="392" t="n"/>
      <c r="AG364" s="392" t="n"/>
      <c r="AH364" s="392" t="n"/>
      <c r="AI364" s="392" t="n"/>
      <c r="AJ364" s="392" t="n"/>
      <c r="AK364" s="392" t="n"/>
      <c r="AL364" s="392" t="n"/>
      <c r="AM364" s="392" t="n"/>
      <c r="AN364" s="392" t="n"/>
      <c r="AO364" s="392" t="n"/>
      <c r="AP364" s="392" t="n"/>
      <c r="AQ364" s="392" t="n"/>
      <c r="AR364" s="392" t="n"/>
      <c r="AS364" s="392" t="n"/>
      <c r="AT364" s="392" t="n"/>
      <c r="AU364" s="392" t="n"/>
      <c r="AV364" s="392" t="n"/>
      <c r="AW364" s="392" t="n"/>
      <c r="AX364" s="392" t="n"/>
      <c r="AY364" s="392" t="n"/>
      <c r="AZ364" s="392" t="n"/>
      <c r="BA364" s="392" t="n"/>
      <c r="BB364" s="392" t="n"/>
      <c r="BC364" s="392" t="n"/>
      <c r="BD364" s="392" t="n"/>
      <c r="BE364" s="392" t="n"/>
      <c r="BF364" s="392" t="n"/>
      <c r="BG364" s="392" t="n"/>
      <c r="BH364" s="392" t="n"/>
      <c r="BI364" s="392" t="n"/>
      <c r="BJ364" s="392" t="n"/>
      <c r="BK364" s="392" t="n"/>
      <c r="BL364" s="392" t="n"/>
      <c r="BM364" s="392" t="n"/>
      <c r="BN364" s="392" t="n"/>
      <c r="BO364" s="392" t="n"/>
      <c r="BP364" s="392" t="n"/>
      <c r="BQ364" s="392" t="n"/>
      <c r="BR364" s="392" t="n"/>
      <c r="BS364" s="392" t="n"/>
      <c r="BT364" s="392" t="n"/>
      <c r="BU364" s="392" t="n"/>
      <c r="BV364" s="392" t="n"/>
      <c r="BW364" s="392" t="n"/>
      <c r="BX364" s="392" t="n"/>
      <c r="BY364" s="392" t="n"/>
      <c r="BZ364" s="392" t="n"/>
      <c r="CA364" s="392" t="n"/>
      <c r="CB364" s="392" t="n"/>
      <c r="CC364" s="392" t="n"/>
      <c r="CD364" s="392" t="n"/>
      <c r="CE364" s="392" t="n"/>
      <c r="CF364" s="392" t="n"/>
      <c r="CG364" s="392" t="n"/>
      <c r="CH364" s="392" t="n"/>
      <c r="CI364" s="392" t="n"/>
      <c r="CJ364" s="392" t="n"/>
      <c r="CK364" s="392" t="n"/>
      <c r="CL364" s="392" t="n"/>
      <c r="CM364" s="392" t="n"/>
      <c r="CN364" s="392" t="n"/>
      <c r="CO364" s="392" t="n"/>
      <c r="CP364" s="392" t="n"/>
      <c r="CQ364" s="392" t="n"/>
      <c r="CR364" s="392" t="n"/>
      <c r="CS364" s="392" t="n"/>
      <c r="CT364" s="392" t="n"/>
      <c r="CU364" s="392" t="n"/>
      <c r="CV364" s="392" t="n"/>
      <c r="CW364" s="392" t="n"/>
      <c r="CX364" s="392" t="n"/>
      <c r="CY364" s="392" t="n"/>
      <c r="CZ364" s="392" t="n"/>
      <c r="DA364" s="392" t="n"/>
      <c r="DB364" s="392" t="n"/>
      <c r="DC364" s="392" t="n"/>
      <c r="DD364" s="392" t="n"/>
      <c r="DE364" s="392" t="n"/>
    </row>
    <row r="365" ht="15" customHeight="1" s="410">
      <c r="A365" s="397" t="inlineStr">
        <is>
          <t xml:space="preserve">     Due to affiliates</t>
        </is>
      </c>
      <c r="B365" s="453" t="n">
        <v>3067551</v>
      </c>
      <c r="C365" s="453" t="n">
        <v>3100884</v>
      </c>
      <c r="D365" s="453" t="n">
        <v>3265551</v>
      </c>
      <c r="E365" s="453" t="n">
        <v>3021000</v>
      </c>
      <c r="F365" s="453" t="n">
        <v>3320315</v>
      </c>
      <c r="G365" s="453" t="n">
        <v>4437495</v>
      </c>
      <c r="H365" s="453" t="n">
        <v>4083064</v>
      </c>
      <c r="I365" s="392" t="n"/>
      <c r="J365" s="392" t="n"/>
      <c r="K365" s="392" t="n"/>
      <c r="L365" s="392" t="n"/>
      <c r="M365" s="392" t="n"/>
      <c r="N365" s="392" t="n"/>
      <c r="O365" s="392" t="n"/>
      <c r="P365" s="392" t="n"/>
      <c r="Q365" s="392" t="n"/>
      <c r="R365" s="392" t="n"/>
      <c r="S365" s="392" t="n"/>
      <c r="T365" s="392" t="n"/>
      <c r="U365" s="392" t="n"/>
      <c r="V365" s="392" t="n"/>
      <c r="W365" s="392" t="n"/>
      <c r="X365" s="392" t="n"/>
      <c r="Y365" s="392" t="n"/>
      <c r="Z365" s="392" t="n"/>
      <c r="AA365" s="392" t="n"/>
      <c r="AB365" s="392" t="n"/>
      <c r="AC365" s="392" t="n"/>
      <c r="AD365" s="392" t="n"/>
      <c r="AE365" s="392" t="n"/>
      <c r="AF365" s="392" t="n"/>
      <c r="AG365" s="392" t="n"/>
      <c r="AH365" s="392" t="n"/>
      <c r="AI365" s="392" t="n"/>
      <c r="AJ365" s="392" t="n"/>
      <c r="AK365" s="392" t="n"/>
      <c r="AL365" s="392" t="n"/>
      <c r="AM365" s="392" t="n"/>
      <c r="AN365" s="392" t="n"/>
      <c r="AO365" s="392" t="n"/>
      <c r="AP365" s="392" t="n"/>
      <c r="AQ365" s="392" t="n"/>
      <c r="AR365" s="392" t="n"/>
      <c r="AS365" s="392" t="n"/>
      <c r="AT365" s="392" t="n"/>
      <c r="AU365" s="392" t="n"/>
      <c r="AV365" s="392" t="n"/>
      <c r="AW365" s="392" t="n"/>
      <c r="AX365" s="392" t="n"/>
      <c r="AY365" s="392" t="n"/>
      <c r="AZ365" s="392" t="n"/>
      <c r="BA365" s="392" t="n"/>
      <c r="BB365" s="392" t="n"/>
      <c r="BC365" s="392" t="n"/>
      <c r="BD365" s="392" t="n"/>
      <c r="BE365" s="392" t="n"/>
      <c r="BF365" s="392" t="n"/>
      <c r="BG365" s="392" t="n"/>
      <c r="BH365" s="392" t="n"/>
      <c r="BI365" s="392" t="n"/>
      <c r="BJ365" s="392" t="n"/>
      <c r="BK365" s="392" t="n"/>
      <c r="BL365" s="392" t="n"/>
      <c r="BM365" s="392" t="n"/>
      <c r="BN365" s="392" t="n"/>
      <c r="BO365" s="392" t="n"/>
      <c r="BP365" s="392" t="n"/>
      <c r="BQ365" s="392" t="n"/>
      <c r="BR365" s="392" t="n"/>
      <c r="BS365" s="392" t="n"/>
      <c r="BT365" s="392" t="n"/>
      <c r="BU365" s="392" t="n"/>
      <c r="BV365" s="392" t="n"/>
      <c r="BW365" s="392" t="n"/>
      <c r="BX365" s="392" t="n"/>
      <c r="BY365" s="392" t="n"/>
      <c r="BZ365" s="392" t="n"/>
      <c r="CA365" s="392" t="n"/>
      <c r="CB365" s="392" t="n"/>
      <c r="CC365" s="392" t="n"/>
      <c r="CD365" s="392" t="n"/>
      <c r="CE365" s="392" t="n"/>
      <c r="CF365" s="392" t="n"/>
      <c r="CG365" s="392" t="n"/>
      <c r="CH365" s="392" t="n"/>
      <c r="CI365" s="392" t="n"/>
      <c r="CJ365" s="392" t="n"/>
      <c r="CK365" s="392" t="n"/>
      <c r="CL365" s="392" t="n"/>
      <c r="CM365" s="392" t="n"/>
      <c r="CN365" s="392" t="n"/>
      <c r="CO365" s="392" t="n"/>
      <c r="CP365" s="392" t="n"/>
      <c r="CQ365" s="392" t="n"/>
      <c r="CR365" s="392" t="n"/>
      <c r="CS365" s="392" t="n"/>
      <c r="CT365" s="392" t="n"/>
      <c r="CU365" s="392" t="n"/>
      <c r="CV365" s="392" t="n"/>
      <c r="CW365" s="392" t="n"/>
      <c r="CX365" s="392" t="n"/>
      <c r="CY365" s="392" t="n"/>
      <c r="CZ365" s="392" t="n"/>
      <c r="DA365" s="392" t="n"/>
      <c r="DB365" s="392" t="n"/>
      <c r="DC365" s="392" t="n"/>
      <c r="DD365" s="392" t="n"/>
      <c r="DE365" s="392" t="n"/>
    </row>
    <row r="366" ht="15" customHeight="1" s="410">
      <c r="A366" s="397" t="inlineStr">
        <is>
          <t xml:space="preserve">     Line of credit payable</t>
        </is>
      </c>
      <c r="B366" s="453" t="n">
        <v>299000</v>
      </c>
      <c r="C366" s="453" t="n">
        <v>299000</v>
      </c>
      <c r="D366" s="453" t="n">
        <v>299000</v>
      </c>
      <c r="E366" s="453" t="n">
        <v>299000</v>
      </c>
      <c r="F366" s="453" t="n">
        <v>299000</v>
      </c>
      <c r="G366" s="453" t="n">
        <v>0</v>
      </c>
      <c r="H366" s="453" t="n">
        <v>0</v>
      </c>
      <c r="I366" s="392" t="n"/>
      <c r="J366" s="392" t="n"/>
      <c r="K366" s="392" t="n"/>
      <c r="L366" s="392" t="n"/>
      <c r="M366" s="392" t="n"/>
      <c r="N366" s="392" t="n"/>
      <c r="O366" s="392" t="n"/>
      <c r="P366" s="392" t="n"/>
      <c r="Q366" s="392" t="n"/>
      <c r="R366" s="392" t="n"/>
      <c r="S366" s="392" t="n"/>
      <c r="T366" s="392" t="n"/>
      <c r="U366" s="392" t="n"/>
      <c r="V366" s="392" t="n"/>
      <c r="W366" s="392" t="n"/>
      <c r="X366" s="392" t="n"/>
      <c r="Y366" s="392" t="n"/>
      <c r="Z366" s="392" t="n"/>
      <c r="AA366" s="392" t="n"/>
      <c r="AB366" s="392" t="n"/>
      <c r="AC366" s="392" t="n"/>
      <c r="AD366" s="392" t="n"/>
      <c r="AE366" s="392" t="n"/>
      <c r="AF366" s="392" t="n"/>
      <c r="AG366" s="392" t="n"/>
      <c r="AH366" s="392" t="n"/>
      <c r="AI366" s="392" t="n"/>
      <c r="AJ366" s="392" t="n"/>
      <c r="AK366" s="392" t="n"/>
      <c r="AL366" s="392" t="n"/>
      <c r="AM366" s="392" t="n"/>
      <c r="AN366" s="392" t="n"/>
      <c r="AO366" s="392" t="n"/>
      <c r="AP366" s="392" t="n"/>
      <c r="AQ366" s="392" t="n"/>
      <c r="AR366" s="392" t="n"/>
      <c r="AS366" s="392" t="n"/>
      <c r="AT366" s="392" t="n"/>
      <c r="AU366" s="392" t="n"/>
      <c r="AV366" s="392" t="n"/>
      <c r="AW366" s="392" t="n"/>
      <c r="AX366" s="392" t="n"/>
      <c r="AY366" s="392" t="n"/>
      <c r="AZ366" s="392" t="n"/>
      <c r="BA366" s="392" t="n"/>
      <c r="BB366" s="392" t="n"/>
      <c r="BC366" s="392" t="n"/>
      <c r="BD366" s="392" t="n"/>
      <c r="BE366" s="392" t="n"/>
      <c r="BF366" s="392" t="n"/>
      <c r="BG366" s="392" t="n"/>
      <c r="BH366" s="392" t="n"/>
      <c r="BI366" s="392" t="n"/>
      <c r="BJ366" s="392" t="n"/>
      <c r="BK366" s="392" t="n"/>
      <c r="BL366" s="392" t="n"/>
      <c r="BM366" s="392" t="n"/>
      <c r="BN366" s="392" t="n"/>
      <c r="BO366" s="392" t="n"/>
      <c r="BP366" s="392" t="n"/>
      <c r="BQ366" s="392" t="n"/>
      <c r="BR366" s="392" t="n"/>
      <c r="BS366" s="392" t="n"/>
      <c r="BT366" s="392" t="n"/>
      <c r="BU366" s="392" t="n"/>
      <c r="BV366" s="392" t="n"/>
      <c r="BW366" s="392" t="n"/>
      <c r="BX366" s="392" t="n"/>
      <c r="BY366" s="392" t="n"/>
      <c r="BZ366" s="392" t="n"/>
      <c r="CA366" s="392" t="n"/>
      <c r="CB366" s="392" t="n"/>
      <c r="CC366" s="392" t="n"/>
      <c r="CD366" s="392" t="n"/>
      <c r="CE366" s="392" t="n"/>
      <c r="CF366" s="392" t="n"/>
      <c r="CG366" s="392" t="n"/>
      <c r="CH366" s="392" t="n"/>
      <c r="CI366" s="392" t="n"/>
      <c r="CJ366" s="392" t="n"/>
      <c r="CK366" s="392" t="n"/>
      <c r="CL366" s="392" t="n"/>
      <c r="CM366" s="392" t="n"/>
      <c r="CN366" s="392" t="n"/>
      <c r="CO366" s="392" t="n"/>
      <c r="CP366" s="392" t="n"/>
      <c r="CQ366" s="392" t="n"/>
      <c r="CR366" s="392" t="n"/>
      <c r="CS366" s="392" t="n"/>
      <c r="CT366" s="392" t="n"/>
      <c r="CU366" s="392" t="n"/>
      <c r="CV366" s="392" t="n"/>
      <c r="CW366" s="392" t="n"/>
      <c r="CX366" s="392" t="n"/>
      <c r="CY366" s="392" t="n"/>
      <c r="CZ366" s="392" t="n"/>
      <c r="DA366" s="392" t="n"/>
      <c r="DB366" s="392" t="n"/>
      <c r="DC366" s="392" t="n"/>
      <c r="DD366" s="392" t="n"/>
      <c r="DE366" s="392" t="n"/>
    </row>
    <row r="368" ht="15" customHeight="1" s="410">
      <c r="A368" s="450" t="inlineStr">
        <is>
          <t>Six Peak cash roll-forward</t>
        </is>
      </c>
      <c r="B368" s="392" t="n"/>
      <c r="C368" s="392" t="n"/>
      <c r="D368" s="392" t="n"/>
      <c r="E368" s="392" t="n"/>
      <c r="F368" s="392" t="n"/>
      <c r="G368" s="392" t="n"/>
      <c r="H368" s="392" t="n"/>
      <c r="I368" s="392" t="n"/>
      <c r="J368" s="392" t="n"/>
      <c r="K368" s="392" t="n"/>
      <c r="L368" s="392" t="n"/>
      <c r="M368" s="392" t="n"/>
      <c r="N368" s="392" t="n"/>
      <c r="O368" s="392" t="n"/>
      <c r="P368" s="392" t="n"/>
      <c r="Q368" s="392" t="n"/>
      <c r="R368" s="392" t="n"/>
      <c r="S368" s="392" t="n"/>
      <c r="T368" s="392" t="n"/>
      <c r="U368" s="392" t="n"/>
      <c r="V368" s="392" t="n"/>
      <c r="W368" s="392" t="n"/>
      <c r="X368" s="392" t="n"/>
      <c r="Y368" s="392" t="n"/>
      <c r="Z368" s="392" t="n"/>
      <c r="AA368" s="392" t="n"/>
      <c r="AB368" s="392" t="n"/>
      <c r="AC368" s="392" t="n"/>
      <c r="AD368" s="392" t="n"/>
      <c r="AE368" s="392" t="n"/>
      <c r="AF368" s="392" t="n"/>
      <c r="AG368" s="392" t="n"/>
      <c r="AH368" s="392" t="n"/>
      <c r="AI368" s="392" t="n"/>
      <c r="AJ368" s="392" t="n"/>
      <c r="AK368" s="392" t="n"/>
      <c r="AL368" s="392" t="n"/>
      <c r="AM368" s="392" t="n"/>
      <c r="AN368" s="392" t="n"/>
      <c r="AO368" s="392" t="n"/>
      <c r="AP368" s="392" t="n"/>
      <c r="AQ368" s="392" t="n"/>
      <c r="AR368" s="392" t="n"/>
      <c r="AS368" s="392" t="n"/>
      <c r="AT368" s="392" t="n"/>
      <c r="AU368" s="392" t="n"/>
      <c r="AV368" s="392" t="n"/>
      <c r="AW368" s="392" t="n"/>
      <c r="AX368" s="392" t="n"/>
      <c r="AY368" s="392" t="n"/>
      <c r="AZ368" s="392" t="n"/>
      <c r="BA368" s="392" t="n"/>
      <c r="BB368" s="392" t="n"/>
      <c r="BC368" s="392" t="n"/>
      <c r="BD368" s="392" t="n"/>
      <c r="BE368" s="392" t="n"/>
      <c r="BF368" s="392" t="n"/>
      <c r="BG368" s="392" t="n"/>
      <c r="BH368" s="392" t="n"/>
      <c r="BI368" s="392" t="n"/>
      <c r="BJ368" s="392" t="n"/>
      <c r="BK368" s="392" t="n"/>
      <c r="BL368" s="392" t="n"/>
      <c r="BM368" s="392" t="n"/>
      <c r="BN368" s="392" t="n"/>
      <c r="BO368" s="392" t="n"/>
      <c r="BP368" s="392" t="n"/>
      <c r="BQ368" s="392" t="n"/>
      <c r="BR368" s="392" t="n"/>
      <c r="BS368" s="392" t="n"/>
      <c r="BT368" s="392" t="n"/>
      <c r="BU368" s="392" t="n"/>
      <c r="BV368" s="392" t="n"/>
      <c r="BW368" s="392" t="n"/>
      <c r="BX368" s="392" t="n"/>
      <c r="BY368" s="392" t="n"/>
      <c r="BZ368" s="392" t="n"/>
      <c r="CA368" s="392" t="n"/>
      <c r="CB368" s="392" t="n"/>
      <c r="CC368" s="392" t="n"/>
      <c r="CD368" s="392" t="n"/>
      <c r="CE368" s="392" t="n"/>
      <c r="CF368" s="392" t="n"/>
      <c r="CG368" s="392" t="n"/>
      <c r="CH368" s="392" t="n"/>
      <c r="CI368" s="392" t="n"/>
      <c r="CJ368" s="392" t="n"/>
      <c r="CK368" s="392" t="n"/>
      <c r="CL368" s="392" t="n"/>
      <c r="CM368" s="392" t="n"/>
      <c r="CN368" s="392" t="n"/>
      <c r="CO368" s="392" t="n"/>
      <c r="CP368" s="392" t="n"/>
      <c r="CQ368" s="392" t="n"/>
      <c r="CR368" s="392" t="n"/>
      <c r="CS368" s="392" t="n"/>
      <c r="CT368" s="392" t="n"/>
      <c r="CU368" s="392" t="n"/>
      <c r="CV368" s="392" t="n"/>
      <c r="CW368" s="392" t="n"/>
      <c r="CX368" s="392" t="n"/>
      <c r="CY368" s="392" t="n"/>
      <c r="CZ368" s="392" t="n"/>
      <c r="DA368" s="392" t="n"/>
      <c r="DB368" s="392" t="n"/>
      <c r="DC368" s="392" t="n"/>
      <c r="DD368" s="392" t="n"/>
      <c r="DE368" s="392" t="n"/>
    </row>
    <row r="369" ht="15" customHeight="1" s="410">
      <c r="A369" s="397" t="inlineStr">
        <is>
          <t xml:space="preserve">     Beginning cash (prior month-end B/S)</t>
        </is>
      </c>
      <c r="B369" s="392">
        <f>IF(B306="","",$B$342)</f>
        <v/>
      </c>
      <c r="C369" s="392">
        <f>IF(C306="","",B306)</f>
        <v/>
      </c>
      <c r="D369" s="392">
        <f>IF(D306="","",C306)</f>
        <v/>
      </c>
      <c r="E369" s="392">
        <f>IF(E306="","",D306)</f>
        <v/>
      </c>
      <c r="F369" s="392">
        <f>IF(F306="","",E306)</f>
        <v/>
      </c>
      <c r="G369" s="392">
        <f>IF(G306="","",F306)</f>
        <v/>
      </c>
      <c r="H369" s="392">
        <f>IF(H306="","",G306)</f>
        <v/>
      </c>
      <c r="I369" s="392">
        <f>IF(I306="","",H306)</f>
        <v/>
      </c>
      <c r="J369" s="392">
        <f>IF(J306="","",I306)</f>
        <v/>
      </c>
      <c r="K369" s="392">
        <f>IF(K306="","",J306)</f>
        <v/>
      </c>
      <c r="L369" s="392">
        <f>IF(L306="","",K306)</f>
        <v/>
      </c>
      <c r="M369" s="392">
        <f>IF(M306="","",L306)</f>
        <v/>
      </c>
      <c r="N369" s="392">
        <f>IF(N306="","",M306)</f>
        <v/>
      </c>
      <c r="O369" s="392">
        <f>IF(O306="","",N306)</f>
        <v/>
      </c>
      <c r="P369" s="392">
        <f>IF(P306="","",O306)</f>
        <v/>
      </c>
      <c r="Q369" s="392">
        <f>IF(Q306="","",P306)</f>
        <v/>
      </c>
      <c r="R369" s="392">
        <f>IF(R306="","",Q306)</f>
        <v/>
      </c>
      <c r="S369" s="392">
        <f>IF(S306="","",R306)</f>
        <v/>
      </c>
      <c r="T369" s="392">
        <f>IF(T306="","",S306)</f>
        <v/>
      </c>
      <c r="U369" s="392">
        <f>IF(U306="","",T306)</f>
        <v/>
      </c>
      <c r="V369" s="392">
        <f>IF(V306="","",U306)</f>
        <v/>
      </c>
      <c r="W369" s="392">
        <f>IF(W306="","",V306)</f>
        <v/>
      </c>
      <c r="X369" s="392">
        <f>IF(X306="","",W306)</f>
        <v/>
      </c>
      <c r="Y369" s="392">
        <f>IF(Y306="","",X306)</f>
        <v/>
      </c>
      <c r="Z369" s="392">
        <f>IF(Z306="","",Y306)</f>
        <v/>
      </c>
      <c r="AA369" s="392">
        <f>IF(AA306="","",Z306)</f>
        <v/>
      </c>
      <c r="AB369" s="392">
        <f>IF(AB306="","",AA306)</f>
        <v/>
      </c>
      <c r="AC369" s="392">
        <f>IF(AC306="","",AB306)</f>
        <v/>
      </c>
      <c r="AD369" s="392">
        <f>IF(AD306="","",AC306)</f>
        <v/>
      </c>
      <c r="AE369" s="392">
        <f>IF(AE306="","",AD306)</f>
        <v/>
      </c>
      <c r="AF369" s="392">
        <f>IF(AF306="","",AE306)</f>
        <v/>
      </c>
      <c r="AG369" s="392">
        <f>IF(AG306="","",AF306)</f>
        <v/>
      </c>
      <c r="AH369" s="392">
        <f>IF(AH306="","",AG306)</f>
        <v/>
      </c>
      <c r="AI369" s="392">
        <f>IF(AI306="","",AH306)</f>
        <v/>
      </c>
      <c r="AJ369" s="392">
        <f>IF(AJ306="","",AI306)</f>
        <v/>
      </c>
      <c r="AK369" s="392">
        <f>IF(AK306="","",AJ306)</f>
        <v/>
      </c>
      <c r="AL369" s="392">
        <f>IF(AL306="","",AK306)</f>
        <v/>
      </c>
      <c r="AM369" s="392">
        <f>IF(AM306="","",AL306)</f>
        <v/>
      </c>
      <c r="AN369" s="392">
        <f>IF(AN306="","",AM306)</f>
        <v/>
      </c>
      <c r="AO369" s="392">
        <f>IF(AO306="","",AN306)</f>
        <v/>
      </c>
      <c r="AP369" s="392">
        <f>IF(AP306="","",AO306)</f>
        <v/>
      </c>
      <c r="AQ369" s="392">
        <f>IF(AQ306="","",AP306)</f>
        <v/>
      </c>
      <c r="AR369" s="392">
        <f>IF(AR306="","",AQ306)</f>
        <v/>
      </c>
      <c r="AS369" s="392">
        <f>IF(AS306="","",AR306)</f>
        <v/>
      </c>
      <c r="AT369" s="392">
        <f>IF(AT306="","",AS306)</f>
        <v/>
      </c>
      <c r="AU369" s="392">
        <f>IF(AU306="","",AT306)</f>
        <v/>
      </c>
      <c r="AV369" s="392">
        <f>IF(AV306="","",AU306)</f>
        <v/>
      </c>
      <c r="AW369" s="392">
        <f>IF(AW306="","",AV306)</f>
        <v/>
      </c>
      <c r="AX369" s="392">
        <f>IF(AX306="","",AW306)</f>
        <v/>
      </c>
      <c r="AY369" s="392">
        <f>IF(AY306="","",AX306)</f>
        <v/>
      </c>
      <c r="AZ369" s="392">
        <f>IF(AZ306="","",AY306)</f>
        <v/>
      </c>
      <c r="BA369" s="392">
        <f>IF(BA306="","",AZ306)</f>
        <v/>
      </c>
      <c r="BB369" s="392">
        <f>IF(BB306="","",BA306)</f>
        <v/>
      </c>
      <c r="BC369" s="392">
        <f>IF(BC306="","",BB306)</f>
        <v/>
      </c>
      <c r="BD369" s="392">
        <f>IF(BD306="","",BC306)</f>
        <v/>
      </c>
      <c r="BE369" s="392">
        <f>IF(BE306="","",BD306)</f>
        <v/>
      </c>
      <c r="BF369" s="392">
        <f>IF(BF306="","",BE306)</f>
        <v/>
      </c>
      <c r="BG369" s="392">
        <f>IF(BG306="","",BF306)</f>
        <v/>
      </c>
      <c r="BH369" s="392">
        <f>IF(BH306="","",BG306)</f>
        <v/>
      </c>
      <c r="BI369" s="392">
        <f>IF(BI306="","",BH306)</f>
        <v/>
      </c>
      <c r="BJ369" s="392">
        <f>IF(BJ306="","",BI306)</f>
        <v/>
      </c>
      <c r="BK369" s="392">
        <f>IF(BK306="","",BJ306)</f>
        <v/>
      </c>
      <c r="BL369" s="392">
        <f>IF(BL306="","",BK306)</f>
        <v/>
      </c>
      <c r="BM369" s="392">
        <f>IF(BM306="","",BL306)</f>
        <v/>
      </c>
      <c r="BN369" s="392">
        <f>IF(BN306="","",BM306)</f>
        <v/>
      </c>
      <c r="BO369" s="392">
        <f>IF(BO306="","",BN306)</f>
        <v/>
      </c>
      <c r="BP369" s="392">
        <f>IF(BP306="","",BO306)</f>
        <v/>
      </c>
      <c r="BQ369" s="392">
        <f>IF(BQ306="","",BP306)</f>
        <v/>
      </c>
      <c r="BR369" s="392">
        <f>IF(BR306="","",BQ306)</f>
        <v/>
      </c>
      <c r="BS369" s="392">
        <f>IF(BS306="","",BR306)</f>
        <v/>
      </c>
      <c r="BT369" s="392">
        <f>IF(BT306="","",BS306)</f>
        <v/>
      </c>
      <c r="BU369" s="392">
        <f>IF(BU306="","",BT306)</f>
        <v/>
      </c>
      <c r="BV369" s="392">
        <f>IF(BV306="","",BU306)</f>
        <v/>
      </c>
      <c r="BW369" s="392">
        <f>IF(BW306="","",BV306)</f>
        <v/>
      </c>
      <c r="BX369" s="392">
        <f>IF(BX306="","",BW306)</f>
        <v/>
      </c>
      <c r="BY369" s="392">
        <f>IF(BY306="","",BX306)</f>
        <v/>
      </c>
      <c r="BZ369" s="392">
        <f>IF(BZ306="","",BY306)</f>
        <v/>
      </c>
      <c r="CA369" s="392">
        <f>IF(CA306="","",BZ306)</f>
        <v/>
      </c>
      <c r="CB369" s="392">
        <f>IF(CB306="","",CA306)</f>
        <v/>
      </c>
      <c r="CC369" s="392">
        <f>IF(CC306="","",CB306)</f>
        <v/>
      </c>
      <c r="CD369" s="392">
        <f>IF(CD306="","",CC306)</f>
        <v/>
      </c>
      <c r="CE369" s="392">
        <f>IF(CE306="","",CD306)</f>
        <v/>
      </c>
      <c r="CF369" s="392">
        <f>IF(CF306="","",CE306)</f>
        <v/>
      </c>
      <c r="CG369" s="392">
        <f>IF(CG306="","",CF306)</f>
        <v/>
      </c>
      <c r="CH369" s="392">
        <f>IF(CH306="","",CG306)</f>
        <v/>
      </c>
      <c r="CI369" s="392">
        <f>IF(CI306="","",CH306)</f>
        <v/>
      </c>
      <c r="CJ369" s="392">
        <f>IF(CJ306="","",CI306)</f>
        <v/>
      </c>
      <c r="CK369" s="392">
        <f>IF(CK306="","",CJ306)</f>
        <v/>
      </c>
      <c r="CL369" s="392">
        <f>IF(CL306="","",CK306)</f>
        <v/>
      </c>
      <c r="CM369" s="392">
        <f>IF(CM306="","",CL306)</f>
        <v/>
      </c>
      <c r="CN369" s="392">
        <f>IF(CN306="","",CM306)</f>
        <v/>
      </c>
      <c r="CO369" s="392">
        <f>IF(CO306="","",CN306)</f>
        <v/>
      </c>
      <c r="CP369" s="392">
        <f>IF(CP306="","",CO306)</f>
        <v/>
      </c>
      <c r="CQ369" s="392">
        <f>IF(CQ306="","",CP306)</f>
        <v/>
      </c>
      <c r="CR369" s="392">
        <f>IF(CR306="","",CQ306)</f>
        <v/>
      </c>
      <c r="CS369" s="392">
        <f>IF(CS306="","",CR306)</f>
        <v/>
      </c>
      <c r="CT369" s="392">
        <f>IF(CT306="","",CS306)</f>
        <v/>
      </c>
      <c r="CU369" s="392">
        <f>IF(CU306="","",CT306)</f>
        <v/>
      </c>
      <c r="CV369" s="392">
        <f>IF(CV306="","",CU306)</f>
        <v/>
      </c>
      <c r="CW369" s="392">
        <f>IF(CW306="","",CV306)</f>
        <v/>
      </c>
      <c r="CX369" s="392">
        <f>IF(CX306="","",CW306)</f>
        <v/>
      </c>
      <c r="CY369" s="392">
        <f>IF(CY306="","",CX306)</f>
        <v/>
      </c>
      <c r="CZ369" s="392">
        <f>IF(CZ306="","",CY306)</f>
        <v/>
      </c>
      <c r="DA369" s="392">
        <f>IF(DA306="","",CZ306)</f>
        <v/>
      </c>
      <c r="DB369" s="392">
        <f>IF(DB306="","",DA306)</f>
        <v/>
      </c>
      <c r="DC369" s="392">
        <f>IF(DC306="","",DB306)</f>
        <v/>
      </c>
      <c r="DD369" s="392">
        <f>IF(DD306="","",DC306)</f>
        <v/>
      </c>
      <c r="DE369" s="392">
        <f>IF(DE306="","",DD306)</f>
        <v/>
      </c>
    </row>
    <row r="370" ht="15" customHeight="1" s="410">
      <c r="A370" s="397" t="inlineStr">
        <is>
          <t xml:space="preserve">     Six Peak net income (Model row 203, Actuals)</t>
        </is>
      </c>
      <c r="B370" s="392">
        <f>IF(B$4="Actuals",B203,"")</f>
        <v/>
      </c>
      <c r="C370" s="392">
        <f>IF(C$4="Actuals",C203,"")</f>
        <v/>
      </c>
      <c r="D370" s="392">
        <f>IF(D$4="Actuals",D203,"")</f>
        <v/>
      </c>
      <c r="E370" s="392">
        <f>IF(E$4="Actuals",E203,"")</f>
        <v/>
      </c>
      <c r="F370" s="392">
        <f>IF(F$4="Actuals",F203,"")</f>
        <v/>
      </c>
      <c r="G370" s="392">
        <f>IF(G$4="Actuals",G203,"")</f>
        <v/>
      </c>
      <c r="H370" s="392">
        <f>IF(H$4="Actuals",H203,"")</f>
        <v/>
      </c>
      <c r="I370" s="392">
        <f>IF(I$4="Actuals",I203,"")</f>
        <v/>
      </c>
      <c r="J370" s="392">
        <f>IF(J$4="Actuals",J203,"")</f>
        <v/>
      </c>
      <c r="K370" s="392">
        <f>IF(K$4="Actuals",K203,"")</f>
        <v/>
      </c>
      <c r="L370" s="392">
        <f>IF(L$4="Actuals",L203,"")</f>
        <v/>
      </c>
      <c r="M370" s="392">
        <f>IF(M$4="Actuals",M203,"")</f>
        <v/>
      </c>
      <c r="N370" s="392">
        <f>IF(N$4="Actuals",N203,"")</f>
        <v/>
      </c>
      <c r="O370" s="392">
        <f>IF(O$4="Actuals",O203,"")</f>
        <v/>
      </c>
      <c r="P370" s="392">
        <f>IF(P$4="Actuals",P203,"")</f>
        <v/>
      </c>
      <c r="Q370" s="392">
        <f>IF(Q$4="Actuals",Q203,"")</f>
        <v/>
      </c>
      <c r="R370" s="392">
        <f>IF(R$4="Actuals",R203,"")</f>
        <v/>
      </c>
      <c r="S370" s="392">
        <f>IF(S$4="Actuals",S203,"")</f>
        <v/>
      </c>
      <c r="T370" s="392">
        <f>IF(T$4="Actuals",T203,"")</f>
        <v/>
      </c>
      <c r="U370" s="392">
        <f>IF(U$4="Actuals",U203,"")</f>
        <v/>
      </c>
      <c r="V370" s="392">
        <f>IF(V$4="Actuals",V203,"")</f>
        <v/>
      </c>
      <c r="W370" s="392">
        <f>IF(W$4="Actuals",W203,"")</f>
        <v/>
      </c>
      <c r="X370" s="392">
        <f>IF(X$4="Actuals",X203,"")</f>
        <v/>
      </c>
      <c r="Y370" s="392">
        <f>IF(Y$4="Actuals",Y203,"")</f>
        <v/>
      </c>
      <c r="Z370" s="392">
        <f>IF(Z$4="Actuals",Z203,"")</f>
        <v/>
      </c>
      <c r="AA370" s="392">
        <f>IF(AA$4="Actuals",AA203,"")</f>
        <v/>
      </c>
      <c r="AB370" s="392">
        <f>IF(AB$4="Actuals",AB203,"")</f>
        <v/>
      </c>
      <c r="AC370" s="392">
        <f>IF(AC$4="Actuals",AC203,"")</f>
        <v/>
      </c>
      <c r="AD370" s="392">
        <f>IF(AD$4="Actuals",AD203,"")</f>
        <v/>
      </c>
      <c r="AE370" s="392">
        <f>IF(AE$4="Actuals",AE203,"")</f>
        <v/>
      </c>
      <c r="AF370" s="392">
        <f>IF(AF$4="Actuals",AF203,"")</f>
        <v/>
      </c>
      <c r="AG370" s="392">
        <f>IF(AG$4="Actuals",AG203,"")</f>
        <v/>
      </c>
      <c r="AH370" s="392">
        <f>IF(AH$4="Actuals",AH203,"")</f>
        <v/>
      </c>
      <c r="AI370" s="392">
        <f>IF(AI$4="Actuals",AI203,"")</f>
        <v/>
      </c>
      <c r="AJ370" s="392">
        <f>IF(AJ$4="Actuals",AJ203,"")</f>
        <v/>
      </c>
      <c r="AK370" s="392">
        <f>IF(AK$4="Actuals",AK203,"")</f>
        <v/>
      </c>
      <c r="AL370" s="392">
        <f>IF(AL$4="Actuals",AL203,"")</f>
        <v/>
      </c>
      <c r="AM370" s="392">
        <f>IF(AM$4="Actuals",AM203,"")</f>
        <v/>
      </c>
      <c r="AN370" s="392">
        <f>IF(AN$4="Actuals",AN203,"")</f>
        <v/>
      </c>
      <c r="AO370" s="392">
        <f>IF(AO$4="Actuals",AO203,"")</f>
        <v/>
      </c>
      <c r="AP370" s="392">
        <f>IF(AP$4="Actuals",AP203,"")</f>
        <v/>
      </c>
      <c r="AQ370" s="392">
        <f>IF(AQ$4="Actuals",AQ203,"")</f>
        <v/>
      </c>
      <c r="AR370" s="392">
        <f>IF(AR$4="Actuals",AR203,"")</f>
        <v/>
      </c>
      <c r="AS370" s="392">
        <f>IF(AS$4="Actuals",AS203,"")</f>
        <v/>
      </c>
      <c r="AT370" s="392">
        <f>IF(AT$4="Actuals",AT203,"")</f>
        <v/>
      </c>
      <c r="AU370" s="392">
        <f>IF(AU$4="Actuals",AU203,"")</f>
        <v/>
      </c>
      <c r="AV370" s="392">
        <f>IF(AV$4="Actuals",AV203,"")</f>
        <v/>
      </c>
      <c r="AW370" s="392">
        <f>IF(AW$4="Actuals",AW203,"")</f>
        <v/>
      </c>
      <c r="AX370" s="392">
        <f>IF(AX$4="Actuals",AX203,"")</f>
        <v/>
      </c>
      <c r="AY370" s="392">
        <f>IF(AY$4="Actuals",AY203,"")</f>
        <v/>
      </c>
      <c r="AZ370" s="392">
        <f>IF(AZ$4="Actuals",AZ203,"")</f>
        <v/>
      </c>
      <c r="BA370" s="392">
        <f>IF(BA$4="Actuals",BA203,"")</f>
        <v/>
      </c>
      <c r="BB370" s="392">
        <f>IF(BB$4="Actuals",BB203,"")</f>
        <v/>
      </c>
      <c r="BC370" s="392">
        <f>IF(BC$4="Actuals",BC203,"")</f>
        <v/>
      </c>
      <c r="BD370" s="392">
        <f>IF(BD$4="Actuals",BD203,"")</f>
        <v/>
      </c>
      <c r="BE370" s="392">
        <f>IF(BE$4="Actuals",BE203,"")</f>
        <v/>
      </c>
      <c r="BF370" s="392">
        <f>IF(BF$4="Actuals",BF203,"")</f>
        <v/>
      </c>
      <c r="BG370" s="392">
        <f>IF(BG$4="Actuals",BG203,"")</f>
        <v/>
      </c>
      <c r="BH370" s="392">
        <f>IF(BH$4="Actuals",BH203,"")</f>
        <v/>
      </c>
      <c r="BI370" s="392">
        <f>IF(BI$4="Actuals",BI203,"")</f>
        <v/>
      </c>
      <c r="BJ370" s="392">
        <f>IF(BJ$4="Actuals",BJ203,"")</f>
        <v/>
      </c>
      <c r="BK370" s="392">
        <f>IF(BK$4="Actuals",BK203,"")</f>
        <v/>
      </c>
      <c r="BL370" s="392">
        <f>IF(BL$4="Actuals",BL203,"")</f>
        <v/>
      </c>
      <c r="BM370" s="392">
        <f>IF(BM$4="Actuals",BM203,"")</f>
        <v/>
      </c>
      <c r="BN370" s="392">
        <f>IF(BN$4="Actuals",BN203,"")</f>
        <v/>
      </c>
      <c r="BO370" s="392">
        <f>IF(BO$4="Actuals",BO203,"")</f>
        <v/>
      </c>
      <c r="BP370" s="392">
        <f>IF(BP$4="Actuals",BP203,"")</f>
        <v/>
      </c>
      <c r="BQ370" s="392">
        <f>IF(BQ$4="Actuals",BQ203,"")</f>
        <v/>
      </c>
      <c r="BR370" s="392">
        <f>IF(BR$4="Actuals",BR203,"")</f>
        <v/>
      </c>
      <c r="BS370" s="392">
        <f>IF(BS$4="Actuals",BS203,"")</f>
        <v/>
      </c>
      <c r="BT370" s="392">
        <f>IF(BT$4="Actuals",BT203,"")</f>
        <v/>
      </c>
      <c r="BU370" s="392">
        <f>IF(BU$4="Actuals",BU203,"")</f>
        <v/>
      </c>
      <c r="BV370" s="392">
        <f>IF(BV$4="Actuals",BV203,"")</f>
        <v/>
      </c>
      <c r="BW370" s="392">
        <f>IF(BW$4="Actuals",BW203,"")</f>
        <v/>
      </c>
      <c r="BX370" s="392">
        <f>IF(BX$4="Actuals",BX203,"")</f>
        <v/>
      </c>
      <c r="BY370" s="392">
        <f>IF(BY$4="Actuals",BY203,"")</f>
        <v/>
      </c>
      <c r="BZ370" s="392">
        <f>IF(BZ$4="Actuals",BZ203,"")</f>
        <v/>
      </c>
      <c r="CA370" s="392">
        <f>IF(CA$4="Actuals",CA203,"")</f>
        <v/>
      </c>
      <c r="CB370" s="392">
        <f>IF(CB$4="Actuals",CB203,"")</f>
        <v/>
      </c>
      <c r="CC370" s="392">
        <f>IF(CC$4="Actuals",CC203,"")</f>
        <v/>
      </c>
      <c r="CD370" s="392">
        <f>IF(CD$4="Actuals",CD203,"")</f>
        <v/>
      </c>
      <c r="CE370" s="392">
        <f>IF(CE$4="Actuals",CE203,"")</f>
        <v/>
      </c>
      <c r="CF370" s="392">
        <f>IF(CF$4="Actuals",CF203,"")</f>
        <v/>
      </c>
      <c r="CG370" s="392">
        <f>IF(CG$4="Actuals",CG203,"")</f>
        <v/>
      </c>
      <c r="CH370" s="392">
        <f>IF(CH$4="Actuals",CH203,"")</f>
        <v/>
      </c>
      <c r="CI370" s="392">
        <f>IF(CI$4="Actuals",CI203,"")</f>
        <v/>
      </c>
      <c r="CJ370" s="392">
        <f>IF(CJ$4="Actuals",CJ203,"")</f>
        <v/>
      </c>
      <c r="CK370" s="392">
        <f>IF(CK$4="Actuals",CK203,"")</f>
        <v/>
      </c>
      <c r="CL370" s="392">
        <f>IF(CL$4="Actuals",CL203,"")</f>
        <v/>
      </c>
      <c r="CM370" s="392">
        <f>IF(CM$4="Actuals",CM203,"")</f>
        <v/>
      </c>
      <c r="CN370" s="392">
        <f>IF(CN$4="Actuals",CN203,"")</f>
        <v/>
      </c>
      <c r="CO370" s="392">
        <f>IF(CO$4="Actuals",CO203,"")</f>
        <v/>
      </c>
      <c r="CP370" s="392">
        <f>IF(CP$4="Actuals",CP203,"")</f>
        <v/>
      </c>
      <c r="CQ370" s="392">
        <f>IF(CQ$4="Actuals",CQ203,"")</f>
        <v/>
      </c>
      <c r="CR370" s="392">
        <f>IF(CR$4="Actuals",CR203,"")</f>
        <v/>
      </c>
      <c r="CS370" s="392">
        <f>IF(CS$4="Actuals",CS203,"")</f>
        <v/>
      </c>
      <c r="CT370" s="392">
        <f>IF(CT$4="Actuals",CT203,"")</f>
        <v/>
      </c>
      <c r="CU370" s="392">
        <f>IF(CU$4="Actuals",CU203,"")</f>
        <v/>
      </c>
      <c r="CV370" s="392">
        <f>IF(CV$4="Actuals",CV203,"")</f>
        <v/>
      </c>
      <c r="CW370" s="392">
        <f>IF(CW$4="Actuals",CW203,"")</f>
        <v/>
      </c>
      <c r="CX370" s="392">
        <f>IF(CX$4="Actuals",CX203,"")</f>
        <v/>
      </c>
      <c r="CY370" s="392">
        <f>IF(CY$4="Actuals",CY203,"")</f>
        <v/>
      </c>
      <c r="CZ370" s="392">
        <f>IF(CZ$4="Actuals",CZ203,"")</f>
        <v/>
      </c>
      <c r="DA370" s="392">
        <f>IF(DA$4="Actuals",DA203,"")</f>
        <v/>
      </c>
      <c r="DB370" s="392">
        <f>IF(DB$4="Actuals",DB203,"")</f>
        <v/>
      </c>
      <c r="DC370" s="392">
        <f>IF(DC$4="Actuals",DC203,"")</f>
        <v/>
      </c>
      <c r="DD370" s="392">
        <f>IF(DD$4="Actuals",DD203,"")</f>
        <v/>
      </c>
      <c r="DE370" s="392">
        <f>IF(DE$4="Actuals",DE203,"")</f>
        <v/>
      </c>
    </row>
    <row r="371" ht="15" customHeight="1" s="410">
      <c r="A371" s="397" t="inlineStr">
        <is>
          <t xml:space="preserve">     Increase/(decrease) in due to affiliates</t>
        </is>
      </c>
      <c r="B371" s="392">
        <f>IF(B306="","",B365-$B$344)</f>
        <v/>
      </c>
      <c r="C371" s="392">
        <f>IF(C306="","",C365-B365)</f>
        <v/>
      </c>
      <c r="D371" s="392">
        <f>IF(D306="","",D365-C365)</f>
        <v/>
      </c>
      <c r="E371" s="392">
        <f>IF(E306="","",E365-D365)</f>
        <v/>
      </c>
      <c r="F371" s="392">
        <f>IF(F306="","",F365-E365)</f>
        <v/>
      </c>
      <c r="G371" s="392">
        <f>IF(G306="","",G365-F365)</f>
        <v/>
      </c>
      <c r="H371" s="392">
        <f>IF(H306="","",H365-G365)</f>
        <v/>
      </c>
      <c r="I371" s="392">
        <f>IF(I306="","",I365-H365)</f>
        <v/>
      </c>
      <c r="J371" s="392">
        <f>IF(J306="","",J365-I365)</f>
        <v/>
      </c>
      <c r="K371" s="392">
        <f>IF(K306="","",K365-J365)</f>
        <v/>
      </c>
      <c r="L371" s="392">
        <f>IF(L306="","",L365-K365)</f>
        <v/>
      </c>
      <c r="M371" s="392">
        <f>IF(M306="","",M365-L365)</f>
        <v/>
      </c>
      <c r="N371" s="392">
        <f>IF(N306="","",N365-M365)</f>
        <v/>
      </c>
      <c r="O371" s="392">
        <f>IF(O306="","",O365-N365)</f>
        <v/>
      </c>
      <c r="P371" s="392">
        <f>IF(P306="","",P365-O365)</f>
        <v/>
      </c>
      <c r="Q371" s="392">
        <f>IF(Q306="","",Q365-P365)</f>
        <v/>
      </c>
      <c r="R371" s="392">
        <f>IF(R306="","",R365-Q365)</f>
        <v/>
      </c>
      <c r="S371" s="392">
        <f>IF(S306="","",S365-R365)</f>
        <v/>
      </c>
      <c r="T371" s="392">
        <f>IF(T306="","",T365-S365)</f>
        <v/>
      </c>
      <c r="U371" s="392">
        <f>IF(U306="","",U365-T365)</f>
        <v/>
      </c>
      <c r="V371" s="392">
        <f>IF(V306="","",V365-U365)</f>
        <v/>
      </c>
      <c r="W371" s="392">
        <f>IF(W306="","",W365-V365)</f>
        <v/>
      </c>
      <c r="X371" s="392">
        <f>IF(X306="","",X365-W365)</f>
        <v/>
      </c>
      <c r="Y371" s="392">
        <f>IF(Y306="","",Y365-X365)</f>
        <v/>
      </c>
      <c r="Z371" s="392">
        <f>IF(Z306="","",Z365-Y365)</f>
        <v/>
      </c>
      <c r="AA371" s="392">
        <f>IF(AA306="","",AA365-Z365)</f>
        <v/>
      </c>
      <c r="AB371" s="392">
        <f>IF(AB306="","",AB365-AA365)</f>
        <v/>
      </c>
      <c r="AC371" s="392">
        <f>IF(AC306="","",AC365-AB365)</f>
        <v/>
      </c>
      <c r="AD371" s="392">
        <f>IF(AD306="","",AD365-AC365)</f>
        <v/>
      </c>
      <c r="AE371" s="392">
        <f>IF(AE306="","",AE365-AD365)</f>
        <v/>
      </c>
      <c r="AF371" s="392">
        <f>IF(AF306="","",AF365-AE365)</f>
        <v/>
      </c>
      <c r="AG371" s="392">
        <f>IF(AG306="","",AG365-AF365)</f>
        <v/>
      </c>
      <c r="AH371" s="392">
        <f>IF(AH306="","",AH365-AG365)</f>
        <v/>
      </c>
      <c r="AI371" s="392">
        <f>IF(AI306="","",AI365-AH365)</f>
        <v/>
      </c>
      <c r="AJ371" s="392">
        <f>IF(AJ306="","",AJ365-AI365)</f>
        <v/>
      </c>
      <c r="AK371" s="392">
        <f>IF(AK306="","",AK365-AJ365)</f>
        <v/>
      </c>
      <c r="AL371" s="392">
        <f>IF(AL306="","",AL365-AK365)</f>
        <v/>
      </c>
      <c r="AM371" s="392">
        <f>IF(AM306="","",AM365-AL365)</f>
        <v/>
      </c>
      <c r="AN371" s="392">
        <f>IF(AN306="","",AN365-AM365)</f>
        <v/>
      </c>
      <c r="AO371" s="392">
        <f>IF(AO306="","",AO365-AN365)</f>
        <v/>
      </c>
      <c r="AP371" s="392">
        <f>IF(AP306="","",AP365-AO365)</f>
        <v/>
      </c>
      <c r="AQ371" s="392">
        <f>IF(AQ306="","",AQ365-AP365)</f>
        <v/>
      </c>
      <c r="AR371" s="392">
        <f>IF(AR306="","",AR365-AQ365)</f>
        <v/>
      </c>
      <c r="AS371" s="392">
        <f>IF(AS306="","",AS365-AR365)</f>
        <v/>
      </c>
      <c r="AT371" s="392">
        <f>IF(AT306="","",AT365-AS365)</f>
        <v/>
      </c>
      <c r="AU371" s="392">
        <f>IF(AU306="","",AU365-AT365)</f>
        <v/>
      </c>
      <c r="AV371" s="392">
        <f>IF(AV306="","",AV365-AU365)</f>
        <v/>
      </c>
      <c r="AW371" s="392">
        <f>IF(AW306="","",AW365-AV365)</f>
        <v/>
      </c>
      <c r="AX371" s="392">
        <f>IF(AX306="","",AX365-AW365)</f>
        <v/>
      </c>
      <c r="AY371" s="392">
        <f>IF(AY306="","",AY365-AX365)</f>
        <v/>
      </c>
      <c r="AZ371" s="392">
        <f>IF(AZ306="","",AZ365-AY365)</f>
        <v/>
      </c>
      <c r="BA371" s="392">
        <f>IF(BA306="","",BA365-AZ365)</f>
        <v/>
      </c>
      <c r="BB371" s="392">
        <f>IF(BB306="","",BB365-BA365)</f>
        <v/>
      </c>
      <c r="BC371" s="392">
        <f>IF(BC306="","",BC365-BB365)</f>
        <v/>
      </c>
      <c r="BD371" s="392">
        <f>IF(BD306="","",BD365-BC365)</f>
        <v/>
      </c>
      <c r="BE371" s="392">
        <f>IF(BE306="","",BE365-BD365)</f>
        <v/>
      </c>
      <c r="BF371" s="392">
        <f>IF(BF306="","",BF365-BE365)</f>
        <v/>
      </c>
      <c r="BG371" s="392">
        <f>IF(BG306="","",BG365-BF365)</f>
        <v/>
      </c>
      <c r="BH371" s="392">
        <f>IF(BH306="","",BH365-BG365)</f>
        <v/>
      </c>
      <c r="BI371" s="392">
        <f>IF(BI306="","",BI365-BH365)</f>
        <v/>
      </c>
      <c r="BJ371" s="392">
        <f>IF(BJ306="","",BJ365-BI365)</f>
        <v/>
      </c>
      <c r="BK371" s="392">
        <f>IF(BK306="","",BK365-BJ365)</f>
        <v/>
      </c>
      <c r="BL371" s="392">
        <f>IF(BL306="","",BL365-BK365)</f>
        <v/>
      </c>
      <c r="BM371" s="392">
        <f>IF(BM306="","",BM365-BL365)</f>
        <v/>
      </c>
      <c r="BN371" s="392">
        <f>IF(BN306="","",BN365-BM365)</f>
        <v/>
      </c>
      <c r="BO371" s="392">
        <f>IF(BO306="","",BO365-BN365)</f>
        <v/>
      </c>
      <c r="BP371" s="392">
        <f>IF(BP306="","",BP365-BO365)</f>
        <v/>
      </c>
      <c r="BQ371" s="392">
        <f>IF(BQ306="","",BQ365-BP365)</f>
        <v/>
      </c>
      <c r="BR371" s="392">
        <f>IF(BR306="","",BR365-BQ365)</f>
        <v/>
      </c>
      <c r="BS371" s="392">
        <f>IF(BS306="","",BS365-BR365)</f>
        <v/>
      </c>
      <c r="BT371" s="392">
        <f>IF(BT306="","",BT365-BS365)</f>
        <v/>
      </c>
      <c r="BU371" s="392">
        <f>IF(BU306="","",BU365-BT365)</f>
        <v/>
      </c>
      <c r="BV371" s="392">
        <f>IF(BV306="","",BV365-BU365)</f>
        <v/>
      </c>
      <c r="BW371" s="392">
        <f>IF(BW306="","",BW365-BV365)</f>
        <v/>
      </c>
      <c r="BX371" s="392">
        <f>IF(BX306="","",BX365-BW365)</f>
        <v/>
      </c>
      <c r="BY371" s="392">
        <f>IF(BY306="","",BY365-BX365)</f>
        <v/>
      </c>
      <c r="BZ371" s="392">
        <f>IF(BZ306="","",BZ365-BY365)</f>
        <v/>
      </c>
      <c r="CA371" s="392">
        <f>IF(CA306="","",CA365-BZ365)</f>
        <v/>
      </c>
      <c r="CB371" s="392">
        <f>IF(CB306="","",CB365-CA365)</f>
        <v/>
      </c>
      <c r="CC371" s="392">
        <f>IF(CC306="","",CC365-CB365)</f>
        <v/>
      </c>
      <c r="CD371" s="392">
        <f>IF(CD306="","",CD365-CC365)</f>
        <v/>
      </c>
      <c r="CE371" s="392">
        <f>IF(CE306="","",CE365-CD365)</f>
        <v/>
      </c>
      <c r="CF371" s="392">
        <f>IF(CF306="","",CF365-CE365)</f>
        <v/>
      </c>
      <c r="CG371" s="392">
        <f>IF(CG306="","",CG365-CF365)</f>
        <v/>
      </c>
      <c r="CH371" s="392">
        <f>IF(CH306="","",CH365-CG365)</f>
        <v/>
      </c>
      <c r="CI371" s="392">
        <f>IF(CI306="","",CI365-CH365)</f>
        <v/>
      </c>
      <c r="CJ371" s="392">
        <f>IF(CJ306="","",CJ365-CI365)</f>
        <v/>
      </c>
      <c r="CK371" s="392">
        <f>IF(CK306="","",CK365-CJ365)</f>
        <v/>
      </c>
      <c r="CL371" s="392">
        <f>IF(CL306="","",CL365-CK365)</f>
        <v/>
      </c>
      <c r="CM371" s="392">
        <f>IF(CM306="","",CM365-CL365)</f>
        <v/>
      </c>
      <c r="CN371" s="392">
        <f>IF(CN306="","",CN365-CM365)</f>
        <v/>
      </c>
      <c r="CO371" s="392">
        <f>IF(CO306="","",CO365-CN365)</f>
        <v/>
      </c>
      <c r="CP371" s="392">
        <f>IF(CP306="","",CP365-CO365)</f>
        <v/>
      </c>
      <c r="CQ371" s="392">
        <f>IF(CQ306="","",CQ365-CP365)</f>
        <v/>
      </c>
      <c r="CR371" s="392">
        <f>IF(CR306="","",CR365-CQ365)</f>
        <v/>
      </c>
      <c r="CS371" s="392">
        <f>IF(CS306="","",CS365-CR365)</f>
        <v/>
      </c>
      <c r="CT371" s="392">
        <f>IF(CT306="","",CT365-CS365)</f>
        <v/>
      </c>
      <c r="CU371" s="392">
        <f>IF(CU306="","",CU365-CT365)</f>
        <v/>
      </c>
      <c r="CV371" s="392">
        <f>IF(CV306="","",CV365-CU365)</f>
        <v/>
      </c>
      <c r="CW371" s="392">
        <f>IF(CW306="","",CW365-CV365)</f>
        <v/>
      </c>
      <c r="CX371" s="392">
        <f>IF(CX306="","",CX365-CW365)</f>
        <v/>
      </c>
      <c r="CY371" s="392">
        <f>IF(CY306="","",CY365-CX365)</f>
        <v/>
      </c>
      <c r="CZ371" s="392">
        <f>IF(CZ306="","",CZ365-CY365)</f>
        <v/>
      </c>
      <c r="DA371" s="392">
        <f>IF(DA306="","",DA365-CZ365)</f>
        <v/>
      </c>
      <c r="DB371" s="392">
        <f>IF(DB306="","",DB365-DA365)</f>
        <v/>
      </c>
      <c r="DC371" s="392">
        <f>IF(DC306="","",DC365-DB365)</f>
        <v/>
      </c>
      <c r="DD371" s="392">
        <f>IF(DD306="","",DD365-DC365)</f>
        <v/>
      </c>
      <c r="DE371" s="392">
        <f>IF(DE306="","",DE365-DD365)</f>
        <v/>
      </c>
    </row>
    <row r="372" ht="15" customHeight="1" s="410">
      <c r="A372" s="397" t="inlineStr">
        <is>
          <t xml:space="preserve">     (Increase)/decrease in due from affiliates</t>
        </is>
      </c>
      <c r="B372" s="392">
        <f>IF(B306="","",-(B364-$B$343))</f>
        <v/>
      </c>
      <c r="C372" s="392">
        <f>IF(C306="","",-(C364-B364))</f>
        <v/>
      </c>
      <c r="D372" s="392">
        <f>IF(D306="","",-(D364-C364))</f>
        <v/>
      </c>
      <c r="E372" s="392">
        <f>IF(E306="","",-(E364-D364))</f>
        <v/>
      </c>
      <c r="F372" s="392">
        <f>IF(F306="","",-(F364-E364))</f>
        <v/>
      </c>
      <c r="G372" s="392">
        <f>IF(G306="","",-(G364-F364))</f>
        <v/>
      </c>
      <c r="H372" s="392">
        <f>IF(H306="","",-(H364-G364))</f>
        <v/>
      </c>
      <c r="I372" s="392">
        <f>IF(I306="","",-(I364-H364))</f>
        <v/>
      </c>
      <c r="J372" s="392">
        <f>IF(J306="","",-(J364-I364))</f>
        <v/>
      </c>
      <c r="K372" s="392">
        <f>IF(K306="","",-(K364-J364))</f>
        <v/>
      </c>
      <c r="L372" s="392">
        <f>IF(L306="","",-(L364-K364))</f>
        <v/>
      </c>
      <c r="M372" s="392">
        <f>IF(M306="","",-(M364-L364))</f>
        <v/>
      </c>
      <c r="N372" s="392">
        <f>IF(N306="","",-(N364-M364))</f>
        <v/>
      </c>
      <c r="O372" s="392">
        <f>IF(O306="","",-(O364-N364))</f>
        <v/>
      </c>
      <c r="P372" s="392">
        <f>IF(P306="","",-(P364-O364))</f>
        <v/>
      </c>
      <c r="Q372" s="392">
        <f>IF(Q306="","",-(Q364-P364))</f>
        <v/>
      </c>
      <c r="R372" s="392">
        <f>IF(R306="","",-(R364-Q364))</f>
        <v/>
      </c>
      <c r="S372" s="392">
        <f>IF(S306="","",-(S364-R364))</f>
        <v/>
      </c>
      <c r="T372" s="392">
        <f>IF(T306="","",-(T364-S364))</f>
        <v/>
      </c>
      <c r="U372" s="392">
        <f>IF(U306="","",-(U364-T364))</f>
        <v/>
      </c>
      <c r="V372" s="392">
        <f>IF(V306="","",-(V364-U364))</f>
        <v/>
      </c>
      <c r="W372" s="392">
        <f>IF(W306="","",-(W364-V364))</f>
        <v/>
      </c>
      <c r="X372" s="392">
        <f>IF(X306="","",-(X364-W364))</f>
        <v/>
      </c>
      <c r="Y372" s="392">
        <f>IF(Y306="","",-(Y364-X364))</f>
        <v/>
      </c>
      <c r="Z372" s="392">
        <f>IF(Z306="","",-(Z364-Y364))</f>
        <v/>
      </c>
      <c r="AA372" s="392">
        <f>IF(AA306="","",-(AA364-Z364))</f>
        <v/>
      </c>
      <c r="AB372" s="392">
        <f>IF(AB306="","",-(AB364-AA364))</f>
        <v/>
      </c>
      <c r="AC372" s="392">
        <f>IF(AC306="","",-(AC364-AB364))</f>
        <v/>
      </c>
      <c r="AD372" s="392">
        <f>IF(AD306="","",-(AD364-AC364))</f>
        <v/>
      </c>
      <c r="AE372" s="392">
        <f>IF(AE306="","",-(AE364-AD364))</f>
        <v/>
      </c>
      <c r="AF372" s="392">
        <f>IF(AF306="","",-(AF364-AE364))</f>
        <v/>
      </c>
      <c r="AG372" s="392">
        <f>IF(AG306="","",-(AG364-AF364))</f>
        <v/>
      </c>
      <c r="AH372" s="392">
        <f>IF(AH306="","",-(AH364-AG364))</f>
        <v/>
      </c>
      <c r="AI372" s="392">
        <f>IF(AI306="","",-(AI364-AH364))</f>
        <v/>
      </c>
      <c r="AJ372" s="392">
        <f>IF(AJ306="","",-(AJ364-AI364))</f>
        <v/>
      </c>
      <c r="AK372" s="392">
        <f>IF(AK306="","",-(AK364-AJ364))</f>
        <v/>
      </c>
      <c r="AL372" s="392">
        <f>IF(AL306="","",-(AL364-AK364))</f>
        <v/>
      </c>
      <c r="AM372" s="392">
        <f>IF(AM306="","",-(AM364-AL364))</f>
        <v/>
      </c>
      <c r="AN372" s="392">
        <f>IF(AN306="","",-(AN364-AM364))</f>
        <v/>
      </c>
      <c r="AO372" s="392">
        <f>IF(AO306="","",-(AO364-AN364))</f>
        <v/>
      </c>
      <c r="AP372" s="392">
        <f>IF(AP306="","",-(AP364-AO364))</f>
        <v/>
      </c>
      <c r="AQ372" s="392">
        <f>IF(AQ306="","",-(AQ364-AP364))</f>
        <v/>
      </c>
      <c r="AR372" s="392">
        <f>IF(AR306="","",-(AR364-AQ364))</f>
        <v/>
      </c>
      <c r="AS372" s="392">
        <f>IF(AS306="","",-(AS364-AR364))</f>
        <v/>
      </c>
      <c r="AT372" s="392">
        <f>IF(AT306="","",-(AT364-AS364))</f>
        <v/>
      </c>
      <c r="AU372" s="392">
        <f>IF(AU306="","",-(AU364-AT364))</f>
        <v/>
      </c>
      <c r="AV372" s="392">
        <f>IF(AV306="","",-(AV364-AU364))</f>
        <v/>
      </c>
      <c r="AW372" s="392">
        <f>IF(AW306="","",-(AW364-AV364))</f>
        <v/>
      </c>
      <c r="AX372" s="392">
        <f>IF(AX306="","",-(AX364-AW364))</f>
        <v/>
      </c>
      <c r="AY372" s="392">
        <f>IF(AY306="","",-(AY364-AX364))</f>
        <v/>
      </c>
      <c r="AZ372" s="392">
        <f>IF(AZ306="","",-(AZ364-AY364))</f>
        <v/>
      </c>
      <c r="BA372" s="392">
        <f>IF(BA306="","",-(BA364-AZ364))</f>
        <v/>
      </c>
      <c r="BB372" s="392">
        <f>IF(BB306="","",-(BB364-BA364))</f>
        <v/>
      </c>
      <c r="BC372" s="392">
        <f>IF(BC306="","",-(BC364-BB364))</f>
        <v/>
      </c>
      <c r="BD372" s="392">
        <f>IF(BD306="","",-(BD364-BC364))</f>
        <v/>
      </c>
      <c r="BE372" s="392">
        <f>IF(BE306="","",-(BE364-BD364))</f>
        <v/>
      </c>
      <c r="BF372" s="392">
        <f>IF(BF306="","",-(BF364-BE364))</f>
        <v/>
      </c>
      <c r="BG372" s="392">
        <f>IF(BG306="","",-(BG364-BF364))</f>
        <v/>
      </c>
      <c r="BH372" s="392">
        <f>IF(BH306="","",-(BH364-BG364))</f>
        <v/>
      </c>
      <c r="BI372" s="392">
        <f>IF(BI306="","",-(BI364-BH364))</f>
        <v/>
      </c>
      <c r="BJ372" s="392">
        <f>IF(BJ306="","",-(BJ364-BI364))</f>
        <v/>
      </c>
      <c r="BK372" s="392">
        <f>IF(BK306="","",-(BK364-BJ364))</f>
        <v/>
      </c>
      <c r="BL372" s="392">
        <f>IF(BL306="","",-(BL364-BK364))</f>
        <v/>
      </c>
      <c r="BM372" s="392">
        <f>IF(BM306="","",-(BM364-BL364))</f>
        <v/>
      </c>
      <c r="BN372" s="392">
        <f>IF(BN306="","",-(BN364-BM364))</f>
        <v/>
      </c>
      <c r="BO372" s="392">
        <f>IF(BO306="","",-(BO364-BN364))</f>
        <v/>
      </c>
      <c r="BP372" s="392">
        <f>IF(BP306="","",-(BP364-BO364))</f>
        <v/>
      </c>
      <c r="BQ372" s="392">
        <f>IF(BQ306="","",-(BQ364-BP364))</f>
        <v/>
      </c>
      <c r="BR372" s="392">
        <f>IF(BR306="","",-(BR364-BQ364))</f>
        <v/>
      </c>
      <c r="BS372" s="392">
        <f>IF(BS306="","",-(BS364-BR364))</f>
        <v/>
      </c>
      <c r="BT372" s="392">
        <f>IF(BT306="","",-(BT364-BS364))</f>
        <v/>
      </c>
      <c r="BU372" s="392">
        <f>IF(BU306="","",-(BU364-BT364))</f>
        <v/>
      </c>
      <c r="BV372" s="392">
        <f>IF(BV306="","",-(BV364-BU364))</f>
        <v/>
      </c>
      <c r="BW372" s="392">
        <f>IF(BW306="","",-(BW364-BV364))</f>
        <v/>
      </c>
      <c r="BX372" s="392">
        <f>IF(BX306="","",-(BX364-BW364))</f>
        <v/>
      </c>
      <c r="BY372" s="392">
        <f>IF(BY306="","",-(BY364-BX364))</f>
        <v/>
      </c>
      <c r="BZ372" s="392">
        <f>IF(BZ306="","",-(BZ364-BY364))</f>
        <v/>
      </c>
      <c r="CA372" s="392">
        <f>IF(CA306="","",-(CA364-BZ364))</f>
        <v/>
      </c>
      <c r="CB372" s="392">
        <f>IF(CB306="","",-(CB364-CA364))</f>
        <v/>
      </c>
      <c r="CC372" s="392">
        <f>IF(CC306="","",-(CC364-CB364))</f>
        <v/>
      </c>
      <c r="CD372" s="392">
        <f>IF(CD306="","",-(CD364-CC364))</f>
        <v/>
      </c>
      <c r="CE372" s="392">
        <f>IF(CE306="","",-(CE364-CD364))</f>
        <v/>
      </c>
      <c r="CF372" s="392">
        <f>IF(CF306="","",-(CF364-CE364))</f>
        <v/>
      </c>
      <c r="CG372" s="392">
        <f>IF(CG306="","",-(CG364-CF364))</f>
        <v/>
      </c>
      <c r="CH372" s="392">
        <f>IF(CH306="","",-(CH364-CG364))</f>
        <v/>
      </c>
      <c r="CI372" s="392">
        <f>IF(CI306="","",-(CI364-CH364))</f>
        <v/>
      </c>
      <c r="CJ372" s="392">
        <f>IF(CJ306="","",-(CJ364-CI364))</f>
        <v/>
      </c>
      <c r="CK372" s="392">
        <f>IF(CK306="","",-(CK364-CJ364))</f>
        <v/>
      </c>
      <c r="CL372" s="392">
        <f>IF(CL306="","",-(CL364-CK364))</f>
        <v/>
      </c>
      <c r="CM372" s="392">
        <f>IF(CM306="","",-(CM364-CL364))</f>
        <v/>
      </c>
      <c r="CN372" s="392">
        <f>IF(CN306="","",-(CN364-CM364))</f>
        <v/>
      </c>
      <c r="CO372" s="392">
        <f>IF(CO306="","",-(CO364-CN364))</f>
        <v/>
      </c>
      <c r="CP372" s="392">
        <f>IF(CP306="","",-(CP364-CO364))</f>
        <v/>
      </c>
      <c r="CQ372" s="392">
        <f>IF(CQ306="","",-(CQ364-CP364))</f>
        <v/>
      </c>
      <c r="CR372" s="392">
        <f>IF(CR306="","",-(CR364-CQ364))</f>
        <v/>
      </c>
      <c r="CS372" s="392">
        <f>IF(CS306="","",-(CS364-CR364))</f>
        <v/>
      </c>
      <c r="CT372" s="392">
        <f>IF(CT306="","",-(CT364-CS364))</f>
        <v/>
      </c>
      <c r="CU372" s="392">
        <f>IF(CU306="","",-(CU364-CT364))</f>
        <v/>
      </c>
      <c r="CV372" s="392">
        <f>IF(CV306="","",-(CV364-CU364))</f>
        <v/>
      </c>
      <c r="CW372" s="392">
        <f>IF(CW306="","",-(CW364-CV364))</f>
        <v/>
      </c>
      <c r="CX372" s="392">
        <f>IF(CX306="","",-(CX364-CW364))</f>
        <v/>
      </c>
      <c r="CY372" s="392">
        <f>IF(CY306="","",-(CY364-CX364))</f>
        <v/>
      </c>
      <c r="CZ372" s="392">
        <f>IF(CZ306="","",-(CZ364-CY364))</f>
        <v/>
      </c>
      <c r="DA372" s="392">
        <f>IF(DA306="","",-(DA364-CZ364))</f>
        <v/>
      </c>
      <c r="DB372" s="392">
        <f>IF(DB306="","",-(DB364-DA364))</f>
        <v/>
      </c>
      <c r="DC372" s="392">
        <f>IF(DC306="","",-(DC364-DB364))</f>
        <v/>
      </c>
      <c r="DD372" s="392">
        <f>IF(DD306="","",-(DD364-DC364))</f>
        <v/>
      </c>
      <c r="DE372" s="392">
        <f>IF(DE306="","",-(DE364-DD364))</f>
        <v/>
      </c>
    </row>
    <row r="373" ht="15" customHeight="1" s="410">
      <c r="A373" s="397" t="inlineStr">
        <is>
          <t xml:space="preserve">     Increase/(decrease) in line of credit</t>
        </is>
      </c>
      <c r="B373" s="392">
        <f>IF(B306="","",B366-$B$345)</f>
        <v/>
      </c>
      <c r="C373" s="392">
        <f>IF(C306="","",C366-B366)</f>
        <v/>
      </c>
      <c r="D373" s="392">
        <f>IF(D306="","",D366-C366)</f>
        <v/>
      </c>
      <c r="E373" s="392">
        <f>IF(E306="","",E366-D366)</f>
        <v/>
      </c>
      <c r="F373" s="392">
        <f>IF(F306="","",F366-E366)</f>
        <v/>
      </c>
      <c r="G373" s="392">
        <f>IF(G306="","",G366-F366)</f>
        <v/>
      </c>
      <c r="H373" s="392">
        <f>IF(H306="","",H366-G366)</f>
        <v/>
      </c>
      <c r="I373" s="392">
        <f>IF(I306="","",I366-H366)</f>
        <v/>
      </c>
      <c r="J373" s="392">
        <f>IF(J306="","",J366-I366)</f>
        <v/>
      </c>
      <c r="K373" s="392">
        <f>IF(K306="","",K366-J366)</f>
        <v/>
      </c>
      <c r="L373" s="392">
        <f>IF(L306="","",L366-K366)</f>
        <v/>
      </c>
      <c r="M373" s="392">
        <f>IF(M306="","",M366-L366)</f>
        <v/>
      </c>
      <c r="N373" s="392">
        <f>IF(N306="","",N366-M366)</f>
        <v/>
      </c>
      <c r="O373" s="392">
        <f>IF(O306="","",O366-N366)</f>
        <v/>
      </c>
      <c r="P373" s="392">
        <f>IF(P306="","",P366-O366)</f>
        <v/>
      </c>
      <c r="Q373" s="392">
        <f>IF(Q306="","",Q366-P366)</f>
        <v/>
      </c>
      <c r="R373" s="392">
        <f>IF(R306="","",R366-Q366)</f>
        <v/>
      </c>
      <c r="S373" s="392">
        <f>IF(S306="","",S366-R366)</f>
        <v/>
      </c>
      <c r="T373" s="392">
        <f>IF(T306="","",T366-S366)</f>
        <v/>
      </c>
      <c r="U373" s="392">
        <f>IF(U306="","",U366-T366)</f>
        <v/>
      </c>
      <c r="V373" s="392">
        <f>IF(V306="","",V366-U366)</f>
        <v/>
      </c>
      <c r="W373" s="392">
        <f>IF(W306="","",W366-V366)</f>
        <v/>
      </c>
      <c r="X373" s="392">
        <f>IF(X306="","",X366-W366)</f>
        <v/>
      </c>
      <c r="Y373" s="392">
        <f>IF(Y306="","",Y366-X366)</f>
        <v/>
      </c>
      <c r="Z373" s="392">
        <f>IF(Z306="","",Z366-Y366)</f>
        <v/>
      </c>
      <c r="AA373" s="392">
        <f>IF(AA306="","",AA366-Z366)</f>
        <v/>
      </c>
      <c r="AB373" s="392">
        <f>IF(AB306="","",AB366-AA366)</f>
        <v/>
      </c>
      <c r="AC373" s="392">
        <f>IF(AC306="","",AC366-AB366)</f>
        <v/>
      </c>
      <c r="AD373" s="392">
        <f>IF(AD306="","",AD366-AC366)</f>
        <v/>
      </c>
      <c r="AE373" s="392">
        <f>IF(AE306="","",AE366-AD366)</f>
        <v/>
      </c>
      <c r="AF373" s="392">
        <f>IF(AF306="","",AF366-AE366)</f>
        <v/>
      </c>
      <c r="AG373" s="392">
        <f>IF(AG306="","",AG366-AF366)</f>
        <v/>
      </c>
      <c r="AH373" s="392">
        <f>IF(AH306="","",AH366-AG366)</f>
        <v/>
      </c>
      <c r="AI373" s="392">
        <f>IF(AI306="","",AI366-AH366)</f>
        <v/>
      </c>
      <c r="AJ373" s="392">
        <f>IF(AJ306="","",AJ366-AI366)</f>
        <v/>
      </c>
      <c r="AK373" s="392">
        <f>IF(AK306="","",AK366-AJ366)</f>
        <v/>
      </c>
      <c r="AL373" s="392">
        <f>IF(AL306="","",AL366-AK366)</f>
        <v/>
      </c>
      <c r="AM373" s="392">
        <f>IF(AM306="","",AM366-AL366)</f>
        <v/>
      </c>
      <c r="AN373" s="392">
        <f>IF(AN306="","",AN366-AM366)</f>
        <v/>
      </c>
      <c r="AO373" s="392">
        <f>IF(AO306="","",AO366-AN366)</f>
        <v/>
      </c>
      <c r="AP373" s="392">
        <f>IF(AP306="","",AP366-AO366)</f>
        <v/>
      </c>
      <c r="AQ373" s="392">
        <f>IF(AQ306="","",AQ366-AP366)</f>
        <v/>
      </c>
      <c r="AR373" s="392">
        <f>IF(AR306="","",AR366-AQ366)</f>
        <v/>
      </c>
      <c r="AS373" s="392">
        <f>IF(AS306="","",AS366-AR366)</f>
        <v/>
      </c>
      <c r="AT373" s="392">
        <f>IF(AT306="","",AT366-AS366)</f>
        <v/>
      </c>
      <c r="AU373" s="392">
        <f>IF(AU306="","",AU366-AT366)</f>
        <v/>
      </c>
      <c r="AV373" s="392">
        <f>IF(AV306="","",AV366-AU366)</f>
        <v/>
      </c>
      <c r="AW373" s="392">
        <f>IF(AW306="","",AW366-AV366)</f>
        <v/>
      </c>
      <c r="AX373" s="392">
        <f>IF(AX306="","",AX366-AW366)</f>
        <v/>
      </c>
      <c r="AY373" s="392">
        <f>IF(AY306="","",AY366-AX366)</f>
        <v/>
      </c>
      <c r="AZ373" s="392">
        <f>IF(AZ306="","",AZ366-AY366)</f>
        <v/>
      </c>
      <c r="BA373" s="392">
        <f>IF(BA306="","",BA366-AZ366)</f>
        <v/>
      </c>
      <c r="BB373" s="392">
        <f>IF(BB306="","",BB366-BA366)</f>
        <v/>
      </c>
      <c r="BC373" s="392">
        <f>IF(BC306="","",BC366-BB366)</f>
        <v/>
      </c>
      <c r="BD373" s="392">
        <f>IF(BD306="","",BD366-BC366)</f>
        <v/>
      </c>
      <c r="BE373" s="392">
        <f>IF(BE306="","",BE366-BD366)</f>
        <v/>
      </c>
      <c r="BF373" s="392">
        <f>IF(BF306="","",BF366-BE366)</f>
        <v/>
      </c>
      <c r="BG373" s="392">
        <f>IF(BG306="","",BG366-BF366)</f>
        <v/>
      </c>
      <c r="BH373" s="392">
        <f>IF(BH306="","",BH366-BG366)</f>
        <v/>
      </c>
      <c r="BI373" s="392">
        <f>IF(BI306="","",BI366-BH366)</f>
        <v/>
      </c>
      <c r="BJ373" s="392">
        <f>IF(BJ306="","",BJ366-BI366)</f>
        <v/>
      </c>
      <c r="BK373" s="392">
        <f>IF(BK306="","",BK366-BJ366)</f>
        <v/>
      </c>
      <c r="BL373" s="392">
        <f>IF(BL306="","",BL366-BK366)</f>
        <v/>
      </c>
      <c r="BM373" s="392">
        <f>IF(BM306="","",BM366-BL366)</f>
        <v/>
      </c>
      <c r="BN373" s="392">
        <f>IF(BN306="","",BN366-BM366)</f>
        <v/>
      </c>
      <c r="BO373" s="392">
        <f>IF(BO306="","",BO366-BN366)</f>
        <v/>
      </c>
      <c r="BP373" s="392">
        <f>IF(BP306="","",BP366-BO366)</f>
        <v/>
      </c>
      <c r="BQ373" s="392">
        <f>IF(BQ306="","",BQ366-BP366)</f>
        <v/>
      </c>
      <c r="BR373" s="392">
        <f>IF(BR306="","",BR366-BQ366)</f>
        <v/>
      </c>
      <c r="BS373" s="392">
        <f>IF(BS306="","",BS366-BR366)</f>
        <v/>
      </c>
      <c r="BT373" s="392">
        <f>IF(BT306="","",BT366-BS366)</f>
        <v/>
      </c>
      <c r="BU373" s="392">
        <f>IF(BU306="","",BU366-BT366)</f>
        <v/>
      </c>
      <c r="BV373" s="392">
        <f>IF(BV306="","",BV366-BU366)</f>
        <v/>
      </c>
      <c r="BW373" s="392">
        <f>IF(BW306="","",BW366-BV366)</f>
        <v/>
      </c>
      <c r="BX373" s="392">
        <f>IF(BX306="","",BX366-BW366)</f>
        <v/>
      </c>
      <c r="BY373" s="392">
        <f>IF(BY306="","",BY366-BX366)</f>
        <v/>
      </c>
      <c r="BZ373" s="392">
        <f>IF(BZ306="","",BZ366-BY366)</f>
        <v/>
      </c>
      <c r="CA373" s="392">
        <f>IF(CA306="","",CA366-BZ366)</f>
        <v/>
      </c>
      <c r="CB373" s="392">
        <f>IF(CB306="","",CB366-CA366)</f>
        <v/>
      </c>
      <c r="CC373" s="392">
        <f>IF(CC306="","",CC366-CB366)</f>
        <v/>
      </c>
      <c r="CD373" s="392">
        <f>IF(CD306="","",CD366-CC366)</f>
        <v/>
      </c>
      <c r="CE373" s="392">
        <f>IF(CE306="","",CE366-CD366)</f>
        <v/>
      </c>
      <c r="CF373" s="392">
        <f>IF(CF306="","",CF366-CE366)</f>
        <v/>
      </c>
      <c r="CG373" s="392">
        <f>IF(CG306="","",CG366-CF366)</f>
        <v/>
      </c>
      <c r="CH373" s="392">
        <f>IF(CH306="","",CH366-CG366)</f>
        <v/>
      </c>
      <c r="CI373" s="392">
        <f>IF(CI306="","",CI366-CH366)</f>
        <v/>
      </c>
      <c r="CJ373" s="392">
        <f>IF(CJ306="","",CJ366-CI366)</f>
        <v/>
      </c>
      <c r="CK373" s="392">
        <f>IF(CK306="","",CK366-CJ366)</f>
        <v/>
      </c>
      <c r="CL373" s="392">
        <f>IF(CL306="","",CL366-CK366)</f>
        <v/>
      </c>
      <c r="CM373" s="392">
        <f>IF(CM306="","",CM366-CL366)</f>
        <v/>
      </c>
      <c r="CN373" s="392">
        <f>IF(CN306="","",CN366-CM366)</f>
        <v/>
      </c>
      <c r="CO373" s="392">
        <f>IF(CO306="","",CO366-CN366)</f>
        <v/>
      </c>
      <c r="CP373" s="392">
        <f>IF(CP306="","",CP366-CO366)</f>
        <v/>
      </c>
      <c r="CQ373" s="392">
        <f>IF(CQ306="","",CQ366-CP366)</f>
        <v/>
      </c>
      <c r="CR373" s="392">
        <f>IF(CR306="","",CR366-CQ366)</f>
        <v/>
      </c>
      <c r="CS373" s="392">
        <f>IF(CS306="","",CS366-CR366)</f>
        <v/>
      </c>
      <c r="CT373" s="392">
        <f>IF(CT306="","",CT366-CS366)</f>
        <v/>
      </c>
      <c r="CU373" s="392">
        <f>IF(CU306="","",CU366-CT366)</f>
        <v/>
      </c>
      <c r="CV373" s="392">
        <f>IF(CV306="","",CV366-CU366)</f>
        <v/>
      </c>
      <c r="CW373" s="392">
        <f>IF(CW306="","",CW366-CV366)</f>
        <v/>
      </c>
      <c r="CX373" s="392">
        <f>IF(CX306="","",CX366-CW366)</f>
        <v/>
      </c>
      <c r="CY373" s="392">
        <f>IF(CY306="","",CY366-CX366)</f>
        <v/>
      </c>
      <c r="CZ373" s="392">
        <f>IF(CZ306="","",CZ366-CY366)</f>
        <v/>
      </c>
      <c r="DA373" s="392">
        <f>IF(DA306="","",DA366-CZ366)</f>
        <v/>
      </c>
      <c r="DB373" s="392">
        <f>IF(DB306="","",DB366-DA366)</f>
        <v/>
      </c>
      <c r="DC373" s="392">
        <f>IF(DC306="","",DC366-DB366)</f>
        <v/>
      </c>
      <c r="DD373" s="392">
        <f>IF(DD306="","",DD366-DC366)</f>
        <v/>
      </c>
      <c r="DE373" s="392">
        <f>IF(DE306="","",DE366-DD366)</f>
        <v/>
      </c>
    </row>
    <row r="374" ht="15" customHeight="1" s="410">
      <c r="A374" s="397" t="inlineStr">
        <is>
          <t xml:space="preserve">     Other (CIP, investments, prepaids, P&amp;L items outside the model's SP net income) — plug</t>
        </is>
      </c>
      <c r="B374" s="392">
        <f>IF(B306="","",B306-B369-B370-B371-B372-B373)</f>
        <v/>
      </c>
      <c r="C374" s="392">
        <f>IF(C306="","",C306-C369-C370-C371-C372-C373)</f>
        <v/>
      </c>
      <c r="D374" s="392">
        <f>IF(D306="","",D306-D369-D370-D371-D372-D373)</f>
        <v/>
      </c>
      <c r="E374" s="392">
        <f>IF(E306="","",E306-E369-E370-E371-E372-E373)</f>
        <v/>
      </c>
      <c r="F374" s="392">
        <f>IF(F306="","",F306-F369-F370-F371-F372-F373)</f>
        <v/>
      </c>
      <c r="G374" s="392">
        <f>IF(G306="","",G306-G369-G370-G371-G372-G373)</f>
        <v/>
      </c>
      <c r="H374" s="392">
        <f>IF(H306="","",H306-H369-H370-H371-H372-H373)</f>
        <v/>
      </c>
      <c r="I374" s="392">
        <f>IF(I306="","",I306-I369-I370-I371-I372-I373)</f>
        <v/>
      </c>
      <c r="J374" s="392">
        <f>IF(J306="","",J306-J369-J370-J371-J372-J373)</f>
        <v/>
      </c>
      <c r="K374" s="392">
        <f>IF(K306="","",K306-K369-K370-K371-K372-K373)</f>
        <v/>
      </c>
      <c r="L374" s="392">
        <f>IF(L306="","",L306-L369-L370-L371-L372-L373)</f>
        <v/>
      </c>
      <c r="M374" s="392">
        <f>IF(M306="","",M306-M369-M370-M371-M372-M373)</f>
        <v/>
      </c>
      <c r="N374" s="392">
        <f>IF(N306="","",N306-N369-N370-N371-N372-N373)</f>
        <v/>
      </c>
      <c r="O374" s="392">
        <f>IF(O306="","",O306-O369-O370-O371-O372-O373)</f>
        <v/>
      </c>
      <c r="P374" s="392">
        <f>IF(P306="","",P306-P369-P370-P371-P372-P373)</f>
        <v/>
      </c>
      <c r="Q374" s="392">
        <f>IF(Q306="","",Q306-Q369-Q370-Q371-Q372-Q373)</f>
        <v/>
      </c>
      <c r="R374" s="392">
        <f>IF(R306="","",R306-R369-R370-R371-R372-R373)</f>
        <v/>
      </c>
      <c r="S374" s="392">
        <f>IF(S306="","",S306-S369-S370-S371-S372-S373)</f>
        <v/>
      </c>
      <c r="T374" s="392">
        <f>IF(T306="","",T306-T369-T370-T371-T372-T373)</f>
        <v/>
      </c>
      <c r="U374" s="392">
        <f>IF(U306="","",U306-U369-U370-U371-U372-U373)</f>
        <v/>
      </c>
      <c r="V374" s="392">
        <f>IF(V306="","",V306-V369-V370-V371-V372-V373)</f>
        <v/>
      </c>
      <c r="W374" s="392">
        <f>IF(W306="","",W306-W369-W370-W371-W372-W373)</f>
        <v/>
      </c>
      <c r="X374" s="392">
        <f>IF(X306="","",X306-X369-X370-X371-X372-X373)</f>
        <v/>
      </c>
      <c r="Y374" s="392">
        <f>IF(Y306="","",Y306-Y369-Y370-Y371-Y372-Y373)</f>
        <v/>
      </c>
      <c r="Z374" s="392">
        <f>IF(Z306="","",Z306-Z369-Z370-Z371-Z372-Z373)</f>
        <v/>
      </c>
      <c r="AA374" s="392">
        <f>IF(AA306="","",AA306-AA369-AA370-AA371-AA372-AA373)</f>
        <v/>
      </c>
      <c r="AB374" s="392">
        <f>IF(AB306="","",AB306-AB369-AB370-AB371-AB372-AB373)</f>
        <v/>
      </c>
      <c r="AC374" s="392">
        <f>IF(AC306="","",AC306-AC369-AC370-AC371-AC372-AC373)</f>
        <v/>
      </c>
      <c r="AD374" s="392">
        <f>IF(AD306="","",AD306-AD369-AD370-AD371-AD372-AD373)</f>
        <v/>
      </c>
      <c r="AE374" s="392">
        <f>IF(AE306="","",AE306-AE369-AE370-AE371-AE372-AE373)</f>
        <v/>
      </c>
      <c r="AF374" s="392">
        <f>IF(AF306="","",AF306-AF369-AF370-AF371-AF372-AF373)</f>
        <v/>
      </c>
      <c r="AG374" s="392">
        <f>IF(AG306="","",AG306-AG369-AG370-AG371-AG372-AG373)</f>
        <v/>
      </c>
      <c r="AH374" s="392">
        <f>IF(AH306="","",AH306-AH369-AH370-AH371-AH372-AH373)</f>
        <v/>
      </c>
      <c r="AI374" s="392">
        <f>IF(AI306="","",AI306-AI369-AI370-AI371-AI372-AI373)</f>
        <v/>
      </c>
      <c r="AJ374" s="392">
        <f>IF(AJ306="","",AJ306-AJ369-AJ370-AJ371-AJ372-AJ373)</f>
        <v/>
      </c>
      <c r="AK374" s="392">
        <f>IF(AK306="","",AK306-AK369-AK370-AK371-AK372-AK373)</f>
        <v/>
      </c>
      <c r="AL374" s="392">
        <f>IF(AL306="","",AL306-AL369-AL370-AL371-AL372-AL373)</f>
        <v/>
      </c>
      <c r="AM374" s="392">
        <f>IF(AM306="","",AM306-AM369-AM370-AM371-AM372-AM373)</f>
        <v/>
      </c>
      <c r="AN374" s="392">
        <f>IF(AN306="","",AN306-AN369-AN370-AN371-AN372-AN373)</f>
        <v/>
      </c>
      <c r="AO374" s="392">
        <f>IF(AO306="","",AO306-AO369-AO370-AO371-AO372-AO373)</f>
        <v/>
      </c>
      <c r="AP374" s="392">
        <f>IF(AP306="","",AP306-AP369-AP370-AP371-AP372-AP373)</f>
        <v/>
      </c>
      <c r="AQ374" s="392">
        <f>IF(AQ306="","",AQ306-AQ369-AQ370-AQ371-AQ372-AQ373)</f>
        <v/>
      </c>
      <c r="AR374" s="392">
        <f>IF(AR306="","",AR306-AR369-AR370-AR371-AR372-AR373)</f>
        <v/>
      </c>
      <c r="AS374" s="392">
        <f>IF(AS306="","",AS306-AS369-AS370-AS371-AS372-AS373)</f>
        <v/>
      </c>
      <c r="AT374" s="392">
        <f>IF(AT306="","",AT306-AT369-AT370-AT371-AT372-AT373)</f>
        <v/>
      </c>
      <c r="AU374" s="392">
        <f>IF(AU306="","",AU306-AU369-AU370-AU371-AU372-AU373)</f>
        <v/>
      </c>
      <c r="AV374" s="392">
        <f>IF(AV306="","",AV306-AV369-AV370-AV371-AV372-AV373)</f>
        <v/>
      </c>
      <c r="AW374" s="392">
        <f>IF(AW306="","",AW306-AW369-AW370-AW371-AW372-AW373)</f>
        <v/>
      </c>
      <c r="AX374" s="392">
        <f>IF(AX306="","",AX306-AX369-AX370-AX371-AX372-AX373)</f>
        <v/>
      </c>
      <c r="AY374" s="392">
        <f>IF(AY306="","",AY306-AY369-AY370-AY371-AY372-AY373)</f>
        <v/>
      </c>
      <c r="AZ374" s="392">
        <f>IF(AZ306="","",AZ306-AZ369-AZ370-AZ371-AZ372-AZ373)</f>
        <v/>
      </c>
      <c r="BA374" s="392">
        <f>IF(BA306="","",BA306-BA369-BA370-BA371-BA372-BA373)</f>
        <v/>
      </c>
      <c r="BB374" s="392">
        <f>IF(BB306="","",BB306-BB369-BB370-BB371-BB372-BB373)</f>
        <v/>
      </c>
      <c r="BC374" s="392">
        <f>IF(BC306="","",BC306-BC369-BC370-BC371-BC372-BC373)</f>
        <v/>
      </c>
      <c r="BD374" s="392">
        <f>IF(BD306="","",BD306-BD369-BD370-BD371-BD372-BD373)</f>
        <v/>
      </c>
      <c r="BE374" s="392">
        <f>IF(BE306="","",BE306-BE369-BE370-BE371-BE372-BE373)</f>
        <v/>
      </c>
      <c r="BF374" s="392">
        <f>IF(BF306="","",BF306-BF369-BF370-BF371-BF372-BF373)</f>
        <v/>
      </c>
      <c r="BG374" s="392">
        <f>IF(BG306="","",BG306-BG369-BG370-BG371-BG372-BG373)</f>
        <v/>
      </c>
      <c r="BH374" s="392">
        <f>IF(BH306="","",BH306-BH369-BH370-BH371-BH372-BH373)</f>
        <v/>
      </c>
      <c r="BI374" s="392">
        <f>IF(BI306="","",BI306-BI369-BI370-BI371-BI372-BI373)</f>
        <v/>
      </c>
      <c r="BJ374" s="392">
        <f>IF(BJ306="","",BJ306-BJ369-BJ370-BJ371-BJ372-BJ373)</f>
        <v/>
      </c>
      <c r="BK374" s="392">
        <f>IF(BK306="","",BK306-BK369-BK370-BK371-BK372-BK373)</f>
        <v/>
      </c>
      <c r="BL374" s="392">
        <f>IF(BL306="","",BL306-BL369-BL370-BL371-BL372-BL373)</f>
        <v/>
      </c>
      <c r="BM374" s="392">
        <f>IF(BM306="","",BM306-BM369-BM370-BM371-BM372-BM373)</f>
        <v/>
      </c>
      <c r="BN374" s="392">
        <f>IF(BN306="","",BN306-BN369-BN370-BN371-BN372-BN373)</f>
        <v/>
      </c>
      <c r="BO374" s="392">
        <f>IF(BO306="","",BO306-BO369-BO370-BO371-BO372-BO373)</f>
        <v/>
      </c>
      <c r="BP374" s="392">
        <f>IF(BP306="","",BP306-BP369-BP370-BP371-BP372-BP373)</f>
        <v/>
      </c>
      <c r="BQ374" s="392">
        <f>IF(BQ306="","",BQ306-BQ369-BQ370-BQ371-BQ372-BQ373)</f>
        <v/>
      </c>
      <c r="BR374" s="392">
        <f>IF(BR306="","",BR306-BR369-BR370-BR371-BR372-BR373)</f>
        <v/>
      </c>
      <c r="BS374" s="392">
        <f>IF(BS306="","",BS306-BS369-BS370-BS371-BS372-BS373)</f>
        <v/>
      </c>
      <c r="BT374" s="392">
        <f>IF(BT306="","",BT306-BT369-BT370-BT371-BT372-BT373)</f>
        <v/>
      </c>
      <c r="BU374" s="392">
        <f>IF(BU306="","",BU306-BU369-BU370-BU371-BU372-BU373)</f>
        <v/>
      </c>
      <c r="BV374" s="392">
        <f>IF(BV306="","",BV306-BV369-BV370-BV371-BV372-BV373)</f>
        <v/>
      </c>
      <c r="BW374" s="392">
        <f>IF(BW306="","",BW306-BW369-BW370-BW371-BW372-BW373)</f>
        <v/>
      </c>
      <c r="BX374" s="392">
        <f>IF(BX306="","",BX306-BX369-BX370-BX371-BX372-BX373)</f>
        <v/>
      </c>
      <c r="BY374" s="392">
        <f>IF(BY306="","",BY306-BY369-BY370-BY371-BY372-BY373)</f>
        <v/>
      </c>
      <c r="BZ374" s="392">
        <f>IF(BZ306="","",BZ306-BZ369-BZ370-BZ371-BZ372-BZ373)</f>
        <v/>
      </c>
      <c r="CA374" s="392">
        <f>IF(CA306="","",CA306-CA369-CA370-CA371-CA372-CA373)</f>
        <v/>
      </c>
      <c r="CB374" s="392">
        <f>IF(CB306="","",CB306-CB369-CB370-CB371-CB372-CB373)</f>
        <v/>
      </c>
      <c r="CC374" s="392">
        <f>IF(CC306="","",CC306-CC369-CC370-CC371-CC372-CC373)</f>
        <v/>
      </c>
      <c r="CD374" s="392">
        <f>IF(CD306="","",CD306-CD369-CD370-CD371-CD372-CD373)</f>
        <v/>
      </c>
      <c r="CE374" s="392">
        <f>IF(CE306="","",CE306-CE369-CE370-CE371-CE372-CE373)</f>
        <v/>
      </c>
      <c r="CF374" s="392">
        <f>IF(CF306="","",CF306-CF369-CF370-CF371-CF372-CF373)</f>
        <v/>
      </c>
      <c r="CG374" s="392">
        <f>IF(CG306="","",CG306-CG369-CG370-CG371-CG372-CG373)</f>
        <v/>
      </c>
      <c r="CH374" s="392">
        <f>IF(CH306="","",CH306-CH369-CH370-CH371-CH372-CH373)</f>
        <v/>
      </c>
      <c r="CI374" s="392">
        <f>IF(CI306="","",CI306-CI369-CI370-CI371-CI372-CI373)</f>
        <v/>
      </c>
      <c r="CJ374" s="392">
        <f>IF(CJ306="","",CJ306-CJ369-CJ370-CJ371-CJ372-CJ373)</f>
        <v/>
      </c>
      <c r="CK374" s="392">
        <f>IF(CK306="","",CK306-CK369-CK370-CK371-CK372-CK373)</f>
        <v/>
      </c>
      <c r="CL374" s="392">
        <f>IF(CL306="","",CL306-CL369-CL370-CL371-CL372-CL373)</f>
        <v/>
      </c>
      <c r="CM374" s="392">
        <f>IF(CM306="","",CM306-CM369-CM370-CM371-CM372-CM373)</f>
        <v/>
      </c>
      <c r="CN374" s="392">
        <f>IF(CN306="","",CN306-CN369-CN370-CN371-CN372-CN373)</f>
        <v/>
      </c>
      <c r="CO374" s="392">
        <f>IF(CO306="","",CO306-CO369-CO370-CO371-CO372-CO373)</f>
        <v/>
      </c>
      <c r="CP374" s="392">
        <f>IF(CP306="","",CP306-CP369-CP370-CP371-CP372-CP373)</f>
        <v/>
      </c>
      <c r="CQ374" s="392">
        <f>IF(CQ306="","",CQ306-CQ369-CQ370-CQ371-CQ372-CQ373)</f>
        <v/>
      </c>
      <c r="CR374" s="392">
        <f>IF(CR306="","",CR306-CR369-CR370-CR371-CR372-CR373)</f>
        <v/>
      </c>
      <c r="CS374" s="392">
        <f>IF(CS306="","",CS306-CS369-CS370-CS371-CS372-CS373)</f>
        <v/>
      </c>
      <c r="CT374" s="392">
        <f>IF(CT306="","",CT306-CT369-CT370-CT371-CT372-CT373)</f>
        <v/>
      </c>
      <c r="CU374" s="392">
        <f>IF(CU306="","",CU306-CU369-CU370-CU371-CU372-CU373)</f>
        <v/>
      </c>
      <c r="CV374" s="392">
        <f>IF(CV306="","",CV306-CV369-CV370-CV371-CV372-CV373)</f>
        <v/>
      </c>
      <c r="CW374" s="392">
        <f>IF(CW306="","",CW306-CW369-CW370-CW371-CW372-CW373)</f>
        <v/>
      </c>
      <c r="CX374" s="392">
        <f>IF(CX306="","",CX306-CX369-CX370-CX371-CX372-CX373)</f>
        <v/>
      </c>
      <c r="CY374" s="392">
        <f>IF(CY306="","",CY306-CY369-CY370-CY371-CY372-CY373)</f>
        <v/>
      </c>
      <c r="CZ374" s="392">
        <f>IF(CZ306="","",CZ306-CZ369-CZ370-CZ371-CZ372-CZ373)</f>
        <v/>
      </c>
      <c r="DA374" s="392">
        <f>IF(DA306="","",DA306-DA369-DA370-DA371-DA372-DA373)</f>
        <v/>
      </c>
      <c r="DB374" s="392">
        <f>IF(DB306="","",DB306-DB369-DB370-DB371-DB372-DB373)</f>
        <v/>
      </c>
      <c r="DC374" s="392">
        <f>IF(DC306="","",DC306-DC369-DC370-DC371-DC372-DC373)</f>
        <v/>
      </c>
      <c r="DD374" s="392">
        <f>IF(DD306="","",DD306-DD369-DD370-DD371-DD372-DD373)</f>
        <v/>
      </c>
      <c r="DE374" s="392">
        <f>IF(DE306="","",DE306-DE369-DE370-DE371-DE372-DE373)</f>
        <v/>
      </c>
    </row>
    <row r="375" ht="15" customHeight="1" s="410">
      <c r="A375" s="447" t="inlineStr">
        <is>
          <t xml:space="preserve">     Ending cash per B/S</t>
        </is>
      </c>
      <c r="B375" s="448">
        <f>IF(B306="","",B306)</f>
        <v/>
      </c>
      <c r="C375" s="448">
        <f>IF(C306="","",C306)</f>
        <v/>
      </c>
      <c r="D375" s="448">
        <f>IF(D306="","",D306)</f>
        <v/>
      </c>
      <c r="E375" s="448">
        <f>IF(E306="","",E306)</f>
        <v/>
      </c>
      <c r="F375" s="448">
        <f>IF(F306="","",F306)</f>
        <v/>
      </c>
      <c r="G375" s="448">
        <f>IF(G306="","",G306)</f>
        <v/>
      </c>
      <c r="H375" s="448">
        <f>IF(H306="","",H306)</f>
        <v/>
      </c>
      <c r="I375" s="448">
        <f>IF(I306="","",I306)</f>
        <v/>
      </c>
      <c r="J375" s="448">
        <f>IF(J306="","",J306)</f>
        <v/>
      </c>
      <c r="K375" s="448">
        <f>IF(K306="","",K306)</f>
        <v/>
      </c>
      <c r="L375" s="448">
        <f>IF(L306="","",L306)</f>
        <v/>
      </c>
      <c r="M375" s="448">
        <f>IF(M306="","",M306)</f>
        <v/>
      </c>
      <c r="N375" s="448">
        <f>IF(N306="","",N306)</f>
        <v/>
      </c>
      <c r="O375" s="448">
        <f>IF(O306="","",O306)</f>
        <v/>
      </c>
      <c r="P375" s="448">
        <f>IF(P306="","",P306)</f>
        <v/>
      </c>
      <c r="Q375" s="448">
        <f>IF(Q306="","",Q306)</f>
        <v/>
      </c>
      <c r="R375" s="448">
        <f>IF(R306="","",R306)</f>
        <v/>
      </c>
      <c r="S375" s="448">
        <f>IF(S306="","",S306)</f>
        <v/>
      </c>
      <c r="T375" s="448">
        <f>IF(T306="","",T306)</f>
        <v/>
      </c>
      <c r="U375" s="448">
        <f>IF(U306="","",U306)</f>
        <v/>
      </c>
      <c r="V375" s="448">
        <f>IF(V306="","",V306)</f>
        <v/>
      </c>
      <c r="W375" s="448">
        <f>IF(W306="","",W306)</f>
        <v/>
      </c>
      <c r="X375" s="448">
        <f>IF(X306="","",X306)</f>
        <v/>
      </c>
      <c r="Y375" s="448">
        <f>IF(Y306="","",Y306)</f>
        <v/>
      </c>
      <c r="Z375" s="448">
        <f>IF(Z306="","",Z306)</f>
        <v/>
      </c>
      <c r="AA375" s="448">
        <f>IF(AA306="","",AA306)</f>
        <v/>
      </c>
      <c r="AB375" s="448">
        <f>IF(AB306="","",AB306)</f>
        <v/>
      </c>
      <c r="AC375" s="448">
        <f>IF(AC306="","",AC306)</f>
        <v/>
      </c>
      <c r="AD375" s="448">
        <f>IF(AD306="","",AD306)</f>
        <v/>
      </c>
      <c r="AE375" s="448">
        <f>IF(AE306="","",AE306)</f>
        <v/>
      </c>
      <c r="AF375" s="448">
        <f>IF(AF306="","",AF306)</f>
        <v/>
      </c>
      <c r="AG375" s="448">
        <f>IF(AG306="","",AG306)</f>
        <v/>
      </c>
      <c r="AH375" s="448">
        <f>IF(AH306="","",AH306)</f>
        <v/>
      </c>
      <c r="AI375" s="448">
        <f>IF(AI306="","",AI306)</f>
        <v/>
      </c>
      <c r="AJ375" s="448">
        <f>IF(AJ306="","",AJ306)</f>
        <v/>
      </c>
      <c r="AK375" s="448">
        <f>IF(AK306="","",AK306)</f>
        <v/>
      </c>
      <c r="AL375" s="448">
        <f>IF(AL306="","",AL306)</f>
        <v/>
      </c>
      <c r="AM375" s="448">
        <f>IF(AM306="","",AM306)</f>
        <v/>
      </c>
      <c r="AN375" s="448">
        <f>IF(AN306="","",AN306)</f>
        <v/>
      </c>
      <c r="AO375" s="448">
        <f>IF(AO306="","",AO306)</f>
        <v/>
      </c>
      <c r="AP375" s="448">
        <f>IF(AP306="","",AP306)</f>
        <v/>
      </c>
      <c r="AQ375" s="448">
        <f>IF(AQ306="","",AQ306)</f>
        <v/>
      </c>
      <c r="AR375" s="448">
        <f>IF(AR306="","",AR306)</f>
        <v/>
      </c>
      <c r="AS375" s="448">
        <f>IF(AS306="","",AS306)</f>
        <v/>
      </c>
      <c r="AT375" s="448">
        <f>IF(AT306="","",AT306)</f>
        <v/>
      </c>
      <c r="AU375" s="448">
        <f>IF(AU306="","",AU306)</f>
        <v/>
      </c>
      <c r="AV375" s="448">
        <f>IF(AV306="","",AV306)</f>
        <v/>
      </c>
      <c r="AW375" s="448">
        <f>IF(AW306="","",AW306)</f>
        <v/>
      </c>
      <c r="AX375" s="448">
        <f>IF(AX306="","",AX306)</f>
        <v/>
      </c>
      <c r="AY375" s="448">
        <f>IF(AY306="","",AY306)</f>
        <v/>
      </c>
      <c r="AZ375" s="448">
        <f>IF(AZ306="","",AZ306)</f>
        <v/>
      </c>
      <c r="BA375" s="448">
        <f>IF(BA306="","",BA306)</f>
        <v/>
      </c>
      <c r="BB375" s="448">
        <f>IF(BB306="","",BB306)</f>
        <v/>
      </c>
      <c r="BC375" s="448">
        <f>IF(BC306="","",BC306)</f>
        <v/>
      </c>
      <c r="BD375" s="448">
        <f>IF(BD306="","",BD306)</f>
        <v/>
      </c>
      <c r="BE375" s="448">
        <f>IF(BE306="","",BE306)</f>
        <v/>
      </c>
      <c r="BF375" s="448">
        <f>IF(BF306="","",BF306)</f>
        <v/>
      </c>
      <c r="BG375" s="448">
        <f>IF(BG306="","",BG306)</f>
        <v/>
      </c>
      <c r="BH375" s="448">
        <f>IF(BH306="","",BH306)</f>
        <v/>
      </c>
      <c r="BI375" s="448">
        <f>IF(BI306="","",BI306)</f>
        <v/>
      </c>
      <c r="BJ375" s="448">
        <f>IF(BJ306="","",BJ306)</f>
        <v/>
      </c>
      <c r="BK375" s="448">
        <f>IF(BK306="","",BK306)</f>
        <v/>
      </c>
      <c r="BL375" s="448">
        <f>IF(BL306="","",BL306)</f>
        <v/>
      </c>
      <c r="BM375" s="448">
        <f>IF(BM306="","",BM306)</f>
        <v/>
      </c>
      <c r="BN375" s="448">
        <f>IF(BN306="","",BN306)</f>
        <v/>
      </c>
      <c r="BO375" s="448">
        <f>IF(BO306="","",BO306)</f>
        <v/>
      </c>
      <c r="BP375" s="448">
        <f>IF(BP306="","",BP306)</f>
        <v/>
      </c>
      <c r="BQ375" s="448">
        <f>IF(BQ306="","",BQ306)</f>
        <v/>
      </c>
      <c r="BR375" s="448">
        <f>IF(BR306="","",BR306)</f>
        <v/>
      </c>
      <c r="BS375" s="448">
        <f>IF(BS306="","",BS306)</f>
        <v/>
      </c>
      <c r="BT375" s="448">
        <f>IF(BT306="","",BT306)</f>
        <v/>
      </c>
      <c r="BU375" s="448">
        <f>IF(BU306="","",BU306)</f>
        <v/>
      </c>
      <c r="BV375" s="448">
        <f>IF(BV306="","",BV306)</f>
        <v/>
      </c>
      <c r="BW375" s="448">
        <f>IF(BW306="","",BW306)</f>
        <v/>
      </c>
      <c r="BX375" s="448">
        <f>IF(BX306="","",BX306)</f>
        <v/>
      </c>
      <c r="BY375" s="448">
        <f>IF(BY306="","",BY306)</f>
        <v/>
      </c>
      <c r="BZ375" s="448">
        <f>IF(BZ306="","",BZ306)</f>
        <v/>
      </c>
      <c r="CA375" s="448">
        <f>IF(CA306="","",CA306)</f>
        <v/>
      </c>
      <c r="CB375" s="448">
        <f>IF(CB306="","",CB306)</f>
        <v/>
      </c>
      <c r="CC375" s="448">
        <f>IF(CC306="","",CC306)</f>
        <v/>
      </c>
      <c r="CD375" s="448">
        <f>IF(CD306="","",CD306)</f>
        <v/>
      </c>
      <c r="CE375" s="448">
        <f>IF(CE306="","",CE306)</f>
        <v/>
      </c>
      <c r="CF375" s="448">
        <f>IF(CF306="","",CF306)</f>
        <v/>
      </c>
      <c r="CG375" s="448">
        <f>IF(CG306="","",CG306)</f>
        <v/>
      </c>
      <c r="CH375" s="448">
        <f>IF(CH306="","",CH306)</f>
        <v/>
      </c>
      <c r="CI375" s="448">
        <f>IF(CI306="","",CI306)</f>
        <v/>
      </c>
      <c r="CJ375" s="448">
        <f>IF(CJ306="","",CJ306)</f>
        <v/>
      </c>
      <c r="CK375" s="448">
        <f>IF(CK306="","",CK306)</f>
        <v/>
      </c>
      <c r="CL375" s="448">
        <f>IF(CL306="","",CL306)</f>
        <v/>
      </c>
      <c r="CM375" s="448">
        <f>IF(CM306="","",CM306)</f>
        <v/>
      </c>
      <c r="CN375" s="448">
        <f>IF(CN306="","",CN306)</f>
        <v/>
      </c>
      <c r="CO375" s="448">
        <f>IF(CO306="","",CO306)</f>
        <v/>
      </c>
      <c r="CP375" s="448">
        <f>IF(CP306="","",CP306)</f>
        <v/>
      </c>
      <c r="CQ375" s="448">
        <f>IF(CQ306="","",CQ306)</f>
        <v/>
      </c>
      <c r="CR375" s="448">
        <f>IF(CR306="","",CR306)</f>
        <v/>
      </c>
      <c r="CS375" s="448">
        <f>IF(CS306="","",CS306)</f>
        <v/>
      </c>
      <c r="CT375" s="448">
        <f>IF(CT306="","",CT306)</f>
        <v/>
      </c>
      <c r="CU375" s="448">
        <f>IF(CU306="","",CU306)</f>
        <v/>
      </c>
      <c r="CV375" s="448">
        <f>IF(CV306="","",CV306)</f>
        <v/>
      </c>
      <c r="CW375" s="448">
        <f>IF(CW306="","",CW306)</f>
        <v/>
      </c>
      <c r="CX375" s="448">
        <f>IF(CX306="","",CX306)</f>
        <v/>
      </c>
      <c r="CY375" s="448">
        <f>IF(CY306="","",CY306)</f>
        <v/>
      </c>
      <c r="CZ375" s="448">
        <f>IF(CZ306="","",CZ306)</f>
        <v/>
      </c>
      <c r="DA375" s="448">
        <f>IF(DA306="","",DA306)</f>
        <v/>
      </c>
      <c r="DB375" s="448">
        <f>IF(DB306="","",DB306)</f>
        <v/>
      </c>
      <c r="DC375" s="448">
        <f>IF(DC306="","",DC306)</f>
        <v/>
      </c>
      <c r="DD375" s="448">
        <f>IF(DD306="","",DD306)</f>
        <v/>
      </c>
      <c r="DE375" s="448">
        <f>IF(DE306="","",DE306)</f>
        <v/>
      </c>
    </row>
    <row r="377" ht="15" customHeight="1" s="410">
      <c r="A377" s="455" t="inlineStr">
        <is>
          <t>Notes:</t>
        </is>
      </c>
      <c r="B377" s="392" t="n"/>
      <c r="C377" s="392" t="n"/>
      <c r="D377" s="392" t="n"/>
      <c r="E377" s="392" t="n"/>
      <c r="F377" s="392" t="n"/>
      <c r="G377" s="392" t="n"/>
      <c r="H377" s="392" t="n"/>
      <c r="I377" s="392" t="n"/>
      <c r="J377" s="392" t="n"/>
      <c r="K377" s="392" t="n"/>
      <c r="L377" s="392" t="n"/>
      <c r="M377" s="392" t="n"/>
      <c r="N377" s="392" t="n"/>
      <c r="O377" s="392" t="n"/>
      <c r="P377" s="392" t="n"/>
      <c r="Q377" s="392" t="n"/>
      <c r="R377" s="392" t="n"/>
      <c r="S377" s="392" t="n"/>
      <c r="T377" s="392" t="n"/>
      <c r="U377" s="392" t="n"/>
      <c r="V377" s="392" t="n"/>
      <c r="W377" s="392" t="n"/>
      <c r="X377" s="392" t="n"/>
      <c r="Y377" s="392" t="n"/>
      <c r="Z377" s="392" t="n"/>
      <c r="AA377" s="392" t="n"/>
      <c r="AB377" s="392" t="n"/>
      <c r="AC377" s="392" t="n"/>
      <c r="AD377" s="392" t="n"/>
      <c r="AE377" s="392" t="n"/>
      <c r="AF377" s="392" t="n"/>
      <c r="AG377" s="392" t="n"/>
      <c r="AH377" s="392" t="n"/>
      <c r="AI377" s="392" t="n"/>
      <c r="AJ377" s="392" t="n"/>
      <c r="AK377" s="392" t="n"/>
      <c r="AL377" s="392" t="n"/>
      <c r="AM377" s="392" t="n"/>
      <c r="AN377" s="392" t="n"/>
      <c r="AO377" s="392" t="n"/>
      <c r="AP377" s="392" t="n"/>
      <c r="AQ377" s="392" t="n"/>
      <c r="AR377" s="392" t="n"/>
      <c r="AS377" s="392" t="n"/>
      <c r="AT377" s="392" t="n"/>
      <c r="AU377" s="392" t="n"/>
      <c r="AV377" s="392" t="n"/>
      <c r="AW377" s="392" t="n"/>
      <c r="AX377" s="392" t="n"/>
      <c r="AY377" s="392" t="n"/>
      <c r="AZ377" s="392" t="n"/>
      <c r="BA377" s="392" t="n"/>
      <c r="BB377" s="392" t="n"/>
      <c r="BC377" s="392" t="n"/>
      <c r="BD377" s="392" t="n"/>
      <c r="BE377" s="392" t="n"/>
      <c r="BF377" s="392" t="n"/>
      <c r="BG377" s="392" t="n"/>
      <c r="BH377" s="392" t="n"/>
      <c r="BI377" s="392" t="n"/>
      <c r="BJ377" s="392" t="n"/>
      <c r="BK377" s="392" t="n"/>
      <c r="BL377" s="392" t="n"/>
      <c r="BM377" s="392" t="n"/>
      <c r="BN377" s="392" t="n"/>
      <c r="BO377" s="392" t="n"/>
      <c r="BP377" s="392" t="n"/>
      <c r="BQ377" s="392" t="n"/>
      <c r="BR377" s="392" t="n"/>
      <c r="BS377" s="392" t="n"/>
      <c r="BT377" s="392" t="n"/>
      <c r="BU377" s="392" t="n"/>
      <c r="BV377" s="392" t="n"/>
      <c r="BW377" s="392" t="n"/>
      <c r="BX377" s="392" t="n"/>
      <c r="BY377" s="392" t="n"/>
      <c r="BZ377" s="392" t="n"/>
      <c r="CA377" s="392" t="n"/>
      <c r="CB377" s="392" t="n"/>
      <c r="CC377" s="392" t="n"/>
      <c r="CD377" s="392" t="n"/>
      <c r="CE377" s="392" t="n"/>
      <c r="CF377" s="392" t="n"/>
      <c r="CG377" s="392" t="n"/>
      <c r="CH377" s="392" t="n"/>
      <c r="CI377" s="392" t="n"/>
      <c r="CJ377" s="392" t="n"/>
      <c r="CK377" s="392" t="n"/>
      <c r="CL377" s="392" t="n"/>
      <c r="CM377" s="392" t="n"/>
      <c r="CN377" s="392" t="n"/>
      <c r="CO377" s="392" t="n"/>
      <c r="CP377" s="392" t="n"/>
      <c r="CQ377" s="392" t="n"/>
      <c r="CR377" s="392" t="n"/>
      <c r="CS377" s="392" t="n"/>
      <c r="CT377" s="392" t="n"/>
      <c r="CU377" s="392" t="n"/>
      <c r="CV377" s="392" t="n"/>
      <c r="CW377" s="392" t="n"/>
      <c r="CX377" s="392" t="n"/>
      <c r="CY377" s="392" t="n"/>
      <c r="CZ377" s="392" t="n"/>
      <c r="DA377" s="392" t="n"/>
      <c r="DB377" s="392" t="n"/>
      <c r="DC377" s="392" t="n"/>
      <c r="DD377" s="392" t="n"/>
      <c r="DE377" s="392" t="n"/>
    </row>
    <row r="378" ht="15" customHeight="1" s="410">
      <c r="A378" s="450" t="inlineStr">
        <is>
          <t>The June-26 pack opened Six Peak cash at $165,368 = $665,368 B/S less $500,000 excluded (Assumptions!B30 still reads "=122223-500000"); the July B/S balance of $122,223 confirms the $500K left in July.</t>
        </is>
      </c>
      <c r="B378" s="392" t="n"/>
      <c r="C378" s="392" t="n"/>
      <c r="D378" s="392" t="n"/>
      <c r="E378" s="392" t="n"/>
      <c r="F378" s="392" t="n"/>
      <c r="G378" s="392" t="n"/>
      <c r="H378" s="392" t="n"/>
      <c r="I378" s="392" t="n"/>
      <c r="J378" s="392" t="n"/>
      <c r="K378" s="392" t="n"/>
      <c r="L378" s="392" t="n"/>
      <c r="M378" s="392" t="n"/>
      <c r="N378" s="392" t="n"/>
      <c r="O378" s="392" t="n"/>
      <c r="P378" s="392" t="n"/>
      <c r="Q378" s="392" t="n"/>
      <c r="R378" s="392" t="n"/>
      <c r="S378" s="392" t="n"/>
      <c r="T378" s="392" t="n"/>
      <c r="U378" s="392" t="n"/>
      <c r="V378" s="392" t="n"/>
      <c r="W378" s="392" t="n"/>
      <c r="X378" s="392" t="n"/>
      <c r="Y378" s="392" t="n"/>
      <c r="Z378" s="392" t="n"/>
      <c r="AA378" s="392" t="n"/>
      <c r="AB378" s="392" t="n"/>
      <c r="AC378" s="392" t="n"/>
      <c r="AD378" s="392" t="n"/>
      <c r="AE378" s="392" t="n"/>
      <c r="AF378" s="392" t="n"/>
      <c r="AG378" s="392" t="n"/>
      <c r="AH378" s="392" t="n"/>
      <c r="AI378" s="392" t="n"/>
      <c r="AJ378" s="392" t="n"/>
      <c r="AK378" s="392" t="n"/>
      <c r="AL378" s="392" t="n"/>
      <c r="AM378" s="392" t="n"/>
      <c r="AN378" s="392" t="n"/>
      <c r="AO378" s="392" t="n"/>
      <c r="AP378" s="392" t="n"/>
      <c r="AQ378" s="392" t="n"/>
      <c r="AR378" s="392" t="n"/>
      <c r="AS378" s="392" t="n"/>
      <c r="AT378" s="392" t="n"/>
      <c r="AU378" s="392" t="n"/>
      <c r="AV378" s="392" t="n"/>
      <c r="AW378" s="392" t="n"/>
      <c r="AX378" s="392" t="n"/>
      <c r="AY378" s="392" t="n"/>
      <c r="AZ378" s="392" t="n"/>
      <c r="BA378" s="392" t="n"/>
      <c r="BB378" s="392" t="n"/>
      <c r="BC378" s="392" t="n"/>
      <c r="BD378" s="392" t="n"/>
      <c r="BE378" s="392" t="n"/>
      <c r="BF378" s="392" t="n"/>
      <c r="BG378" s="392" t="n"/>
      <c r="BH378" s="392" t="n"/>
      <c r="BI378" s="392" t="n"/>
      <c r="BJ378" s="392" t="n"/>
      <c r="BK378" s="392" t="n"/>
      <c r="BL378" s="392" t="n"/>
      <c r="BM378" s="392" t="n"/>
      <c r="BN378" s="392" t="n"/>
      <c r="BO378" s="392" t="n"/>
      <c r="BP378" s="392" t="n"/>
      <c r="BQ378" s="392" t="n"/>
      <c r="BR378" s="392" t="n"/>
      <c r="BS378" s="392" t="n"/>
      <c r="BT378" s="392" t="n"/>
      <c r="BU378" s="392" t="n"/>
      <c r="BV378" s="392" t="n"/>
      <c r="BW378" s="392" t="n"/>
      <c r="BX378" s="392" t="n"/>
      <c r="BY378" s="392" t="n"/>
      <c r="BZ378" s="392" t="n"/>
      <c r="CA378" s="392" t="n"/>
      <c r="CB378" s="392" t="n"/>
      <c r="CC378" s="392" t="n"/>
      <c r="CD378" s="392" t="n"/>
      <c r="CE378" s="392" t="n"/>
      <c r="CF378" s="392" t="n"/>
      <c r="CG378" s="392" t="n"/>
      <c r="CH378" s="392" t="n"/>
      <c r="CI378" s="392" t="n"/>
      <c r="CJ378" s="392" t="n"/>
      <c r="CK378" s="392" t="n"/>
      <c r="CL378" s="392" t="n"/>
      <c r="CM378" s="392" t="n"/>
      <c r="CN378" s="392" t="n"/>
      <c r="CO378" s="392" t="n"/>
      <c r="CP378" s="392" t="n"/>
      <c r="CQ378" s="392" t="n"/>
      <c r="CR378" s="392" t="n"/>
      <c r="CS378" s="392" t="n"/>
      <c r="CT378" s="392" t="n"/>
      <c r="CU378" s="392" t="n"/>
      <c r="CV378" s="392" t="n"/>
      <c r="CW378" s="392" t="n"/>
      <c r="CX378" s="392" t="n"/>
      <c r="CY378" s="392" t="n"/>
      <c r="CZ378" s="392" t="n"/>
      <c r="DA378" s="392" t="n"/>
      <c r="DB378" s="392" t="n"/>
      <c r="DC378" s="392" t="n"/>
      <c r="DD378" s="392" t="n"/>
      <c r="DE378" s="392" t="n"/>
    </row>
    <row r="379" ht="15" customHeight="1" s="410">
      <c r="A379" s="450" t="inlineStr">
        <is>
          <t>The $299,000 line of credit was forgiven in June 2026 (non-cash, "debt forgiveness" on the SPC P&amp;L; reversed in Model row 169).</t>
        </is>
      </c>
      <c r="B379" s="392" t="n"/>
      <c r="C379" s="392" t="n"/>
      <c r="D379" s="392" t="n"/>
      <c r="E379" s="392" t="n"/>
      <c r="F379" s="392" t="n"/>
      <c r="G379" s="392" t="n"/>
      <c r="H379" s="392" t="n"/>
      <c r="I379" s="392" t="n"/>
      <c r="J379" s="392" t="n"/>
      <c r="K379" s="392" t="n"/>
      <c r="L379" s="392" t="n"/>
      <c r="M379" s="392" t="n"/>
      <c r="N379" s="392" t="n"/>
      <c r="O379" s="392" t="n"/>
      <c r="P379" s="392" t="n"/>
      <c r="Q379" s="392" t="n"/>
      <c r="R379" s="392" t="n"/>
      <c r="S379" s="392" t="n"/>
      <c r="T379" s="392" t="n"/>
      <c r="U379" s="392" t="n"/>
      <c r="V379" s="392" t="n"/>
      <c r="W379" s="392" t="n"/>
      <c r="X379" s="392" t="n"/>
      <c r="Y379" s="392" t="n"/>
      <c r="Z379" s="392" t="n"/>
      <c r="AA379" s="392" t="n"/>
      <c r="AB379" s="392" t="n"/>
      <c r="AC379" s="392" t="n"/>
      <c r="AD379" s="392" t="n"/>
      <c r="AE379" s="392" t="n"/>
      <c r="AF379" s="392" t="n"/>
      <c r="AG379" s="392" t="n"/>
      <c r="AH379" s="392" t="n"/>
      <c r="AI379" s="392" t="n"/>
      <c r="AJ379" s="392" t="n"/>
      <c r="AK379" s="392" t="n"/>
      <c r="AL379" s="392" t="n"/>
      <c r="AM379" s="392" t="n"/>
      <c r="AN379" s="392" t="n"/>
      <c r="AO379" s="392" t="n"/>
      <c r="AP379" s="392" t="n"/>
      <c r="AQ379" s="392" t="n"/>
      <c r="AR379" s="392" t="n"/>
      <c r="AS379" s="392" t="n"/>
      <c r="AT379" s="392" t="n"/>
      <c r="AU379" s="392" t="n"/>
      <c r="AV379" s="392" t="n"/>
      <c r="AW379" s="392" t="n"/>
      <c r="AX379" s="392" t="n"/>
      <c r="AY379" s="392" t="n"/>
      <c r="AZ379" s="392" t="n"/>
      <c r="BA379" s="392" t="n"/>
      <c r="BB379" s="392" t="n"/>
      <c r="BC379" s="392" t="n"/>
      <c r="BD379" s="392" t="n"/>
      <c r="BE379" s="392" t="n"/>
      <c r="BF379" s="392" t="n"/>
      <c r="BG379" s="392" t="n"/>
      <c r="BH379" s="392" t="n"/>
      <c r="BI379" s="392" t="n"/>
      <c r="BJ379" s="392" t="n"/>
      <c r="BK379" s="392" t="n"/>
      <c r="BL379" s="392" t="n"/>
      <c r="BM379" s="392" t="n"/>
      <c r="BN379" s="392" t="n"/>
      <c r="BO379" s="392" t="n"/>
      <c r="BP379" s="392" t="n"/>
      <c r="BQ379" s="392" t="n"/>
      <c r="BR379" s="392" t="n"/>
      <c r="BS379" s="392" t="n"/>
      <c r="BT379" s="392" t="n"/>
      <c r="BU379" s="392" t="n"/>
      <c r="BV379" s="392" t="n"/>
      <c r="BW379" s="392" t="n"/>
      <c r="BX379" s="392" t="n"/>
      <c r="BY379" s="392" t="n"/>
      <c r="BZ379" s="392" t="n"/>
      <c r="CA379" s="392" t="n"/>
      <c r="CB379" s="392" t="n"/>
      <c r="CC379" s="392" t="n"/>
      <c r="CD379" s="392" t="n"/>
      <c r="CE379" s="392" t="n"/>
      <c r="CF379" s="392" t="n"/>
      <c r="CG379" s="392" t="n"/>
      <c r="CH379" s="392" t="n"/>
      <c r="CI379" s="392" t="n"/>
      <c r="CJ379" s="392" t="n"/>
      <c r="CK379" s="392" t="n"/>
      <c r="CL379" s="392" t="n"/>
      <c r="CM379" s="392" t="n"/>
      <c r="CN379" s="392" t="n"/>
      <c r="CO379" s="392" t="n"/>
      <c r="CP379" s="392" t="n"/>
      <c r="CQ379" s="392" t="n"/>
      <c r="CR379" s="392" t="n"/>
      <c r="CS379" s="392" t="n"/>
      <c r="CT379" s="392" t="n"/>
      <c r="CU379" s="392" t="n"/>
      <c r="CV379" s="392" t="n"/>
      <c r="CW379" s="392" t="n"/>
      <c r="CX379" s="392" t="n"/>
      <c r="CY379" s="392" t="n"/>
      <c r="CZ379" s="392" t="n"/>
      <c r="DA379" s="392" t="n"/>
      <c r="DB379" s="392" t="n"/>
      <c r="DC379" s="392" t="n"/>
      <c r="DD379" s="392" t="n"/>
      <c r="DE379" s="392" t="n"/>
    </row>
    <row r="380" ht="15" customHeight="1" s="410">
      <c r="A380" s="450" t="inlineStr">
        <is>
          <t>At each close: fill section A and the balance sheet inputs from the new packs, enter the prior pack's projected month-end cash on the "prior pack" rows, then roll the cash build (Assumptions!B29/B30 and rows 265/267/268/276) one column right.</t>
        </is>
      </c>
      <c r="B380" s="392" t="n"/>
      <c r="C380" s="392" t="n"/>
      <c r="D380" s="392" t="n"/>
      <c r="E380" s="392" t="n"/>
      <c r="F380" s="392" t="n"/>
      <c r="G380" s="392" t="n"/>
      <c r="H380" s="392" t="n"/>
      <c r="I380" s="392" t="n"/>
      <c r="J380" s="392" t="n"/>
      <c r="K380" s="392" t="n"/>
      <c r="L380" s="392" t="n"/>
      <c r="M380" s="392" t="n"/>
      <c r="N380" s="392" t="n"/>
      <c r="O380" s="392" t="n"/>
      <c r="P380" s="392" t="n"/>
      <c r="Q380" s="392" t="n"/>
      <c r="R380" s="392" t="n"/>
      <c r="S380" s="392" t="n"/>
      <c r="T380" s="392" t="n"/>
      <c r="U380" s="392" t="n"/>
      <c r="V380" s="392" t="n"/>
      <c r="W380" s="392" t="n"/>
      <c r="X380" s="392" t="n"/>
      <c r="Y380" s="392" t="n"/>
      <c r="Z380" s="392" t="n"/>
      <c r="AA380" s="392" t="n"/>
      <c r="AB380" s="392" t="n"/>
      <c r="AC380" s="392" t="n"/>
      <c r="AD380" s="392" t="n"/>
      <c r="AE380" s="392" t="n"/>
      <c r="AF380" s="392" t="n"/>
      <c r="AG380" s="392" t="n"/>
      <c r="AH380" s="392" t="n"/>
      <c r="AI380" s="392" t="n"/>
      <c r="AJ380" s="392" t="n"/>
      <c r="AK380" s="392" t="n"/>
      <c r="AL380" s="392" t="n"/>
      <c r="AM380" s="392" t="n"/>
      <c r="AN380" s="392" t="n"/>
      <c r="AO380" s="392" t="n"/>
      <c r="AP380" s="392" t="n"/>
      <c r="AQ380" s="392" t="n"/>
      <c r="AR380" s="392" t="n"/>
      <c r="AS380" s="392" t="n"/>
      <c r="AT380" s="392" t="n"/>
      <c r="AU380" s="392" t="n"/>
      <c r="AV380" s="392" t="n"/>
      <c r="AW380" s="392" t="n"/>
      <c r="AX380" s="392" t="n"/>
      <c r="AY380" s="392" t="n"/>
      <c r="AZ380" s="392" t="n"/>
      <c r="BA380" s="392" t="n"/>
      <c r="BB380" s="392" t="n"/>
      <c r="BC380" s="392" t="n"/>
      <c r="BD380" s="392" t="n"/>
      <c r="BE380" s="392" t="n"/>
      <c r="BF380" s="392" t="n"/>
      <c r="BG380" s="392" t="n"/>
      <c r="BH380" s="392" t="n"/>
      <c r="BI380" s="392" t="n"/>
      <c r="BJ380" s="392" t="n"/>
      <c r="BK380" s="392" t="n"/>
      <c r="BL380" s="392" t="n"/>
      <c r="BM380" s="392" t="n"/>
      <c r="BN380" s="392" t="n"/>
      <c r="BO380" s="392" t="n"/>
      <c r="BP380" s="392" t="n"/>
      <c r="BQ380" s="392" t="n"/>
      <c r="BR380" s="392" t="n"/>
      <c r="BS380" s="392" t="n"/>
      <c r="BT380" s="392" t="n"/>
      <c r="BU380" s="392" t="n"/>
      <c r="BV380" s="392" t="n"/>
      <c r="BW380" s="392" t="n"/>
      <c r="BX380" s="392" t="n"/>
      <c r="BY380" s="392" t="n"/>
      <c r="BZ380" s="392" t="n"/>
      <c r="CA380" s="392" t="n"/>
      <c r="CB380" s="392" t="n"/>
      <c r="CC380" s="392" t="n"/>
      <c r="CD380" s="392" t="n"/>
      <c r="CE380" s="392" t="n"/>
      <c r="CF380" s="392" t="n"/>
      <c r="CG380" s="392" t="n"/>
      <c r="CH380" s="392" t="n"/>
      <c r="CI380" s="392" t="n"/>
      <c r="CJ380" s="392" t="n"/>
      <c r="CK380" s="392" t="n"/>
      <c r="CL380" s="392" t="n"/>
      <c r="CM380" s="392" t="n"/>
      <c r="CN380" s="392" t="n"/>
      <c r="CO380" s="392" t="n"/>
      <c r="CP380" s="392" t="n"/>
      <c r="CQ380" s="392" t="n"/>
      <c r="CR380" s="392" t="n"/>
      <c r="CS380" s="392" t="n"/>
      <c r="CT380" s="392" t="n"/>
      <c r="CU380" s="392" t="n"/>
      <c r="CV380" s="392" t="n"/>
      <c r="CW380" s="392" t="n"/>
      <c r="CX380" s="392" t="n"/>
      <c r="CY380" s="392" t="n"/>
      <c r="CZ380" s="392" t="n"/>
      <c r="DA380" s="392" t="n"/>
      <c r="DB380" s="392" t="n"/>
      <c r="DC380" s="392" t="n"/>
      <c r="DD380" s="392" t="n"/>
      <c r="DE380" s="392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J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O27" activeCellId="0" sqref="O27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9"/>
    <col width="13" customWidth="1" style="380" min="10" max="10"/>
  </cols>
  <sheetData>
    <row r="1" ht="17.25" customFormat="1" customHeight="1" s="380">
      <c r="A1" s="381" t="inlineStr">
        <is>
          <t>Six Peak Capital - Annual Summary</t>
        </is>
      </c>
      <c r="F1" s="382" t="n"/>
      <c r="G1" s="382" t="n"/>
      <c r="H1" s="382" t="n"/>
      <c r="I1" s="382" t="n"/>
    </row>
    <row r="2" ht="15" customFormat="1" customHeight="1" s="380">
      <c r="A2" s="395" t="inlineStr">
        <is>
          <t>GC CONSTRUCTION P&amp;L</t>
        </is>
      </c>
      <c r="B2" s="429" t="inlineStr">
        <is>
          <t>FY 2026</t>
        </is>
      </c>
      <c r="C2" s="429" t="inlineStr">
        <is>
          <t>FY 2027</t>
        </is>
      </c>
      <c r="D2" s="429" t="inlineStr">
        <is>
          <t>FY 2028</t>
        </is>
      </c>
      <c r="E2" s="429" t="inlineStr">
        <is>
          <t>FY 2029</t>
        </is>
      </c>
      <c r="F2" s="429" t="inlineStr">
        <is>
          <t>FY 2030</t>
        </is>
      </c>
      <c r="G2" s="429" t="inlineStr">
        <is>
          <t>FY 2031</t>
        </is>
      </c>
      <c r="H2" s="429" t="inlineStr">
        <is>
          <t>FY 2032</t>
        </is>
      </c>
      <c r="I2" s="429" t="inlineStr">
        <is>
          <t>FY 2033</t>
        </is>
      </c>
      <c r="J2" s="429" t="inlineStr">
        <is>
          <t>FY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</row>
    <row r="4" ht="15" customFormat="1" customHeight="1" s="380">
      <c r="A4" s="397" t="inlineStr">
        <is>
          <t xml:space="preserve">  Other GC Income</t>
        </is>
      </c>
      <c r="B4" s="392">
        <f>SUM(Model!B10:M10)</f>
        <v/>
      </c>
      <c r="C4" s="392">
        <f>SUM(Model!N10:Y10)</f>
        <v/>
      </c>
      <c r="D4" s="392">
        <f>SUM(Model!Z10:AK10)</f>
        <v/>
      </c>
      <c r="E4" s="392">
        <f>SUM(Model!AL10:AW10)</f>
        <v/>
      </c>
      <c r="F4" s="392">
        <f>SUM(Model!AX10:BI10)</f>
        <v/>
      </c>
      <c r="G4" s="392">
        <f>SUM(Model!BJ10:BU10)</f>
        <v/>
      </c>
      <c r="H4" s="392">
        <f>SUM(Model!BV10:CG10)</f>
        <v/>
      </c>
      <c r="I4" s="392">
        <f>SUM(Model!CH10:CS10)</f>
        <v/>
      </c>
      <c r="J4" s="392">
        <f>SUM(Model!CT10:DE10)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SUM(Model!B11:M11)</f>
        <v/>
      </c>
      <c r="C5" s="392">
        <f>SUM(Model!N11:Y11)</f>
        <v/>
      </c>
      <c r="D5" s="392">
        <f>SUM(Model!Z11:AK11)</f>
        <v/>
      </c>
      <c r="E5" s="392">
        <f>SUM(Model!AL11:AW11)</f>
        <v/>
      </c>
      <c r="F5" s="392">
        <f>SUM(Model!AX11:BI11)</f>
        <v/>
      </c>
      <c r="G5" s="392">
        <f>SUM(Model!BJ11:BU11)</f>
        <v/>
      </c>
      <c r="H5" s="392">
        <f>SUM(Model!BV11:CG11)</f>
        <v/>
      </c>
      <c r="I5" s="392">
        <f>SUM(Model!CH11:CS11)</f>
        <v/>
      </c>
      <c r="J5" s="392">
        <f>SUM(Model!CT11:DE11)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SUM(Model!B57:M57)</f>
        <v/>
      </c>
      <c r="C6" s="392">
        <f>SUM(Model!N57:Y57)</f>
        <v/>
      </c>
      <c r="D6" s="392">
        <f>SUM(Model!Z57:AK57)</f>
        <v/>
      </c>
      <c r="E6" s="392">
        <f>SUM(Model!AL57:AW57)</f>
        <v/>
      </c>
      <c r="F6" s="392">
        <f>SUM(Model!AX57:BI57)</f>
        <v/>
      </c>
      <c r="G6" s="392">
        <f>SUM(Model!BJ57:BU57)</f>
        <v/>
      </c>
      <c r="H6" s="392">
        <f>SUM(Model!BV57:CG57)</f>
        <v/>
      </c>
      <c r="I6" s="392">
        <f>SUM(Model!CH57:CS57)</f>
        <v/>
      </c>
      <c r="J6" s="392">
        <f>SUM(Model!CT57:DE57)</f>
        <v/>
      </c>
    </row>
    <row r="7" ht="15" customFormat="1" customHeight="1" s="380">
      <c r="A7" s="408" t="inlineStr">
        <is>
          <t>Total Revenues</t>
        </is>
      </c>
      <c r="B7" s="409">
        <f>SUM(Model!B58:M58)</f>
        <v/>
      </c>
      <c r="C7" s="409">
        <f>SUM(Model!N58:Y58)</f>
        <v/>
      </c>
      <c r="D7" s="409">
        <f>SUM(Model!Z58:AK58)</f>
        <v/>
      </c>
      <c r="E7" s="409">
        <f>SUM(Model!AL58:AW58)</f>
        <v/>
      </c>
      <c r="F7" s="409">
        <f>SUM(Model!AX58:BI58)</f>
        <v/>
      </c>
      <c r="G7" s="409">
        <f>SUM(Model!BJ58:BU58)</f>
        <v/>
      </c>
      <c r="H7" s="409">
        <f>SUM(Model!BV58:CG58)</f>
        <v/>
      </c>
      <c r="I7" s="409">
        <f>SUM(Model!CH58:CS58)</f>
        <v/>
      </c>
      <c r="J7" s="409">
        <f>SUM(Model!CT58:DE58)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SUM(Model!B104:M104)</f>
        <v/>
      </c>
      <c r="C8" s="392">
        <f>SUM(Model!N104:Y104)</f>
        <v/>
      </c>
      <c r="D8" s="392">
        <f>SUM(Model!Z104:AK104)</f>
        <v/>
      </c>
      <c r="E8" s="392">
        <f>SUM(Model!AL104:AW104)</f>
        <v/>
      </c>
      <c r="F8" s="392">
        <f>SUM(Model!AX104:BI104)</f>
        <v/>
      </c>
      <c r="G8" s="392">
        <f>SUM(Model!BJ104:BU104)</f>
        <v/>
      </c>
      <c r="H8" s="392">
        <f>SUM(Model!BV104:CG104)</f>
        <v/>
      </c>
      <c r="I8" s="392">
        <f>SUM(Model!CH104:CS104)</f>
        <v/>
      </c>
      <c r="J8" s="392">
        <f>SUM(Model!CT104:DE104)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SUM(Model!B105:M105)</f>
        <v/>
      </c>
      <c r="C9" s="392">
        <f>SUM(Model!N105:Y105)</f>
        <v/>
      </c>
      <c r="D9" s="392">
        <f>SUM(Model!Z105:AK105)</f>
        <v/>
      </c>
      <c r="E9" s="392">
        <f>SUM(Model!AL105:AW105)</f>
        <v/>
      </c>
      <c r="F9" s="392">
        <f>SUM(Model!AX105:BI105)</f>
        <v/>
      </c>
      <c r="G9" s="392">
        <f>SUM(Model!BJ105:BU105)</f>
        <v/>
      </c>
      <c r="H9" s="392">
        <f>SUM(Model!BV105:CG105)</f>
        <v/>
      </c>
      <c r="I9" s="392">
        <f>SUM(Model!CH105:CS105)</f>
        <v/>
      </c>
      <c r="J9" s="392">
        <f>SUM(Model!CT105:DE105)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SUM(Model!B106:M106)</f>
        <v/>
      </c>
      <c r="C10" s="392">
        <f>SUM(Model!N106:Y106)</f>
        <v/>
      </c>
      <c r="D10" s="392">
        <f>SUM(Model!Z106:AK106)</f>
        <v/>
      </c>
      <c r="E10" s="392">
        <f>SUM(Model!AL106:AW106)</f>
        <v/>
      </c>
      <c r="F10" s="392">
        <f>SUM(Model!AX106:BI106)</f>
        <v/>
      </c>
      <c r="G10" s="392">
        <f>SUM(Model!BJ106:BU106)</f>
        <v/>
      </c>
      <c r="H10" s="392">
        <f>SUM(Model!BV106:CG106)</f>
        <v/>
      </c>
      <c r="I10" s="392">
        <f>SUM(Model!CH106:CS106)</f>
        <v/>
      </c>
      <c r="J10" s="392">
        <f>SUM(Model!CT106:DE106)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SUM(Model!B107:M107)</f>
        <v/>
      </c>
      <c r="C11" s="392">
        <f>SUM(Model!N107:Y107)</f>
        <v/>
      </c>
      <c r="D11" s="392">
        <f>SUM(Model!Z107:AK107)</f>
        <v/>
      </c>
      <c r="E11" s="392">
        <f>SUM(Model!AL107:AW107)</f>
        <v/>
      </c>
      <c r="F11" s="392">
        <f>SUM(Model!AX107:BI107)</f>
        <v/>
      </c>
      <c r="G11" s="392">
        <f>SUM(Model!BJ107:BU107)</f>
        <v/>
      </c>
      <c r="H11" s="392">
        <f>SUM(Model!BV107:CG107)</f>
        <v/>
      </c>
      <c r="I11" s="392">
        <f>SUM(Model!CH107:CS107)</f>
        <v/>
      </c>
      <c r="J11" s="392">
        <f>SUM(Model!CT107:DE107)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SUM(Model!B108:M108)</f>
        <v/>
      </c>
      <c r="C12" s="392">
        <f>SUM(Model!N108:Y108)</f>
        <v/>
      </c>
      <c r="D12" s="392">
        <f>SUM(Model!Z108:AK108)</f>
        <v/>
      </c>
      <c r="E12" s="392">
        <f>SUM(Model!AL108:AW108)</f>
        <v/>
      </c>
      <c r="F12" s="392">
        <f>SUM(Model!AX108:BI108)</f>
        <v/>
      </c>
      <c r="G12" s="392">
        <f>SUM(Model!BJ108:BU108)</f>
        <v/>
      </c>
      <c r="H12" s="392">
        <f>SUM(Model!BV108:CG108)</f>
        <v/>
      </c>
      <c r="I12" s="392">
        <f>SUM(Model!CH108:CS108)</f>
        <v/>
      </c>
      <c r="J12" s="392">
        <f>SUM(Model!CT108:DE108)</f>
        <v/>
      </c>
    </row>
    <row r="13" ht="15" customFormat="1" customHeight="1" s="380">
      <c r="A13" s="456" t="inlineStr">
        <is>
          <t>Gross Profit</t>
        </is>
      </c>
      <c r="B13" s="412">
        <f>SUM(Model!B109:M109)</f>
        <v/>
      </c>
      <c r="C13" s="412">
        <f>SUM(Model!N109:Y109)</f>
        <v/>
      </c>
      <c r="D13" s="412">
        <f>SUM(Model!Z109:AK109)</f>
        <v/>
      </c>
      <c r="E13" s="412">
        <f>SUM(Model!AL109:AW109)</f>
        <v/>
      </c>
      <c r="F13" s="412">
        <f>SUM(Model!AX109:BI109)</f>
        <v/>
      </c>
      <c r="G13" s="412">
        <f>SUM(Model!BJ109:BU109)</f>
        <v/>
      </c>
      <c r="H13" s="412">
        <f>SUM(Model!BV109:CG109)</f>
        <v/>
      </c>
      <c r="I13" s="412">
        <f>SUM(Model!CH109:CS109)</f>
        <v/>
      </c>
      <c r="J13" s="412">
        <f>SUM(Model!CT109:DE109)</f>
        <v/>
      </c>
    </row>
    <row r="14" ht="15" customFormat="1" customHeight="1" s="380">
      <c r="A14" s="397" t="inlineStr">
        <is>
          <t>GC Gross Profit Margin %</t>
        </is>
      </c>
      <c r="B14" s="457">
        <f>IFERROR(B13/B7,0)</f>
        <v/>
      </c>
      <c r="C14" s="457">
        <f>IFERROR(C13/C7,0)</f>
        <v/>
      </c>
      <c r="D14" s="457">
        <f>IFERROR(D13/D7,0)</f>
        <v/>
      </c>
      <c r="E14" s="457">
        <f>IFERROR(E13/E7,0)</f>
        <v/>
      </c>
      <c r="F14" s="457">
        <f>IFERROR(F13/F7,0)</f>
        <v/>
      </c>
      <c r="G14" s="457">
        <f>IFERROR(G13/G7,0)</f>
        <v/>
      </c>
      <c r="H14" s="457">
        <f>IFERROR(H13/H7,0)</f>
        <v/>
      </c>
      <c r="I14" s="457">
        <f>IFERROR(I13/I7,0)</f>
        <v/>
      </c>
      <c r="J14" s="457">
        <f>IFERROR(J13/J7,0)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</row>
    <row r="16" ht="15" customFormat="1" customHeight="1" s="380">
      <c r="A16" s="402" t="inlineStr">
        <is>
          <t>GC Costs</t>
        </is>
      </c>
      <c r="B16" s="404" t="n"/>
      <c r="C16" s="404" t="n"/>
      <c r="D16" s="404" t="n"/>
      <c r="E16" s="404" t="n"/>
      <c r="F16" s="404" t="n"/>
      <c r="G16" s="404" t="n"/>
      <c r="H16" s="404" t="n"/>
      <c r="I16" s="404" t="n"/>
      <c r="J16" s="404" t="n"/>
    </row>
    <row r="17" ht="15" customFormat="1" customHeight="1" s="380">
      <c r="A17" s="397" t="inlineStr">
        <is>
          <t xml:space="preserve">  GC Personnel</t>
        </is>
      </c>
      <c r="B17" s="392">
        <f>SUM(Model!B113:M114)+SUM(Model!B116:M120)</f>
        <v/>
      </c>
      <c r="C17" s="392">
        <f>SUM(Model!N113:Y114)+SUM(Model!N116:Y120)</f>
        <v/>
      </c>
      <c r="D17" s="392">
        <f>SUM(Model!Z113:AK114)+SUM(Model!Z116:AK120)</f>
        <v/>
      </c>
      <c r="E17" s="392">
        <f>SUM(Model!AL113:AW114)+SUM(Model!AL116:AW120)</f>
        <v/>
      </c>
      <c r="F17" s="392">
        <f>SUM(Model!AX113:BI114)+SUM(Model!AX116:BI120)</f>
        <v/>
      </c>
      <c r="G17" s="392">
        <f>SUM(Model!BJ113:BU114)+SUM(Model!BJ116:BU120)</f>
        <v/>
      </c>
      <c r="H17" s="392">
        <f>SUM(Model!BV113:CG114)+SUM(Model!BV116:CG120)</f>
        <v/>
      </c>
      <c r="I17" s="392">
        <f>SUM(Model!CH113:CS114)+SUM(Model!CH116:CS120)</f>
        <v/>
      </c>
      <c r="J17" s="392">
        <f>SUM(Model!CT113:DE114)+SUM(Model!CT116:DE120)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SUM(Model!B121:M143)+SUM(Model!B145:M145)</f>
        <v/>
      </c>
      <c r="C18" s="392">
        <f>SUM(Model!N121:Y143)+SUM(Model!N145:Y145)</f>
        <v/>
      </c>
      <c r="D18" s="392">
        <f>SUM(Model!Z121:AK143)+SUM(Model!Z145:AK145)</f>
        <v/>
      </c>
      <c r="E18" s="392">
        <f>SUM(Model!AL121:AW143)+SUM(Model!AL145:AW145)</f>
        <v/>
      </c>
      <c r="F18" s="392">
        <f>SUM(Model!AX121:BI143)+SUM(Model!AX145:BI145)</f>
        <v/>
      </c>
      <c r="G18" s="392">
        <f>SUM(Model!BJ121:BU143)+SUM(Model!BJ145:BU145)</f>
        <v/>
      </c>
      <c r="H18" s="392">
        <f>SUM(Model!BV121:CG143)+SUM(Model!BV145:CG145)</f>
        <v/>
      </c>
      <c r="I18" s="392">
        <f>SUM(Model!CH121:CS143)+SUM(Model!CH145:CS145)</f>
        <v/>
      </c>
      <c r="J18" s="392">
        <f>SUM(Model!CT121:DE143)+SUM(Model!CT145:DE145)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SUM(Model!B115:M115)</f>
        <v/>
      </c>
      <c r="C19" s="392">
        <f>SUM(Model!N115:Y115)</f>
        <v/>
      </c>
      <c r="D19" s="392">
        <f>SUM(Model!Z115:AK115)</f>
        <v/>
      </c>
      <c r="E19" s="392">
        <f>SUM(Model!AL115:AW115)</f>
        <v/>
      </c>
      <c r="F19" s="392">
        <f>SUM(Model!AX115:BI115)</f>
        <v/>
      </c>
      <c r="G19" s="392">
        <f>SUM(Model!BJ115:BU115)</f>
        <v/>
      </c>
      <c r="H19" s="392">
        <f>SUM(Model!BV115:CG115)</f>
        <v/>
      </c>
      <c r="I19" s="392">
        <f>SUM(Model!CH115:CS115)</f>
        <v/>
      </c>
      <c r="J19" s="392">
        <f>SUM(Model!CT115:DE115)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SUM(Model!B144:M144)</f>
        <v/>
      </c>
      <c r="C20" s="392">
        <f>SUM(Model!N144:Y144)</f>
        <v/>
      </c>
      <c r="D20" s="392">
        <f>SUM(Model!Z144:AK144)</f>
        <v/>
      </c>
      <c r="E20" s="392">
        <f>SUM(Model!AL144:AW144)</f>
        <v/>
      </c>
      <c r="F20" s="392">
        <f>SUM(Model!AX144:BI144)</f>
        <v/>
      </c>
      <c r="G20" s="392">
        <f>SUM(Model!BJ144:BU144)</f>
        <v/>
      </c>
      <c r="H20" s="392">
        <f>SUM(Model!BV144:CG144)</f>
        <v/>
      </c>
      <c r="I20" s="392">
        <f>SUM(Model!CH144:CS144)</f>
        <v/>
      </c>
      <c r="J20" s="392">
        <f>SUM(Model!CT144:DE144)</f>
        <v/>
      </c>
    </row>
    <row r="21" ht="15" customFormat="1" customHeight="1" s="380">
      <c r="A21" s="408" t="inlineStr">
        <is>
          <t>Total GC Costs</t>
        </is>
      </c>
      <c r="B21" s="409">
        <f>SUM(Model!B146:M146)</f>
        <v/>
      </c>
      <c r="C21" s="409">
        <f>SUM(Model!N146:Y146)</f>
        <v/>
      </c>
      <c r="D21" s="409">
        <f>SUM(Model!Z146:AK146)</f>
        <v/>
      </c>
      <c r="E21" s="409">
        <f>SUM(Model!AL146:AW146)</f>
        <v/>
      </c>
      <c r="F21" s="409">
        <f>SUM(Model!AX146:BI146)</f>
        <v/>
      </c>
      <c r="G21" s="409">
        <f>SUM(Model!BJ146:BU146)</f>
        <v/>
      </c>
      <c r="H21" s="409">
        <f>SUM(Model!BV146:CG146)</f>
        <v/>
      </c>
      <c r="I21" s="409">
        <f>SUM(Model!CH146:CS146)</f>
        <v/>
      </c>
      <c r="J21" s="409">
        <f>SUM(Model!CT146:DE146)</f>
        <v/>
      </c>
    </row>
    <row r="22" ht="15" customFormat="1" customHeight="1" s="380">
      <c r="A22" s="408" t="inlineStr">
        <is>
          <t>GC Net Income</t>
        </is>
      </c>
      <c r="B22" s="409">
        <f>SUM(Model!B147:M147)</f>
        <v/>
      </c>
      <c r="C22" s="409">
        <f>SUM(Model!N147:Y147)</f>
        <v/>
      </c>
      <c r="D22" s="409">
        <f>SUM(Model!Z147:AK147)</f>
        <v/>
      </c>
      <c r="E22" s="409">
        <f>SUM(Model!AL147:AW147)</f>
        <v/>
      </c>
      <c r="F22" s="409">
        <f>SUM(Model!AX147:BI147)</f>
        <v/>
      </c>
      <c r="G22" s="409">
        <f>SUM(Model!BJ147:BU147)</f>
        <v/>
      </c>
      <c r="H22" s="409">
        <f>SUM(Model!BV147:CG147)</f>
        <v/>
      </c>
      <c r="I22" s="409">
        <f>SUM(Model!CH147:CS147)</f>
        <v/>
      </c>
      <c r="J22" s="409">
        <f>SUM(Model!CT147:DE147)</f>
        <v/>
      </c>
    </row>
    <row r="23" ht="15" customFormat="1" customHeight="1" s="380">
      <c r="A23" s="397" t="inlineStr">
        <is>
          <t>GC Net Profit Margin %</t>
        </is>
      </c>
      <c r="B23" s="457">
        <f>IFERROR(B22/B7,0)</f>
        <v/>
      </c>
      <c r="C23" s="457">
        <f>IFERROR(C22/C7,0)</f>
        <v/>
      </c>
      <c r="D23" s="457">
        <f>IFERROR(D22/D7,0)</f>
        <v/>
      </c>
      <c r="E23" s="457">
        <f>IFERROR(E22/E7,0)</f>
        <v/>
      </c>
      <c r="F23" s="457">
        <f>IFERROR(F22/F7,0)</f>
        <v/>
      </c>
      <c r="G23" s="457">
        <f>IFERROR(G22/G7,0)</f>
        <v/>
      </c>
      <c r="H23" s="457">
        <f>IFERROR(H22/H7,0)</f>
        <v/>
      </c>
      <c r="I23" s="457">
        <f>IFERROR(I22/I7,0)</f>
        <v/>
      </c>
      <c r="J23" s="457">
        <f>IFERROR(J22/J7,0)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</row>
    <row r="25" ht="15" customFormat="1" customHeight="1" s="380">
      <c r="A25" s="458" t="inlineStr">
        <is>
          <t>Six Peak Revenue</t>
        </is>
      </c>
      <c r="B25" s="459">
        <f>Model!E171+Model!F171+Model!G171+Model!H171+Model!I171+Model!J171+Model!K171+Model!L171+Model!M171+Model!B171+Model!C171+Model!D171</f>
        <v/>
      </c>
      <c r="C25" s="459">
        <f>Model!N171+Model!O171+Model!P171+Model!Q171+Model!R171+Model!S171+Model!T171+Model!U171+Model!V171+Model!W171+Model!X171+Model!Y171</f>
        <v/>
      </c>
      <c r="D25" s="459">
        <f>Model!Z171+Model!AA171+Model!AB171+Model!AC171+Model!AD171+Model!AE171+Model!AF171+Model!AG171+Model!AH171+Model!AI171+Model!AJ171+Model!AK171</f>
        <v/>
      </c>
      <c r="E25" s="459">
        <f>Model!AL171+Model!AM171+Model!AN171+Model!AO171+Model!AP171+Model!AQ171+Model!AR171+Model!AS171+Model!AT171+Model!AU171+Model!AV171+Model!AW171</f>
        <v/>
      </c>
      <c r="F25" s="459">
        <f>Model!AX171+Model!AY171+Model!AZ171+Model!BA171+Model!BB171+Model!BC171+Model!BD171+Model!BE171+Model!BF171+Model!BG171+Model!BH171+Model!BI171</f>
        <v/>
      </c>
      <c r="G25" s="459">
        <f>Model!BJ171+Model!BK171+Model!BL171+Model!BM171+Model!BN171+Model!BO171+Model!BP171+Model!BQ171+Model!BR171+Model!BS171+Model!BT171+Model!BU171</f>
        <v/>
      </c>
      <c r="H25" s="459">
        <f>Model!BV171+Model!BW171+Model!BX171+Model!BY171+Model!BZ171+Model!CA171+Model!CB171+Model!CC171+Model!CD171+Model!CE171+Model!CF171+Model!CG171</f>
        <v/>
      </c>
      <c r="I25" s="459">
        <f>Model!CH171+Model!CI171+Model!CJ171+Model!CK171+Model!CL171+Model!CM171+Model!CN171+Model!CO171+Model!CP171+Model!CQ171+Model!CR171+Model!CS171</f>
        <v/>
      </c>
      <c r="J25" s="459">
        <f>Model!CT171+Model!CU171+Model!CV171+Model!CW171+Model!CX171+Model!CY171+Model!CZ171+Model!DA171+Model!DB171+Model!DC171+Model!DD171+Model!DE171</f>
        <v/>
      </c>
    </row>
    <row r="26" ht="15" customFormat="1" customHeight="1" s="380">
      <c r="A26" s="397" t="inlineStr">
        <is>
          <t>Six Peak Expenses</t>
        </is>
      </c>
      <c r="B26" s="392">
        <f>Model!E202+Model!F202+Model!G202+Model!H202+Model!I202+Model!J202+Model!K202+Model!L202+Model!M202+Model!B202+Model!C202+Model!D202</f>
        <v/>
      </c>
      <c r="C26" s="392">
        <f>Model!N202+Model!O202+Model!P202+Model!Q202+Model!R202+Model!S202+Model!T202+Model!U202+Model!V202+Model!W202+Model!X202+Model!Y202</f>
        <v/>
      </c>
      <c r="D26" s="392">
        <f>Model!Z202+Model!AA202+Model!AB202+Model!AC202+Model!AD202+Model!AE202+Model!AF202+Model!AG202+Model!AH202+Model!AI202+Model!AJ202+Model!AK202</f>
        <v/>
      </c>
      <c r="E26" s="392">
        <f>Model!AL202+Model!AM202+Model!AN202+Model!AO202+Model!AP202+Model!AQ202+Model!AR202+Model!AS202+Model!AT202+Model!AU202+Model!AV202+Model!AW202</f>
        <v/>
      </c>
      <c r="F26" s="392">
        <f>Model!AX202+Model!AY202+Model!AZ202+Model!BA202+Model!BB202+Model!BC202+Model!BD202+Model!BE202+Model!BF202+Model!BG202+Model!BH202+Model!BI202</f>
        <v/>
      </c>
      <c r="G26" s="392">
        <f>Model!BJ202+Model!BK202+Model!BL202+Model!BM202+Model!BN202+Model!BO202+Model!BP202+Model!BQ202+Model!BR202+Model!BS202+Model!BT202+Model!BU202</f>
        <v/>
      </c>
      <c r="H26" s="392">
        <f>Model!BV202+Model!BW202+Model!BX202+Model!BY202+Model!BZ202+Model!CA202+Model!CB202+Model!CC202+Model!CD202+Model!CE202+Model!CF202+Model!CG202</f>
        <v/>
      </c>
      <c r="I26" s="392">
        <f>Model!CH202+Model!CI202+Model!CJ202+Model!CK202+Model!CL202+Model!CM202+Model!CN202+Model!CO202+Model!CP202+Model!CQ202+Model!CR202+Model!CS202</f>
        <v/>
      </c>
      <c r="J26" s="392">
        <f>Model!CT202+Model!CU202+Model!CV202+Model!CW202+Model!CX202+Model!CY202+Model!CZ202+Model!DA202+Model!DB202+Model!DC202+Model!DD202+Model!DE202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Model!E203+Model!F203+Model!G203+Model!H203+Model!I203+Model!J203+Model!K203+Model!L203+Model!M203+Model!B203+Model!C203+Model!D203</f>
        <v/>
      </c>
      <c r="C27" s="417">
        <f>Model!N203+Model!O203+Model!P203+Model!Q203+Model!R203+Model!S203+Model!T203+Model!U203+Model!V203+Model!W203+Model!X203+Model!Y203</f>
        <v/>
      </c>
      <c r="D27" s="417">
        <f>Model!Z203+Model!AA203+Model!AB203+Model!AC203+Model!AD203+Model!AE203+Model!AF203+Model!AG203+Model!AH203+Model!AI203+Model!AJ203+Model!AK203</f>
        <v/>
      </c>
      <c r="E27" s="417">
        <f>Model!AL203+Model!AM203+Model!AN203+Model!AO203+Model!AP203+Model!AQ203+Model!AR203+Model!AS203+Model!AT203+Model!AU203+Model!AV203+Model!AW203</f>
        <v/>
      </c>
      <c r="F27" s="417">
        <f>Model!AX203+Model!AY203+Model!AZ203+Model!BA203+Model!BB203+Model!BC203+Model!BD203+Model!BE203+Model!BF203+Model!BG203+Model!BH203+Model!BI203</f>
        <v/>
      </c>
      <c r="G27" s="417">
        <f>Model!BJ203+Model!BK203+Model!BL203+Model!BM203+Model!BN203+Model!BO203+Model!BP203+Model!BQ203+Model!BR203+Model!BS203+Model!BT203+Model!BU203</f>
        <v/>
      </c>
      <c r="H27" s="417">
        <f>Model!BV203+Model!BW203+Model!BX203+Model!BY203+Model!BZ203+Model!CA203+Model!CB203+Model!CC203+Model!CD203+Model!CE203+Model!CF203+Model!CG203</f>
        <v/>
      </c>
      <c r="I27" s="417">
        <f>Model!CH203+Model!CI203+Model!CJ203+Model!CK203+Model!CL203+Model!CM203+Model!CN203+Model!CO203+Model!CP203+Model!CQ203+Model!CR203+Model!CS203</f>
        <v/>
      </c>
      <c r="J27" s="417">
        <f>Model!CT203+Model!CU203+Model!CV203+Model!CW203+Model!CX203+Model!CY203+Model!CZ203+Model!DA203+Model!DB203+Model!DC203+Model!DD203+Model!DE203</f>
        <v/>
      </c>
    </row>
    <row r="28" ht="15" customFormat="1" customHeight="1" s="380">
      <c r="A28" s="382" t="n"/>
      <c r="B28" s="392" t="n"/>
      <c r="C28" s="392" t="n"/>
      <c r="D28" s="392" t="n"/>
      <c r="E28" s="392" t="n"/>
      <c r="F28" s="392" t="n"/>
      <c r="G28" s="392" t="n"/>
      <c r="H28" s="392" t="n"/>
      <c r="I28" s="460" t="n"/>
      <c r="J28" s="460" t="n"/>
    </row>
    <row r="29" ht="15" customFormat="1" customHeight="1" s="380">
      <c r="A29" s="416" t="inlineStr">
        <is>
          <t>Consolidated Net Income (Projection)</t>
        </is>
      </c>
      <c r="B29" s="417">
        <f>Model!E212+Model!F212+Model!G212+Model!H212+Model!I212+Model!J212+Model!K212+Model!L212+Model!M212+Model!B212+Model!C212+Model!D212</f>
        <v/>
      </c>
      <c r="C29" s="417">
        <f>Model!N212+Model!O212+Model!P212+Model!Q212+Model!R212+Model!S212+Model!T212+Model!U212+Model!V212+Model!W212+Model!X212+Model!Y212</f>
        <v/>
      </c>
      <c r="D29" s="417">
        <f>Model!Z212+Model!AA212+Model!AB212+Model!AC212+Model!AD212+Model!AE212+Model!AF212+Model!AG212+Model!AH212+Model!AI212+Model!AJ212+Model!AK212</f>
        <v/>
      </c>
      <c r="E29" s="417">
        <f>Model!AL212+Model!AM212+Model!AN212+Model!AO212+Model!AP212+Model!AQ212+Model!AR212+Model!AS212+Model!AT212+Model!AU212+Model!AV212+Model!AW212</f>
        <v/>
      </c>
      <c r="F29" s="417">
        <f>Model!AX212+Model!AY212+Model!AZ212+Model!BA212+Model!BB212+Model!BC212+Model!BD212+Model!BE212+Model!BF212+Model!BG212+Model!BH212+Model!BI212</f>
        <v/>
      </c>
      <c r="G29" s="417">
        <f>Model!BJ212+Model!BK212+Model!BL212+Model!BM212+Model!BN212+Model!BO212+Model!BP212+Model!BQ212+Model!BR212+Model!BS212+Model!BT212+Model!BU212</f>
        <v/>
      </c>
      <c r="H29" s="417">
        <f>Model!BV212+Model!BW212+Model!BX212+Model!BY212+Model!BZ212+Model!CA212+Model!CB212+Model!CC212+Model!CD212+Model!CE212+Model!CF212+Model!CG212</f>
        <v/>
      </c>
      <c r="I29" s="417">
        <f>Model!CH212+Model!CI212+Model!CJ212+Model!CK212+Model!CL212+Model!CM212+Model!CN212+Model!CO212+Model!CP212+Model!CQ212+Model!CR212+Model!CS212</f>
        <v/>
      </c>
      <c r="J29" s="417">
        <f>Model!CT212+Model!CU212+Model!CV212+Model!CW212+Model!CX212+Model!CY212+Model!CZ212+Model!DA212+Model!DB212+Model!DC212+Model!DD212+Model!DE212</f>
        <v/>
      </c>
    </row>
    <row r="30" ht="15" customFormat="1" customHeight="1" s="380">
      <c r="A30" s="382" t="n"/>
      <c r="B30" s="392" t="n"/>
      <c r="C30" s="392" t="n"/>
      <c r="D30" s="392" t="n"/>
      <c r="E30" s="392" t="n"/>
      <c r="F30" s="392" t="n"/>
      <c r="G30" s="392" t="n"/>
      <c r="H30" s="392" t="n"/>
      <c r="I30" s="460" t="n"/>
      <c r="J30" s="460" t="n"/>
    </row>
    <row r="31" ht="15" customFormat="1" customHeight="1" s="380">
      <c r="A31" s="402" t="inlineStr">
        <is>
          <t>Steyn Group Fees</t>
        </is>
      </c>
      <c r="B31" s="404" t="n"/>
      <c r="C31" s="404" t="n"/>
      <c r="D31" s="404" t="n"/>
      <c r="E31" s="404" t="n"/>
      <c r="F31" s="404" t="n"/>
      <c r="G31" s="404" t="n"/>
      <c r="H31" s="404" t="n"/>
      <c r="I31" s="404" t="n"/>
      <c r="J31" s="404" t="n"/>
    </row>
    <row r="32" ht="15" customFormat="1" customHeight="1" s="380">
      <c r="A32" s="397" t="inlineStr">
        <is>
          <t xml:space="preserve">  Completion Guaranty Fee</t>
        </is>
      </c>
      <c r="B32" s="392">
        <f>Model!E197+Model!F197+Model!G197+Model!H197+Model!I197+Model!J197+Model!K197+Model!L197+Model!M197+Model!B197+Model!C197+Model!D197</f>
        <v/>
      </c>
      <c r="C32" s="392">
        <f>Model!N197+Model!O197+Model!P197+Model!Q197+Model!R197+Model!S197+Model!T197+Model!U197+Model!V197+Model!W197+Model!X197+Model!Y197</f>
        <v/>
      </c>
      <c r="D32" s="392">
        <f>Model!Z197+Model!AA197+Model!AB197+Model!AC197+Model!AD197+Model!AE197+Model!AF197+Model!AG197+Model!AH197+Model!AI197+Model!AJ197+Model!AK197</f>
        <v/>
      </c>
      <c r="E32" s="392">
        <f>Model!AL197+Model!AM197+Model!AN197+Model!AO197+Model!AP197+Model!AQ197+Model!AR197+Model!AS197+Model!AT197+Model!AU197+Model!AV197+Model!AW197</f>
        <v/>
      </c>
      <c r="F32" s="392">
        <f>Model!AX197+Model!AY197+Model!AZ197+Model!BA197+Model!BB197+Model!BC197+Model!BD197+Model!BE197+Model!BF197+Model!BG197+Model!BH197+Model!BI197</f>
        <v/>
      </c>
      <c r="G32" s="392">
        <f>Model!BJ197+Model!BK197+Model!BL197+Model!BM197+Model!BN197+Model!BO197+Model!BP197+Model!BQ197+Model!BR197+Model!BS197+Model!BT197+Model!BU197</f>
        <v/>
      </c>
      <c r="H32" s="392">
        <f>Model!BV197+Model!BW197+Model!BX197+Model!BY197+Model!BZ197+Model!CA197+Model!CB197+Model!CC197+Model!CD197+Model!CE197+Model!CF197+Model!CG197</f>
        <v/>
      </c>
      <c r="I32" s="392">
        <f>Model!CH197+Model!CI197+Model!CJ197+Model!CK197+Model!CL197+Model!CM197+Model!CN197+Model!CO197+Model!CP197+Model!CQ197+Model!CR197+Model!CS197</f>
        <v/>
      </c>
      <c r="J32" s="392">
        <f>Model!CT197+Model!CU197+Model!CV197+Model!CW197+Model!CX197+Model!CY197+Model!CZ197+Model!DA197+Model!DB197+Model!DC197+Model!DD197+Model!DE197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392">
        <f>Model!E198+Model!F198+Model!G198+Model!H198+Model!I198+Model!J198+Model!K198+Model!L198+Model!M198+Model!B198+Model!C198+Model!D198</f>
        <v/>
      </c>
      <c r="C33" s="392">
        <f>Model!N198+Model!O198+Model!P198+Model!Q198+Model!R198+Model!S198+Model!T198+Model!U198+Model!V198+Model!W198+Model!X198+Model!Y198</f>
        <v/>
      </c>
      <c r="D33" s="392">
        <f>Model!Z198+Model!AA198+Model!AB198+Model!AC198+Model!AD198+Model!AE198+Model!AF198+Model!AG198+Model!AH198+Model!AI198+Model!AJ198+Model!AK198</f>
        <v/>
      </c>
      <c r="E33" s="392">
        <f>Model!AL198+Model!AM198+Model!AN198+Model!AO198+Model!AP198+Model!AQ198+Model!AR198+Model!AS198+Model!AT198+Model!AU198+Model!AV198+Model!AW198</f>
        <v/>
      </c>
      <c r="F33" s="392">
        <f>Model!AX198+Model!AY198+Model!AZ198+Model!BA198+Model!BB198+Model!BC198+Model!BD198+Model!BE198+Model!BF198+Model!BG198+Model!BH198+Model!BI198</f>
        <v/>
      </c>
      <c r="G33" s="392">
        <f>Model!BJ198+Model!BK198+Model!BL198+Model!BM198+Model!BN198+Model!BO198+Model!BP198+Model!BQ198+Model!BR198+Model!BS198+Model!BT198+Model!BU198</f>
        <v/>
      </c>
      <c r="H33" s="392">
        <f>Model!BV198+Model!BW198+Model!BX198+Model!BY198+Model!BZ198+Model!CA198+Model!CB198+Model!CC198+Model!CD198+Model!CE198+Model!CF198+Model!CG198</f>
        <v/>
      </c>
      <c r="I33" s="392">
        <f>Model!CH198+Model!CI198+Model!CJ198+Model!CK198+Model!CL198+Model!CM198+Model!CN198+Model!CO198+Model!CP198+Model!CQ198+Model!CR198+Model!CS198</f>
        <v/>
      </c>
      <c r="J33" s="392">
        <f>Model!CT198+Model!CU198+Model!CV198+Model!CW198+Model!CX198+Model!CY198+Model!CZ198+Model!DA198+Model!DB198+Model!DC198+Model!DD198+Model!DE198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392">
        <f>Model!E199+Model!F199+Model!G199+Model!H199+Model!I199+Model!J199+Model!K199+Model!L199+Model!M199+Model!B199+Model!C199+Model!D199</f>
        <v/>
      </c>
      <c r="C34" s="392">
        <f>Model!N199+Model!O199+Model!P199+Model!Q199+Model!R199+Model!S199+Model!T199+Model!U199+Model!V199+Model!W199+Model!X199+Model!Y199</f>
        <v/>
      </c>
      <c r="D34" s="392">
        <f>Model!Z199+Model!AA199+Model!AB199+Model!AC199+Model!AD199+Model!AE199+Model!AF199+Model!AG199+Model!AH199+Model!AI199+Model!AJ199+Model!AK199</f>
        <v/>
      </c>
      <c r="E34" s="392">
        <f>Model!AL199+Model!AM199+Model!AN199+Model!AO199+Model!AP199+Model!AQ199+Model!AR199+Model!AS199+Model!AT199+Model!AU199+Model!AV199+Model!AW199</f>
        <v/>
      </c>
      <c r="F34" s="392">
        <f>Model!AX199+Model!AY199+Model!AZ199+Model!BA199+Model!BB199+Model!BC199+Model!BD199+Model!BE199+Model!BF199+Model!BG199+Model!BH199+Model!BI199</f>
        <v/>
      </c>
      <c r="G34" s="392">
        <f>Model!BJ199+Model!BK199+Model!BL199+Model!BM199+Model!BN199+Model!BO199+Model!BP199+Model!BQ199+Model!BR199+Model!BS199+Model!BT199+Model!BU199</f>
        <v/>
      </c>
      <c r="H34" s="392">
        <f>Model!BV199+Model!BW199+Model!BX199+Model!BY199+Model!BZ199+Model!CA199+Model!CB199+Model!CC199+Model!CD199+Model!CE199+Model!CF199+Model!CG199</f>
        <v/>
      </c>
      <c r="I34" s="392">
        <f>Model!CH199+Model!CI199+Model!CJ199+Model!CK199+Model!CL199+Model!CM199+Model!CN199+Model!CO199+Model!CP199+Model!CQ199+Model!CR199+Model!CS199</f>
        <v/>
      </c>
      <c r="J34" s="392">
        <f>Model!CT199+Model!CU199+Model!CV199+Model!CW199+Model!CX199+Model!CY199+Model!CZ199+Model!DA199+Model!DB199+Model!DC199+Model!DD199+Model!DE199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392">
        <f>Model!E200+Model!F200+Model!G200+Model!H200+Model!I200+Model!J200+Model!K200+Model!L200+Model!M200+Model!B200+Model!C200+Model!D200</f>
        <v/>
      </c>
      <c r="C35" s="392">
        <f>Model!N200+Model!O200+Model!P200+Model!Q200+Model!R200+Model!S200+Model!T200+Model!U200+Model!V200+Model!W200+Model!X200+Model!Y200</f>
        <v/>
      </c>
      <c r="D35" s="392">
        <f>Model!Z200+Model!AA200+Model!AB200+Model!AC200+Model!AD200+Model!AE200+Model!AF200+Model!AG200+Model!AH200+Model!AI200+Model!AJ200+Model!AK200</f>
        <v/>
      </c>
      <c r="E35" s="392">
        <f>Model!AL200+Model!AM200+Model!AN200+Model!AO200+Model!AP200+Model!AQ200+Model!AR200+Model!AS200+Model!AT200+Model!AU200+Model!AV200+Model!AW200</f>
        <v/>
      </c>
      <c r="F35" s="392">
        <f>Model!AX200+Model!AY200+Model!AZ200+Model!BA200+Model!BB200+Model!BC200+Model!BD200+Model!BE200+Model!BF200+Model!BG200+Model!BH200+Model!BI200</f>
        <v/>
      </c>
      <c r="G35" s="392">
        <f>Model!BJ200+Model!BK200+Model!BL200+Model!BM200+Model!BN200+Model!BO200+Model!BP200+Model!BQ200+Model!BR200+Model!BS200+Model!BT200+Model!BU200</f>
        <v/>
      </c>
      <c r="H35" s="392">
        <f>Model!BV200+Model!BW200+Model!BX200+Model!BY200+Model!BZ200+Model!CA200+Model!CB200+Model!CC200+Model!CD200+Model!CE200+Model!CF200+Model!CG200</f>
        <v/>
      </c>
      <c r="I35" s="392">
        <f>Model!CH200+Model!CI200+Model!CJ200+Model!CK200+Model!CL200+Model!CM200+Model!CN200+Model!CO200+Model!CP200+Model!CQ200+Model!CR200+Model!CS200</f>
        <v/>
      </c>
      <c r="J35" s="392">
        <f>Model!CT200+Model!CU200+Model!CV200+Model!CW200+Model!CX200+Model!CY200+Model!CZ200+Model!DA200+Model!DB200+Model!DC200+Model!DD200+Model!DE200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392">
        <f>Model!E201+Model!F201+Model!G201+Model!H201+Model!I201+Model!J201+Model!K201+Model!L201+Model!M201+Model!B201+Model!C201+Model!D201</f>
        <v/>
      </c>
      <c r="C36" s="392">
        <f>Model!N201+Model!O201+Model!P201+Model!Q201+Model!R201+Model!S201+Model!T201+Model!U201+Model!V201+Model!W201+Model!X201+Model!Y201</f>
        <v/>
      </c>
      <c r="D36" s="392">
        <f>Model!Z201+Model!AA201+Model!AB201+Model!AC201+Model!AD201+Model!AE201+Model!AF201+Model!AG201+Model!AH201+Model!AI201+Model!AJ201+Model!AK201</f>
        <v/>
      </c>
      <c r="E36" s="392">
        <f>Model!AL201+Model!AM201+Model!AN201+Model!AO201+Model!AP201+Model!AQ201+Model!AR201+Model!AS201+Model!AT201+Model!AU201+Model!AV201+Model!AW201</f>
        <v/>
      </c>
      <c r="F36" s="392">
        <f>Model!AX201+Model!AY201+Model!AZ201+Model!BA201+Model!BB201+Model!BC201+Model!BD201+Model!BE201+Model!BF201+Model!BG201+Model!BH201+Model!BI201</f>
        <v/>
      </c>
      <c r="G36" s="392">
        <f>Model!BJ201+Model!BK201+Model!BL201+Model!BM201+Model!BN201+Model!BO201+Model!BP201+Model!BQ201+Model!BR201+Model!BS201+Model!BT201+Model!BU201</f>
        <v/>
      </c>
      <c r="H36" s="392">
        <f>Model!BV201+Model!BW201+Model!BX201+Model!BY201+Model!BZ201+Model!CA201+Model!CB201+Model!CC201+Model!CD201+Model!CE201+Model!CF201+Model!CG201</f>
        <v/>
      </c>
      <c r="I36" s="392">
        <f>Model!CH201+Model!CI201+Model!CJ201+Model!CK201+Model!CL201+Model!CM201+Model!CN201+Model!CO201+Model!CP201+Model!CQ201+Model!CR201+Model!CS201</f>
        <v/>
      </c>
      <c r="J36" s="392">
        <f>Model!CT201+Model!CU201+Model!CV201+Model!CW201+Model!CX201+Model!CY201+Model!CZ201+Model!DA201+Model!DB201+Model!DC201+Model!DD201+Model!DE201</f>
        <v/>
      </c>
    </row>
    <row r="37" ht="15" customFormat="1" customHeight="1" s="380">
      <c r="A37" s="382" t="n"/>
      <c r="B37" s="392" t="n"/>
      <c r="C37" s="392" t="n"/>
      <c r="D37" s="392" t="n"/>
      <c r="E37" s="392" t="n"/>
      <c r="F37" s="392" t="n"/>
      <c r="G37" s="392" t="n"/>
      <c r="H37" s="392" t="n"/>
      <c r="I37" s="460" t="n"/>
      <c r="J37" s="460" t="n"/>
    </row>
    <row r="38" ht="15" customFormat="1" customHeight="1" s="380">
      <c r="A38" s="402" t="inlineStr">
        <is>
          <t>Debt Facilities</t>
        </is>
      </c>
      <c r="B38" s="404" t="n"/>
      <c r="C38" s="404" t="n"/>
      <c r="D38" s="404" t="n"/>
      <c r="E38" s="404" t="n"/>
      <c r="F38" s="404" t="n"/>
      <c r="G38" s="404" t="n"/>
      <c r="H38" s="404" t="n"/>
      <c r="I38" s="404" t="n"/>
      <c r="J38" s="404" t="n"/>
    </row>
    <row r="39" ht="15" customFormat="1" customHeight="1" s="380">
      <c r="A39" s="397" t="inlineStr">
        <is>
          <t xml:space="preserve">  Debt Facility Payment</t>
        </is>
      </c>
      <c r="B39" s="392">
        <f>Model!E220+Model!F220+Model!G220+Model!H220+Model!I220+Model!J220+Model!K220+Model!L220+Model!M220+Model!B220+Model!C220+Model!D220</f>
        <v/>
      </c>
      <c r="C39" s="392">
        <f>Model!N220+Model!O220+Model!P220+Model!Q220+Model!R220+Model!S220+Model!T220+Model!U220+Model!V220+Model!W220+Model!X220+Model!Y220</f>
        <v/>
      </c>
      <c r="D39" s="392">
        <f>Model!Z220+Model!AA220+Model!AB220+Model!AC220+Model!AD220+Model!AE220+Model!AF220+Model!AG220+Model!AH220+Model!AI220+Model!AJ220+Model!AK220</f>
        <v/>
      </c>
      <c r="E39" s="392">
        <f>Model!AL220+Model!AM220+Model!AN220+Model!AO220+Model!AP220+Model!AQ220+Model!AR220+Model!AS220+Model!AT220+Model!AU220+Model!AV220+Model!AW220</f>
        <v/>
      </c>
      <c r="F39" s="392">
        <f>Model!AX220+Model!AY220+Model!AZ220+Model!BA220+Model!BB220+Model!BC220+Model!BD220+Model!BE220+Model!BF220+Model!BG220+Model!BH220+Model!BI220</f>
        <v/>
      </c>
      <c r="G39" s="392">
        <f>Model!BJ220+Model!BK220+Model!BL220+Model!BM220+Model!BN220+Model!BO220+Model!BP220+Model!BQ220+Model!BR220+Model!BS220+Model!BT220+Model!BU220</f>
        <v/>
      </c>
      <c r="H39" s="392">
        <f>Model!BV220+Model!BW220+Model!BX220+Model!BY220+Model!BZ220+Model!CA220+Model!CB220+Model!CC220+Model!CD220+Model!CE220+Model!CF220+Model!CG220</f>
        <v/>
      </c>
      <c r="I39" s="392">
        <f>Model!CH220+Model!CI220+Model!CJ220+Model!CK220+Model!CL220+Model!CM220+Model!CN220+Model!CO220+Model!CP220+Model!CQ220+Model!CR220+Model!CS220</f>
        <v/>
      </c>
      <c r="J39" s="392">
        <f>Model!CT220+Model!CU220+Model!CV220+Model!CW220+Model!CX220+Model!CY220+Model!CZ220+Model!DA220+Model!DB220+Model!DC220+Model!DD220+Model!DE220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392">
        <f>Model!M221</f>
        <v/>
      </c>
      <c r="C40" s="392">
        <f>Model!Y221</f>
        <v/>
      </c>
      <c r="D40" s="392">
        <f>Model!AK221</f>
        <v/>
      </c>
      <c r="E40" s="392">
        <f>Model!AW221</f>
        <v/>
      </c>
      <c r="F40" s="392">
        <f>Model!BI221</f>
        <v/>
      </c>
      <c r="G40" s="392">
        <f>Model!BU221</f>
        <v/>
      </c>
      <c r="H40" s="392">
        <f>Model!CG221</f>
        <v/>
      </c>
      <c r="I40" s="392">
        <f>Model!CS221</f>
        <v/>
      </c>
      <c r="J40" s="39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392">
        <f>Model!E226+Model!F226+Model!G226+Model!H226+Model!I226+Model!J226+Model!K226+Model!L226+Model!M226+Model!B226+Model!C226+Model!D226</f>
        <v/>
      </c>
      <c r="C41" s="392">
        <f>Model!N226+Model!O226+Model!P226+Model!Q226+Model!R226+Model!S226+Model!T226+Model!U226+Model!V226+Model!W226+Model!X226+Model!Y226</f>
        <v/>
      </c>
      <c r="D41" s="392">
        <f>Model!Z226+Model!AA226+Model!AB226+Model!AC226+Model!AD226+Model!AE226+Model!AF226+Model!AG226+Model!AH226+Model!AI226+Model!AJ226+Model!AK226</f>
        <v/>
      </c>
      <c r="E41" s="392">
        <f>Model!AL226+Model!AM226+Model!AN226+Model!AO226+Model!AP226+Model!AQ226+Model!AR226+Model!AS226+Model!AT226+Model!AU226+Model!AV226+Model!AW226</f>
        <v/>
      </c>
      <c r="F41" s="392">
        <f>Model!AX226+Model!AY226+Model!AZ226+Model!BA226+Model!BB226+Model!BC226+Model!BD226+Model!BE226+Model!BF226+Model!BG226+Model!BH226+Model!BI226</f>
        <v/>
      </c>
      <c r="G41" s="392">
        <f>Model!BJ226+Model!BK226+Model!BL226+Model!BM226+Model!BN226+Model!BO226+Model!BP226+Model!BQ226+Model!BR226+Model!BS226+Model!BT226+Model!BU226</f>
        <v/>
      </c>
      <c r="H41" s="392">
        <f>Model!BV226+Model!BW226+Model!BX226+Model!BY226+Model!BZ226+Model!CA226+Model!CB226+Model!CC226+Model!CD226+Model!CE226+Model!CF226+Model!CG226</f>
        <v/>
      </c>
      <c r="I41" s="392">
        <f>Model!CH226+Model!CI226+Model!CJ226+Model!CK226+Model!CL226+Model!CM226+Model!CN226+Model!CO226+Model!CP226+Model!CQ226+Model!CR226+Model!CS226</f>
        <v/>
      </c>
      <c r="J41" s="392">
        <f>Model!CT226+Model!CU226+Model!CV226+Model!CW226+Model!CX226+Model!CY226+Model!CZ226+Model!DA226+Model!DB226+Model!DC226+Model!DD226+Model!DE226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392">
        <f>Model!M227</f>
        <v/>
      </c>
      <c r="C42" s="392">
        <f>Model!Y227</f>
        <v/>
      </c>
      <c r="D42" s="392">
        <f>Model!AK227</f>
        <v/>
      </c>
      <c r="E42" s="392">
        <f>Model!AW227</f>
        <v/>
      </c>
      <c r="F42" s="392">
        <f>Model!BI227</f>
        <v/>
      </c>
      <c r="G42" s="392">
        <f>Model!BU227</f>
        <v/>
      </c>
      <c r="H42" s="392">
        <f>Model!CG227</f>
        <v/>
      </c>
      <c r="I42" s="392">
        <f>Model!CS227</f>
        <v/>
      </c>
      <c r="J42" s="39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392">
        <f>Model!E280+Model!F280+Model!G280+Model!H280+Model!I280+Model!J280+Model!K280+Model!L280+Model!M280+Model!B280+Model!C280+Model!D280</f>
        <v/>
      </c>
      <c r="C43" s="392">
        <f>Model!N280+Model!O280+Model!P280+Model!Q280+Model!R280+Model!S280+Model!T280+Model!U280+Model!V280+Model!W280+Model!X280+Model!Y280</f>
        <v/>
      </c>
      <c r="D43" s="392">
        <f>Model!Z280+Model!AA280+Model!AB280+Model!AC280+Model!AD280+Model!AE280+Model!AF280+Model!AG280+Model!AH280+Model!AI280+Model!AJ280+Model!AK280</f>
        <v/>
      </c>
      <c r="E43" s="392">
        <f>Model!AL280+Model!AM280+Model!AN280+Model!AO280+Model!AP280+Model!AQ280+Model!AR280+Model!AS280+Model!AT280+Model!AU280+Model!AV280+Model!AW280</f>
        <v/>
      </c>
      <c r="F43" s="392">
        <f>Model!AX280+Model!AY280+Model!AZ280+Model!BA280+Model!BB280+Model!BC280+Model!BD280+Model!BE280+Model!BF280+Model!BG280+Model!BH280+Model!BI280</f>
        <v/>
      </c>
      <c r="G43" s="392">
        <f>Model!BJ280+Model!BK280+Model!BL280+Model!BM280+Model!BN280+Model!BO280+Model!BP280+Model!BQ280+Model!BR280+Model!BS280+Model!BT280+Model!BU280</f>
        <v/>
      </c>
      <c r="H43" s="392">
        <f>Model!BV280+Model!BW280+Model!BX280+Model!BY280+Model!BZ280+Model!CA280+Model!CB280+Model!CC280+Model!CD280+Model!CE280+Model!CF280+Model!CG280</f>
        <v/>
      </c>
      <c r="I43" s="392">
        <f>Model!CH280+Model!CI280+Model!CJ280+Model!CK280+Model!CL280+Model!CM280+Model!CN280+Model!CO280+Model!CP280+Model!CQ280+Model!CR280+Model!CS280</f>
        <v/>
      </c>
      <c r="J43" s="392">
        <f>Model!CT280+Model!CU280+Model!CV280+Model!CW280+Model!CX280+Model!CY280+Model!CZ280+Model!DA280+Model!DB280+Model!DC280+Model!DD280+Model!DE280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392">
        <f>Model!M234+Model!M239+Model!M244+Model!M249</f>
        <v/>
      </c>
      <c r="C44" s="392">
        <f>Model!Y234+Model!Y239+Model!Y244+Model!Y249</f>
        <v/>
      </c>
      <c r="D44" s="392">
        <f>Model!AK234+Model!AK239+Model!AK244+Model!AK249</f>
        <v/>
      </c>
      <c r="E44" s="392">
        <f>Model!AW234+Model!AW239+Model!AW244+Model!AW249</f>
        <v/>
      </c>
      <c r="F44" s="392">
        <f>Model!BI234+Model!BI239+Model!BI244+Model!BI249</f>
        <v/>
      </c>
      <c r="G44" s="392">
        <f>Model!BU234+Model!BU239+Model!BU244+Model!BU249</f>
        <v/>
      </c>
      <c r="H44" s="392">
        <f>Model!CG234+Model!CG239+Model!CG244+Model!CG249</f>
        <v/>
      </c>
      <c r="I44" s="392">
        <f>Model!CS234+Model!CS239+Model!CS244+Model!CS249</f>
        <v/>
      </c>
      <c r="J44" s="392">
        <f>Model!DE234+Model!DE239+Model!DE244+Model!DE249</f>
        <v/>
      </c>
    </row>
    <row r="45" ht="15" customFormat="1" customHeight="1" s="380">
      <c r="A45" s="382" t="n"/>
      <c r="B45" s="392" t="n"/>
      <c r="C45" s="392" t="n"/>
      <c r="D45" s="392" t="n"/>
      <c r="E45" s="392" t="n"/>
      <c r="F45" s="392" t="n"/>
      <c r="G45" s="392" t="n"/>
      <c r="H45" s="392" t="n"/>
      <c r="I45" s="460" t="n"/>
      <c r="J45" s="460" t="n"/>
    </row>
    <row r="46" ht="15" customFormat="1" customHeight="1" s="380">
      <c r="A46" s="397" t="inlineStr">
        <is>
          <t>Bonding Outstanding</t>
        </is>
      </c>
      <c r="B46" s="392">
        <f>Model!M260</f>
        <v/>
      </c>
      <c r="C46" s="392">
        <f>Model!Y260</f>
        <v/>
      </c>
      <c r="D46" s="392">
        <f>Model!AK260</f>
        <v/>
      </c>
      <c r="E46" s="392">
        <f>Model!AW260</f>
        <v/>
      </c>
      <c r="F46" s="392">
        <f>Model!BI260</f>
        <v/>
      </c>
      <c r="G46" s="392">
        <f>Model!BU260</f>
        <v/>
      </c>
      <c r="H46" s="392">
        <f>Model!CG260</f>
        <v/>
      </c>
      <c r="I46" s="392">
        <f>Model!CS260</f>
        <v/>
      </c>
      <c r="J46" s="392">
        <f>Model!DE260</f>
        <v/>
      </c>
    </row>
    <row r="47" ht="15" customFormat="1" customHeight="1" s="380">
      <c r="A47" s="382" t="n"/>
      <c r="B47" s="392" t="n"/>
      <c r="C47" s="392" t="n"/>
      <c r="D47" s="392" t="n"/>
      <c r="E47" s="392" t="n"/>
      <c r="F47" s="392" t="n"/>
      <c r="G47" s="392" t="n"/>
      <c r="H47" s="392" t="n"/>
      <c r="I47" s="460" t="n"/>
      <c r="J47" s="460" t="n"/>
    </row>
    <row r="48" ht="15" customFormat="1" customHeight="1" s="380">
      <c r="A48" s="461" t="inlineStr">
        <is>
          <t>LV Ending Cash</t>
        </is>
      </c>
      <c r="B48" s="462">
        <f>Model!M273</f>
        <v/>
      </c>
      <c r="C48" s="462">
        <f>Model!Y273</f>
        <v/>
      </c>
      <c r="D48" s="462">
        <f>Model!AK273</f>
        <v/>
      </c>
      <c r="E48" s="462">
        <f>Model!AW273</f>
        <v/>
      </c>
      <c r="F48" s="462">
        <f>Model!BI273</f>
        <v/>
      </c>
      <c r="G48" s="462">
        <f>Model!BU273</f>
        <v/>
      </c>
      <c r="H48" s="462">
        <f>Model!CG273</f>
        <v/>
      </c>
      <c r="I48" s="462">
        <f>Model!CS273</f>
        <v/>
      </c>
      <c r="J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Model!M281</f>
        <v/>
      </c>
      <c r="C49" s="462">
        <f>Model!Y281</f>
        <v/>
      </c>
      <c r="D49" s="462">
        <f>Model!AK281</f>
        <v/>
      </c>
      <c r="E49" s="462">
        <f>Model!AW281</f>
        <v/>
      </c>
      <c r="F49" s="462">
        <f>Model!BI281</f>
        <v/>
      </c>
      <c r="G49" s="462">
        <f>Model!BU281</f>
        <v/>
      </c>
      <c r="H49" s="462">
        <f>Model!CG281</f>
        <v/>
      </c>
      <c r="I49" s="462">
        <f>Model!CS281</f>
        <v/>
      </c>
      <c r="J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Model!E285+Model!F285+Model!G285+Model!H285+Model!I285+Model!J285+Model!K285+Model!L285+Model!M285+Model!B285+Model!C285+Model!D285</f>
        <v/>
      </c>
      <c r="C50" s="462">
        <f>Model!N285+Model!O285+Model!P285+Model!Q285+Model!R285+Model!S285+Model!T285+Model!U285+Model!V285+Model!W285+Model!X285+Model!Y285</f>
        <v/>
      </c>
      <c r="D50" s="462">
        <f>Model!Z285+Model!AA285+Model!AB285+Model!AC285+Model!AD285+Model!AE285+Model!AF285+Model!AG285+Model!AH285+Model!AI285+Model!AJ285+Model!AK285</f>
        <v/>
      </c>
      <c r="E50" s="462">
        <f>Model!AL285+Model!AM285+Model!AN285+Model!AO285+Model!AP285+Model!AQ285+Model!AR285+Model!AS285+Model!AT285+Model!AU285+Model!AV285+Model!AW285</f>
        <v/>
      </c>
      <c r="F50" s="462">
        <f>Model!AX285+Model!AY285+Model!AZ285+Model!BA285+Model!BB285+Model!BC285+Model!BD285+Model!BE285+Model!BF285+Model!BG285+Model!BH285+Model!BI285</f>
        <v/>
      </c>
      <c r="G50" s="462">
        <f>Model!BJ285+Model!BK285+Model!BL285+Model!BM285+Model!BN285+Model!BO285+Model!BP285+Model!BQ285+Model!BR285+Model!BS285+Model!BT285+Model!BU285</f>
        <v/>
      </c>
      <c r="H50" s="462">
        <f>Model!BV285+Model!BW285+Model!BX285+Model!BY285+Model!BZ285+Model!CA285+Model!CB285+Model!CC285+Model!CD285+Model!CE285+Model!CF285+Model!CG285</f>
        <v/>
      </c>
      <c r="I50" s="462">
        <f>Model!CH285+Model!CI285+Model!CJ285+Model!CK285+Model!CL285+Model!CM285+Model!CN285+Model!CO285+Model!CP285+Model!CQ285+Model!CR285+Model!CS285</f>
        <v/>
      </c>
      <c r="J50" s="462">
        <f>Model!CT285+Model!CU285+Model!CV285+Model!CW285+Model!CX285+Model!CY285+Model!CZ285+Model!DA285+Model!DB285+Model!DC285+Model!DD285+Model!DE285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Model!M286</f>
        <v/>
      </c>
      <c r="C51" s="463">
        <f>Model!Y286</f>
        <v/>
      </c>
      <c r="D51" s="463">
        <f>Model!AK286</f>
        <v/>
      </c>
      <c r="E51" s="463">
        <f>Model!AW286</f>
        <v/>
      </c>
      <c r="F51" s="463">
        <f>Model!BI286</f>
        <v/>
      </c>
      <c r="G51" s="463">
        <f>Model!BU286</f>
        <v/>
      </c>
      <c r="H51" s="463">
        <f>Model!CG286</f>
        <v/>
      </c>
      <c r="I51" s="463">
        <f>Model!CS286</f>
        <v/>
      </c>
      <c r="J51" s="463">
        <f>Model!DE286</f>
        <v/>
      </c>
    </row>
  </sheetData>
  <mergeCells count="1">
    <mergeCell ref="A1:E1"/>
  </mergeCells>
  <conditionalFormatting sqref="B3:J48">
    <cfRule type="cellIs" rank="0" priority="2" equalAverage="0" operator="lessThan" aboveAverage="0" dxfId="0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K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C49" activeCellId="0" sqref="C49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37"/>
  </cols>
  <sheetData>
    <row r="1" ht="17.25" customFormat="1" customHeight="1" s="380">
      <c r="A1" s="381" t="inlineStr">
        <is>
          <t>Six Peak Capital - QTR Summary</t>
        </is>
      </c>
      <c r="F1" s="382" t="n"/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</row>
    <row r="2" ht="15" customFormat="1" customHeight="1" s="380">
      <c r="A2" s="395" t="inlineStr">
        <is>
          <t>GC CONSTRUCTION P&amp;L</t>
        </is>
      </c>
      <c r="B2" s="464" t="inlineStr">
        <is>
          <t>Q1 2026</t>
        </is>
      </c>
      <c r="C2" s="465" t="inlineStr">
        <is>
          <t>Q2 2026</t>
        </is>
      </c>
      <c r="D2" s="465" t="inlineStr">
        <is>
          <t>Q3 2026</t>
        </is>
      </c>
      <c r="E2" s="465" t="inlineStr">
        <is>
          <t>Q4 2026</t>
        </is>
      </c>
      <c r="F2" s="465" t="inlineStr">
        <is>
          <t>Q1 2027</t>
        </is>
      </c>
      <c r="G2" s="465" t="inlineStr">
        <is>
          <t>Q2 2027</t>
        </is>
      </c>
      <c r="H2" s="465" t="inlineStr">
        <is>
          <t>Q3 2027</t>
        </is>
      </c>
      <c r="I2" s="465" t="inlineStr">
        <is>
          <t>Q4 2027</t>
        </is>
      </c>
      <c r="J2" s="465" t="inlineStr">
        <is>
          <t>Q1 2028</t>
        </is>
      </c>
      <c r="K2" s="465" t="inlineStr">
        <is>
          <t>Q2 2028</t>
        </is>
      </c>
      <c r="L2" s="465" t="inlineStr">
        <is>
          <t>Q3 2028</t>
        </is>
      </c>
      <c r="M2" s="465" t="inlineStr">
        <is>
          <t>Q4 2028</t>
        </is>
      </c>
      <c r="N2" s="465" t="inlineStr">
        <is>
          <t>Q1 2029</t>
        </is>
      </c>
      <c r="O2" s="465" t="inlineStr">
        <is>
          <t>Q2 2029</t>
        </is>
      </c>
      <c r="P2" s="465" t="inlineStr">
        <is>
          <t>Q3 2029</t>
        </is>
      </c>
      <c r="Q2" s="465" t="inlineStr">
        <is>
          <t>Q4 2029</t>
        </is>
      </c>
      <c r="R2" s="465" t="inlineStr">
        <is>
          <t>Q1 2030</t>
        </is>
      </c>
      <c r="S2" s="465" t="inlineStr">
        <is>
          <t>Q2 2030</t>
        </is>
      </c>
      <c r="T2" s="465" t="inlineStr">
        <is>
          <t>Q3 2030</t>
        </is>
      </c>
      <c r="U2" s="465" t="inlineStr">
        <is>
          <t>Q4 2030</t>
        </is>
      </c>
      <c r="V2" s="465" t="inlineStr">
        <is>
          <t>Q1 2031</t>
        </is>
      </c>
      <c r="W2" s="465" t="inlineStr">
        <is>
          <t>Q2 2031</t>
        </is>
      </c>
      <c r="X2" s="465" t="inlineStr">
        <is>
          <t>Q3 2031</t>
        </is>
      </c>
      <c r="Y2" s="465" t="inlineStr">
        <is>
          <t>Q4 2031</t>
        </is>
      </c>
      <c r="Z2" s="465" t="inlineStr">
        <is>
          <t>Q1 2032</t>
        </is>
      </c>
      <c r="AA2" s="465" t="inlineStr">
        <is>
          <t>Q2 2032</t>
        </is>
      </c>
      <c r="AB2" s="465" t="inlineStr">
        <is>
          <t>Q3 2032</t>
        </is>
      </c>
      <c r="AC2" s="465" t="inlineStr">
        <is>
          <t>Q4 2032</t>
        </is>
      </c>
      <c r="AD2" s="465" t="inlineStr">
        <is>
          <t>Q1 2033</t>
        </is>
      </c>
      <c r="AE2" s="465" t="inlineStr">
        <is>
          <t>Q2 2033</t>
        </is>
      </c>
      <c r="AF2" s="465" t="inlineStr">
        <is>
          <t>Q3 2033</t>
        </is>
      </c>
      <c r="AG2" s="465" t="inlineStr">
        <is>
          <t>Q4 2033</t>
        </is>
      </c>
      <c r="AH2" s="465" t="inlineStr">
        <is>
          <t>Q1 2034</t>
        </is>
      </c>
      <c r="AI2" s="465" t="inlineStr">
        <is>
          <t>Q2 2034</t>
        </is>
      </c>
      <c r="AJ2" s="465" t="inlineStr">
        <is>
          <t>Q3 2034</t>
        </is>
      </c>
      <c r="AK2" s="465" t="inlineStr">
        <is>
          <t>Q4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  <c r="K3" s="441" t="n"/>
      <c r="L3" s="441" t="n"/>
      <c r="M3" s="441" t="n"/>
      <c r="N3" s="441" t="n"/>
      <c r="O3" s="441" t="n"/>
      <c r="P3" s="441" t="n"/>
      <c r="Q3" s="441" t="n"/>
      <c r="R3" s="441" t="n"/>
      <c r="S3" s="441" t="n"/>
      <c r="T3" s="441" t="n"/>
      <c r="U3" s="441" t="n"/>
      <c r="V3" s="441" t="n"/>
      <c r="W3" s="441" t="n"/>
      <c r="X3" s="441" t="n"/>
      <c r="Y3" s="441" t="n"/>
      <c r="Z3" s="441" t="n"/>
      <c r="AA3" s="441" t="n"/>
      <c r="AB3" s="441" t="n"/>
      <c r="AC3" s="441" t="n"/>
      <c r="AD3" s="441" t="n"/>
      <c r="AE3" s="441" t="n"/>
      <c r="AF3" s="441" t="n"/>
      <c r="AG3" s="441" t="n"/>
      <c r="AH3" s="441" t="n"/>
      <c r="AI3" s="441" t="n"/>
      <c r="AJ3" s="441" t="n"/>
      <c r="AK3" s="441" t="n"/>
    </row>
    <row r="4" ht="15" customFormat="1" customHeight="1" s="380">
      <c r="A4" s="397" t="inlineStr">
        <is>
          <t xml:space="preserve">  Other GC Income</t>
        </is>
      </c>
      <c r="B4" s="392">
        <f>SUM(Model!B10:D10)</f>
        <v/>
      </c>
      <c r="C4" s="392">
        <f>SUM(Model!E10:G10)</f>
        <v/>
      </c>
      <c r="D4" s="392">
        <f>SUM(Model!H10:J10)</f>
        <v/>
      </c>
      <c r="E4" s="392">
        <f>SUM(Model!K10:M10)</f>
        <v/>
      </c>
      <c r="F4" s="392">
        <f>SUM(Model!N10:P10)</f>
        <v/>
      </c>
      <c r="G4" s="392">
        <f>SUM(Model!Q10:S10)</f>
        <v/>
      </c>
      <c r="H4" s="392">
        <f>SUM(Model!T10:V10)</f>
        <v/>
      </c>
      <c r="I4" s="392">
        <f>SUM(Model!W10:Y10)</f>
        <v/>
      </c>
      <c r="J4" s="392">
        <f>SUM(Model!Z10:AB10)</f>
        <v/>
      </c>
      <c r="K4" s="392">
        <f>SUM(Model!AC10:AE10)</f>
        <v/>
      </c>
      <c r="L4" s="392">
        <f>SUM(Model!AF10:AH10)</f>
        <v/>
      </c>
      <c r="M4" s="392">
        <f>SUM(Model!AI10:AK10)</f>
        <v/>
      </c>
      <c r="N4" s="392">
        <f>SUM(Model!AL10:AN10)</f>
        <v/>
      </c>
      <c r="O4" s="392">
        <f>SUM(Model!AO10:AQ10)</f>
        <v/>
      </c>
      <c r="P4" s="392">
        <f>SUM(Model!AR10:AT10)</f>
        <v/>
      </c>
      <c r="Q4" s="392">
        <f>SUM(Model!AU10:AW10)</f>
        <v/>
      </c>
      <c r="R4" s="392">
        <f>SUM(Model!AX10:AZ10)</f>
        <v/>
      </c>
      <c r="S4" s="392">
        <f>SUM(Model!BA10:BC10)</f>
        <v/>
      </c>
      <c r="T4" s="392">
        <f>SUM(Model!BD10:BF10)</f>
        <v/>
      </c>
      <c r="U4" s="392">
        <f>SUM(Model!BG10:BI10)</f>
        <v/>
      </c>
      <c r="V4" s="392">
        <f>SUM(Model!BJ10:BL10)</f>
        <v/>
      </c>
      <c r="W4" s="392">
        <f>SUM(Model!BM10:BO10)</f>
        <v/>
      </c>
      <c r="X4" s="392">
        <f>SUM(Model!BP10:BR10)</f>
        <v/>
      </c>
      <c r="Y4" s="392">
        <f>SUM(Model!BS10:BU10)</f>
        <v/>
      </c>
      <c r="Z4" s="392">
        <f>SUM(Model!BV10:BX10)</f>
        <v/>
      </c>
      <c r="AA4" s="392">
        <f>SUM(Model!BY10:CA10)</f>
        <v/>
      </c>
      <c r="AB4" s="392">
        <f>SUM(Model!CB10:CD10)</f>
        <v/>
      </c>
      <c r="AC4" s="392">
        <f>SUM(Model!CE10:CG10)</f>
        <v/>
      </c>
      <c r="AD4" s="392">
        <f>SUM(Model!CH10:CJ10)</f>
        <v/>
      </c>
      <c r="AE4" s="392">
        <f>SUM(Model!CK10:CM10)</f>
        <v/>
      </c>
      <c r="AF4" s="392">
        <f>SUM(Model!CN10:CP10)</f>
        <v/>
      </c>
      <c r="AG4" s="392">
        <f>SUM(Model!CQ10:CS10)</f>
        <v/>
      </c>
      <c r="AH4" s="392">
        <f>SUM(Model!CT10:CV10)</f>
        <v/>
      </c>
      <c r="AI4" s="392">
        <f>SUM(Model!CW10:CY10)</f>
        <v/>
      </c>
      <c r="AJ4" s="392">
        <f>SUM(Model!CZ10:DB10)</f>
        <v/>
      </c>
      <c r="AK4" s="392">
        <f>SUM(Model!DC10:DE10)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SUM(Model!B11:D11)</f>
        <v/>
      </c>
      <c r="C5" s="392">
        <f>SUM(Model!E11:G11)</f>
        <v/>
      </c>
      <c r="D5" s="392">
        <f>SUM(Model!H11:J11)</f>
        <v/>
      </c>
      <c r="E5" s="392">
        <f>SUM(Model!K11:M11)</f>
        <v/>
      </c>
      <c r="F5" s="392">
        <f>SUM(Model!N11:P11)</f>
        <v/>
      </c>
      <c r="G5" s="392">
        <f>SUM(Model!Q11:S11)</f>
        <v/>
      </c>
      <c r="H5" s="392">
        <f>SUM(Model!T11:V11)</f>
        <v/>
      </c>
      <c r="I5" s="392">
        <f>SUM(Model!W11:Y11)</f>
        <v/>
      </c>
      <c r="J5" s="392">
        <f>SUM(Model!Z11:AB11)</f>
        <v/>
      </c>
      <c r="K5" s="392">
        <f>SUM(Model!AC11:AE11)</f>
        <v/>
      </c>
      <c r="L5" s="392">
        <f>SUM(Model!AF11:AH11)</f>
        <v/>
      </c>
      <c r="M5" s="392">
        <f>SUM(Model!AI11:AK11)</f>
        <v/>
      </c>
      <c r="N5" s="392">
        <f>SUM(Model!AL11:AN11)</f>
        <v/>
      </c>
      <c r="O5" s="392">
        <f>SUM(Model!AO11:AQ11)</f>
        <v/>
      </c>
      <c r="P5" s="392">
        <f>SUM(Model!AR11:AT11)</f>
        <v/>
      </c>
      <c r="Q5" s="392">
        <f>SUM(Model!AU11:AW11)</f>
        <v/>
      </c>
      <c r="R5" s="392">
        <f>SUM(Model!AX11:AZ11)</f>
        <v/>
      </c>
      <c r="S5" s="392">
        <f>SUM(Model!BA11:BC11)</f>
        <v/>
      </c>
      <c r="T5" s="392">
        <f>SUM(Model!BD11:BF11)</f>
        <v/>
      </c>
      <c r="U5" s="392">
        <f>SUM(Model!BG11:BI11)</f>
        <v/>
      </c>
      <c r="V5" s="392">
        <f>SUM(Model!BJ11:BL11)</f>
        <v/>
      </c>
      <c r="W5" s="392">
        <f>SUM(Model!BM11:BO11)</f>
        <v/>
      </c>
      <c r="X5" s="392">
        <f>SUM(Model!BP11:BR11)</f>
        <v/>
      </c>
      <c r="Y5" s="392">
        <f>SUM(Model!BS11:BU11)</f>
        <v/>
      </c>
      <c r="Z5" s="392">
        <f>SUM(Model!BV11:BX11)</f>
        <v/>
      </c>
      <c r="AA5" s="392">
        <f>SUM(Model!BY11:CA11)</f>
        <v/>
      </c>
      <c r="AB5" s="392">
        <f>SUM(Model!CB11:CD11)</f>
        <v/>
      </c>
      <c r="AC5" s="392">
        <f>SUM(Model!CE11:CG11)</f>
        <v/>
      </c>
      <c r="AD5" s="392">
        <f>SUM(Model!CH11:CJ11)</f>
        <v/>
      </c>
      <c r="AE5" s="392">
        <f>SUM(Model!CK11:CM11)</f>
        <v/>
      </c>
      <c r="AF5" s="392">
        <f>SUM(Model!CN11:CP11)</f>
        <v/>
      </c>
      <c r="AG5" s="392">
        <f>SUM(Model!CQ11:CS11)</f>
        <v/>
      </c>
      <c r="AH5" s="392">
        <f>SUM(Model!CT11:CV11)</f>
        <v/>
      </c>
      <c r="AI5" s="392">
        <f>SUM(Model!CW11:CY11)</f>
        <v/>
      </c>
      <c r="AJ5" s="392">
        <f>SUM(Model!CZ11:DB11)</f>
        <v/>
      </c>
      <c r="AK5" s="392">
        <f>SUM(Model!DC11:DE11)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SUM(Model!B57:D57)</f>
        <v/>
      </c>
      <c r="C6" s="392">
        <f>SUM(Model!E57:G57)</f>
        <v/>
      </c>
      <c r="D6" s="392">
        <f>SUM(Model!H57:J57)</f>
        <v/>
      </c>
      <c r="E6" s="392">
        <f>SUM(Model!K57:M57)</f>
        <v/>
      </c>
      <c r="F6" s="392">
        <f>SUM(Model!N57:P57)</f>
        <v/>
      </c>
      <c r="G6" s="392">
        <f>SUM(Model!Q57:S57)</f>
        <v/>
      </c>
      <c r="H6" s="392">
        <f>SUM(Model!T57:V57)</f>
        <v/>
      </c>
      <c r="I6" s="392">
        <f>SUM(Model!W57:Y57)</f>
        <v/>
      </c>
      <c r="J6" s="392">
        <f>SUM(Model!Z57:AB57)</f>
        <v/>
      </c>
      <c r="K6" s="392">
        <f>SUM(Model!AC57:AE57)</f>
        <v/>
      </c>
      <c r="L6" s="392">
        <f>SUM(Model!AF57:AH57)</f>
        <v/>
      </c>
      <c r="M6" s="392">
        <f>SUM(Model!AI57:AK57)</f>
        <v/>
      </c>
      <c r="N6" s="392">
        <f>SUM(Model!AL57:AN57)</f>
        <v/>
      </c>
      <c r="O6" s="392">
        <f>SUM(Model!AO57:AQ57)</f>
        <v/>
      </c>
      <c r="P6" s="392">
        <f>SUM(Model!AR57:AT57)</f>
        <v/>
      </c>
      <c r="Q6" s="392">
        <f>SUM(Model!AU57:AW57)</f>
        <v/>
      </c>
      <c r="R6" s="392">
        <f>SUM(Model!AX57:AZ57)</f>
        <v/>
      </c>
      <c r="S6" s="392">
        <f>SUM(Model!BA57:BC57)</f>
        <v/>
      </c>
      <c r="T6" s="392">
        <f>SUM(Model!BD57:BF57)</f>
        <v/>
      </c>
      <c r="U6" s="392">
        <f>SUM(Model!BG57:BI57)</f>
        <v/>
      </c>
      <c r="V6" s="392">
        <f>SUM(Model!BJ57:BL57)</f>
        <v/>
      </c>
      <c r="W6" s="392">
        <f>SUM(Model!BM57:BO57)</f>
        <v/>
      </c>
      <c r="X6" s="392">
        <f>SUM(Model!BP57:BR57)</f>
        <v/>
      </c>
      <c r="Y6" s="392">
        <f>SUM(Model!BS57:BU57)</f>
        <v/>
      </c>
      <c r="Z6" s="392">
        <f>SUM(Model!BV57:BX57)</f>
        <v/>
      </c>
      <c r="AA6" s="392">
        <f>SUM(Model!BY57:CA57)</f>
        <v/>
      </c>
      <c r="AB6" s="392">
        <f>SUM(Model!CB57:CD57)</f>
        <v/>
      </c>
      <c r="AC6" s="392">
        <f>SUM(Model!CE57:CG57)</f>
        <v/>
      </c>
      <c r="AD6" s="392">
        <f>SUM(Model!CH57:CJ57)</f>
        <v/>
      </c>
      <c r="AE6" s="392">
        <f>SUM(Model!CK57:CM57)</f>
        <v/>
      </c>
      <c r="AF6" s="392">
        <f>SUM(Model!CN57:CP57)</f>
        <v/>
      </c>
      <c r="AG6" s="392">
        <f>SUM(Model!CQ57:CS57)</f>
        <v/>
      </c>
      <c r="AH6" s="392">
        <f>SUM(Model!CT57:CV57)</f>
        <v/>
      </c>
      <c r="AI6" s="392">
        <f>SUM(Model!CW57:CY57)</f>
        <v/>
      </c>
      <c r="AJ6" s="392">
        <f>SUM(Model!CZ57:DB57)</f>
        <v/>
      </c>
      <c r="AK6" s="392">
        <f>SUM(Model!DC57:DE57)</f>
        <v/>
      </c>
    </row>
    <row r="7" ht="15" customFormat="1" customHeight="1" s="380">
      <c r="A7" s="466" t="inlineStr">
        <is>
          <t>Total Revenues</t>
        </is>
      </c>
      <c r="B7" s="467">
        <f>SUM(Model!B58:D58)</f>
        <v/>
      </c>
      <c r="C7" s="467">
        <f>SUM(Model!E58:G58)</f>
        <v/>
      </c>
      <c r="D7" s="467">
        <f>SUM(Model!H58:J58)</f>
        <v/>
      </c>
      <c r="E7" s="467">
        <f>SUM(Model!K58:M58)</f>
        <v/>
      </c>
      <c r="F7" s="467">
        <f>SUM(Model!N58:P58)</f>
        <v/>
      </c>
      <c r="G7" s="467">
        <f>SUM(Model!Q58:S58)</f>
        <v/>
      </c>
      <c r="H7" s="467">
        <f>SUM(Model!T58:V58)</f>
        <v/>
      </c>
      <c r="I7" s="467">
        <f>SUM(Model!W58:Y58)</f>
        <v/>
      </c>
      <c r="J7" s="467">
        <f>SUM(Model!Z58:AB58)</f>
        <v/>
      </c>
      <c r="K7" s="467">
        <f>SUM(Model!AC58:AE58)</f>
        <v/>
      </c>
      <c r="L7" s="467">
        <f>SUM(Model!AF58:AH58)</f>
        <v/>
      </c>
      <c r="M7" s="467">
        <f>SUM(Model!AI58:AK58)</f>
        <v/>
      </c>
      <c r="N7" s="467">
        <f>SUM(Model!AL58:AN58)</f>
        <v/>
      </c>
      <c r="O7" s="467">
        <f>SUM(Model!AO58:AQ58)</f>
        <v/>
      </c>
      <c r="P7" s="467">
        <f>SUM(Model!AR58:AT58)</f>
        <v/>
      </c>
      <c r="Q7" s="467">
        <f>SUM(Model!AU58:AW58)</f>
        <v/>
      </c>
      <c r="R7" s="467">
        <f>SUM(Model!AX58:AZ58)</f>
        <v/>
      </c>
      <c r="S7" s="467">
        <f>SUM(Model!BA58:BC58)</f>
        <v/>
      </c>
      <c r="T7" s="467">
        <f>SUM(Model!BD58:BF58)</f>
        <v/>
      </c>
      <c r="U7" s="467">
        <f>SUM(Model!BG58:BI58)</f>
        <v/>
      </c>
      <c r="V7" s="467">
        <f>SUM(Model!BJ58:BL58)</f>
        <v/>
      </c>
      <c r="W7" s="467">
        <f>SUM(Model!BM58:BO58)</f>
        <v/>
      </c>
      <c r="X7" s="467">
        <f>SUM(Model!BP58:BR58)</f>
        <v/>
      </c>
      <c r="Y7" s="467">
        <f>SUM(Model!BS58:BU58)</f>
        <v/>
      </c>
      <c r="Z7" s="467">
        <f>SUM(Model!BV58:BX58)</f>
        <v/>
      </c>
      <c r="AA7" s="467">
        <f>SUM(Model!BY58:CA58)</f>
        <v/>
      </c>
      <c r="AB7" s="467">
        <f>SUM(Model!CB58:CD58)</f>
        <v/>
      </c>
      <c r="AC7" s="467">
        <f>SUM(Model!CE58:CG58)</f>
        <v/>
      </c>
      <c r="AD7" s="467">
        <f>SUM(Model!CH58:CJ58)</f>
        <v/>
      </c>
      <c r="AE7" s="467">
        <f>SUM(Model!CK58:CM58)</f>
        <v/>
      </c>
      <c r="AF7" s="467">
        <f>SUM(Model!CN58:CP58)</f>
        <v/>
      </c>
      <c r="AG7" s="467">
        <f>SUM(Model!CQ58:CS58)</f>
        <v/>
      </c>
      <c r="AH7" s="467">
        <f>SUM(Model!CT58:CV58)</f>
        <v/>
      </c>
      <c r="AI7" s="467">
        <f>SUM(Model!CW58:CY58)</f>
        <v/>
      </c>
      <c r="AJ7" s="467">
        <f>SUM(Model!CZ58:DB58)</f>
        <v/>
      </c>
      <c r="AK7" s="467">
        <f>SUM(Model!DC58:DE58)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SUM(Model!B104:D104)</f>
        <v/>
      </c>
      <c r="C8" s="392">
        <f>SUM(Model!E104:G104)</f>
        <v/>
      </c>
      <c r="D8" s="392">
        <f>SUM(Model!H104:J104)</f>
        <v/>
      </c>
      <c r="E8" s="392">
        <f>SUM(Model!K104:M104)</f>
        <v/>
      </c>
      <c r="F8" s="392">
        <f>SUM(Model!N104:P104)</f>
        <v/>
      </c>
      <c r="G8" s="392">
        <f>SUM(Model!Q104:S104)</f>
        <v/>
      </c>
      <c r="H8" s="392">
        <f>SUM(Model!T104:V104)</f>
        <v/>
      </c>
      <c r="I8" s="392">
        <f>SUM(Model!W104:Y104)</f>
        <v/>
      </c>
      <c r="J8" s="392">
        <f>SUM(Model!Z104:AB104)</f>
        <v/>
      </c>
      <c r="K8" s="392">
        <f>SUM(Model!AC104:AE104)</f>
        <v/>
      </c>
      <c r="L8" s="392">
        <f>SUM(Model!AF104:AH104)</f>
        <v/>
      </c>
      <c r="M8" s="392">
        <f>SUM(Model!AI104:AK104)</f>
        <v/>
      </c>
      <c r="N8" s="392">
        <f>SUM(Model!AL104:AN104)</f>
        <v/>
      </c>
      <c r="O8" s="392">
        <f>SUM(Model!AO104:AQ104)</f>
        <v/>
      </c>
      <c r="P8" s="392">
        <f>SUM(Model!AR104:AT104)</f>
        <v/>
      </c>
      <c r="Q8" s="392">
        <f>SUM(Model!AU104:AW104)</f>
        <v/>
      </c>
      <c r="R8" s="392">
        <f>SUM(Model!AX104:AZ104)</f>
        <v/>
      </c>
      <c r="S8" s="392">
        <f>SUM(Model!BA104:BC104)</f>
        <v/>
      </c>
      <c r="T8" s="392">
        <f>SUM(Model!BD104:BF104)</f>
        <v/>
      </c>
      <c r="U8" s="392">
        <f>SUM(Model!BG104:BI104)</f>
        <v/>
      </c>
      <c r="V8" s="392">
        <f>SUM(Model!BJ104:BL104)</f>
        <v/>
      </c>
      <c r="W8" s="392">
        <f>SUM(Model!BM104:BO104)</f>
        <v/>
      </c>
      <c r="X8" s="392">
        <f>SUM(Model!BP104:BR104)</f>
        <v/>
      </c>
      <c r="Y8" s="392">
        <f>SUM(Model!BS104:BU104)</f>
        <v/>
      </c>
      <c r="Z8" s="392">
        <f>SUM(Model!BV104:BX104)</f>
        <v/>
      </c>
      <c r="AA8" s="392">
        <f>SUM(Model!BY104:CA104)</f>
        <v/>
      </c>
      <c r="AB8" s="392">
        <f>SUM(Model!CB104:CD104)</f>
        <v/>
      </c>
      <c r="AC8" s="392">
        <f>SUM(Model!CE104:CG104)</f>
        <v/>
      </c>
      <c r="AD8" s="392">
        <f>SUM(Model!CH104:CJ104)</f>
        <v/>
      </c>
      <c r="AE8" s="392">
        <f>SUM(Model!CK104:CM104)</f>
        <v/>
      </c>
      <c r="AF8" s="392">
        <f>SUM(Model!CN104:CP104)</f>
        <v/>
      </c>
      <c r="AG8" s="392">
        <f>SUM(Model!CQ104:CS104)</f>
        <v/>
      </c>
      <c r="AH8" s="392">
        <f>SUM(Model!CT104:CV104)</f>
        <v/>
      </c>
      <c r="AI8" s="392">
        <f>SUM(Model!CW104:CY104)</f>
        <v/>
      </c>
      <c r="AJ8" s="392">
        <f>SUM(Model!CZ104:DB104)</f>
        <v/>
      </c>
      <c r="AK8" s="392">
        <f>SUM(Model!DC104:DE104)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SUM(Model!B105:D105)</f>
        <v/>
      </c>
      <c r="C9" s="392">
        <f>SUM(Model!E105:G105)</f>
        <v/>
      </c>
      <c r="D9" s="392">
        <f>SUM(Model!H105:J105)</f>
        <v/>
      </c>
      <c r="E9" s="392">
        <f>SUM(Model!K105:M105)</f>
        <v/>
      </c>
      <c r="F9" s="392">
        <f>SUM(Model!N105:P105)</f>
        <v/>
      </c>
      <c r="G9" s="392">
        <f>SUM(Model!Q105:S105)</f>
        <v/>
      </c>
      <c r="H9" s="392">
        <f>SUM(Model!T105:V105)</f>
        <v/>
      </c>
      <c r="I9" s="392">
        <f>SUM(Model!W105:Y105)</f>
        <v/>
      </c>
      <c r="J9" s="392">
        <f>SUM(Model!Z105:AB105)</f>
        <v/>
      </c>
      <c r="K9" s="392">
        <f>SUM(Model!AC105:AE105)</f>
        <v/>
      </c>
      <c r="L9" s="392">
        <f>SUM(Model!AF105:AH105)</f>
        <v/>
      </c>
      <c r="M9" s="392">
        <f>SUM(Model!AI105:AK105)</f>
        <v/>
      </c>
      <c r="N9" s="392">
        <f>SUM(Model!AL105:AN105)</f>
        <v/>
      </c>
      <c r="O9" s="392">
        <f>SUM(Model!AO105:AQ105)</f>
        <v/>
      </c>
      <c r="P9" s="392">
        <f>SUM(Model!AR105:AT105)</f>
        <v/>
      </c>
      <c r="Q9" s="392">
        <f>SUM(Model!AU105:AW105)</f>
        <v/>
      </c>
      <c r="R9" s="392">
        <f>SUM(Model!AX105:AZ105)</f>
        <v/>
      </c>
      <c r="S9" s="392">
        <f>SUM(Model!BA105:BC105)</f>
        <v/>
      </c>
      <c r="T9" s="392">
        <f>SUM(Model!BD105:BF105)</f>
        <v/>
      </c>
      <c r="U9" s="392">
        <f>SUM(Model!BG105:BI105)</f>
        <v/>
      </c>
      <c r="V9" s="392">
        <f>SUM(Model!BJ105:BL105)</f>
        <v/>
      </c>
      <c r="W9" s="392">
        <f>SUM(Model!BM105:BO105)</f>
        <v/>
      </c>
      <c r="X9" s="392">
        <f>SUM(Model!BP105:BR105)</f>
        <v/>
      </c>
      <c r="Y9" s="392">
        <f>SUM(Model!BS105:BU105)</f>
        <v/>
      </c>
      <c r="Z9" s="392">
        <f>SUM(Model!BV105:BX105)</f>
        <v/>
      </c>
      <c r="AA9" s="392">
        <f>SUM(Model!BY105:CA105)</f>
        <v/>
      </c>
      <c r="AB9" s="392">
        <f>SUM(Model!CB105:CD105)</f>
        <v/>
      </c>
      <c r="AC9" s="392">
        <f>SUM(Model!CE105:CG105)</f>
        <v/>
      </c>
      <c r="AD9" s="392">
        <f>SUM(Model!CH105:CJ105)</f>
        <v/>
      </c>
      <c r="AE9" s="392">
        <f>SUM(Model!CK105:CM105)</f>
        <v/>
      </c>
      <c r="AF9" s="392">
        <f>SUM(Model!CN105:CP105)</f>
        <v/>
      </c>
      <c r="AG9" s="392">
        <f>SUM(Model!CQ105:CS105)</f>
        <v/>
      </c>
      <c r="AH9" s="392">
        <f>SUM(Model!CT105:CV105)</f>
        <v/>
      </c>
      <c r="AI9" s="392">
        <f>SUM(Model!CW105:CY105)</f>
        <v/>
      </c>
      <c r="AJ9" s="392">
        <f>SUM(Model!CZ105:DB105)</f>
        <v/>
      </c>
      <c r="AK9" s="392">
        <f>SUM(Model!DC105:DE105)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SUM(Model!B106:D106)</f>
        <v/>
      </c>
      <c r="C10" s="392">
        <f>SUM(Model!E106:G106)</f>
        <v/>
      </c>
      <c r="D10" s="392">
        <f>SUM(Model!H106:J106)</f>
        <v/>
      </c>
      <c r="E10" s="392">
        <f>SUM(Model!K106:M106)</f>
        <v/>
      </c>
      <c r="F10" s="392">
        <f>SUM(Model!N106:P106)</f>
        <v/>
      </c>
      <c r="G10" s="392">
        <f>SUM(Model!Q106:S106)</f>
        <v/>
      </c>
      <c r="H10" s="392">
        <f>SUM(Model!T106:V106)</f>
        <v/>
      </c>
      <c r="I10" s="392">
        <f>SUM(Model!W106:Y106)</f>
        <v/>
      </c>
      <c r="J10" s="392">
        <f>SUM(Model!Z106:AB106)</f>
        <v/>
      </c>
      <c r="K10" s="392">
        <f>SUM(Model!AC106:AE106)</f>
        <v/>
      </c>
      <c r="L10" s="392">
        <f>SUM(Model!AF106:AH106)</f>
        <v/>
      </c>
      <c r="M10" s="392">
        <f>SUM(Model!AI106:AK106)</f>
        <v/>
      </c>
      <c r="N10" s="392">
        <f>SUM(Model!AL106:AN106)</f>
        <v/>
      </c>
      <c r="O10" s="392">
        <f>SUM(Model!AO106:AQ106)</f>
        <v/>
      </c>
      <c r="P10" s="392">
        <f>SUM(Model!AR106:AT106)</f>
        <v/>
      </c>
      <c r="Q10" s="392">
        <f>SUM(Model!AU106:AW106)</f>
        <v/>
      </c>
      <c r="R10" s="392">
        <f>SUM(Model!AX106:AZ106)</f>
        <v/>
      </c>
      <c r="S10" s="392">
        <f>SUM(Model!BA106:BC106)</f>
        <v/>
      </c>
      <c r="T10" s="392">
        <f>SUM(Model!BD106:BF106)</f>
        <v/>
      </c>
      <c r="U10" s="392">
        <f>SUM(Model!BG106:BI106)</f>
        <v/>
      </c>
      <c r="V10" s="392">
        <f>SUM(Model!BJ106:BL106)</f>
        <v/>
      </c>
      <c r="W10" s="392">
        <f>SUM(Model!BM106:BO106)</f>
        <v/>
      </c>
      <c r="X10" s="392">
        <f>SUM(Model!BP106:BR106)</f>
        <v/>
      </c>
      <c r="Y10" s="392">
        <f>SUM(Model!BS106:BU106)</f>
        <v/>
      </c>
      <c r="Z10" s="392">
        <f>SUM(Model!BV106:BX106)</f>
        <v/>
      </c>
      <c r="AA10" s="392">
        <f>SUM(Model!BY106:CA106)</f>
        <v/>
      </c>
      <c r="AB10" s="392">
        <f>SUM(Model!CB106:CD106)</f>
        <v/>
      </c>
      <c r="AC10" s="392">
        <f>SUM(Model!CE106:CG106)</f>
        <v/>
      </c>
      <c r="AD10" s="392">
        <f>SUM(Model!CH106:CJ106)</f>
        <v/>
      </c>
      <c r="AE10" s="392">
        <f>SUM(Model!CK106:CM106)</f>
        <v/>
      </c>
      <c r="AF10" s="392">
        <f>SUM(Model!CN106:CP106)</f>
        <v/>
      </c>
      <c r="AG10" s="392">
        <f>SUM(Model!CQ106:CS106)</f>
        <v/>
      </c>
      <c r="AH10" s="392">
        <f>SUM(Model!CT106:CV106)</f>
        <v/>
      </c>
      <c r="AI10" s="392">
        <f>SUM(Model!CW106:CY106)</f>
        <v/>
      </c>
      <c r="AJ10" s="392">
        <f>SUM(Model!CZ106:DB106)</f>
        <v/>
      </c>
      <c r="AK10" s="392">
        <f>SUM(Model!DC106:DE106)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SUM(Model!B107:D107)</f>
        <v/>
      </c>
      <c r="C11" s="392">
        <f>SUM(Model!E107:G107)</f>
        <v/>
      </c>
      <c r="D11" s="392">
        <f>SUM(Model!H107:J107)</f>
        <v/>
      </c>
      <c r="E11" s="392">
        <f>SUM(Model!K107:M107)</f>
        <v/>
      </c>
      <c r="F11" s="392">
        <f>SUM(Model!N107:P107)</f>
        <v/>
      </c>
      <c r="G11" s="392">
        <f>SUM(Model!Q107:S107)</f>
        <v/>
      </c>
      <c r="H11" s="392">
        <f>SUM(Model!T107:V107)</f>
        <v/>
      </c>
      <c r="I11" s="392">
        <f>SUM(Model!W107:Y107)</f>
        <v/>
      </c>
      <c r="J11" s="392">
        <f>SUM(Model!Z107:AB107)</f>
        <v/>
      </c>
      <c r="K11" s="392">
        <f>SUM(Model!AC107:AE107)</f>
        <v/>
      </c>
      <c r="L11" s="392">
        <f>SUM(Model!AF107:AH107)</f>
        <v/>
      </c>
      <c r="M11" s="392">
        <f>SUM(Model!AI107:AK107)</f>
        <v/>
      </c>
      <c r="N11" s="392">
        <f>SUM(Model!AL107:AN107)</f>
        <v/>
      </c>
      <c r="O11" s="392">
        <f>SUM(Model!AO107:AQ107)</f>
        <v/>
      </c>
      <c r="P11" s="392">
        <f>SUM(Model!AR107:AT107)</f>
        <v/>
      </c>
      <c r="Q11" s="392">
        <f>SUM(Model!AU107:AW107)</f>
        <v/>
      </c>
      <c r="R11" s="392">
        <f>SUM(Model!AX107:AZ107)</f>
        <v/>
      </c>
      <c r="S11" s="392">
        <f>SUM(Model!BA107:BC107)</f>
        <v/>
      </c>
      <c r="T11" s="392">
        <f>SUM(Model!BD107:BF107)</f>
        <v/>
      </c>
      <c r="U11" s="392">
        <f>SUM(Model!BG107:BI107)</f>
        <v/>
      </c>
      <c r="V11" s="392">
        <f>SUM(Model!BJ107:BL107)</f>
        <v/>
      </c>
      <c r="W11" s="392">
        <f>SUM(Model!BM107:BO107)</f>
        <v/>
      </c>
      <c r="X11" s="392">
        <f>SUM(Model!BP107:BR107)</f>
        <v/>
      </c>
      <c r="Y11" s="392">
        <f>SUM(Model!BS107:BU107)</f>
        <v/>
      </c>
      <c r="Z11" s="392">
        <f>SUM(Model!BV107:BX107)</f>
        <v/>
      </c>
      <c r="AA11" s="392">
        <f>SUM(Model!BY107:CA107)</f>
        <v/>
      </c>
      <c r="AB11" s="392">
        <f>SUM(Model!CB107:CD107)</f>
        <v/>
      </c>
      <c r="AC11" s="392">
        <f>SUM(Model!CE107:CG107)</f>
        <v/>
      </c>
      <c r="AD11" s="392">
        <f>SUM(Model!CH107:CJ107)</f>
        <v/>
      </c>
      <c r="AE11" s="392">
        <f>SUM(Model!CK107:CM107)</f>
        <v/>
      </c>
      <c r="AF11" s="392">
        <f>SUM(Model!CN107:CP107)</f>
        <v/>
      </c>
      <c r="AG11" s="392">
        <f>SUM(Model!CQ107:CS107)</f>
        <v/>
      </c>
      <c r="AH11" s="392">
        <f>SUM(Model!CT107:CV107)</f>
        <v/>
      </c>
      <c r="AI11" s="392">
        <f>SUM(Model!CW107:CY107)</f>
        <v/>
      </c>
      <c r="AJ11" s="392">
        <f>SUM(Model!CZ107:DB107)</f>
        <v/>
      </c>
      <c r="AK11" s="392">
        <f>SUM(Model!DC107:DE107)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SUM(Model!B108:D108)</f>
        <v/>
      </c>
      <c r="C12" s="392">
        <f>SUM(Model!E108:G108)</f>
        <v/>
      </c>
      <c r="D12" s="392">
        <f>SUM(Model!H108:J108)</f>
        <v/>
      </c>
      <c r="E12" s="392">
        <f>SUM(Model!K108:M108)</f>
        <v/>
      </c>
      <c r="F12" s="392">
        <f>SUM(Model!N108:P108)</f>
        <v/>
      </c>
      <c r="G12" s="392">
        <f>SUM(Model!Q108:S108)</f>
        <v/>
      </c>
      <c r="H12" s="392">
        <f>SUM(Model!T108:V108)</f>
        <v/>
      </c>
      <c r="I12" s="392">
        <f>SUM(Model!W108:Y108)</f>
        <v/>
      </c>
      <c r="J12" s="392">
        <f>SUM(Model!Z108:AB108)</f>
        <v/>
      </c>
      <c r="K12" s="392">
        <f>SUM(Model!AC108:AE108)</f>
        <v/>
      </c>
      <c r="L12" s="392">
        <f>SUM(Model!AF108:AH108)</f>
        <v/>
      </c>
      <c r="M12" s="392">
        <f>SUM(Model!AI108:AK108)</f>
        <v/>
      </c>
      <c r="N12" s="392">
        <f>SUM(Model!AL108:AN108)</f>
        <v/>
      </c>
      <c r="O12" s="392">
        <f>SUM(Model!AO108:AQ108)</f>
        <v/>
      </c>
      <c r="P12" s="392">
        <f>SUM(Model!AR108:AT108)</f>
        <v/>
      </c>
      <c r="Q12" s="392">
        <f>SUM(Model!AU108:AW108)</f>
        <v/>
      </c>
      <c r="R12" s="392">
        <f>SUM(Model!AX108:AZ108)</f>
        <v/>
      </c>
      <c r="S12" s="392">
        <f>SUM(Model!BA108:BC108)</f>
        <v/>
      </c>
      <c r="T12" s="392">
        <f>SUM(Model!BD108:BF108)</f>
        <v/>
      </c>
      <c r="U12" s="392">
        <f>SUM(Model!BG108:BI108)</f>
        <v/>
      </c>
      <c r="V12" s="392">
        <f>SUM(Model!BJ108:BL108)</f>
        <v/>
      </c>
      <c r="W12" s="392">
        <f>SUM(Model!BM108:BO108)</f>
        <v/>
      </c>
      <c r="X12" s="392">
        <f>SUM(Model!BP108:BR108)</f>
        <v/>
      </c>
      <c r="Y12" s="392">
        <f>SUM(Model!BS108:BU108)</f>
        <v/>
      </c>
      <c r="Z12" s="392">
        <f>SUM(Model!BV108:BX108)</f>
        <v/>
      </c>
      <c r="AA12" s="392">
        <f>SUM(Model!BY108:CA108)</f>
        <v/>
      </c>
      <c r="AB12" s="392">
        <f>SUM(Model!CB108:CD108)</f>
        <v/>
      </c>
      <c r="AC12" s="392">
        <f>SUM(Model!CE108:CG108)</f>
        <v/>
      </c>
      <c r="AD12" s="392">
        <f>SUM(Model!CH108:CJ108)</f>
        <v/>
      </c>
      <c r="AE12" s="392">
        <f>SUM(Model!CK108:CM108)</f>
        <v/>
      </c>
      <c r="AF12" s="392">
        <f>SUM(Model!CN108:CP108)</f>
        <v/>
      </c>
      <c r="AG12" s="392">
        <f>SUM(Model!CQ108:CS108)</f>
        <v/>
      </c>
      <c r="AH12" s="392">
        <f>SUM(Model!CT108:CV108)</f>
        <v/>
      </c>
      <c r="AI12" s="392">
        <f>SUM(Model!CW108:CY108)</f>
        <v/>
      </c>
      <c r="AJ12" s="392">
        <f>SUM(Model!CZ108:DB108)</f>
        <v/>
      </c>
      <c r="AK12" s="392">
        <f>SUM(Model!DC108:DE108)</f>
        <v/>
      </c>
    </row>
    <row r="13" ht="15" customFormat="1" customHeight="1" s="380">
      <c r="A13" s="456" t="inlineStr">
        <is>
          <t>Gross Profit</t>
        </is>
      </c>
      <c r="B13" s="412">
        <f>SUM(Model!B109:D109)</f>
        <v/>
      </c>
      <c r="C13" s="412">
        <f>SUM(Model!E109:G109)</f>
        <v/>
      </c>
      <c r="D13" s="412">
        <f>SUM(Model!H109:J109)</f>
        <v/>
      </c>
      <c r="E13" s="412">
        <f>SUM(Model!K109:M109)</f>
        <v/>
      </c>
      <c r="F13" s="412">
        <f>SUM(Model!N109:P109)</f>
        <v/>
      </c>
      <c r="G13" s="412">
        <f>SUM(Model!Q109:S109)</f>
        <v/>
      </c>
      <c r="H13" s="412">
        <f>SUM(Model!T109:V109)</f>
        <v/>
      </c>
      <c r="I13" s="412">
        <f>SUM(Model!W109:Y109)</f>
        <v/>
      </c>
      <c r="J13" s="412">
        <f>SUM(Model!Z109:AB109)</f>
        <v/>
      </c>
      <c r="K13" s="412">
        <f>SUM(Model!AC109:AE109)</f>
        <v/>
      </c>
      <c r="L13" s="412">
        <f>SUM(Model!AF109:AH109)</f>
        <v/>
      </c>
      <c r="M13" s="412">
        <f>SUM(Model!AI109:AK109)</f>
        <v/>
      </c>
      <c r="N13" s="412">
        <f>SUM(Model!AL109:AN109)</f>
        <v/>
      </c>
      <c r="O13" s="412">
        <f>SUM(Model!AO109:AQ109)</f>
        <v/>
      </c>
      <c r="P13" s="412">
        <f>SUM(Model!AR109:AT109)</f>
        <v/>
      </c>
      <c r="Q13" s="412">
        <f>SUM(Model!AU109:AW109)</f>
        <v/>
      </c>
      <c r="R13" s="412">
        <f>SUM(Model!AX109:AZ109)</f>
        <v/>
      </c>
      <c r="S13" s="412">
        <f>SUM(Model!BA109:BC109)</f>
        <v/>
      </c>
      <c r="T13" s="412">
        <f>SUM(Model!BD109:BF109)</f>
        <v/>
      </c>
      <c r="U13" s="412">
        <f>SUM(Model!BG109:BI109)</f>
        <v/>
      </c>
      <c r="V13" s="412">
        <f>SUM(Model!BJ109:BL109)</f>
        <v/>
      </c>
      <c r="W13" s="412">
        <f>SUM(Model!BM109:BO109)</f>
        <v/>
      </c>
      <c r="X13" s="412">
        <f>SUM(Model!BP109:BR109)</f>
        <v/>
      </c>
      <c r="Y13" s="412">
        <f>SUM(Model!BS109:BU109)</f>
        <v/>
      </c>
      <c r="Z13" s="412">
        <f>SUM(Model!BV109:BX109)</f>
        <v/>
      </c>
      <c r="AA13" s="412">
        <f>SUM(Model!BY109:CA109)</f>
        <v/>
      </c>
      <c r="AB13" s="412">
        <f>SUM(Model!CB109:CD109)</f>
        <v/>
      </c>
      <c r="AC13" s="412">
        <f>SUM(Model!CE109:CG109)</f>
        <v/>
      </c>
      <c r="AD13" s="412">
        <f>SUM(Model!CH109:CJ109)</f>
        <v/>
      </c>
      <c r="AE13" s="412">
        <f>SUM(Model!CK109:CM109)</f>
        <v/>
      </c>
      <c r="AF13" s="412">
        <f>SUM(Model!CN109:CP109)</f>
        <v/>
      </c>
      <c r="AG13" s="412">
        <f>SUM(Model!CQ109:CS109)</f>
        <v/>
      </c>
      <c r="AH13" s="412">
        <f>SUM(Model!CT109:CV109)</f>
        <v/>
      </c>
      <c r="AI13" s="412">
        <f>SUM(Model!CW109:CY109)</f>
        <v/>
      </c>
      <c r="AJ13" s="412">
        <f>SUM(Model!CZ109:DB109)</f>
        <v/>
      </c>
      <c r="AK13" s="412">
        <f>SUM(Model!DC109:DE109)</f>
        <v/>
      </c>
    </row>
    <row r="14" ht="15" customFormat="1" customHeight="1" s="468">
      <c r="A14" s="397" t="inlineStr">
        <is>
          <t>GC Gross Profit Margin %</t>
        </is>
      </c>
      <c r="B14" s="469">
        <f>IFERROR(B13/B7,0)</f>
        <v/>
      </c>
      <c r="C14" s="469">
        <f>IFERROR(C13/C7,0)</f>
        <v/>
      </c>
      <c r="D14" s="469">
        <f>IFERROR(D13/D7,0)</f>
        <v/>
      </c>
      <c r="E14" s="469">
        <f>IFERROR(E13/E7,0)</f>
        <v/>
      </c>
      <c r="F14" s="469">
        <f>IFERROR(F13/F7,0)</f>
        <v/>
      </c>
      <c r="G14" s="469">
        <f>IFERROR(G13/G7,0)</f>
        <v/>
      </c>
      <c r="H14" s="469">
        <f>IFERROR(H13/H7,0)</f>
        <v/>
      </c>
      <c r="I14" s="469">
        <f>IFERROR(I13/I7,0)</f>
        <v/>
      </c>
      <c r="J14" s="469">
        <f>IFERROR(J13/J7,0)</f>
        <v/>
      </c>
      <c r="K14" s="469">
        <f>IFERROR(K13/K7,0)</f>
        <v/>
      </c>
      <c r="L14" s="469">
        <f>IFERROR(L13/L7,0)</f>
        <v/>
      </c>
      <c r="M14" s="469">
        <f>IFERROR(M13/M7,0)</f>
        <v/>
      </c>
      <c r="N14" s="469">
        <f>IFERROR(N13/N7,0)</f>
        <v/>
      </c>
      <c r="O14" s="469">
        <f>IFERROR(O13/O7,0)</f>
        <v/>
      </c>
      <c r="P14" s="469">
        <f>IFERROR(P13/P7,0)</f>
        <v/>
      </c>
      <c r="Q14" s="469">
        <f>IFERROR(Q13/Q7,0)</f>
        <v/>
      </c>
      <c r="R14" s="469">
        <f>IFERROR(R13/R7,0)</f>
        <v/>
      </c>
      <c r="S14" s="469">
        <f>IFERROR(S13/S7,0)</f>
        <v/>
      </c>
      <c r="T14" s="469">
        <f>IFERROR(T13/T7,0)</f>
        <v/>
      </c>
      <c r="U14" s="469">
        <f>IFERROR(U13/U7,0)</f>
        <v/>
      </c>
      <c r="V14" s="469">
        <f>IFERROR(V13/V7,0)</f>
        <v/>
      </c>
      <c r="W14" s="469">
        <f>IFERROR(W13/W7,0)</f>
        <v/>
      </c>
      <c r="X14" s="469">
        <f>IFERROR(X13/X7,0)</f>
        <v/>
      </c>
      <c r="Y14" s="469">
        <f>IFERROR(Y13/Y7,0)</f>
        <v/>
      </c>
      <c r="Z14" s="469">
        <f>IFERROR(Z13/Z7,0)</f>
        <v/>
      </c>
      <c r="AA14" s="469">
        <f>IFERROR(AA13/AA7,0)</f>
        <v/>
      </c>
      <c r="AB14" s="469">
        <f>IFERROR(AB13/AB7,0)</f>
        <v/>
      </c>
      <c r="AC14" s="469">
        <f>IFERROR(AC13/AC7,0)</f>
        <v/>
      </c>
      <c r="AD14" s="469">
        <f>IFERROR(AD13/AD7,0)</f>
        <v/>
      </c>
      <c r="AE14" s="469">
        <f>IFERROR(AE13/AE7,0)</f>
        <v/>
      </c>
      <c r="AF14" s="469">
        <f>IFERROR(AF13/AF7,0)</f>
        <v/>
      </c>
      <c r="AG14" s="469">
        <f>IFERROR(AG13/AG7,0)</f>
        <v/>
      </c>
      <c r="AH14" s="469">
        <f>IFERROR(AH13/AH7,0)</f>
        <v/>
      </c>
      <c r="AI14" s="469">
        <f>IFERROR(AI13/AI7,0)</f>
        <v/>
      </c>
      <c r="AJ14" s="469">
        <f>IFERROR(AJ13/AJ7,0)</f>
        <v/>
      </c>
      <c r="AK14" s="469">
        <f>IFERROR(AK13/AK7,0)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  <c r="K15" s="441" t="n"/>
      <c r="L15" s="441" t="n"/>
      <c r="M15" s="441" t="n"/>
      <c r="N15" s="441" t="n"/>
      <c r="O15" s="441" t="n"/>
      <c r="P15" s="441" t="n"/>
      <c r="Q15" s="441" t="n"/>
      <c r="R15" s="441" t="n"/>
      <c r="S15" s="441" t="n"/>
      <c r="T15" s="441" t="n"/>
      <c r="U15" s="441" t="n"/>
      <c r="V15" s="441" t="n"/>
      <c r="W15" s="441" t="n"/>
      <c r="X15" s="441" t="n"/>
      <c r="Y15" s="441" t="n"/>
      <c r="Z15" s="441" t="n"/>
      <c r="AA15" s="441" t="n"/>
      <c r="AB15" s="441" t="n"/>
      <c r="AC15" s="441" t="n"/>
      <c r="AD15" s="441" t="n"/>
      <c r="AE15" s="441" t="n"/>
      <c r="AF15" s="441" t="n"/>
      <c r="AG15" s="441" t="n"/>
      <c r="AH15" s="441" t="n"/>
      <c r="AI15" s="441" t="n"/>
      <c r="AJ15" s="441" t="n"/>
      <c r="AK15" s="441" t="n"/>
    </row>
    <row r="16" ht="15" customFormat="1" customHeight="1" s="380">
      <c r="A16" s="402" t="inlineStr">
        <is>
          <t>GC Costs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</row>
    <row r="17" ht="15" customFormat="1" customHeight="1" s="380">
      <c r="A17" s="397" t="inlineStr">
        <is>
          <t xml:space="preserve">  GC Personnel</t>
        </is>
      </c>
      <c r="B17" s="392">
        <f>SUM(Model!B113:D114)+SUM(Model!B116:D120)</f>
        <v/>
      </c>
      <c r="C17" s="392">
        <f>SUM(Model!E113:G114)+SUM(Model!E116:G120)</f>
        <v/>
      </c>
      <c r="D17" s="392">
        <f>SUM(Model!H113:J114)+SUM(Model!H116:J120)</f>
        <v/>
      </c>
      <c r="E17" s="392">
        <f>SUM(Model!K113:M114)+SUM(Model!K116:M120)</f>
        <v/>
      </c>
      <c r="F17" s="392">
        <f>SUM(Model!N113:P114)+SUM(Model!N116:P120)</f>
        <v/>
      </c>
      <c r="G17" s="392">
        <f>SUM(Model!Q113:S114)+SUM(Model!Q116:S120)</f>
        <v/>
      </c>
      <c r="H17" s="392">
        <f>SUM(Model!T113:V114)+SUM(Model!T116:V120)</f>
        <v/>
      </c>
      <c r="I17" s="392">
        <f>SUM(Model!W113:Y114)+SUM(Model!W116:Y120)</f>
        <v/>
      </c>
      <c r="J17" s="392">
        <f>SUM(Model!Z113:AB114)+SUM(Model!Z116:AB120)</f>
        <v/>
      </c>
      <c r="K17" s="392">
        <f>SUM(Model!AC113:AE114)+SUM(Model!AC116:AE120)</f>
        <v/>
      </c>
      <c r="L17" s="392">
        <f>SUM(Model!AF113:AH114)+SUM(Model!AF116:AH120)</f>
        <v/>
      </c>
      <c r="M17" s="392">
        <f>SUM(Model!AI113:AK114)+SUM(Model!AI116:AK120)</f>
        <v/>
      </c>
      <c r="N17" s="392">
        <f>SUM(Model!AL113:AN114)+SUM(Model!AL116:AN120)</f>
        <v/>
      </c>
      <c r="O17" s="392">
        <f>SUM(Model!AO113:AQ114)+SUM(Model!AO116:AQ120)</f>
        <v/>
      </c>
      <c r="P17" s="392">
        <f>SUM(Model!AR113:AT114)+SUM(Model!AR116:AT120)</f>
        <v/>
      </c>
      <c r="Q17" s="392">
        <f>SUM(Model!AU113:AW114)+SUM(Model!AU116:AW120)</f>
        <v/>
      </c>
      <c r="R17" s="392">
        <f>SUM(Model!AX113:AZ114)+SUM(Model!AX116:AZ120)</f>
        <v/>
      </c>
      <c r="S17" s="392">
        <f>SUM(Model!BA113:BC114)+SUM(Model!BA116:BC120)</f>
        <v/>
      </c>
      <c r="T17" s="392">
        <f>SUM(Model!BD113:BF114)+SUM(Model!BD116:BF120)</f>
        <v/>
      </c>
      <c r="U17" s="392">
        <f>SUM(Model!BG113:BI114)+SUM(Model!BG116:BI120)</f>
        <v/>
      </c>
      <c r="V17" s="392">
        <f>SUM(Model!BJ113:BL114)+SUM(Model!BJ116:BL120)</f>
        <v/>
      </c>
      <c r="W17" s="392">
        <f>SUM(Model!BM113:BO114)+SUM(Model!BM116:BO120)</f>
        <v/>
      </c>
      <c r="X17" s="392">
        <f>SUM(Model!BP113:BR114)+SUM(Model!BP116:BR120)</f>
        <v/>
      </c>
      <c r="Y17" s="392">
        <f>SUM(Model!BS113:BU114)+SUM(Model!BS116:BU120)</f>
        <v/>
      </c>
      <c r="Z17" s="392">
        <f>SUM(Model!BV113:BX114)+SUM(Model!BV116:BX120)</f>
        <v/>
      </c>
      <c r="AA17" s="392">
        <f>SUM(Model!BY113:CA114)+SUM(Model!BY116:CA120)</f>
        <v/>
      </c>
      <c r="AB17" s="392">
        <f>SUM(Model!CB113:CD114)+SUM(Model!CB116:CD120)</f>
        <v/>
      </c>
      <c r="AC17" s="392">
        <f>SUM(Model!CE113:CG114)+SUM(Model!CE116:CG120)</f>
        <v/>
      </c>
      <c r="AD17" s="392">
        <f>SUM(Model!CH113:CJ114)+SUM(Model!CH116:CJ120)</f>
        <v/>
      </c>
      <c r="AE17" s="392">
        <f>SUM(Model!CK113:CM114)+SUM(Model!CK116:CM120)</f>
        <v/>
      </c>
      <c r="AF17" s="392">
        <f>SUM(Model!CN113:CP114)+SUM(Model!CN116:CP120)</f>
        <v/>
      </c>
      <c r="AG17" s="392">
        <f>SUM(Model!CQ113:CS114)+SUM(Model!CQ116:CS120)</f>
        <v/>
      </c>
      <c r="AH17" s="392">
        <f>SUM(Model!CT113:CV114)+SUM(Model!CT116:CV120)</f>
        <v/>
      </c>
      <c r="AI17" s="392">
        <f>SUM(Model!CW113:CY114)+SUM(Model!CW116:CY120)</f>
        <v/>
      </c>
      <c r="AJ17" s="392">
        <f>SUM(Model!CZ113:DB114)+SUM(Model!CZ116:DB120)</f>
        <v/>
      </c>
      <c r="AK17" s="392">
        <f>SUM(Model!DC113:DE114)+SUM(Model!DC116:DE120)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SUM(Model!B121:D143)+SUM(Model!B145:D145)</f>
        <v/>
      </c>
      <c r="C18" s="392">
        <f>SUM(Model!E121:G143)+SUM(Model!E145:G145)</f>
        <v/>
      </c>
      <c r="D18" s="392">
        <f>SUM(Model!H121:J143)+SUM(Model!H145:J145)</f>
        <v/>
      </c>
      <c r="E18" s="392">
        <f>SUM(Model!K121:M143)+SUM(Model!K145:M145)</f>
        <v/>
      </c>
      <c r="F18" s="392">
        <f>SUM(Model!N121:P143)+SUM(Model!N145:P145)</f>
        <v/>
      </c>
      <c r="G18" s="392">
        <f>SUM(Model!Q121:S143)+SUM(Model!Q145:S145)</f>
        <v/>
      </c>
      <c r="H18" s="392">
        <f>SUM(Model!T121:V143)+SUM(Model!T145:V145)</f>
        <v/>
      </c>
      <c r="I18" s="392">
        <f>SUM(Model!W121:Y143)+SUM(Model!W145:Y145)</f>
        <v/>
      </c>
      <c r="J18" s="392">
        <f>SUM(Model!Z121:AB143)+SUM(Model!Z145:AB145)</f>
        <v/>
      </c>
      <c r="K18" s="392">
        <f>SUM(Model!AC121:AE143)+SUM(Model!AC145:AE145)</f>
        <v/>
      </c>
      <c r="L18" s="392">
        <f>SUM(Model!AF121:AH143)+SUM(Model!AF145:AH145)</f>
        <v/>
      </c>
      <c r="M18" s="392">
        <f>SUM(Model!AI121:AK143)+SUM(Model!AI145:AK145)</f>
        <v/>
      </c>
      <c r="N18" s="392">
        <f>SUM(Model!AL121:AN143)+SUM(Model!AL145:AN145)</f>
        <v/>
      </c>
      <c r="O18" s="392">
        <f>SUM(Model!AO121:AQ143)+SUM(Model!AO145:AQ145)</f>
        <v/>
      </c>
      <c r="P18" s="392">
        <f>SUM(Model!AR121:AT143)+SUM(Model!AR145:AT145)</f>
        <v/>
      </c>
      <c r="Q18" s="392">
        <f>SUM(Model!AU121:AW143)+SUM(Model!AU145:AW145)</f>
        <v/>
      </c>
      <c r="R18" s="392">
        <f>SUM(Model!AX121:AZ143)+SUM(Model!AX145:AZ145)</f>
        <v/>
      </c>
      <c r="S18" s="392">
        <f>SUM(Model!BA121:BC143)+SUM(Model!BA145:BC145)</f>
        <v/>
      </c>
      <c r="T18" s="392">
        <f>SUM(Model!BD121:BF143)+SUM(Model!BD145:BF145)</f>
        <v/>
      </c>
      <c r="U18" s="392">
        <f>SUM(Model!BG121:BI143)+SUM(Model!BG145:BI145)</f>
        <v/>
      </c>
      <c r="V18" s="392">
        <f>SUM(Model!BJ121:BL143)+SUM(Model!BJ145:BL145)</f>
        <v/>
      </c>
      <c r="W18" s="392">
        <f>SUM(Model!BM121:BO143)+SUM(Model!BM145:BO145)</f>
        <v/>
      </c>
      <c r="X18" s="392">
        <f>SUM(Model!BP121:BR143)+SUM(Model!BP145:BR145)</f>
        <v/>
      </c>
      <c r="Y18" s="392">
        <f>SUM(Model!BS121:BU143)+SUM(Model!BS145:BU145)</f>
        <v/>
      </c>
      <c r="Z18" s="392">
        <f>SUM(Model!BV121:BX143)+SUM(Model!BV145:BX145)</f>
        <v/>
      </c>
      <c r="AA18" s="392">
        <f>SUM(Model!BY121:CA143)+SUM(Model!BY145:CA145)</f>
        <v/>
      </c>
      <c r="AB18" s="392">
        <f>SUM(Model!CB121:CD143)+SUM(Model!CB145:CD145)</f>
        <v/>
      </c>
      <c r="AC18" s="392">
        <f>SUM(Model!CE121:CG143)+SUM(Model!CE145:CG145)</f>
        <v/>
      </c>
      <c r="AD18" s="392">
        <f>SUM(Model!CH121:CJ143)+SUM(Model!CH145:CJ145)</f>
        <v/>
      </c>
      <c r="AE18" s="392">
        <f>SUM(Model!CK121:CM143)+SUM(Model!CK145:CM145)</f>
        <v/>
      </c>
      <c r="AF18" s="392">
        <f>SUM(Model!CN121:CP143)+SUM(Model!CN145:CP145)</f>
        <v/>
      </c>
      <c r="AG18" s="392">
        <f>SUM(Model!CQ121:CS143)+SUM(Model!CQ145:CS145)</f>
        <v/>
      </c>
      <c r="AH18" s="392">
        <f>SUM(Model!CT121:CV143)+SUM(Model!CT145:CV145)</f>
        <v/>
      </c>
      <c r="AI18" s="392">
        <f>SUM(Model!CW121:CY143)+SUM(Model!CW145:CY145)</f>
        <v/>
      </c>
      <c r="AJ18" s="392">
        <f>SUM(Model!CZ121:DB143)+SUM(Model!CZ145:DB145)</f>
        <v/>
      </c>
      <c r="AK18" s="392">
        <f>SUM(Model!DC121:DE143)+SUM(Model!DC145:DE145)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SUM(Model!B115:D115)</f>
        <v/>
      </c>
      <c r="C19" s="392">
        <f>SUM(Model!E115:G115)</f>
        <v/>
      </c>
      <c r="D19" s="392">
        <f>SUM(Model!H115:J115)</f>
        <v/>
      </c>
      <c r="E19" s="392">
        <f>SUM(Model!K115:M115)</f>
        <v/>
      </c>
      <c r="F19" s="392">
        <f>SUM(Model!N115:P115)</f>
        <v/>
      </c>
      <c r="G19" s="392">
        <f>SUM(Model!Q115:S115)</f>
        <v/>
      </c>
      <c r="H19" s="392">
        <f>SUM(Model!T115:V115)</f>
        <v/>
      </c>
      <c r="I19" s="392">
        <f>SUM(Model!W115:Y115)</f>
        <v/>
      </c>
      <c r="J19" s="392">
        <f>SUM(Model!Z115:AB115)</f>
        <v/>
      </c>
      <c r="K19" s="392">
        <f>SUM(Model!AC115:AE115)</f>
        <v/>
      </c>
      <c r="L19" s="392">
        <f>SUM(Model!AF115:AH115)</f>
        <v/>
      </c>
      <c r="M19" s="392">
        <f>SUM(Model!AI115:AK115)</f>
        <v/>
      </c>
      <c r="N19" s="392">
        <f>SUM(Model!AL115:AN115)</f>
        <v/>
      </c>
      <c r="O19" s="392">
        <f>SUM(Model!AO115:AQ115)</f>
        <v/>
      </c>
      <c r="P19" s="392">
        <f>SUM(Model!AR115:AT115)</f>
        <v/>
      </c>
      <c r="Q19" s="392">
        <f>SUM(Model!AU115:AW115)</f>
        <v/>
      </c>
      <c r="R19" s="392">
        <f>SUM(Model!AX115:AZ115)</f>
        <v/>
      </c>
      <c r="S19" s="392">
        <f>SUM(Model!BA115:BC115)</f>
        <v/>
      </c>
      <c r="T19" s="392">
        <f>SUM(Model!BD115:BF115)</f>
        <v/>
      </c>
      <c r="U19" s="392">
        <f>SUM(Model!BG115:BI115)</f>
        <v/>
      </c>
      <c r="V19" s="392">
        <f>SUM(Model!BJ115:BL115)</f>
        <v/>
      </c>
      <c r="W19" s="392">
        <f>SUM(Model!BM115:BO115)</f>
        <v/>
      </c>
      <c r="X19" s="392">
        <f>SUM(Model!BP115:BR115)</f>
        <v/>
      </c>
      <c r="Y19" s="392">
        <f>SUM(Model!BS115:BU115)</f>
        <v/>
      </c>
      <c r="Z19" s="392">
        <f>SUM(Model!BV115:BX115)</f>
        <v/>
      </c>
      <c r="AA19" s="392">
        <f>SUM(Model!BY115:CA115)</f>
        <v/>
      </c>
      <c r="AB19" s="392">
        <f>SUM(Model!CB115:CD115)</f>
        <v/>
      </c>
      <c r="AC19" s="392">
        <f>SUM(Model!CE115:CG115)</f>
        <v/>
      </c>
      <c r="AD19" s="392">
        <f>SUM(Model!CH115:CJ115)</f>
        <v/>
      </c>
      <c r="AE19" s="392">
        <f>SUM(Model!CK115:CM115)</f>
        <v/>
      </c>
      <c r="AF19" s="392">
        <f>SUM(Model!CN115:CP115)</f>
        <v/>
      </c>
      <c r="AG19" s="392">
        <f>SUM(Model!CQ115:CS115)</f>
        <v/>
      </c>
      <c r="AH19" s="392">
        <f>SUM(Model!CT115:CV115)</f>
        <v/>
      </c>
      <c r="AI19" s="392">
        <f>SUM(Model!CW115:CY115)</f>
        <v/>
      </c>
      <c r="AJ19" s="392">
        <f>SUM(Model!CZ115:DB115)</f>
        <v/>
      </c>
      <c r="AK19" s="392">
        <f>SUM(Model!DC115:DE115)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SUM(Model!B144:D144)</f>
        <v/>
      </c>
      <c r="C20" s="392">
        <f>SUM(Model!E144:G144)</f>
        <v/>
      </c>
      <c r="D20" s="392">
        <f>SUM(Model!H144:J144)</f>
        <v/>
      </c>
      <c r="E20" s="392">
        <f>SUM(Model!K144:M144)</f>
        <v/>
      </c>
      <c r="F20" s="392">
        <f>SUM(Model!N144:P144)</f>
        <v/>
      </c>
      <c r="G20" s="392">
        <f>SUM(Model!Q144:S144)</f>
        <v/>
      </c>
      <c r="H20" s="392">
        <f>SUM(Model!T144:V144)</f>
        <v/>
      </c>
      <c r="I20" s="392">
        <f>SUM(Model!W144:Y144)</f>
        <v/>
      </c>
      <c r="J20" s="392">
        <f>SUM(Model!Z144:AB144)</f>
        <v/>
      </c>
      <c r="K20" s="392">
        <f>SUM(Model!AC144:AE144)</f>
        <v/>
      </c>
      <c r="L20" s="392">
        <f>SUM(Model!AF144:AH144)</f>
        <v/>
      </c>
      <c r="M20" s="392">
        <f>SUM(Model!AI144:AK144)</f>
        <v/>
      </c>
      <c r="N20" s="392">
        <f>SUM(Model!AL144:AN144)</f>
        <v/>
      </c>
      <c r="O20" s="392">
        <f>SUM(Model!AO144:AQ144)</f>
        <v/>
      </c>
      <c r="P20" s="392">
        <f>SUM(Model!AR144:AT144)</f>
        <v/>
      </c>
      <c r="Q20" s="392">
        <f>SUM(Model!AU144:AW144)</f>
        <v/>
      </c>
      <c r="R20" s="392">
        <f>SUM(Model!AX144:AZ144)</f>
        <v/>
      </c>
      <c r="S20" s="392">
        <f>SUM(Model!BA144:BC144)</f>
        <v/>
      </c>
      <c r="T20" s="392">
        <f>SUM(Model!BD144:BF144)</f>
        <v/>
      </c>
      <c r="U20" s="392">
        <f>SUM(Model!BG144:BI144)</f>
        <v/>
      </c>
      <c r="V20" s="392">
        <f>SUM(Model!BJ144:BL144)</f>
        <v/>
      </c>
      <c r="W20" s="392">
        <f>SUM(Model!BM144:BO144)</f>
        <v/>
      </c>
      <c r="X20" s="392">
        <f>SUM(Model!BP144:BR144)</f>
        <v/>
      </c>
      <c r="Y20" s="392">
        <f>SUM(Model!BS144:BU144)</f>
        <v/>
      </c>
      <c r="Z20" s="392">
        <f>SUM(Model!BV144:BX144)</f>
        <v/>
      </c>
      <c r="AA20" s="392">
        <f>SUM(Model!BY144:CA144)</f>
        <v/>
      </c>
      <c r="AB20" s="392">
        <f>SUM(Model!CB144:CD144)</f>
        <v/>
      </c>
      <c r="AC20" s="392">
        <f>SUM(Model!CE144:CG144)</f>
        <v/>
      </c>
      <c r="AD20" s="392">
        <f>SUM(Model!CH144:CJ144)</f>
        <v/>
      </c>
      <c r="AE20" s="392">
        <f>SUM(Model!CK144:CM144)</f>
        <v/>
      </c>
      <c r="AF20" s="392">
        <f>SUM(Model!CN144:CP144)</f>
        <v/>
      </c>
      <c r="AG20" s="392">
        <f>SUM(Model!CQ144:CS144)</f>
        <v/>
      </c>
      <c r="AH20" s="392">
        <f>SUM(Model!CT144:CV144)</f>
        <v/>
      </c>
      <c r="AI20" s="392">
        <f>SUM(Model!CW144:CY144)</f>
        <v/>
      </c>
      <c r="AJ20" s="392">
        <f>SUM(Model!CZ144:DB144)</f>
        <v/>
      </c>
      <c r="AK20" s="392">
        <f>SUM(Model!DC144:DE144)</f>
        <v/>
      </c>
    </row>
    <row r="21" ht="15" customFormat="1" customHeight="1" s="380">
      <c r="A21" s="466" t="inlineStr">
        <is>
          <t>Total GC Costs</t>
        </is>
      </c>
      <c r="B21" s="467">
        <f>SUM(Model!B146:D146)</f>
        <v/>
      </c>
      <c r="C21" s="467">
        <f>SUM(Model!E146:G146)</f>
        <v/>
      </c>
      <c r="D21" s="467">
        <f>SUM(Model!H146:J146)</f>
        <v/>
      </c>
      <c r="E21" s="467">
        <f>SUM(Model!K146:M146)</f>
        <v/>
      </c>
      <c r="F21" s="467">
        <f>SUM(Model!N146:P146)</f>
        <v/>
      </c>
      <c r="G21" s="467">
        <f>SUM(Model!Q146:S146)</f>
        <v/>
      </c>
      <c r="H21" s="467">
        <f>SUM(Model!T146:V146)</f>
        <v/>
      </c>
      <c r="I21" s="467">
        <f>SUM(Model!W146:Y146)</f>
        <v/>
      </c>
      <c r="J21" s="467">
        <f>SUM(Model!Z146:AB146)</f>
        <v/>
      </c>
      <c r="K21" s="467">
        <f>SUM(Model!AC146:AE146)</f>
        <v/>
      </c>
      <c r="L21" s="467">
        <f>SUM(Model!AF146:AH146)</f>
        <v/>
      </c>
      <c r="M21" s="467">
        <f>SUM(Model!AI146:AK146)</f>
        <v/>
      </c>
      <c r="N21" s="467">
        <f>SUM(Model!AL146:AN146)</f>
        <v/>
      </c>
      <c r="O21" s="467">
        <f>SUM(Model!AO146:AQ146)</f>
        <v/>
      </c>
      <c r="P21" s="467">
        <f>SUM(Model!AR146:AT146)</f>
        <v/>
      </c>
      <c r="Q21" s="467">
        <f>SUM(Model!AU146:AW146)</f>
        <v/>
      </c>
      <c r="R21" s="467">
        <f>SUM(Model!AX146:AZ146)</f>
        <v/>
      </c>
      <c r="S21" s="467">
        <f>SUM(Model!BA146:BC146)</f>
        <v/>
      </c>
      <c r="T21" s="467">
        <f>SUM(Model!BD146:BF146)</f>
        <v/>
      </c>
      <c r="U21" s="467">
        <f>SUM(Model!BG146:BI146)</f>
        <v/>
      </c>
      <c r="V21" s="467">
        <f>SUM(Model!BJ146:BL146)</f>
        <v/>
      </c>
      <c r="W21" s="467">
        <f>SUM(Model!BM146:BO146)</f>
        <v/>
      </c>
      <c r="X21" s="467">
        <f>SUM(Model!BP146:BR146)</f>
        <v/>
      </c>
      <c r="Y21" s="467">
        <f>SUM(Model!BS146:BU146)</f>
        <v/>
      </c>
      <c r="Z21" s="467">
        <f>SUM(Model!BV146:BX146)</f>
        <v/>
      </c>
      <c r="AA21" s="467">
        <f>SUM(Model!BY146:CA146)</f>
        <v/>
      </c>
      <c r="AB21" s="467">
        <f>SUM(Model!CB146:CD146)</f>
        <v/>
      </c>
      <c r="AC21" s="467">
        <f>SUM(Model!CE146:CG146)</f>
        <v/>
      </c>
      <c r="AD21" s="467">
        <f>SUM(Model!CH146:CJ146)</f>
        <v/>
      </c>
      <c r="AE21" s="467">
        <f>SUM(Model!CK146:CM146)</f>
        <v/>
      </c>
      <c r="AF21" s="467">
        <f>SUM(Model!CN146:CP146)</f>
        <v/>
      </c>
      <c r="AG21" s="467">
        <f>SUM(Model!CQ146:CS146)</f>
        <v/>
      </c>
      <c r="AH21" s="467">
        <f>SUM(Model!CT146:CV146)</f>
        <v/>
      </c>
      <c r="AI21" s="467">
        <f>SUM(Model!CW146:CY146)</f>
        <v/>
      </c>
      <c r="AJ21" s="467">
        <f>SUM(Model!CZ146:DB146)</f>
        <v/>
      </c>
      <c r="AK21" s="467">
        <f>SUM(Model!DC146:DE146)</f>
        <v/>
      </c>
    </row>
    <row r="22" ht="15" customFormat="1" customHeight="1" s="380">
      <c r="A22" s="466" t="inlineStr">
        <is>
          <t>GC Net Income</t>
        </is>
      </c>
      <c r="B22" s="470">
        <f>SUM(Model!B147:D147)</f>
        <v/>
      </c>
      <c r="C22" s="470">
        <f>SUM(Model!E147:G147)</f>
        <v/>
      </c>
      <c r="D22" s="470">
        <f>SUM(Model!H147:J147)</f>
        <v/>
      </c>
      <c r="E22" s="470">
        <f>SUM(Model!K147:M147)</f>
        <v/>
      </c>
      <c r="F22" s="470">
        <f>SUM(Model!N147:P147)</f>
        <v/>
      </c>
      <c r="G22" s="470">
        <f>SUM(Model!Q147:S147)</f>
        <v/>
      </c>
      <c r="H22" s="470">
        <f>SUM(Model!T147:V147)</f>
        <v/>
      </c>
      <c r="I22" s="470">
        <f>SUM(Model!W147:Y147)</f>
        <v/>
      </c>
      <c r="J22" s="470">
        <f>SUM(Model!Z147:AB147)</f>
        <v/>
      </c>
      <c r="K22" s="470">
        <f>SUM(Model!AC147:AE147)</f>
        <v/>
      </c>
      <c r="L22" s="470">
        <f>SUM(Model!AF147:AH147)</f>
        <v/>
      </c>
      <c r="M22" s="470">
        <f>SUM(Model!AI147:AK147)</f>
        <v/>
      </c>
      <c r="N22" s="470">
        <f>SUM(Model!AL147:AN147)</f>
        <v/>
      </c>
      <c r="O22" s="470">
        <f>SUM(Model!AO147:AQ147)</f>
        <v/>
      </c>
      <c r="P22" s="470">
        <f>SUM(Model!AR147:AT147)</f>
        <v/>
      </c>
      <c r="Q22" s="470">
        <f>SUM(Model!AU147:AW147)</f>
        <v/>
      </c>
      <c r="R22" s="470">
        <f>SUM(Model!AX147:AZ147)</f>
        <v/>
      </c>
      <c r="S22" s="470">
        <f>SUM(Model!BA147:BC147)</f>
        <v/>
      </c>
      <c r="T22" s="470">
        <f>SUM(Model!BD147:BF147)</f>
        <v/>
      </c>
      <c r="U22" s="470">
        <f>SUM(Model!BG147:BI147)</f>
        <v/>
      </c>
      <c r="V22" s="470">
        <f>SUM(Model!BJ147:BL147)</f>
        <v/>
      </c>
      <c r="W22" s="470">
        <f>SUM(Model!BM147:BO147)</f>
        <v/>
      </c>
      <c r="X22" s="470">
        <f>SUM(Model!BP147:BR147)</f>
        <v/>
      </c>
      <c r="Y22" s="470">
        <f>SUM(Model!BS147:BU147)</f>
        <v/>
      </c>
      <c r="Z22" s="470">
        <f>SUM(Model!BV147:BX147)</f>
        <v/>
      </c>
      <c r="AA22" s="470">
        <f>SUM(Model!BY147:CA147)</f>
        <v/>
      </c>
      <c r="AB22" s="470">
        <f>SUM(Model!CB147:CD147)</f>
        <v/>
      </c>
      <c r="AC22" s="470">
        <f>SUM(Model!CE147:CG147)</f>
        <v/>
      </c>
      <c r="AD22" s="470">
        <f>SUM(Model!CH147:CJ147)</f>
        <v/>
      </c>
      <c r="AE22" s="470">
        <f>SUM(Model!CK147:CM147)</f>
        <v/>
      </c>
      <c r="AF22" s="470">
        <f>SUM(Model!CN147:CP147)</f>
        <v/>
      </c>
      <c r="AG22" s="470">
        <f>SUM(Model!CQ147:CS147)</f>
        <v/>
      </c>
      <c r="AH22" s="470">
        <f>SUM(Model!CT147:CV147)</f>
        <v/>
      </c>
      <c r="AI22" s="470">
        <f>SUM(Model!CW147:CY147)</f>
        <v/>
      </c>
      <c r="AJ22" s="470">
        <f>SUM(Model!CZ147:DB147)</f>
        <v/>
      </c>
      <c r="AK22" s="470">
        <f>SUM(Model!DC147:DE147)</f>
        <v/>
      </c>
    </row>
    <row r="23" ht="15" customFormat="1" customHeight="1" s="380">
      <c r="A23" s="397" t="inlineStr">
        <is>
          <t>GC Net Profit Margin %</t>
        </is>
      </c>
      <c r="B23" s="469">
        <f>IFERROR(B22/B7,0)</f>
        <v/>
      </c>
      <c r="C23" s="469">
        <f>IFERROR(C22/C7,0)</f>
        <v/>
      </c>
      <c r="D23" s="469">
        <f>IFERROR(D22/D7,0)</f>
        <v/>
      </c>
      <c r="E23" s="469">
        <f>IFERROR(E22/E7,0)</f>
        <v/>
      </c>
      <c r="F23" s="469">
        <f>IFERROR(F22/F7,0)</f>
        <v/>
      </c>
      <c r="G23" s="469">
        <f>IFERROR(G22/G7,0)</f>
        <v/>
      </c>
      <c r="H23" s="469">
        <f>IFERROR(H22/H7,0)</f>
        <v/>
      </c>
      <c r="I23" s="469">
        <f>IFERROR(I22/I7,0)</f>
        <v/>
      </c>
      <c r="J23" s="469">
        <f>IFERROR(J22/J7,0)</f>
        <v/>
      </c>
      <c r="K23" s="469">
        <f>IFERROR(K22/K7,0)</f>
        <v/>
      </c>
      <c r="L23" s="469">
        <f>IFERROR(L22/L7,0)</f>
        <v/>
      </c>
      <c r="M23" s="469">
        <f>IFERROR(M22/M7,0)</f>
        <v/>
      </c>
      <c r="N23" s="469">
        <f>IFERROR(N22/N7,0)</f>
        <v/>
      </c>
      <c r="O23" s="469">
        <f>IFERROR(O22/O7,0)</f>
        <v/>
      </c>
      <c r="P23" s="469">
        <f>IFERROR(P22/P7,0)</f>
        <v/>
      </c>
      <c r="Q23" s="469">
        <f>IFERROR(Q22/Q7,0)</f>
        <v/>
      </c>
      <c r="R23" s="469">
        <f>IFERROR(R22/R7,0)</f>
        <v/>
      </c>
      <c r="S23" s="469">
        <f>IFERROR(S22/S7,0)</f>
        <v/>
      </c>
      <c r="T23" s="469">
        <f>IFERROR(T22/T7,0)</f>
        <v/>
      </c>
      <c r="U23" s="469">
        <f>IFERROR(U22/U7,0)</f>
        <v/>
      </c>
      <c r="V23" s="469">
        <f>IFERROR(V22/V7,0)</f>
        <v/>
      </c>
      <c r="W23" s="469">
        <f>IFERROR(W22/W7,0)</f>
        <v/>
      </c>
      <c r="X23" s="469">
        <f>IFERROR(X22/X7,0)</f>
        <v/>
      </c>
      <c r="Y23" s="469">
        <f>IFERROR(Y22/Y7,0)</f>
        <v/>
      </c>
      <c r="Z23" s="469">
        <f>IFERROR(Z22/Z7,0)</f>
        <v/>
      </c>
      <c r="AA23" s="469">
        <f>IFERROR(AA22/AA7,0)</f>
        <v/>
      </c>
      <c r="AB23" s="469">
        <f>IFERROR(AB22/AB7,0)</f>
        <v/>
      </c>
      <c r="AC23" s="469">
        <f>IFERROR(AC22/AC7,0)</f>
        <v/>
      </c>
      <c r="AD23" s="469">
        <f>IFERROR(AD22/AD7,0)</f>
        <v/>
      </c>
      <c r="AE23" s="469">
        <f>IFERROR(AE22/AE7,0)</f>
        <v/>
      </c>
      <c r="AF23" s="469">
        <f>IFERROR(AF22/AF7,0)</f>
        <v/>
      </c>
      <c r="AG23" s="469">
        <f>IFERROR(AG22/AG7,0)</f>
        <v/>
      </c>
      <c r="AH23" s="469">
        <f>IFERROR(AH22/AH7,0)</f>
        <v/>
      </c>
      <c r="AI23" s="469">
        <f>IFERROR(AI22/AI7,0)</f>
        <v/>
      </c>
      <c r="AJ23" s="469">
        <f>IFERROR(AJ22/AJ7,0)</f>
        <v/>
      </c>
      <c r="AK23" s="469">
        <f>IFERROR(AK22/AK7,0)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  <c r="K24" s="441" t="n"/>
      <c r="L24" s="441" t="n"/>
      <c r="M24" s="441" t="n"/>
      <c r="N24" s="441" t="n"/>
      <c r="O24" s="441" t="n"/>
      <c r="P24" s="441" t="n"/>
      <c r="Q24" s="441" t="n"/>
      <c r="R24" s="441" t="n"/>
      <c r="S24" s="441" t="n"/>
      <c r="T24" s="441" t="n"/>
      <c r="U24" s="441" t="n"/>
      <c r="V24" s="441" t="n"/>
      <c r="W24" s="441" t="n"/>
      <c r="X24" s="441" t="n"/>
      <c r="Y24" s="441" t="n"/>
      <c r="Z24" s="441" t="n"/>
      <c r="AA24" s="441" t="n"/>
      <c r="AB24" s="441" t="n"/>
      <c r="AC24" s="441" t="n"/>
      <c r="AD24" s="441" t="n"/>
      <c r="AE24" s="441" t="n"/>
      <c r="AF24" s="441" t="n"/>
      <c r="AG24" s="441" t="n"/>
      <c r="AH24" s="441" t="n"/>
      <c r="AI24" s="441" t="n"/>
      <c r="AJ24" s="441" t="n"/>
      <c r="AK24" s="441" t="n"/>
    </row>
    <row r="25" ht="15" customFormat="1" customHeight="1" s="380">
      <c r="A25" s="420" t="inlineStr">
        <is>
          <t>Six Peak Revenue</t>
        </is>
      </c>
      <c r="B25" s="392">
        <f>Model!B171+Model!C171+Model!D171</f>
        <v/>
      </c>
      <c r="C25" s="392">
        <f>Model!E171+Model!F171+Model!G171</f>
        <v/>
      </c>
      <c r="D25" s="392">
        <f>Model!H171+Model!I171+Model!J171</f>
        <v/>
      </c>
      <c r="E25" s="392">
        <f>Model!K171+Model!L171+Model!M171</f>
        <v/>
      </c>
      <c r="F25" s="392">
        <f>Model!N171+Model!O171+Model!P171</f>
        <v/>
      </c>
      <c r="G25" s="392">
        <f>Model!Q171+Model!R171+Model!S171</f>
        <v/>
      </c>
      <c r="H25" s="392">
        <f>Model!T171+Model!U171+Model!V171</f>
        <v/>
      </c>
      <c r="I25" s="392">
        <f>Model!W171+Model!X171+Model!Y171</f>
        <v/>
      </c>
      <c r="J25" s="392">
        <f>Model!Z171+Model!AA171+Model!AB171</f>
        <v/>
      </c>
      <c r="K25" s="392">
        <f>Model!AC171+Model!AD171+Model!AE171</f>
        <v/>
      </c>
      <c r="L25" s="392">
        <f>Model!AF171+Model!AG171+Model!AH171</f>
        <v/>
      </c>
      <c r="M25" s="392">
        <f>Model!AI171+Model!AJ171+Model!AK171</f>
        <v/>
      </c>
      <c r="N25" s="392">
        <f>Model!AL171+Model!AM171+Model!AN171</f>
        <v/>
      </c>
      <c r="O25" s="392">
        <f>Model!AO171+Model!AP171+Model!AQ171</f>
        <v/>
      </c>
      <c r="P25" s="392">
        <f>Model!AR171+Model!AS171+Model!AT171</f>
        <v/>
      </c>
      <c r="Q25" s="392">
        <f>Model!AU171+Model!AV171+Model!AW171</f>
        <v/>
      </c>
      <c r="R25" s="392">
        <f>Model!AX171+Model!AY171+Model!AZ171</f>
        <v/>
      </c>
      <c r="S25" s="392">
        <f>Model!BA171+Model!BB171+Model!BC171</f>
        <v/>
      </c>
      <c r="T25" s="392">
        <f>Model!BD171+Model!BE171+Model!BF171</f>
        <v/>
      </c>
      <c r="U25" s="392">
        <f>Model!BG171+Model!BH171+Model!BI171</f>
        <v/>
      </c>
      <c r="V25" s="392">
        <f>Model!BJ171+Model!BK171+Model!BL171</f>
        <v/>
      </c>
      <c r="W25" s="392">
        <f>Model!BM171+Model!BN171+Model!BO171</f>
        <v/>
      </c>
      <c r="X25" s="392">
        <f>Model!BP171+Model!BQ171+Model!BR171</f>
        <v/>
      </c>
      <c r="Y25" s="392">
        <f>Model!BS171+Model!BT171+Model!BU171</f>
        <v/>
      </c>
      <c r="Z25" s="392">
        <f>Model!BV171+Model!BW171+Model!BX171</f>
        <v/>
      </c>
      <c r="AA25" s="392">
        <f>Model!BY171+Model!BZ171+Model!CA171</f>
        <v/>
      </c>
      <c r="AB25" s="392">
        <f>Model!CB171+Model!CC171+Model!CD171</f>
        <v/>
      </c>
      <c r="AC25" s="392">
        <f>Model!CE171+Model!CF171+Model!CG171</f>
        <v/>
      </c>
      <c r="AD25" s="392">
        <f>Model!CH171+Model!CI171+Model!CJ171</f>
        <v/>
      </c>
      <c r="AE25" s="392">
        <f>Model!CK171+Model!CL171+Model!CM171</f>
        <v/>
      </c>
      <c r="AF25" s="392">
        <f>Model!CN171+Model!CO171+Model!CP171</f>
        <v/>
      </c>
      <c r="AG25" s="392">
        <f>Model!CQ171+Model!CR171+Model!CS171</f>
        <v/>
      </c>
      <c r="AH25" s="392">
        <f>Model!CT171+Model!CU171+Model!CV171</f>
        <v/>
      </c>
      <c r="AI25" s="392">
        <f>Model!CW171+Model!CX171+Model!CY171</f>
        <v/>
      </c>
      <c r="AJ25" s="392">
        <f>Model!CZ171+Model!DA171+Model!DB171</f>
        <v/>
      </c>
      <c r="AK25" s="392">
        <f>Model!DC171+Model!DD171+Model!DE171</f>
        <v/>
      </c>
    </row>
    <row r="26" ht="15" customFormat="1" customHeight="1" s="380">
      <c r="A26" s="397" t="inlineStr">
        <is>
          <t>Six Peak Expenses</t>
        </is>
      </c>
      <c r="B26" s="471">
        <f>Model!B202+Model!C202+Model!D202</f>
        <v/>
      </c>
      <c r="C26" s="471">
        <f>Model!E202+Model!F202+Model!G202</f>
        <v/>
      </c>
      <c r="D26" s="471">
        <f>Model!H202+Model!I202+Model!J202</f>
        <v/>
      </c>
      <c r="E26" s="471">
        <f>Model!K202+Model!L202+Model!M202</f>
        <v/>
      </c>
      <c r="F26" s="471">
        <f>Model!N202+Model!O202+Model!P202</f>
        <v/>
      </c>
      <c r="G26" s="471">
        <f>Model!Q202+Model!R202+Model!S202</f>
        <v/>
      </c>
      <c r="H26" s="471">
        <f>Model!T202+Model!U202+Model!V202</f>
        <v/>
      </c>
      <c r="I26" s="471">
        <f>Model!W202+Model!X202+Model!Y202</f>
        <v/>
      </c>
      <c r="J26" s="471">
        <f>Model!Z202+Model!AA202+Model!AB202</f>
        <v/>
      </c>
      <c r="K26" s="471">
        <f>Model!AC202+Model!AD202+Model!AE202</f>
        <v/>
      </c>
      <c r="L26" s="471">
        <f>Model!AF202+Model!AG202+Model!AH202</f>
        <v/>
      </c>
      <c r="M26" s="471">
        <f>Model!AI202+Model!AJ202+Model!AK202</f>
        <v/>
      </c>
      <c r="N26" s="471">
        <f>Model!AL202+Model!AM202+Model!AN202</f>
        <v/>
      </c>
      <c r="O26" s="471">
        <f>Model!AO202+Model!AP202+Model!AQ202</f>
        <v/>
      </c>
      <c r="P26" s="471">
        <f>Model!AR202+Model!AS202+Model!AT202</f>
        <v/>
      </c>
      <c r="Q26" s="471">
        <f>Model!AU202+Model!AV202+Model!AW202</f>
        <v/>
      </c>
      <c r="R26" s="471">
        <f>Model!AX202+Model!AY202+Model!AZ202</f>
        <v/>
      </c>
      <c r="S26" s="471">
        <f>Model!BA202+Model!BB202+Model!BC202</f>
        <v/>
      </c>
      <c r="T26" s="471">
        <f>Model!BD202+Model!BE202+Model!BF202</f>
        <v/>
      </c>
      <c r="U26" s="471">
        <f>Model!BG202+Model!BH202+Model!BI202</f>
        <v/>
      </c>
      <c r="V26" s="471">
        <f>Model!BJ202+Model!BK202+Model!BL202</f>
        <v/>
      </c>
      <c r="W26" s="471">
        <f>Model!BM202+Model!BN202+Model!BO202</f>
        <v/>
      </c>
      <c r="X26" s="471">
        <f>Model!BP202+Model!BQ202+Model!BR202</f>
        <v/>
      </c>
      <c r="Y26" s="471">
        <f>Model!BS202+Model!BT202+Model!BU202</f>
        <v/>
      </c>
      <c r="Z26" s="471">
        <f>Model!BV202+Model!BW202+Model!BX202</f>
        <v/>
      </c>
      <c r="AA26" s="471">
        <f>Model!BY202+Model!BZ202+Model!CA202</f>
        <v/>
      </c>
      <c r="AB26" s="471">
        <f>Model!CB202+Model!CC202+Model!CD202</f>
        <v/>
      </c>
      <c r="AC26" s="471">
        <f>Model!CE202+Model!CF202+Model!CG202</f>
        <v/>
      </c>
      <c r="AD26" s="471">
        <f>Model!CH202+Model!CI202+Model!CJ202</f>
        <v/>
      </c>
      <c r="AE26" s="471">
        <f>Model!CK202+Model!CL202+Model!CM202</f>
        <v/>
      </c>
      <c r="AF26" s="471">
        <f>Model!CN202+Model!CO202+Model!CP202</f>
        <v/>
      </c>
      <c r="AG26" s="471">
        <f>Model!CQ202+Model!CR202+Model!CS202</f>
        <v/>
      </c>
      <c r="AH26" s="471">
        <f>Model!CT202+Model!CU202+Model!CV202</f>
        <v/>
      </c>
      <c r="AI26" s="471">
        <f>Model!CW202+Model!CX202+Model!CY202</f>
        <v/>
      </c>
      <c r="AJ26" s="471">
        <f>Model!CZ202+Model!DA202+Model!DB202</f>
        <v/>
      </c>
      <c r="AK26" s="471">
        <f>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Model!B203+Model!C203+Model!D203</f>
        <v/>
      </c>
      <c r="C27" s="417">
        <f>Model!E203+Model!F203+Model!G203</f>
        <v/>
      </c>
      <c r="D27" s="417">
        <f>Model!H203+Model!I203+Model!J203</f>
        <v/>
      </c>
      <c r="E27" s="417">
        <f>Model!K203+Model!L203+Model!M203</f>
        <v/>
      </c>
      <c r="F27" s="417">
        <f>Model!N203+Model!O203+Model!P203</f>
        <v/>
      </c>
      <c r="G27" s="417">
        <f>Model!Q203+Model!R203+Model!S203</f>
        <v/>
      </c>
      <c r="H27" s="417">
        <f>Model!T203+Model!U203+Model!V203</f>
        <v/>
      </c>
      <c r="I27" s="417">
        <f>Model!W203+Model!X203+Model!Y203</f>
        <v/>
      </c>
      <c r="J27" s="417">
        <f>Model!Z203+Model!AA203+Model!AB203</f>
        <v/>
      </c>
      <c r="K27" s="417">
        <f>Model!AC203+Model!AD203+Model!AE203</f>
        <v/>
      </c>
      <c r="L27" s="417">
        <f>Model!AF203+Model!AG203+Model!AH203</f>
        <v/>
      </c>
      <c r="M27" s="417">
        <f>Model!AI203+Model!AJ203+Model!AK203</f>
        <v/>
      </c>
      <c r="N27" s="417">
        <f>Model!AL203+Model!AM203+Model!AN203</f>
        <v/>
      </c>
      <c r="O27" s="417">
        <f>Model!AO203+Model!AP203+Model!AQ203</f>
        <v/>
      </c>
      <c r="P27" s="417">
        <f>Model!AR203+Model!AS203+Model!AT203</f>
        <v/>
      </c>
      <c r="Q27" s="417">
        <f>Model!AU203+Model!AV203+Model!AW203</f>
        <v/>
      </c>
      <c r="R27" s="417">
        <f>Model!AX203+Model!AY203+Model!AZ203</f>
        <v/>
      </c>
      <c r="S27" s="417">
        <f>Model!BA203+Model!BB203+Model!BC203</f>
        <v/>
      </c>
      <c r="T27" s="417">
        <f>Model!BD203+Model!BE203+Model!BF203</f>
        <v/>
      </c>
      <c r="U27" s="417">
        <f>Model!BG203+Model!BH203+Model!BI203</f>
        <v/>
      </c>
      <c r="V27" s="417">
        <f>Model!BJ203+Model!BK203+Model!BL203</f>
        <v/>
      </c>
      <c r="W27" s="417">
        <f>Model!BM203+Model!BN203+Model!BO203</f>
        <v/>
      </c>
      <c r="X27" s="417">
        <f>Model!BP203+Model!BQ203+Model!BR203</f>
        <v/>
      </c>
      <c r="Y27" s="417">
        <f>Model!BS203+Model!BT203+Model!BU203</f>
        <v/>
      </c>
      <c r="Z27" s="417">
        <f>Model!BV203+Model!BW203+Model!BX203</f>
        <v/>
      </c>
      <c r="AA27" s="417">
        <f>Model!BY203+Model!BZ203+Model!CA203</f>
        <v/>
      </c>
      <c r="AB27" s="417">
        <f>Model!CB203+Model!CC203+Model!CD203</f>
        <v/>
      </c>
      <c r="AC27" s="417">
        <f>Model!CE203+Model!CF203+Model!CG203</f>
        <v/>
      </c>
      <c r="AD27" s="417">
        <f>Model!CH203+Model!CI203+Model!CJ203</f>
        <v/>
      </c>
      <c r="AE27" s="417">
        <f>Model!CK203+Model!CL203+Model!CM203</f>
        <v/>
      </c>
      <c r="AF27" s="417">
        <f>Model!CN203+Model!CO203+Model!CP203</f>
        <v/>
      </c>
      <c r="AG27" s="417">
        <f>Model!CQ203+Model!CR203+Model!CS203</f>
        <v/>
      </c>
      <c r="AH27" s="417">
        <f>Model!CT203+Model!CU203+Model!CV203</f>
        <v/>
      </c>
      <c r="AI27" s="417">
        <f>Model!CW203+Model!CX203+Model!CY203</f>
        <v/>
      </c>
      <c r="AJ27" s="417">
        <f>Model!CZ203+Model!DA203+Model!DB203</f>
        <v/>
      </c>
      <c r="AK27" s="417">
        <f>Model!DC203+Model!DD203+Model!DE203</f>
        <v/>
      </c>
    </row>
    <row r="28" ht="15" customFormat="1" customHeight="1" s="380">
      <c r="A28" s="382" t="n"/>
      <c r="B28" s="428" t="n"/>
      <c r="C28" s="428" t="n"/>
      <c r="D28" s="428" t="n"/>
      <c r="E28" s="428" t="n"/>
      <c r="F28" s="428" t="n"/>
      <c r="G28" s="428" t="n"/>
      <c r="H28" s="428" t="n"/>
      <c r="I28" s="428" t="n"/>
      <c r="J28" s="428" t="n"/>
      <c r="K28" s="428" t="n"/>
      <c r="L28" s="428" t="n"/>
      <c r="M28" s="428" t="n"/>
      <c r="N28" s="428" t="n"/>
      <c r="O28" s="428" t="n"/>
      <c r="P28" s="428" t="n"/>
      <c r="Q28" s="428" t="n"/>
      <c r="R28" s="428" t="n"/>
      <c r="S28" s="428" t="n"/>
      <c r="T28" s="428" t="n"/>
      <c r="U28" s="428" t="n"/>
      <c r="V28" s="428" t="n"/>
      <c r="W28" s="428" t="n"/>
      <c r="X28" s="428" t="n"/>
      <c r="Y28" s="428" t="n"/>
      <c r="Z28" s="428" t="n"/>
      <c r="AA28" s="428" t="n"/>
      <c r="AB28" s="428" t="n"/>
      <c r="AC28" s="428" t="n"/>
      <c r="AD28" s="428" t="n"/>
      <c r="AE28" s="428" t="n"/>
      <c r="AF28" s="428" t="n"/>
      <c r="AG28" s="428" t="n"/>
      <c r="AH28" s="428" t="n"/>
      <c r="AI28" s="428" t="n"/>
      <c r="AJ28" s="428" t="n"/>
      <c r="AK28" s="428" t="n"/>
    </row>
    <row r="29" ht="15" customFormat="1" customHeight="1" s="380">
      <c r="A29" s="416" t="inlineStr">
        <is>
          <t>Consolidated Net Income (Projection)</t>
        </is>
      </c>
      <c r="B29" s="417">
        <f>Model!B212+Model!C212+Model!D212</f>
        <v/>
      </c>
      <c r="C29" s="417">
        <f>Model!E212+Model!F212+Model!G212</f>
        <v/>
      </c>
      <c r="D29" s="417">
        <f>Model!H212+Model!I212+Model!J212</f>
        <v/>
      </c>
      <c r="E29" s="417">
        <f>Model!K212+Model!L212+Model!M212</f>
        <v/>
      </c>
      <c r="F29" s="417">
        <f>Model!N212+Model!O212+Model!P212</f>
        <v/>
      </c>
      <c r="G29" s="417">
        <f>Model!Q212+Model!R212+Model!S212</f>
        <v/>
      </c>
      <c r="H29" s="417">
        <f>Model!T212+Model!U212+Model!V212</f>
        <v/>
      </c>
      <c r="I29" s="417">
        <f>Model!W212+Model!X212+Model!Y212</f>
        <v/>
      </c>
      <c r="J29" s="417">
        <f>Model!Z212+Model!AA212+Model!AB212</f>
        <v/>
      </c>
      <c r="K29" s="417">
        <f>Model!AC212+Model!AD212+Model!AE212</f>
        <v/>
      </c>
      <c r="L29" s="417">
        <f>Model!AF212+Model!AG212+Model!AH212</f>
        <v/>
      </c>
      <c r="M29" s="417">
        <f>Model!AI212+Model!AJ212+Model!AK212</f>
        <v/>
      </c>
      <c r="N29" s="417">
        <f>Model!AL212+Model!AM212+Model!AN212</f>
        <v/>
      </c>
      <c r="O29" s="417">
        <f>Model!AO212+Model!AP212+Model!AQ212</f>
        <v/>
      </c>
      <c r="P29" s="417">
        <f>Model!AR212+Model!AS212+Model!AT212</f>
        <v/>
      </c>
      <c r="Q29" s="417">
        <f>Model!AU212+Model!AV212+Model!AW212</f>
        <v/>
      </c>
      <c r="R29" s="417">
        <f>Model!AX212+Model!AY212+Model!AZ212</f>
        <v/>
      </c>
      <c r="S29" s="417">
        <f>Model!BA212+Model!BB212+Model!BC212</f>
        <v/>
      </c>
      <c r="T29" s="417">
        <f>Model!BD212+Model!BE212+Model!BF212</f>
        <v/>
      </c>
      <c r="U29" s="417">
        <f>Model!BG212+Model!BH212+Model!BI212</f>
        <v/>
      </c>
      <c r="V29" s="417">
        <f>Model!BJ212+Model!BK212+Model!BL212</f>
        <v/>
      </c>
      <c r="W29" s="417">
        <f>Model!BM212+Model!BN212+Model!BO212</f>
        <v/>
      </c>
      <c r="X29" s="417">
        <f>Model!BP212+Model!BQ212+Model!BR212</f>
        <v/>
      </c>
      <c r="Y29" s="417">
        <f>Model!BS212+Model!BT212+Model!BU212</f>
        <v/>
      </c>
      <c r="Z29" s="417">
        <f>Model!BV212+Model!BW212+Model!BX212</f>
        <v/>
      </c>
      <c r="AA29" s="417">
        <f>Model!BY212+Model!BZ212+Model!CA212</f>
        <v/>
      </c>
      <c r="AB29" s="417">
        <f>Model!CB212+Model!CC212+Model!CD212</f>
        <v/>
      </c>
      <c r="AC29" s="417">
        <f>Model!CE212+Model!CF212+Model!CG212</f>
        <v/>
      </c>
      <c r="AD29" s="417">
        <f>Model!CH212+Model!CI212+Model!CJ212</f>
        <v/>
      </c>
      <c r="AE29" s="417">
        <f>Model!CK212+Model!CL212+Model!CM212</f>
        <v/>
      </c>
      <c r="AF29" s="417">
        <f>Model!CN212+Model!CO212+Model!CP212</f>
        <v/>
      </c>
      <c r="AG29" s="417">
        <f>Model!CQ212+Model!CR212+Model!CS212</f>
        <v/>
      </c>
      <c r="AH29" s="417">
        <f>Model!CT212+Model!CU212+Model!CV212</f>
        <v/>
      </c>
      <c r="AI29" s="417">
        <f>Model!CW212+Model!CX212+Model!CY212</f>
        <v/>
      </c>
      <c r="AJ29" s="417">
        <f>Model!CZ212+Model!DA212+Model!DB212</f>
        <v/>
      </c>
      <c r="AK29" s="417">
        <f>Model!DC212+Model!DD212+Model!DE212</f>
        <v/>
      </c>
    </row>
    <row r="30" ht="15" customFormat="1" customHeight="1" s="380">
      <c r="A30" s="382" t="n"/>
      <c r="B30" s="460" t="n"/>
      <c r="C30" s="460" t="n"/>
      <c r="D30" s="460" t="n"/>
      <c r="E30" s="460" t="n"/>
      <c r="F30" s="460" t="n"/>
      <c r="G30" s="460" t="n"/>
      <c r="H30" s="460" t="n"/>
      <c r="I30" s="460" t="n"/>
      <c r="J30" s="460" t="n"/>
      <c r="K30" s="460" t="n"/>
      <c r="L30" s="460" t="n"/>
      <c r="M30" s="460" t="n"/>
      <c r="N30" s="460" t="n"/>
      <c r="O30" s="460" t="n"/>
      <c r="P30" s="460" t="n"/>
      <c r="Q30" s="460" t="n"/>
      <c r="R30" s="460" t="n"/>
      <c r="S30" s="460" t="n"/>
      <c r="T30" s="460" t="n"/>
      <c r="U30" s="460" t="n"/>
      <c r="V30" s="460" t="n"/>
      <c r="W30" s="460" t="n"/>
      <c r="X30" s="460" t="n"/>
      <c r="Y30" s="460" t="n"/>
      <c r="Z30" s="460" t="n"/>
      <c r="AA30" s="460" t="n"/>
      <c r="AB30" s="460" t="n"/>
      <c r="AC30" s="460" t="n"/>
      <c r="AD30" s="460" t="n"/>
      <c r="AE30" s="460" t="n"/>
      <c r="AF30" s="460" t="n"/>
      <c r="AG30" s="460" t="n"/>
      <c r="AH30" s="460" t="n"/>
      <c r="AI30" s="460" t="n"/>
      <c r="AJ30" s="460" t="n"/>
      <c r="AK30" s="460" t="n"/>
    </row>
    <row r="31" ht="15" customFormat="1" customHeight="1" s="380">
      <c r="A31" s="402" t="inlineStr">
        <is>
          <t>Steyn Group Fees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</row>
    <row r="32" ht="15" customFormat="1" customHeight="1" s="380">
      <c r="A32" s="397" t="inlineStr">
        <is>
          <t xml:space="preserve">  Completion Guaranty Fee</t>
        </is>
      </c>
      <c r="B32" s="472">
        <f>Model!B197+Model!C197+Model!D197</f>
        <v/>
      </c>
      <c r="C32" s="472">
        <f>Model!E197+Model!F197+Model!G197</f>
        <v/>
      </c>
      <c r="D32" s="472">
        <f>Model!H197+Model!I197+Model!J197</f>
        <v/>
      </c>
      <c r="E32" s="472">
        <f>Model!K197+Model!L197+Model!M197</f>
        <v/>
      </c>
      <c r="F32" s="472">
        <f>Model!N197+Model!O197+Model!P197</f>
        <v/>
      </c>
      <c r="G32" s="472">
        <f>Model!Q197+Model!R197+Model!S197</f>
        <v/>
      </c>
      <c r="H32" s="472">
        <f>Model!T197+Model!U197+Model!V197</f>
        <v/>
      </c>
      <c r="I32" s="472">
        <f>Model!W197+Model!X197+Model!Y197</f>
        <v/>
      </c>
      <c r="J32" s="472">
        <f>Model!Z197+Model!AA197+Model!AB197</f>
        <v/>
      </c>
      <c r="K32" s="472">
        <f>Model!AC197+Model!AD197+Model!AE197</f>
        <v/>
      </c>
      <c r="L32" s="472">
        <f>Model!AF197+Model!AG197+Model!AH197</f>
        <v/>
      </c>
      <c r="M32" s="472">
        <f>Model!AI197+Model!AJ197+Model!AK197</f>
        <v/>
      </c>
      <c r="N32" s="472">
        <f>Model!AL197+Model!AM197+Model!AN197</f>
        <v/>
      </c>
      <c r="O32" s="472">
        <f>Model!AO197+Model!AP197+Model!AQ197</f>
        <v/>
      </c>
      <c r="P32" s="472">
        <f>Model!AR197+Model!AS197+Model!AT197</f>
        <v/>
      </c>
      <c r="Q32" s="472">
        <f>Model!AU197+Model!AV197+Model!AW197</f>
        <v/>
      </c>
      <c r="R32" s="472">
        <f>Model!AX197+Model!AY197+Model!AZ197</f>
        <v/>
      </c>
      <c r="S32" s="472">
        <f>Model!BA197+Model!BB197+Model!BC197</f>
        <v/>
      </c>
      <c r="T32" s="472">
        <f>Model!BD197+Model!BE197+Model!BF197</f>
        <v/>
      </c>
      <c r="U32" s="472">
        <f>Model!BG197+Model!BH197+Model!BI197</f>
        <v/>
      </c>
      <c r="V32" s="472">
        <f>Model!BJ197+Model!BK197+Model!BL197</f>
        <v/>
      </c>
      <c r="W32" s="472">
        <f>Model!BM197+Model!BN197+Model!BO197</f>
        <v/>
      </c>
      <c r="X32" s="472">
        <f>Model!BP197+Model!BQ197+Model!BR197</f>
        <v/>
      </c>
      <c r="Y32" s="472">
        <f>Model!BS197+Model!BT197+Model!BU197</f>
        <v/>
      </c>
      <c r="Z32" s="472">
        <f>Model!BV197+Model!BW197+Model!BX197</f>
        <v/>
      </c>
      <c r="AA32" s="472">
        <f>Model!BY197+Model!BZ197+Model!CA197</f>
        <v/>
      </c>
      <c r="AB32" s="472">
        <f>Model!CB197+Model!CC197+Model!CD197</f>
        <v/>
      </c>
      <c r="AC32" s="472">
        <f>Model!CE197+Model!CF197+Model!CG197</f>
        <v/>
      </c>
      <c r="AD32" s="472">
        <f>Model!CH197+Model!CI197+Model!CJ197</f>
        <v/>
      </c>
      <c r="AE32" s="472">
        <f>Model!CK197+Model!CL197+Model!CM197</f>
        <v/>
      </c>
      <c r="AF32" s="472">
        <f>Model!CN197+Model!CO197+Model!CP197</f>
        <v/>
      </c>
      <c r="AG32" s="472">
        <f>Model!CQ197+Model!CR197+Model!CS197</f>
        <v/>
      </c>
      <c r="AH32" s="472">
        <f>Model!CT197+Model!CU197+Model!CV197</f>
        <v/>
      </c>
      <c r="AI32" s="472">
        <f>Model!CW197+Model!CX197+Model!CY197</f>
        <v/>
      </c>
      <c r="AJ32" s="472">
        <f>Model!CZ197+Model!DA197+Model!DB197</f>
        <v/>
      </c>
      <c r="AK32" s="472">
        <f>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472">
        <f>Model!B198+Model!C198+Model!D198</f>
        <v/>
      </c>
      <c r="C33" s="472">
        <f>Model!E198+Model!F198+Model!G198</f>
        <v/>
      </c>
      <c r="D33" s="472">
        <f>Model!H198+Model!I198+Model!J198</f>
        <v/>
      </c>
      <c r="E33" s="472">
        <f>Model!K198+Model!L198+Model!M198</f>
        <v/>
      </c>
      <c r="F33" s="472">
        <f>Model!N198+Model!O198+Model!P198</f>
        <v/>
      </c>
      <c r="G33" s="472">
        <f>Model!Q198+Model!R198+Model!S198</f>
        <v/>
      </c>
      <c r="H33" s="472">
        <f>Model!T198+Model!U198+Model!V198</f>
        <v/>
      </c>
      <c r="I33" s="472">
        <f>Model!W198+Model!X198+Model!Y198</f>
        <v/>
      </c>
      <c r="J33" s="472">
        <f>Model!Z198+Model!AA198+Model!AB198</f>
        <v/>
      </c>
      <c r="K33" s="472">
        <f>Model!AC198+Model!AD198+Model!AE198</f>
        <v/>
      </c>
      <c r="L33" s="472">
        <f>Model!AF198+Model!AG198+Model!AH198</f>
        <v/>
      </c>
      <c r="M33" s="472">
        <f>Model!AI198+Model!AJ198+Model!AK198</f>
        <v/>
      </c>
      <c r="N33" s="472">
        <f>Model!AL198+Model!AM198+Model!AN198</f>
        <v/>
      </c>
      <c r="O33" s="472">
        <f>Model!AO198+Model!AP198+Model!AQ198</f>
        <v/>
      </c>
      <c r="P33" s="472">
        <f>Model!AR198+Model!AS198+Model!AT198</f>
        <v/>
      </c>
      <c r="Q33" s="472">
        <f>Model!AU198+Model!AV198+Model!AW198</f>
        <v/>
      </c>
      <c r="R33" s="472">
        <f>Model!AX198+Model!AY198+Model!AZ198</f>
        <v/>
      </c>
      <c r="S33" s="472">
        <f>Model!BA198+Model!BB198+Model!BC198</f>
        <v/>
      </c>
      <c r="T33" s="472">
        <f>Model!BD198+Model!BE198+Model!BF198</f>
        <v/>
      </c>
      <c r="U33" s="472">
        <f>Model!BG198+Model!BH198+Model!BI198</f>
        <v/>
      </c>
      <c r="V33" s="472">
        <f>Model!BJ198+Model!BK198+Model!BL198</f>
        <v/>
      </c>
      <c r="W33" s="472">
        <f>Model!BM198+Model!BN198+Model!BO198</f>
        <v/>
      </c>
      <c r="X33" s="472">
        <f>Model!BP198+Model!BQ198+Model!BR198</f>
        <v/>
      </c>
      <c r="Y33" s="472">
        <f>Model!BS198+Model!BT198+Model!BU198</f>
        <v/>
      </c>
      <c r="Z33" s="472">
        <f>Model!BV198+Model!BW198+Model!BX198</f>
        <v/>
      </c>
      <c r="AA33" s="472">
        <f>Model!BY198+Model!BZ198+Model!CA198</f>
        <v/>
      </c>
      <c r="AB33" s="472">
        <f>Model!CB198+Model!CC198+Model!CD198</f>
        <v/>
      </c>
      <c r="AC33" s="472">
        <f>Model!CE198+Model!CF198+Model!CG198</f>
        <v/>
      </c>
      <c r="AD33" s="472">
        <f>Model!CH198+Model!CI198+Model!CJ198</f>
        <v/>
      </c>
      <c r="AE33" s="472">
        <f>Model!CK198+Model!CL198+Model!CM198</f>
        <v/>
      </c>
      <c r="AF33" s="472">
        <f>Model!CN198+Model!CO198+Model!CP198</f>
        <v/>
      </c>
      <c r="AG33" s="472">
        <f>Model!CQ198+Model!CR198+Model!CS198</f>
        <v/>
      </c>
      <c r="AH33" s="472">
        <f>Model!CT198+Model!CU198+Model!CV198</f>
        <v/>
      </c>
      <c r="AI33" s="472">
        <f>Model!CW198+Model!CX198+Model!CY198</f>
        <v/>
      </c>
      <c r="AJ33" s="472">
        <f>Model!CZ198+Model!DA198+Model!DB198</f>
        <v/>
      </c>
      <c r="AK33" s="472">
        <f>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472">
        <f>Model!B199+Model!C199+Model!D199</f>
        <v/>
      </c>
      <c r="C34" s="472">
        <f>Model!E199+Model!F199+Model!G199</f>
        <v/>
      </c>
      <c r="D34" s="472">
        <f>Model!H199+Model!I199+Model!J199</f>
        <v/>
      </c>
      <c r="E34" s="472">
        <f>Model!K199+Model!L199+Model!M199</f>
        <v/>
      </c>
      <c r="F34" s="472">
        <f>Model!N199+Model!O199+Model!P199</f>
        <v/>
      </c>
      <c r="G34" s="472">
        <f>Model!Q199+Model!R199+Model!S199</f>
        <v/>
      </c>
      <c r="H34" s="472">
        <f>Model!T199+Model!U199+Model!V199</f>
        <v/>
      </c>
      <c r="I34" s="472">
        <f>Model!W199+Model!X199+Model!Y199</f>
        <v/>
      </c>
      <c r="J34" s="472">
        <f>Model!Z199+Model!AA199+Model!AB199</f>
        <v/>
      </c>
      <c r="K34" s="472">
        <f>Model!AC199+Model!AD199+Model!AE199</f>
        <v/>
      </c>
      <c r="L34" s="472">
        <f>Model!AF199+Model!AG199+Model!AH199</f>
        <v/>
      </c>
      <c r="M34" s="472">
        <f>Model!AI199+Model!AJ199+Model!AK199</f>
        <v/>
      </c>
      <c r="N34" s="472">
        <f>Model!AL199+Model!AM199+Model!AN199</f>
        <v/>
      </c>
      <c r="O34" s="472">
        <f>Model!AO199+Model!AP199+Model!AQ199</f>
        <v/>
      </c>
      <c r="P34" s="472">
        <f>Model!AR199+Model!AS199+Model!AT199</f>
        <v/>
      </c>
      <c r="Q34" s="472">
        <f>Model!AU199+Model!AV199+Model!AW199</f>
        <v/>
      </c>
      <c r="R34" s="472">
        <f>Model!AX199+Model!AY199+Model!AZ199</f>
        <v/>
      </c>
      <c r="S34" s="472">
        <f>Model!BA199+Model!BB199+Model!BC199</f>
        <v/>
      </c>
      <c r="T34" s="472">
        <f>Model!BD199+Model!BE199+Model!BF199</f>
        <v/>
      </c>
      <c r="U34" s="472">
        <f>Model!BG199+Model!BH199+Model!BI199</f>
        <v/>
      </c>
      <c r="V34" s="472">
        <f>Model!BJ199+Model!BK199+Model!BL199</f>
        <v/>
      </c>
      <c r="W34" s="472">
        <f>Model!BM199+Model!BN199+Model!BO199</f>
        <v/>
      </c>
      <c r="X34" s="472">
        <f>Model!BP199+Model!BQ199+Model!BR199</f>
        <v/>
      </c>
      <c r="Y34" s="472">
        <f>Model!BS199+Model!BT199+Model!BU199</f>
        <v/>
      </c>
      <c r="Z34" s="472">
        <f>Model!BV199+Model!BW199+Model!BX199</f>
        <v/>
      </c>
      <c r="AA34" s="472">
        <f>Model!BY199+Model!BZ199+Model!CA199</f>
        <v/>
      </c>
      <c r="AB34" s="472">
        <f>Model!CB199+Model!CC199+Model!CD199</f>
        <v/>
      </c>
      <c r="AC34" s="472">
        <f>Model!CE199+Model!CF199+Model!CG199</f>
        <v/>
      </c>
      <c r="AD34" s="472">
        <f>Model!CH199+Model!CI199+Model!CJ199</f>
        <v/>
      </c>
      <c r="AE34" s="472">
        <f>Model!CK199+Model!CL199+Model!CM199</f>
        <v/>
      </c>
      <c r="AF34" s="472">
        <f>Model!CN199+Model!CO199+Model!CP199</f>
        <v/>
      </c>
      <c r="AG34" s="472">
        <f>Model!CQ199+Model!CR199+Model!CS199</f>
        <v/>
      </c>
      <c r="AH34" s="472">
        <f>Model!CT199+Model!CU199+Model!CV199</f>
        <v/>
      </c>
      <c r="AI34" s="472">
        <f>Model!CW199+Model!CX199+Model!CY199</f>
        <v/>
      </c>
      <c r="AJ34" s="472">
        <f>Model!CZ199+Model!DA199+Model!DB199</f>
        <v/>
      </c>
      <c r="AK34" s="472">
        <f>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472">
        <f>Model!B200+Model!C200+Model!D200</f>
        <v/>
      </c>
      <c r="C35" s="472">
        <f>Model!E200+Model!F200+Model!G200</f>
        <v/>
      </c>
      <c r="D35" s="472">
        <f>Model!H200+Model!I200+Model!J200</f>
        <v/>
      </c>
      <c r="E35" s="472">
        <f>Model!K200+Model!L200+Model!M200</f>
        <v/>
      </c>
      <c r="F35" s="472">
        <f>Model!N200+Model!O200+Model!P200</f>
        <v/>
      </c>
      <c r="G35" s="472">
        <f>Model!Q200+Model!R200+Model!S200</f>
        <v/>
      </c>
      <c r="H35" s="472">
        <f>Model!T200+Model!U200+Model!V200</f>
        <v/>
      </c>
      <c r="I35" s="472">
        <f>Model!W200+Model!X200+Model!Y200</f>
        <v/>
      </c>
      <c r="J35" s="472">
        <f>Model!Z200+Model!AA200+Model!AB200</f>
        <v/>
      </c>
      <c r="K35" s="472">
        <f>Model!AC200+Model!AD200+Model!AE200</f>
        <v/>
      </c>
      <c r="L35" s="472">
        <f>Model!AF200+Model!AG200+Model!AH200</f>
        <v/>
      </c>
      <c r="M35" s="472">
        <f>Model!AI200+Model!AJ200+Model!AK200</f>
        <v/>
      </c>
      <c r="N35" s="472">
        <f>Model!AL200+Model!AM200+Model!AN200</f>
        <v/>
      </c>
      <c r="O35" s="472">
        <f>Model!AO200+Model!AP200+Model!AQ200</f>
        <v/>
      </c>
      <c r="P35" s="472">
        <f>Model!AR200+Model!AS200+Model!AT200</f>
        <v/>
      </c>
      <c r="Q35" s="472">
        <f>Model!AU200+Model!AV200+Model!AW200</f>
        <v/>
      </c>
      <c r="R35" s="472">
        <f>Model!AX200+Model!AY200+Model!AZ200</f>
        <v/>
      </c>
      <c r="S35" s="472">
        <f>Model!BA200+Model!BB200+Model!BC200</f>
        <v/>
      </c>
      <c r="T35" s="472">
        <f>Model!BD200+Model!BE200+Model!BF200</f>
        <v/>
      </c>
      <c r="U35" s="472">
        <f>Model!BG200+Model!BH200+Model!BI200</f>
        <v/>
      </c>
      <c r="V35" s="472">
        <f>Model!BJ200+Model!BK200+Model!BL200</f>
        <v/>
      </c>
      <c r="W35" s="472">
        <f>Model!BM200+Model!BN200+Model!BO200</f>
        <v/>
      </c>
      <c r="X35" s="472">
        <f>Model!BP200+Model!BQ200+Model!BR200</f>
        <v/>
      </c>
      <c r="Y35" s="472">
        <f>Model!BS200+Model!BT200+Model!BU200</f>
        <v/>
      </c>
      <c r="Z35" s="472">
        <f>Model!BV200+Model!BW200+Model!BX200</f>
        <v/>
      </c>
      <c r="AA35" s="472">
        <f>Model!BY200+Model!BZ200+Model!CA200</f>
        <v/>
      </c>
      <c r="AB35" s="472">
        <f>Model!CB200+Model!CC200+Model!CD200</f>
        <v/>
      </c>
      <c r="AC35" s="472">
        <f>Model!CE200+Model!CF200+Model!CG200</f>
        <v/>
      </c>
      <c r="AD35" s="472">
        <f>Model!CH200+Model!CI200+Model!CJ200</f>
        <v/>
      </c>
      <c r="AE35" s="472">
        <f>Model!CK200+Model!CL200+Model!CM200</f>
        <v/>
      </c>
      <c r="AF35" s="472">
        <f>Model!CN200+Model!CO200+Model!CP200</f>
        <v/>
      </c>
      <c r="AG35" s="472">
        <f>Model!CQ200+Model!CR200+Model!CS200</f>
        <v/>
      </c>
      <c r="AH35" s="472">
        <f>Model!CT200+Model!CU200+Model!CV200</f>
        <v/>
      </c>
      <c r="AI35" s="472">
        <f>Model!CW200+Model!CX200+Model!CY200</f>
        <v/>
      </c>
      <c r="AJ35" s="472">
        <f>Model!CZ200+Model!DA200+Model!DB200</f>
        <v/>
      </c>
      <c r="AK35" s="472">
        <f>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472">
        <f>Model!B201+Model!C201+Model!D201</f>
        <v/>
      </c>
      <c r="C36" s="472">
        <f>Model!E201+Model!F201+Model!G201</f>
        <v/>
      </c>
      <c r="D36" s="472">
        <f>Model!H201+Model!I201+Model!J201</f>
        <v/>
      </c>
      <c r="E36" s="472">
        <f>Model!K201+Model!L201+Model!M201</f>
        <v/>
      </c>
      <c r="F36" s="472">
        <f>Model!N201+Model!O201+Model!P201</f>
        <v/>
      </c>
      <c r="G36" s="472">
        <f>Model!Q201+Model!R201+Model!S201</f>
        <v/>
      </c>
      <c r="H36" s="472">
        <f>Model!T201+Model!U201+Model!V201</f>
        <v/>
      </c>
      <c r="I36" s="472">
        <f>Model!W201+Model!X201+Model!Y201</f>
        <v/>
      </c>
      <c r="J36" s="472">
        <f>Model!Z201+Model!AA201+Model!AB201</f>
        <v/>
      </c>
      <c r="K36" s="472">
        <f>Model!AC201+Model!AD201+Model!AE201</f>
        <v/>
      </c>
      <c r="L36" s="472">
        <f>Model!AF201+Model!AG201+Model!AH201</f>
        <v/>
      </c>
      <c r="M36" s="472">
        <f>Model!AI201+Model!AJ201+Model!AK201</f>
        <v/>
      </c>
      <c r="N36" s="472">
        <f>Model!AL201+Model!AM201+Model!AN201</f>
        <v/>
      </c>
      <c r="O36" s="472">
        <f>Model!AO201+Model!AP201+Model!AQ201</f>
        <v/>
      </c>
      <c r="P36" s="472">
        <f>Model!AR201+Model!AS201+Model!AT201</f>
        <v/>
      </c>
      <c r="Q36" s="472">
        <f>Model!AU201+Model!AV201+Model!AW201</f>
        <v/>
      </c>
      <c r="R36" s="472">
        <f>Model!AX201+Model!AY201+Model!AZ201</f>
        <v/>
      </c>
      <c r="S36" s="472">
        <f>Model!BA201+Model!BB201+Model!BC201</f>
        <v/>
      </c>
      <c r="T36" s="472">
        <f>Model!BD201+Model!BE201+Model!BF201</f>
        <v/>
      </c>
      <c r="U36" s="472">
        <f>Model!BG201+Model!BH201+Model!BI201</f>
        <v/>
      </c>
      <c r="V36" s="472">
        <f>Model!BJ201+Model!BK201+Model!BL201</f>
        <v/>
      </c>
      <c r="W36" s="472">
        <f>Model!BM201+Model!BN201+Model!BO201</f>
        <v/>
      </c>
      <c r="X36" s="472">
        <f>Model!BP201+Model!BQ201+Model!BR201</f>
        <v/>
      </c>
      <c r="Y36" s="472">
        <f>Model!BS201+Model!BT201+Model!BU201</f>
        <v/>
      </c>
      <c r="Z36" s="472">
        <f>Model!BV201+Model!BW201+Model!BX201</f>
        <v/>
      </c>
      <c r="AA36" s="472">
        <f>Model!BY201+Model!BZ201+Model!CA201</f>
        <v/>
      </c>
      <c r="AB36" s="472">
        <f>Model!CB201+Model!CC201+Model!CD201</f>
        <v/>
      </c>
      <c r="AC36" s="472">
        <f>Model!CE201+Model!CF201+Model!CG201</f>
        <v/>
      </c>
      <c r="AD36" s="472">
        <f>Model!CH201+Model!CI201+Model!CJ201</f>
        <v/>
      </c>
      <c r="AE36" s="472">
        <f>Model!CK201+Model!CL201+Model!CM201</f>
        <v/>
      </c>
      <c r="AF36" s="472">
        <f>Model!CN201+Model!CO201+Model!CP201</f>
        <v/>
      </c>
      <c r="AG36" s="472">
        <f>Model!CQ201+Model!CR201+Model!CS201</f>
        <v/>
      </c>
      <c r="AH36" s="472">
        <f>Model!CT201+Model!CU201+Model!CV201</f>
        <v/>
      </c>
      <c r="AI36" s="472">
        <f>Model!CW201+Model!CX201+Model!CY201</f>
        <v/>
      </c>
      <c r="AJ36" s="472">
        <f>Model!CZ201+Model!DA201+Model!DB201</f>
        <v/>
      </c>
      <c r="AK36" s="472">
        <f>Model!DC201+Model!DD201+Model!DE201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</row>
    <row r="38" ht="15" customFormat="1" customHeight="1" s="380">
      <c r="A38" s="402" t="inlineStr">
        <is>
          <t>Debt Facilities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</row>
    <row r="39" ht="15" customFormat="1" customHeight="1" s="380">
      <c r="A39" s="397" t="inlineStr">
        <is>
          <t xml:space="preserve">  Debt Facility Payment</t>
        </is>
      </c>
      <c r="B39" s="472">
        <f>Model!B220+Model!C220+Model!D220</f>
        <v/>
      </c>
      <c r="C39" s="472">
        <f>Model!E220+Model!F220+Model!G220</f>
        <v/>
      </c>
      <c r="D39" s="472">
        <f>Model!H220+Model!I220+Model!J220</f>
        <v/>
      </c>
      <c r="E39" s="472">
        <f>Model!K220+Model!L220+Model!M220</f>
        <v/>
      </c>
      <c r="F39" s="472">
        <f>Model!N220+Model!O220+Model!P220</f>
        <v/>
      </c>
      <c r="G39" s="472">
        <f>Model!Q220+Model!R220+Model!S220</f>
        <v/>
      </c>
      <c r="H39" s="472">
        <f>Model!T220+Model!U220+Model!V220</f>
        <v/>
      </c>
      <c r="I39" s="472">
        <f>Model!W220+Model!X220+Model!Y220</f>
        <v/>
      </c>
      <c r="J39" s="472">
        <f>Model!Z220+Model!AA220+Model!AB220</f>
        <v/>
      </c>
      <c r="K39" s="472">
        <f>Model!AC220+Model!AD220+Model!AE220</f>
        <v/>
      </c>
      <c r="L39" s="472">
        <f>Model!AF220+Model!AG220+Model!AH220</f>
        <v/>
      </c>
      <c r="M39" s="472">
        <f>Model!AI220+Model!AJ220+Model!AK220</f>
        <v/>
      </c>
      <c r="N39" s="472">
        <f>Model!AL220+Model!AM220+Model!AN220</f>
        <v/>
      </c>
      <c r="O39" s="472">
        <f>Model!AO220+Model!AP220+Model!AQ220</f>
        <v/>
      </c>
      <c r="P39" s="472">
        <f>Model!AR220+Model!AS220+Model!AT220</f>
        <v/>
      </c>
      <c r="Q39" s="472">
        <f>Model!AU220+Model!AV220+Model!AW220</f>
        <v/>
      </c>
      <c r="R39" s="472">
        <f>Model!AX220+Model!AY220+Model!AZ220</f>
        <v/>
      </c>
      <c r="S39" s="472">
        <f>Model!BA220+Model!BB220+Model!BC220</f>
        <v/>
      </c>
      <c r="T39" s="472">
        <f>Model!BD220+Model!BE220+Model!BF220</f>
        <v/>
      </c>
      <c r="U39" s="472">
        <f>Model!BG220+Model!BH220+Model!BI220</f>
        <v/>
      </c>
      <c r="V39" s="472">
        <f>Model!BJ220+Model!BK220+Model!BL220</f>
        <v/>
      </c>
      <c r="W39" s="472">
        <f>Model!BM220+Model!BN220+Model!BO220</f>
        <v/>
      </c>
      <c r="X39" s="472">
        <f>Model!BP220+Model!BQ220+Model!BR220</f>
        <v/>
      </c>
      <c r="Y39" s="472">
        <f>Model!BS220+Model!BT220+Model!BU220</f>
        <v/>
      </c>
      <c r="Z39" s="472">
        <f>Model!BV220+Model!BW220+Model!BX220</f>
        <v/>
      </c>
      <c r="AA39" s="472">
        <f>Model!BY220+Model!BZ220+Model!CA220</f>
        <v/>
      </c>
      <c r="AB39" s="472">
        <f>Model!CB220+Model!CC220+Model!CD220</f>
        <v/>
      </c>
      <c r="AC39" s="472">
        <f>Model!CE220+Model!CF220+Model!CG220</f>
        <v/>
      </c>
      <c r="AD39" s="472">
        <f>Model!CH220+Model!CI220+Model!CJ220</f>
        <v/>
      </c>
      <c r="AE39" s="472">
        <f>Model!CK220+Model!CL220+Model!CM220</f>
        <v/>
      </c>
      <c r="AF39" s="472">
        <f>Model!CN220+Model!CO220+Model!CP220</f>
        <v/>
      </c>
      <c r="AG39" s="472">
        <f>Model!CQ220+Model!CR220+Model!CS220</f>
        <v/>
      </c>
      <c r="AH39" s="472">
        <f>Model!CT220+Model!CU220+Model!CV220</f>
        <v/>
      </c>
      <c r="AI39" s="472">
        <f>Model!CW220+Model!CX220+Model!CY220</f>
        <v/>
      </c>
      <c r="AJ39" s="472">
        <f>Model!CZ220+Model!DA220+Model!DB220</f>
        <v/>
      </c>
      <c r="AK39" s="472">
        <f>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472">
        <f>Model!D221</f>
        <v/>
      </c>
      <c r="C40" s="472">
        <f>Model!G221</f>
        <v/>
      </c>
      <c r="D40" s="472">
        <f>Model!J221</f>
        <v/>
      </c>
      <c r="E40" s="472">
        <f>Model!M221</f>
        <v/>
      </c>
      <c r="F40" s="472">
        <f>Model!P221</f>
        <v/>
      </c>
      <c r="G40" s="472">
        <f>Model!S221</f>
        <v/>
      </c>
      <c r="H40" s="472">
        <f>Model!V221</f>
        <v/>
      </c>
      <c r="I40" s="472">
        <f>Model!Y221</f>
        <v/>
      </c>
      <c r="J40" s="472">
        <f>Model!AB221</f>
        <v/>
      </c>
      <c r="K40" s="472">
        <f>Model!AE221</f>
        <v/>
      </c>
      <c r="L40" s="472">
        <f>Model!AH221</f>
        <v/>
      </c>
      <c r="M40" s="472">
        <f>Model!AK221</f>
        <v/>
      </c>
      <c r="N40" s="472">
        <f>Model!AN221</f>
        <v/>
      </c>
      <c r="O40" s="472">
        <f>Model!AQ221</f>
        <v/>
      </c>
      <c r="P40" s="472">
        <f>Model!AT221</f>
        <v/>
      </c>
      <c r="Q40" s="472">
        <f>Model!AW221</f>
        <v/>
      </c>
      <c r="R40" s="472">
        <f>Model!AZ221</f>
        <v/>
      </c>
      <c r="S40" s="472">
        <f>Model!BC221</f>
        <v/>
      </c>
      <c r="T40" s="472">
        <f>Model!BF221</f>
        <v/>
      </c>
      <c r="U40" s="472">
        <f>Model!BI221</f>
        <v/>
      </c>
      <c r="V40" s="472">
        <f>Model!BL221</f>
        <v/>
      </c>
      <c r="W40" s="472">
        <f>Model!BO221</f>
        <v/>
      </c>
      <c r="X40" s="472">
        <f>Model!BR221</f>
        <v/>
      </c>
      <c r="Y40" s="472">
        <f>Model!BU221</f>
        <v/>
      </c>
      <c r="Z40" s="472">
        <f>Model!BX221</f>
        <v/>
      </c>
      <c r="AA40" s="472">
        <f>Model!CA221</f>
        <v/>
      </c>
      <c r="AB40" s="472">
        <f>Model!CD221</f>
        <v/>
      </c>
      <c r="AC40" s="472">
        <f>Model!CG221</f>
        <v/>
      </c>
      <c r="AD40" s="472">
        <f>Model!CJ221</f>
        <v/>
      </c>
      <c r="AE40" s="472">
        <f>Model!CM221</f>
        <v/>
      </c>
      <c r="AF40" s="472">
        <f>Model!CP221</f>
        <v/>
      </c>
      <c r="AG40" s="472">
        <f>Model!CS221</f>
        <v/>
      </c>
      <c r="AH40" s="472">
        <f>Model!CV221</f>
        <v/>
      </c>
      <c r="AI40" s="472">
        <f>Model!CY221</f>
        <v/>
      </c>
      <c r="AJ40" s="472">
        <f>Model!DB221</f>
        <v/>
      </c>
      <c r="AK40" s="47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472">
        <f>Model!B226+Model!C226+Model!D226</f>
        <v/>
      </c>
      <c r="C41" s="472">
        <f>Model!E226+Model!F226+Model!G226</f>
        <v/>
      </c>
      <c r="D41" s="472">
        <f>Model!H226+Model!I226+Model!J226</f>
        <v/>
      </c>
      <c r="E41" s="472">
        <f>Model!K226+Model!L226+Model!M226</f>
        <v/>
      </c>
      <c r="F41" s="472">
        <f>Model!N226+Model!O226+Model!P226</f>
        <v/>
      </c>
      <c r="G41" s="472">
        <f>Model!Q226+Model!R226+Model!S226</f>
        <v/>
      </c>
      <c r="H41" s="472">
        <f>Model!T226+Model!U226+Model!V226</f>
        <v/>
      </c>
      <c r="I41" s="472">
        <f>Model!W226+Model!X226+Model!Y226</f>
        <v/>
      </c>
      <c r="J41" s="472">
        <f>Model!Z226+Model!AA226+Model!AB226</f>
        <v/>
      </c>
      <c r="K41" s="472">
        <f>Model!AC226+Model!AD226+Model!AE226</f>
        <v/>
      </c>
      <c r="L41" s="472">
        <f>Model!AF226+Model!AG226+Model!AH226</f>
        <v/>
      </c>
      <c r="M41" s="472">
        <f>Model!AI226+Model!AJ226+Model!AK226</f>
        <v/>
      </c>
      <c r="N41" s="472">
        <f>Model!AL226+Model!AM226+Model!AN226</f>
        <v/>
      </c>
      <c r="O41" s="472">
        <f>Model!AO226+Model!AP226+Model!AQ226</f>
        <v/>
      </c>
      <c r="P41" s="472">
        <f>Model!AR226+Model!AS226+Model!AT226</f>
        <v/>
      </c>
      <c r="Q41" s="472">
        <f>Model!AU226+Model!AV226+Model!AW226</f>
        <v/>
      </c>
      <c r="R41" s="472">
        <f>Model!AX226+Model!AY226+Model!AZ226</f>
        <v/>
      </c>
      <c r="S41" s="472">
        <f>Model!BA226+Model!BB226+Model!BC226</f>
        <v/>
      </c>
      <c r="T41" s="472">
        <f>Model!BD226+Model!BE226+Model!BF226</f>
        <v/>
      </c>
      <c r="U41" s="472">
        <f>Model!BG226+Model!BH226+Model!BI226</f>
        <v/>
      </c>
      <c r="V41" s="472">
        <f>Model!BJ226+Model!BK226+Model!BL226</f>
        <v/>
      </c>
      <c r="W41" s="472">
        <f>Model!BM226+Model!BN226+Model!BO226</f>
        <v/>
      </c>
      <c r="X41" s="472">
        <f>Model!BP226+Model!BQ226+Model!BR226</f>
        <v/>
      </c>
      <c r="Y41" s="472">
        <f>Model!BS226+Model!BT226+Model!BU226</f>
        <v/>
      </c>
      <c r="Z41" s="472">
        <f>Model!BV226+Model!BW226+Model!BX226</f>
        <v/>
      </c>
      <c r="AA41" s="472">
        <f>Model!BY226+Model!BZ226+Model!CA226</f>
        <v/>
      </c>
      <c r="AB41" s="472">
        <f>Model!CB226+Model!CC226+Model!CD226</f>
        <v/>
      </c>
      <c r="AC41" s="472">
        <f>Model!CE226+Model!CF226+Model!CG226</f>
        <v/>
      </c>
      <c r="AD41" s="472">
        <f>Model!CH226+Model!CI226+Model!CJ226</f>
        <v/>
      </c>
      <c r="AE41" s="472">
        <f>Model!CK226+Model!CL226+Model!CM226</f>
        <v/>
      </c>
      <c r="AF41" s="472">
        <f>Model!CN226+Model!CO226+Model!CP226</f>
        <v/>
      </c>
      <c r="AG41" s="472">
        <f>Model!CQ226+Model!CR226+Model!CS226</f>
        <v/>
      </c>
      <c r="AH41" s="472">
        <f>Model!CT226+Model!CU226+Model!CV226</f>
        <v/>
      </c>
      <c r="AI41" s="472">
        <f>Model!CW226+Model!CX226+Model!CY226</f>
        <v/>
      </c>
      <c r="AJ41" s="472">
        <f>Model!CZ226+Model!DA226+Model!DB226</f>
        <v/>
      </c>
      <c r="AK41" s="472">
        <f>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472">
        <f>Model!D227</f>
        <v/>
      </c>
      <c r="C42" s="472">
        <f>Model!G227</f>
        <v/>
      </c>
      <c r="D42" s="472">
        <f>Model!J227</f>
        <v/>
      </c>
      <c r="E42" s="472">
        <f>Model!M227</f>
        <v/>
      </c>
      <c r="F42" s="472">
        <f>Model!P227</f>
        <v/>
      </c>
      <c r="G42" s="472">
        <f>Model!S227</f>
        <v/>
      </c>
      <c r="H42" s="472">
        <f>Model!V227</f>
        <v/>
      </c>
      <c r="I42" s="472">
        <f>Model!Y227</f>
        <v/>
      </c>
      <c r="J42" s="472">
        <f>Model!AB227</f>
        <v/>
      </c>
      <c r="K42" s="472">
        <f>Model!AE227</f>
        <v/>
      </c>
      <c r="L42" s="472">
        <f>Model!AH227</f>
        <v/>
      </c>
      <c r="M42" s="472">
        <f>Model!AK227</f>
        <v/>
      </c>
      <c r="N42" s="472">
        <f>Model!AN227</f>
        <v/>
      </c>
      <c r="O42" s="472">
        <f>Model!AQ227</f>
        <v/>
      </c>
      <c r="P42" s="472">
        <f>Model!AT227</f>
        <v/>
      </c>
      <c r="Q42" s="472">
        <f>Model!AW227</f>
        <v/>
      </c>
      <c r="R42" s="472">
        <f>Model!AZ227</f>
        <v/>
      </c>
      <c r="S42" s="472">
        <f>Model!BC227</f>
        <v/>
      </c>
      <c r="T42" s="472">
        <f>Model!BF227</f>
        <v/>
      </c>
      <c r="U42" s="472">
        <f>Model!BI227</f>
        <v/>
      </c>
      <c r="V42" s="472">
        <f>Model!BL227</f>
        <v/>
      </c>
      <c r="W42" s="472">
        <f>Model!BO227</f>
        <v/>
      </c>
      <c r="X42" s="472">
        <f>Model!BR227</f>
        <v/>
      </c>
      <c r="Y42" s="472">
        <f>Model!BU227</f>
        <v/>
      </c>
      <c r="Z42" s="472">
        <f>Model!BX227</f>
        <v/>
      </c>
      <c r="AA42" s="472">
        <f>Model!CA227</f>
        <v/>
      </c>
      <c r="AB42" s="472">
        <f>Model!CD227</f>
        <v/>
      </c>
      <c r="AC42" s="472">
        <f>Model!CG227</f>
        <v/>
      </c>
      <c r="AD42" s="472">
        <f>Model!CJ227</f>
        <v/>
      </c>
      <c r="AE42" s="472">
        <f>Model!CM227</f>
        <v/>
      </c>
      <c r="AF42" s="472">
        <f>Model!CP227</f>
        <v/>
      </c>
      <c r="AG42" s="472">
        <f>Model!CS227</f>
        <v/>
      </c>
      <c r="AH42" s="472">
        <f>Model!CV227</f>
        <v/>
      </c>
      <c r="AI42" s="472">
        <f>Model!CY227</f>
        <v/>
      </c>
      <c r="AJ42" s="472">
        <f>Model!DB227</f>
        <v/>
      </c>
      <c r="AK42" s="47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472">
        <f>Model!B280+Model!C280+Model!D280</f>
        <v/>
      </c>
      <c r="C43" s="472">
        <f>Model!E280+Model!F280+Model!G280</f>
        <v/>
      </c>
      <c r="D43" s="472">
        <f>Model!H280+Model!I280+Model!J280</f>
        <v/>
      </c>
      <c r="E43" s="472">
        <f>Model!K280+Model!L280+Model!M280</f>
        <v/>
      </c>
      <c r="F43" s="472">
        <f>Model!N280+Model!O280+Model!P280</f>
        <v/>
      </c>
      <c r="G43" s="472">
        <f>Model!Q280+Model!R280+Model!S280</f>
        <v/>
      </c>
      <c r="H43" s="472">
        <f>Model!T280+Model!U280+Model!V280</f>
        <v/>
      </c>
      <c r="I43" s="472">
        <f>Model!W280+Model!X280+Model!Y280</f>
        <v/>
      </c>
      <c r="J43" s="472">
        <f>Model!Z280+Model!AA280+Model!AB280</f>
        <v/>
      </c>
      <c r="K43" s="472">
        <f>Model!AC280+Model!AD280+Model!AE280</f>
        <v/>
      </c>
      <c r="L43" s="472">
        <f>Model!AF280+Model!AG280+Model!AH280</f>
        <v/>
      </c>
      <c r="M43" s="472">
        <f>Model!AI280+Model!AJ280+Model!AK280</f>
        <v/>
      </c>
      <c r="N43" s="472">
        <f>Model!AL280+Model!AM280+Model!AN280</f>
        <v/>
      </c>
      <c r="O43" s="472">
        <f>Model!AO280+Model!AP280+Model!AQ280</f>
        <v/>
      </c>
      <c r="P43" s="472">
        <f>Model!AR280+Model!AS280+Model!AT280</f>
        <v/>
      </c>
      <c r="Q43" s="472">
        <f>Model!AU280+Model!AV280+Model!AW280</f>
        <v/>
      </c>
      <c r="R43" s="472">
        <f>Model!AX280+Model!AY280+Model!AZ280</f>
        <v/>
      </c>
      <c r="S43" s="472">
        <f>Model!BA280+Model!BB280+Model!BC280</f>
        <v/>
      </c>
      <c r="T43" s="472">
        <f>Model!BD280+Model!BE280+Model!BF280</f>
        <v/>
      </c>
      <c r="U43" s="472">
        <f>Model!BG280+Model!BH280+Model!BI280</f>
        <v/>
      </c>
      <c r="V43" s="472">
        <f>Model!BJ280+Model!BK280+Model!BL280</f>
        <v/>
      </c>
      <c r="W43" s="472">
        <f>Model!BM280+Model!BN280+Model!BO280</f>
        <v/>
      </c>
      <c r="X43" s="472">
        <f>Model!BP280+Model!BQ280+Model!BR280</f>
        <v/>
      </c>
      <c r="Y43" s="472">
        <f>Model!BS280+Model!BT280+Model!BU280</f>
        <v/>
      </c>
      <c r="Z43" s="472">
        <f>Model!BV280+Model!BW280+Model!BX280</f>
        <v/>
      </c>
      <c r="AA43" s="472">
        <f>Model!BY280+Model!BZ280+Model!CA280</f>
        <v/>
      </c>
      <c r="AB43" s="472">
        <f>Model!CB280+Model!CC280+Model!CD280</f>
        <v/>
      </c>
      <c r="AC43" s="472">
        <f>Model!CE280+Model!CF280+Model!CG280</f>
        <v/>
      </c>
      <c r="AD43" s="472">
        <f>Model!CH280+Model!CI280+Model!CJ280</f>
        <v/>
      </c>
      <c r="AE43" s="472">
        <f>Model!CK280+Model!CL280+Model!CM280</f>
        <v/>
      </c>
      <c r="AF43" s="472">
        <f>Model!CN280+Model!CO280+Model!CP280</f>
        <v/>
      </c>
      <c r="AG43" s="472">
        <f>Model!CQ280+Model!CR280+Model!CS280</f>
        <v/>
      </c>
      <c r="AH43" s="472">
        <f>Model!CT280+Model!CU280+Model!CV280</f>
        <v/>
      </c>
      <c r="AI43" s="472">
        <f>Model!CW280+Model!CX280+Model!CY280</f>
        <v/>
      </c>
      <c r="AJ43" s="472">
        <f>Model!CZ280+Model!DA280+Model!DB280</f>
        <v/>
      </c>
      <c r="AK43" s="472">
        <f>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472">
        <f>Model!D234+Model!D239+Model!D244+Model!D249</f>
        <v/>
      </c>
      <c r="C44" s="472">
        <f>Model!G234+Model!G239+Model!G244+Model!G249</f>
        <v/>
      </c>
      <c r="D44" s="472">
        <f>Model!J234+Model!J239+Model!J244+Model!J249</f>
        <v/>
      </c>
      <c r="E44" s="472">
        <f>Model!M234+Model!M239+Model!M244+Model!M249</f>
        <v/>
      </c>
      <c r="F44" s="472">
        <f>Model!P234+Model!P239+Model!P244+Model!P249</f>
        <v/>
      </c>
      <c r="G44" s="472">
        <f>Model!S234+Model!S239+Model!S244+Model!S249</f>
        <v/>
      </c>
      <c r="H44" s="472">
        <f>Model!V234+Model!V239+Model!V244+Model!V249</f>
        <v/>
      </c>
      <c r="I44" s="472">
        <f>Model!Y234+Model!Y239+Model!Y244+Model!Y249</f>
        <v/>
      </c>
      <c r="J44" s="472">
        <f>Model!AB234+Model!AB239+Model!AB244+Model!AB249</f>
        <v/>
      </c>
      <c r="K44" s="472">
        <f>Model!AE234+Model!AE239+Model!AE244+Model!AE249</f>
        <v/>
      </c>
      <c r="L44" s="472">
        <f>Model!AH234+Model!AH239+Model!AH244+Model!AH249</f>
        <v/>
      </c>
      <c r="M44" s="472">
        <f>Model!AK234+Model!AK239+Model!AK244+Model!AK249</f>
        <v/>
      </c>
      <c r="N44" s="472">
        <f>Model!AN234+Model!AN239+Model!AN244+Model!AN249</f>
        <v/>
      </c>
      <c r="O44" s="472">
        <f>Model!AQ234+Model!AQ239+Model!AQ244+Model!AQ249</f>
        <v/>
      </c>
      <c r="P44" s="472">
        <f>Model!AT234+Model!AT239+Model!AT244+Model!AT249</f>
        <v/>
      </c>
      <c r="Q44" s="472">
        <f>Model!AW234+Model!AW239+Model!AW244+Model!AW249</f>
        <v/>
      </c>
      <c r="R44" s="472">
        <f>Model!AZ234+Model!AZ239+Model!AZ244+Model!AZ249</f>
        <v/>
      </c>
      <c r="S44" s="472">
        <f>Model!BC234+Model!BC239+Model!BC244+Model!BC249</f>
        <v/>
      </c>
      <c r="T44" s="472">
        <f>Model!BF234+Model!BF239+Model!BF244+Model!BF249</f>
        <v/>
      </c>
      <c r="U44" s="472">
        <f>Model!BI234+Model!BI239+Model!BI244+Model!BI249</f>
        <v/>
      </c>
      <c r="V44" s="472">
        <f>Model!BL234+Model!BL239+Model!BL244+Model!BL249</f>
        <v/>
      </c>
      <c r="W44" s="472">
        <f>Model!BO234+Model!BO239+Model!BO244+Model!BO249</f>
        <v/>
      </c>
      <c r="X44" s="472">
        <f>Model!BR234+Model!BR239+Model!BR244+Model!BR249</f>
        <v/>
      </c>
      <c r="Y44" s="472">
        <f>Model!BU234+Model!BU239+Model!BU244+Model!BU249</f>
        <v/>
      </c>
      <c r="Z44" s="472">
        <f>Model!BX234+Model!BX239+Model!BX244+Model!BX249</f>
        <v/>
      </c>
      <c r="AA44" s="472">
        <f>Model!CA234+Model!CA239+Model!CA244+Model!CA249</f>
        <v/>
      </c>
      <c r="AB44" s="472">
        <f>Model!CD234+Model!CD239+Model!CD244+Model!CD249</f>
        <v/>
      </c>
      <c r="AC44" s="472">
        <f>Model!CG234+Model!CG239+Model!CG244+Model!CG249</f>
        <v/>
      </c>
      <c r="AD44" s="472">
        <f>Model!CJ234+Model!CJ239+Model!CJ244+Model!CJ249</f>
        <v/>
      </c>
      <c r="AE44" s="472">
        <f>Model!CM234+Model!CM239+Model!CM244+Model!CM249</f>
        <v/>
      </c>
      <c r="AF44" s="472">
        <f>Model!CP234+Model!CP239+Model!CP244+Model!CP249</f>
        <v/>
      </c>
      <c r="AG44" s="472">
        <f>Model!CS234+Model!CS239+Model!CS244+Model!CS249</f>
        <v/>
      </c>
      <c r="AH44" s="472">
        <f>Model!CV234+Model!CV239+Model!CV244+Model!CV249</f>
        <v/>
      </c>
      <c r="AI44" s="472">
        <f>Model!CY234+Model!CY239+Model!CY244+Model!CY249</f>
        <v/>
      </c>
      <c r="AJ44" s="472">
        <f>Model!DB234+Model!DB239+Model!DB244+Model!DB249</f>
        <v/>
      </c>
      <c r="AK44" s="472">
        <f>Model!DE234+Model!DE239+Model!DE244+Model!DE249</f>
        <v/>
      </c>
    </row>
    <row r="45" ht="15" customFormat="1" customHeight="1" s="380">
      <c r="A45" s="382" t="n"/>
      <c r="B45" s="382" t="n"/>
      <c r="C45" s="382" t="n"/>
      <c r="D45" s="382" t="n"/>
      <c r="E45" s="382" t="n"/>
      <c r="F45" s="382" t="n"/>
      <c r="G45" s="382" t="n"/>
      <c r="H45" s="382" t="n"/>
      <c r="I45" s="382" t="n"/>
      <c r="J45" s="382" t="n"/>
      <c r="K45" s="382" t="n"/>
      <c r="L45" s="382" t="n"/>
      <c r="M45" s="382" t="n"/>
      <c r="N45" s="382" t="n"/>
      <c r="O45" s="382" t="n"/>
      <c r="P45" s="382" t="n"/>
      <c r="Q45" s="382" t="n"/>
      <c r="R45" s="382" t="n"/>
      <c r="S45" s="382" t="n"/>
      <c r="T45" s="382" t="n"/>
      <c r="U45" s="382" t="n"/>
      <c r="V45" s="382" t="n"/>
      <c r="W45" s="382" t="n"/>
      <c r="X45" s="382" t="n"/>
      <c r="Y45" s="382" t="n"/>
      <c r="Z45" s="382" t="n"/>
      <c r="AA45" s="382" t="n"/>
      <c r="AB45" s="382" t="n"/>
      <c r="AC45" s="382" t="n"/>
      <c r="AD45" s="382" t="n"/>
      <c r="AE45" s="382" t="n"/>
      <c r="AF45" s="382" t="n"/>
      <c r="AG45" s="382" t="n"/>
      <c r="AH45" s="382" t="n"/>
      <c r="AI45" s="382" t="n"/>
      <c r="AJ45" s="382" t="n"/>
      <c r="AK45" s="382" t="n"/>
    </row>
    <row r="46" ht="15" customFormat="1" customHeight="1" s="380">
      <c r="A46" s="397" t="inlineStr">
        <is>
          <t>Bonding Outstanding</t>
        </is>
      </c>
      <c r="B46" s="472">
        <f>Model!D260</f>
        <v/>
      </c>
      <c r="C46" s="472">
        <f>Model!G260</f>
        <v/>
      </c>
      <c r="D46" s="472">
        <f>Model!J260</f>
        <v/>
      </c>
      <c r="E46" s="472">
        <f>Model!M260</f>
        <v/>
      </c>
      <c r="F46" s="472">
        <f>Model!P260</f>
        <v/>
      </c>
      <c r="G46" s="472">
        <f>Model!S260</f>
        <v/>
      </c>
      <c r="H46" s="472">
        <f>Model!V260</f>
        <v/>
      </c>
      <c r="I46" s="472">
        <f>Model!Y260</f>
        <v/>
      </c>
      <c r="J46" s="472">
        <f>Model!AB260</f>
        <v/>
      </c>
      <c r="K46" s="472">
        <f>Model!AE260</f>
        <v/>
      </c>
      <c r="L46" s="472">
        <f>Model!AH260</f>
        <v/>
      </c>
      <c r="M46" s="472">
        <f>Model!AK260</f>
        <v/>
      </c>
      <c r="N46" s="472">
        <f>Model!AN260</f>
        <v/>
      </c>
      <c r="O46" s="472">
        <f>Model!AQ260</f>
        <v/>
      </c>
      <c r="P46" s="472">
        <f>Model!AT260</f>
        <v/>
      </c>
      <c r="Q46" s="472">
        <f>Model!AW260</f>
        <v/>
      </c>
      <c r="R46" s="472">
        <f>Model!AZ260</f>
        <v/>
      </c>
      <c r="S46" s="472">
        <f>Model!BC260</f>
        <v/>
      </c>
      <c r="T46" s="472">
        <f>Model!BF260</f>
        <v/>
      </c>
      <c r="U46" s="472">
        <f>Model!BI260</f>
        <v/>
      </c>
      <c r="V46" s="472">
        <f>Model!BL260</f>
        <v/>
      </c>
      <c r="W46" s="472">
        <f>Model!BO260</f>
        <v/>
      </c>
      <c r="X46" s="472">
        <f>Model!BR260</f>
        <v/>
      </c>
      <c r="Y46" s="472">
        <f>Model!BU260</f>
        <v/>
      </c>
      <c r="Z46" s="472">
        <f>Model!BX260</f>
        <v/>
      </c>
      <c r="AA46" s="472">
        <f>Model!CA260</f>
        <v/>
      </c>
      <c r="AB46" s="472">
        <f>Model!CD260</f>
        <v/>
      </c>
      <c r="AC46" s="472">
        <f>Model!CG260</f>
        <v/>
      </c>
      <c r="AD46" s="472">
        <f>Model!CJ260</f>
        <v/>
      </c>
      <c r="AE46" s="472">
        <f>Model!CM260</f>
        <v/>
      </c>
      <c r="AF46" s="472">
        <f>Model!CP260</f>
        <v/>
      </c>
      <c r="AG46" s="472">
        <f>Model!CS260</f>
        <v/>
      </c>
      <c r="AH46" s="472">
        <f>Model!CV260</f>
        <v/>
      </c>
      <c r="AI46" s="472">
        <f>Model!CY260</f>
        <v/>
      </c>
      <c r="AJ46" s="472">
        <f>Model!DB260</f>
        <v/>
      </c>
      <c r="AK46" s="472">
        <f>Model!DE260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</row>
    <row r="48" ht="15" customFormat="1" customHeight="1" s="380">
      <c r="A48" s="461" t="inlineStr">
        <is>
          <t>LV Ending Cash</t>
        </is>
      </c>
      <c r="B48" s="462">
        <f>Model!D273</f>
        <v/>
      </c>
      <c r="C48" s="462">
        <f>Model!G273</f>
        <v/>
      </c>
      <c r="D48" s="462">
        <f>Model!J273</f>
        <v/>
      </c>
      <c r="E48" s="462">
        <f>Model!M273</f>
        <v/>
      </c>
      <c r="F48" s="462">
        <f>Model!P273</f>
        <v/>
      </c>
      <c r="G48" s="462">
        <f>Model!S273</f>
        <v/>
      </c>
      <c r="H48" s="462">
        <f>Model!V273</f>
        <v/>
      </c>
      <c r="I48" s="462">
        <f>Model!Y273</f>
        <v/>
      </c>
      <c r="J48" s="462">
        <f>Model!AB273</f>
        <v/>
      </c>
      <c r="K48" s="462">
        <f>Model!AE273</f>
        <v/>
      </c>
      <c r="L48" s="462">
        <f>Model!AH273</f>
        <v/>
      </c>
      <c r="M48" s="462">
        <f>Model!AK273</f>
        <v/>
      </c>
      <c r="N48" s="462">
        <f>Model!AN273</f>
        <v/>
      </c>
      <c r="O48" s="462">
        <f>Model!AQ273</f>
        <v/>
      </c>
      <c r="P48" s="462">
        <f>Model!AT273</f>
        <v/>
      </c>
      <c r="Q48" s="462">
        <f>Model!AW273</f>
        <v/>
      </c>
      <c r="R48" s="462">
        <f>Model!AZ273</f>
        <v/>
      </c>
      <c r="S48" s="462">
        <f>Model!BC273</f>
        <v/>
      </c>
      <c r="T48" s="462">
        <f>Model!BF273</f>
        <v/>
      </c>
      <c r="U48" s="462">
        <f>Model!BI273</f>
        <v/>
      </c>
      <c r="V48" s="462">
        <f>Model!BL273</f>
        <v/>
      </c>
      <c r="W48" s="462">
        <f>Model!BO273</f>
        <v/>
      </c>
      <c r="X48" s="462">
        <f>Model!BR273</f>
        <v/>
      </c>
      <c r="Y48" s="462">
        <f>Model!BU273</f>
        <v/>
      </c>
      <c r="Z48" s="462">
        <f>Model!BX273</f>
        <v/>
      </c>
      <c r="AA48" s="462">
        <f>Model!CA273</f>
        <v/>
      </c>
      <c r="AB48" s="462">
        <f>Model!CD273</f>
        <v/>
      </c>
      <c r="AC48" s="462">
        <f>Model!CG273</f>
        <v/>
      </c>
      <c r="AD48" s="462">
        <f>Model!CJ273</f>
        <v/>
      </c>
      <c r="AE48" s="462">
        <f>Model!CM273</f>
        <v/>
      </c>
      <c r="AF48" s="462">
        <f>Model!CP273</f>
        <v/>
      </c>
      <c r="AG48" s="462">
        <f>Model!CS273</f>
        <v/>
      </c>
      <c r="AH48" s="462">
        <f>Model!CV273</f>
        <v/>
      </c>
      <c r="AI48" s="462">
        <f>Model!CY273</f>
        <v/>
      </c>
      <c r="AJ48" s="462">
        <f>Model!DB273</f>
        <v/>
      </c>
      <c r="AK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Model!D281</f>
        <v/>
      </c>
      <c r="C49" s="462">
        <f>Model!G281</f>
        <v/>
      </c>
      <c r="D49" s="462">
        <f>Model!J281</f>
        <v/>
      </c>
      <c r="E49" s="462">
        <f>Model!M281</f>
        <v/>
      </c>
      <c r="F49" s="462">
        <f>Model!P281</f>
        <v/>
      </c>
      <c r="G49" s="462">
        <f>Model!S281</f>
        <v/>
      </c>
      <c r="H49" s="462">
        <f>Model!V281</f>
        <v/>
      </c>
      <c r="I49" s="462">
        <f>Model!Y281</f>
        <v/>
      </c>
      <c r="J49" s="462">
        <f>Model!AB281</f>
        <v/>
      </c>
      <c r="K49" s="462">
        <f>Model!AE281</f>
        <v/>
      </c>
      <c r="L49" s="462">
        <f>Model!AH281</f>
        <v/>
      </c>
      <c r="M49" s="462">
        <f>Model!AK281</f>
        <v/>
      </c>
      <c r="N49" s="462">
        <f>Model!AN281</f>
        <v/>
      </c>
      <c r="O49" s="462">
        <f>Model!AQ281</f>
        <v/>
      </c>
      <c r="P49" s="462">
        <f>Model!AT281</f>
        <v/>
      </c>
      <c r="Q49" s="462">
        <f>Model!AW281</f>
        <v/>
      </c>
      <c r="R49" s="462">
        <f>Model!AZ281</f>
        <v/>
      </c>
      <c r="S49" s="462">
        <f>Model!BC281</f>
        <v/>
      </c>
      <c r="T49" s="462">
        <f>Model!BF281</f>
        <v/>
      </c>
      <c r="U49" s="462">
        <f>Model!BI281</f>
        <v/>
      </c>
      <c r="V49" s="462">
        <f>Model!BL281</f>
        <v/>
      </c>
      <c r="W49" s="462">
        <f>Model!BO281</f>
        <v/>
      </c>
      <c r="X49" s="462">
        <f>Model!BR281</f>
        <v/>
      </c>
      <c r="Y49" s="462">
        <f>Model!BU281</f>
        <v/>
      </c>
      <c r="Z49" s="462">
        <f>Model!BX281</f>
        <v/>
      </c>
      <c r="AA49" s="462">
        <f>Model!CA281</f>
        <v/>
      </c>
      <c r="AB49" s="462">
        <f>Model!CD281</f>
        <v/>
      </c>
      <c r="AC49" s="462">
        <f>Model!CG281</f>
        <v/>
      </c>
      <c r="AD49" s="462">
        <f>Model!CJ281</f>
        <v/>
      </c>
      <c r="AE49" s="462">
        <f>Model!CM281</f>
        <v/>
      </c>
      <c r="AF49" s="462">
        <f>Model!CP281</f>
        <v/>
      </c>
      <c r="AG49" s="462">
        <f>Model!CS281</f>
        <v/>
      </c>
      <c r="AH49" s="462">
        <f>Model!CV281</f>
        <v/>
      </c>
      <c r="AI49" s="462">
        <f>Model!CY281</f>
        <v/>
      </c>
      <c r="AJ49" s="462">
        <f>Model!DB281</f>
        <v/>
      </c>
      <c r="AK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Model!B285+Model!C285+Model!D285</f>
        <v/>
      </c>
      <c r="C50" s="462">
        <f>Model!E285+Model!F285+Model!G285</f>
        <v/>
      </c>
      <c r="D50" s="462">
        <f>Model!H285+Model!I285+Model!J285</f>
        <v/>
      </c>
      <c r="E50" s="462">
        <f>Model!K285+Model!L285+Model!M285</f>
        <v/>
      </c>
      <c r="F50" s="462">
        <f>Model!N285+Model!O285+Model!P285</f>
        <v/>
      </c>
      <c r="G50" s="462">
        <f>Model!Q285+Model!R285+Model!S285</f>
        <v/>
      </c>
      <c r="H50" s="462">
        <f>Model!T285+Model!U285+Model!V285</f>
        <v/>
      </c>
      <c r="I50" s="462">
        <f>Model!W285+Model!X285+Model!Y285</f>
        <v/>
      </c>
      <c r="J50" s="462">
        <f>Model!Z285+Model!AA285+Model!AB285</f>
        <v/>
      </c>
      <c r="K50" s="462">
        <f>Model!AC285+Model!AD285+Model!AE285</f>
        <v/>
      </c>
      <c r="L50" s="462">
        <f>Model!AF285+Model!AG285+Model!AH285</f>
        <v/>
      </c>
      <c r="M50" s="462">
        <f>Model!AI285+Model!AJ285+Model!AK285</f>
        <v/>
      </c>
      <c r="N50" s="462">
        <f>Model!AL285+Model!AM285+Model!AN285</f>
        <v/>
      </c>
      <c r="O50" s="462">
        <f>Model!AO285+Model!AP285+Model!AQ285</f>
        <v/>
      </c>
      <c r="P50" s="462">
        <f>Model!AR285+Model!AS285+Model!AT285</f>
        <v/>
      </c>
      <c r="Q50" s="462">
        <f>Model!AU285+Model!AV285+Model!AW285</f>
        <v/>
      </c>
      <c r="R50" s="462">
        <f>Model!AX285+Model!AY285+Model!AZ285</f>
        <v/>
      </c>
      <c r="S50" s="462">
        <f>Model!BA285+Model!BB285+Model!BC285</f>
        <v/>
      </c>
      <c r="T50" s="462">
        <f>Model!BD285+Model!BE285+Model!BF285</f>
        <v/>
      </c>
      <c r="U50" s="462">
        <f>Model!BG285+Model!BH285+Model!BI285</f>
        <v/>
      </c>
      <c r="V50" s="462">
        <f>Model!BJ285+Model!BK285+Model!BL285</f>
        <v/>
      </c>
      <c r="W50" s="462">
        <f>Model!BM285+Model!BN285+Model!BO285</f>
        <v/>
      </c>
      <c r="X50" s="462">
        <f>Model!BP285+Model!BQ285+Model!BR285</f>
        <v/>
      </c>
      <c r="Y50" s="462">
        <f>Model!BS285+Model!BT285+Model!BU285</f>
        <v/>
      </c>
      <c r="Z50" s="462">
        <f>Model!BV285+Model!BW285+Model!BX285</f>
        <v/>
      </c>
      <c r="AA50" s="462">
        <f>Model!BY285+Model!BZ285+Model!CA285</f>
        <v/>
      </c>
      <c r="AB50" s="462">
        <f>Model!CB285+Model!CC285+Model!CD285</f>
        <v/>
      </c>
      <c r="AC50" s="462">
        <f>Model!CE285+Model!CF285+Model!CG285</f>
        <v/>
      </c>
      <c r="AD50" s="462">
        <f>Model!CH285+Model!CI285+Model!CJ285</f>
        <v/>
      </c>
      <c r="AE50" s="462">
        <f>Model!CK285+Model!CL285+Model!CM285</f>
        <v/>
      </c>
      <c r="AF50" s="462">
        <f>Model!CN285+Model!CO285+Model!CP285</f>
        <v/>
      </c>
      <c r="AG50" s="462">
        <f>Model!CQ285+Model!CR285+Model!CS285</f>
        <v/>
      </c>
      <c r="AH50" s="462">
        <f>Model!CT285+Model!CU285+Model!CV285</f>
        <v/>
      </c>
      <c r="AI50" s="462">
        <f>Model!CW285+Model!CX285+Model!CY285</f>
        <v/>
      </c>
      <c r="AJ50" s="462">
        <f>Model!CZ285+Model!DA285+Model!DB285</f>
        <v/>
      </c>
      <c r="AK50" s="462">
        <f>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Model!D286</f>
        <v/>
      </c>
      <c r="C51" s="463">
        <f>Model!G286</f>
        <v/>
      </c>
      <c r="D51" s="463">
        <f>Model!J286</f>
        <v/>
      </c>
      <c r="E51" s="463">
        <f>Model!M286</f>
        <v/>
      </c>
      <c r="F51" s="463">
        <f>Model!P286</f>
        <v/>
      </c>
      <c r="G51" s="463">
        <f>Model!S286</f>
        <v/>
      </c>
      <c r="H51" s="463">
        <f>Model!V286</f>
        <v/>
      </c>
      <c r="I51" s="463">
        <f>Model!Y286</f>
        <v/>
      </c>
      <c r="J51" s="463">
        <f>Model!AB286</f>
        <v/>
      </c>
      <c r="K51" s="463">
        <f>Model!AE286</f>
        <v/>
      </c>
      <c r="L51" s="463">
        <f>Model!AH286</f>
        <v/>
      </c>
      <c r="M51" s="463">
        <f>Model!AK286</f>
        <v/>
      </c>
      <c r="N51" s="463">
        <f>Model!AN286</f>
        <v/>
      </c>
      <c r="O51" s="463">
        <f>Model!AQ286</f>
        <v/>
      </c>
      <c r="P51" s="463">
        <f>Model!AT286</f>
        <v/>
      </c>
      <c r="Q51" s="463">
        <f>Model!AW286</f>
        <v/>
      </c>
      <c r="R51" s="463">
        <f>Model!AZ286</f>
        <v/>
      </c>
      <c r="S51" s="463">
        <f>Model!BC286</f>
        <v/>
      </c>
      <c r="T51" s="463">
        <f>Model!BF286</f>
        <v/>
      </c>
      <c r="U51" s="463">
        <f>Model!BI286</f>
        <v/>
      </c>
      <c r="V51" s="463">
        <f>Model!BL286</f>
        <v/>
      </c>
      <c r="W51" s="463">
        <f>Model!BO286</f>
        <v/>
      </c>
      <c r="X51" s="463">
        <f>Model!BR286</f>
        <v/>
      </c>
      <c r="Y51" s="463">
        <f>Model!BU286</f>
        <v/>
      </c>
      <c r="Z51" s="463">
        <f>Model!BX286</f>
        <v/>
      </c>
      <c r="AA51" s="463">
        <f>Model!CA286</f>
        <v/>
      </c>
      <c r="AB51" s="463">
        <f>Model!CD286</f>
        <v/>
      </c>
      <c r="AC51" s="463">
        <f>Model!CG286</f>
        <v/>
      </c>
      <c r="AD51" s="463">
        <f>Model!CJ286</f>
        <v/>
      </c>
      <c r="AE51" s="463">
        <f>Model!CM286</f>
        <v/>
      </c>
      <c r="AF51" s="463">
        <f>Model!CP286</f>
        <v/>
      </c>
      <c r="AG51" s="463">
        <f>Model!CS286</f>
        <v/>
      </c>
      <c r="AH51" s="463">
        <f>Model!CV286</f>
        <v/>
      </c>
      <c r="AI51" s="463">
        <f>Model!CY286</f>
        <v/>
      </c>
      <c r="AJ51" s="463">
        <f>Model!DB286</f>
        <v/>
      </c>
      <c r="AK51" s="463">
        <f>Model!DE286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T115"/>
  <sheetViews>
    <sheetView showFormulas="0" showGridLines="1" showRowColHeaders="1" showZeros="1" rightToLeft="0" tabSelected="0" showOutlineSymbols="1" defaultGridColor="1" view="normal" topLeftCell="A36" colorId="64" zoomScale="85" zoomScaleNormal="85" zoomScalePageLayoutView="100" workbookViewId="0">
      <selection pane="topLeft" activeCell="J62" activeCellId="0" sqref="J62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99"/>
  </cols>
  <sheetData>
    <row r="1" ht="17.25" customFormat="1" customHeight="1" s="380">
      <c r="A1" s="473" t="inlineStr">
        <is>
          <t>ACTUALS — monthly input area</t>
        </is>
      </c>
    </row>
    <row r="2" ht="15" customFormat="1" customHeight="1" s="380">
      <c r="A2" s="452" t="inlineStr">
        <is>
          <t>Enter close numbers from Yardi here. Blank = no actual yet (Model uses forecast).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</row>
    <row r="3" ht="15" customFormat="1" customHeight="1" s="380">
      <c r="A3" s="475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  <c r="O3" s="475" t="n">
        <v>10</v>
      </c>
      <c r="P3" s="475" t="n">
        <v>11</v>
      </c>
      <c r="Q3" s="475" t="n">
        <v>12</v>
      </c>
      <c r="R3" s="475" t="n">
        <v>13</v>
      </c>
      <c r="S3" s="475" t="n">
        <v>14</v>
      </c>
      <c r="T3" s="475" t="n">
        <v>15</v>
      </c>
      <c r="U3" s="475" t="n">
        <v>16</v>
      </c>
      <c r="V3" s="475" t="n">
        <v>17</v>
      </c>
      <c r="W3" s="475" t="n">
        <v>18</v>
      </c>
      <c r="X3" s="475" t="n">
        <v>19</v>
      </c>
      <c r="Y3" s="475" t="n">
        <v>20</v>
      </c>
      <c r="Z3" s="475" t="n">
        <v>21</v>
      </c>
      <c r="AA3" s="475" t="n">
        <v>22</v>
      </c>
      <c r="AB3" s="475" t="n">
        <v>23</v>
      </c>
      <c r="AC3" s="475" t="n">
        <v>24</v>
      </c>
      <c r="AD3" s="475" t="n">
        <v>25</v>
      </c>
      <c r="AE3" s="475" t="n">
        <v>26</v>
      </c>
      <c r="AF3" s="475" t="n">
        <v>27</v>
      </c>
      <c r="AG3" s="475" t="n">
        <v>28</v>
      </c>
      <c r="AH3" s="475" t="n">
        <v>29</v>
      </c>
      <c r="AI3" s="475" t="n">
        <v>30</v>
      </c>
      <c r="AJ3" s="475" t="n">
        <v>31</v>
      </c>
      <c r="AK3" s="475" t="n">
        <v>32</v>
      </c>
      <c r="AL3" s="475" t="n">
        <v>33</v>
      </c>
      <c r="AM3" s="475" t="n">
        <v>34</v>
      </c>
      <c r="AN3" s="475" t="n">
        <v>35</v>
      </c>
      <c r="AO3" s="475" t="n">
        <v>36</v>
      </c>
      <c r="AP3" s="475" t="n">
        <v>37</v>
      </c>
      <c r="AQ3" s="475" t="n">
        <v>38</v>
      </c>
      <c r="AR3" s="475" t="n">
        <v>39</v>
      </c>
      <c r="AS3" s="475" t="n">
        <v>40</v>
      </c>
      <c r="AT3" s="475" t="n">
        <v>41</v>
      </c>
      <c r="AU3" s="475" t="n">
        <v>42</v>
      </c>
      <c r="AV3" s="475" t="n">
        <v>43</v>
      </c>
      <c r="AW3" s="475" t="n">
        <v>44</v>
      </c>
      <c r="AX3" s="475" t="n">
        <v>45</v>
      </c>
      <c r="AY3" s="475" t="n">
        <v>46</v>
      </c>
      <c r="AZ3" s="475" t="n">
        <v>47</v>
      </c>
      <c r="BA3" s="475" t="n">
        <v>48</v>
      </c>
      <c r="BB3" s="475" t="n">
        <v>49</v>
      </c>
      <c r="BC3" s="475" t="n">
        <v>50</v>
      </c>
      <c r="BD3" s="475" t="n">
        <v>51</v>
      </c>
      <c r="BE3" s="475" t="n">
        <v>52</v>
      </c>
      <c r="BF3" s="475" t="n">
        <v>53</v>
      </c>
      <c r="BG3" s="475" t="n">
        <v>54</v>
      </c>
      <c r="BH3" s="475" t="n">
        <v>55</v>
      </c>
      <c r="BI3" s="475" t="n">
        <v>56</v>
      </c>
      <c r="BJ3" s="475" t="n">
        <v>57</v>
      </c>
      <c r="BK3" s="475" t="n">
        <v>58</v>
      </c>
      <c r="BL3" s="475" t="n">
        <v>59</v>
      </c>
      <c r="BM3" s="475" t="n">
        <v>60</v>
      </c>
      <c r="BN3" s="475" t="n">
        <v>61</v>
      </c>
      <c r="BO3" s="475" t="n">
        <v>62</v>
      </c>
      <c r="BP3" s="475" t="n">
        <v>63</v>
      </c>
      <c r="BQ3" s="475" t="n">
        <v>64</v>
      </c>
      <c r="BR3" s="475" t="n">
        <v>65</v>
      </c>
      <c r="BS3" s="475" t="n">
        <v>66</v>
      </c>
      <c r="BT3" s="475" t="n">
        <v>67</v>
      </c>
      <c r="BU3" s="475" t="n">
        <v>68</v>
      </c>
      <c r="BV3" s="475" t="n">
        <v>69</v>
      </c>
      <c r="BW3" s="475" t="n">
        <v>70</v>
      </c>
      <c r="BX3" s="475" t="n">
        <v>71</v>
      </c>
      <c r="BY3" s="475" t="n">
        <v>72</v>
      </c>
      <c r="BZ3" s="475" t="n">
        <v>73</v>
      </c>
      <c r="CA3" s="475" t="n">
        <v>74</v>
      </c>
      <c r="CB3" s="475" t="n">
        <v>75</v>
      </c>
      <c r="CC3" s="475" t="n">
        <v>76</v>
      </c>
      <c r="CD3" s="475" t="n">
        <v>77</v>
      </c>
      <c r="CE3" s="475" t="n">
        <v>78</v>
      </c>
      <c r="CF3" s="475" t="n">
        <v>79</v>
      </c>
      <c r="CG3" s="475" t="n">
        <v>80</v>
      </c>
      <c r="CH3" s="475" t="n">
        <v>81</v>
      </c>
      <c r="CI3" s="475" t="n">
        <v>82</v>
      </c>
      <c r="CJ3" s="475" t="n">
        <v>83</v>
      </c>
      <c r="CK3" s="475" t="n">
        <v>84</v>
      </c>
      <c r="CL3" s="475" t="n">
        <v>85</v>
      </c>
      <c r="CM3" s="475" t="n">
        <v>86</v>
      </c>
      <c r="CN3" s="475" t="n">
        <v>87</v>
      </c>
      <c r="CO3" s="475" t="n">
        <v>88</v>
      </c>
      <c r="CP3" s="475" t="n">
        <v>89</v>
      </c>
      <c r="CQ3" s="475" t="n">
        <v>90</v>
      </c>
      <c r="CR3" s="475" t="n">
        <v>91</v>
      </c>
      <c r="CS3" s="475" t="n">
        <v>92</v>
      </c>
      <c r="CT3" s="475" t="n">
        <v>93</v>
      </c>
    </row>
    <row r="7" ht="15" customFormat="1" customHeight="1" s="380">
      <c r="A7" s="476" t="n"/>
      <c r="C7" s="477" t="n"/>
      <c r="D7" s="477" t="n"/>
      <c r="E7" s="477" t="n"/>
      <c r="F7" s="477" t="n"/>
      <c r="G7" s="477" t="n"/>
      <c r="H7" s="477" t="n"/>
      <c r="I7" s="477" t="n"/>
      <c r="J7" s="477" t="n"/>
      <c r="K7" s="477" t="n"/>
      <c r="L7" s="477" t="n"/>
      <c r="M7" s="477" t="n"/>
      <c r="N7" s="477" t="n"/>
      <c r="O7" s="477" t="n"/>
      <c r="P7" s="477" t="n"/>
      <c r="Q7" s="477" t="n"/>
      <c r="R7" s="477" t="n"/>
      <c r="S7" s="477" t="n"/>
      <c r="T7" s="477" t="n"/>
      <c r="U7" s="477" t="n"/>
      <c r="V7" s="477" t="n"/>
      <c r="W7" s="477" t="n"/>
      <c r="X7" s="477" t="n"/>
      <c r="Y7" s="477" t="n"/>
      <c r="Z7" s="477" t="n"/>
      <c r="AA7" s="477" t="n"/>
      <c r="AB7" s="477" t="n"/>
      <c r="AC7" s="477" t="n"/>
      <c r="AD7" s="477" t="n"/>
      <c r="AE7" s="477" t="n"/>
      <c r="AF7" s="477" t="n"/>
      <c r="AG7" s="477" t="n"/>
      <c r="AH7" s="477" t="n"/>
      <c r="AI7" s="477" t="n"/>
      <c r="AJ7" s="477" t="n"/>
      <c r="AK7" s="477" t="n"/>
      <c r="AL7" s="477" t="n"/>
      <c r="AM7" s="477" t="n"/>
      <c r="AN7" s="477" t="n"/>
      <c r="AO7" s="477" t="n"/>
      <c r="AP7" s="477" t="n"/>
      <c r="AQ7" s="477" t="n"/>
      <c r="AR7" s="477" t="n"/>
      <c r="AS7" s="477" t="n"/>
      <c r="AT7" s="477" t="n"/>
      <c r="AU7" s="477" t="n"/>
      <c r="AV7" s="477" t="n"/>
      <c r="AW7" s="477" t="n"/>
      <c r="AX7" s="477" t="n"/>
      <c r="AY7" s="477" t="n"/>
      <c r="AZ7" s="477" t="n"/>
      <c r="BA7" s="477" t="n"/>
      <c r="BB7" s="477" t="n"/>
      <c r="BC7" s="477" t="n"/>
      <c r="BD7" s="477" t="n"/>
      <c r="BE7" s="477" t="n"/>
      <c r="BF7" s="477" t="n"/>
      <c r="BG7" s="477" t="n"/>
      <c r="BH7" s="477" t="n"/>
      <c r="BI7" s="477" t="n"/>
      <c r="BJ7" s="477" t="n"/>
      <c r="BK7" s="477" t="n"/>
      <c r="BL7" s="477" t="n"/>
      <c r="BM7" s="477" t="n"/>
      <c r="BN7" s="477" t="n"/>
      <c r="BO7" s="477" t="n"/>
      <c r="BP7" s="477" t="n"/>
      <c r="BQ7" s="477" t="n"/>
      <c r="BR7" s="477" t="n"/>
      <c r="BS7" s="477" t="n"/>
      <c r="BT7" s="477" t="n"/>
      <c r="BU7" s="477" t="n"/>
      <c r="BV7" s="477" t="n"/>
      <c r="BW7" s="477" t="n"/>
      <c r="BX7" s="477" t="n"/>
      <c r="BY7" s="477" t="n"/>
      <c r="BZ7" s="477" t="n"/>
      <c r="CA7" s="477" t="n"/>
      <c r="CB7" s="477" t="n"/>
      <c r="CC7" s="477" t="n"/>
      <c r="CD7" s="477" t="n"/>
      <c r="CE7" s="477" t="n"/>
      <c r="CF7" s="477" t="n"/>
      <c r="CG7" s="477" t="n"/>
      <c r="CH7" s="477" t="n"/>
      <c r="CI7" s="477" t="n"/>
      <c r="CJ7" s="477" t="n"/>
      <c r="CK7" s="477" t="n"/>
      <c r="CL7" s="477" t="n"/>
      <c r="CM7" s="477" t="n"/>
      <c r="CN7" s="477" t="n"/>
      <c r="CO7" s="477" t="n"/>
      <c r="CP7" s="477" t="n"/>
      <c r="CQ7" s="477" t="n"/>
      <c r="CR7" s="477" t="n"/>
      <c r="CS7" s="477" t="n"/>
      <c r="CT7" s="477" t="n"/>
    </row>
    <row r="8" ht="15" customFormat="1" customHeight="1" s="380">
      <c r="A8" s="478" t="inlineStr">
        <is>
          <t>Other GC Income</t>
        </is>
      </c>
      <c r="C8" s="477" t="n">
        <v>116367.35</v>
      </c>
      <c r="D8" s="477" t="n">
        <v>138804.22</v>
      </c>
      <c r="E8" s="477" t="n">
        <v>219366.88</v>
      </c>
      <c r="F8" s="477" t="n">
        <v>212079.14</v>
      </c>
      <c r="G8" s="477" t="n">
        <v>267726.14</v>
      </c>
      <c r="H8" s="477" t="n">
        <v>374773.89</v>
      </c>
      <c r="I8" s="477" t="n">
        <v>344954.34</v>
      </c>
      <c r="J8" s="477" t="n"/>
      <c r="K8" s="477" t="n"/>
      <c r="L8" s="477" t="n"/>
      <c r="M8" s="477" t="n"/>
      <c r="N8" s="477" t="n"/>
      <c r="O8" s="477" t="n"/>
      <c r="P8" s="477" t="n"/>
      <c r="Q8" s="477" t="n"/>
      <c r="R8" s="477" t="n"/>
      <c r="S8" s="477" t="n"/>
      <c r="T8" s="477" t="n"/>
      <c r="U8" s="477" t="n"/>
      <c r="V8" s="477" t="n"/>
      <c r="W8" s="477" t="n"/>
      <c r="X8" s="477" t="n"/>
      <c r="Y8" s="477" t="n"/>
      <c r="Z8" s="477" t="n"/>
      <c r="AA8" s="477" t="n"/>
      <c r="AB8" s="477" t="n"/>
      <c r="AC8" s="477" t="n"/>
      <c r="AD8" s="477" t="n"/>
      <c r="AE8" s="477" t="n"/>
      <c r="AF8" s="477" t="n"/>
      <c r="AG8" s="477" t="n"/>
      <c r="AH8" s="477" t="n"/>
      <c r="AI8" s="477" t="n"/>
      <c r="AJ8" s="477" t="n"/>
      <c r="AK8" s="477" t="n"/>
      <c r="AL8" s="477" t="n"/>
      <c r="AM8" s="477" t="n"/>
      <c r="AN8" s="477" t="n"/>
      <c r="AO8" s="477" t="n"/>
      <c r="AP8" s="477" t="n"/>
      <c r="AQ8" s="477" t="n"/>
      <c r="AR8" s="477" t="n"/>
      <c r="AS8" s="477" t="n"/>
      <c r="AT8" s="477" t="n"/>
      <c r="AU8" s="477" t="n"/>
      <c r="AV8" s="477" t="n"/>
      <c r="AW8" s="477" t="n"/>
      <c r="AX8" s="477" t="n"/>
      <c r="AY8" s="477" t="n"/>
      <c r="AZ8" s="477" t="n"/>
      <c r="BA8" s="477" t="n"/>
      <c r="BB8" s="477" t="n"/>
      <c r="BC8" s="477" t="n"/>
      <c r="BD8" s="477" t="n"/>
      <c r="BE8" s="477" t="n"/>
      <c r="BF8" s="477" t="n"/>
      <c r="BG8" s="477" t="n"/>
      <c r="BH8" s="477" t="n"/>
      <c r="BI8" s="477" t="n"/>
      <c r="BJ8" s="477" t="n"/>
      <c r="BK8" s="477" t="n"/>
      <c r="BL8" s="477" t="n"/>
      <c r="BM8" s="477" t="n"/>
      <c r="BN8" s="477" t="n"/>
      <c r="BO8" s="477" t="n"/>
      <c r="BP8" s="477" t="n"/>
      <c r="BQ8" s="477" t="n"/>
      <c r="BR8" s="477" t="n"/>
      <c r="BS8" s="477" t="n"/>
      <c r="BT8" s="477" t="n"/>
      <c r="BU8" s="477" t="n"/>
      <c r="BV8" s="477" t="n"/>
      <c r="BW8" s="477" t="n"/>
      <c r="BX8" s="477" t="n"/>
      <c r="BY8" s="477" t="n"/>
      <c r="BZ8" s="477" t="n"/>
      <c r="CA8" s="477" t="n"/>
      <c r="CB8" s="477" t="n"/>
      <c r="CC8" s="477" t="n"/>
      <c r="CD8" s="477" t="n"/>
      <c r="CE8" s="477" t="n"/>
      <c r="CF8" s="477" t="n"/>
      <c r="CG8" s="477" t="n"/>
      <c r="CH8" s="477" t="n"/>
      <c r="CI8" s="477" t="n"/>
      <c r="CJ8" s="477" t="n"/>
      <c r="CK8" s="477" t="n"/>
      <c r="CL8" s="477" t="n"/>
      <c r="CM8" s="477" t="n"/>
      <c r="CN8" s="477" t="n"/>
      <c r="CO8" s="477" t="n"/>
      <c r="CP8" s="477" t="n"/>
      <c r="CQ8" s="477" t="n"/>
      <c r="CR8" s="477" t="n"/>
      <c r="CS8" s="477" t="n"/>
      <c r="CT8" s="477" t="n"/>
    </row>
    <row r="9" ht="15" customFormat="1" customHeight="1" s="380">
      <c r="A9" s="476" t="inlineStr">
        <is>
          <t>Project Supervision Revenue</t>
        </is>
      </c>
      <c r="C9" s="477" t="n">
        <v>0</v>
      </c>
      <c r="D9" s="477" t="n">
        <v>0</v>
      </c>
      <c r="E9" s="477" t="n">
        <v>0</v>
      </c>
      <c r="F9" s="477" t="n">
        <v>0</v>
      </c>
      <c r="G9" s="477" t="n">
        <v>0</v>
      </c>
      <c r="H9" s="477" t="n">
        <v>0</v>
      </c>
      <c r="I9" s="477" t="n">
        <v>0</v>
      </c>
      <c r="J9" s="477" t="n"/>
      <c r="K9" s="477" t="n"/>
      <c r="L9" s="477" t="n"/>
      <c r="M9" s="477" t="n"/>
      <c r="N9" s="477" t="n"/>
      <c r="O9" s="477" t="n"/>
      <c r="P9" s="477" t="n"/>
      <c r="Q9" s="477" t="n"/>
      <c r="R9" s="477" t="n"/>
      <c r="S9" s="477" t="n"/>
      <c r="T9" s="477" t="n"/>
      <c r="U9" s="477" t="n"/>
      <c r="V9" s="477" t="n"/>
      <c r="W9" s="477" t="n"/>
      <c r="X9" s="477" t="n"/>
      <c r="Y9" s="477" t="n"/>
      <c r="Z9" s="477" t="n"/>
      <c r="AA9" s="477" t="n"/>
      <c r="AB9" s="477" t="n"/>
      <c r="AC9" s="477" t="n"/>
      <c r="AD9" s="477" t="n"/>
      <c r="AE9" s="477" t="n"/>
      <c r="AF9" s="477" t="n"/>
      <c r="AG9" s="477" t="n"/>
      <c r="AH9" s="477" t="n"/>
      <c r="AI9" s="477" t="n"/>
      <c r="AJ9" s="477" t="n"/>
      <c r="AK9" s="477" t="n"/>
      <c r="AL9" s="477" t="n"/>
      <c r="AM9" s="477" t="n"/>
      <c r="AN9" s="477" t="n"/>
      <c r="AO9" s="477" t="n"/>
      <c r="AP9" s="477" t="n"/>
      <c r="AQ9" s="477" t="n"/>
      <c r="AR9" s="477" t="n"/>
      <c r="AS9" s="477" t="n"/>
      <c r="AT9" s="477" t="n"/>
      <c r="AU9" s="477" t="n"/>
      <c r="AV9" s="477" t="n"/>
      <c r="AW9" s="477" t="n"/>
      <c r="AX9" s="477" t="n"/>
      <c r="AY9" s="477" t="n"/>
      <c r="AZ9" s="477" t="n"/>
      <c r="BA9" s="477" t="n"/>
      <c r="BB9" s="477" t="n"/>
      <c r="BC9" s="477" t="n"/>
      <c r="BD9" s="477" t="n"/>
      <c r="BE9" s="477" t="n"/>
      <c r="BF9" s="477" t="n"/>
      <c r="BG9" s="477" t="n"/>
      <c r="BH9" s="477" t="n"/>
      <c r="BI9" s="477" t="n"/>
      <c r="BJ9" s="477" t="n"/>
      <c r="BK9" s="477" t="n"/>
      <c r="BL9" s="477" t="n"/>
      <c r="BM9" s="477" t="n"/>
      <c r="BN9" s="477" t="n"/>
      <c r="BO9" s="477" t="n"/>
      <c r="BP9" s="477" t="n"/>
      <c r="BQ9" s="477" t="n"/>
      <c r="BR9" s="477" t="n"/>
      <c r="BS9" s="477" t="n"/>
      <c r="BT9" s="477" t="n"/>
      <c r="BU9" s="477" t="n"/>
      <c r="BV9" s="477" t="n"/>
      <c r="BW9" s="477" t="n"/>
      <c r="BX9" s="477" t="n"/>
      <c r="BY9" s="477" t="n"/>
      <c r="BZ9" s="477" t="n"/>
      <c r="CA9" s="477" t="n"/>
      <c r="CB9" s="477" t="n"/>
      <c r="CC9" s="477" t="n"/>
      <c r="CD9" s="477" t="n"/>
      <c r="CE9" s="477" t="n"/>
      <c r="CF9" s="477" t="n"/>
      <c r="CG9" s="477" t="n"/>
      <c r="CH9" s="477" t="n"/>
      <c r="CI9" s="477" t="n"/>
      <c r="CJ9" s="477" t="n"/>
      <c r="CK9" s="477" t="n"/>
      <c r="CL9" s="477" t="n"/>
      <c r="CM9" s="477" t="n"/>
      <c r="CN9" s="477" t="n"/>
      <c r="CO9" s="477" t="n"/>
      <c r="CP9" s="477" t="n"/>
      <c r="CQ9" s="477" t="n"/>
      <c r="CR9" s="477" t="n"/>
      <c r="CS9" s="477" t="n"/>
      <c r="CT9" s="477" t="n"/>
    </row>
    <row r="10" ht="15" customFormat="1" customHeight="1" s="380">
      <c r="A10" s="476" t="inlineStr">
        <is>
          <t>GC Fee Income</t>
        </is>
      </c>
      <c r="C10" s="477" t="n">
        <v>95370.25</v>
      </c>
      <c r="D10" s="477" t="n">
        <v>173282.89</v>
      </c>
      <c r="E10" s="477" t="n">
        <v>50438.85</v>
      </c>
      <c r="F10" s="477" t="n">
        <v>167518.85</v>
      </c>
      <c r="G10" s="477" t="n">
        <v>209057.26</v>
      </c>
      <c r="H10" s="477" t="n">
        <v>292966.36</v>
      </c>
      <c r="I10" s="477" t="n">
        <v>271584.24</v>
      </c>
      <c r="J10" s="477" t="n"/>
      <c r="K10" s="477" t="n"/>
      <c r="L10" s="477" t="n"/>
      <c r="M10" s="477" t="n"/>
      <c r="N10" s="477" t="n"/>
      <c r="O10" s="477" t="n"/>
      <c r="P10" s="477" t="n"/>
      <c r="Q10" s="477" t="n"/>
      <c r="R10" s="477" t="n"/>
      <c r="S10" s="477" t="n"/>
      <c r="T10" s="477" t="n"/>
      <c r="U10" s="477" t="n"/>
      <c r="V10" s="477" t="n"/>
      <c r="W10" s="477" t="n"/>
      <c r="X10" s="477" t="n"/>
      <c r="Y10" s="477" t="n"/>
      <c r="Z10" s="477" t="n"/>
      <c r="AA10" s="477" t="n"/>
      <c r="AB10" s="477" t="n"/>
      <c r="AC10" s="477" t="n"/>
      <c r="AD10" s="477" t="n"/>
      <c r="AE10" s="477" t="n"/>
      <c r="AF10" s="477" t="n"/>
      <c r="AG10" s="477" t="n"/>
      <c r="AH10" s="477" t="n"/>
      <c r="AI10" s="477" t="n"/>
      <c r="AJ10" s="477" t="n"/>
      <c r="AK10" s="477" t="n"/>
      <c r="AL10" s="477" t="n"/>
      <c r="AM10" s="477" t="n"/>
      <c r="AN10" s="477" t="n"/>
      <c r="AO10" s="477" t="n"/>
      <c r="AP10" s="477" t="n"/>
      <c r="AQ10" s="477" t="n"/>
      <c r="AR10" s="477" t="n"/>
      <c r="AS10" s="477" t="n"/>
      <c r="AT10" s="477" t="n"/>
      <c r="AU10" s="477" t="n"/>
      <c r="AV10" s="477" t="n"/>
      <c r="AW10" s="477" t="n"/>
      <c r="AX10" s="477" t="n"/>
      <c r="AY10" s="477" t="n"/>
      <c r="AZ10" s="477" t="n"/>
      <c r="BA10" s="477" t="n"/>
      <c r="BB10" s="477" t="n"/>
      <c r="BC10" s="477" t="n"/>
      <c r="BD10" s="477" t="n"/>
      <c r="BE10" s="477" t="n"/>
      <c r="BF10" s="477" t="n"/>
      <c r="BG10" s="477" t="n"/>
      <c r="BH10" s="477" t="n"/>
      <c r="BI10" s="477" t="n"/>
      <c r="BJ10" s="477" t="n"/>
      <c r="BK10" s="477" t="n"/>
      <c r="BL10" s="477" t="n"/>
      <c r="BM10" s="477" t="n"/>
      <c r="BN10" s="477" t="n"/>
      <c r="BO10" s="477" t="n"/>
      <c r="BP10" s="477" t="n"/>
      <c r="BQ10" s="477" t="n"/>
      <c r="BR10" s="477" t="n"/>
      <c r="BS10" s="477" t="n"/>
      <c r="BT10" s="477" t="n"/>
      <c r="BU10" s="477" t="n"/>
      <c r="BV10" s="477" t="n"/>
      <c r="BW10" s="477" t="n"/>
      <c r="BX10" s="477" t="n"/>
      <c r="BY10" s="477" t="n"/>
      <c r="BZ10" s="477" t="n"/>
      <c r="CA10" s="477" t="n"/>
      <c r="CB10" s="477" t="n"/>
      <c r="CC10" s="477" t="n"/>
      <c r="CD10" s="477" t="n"/>
      <c r="CE10" s="477" t="n"/>
      <c r="CF10" s="477" t="n"/>
      <c r="CG10" s="477" t="n"/>
      <c r="CH10" s="477" t="n"/>
      <c r="CI10" s="477" t="n"/>
      <c r="CJ10" s="477" t="n"/>
      <c r="CK10" s="477" t="n"/>
      <c r="CL10" s="477" t="n"/>
      <c r="CM10" s="477" t="n"/>
      <c r="CN10" s="477" t="n"/>
      <c r="CO10" s="477" t="n"/>
      <c r="CP10" s="477" t="n"/>
      <c r="CQ10" s="477" t="n"/>
      <c r="CR10" s="477" t="n"/>
      <c r="CS10" s="477" t="n"/>
      <c r="CT10" s="477" t="n"/>
    </row>
    <row r="11" ht="15" customFormat="1" customHeight="1" s="380">
      <c r="A11" s="476" t="inlineStr">
        <is>
          <t>Project Administration Revenue</t>
        </is>
      </c>
      <c r="C11" s="477" t="n">
        <v>0</v>
      </c>
      <c r="D11" s="477" t="n">
        <v>0</v>
      </c>
      <c r="E11" s="477" t="n">
        <v>0</v>
      </c>
      <c r="F11" s="477" t="n">
        <v>0</v>
      </c>
      <c r="G11" s="477" t="n">
        <v>0</v>
      </c>
      <c r="H11" s="477" t="n">
        <v>0</v>
      </c>
      <c r="I11" s="477" t="n">
        <v>0</v>
      </c>
      <c r="J11" s="477" t="n"/>
      <c r="K11" s="477" t="n"/>
      <c r="L11" s="477" t="n"/>
      <c r="M11" s="477" t="n"/>
      <c r="N11" s="477" t="n"/>
      <c r="O11" s="477" t="n"/>
      <c r="P11" s="477" t="n"/>
      <c r="Q11" s="477" t="n"/>
      <c r="R11" s="477" t="n"/>
      <c r="S11" s="477" t="n"/>
      <c r="T11" s="477" t="n"/>
      <c r="U11" s="477" t="n"/>
      <c r="V11" s="477" t="n"/>
      <c r="W11" s="477" t="n"/>
      <c r="X11" s="477" t="n"/>
      <c r="Y11" s="477" t="n"/>
      <c r="Z11" s="477" t="n"/>
      <c r="AA11" s="477" t="n"/>
      <c r="AB11" s="477" t="n"/>
      <c r="AC11" s="477" t="n"/>
      <c r="AD11" s="477" t="n"/>
      <c r="AE11" s="477" t="n"/>
      <c r="AF11" s="477" t="n"/>
      <c r="AG11" s="477" t="n"/>
      <c r="AH11" s="477" t="n"/>
      <c r="AI11" s="477" t="n"/>
      <c r="AJ11" s="477" t="n"/>
      <c r="AK11" s="477" t="n"/>
      <c r="AL11" s="477" t="n"/>
      <c r="AM11" s="477" t="n"/>
      <c r="AN11" s="477" t="n"/>
      <c r="AO11" s="477" t="n"/>
      <c r="AP11" s="477" t="n"/>
      <c r="AQ11" s="477" t="n"/>
      <c r="AR11" s="477" t="n"/>
      <c r="AS11" s="477" t="n"/>
      <c r="AT11" s="477" t="n"/>
      <c r="AU11" s="477" t="n"/>
      <c r="AV11" s="477" t="n"/>
      <c r="AW11" s="477" t="n"/>
      <c r="AX11" s="477" t="n"/>
      <c r="AY11" s="477" t="n"/>
      <c r="AZ11" s="477" t="n"/>
      <c r="BA11" s="477" t="n"/>
      <c r="BB11" s="477" t="n"/>
      <c r="BC11" s="477" t="n"/>
      <c r="BD11" s="477" t="n"/>
      <c r="BE11" s="477" t="n"/>
      <c r="BF11" s="477" t="n"/>
      <c r="BG11" s="477" t="n"/>
      <c r="BH11" s="477" t="n"/>
      <c r="BI11" s="477" t="n"/>
      <c r="BJ11" s="477" t="n"/>
      <c r="BK11" s="477" t="n"/>
      <c r="BL11" s="477" t="n"/>
      <c r="BM11" s="477" t="n"/>
      <c r="BN11" s="477" t="n"/>
      <c r="BO11" s="477" t="n"/>
      <c r="BP11" s="477" t="n"/>
      <c r="BQ11" s="477" t="n"/>
      <c r="BR11" s="477" t="n"/>
      <c r="BS11" s="477" t="n"/>
      <c r="BT11" s="477" t="n"/>
      <c r="BU11" s="477" t="n"/>
      <c r="BV11" s="477" t="n"/>
      <c r="BW11" s="477" t="n"/>
      <c r="BX11" s="477" t="n"/>
      <c r="BY11" s="477" t="n"/>
      <c r="BZ11" s="477" t="n"/>
      <c r="CA11" s="477" t="n"/>
      <c r="CB11" s="477" t="n"/>
      <c r="CC11" s="477" t="n"/>
      <c r="CD11" s="477" t="n"/>
      <c r="CE11" s="477" t="n"/>
      <c r="CF11" s="477" t="n"/>
      <c r="CG11" s="477" t="n"/>
      <c r="CH11" s="477" t="n"/>
      <c r="CI11" s="477" t="n"/>
      <c r="CJ11" s="477" t="n"/>
      <c r="CK11" s="477" t="n"/>
      <c r="CL11" s="477" t="n"/>
      <c r="CM11" s="477" t="n"/>
      <c r="CN11" s="477" t="n"/>
      <c r="CO11" s="477" t="n"/>
      <c r="CP11" s="477" t="n"/>
      <c r="CQ11" s="477" t="n"/>
      <c r="CR11" s="477" t="n"/>
      <c r="CS11" s="477" t="n"/>
      <c r="CT11" s="477" t="n"/>
    </row>
    <row r="12" ht="15" customFormat="1" customHeight="1" s="380">
      <c r="A12" s="478" t="inlineStr">
        <is>
          <t>Trades and Site Cost Billing</t>
        </is>
      </c>
      <c r="C12" s="477" t="n">
        <v>1242053.19</v>
      </c>
      <c r="D12" s="477" t="n">
        <v>2710434.48</v>
      </c>
      <c r="E12" s="477" t="n">
        <v>2402410.43</v>
      </c>
      <c r="F12" s="477" t="n">
        <v>3312759.91</v>
      </c>
      <c r="G12" s="477" t="n">
        <v>3939278.23</v>
      </c>
      <c r="H12" s="477" t="n">
        <v>5584522.73</v>
      </c>
      <c r="I12" s="477" t="n">
        <v>5358067.07</v>
      </c>
      <c r="J12" s="477" t="n"/>
      <c r="K12" s="477" t="n"/>
      <c r="L12" s="477" t="n"/>
      <c r="M12" s="477" t="n"/>
      <c r="N12" s="477" t="n"/>
      <c r="O12" s="477" t="n"/>
      <c r="P12" s="477" t="n"/>
      <c r="Q12" s="477" t="n"/>
      <c r="R12" s="477" t="n"/>
      <c r="S12" s="477" t="n"/>
      <c r="T12" s="477" t="n"/>
      <c r="U12" s="477" t="n"/>
      <c r="V12" s="477" t="n"/>
      <c r="W12" s="477" t="n"/>
      <c r="X12" s="477" t="n"/>
      <c r="Y12" s="477" t="n"/>
      <c r="Z12" s="477" t="n"/>
      <c r="AA12" s="477" t="n"/>
      <c r="AB12" s="477" t="n"/>
      <c r="AC12" s="477" t="n"/>
      <c r="AD12" s="477" t="n"/>
      <c r="AE12" s="477" t="n"/>
      <c r="AF12" s="477" t="n"/>
      <c r="AG12" s="477" t="n"/>
      <c r="AH12" s="477" t="n"/>
      <c r="AI12" s="477" t="n"/>
      <c r="AJ12" s="477" t="n"/>
      <c r="AK12" s="477" t="n"/>
      <c r="AL12" s="477" t="n"/>
      <c r="AM12" s="477" t="n"/>
      <c r="AN12" s="477" t="n"/>
      <c r="AO12" s="477" t="n"/>
      <c r="AP12" s="477" t="n"/>
      <c r="AQ12" s="477" t="n"/>
      <c r="AR12" s="477" t="n"/>
      <c r="AS12" s="477" t="n"/>
      <c r="AT12" s="477" t="n"/>
      <c r="AU12" s="477" t="n"/>
      <c r="AV12" s="477" t="n"/>
      <c r="AW12" s="477" t="n"/>
      <c r="AX12" s="477" t="n"/>
      <c r="AY12" s="477" t="n"/>
      <c r="AZ12" s="477" t="n"/>
      <c r="BA12" s="477" t="n"/>
      <c r="BB12" s="477" t="n"/>
      <c r="BC12" s="477" t="n"/>
      <c r="BD12" s="477" t="n"/>
      <c r="BE12" s="477" t="n"/>
      <c r="BF12" s="477" t="n"/>
      <c r="BG12" s="477" t="n"/>
      <c r="BH12" s="477" t="n"/>
      <c r="BI12" s="477" t="n"/>
      <c r="BJ12" s="477" t="n"/>
      <c r="BK12" s="477" t="n"/>
      <c r="BL12" s="477" t="n"/>
      <c r="BM12" s="477" t="n"/>
      <c r="BN12" s="477" t="n"/>
      <c r="BO12" s="477" t="n"/>
      <c r="BP12" s="477" t="n"/>
      <c r="BQ12" s="477" t="n"/>
      <c r="BR12" s="477" t="n"/>
      <c r="BS12" s="477" t="n"/>
      <c r="BT12" s="477" t="n"/>
      <c r="BU12" s="477" t="n"/>
      <c r="BV12" s="477" t="n"/>
      <c r="BW12" s="477" t="n"/>
      <c r="BX12" s="477" t="n"/>
      <c r="BY12" s="477" t="n"/>
      <c r="BZ12" s="477" t="n"/>
      <c r="CA12" s="477" t="n"/>
      <c r="CB12" s="477" t="n"/>
      <c r="CC12" s="477" t="n"/>
      <c r="CD12" s="477" t="n"/>
      <c r="CE12" s="477" t="n"/>
      <c r="CF12" s="477" t="n"/>
      <c r="CG12" s="477" t="n"/>
      <c r="CH12" s="477" t="n"/>
      <c r="CI12" s="477" t="n"/>
      <c r="CJ12" s="477" t="n"/>
      <c r="CK12" s="477" t="n"/>
      <c r="CL12" s="477" t="n"/>
      <c r="CM12" s="477" t="n"/>
      <c r="CN12" s="477" t="n"/>
      <c r="CO12" s="477" t="n"/>
      <c r="CP12" s="477" t="n"/>
      <c r="CQ12" s="477" t="n"/>
      <c r="CR12" s="477" t="n"/>
      <c r="CS12" s="477" t="n"/>
      <c r="CT12" s="477" t="n"/>
    </row>
    <row r="13" ht="15" customFormat="1" customHeight="1" s="380">
      <c r="A13" s="473" t="inlineStr">
        <is>
          <t>Total Revenues</t>
        </is>
      </c>
      <c r="C13" s="479">
        <f>C8+C10+C12</f>
        <v/>
      </c>
      <c r="D13" s="479">
        <f>D8+D10+D12</f>
        <v/>
      </c>
      <c r="E13" s="479">
        <f>E8+E10+E12</f>
        <v/>
      </c>
      <c r="F13" s="479">
        <f>F8+F10+F12</f>
        <v/>
      </c>
      <c r="G13" s="479">
        <f>G8+G10+G12</f>
        <v/>
      </c>
      <c r="H13" s="479">
        <f>H8+H10+H12</f>
        <v/>
      </c>
      <c r="I13" s="479">
        <f>I8+I10+I12</f>
        <v/>
      </c>
      <c r="J13" s="479">
        <f>J8+J10+J12</f>
        <v/>
      </c>
      <c r="K13" s="479">
        <f>K8+K10+K12</f>
        <v/>
      </c>
      <c r="L13" s="479">
        <f>L8+L10+L12</f>
        <v/>
      </c>
      <c r="M13" s="479">
        <f>M8+M10+M12</f>
        <v/>
      </c>
      <c r="N13" s="479">
        <f>N8+N10+N12</f>
        <v/>
      </c>
      <c r="O13" s="479">
        <f>O8+O10+O12</f>
        <v/>
      </c>
      <c r="P13" s="479">
        <f>P8+P10+P12</f>
        <v/>
      </c>
      <c r="Q13" s="479">
        <f>Q8+Q10+Q12</f>
        <v/>
      </c>
      <c r="R13" s="479">
        <f>R8+R10+R12</f>
        <v/>
      </c>
      <c r="S13" s="479">
        <f>S8+S10+S12</f>
        <v/>
      </c>
      <c r="T13" s="479">
        <f>T8+T10+T12</f>
        <v/>
      </c>
      <c r="U13" s="479">
        <f>U8+U10+U12</f>
        <v/>
      </c>
      <c r="V13" s="479">
        <f>V8+V10+V12</f>
        <v/>
      </c>
      <c r="W13" s="479">
        <f>W8+W10+W12</f>
        <v/>
      </c>
      <c r="X13" s="479">
        <f>X8+X10+X12</f>
        <v/>
      </c>
      <c r="Y13" s="479">
        <f>Y8+Y10+Y12</f>
        <v/>
      </c>
      <c r="Z13" s="479">
        <f>Z8+Z10+Z12</f>
        <v/>
      </c>
      <c r="AA13" s="479">
        <f>AA8+AA10+AA12</f>
        <v/>
      </c>
      <c r="AB13" s="479">
        <f>AB8+AB10+AB12</f>
        <v/>
      </c>
      <c r="AC13" s="479">
        <f>AC8+AC10+AC12</f>
        <v/>
      </c>
      <c r="AD13" s="479">
        <f>AD8+AD10+AD12</f>
        <v/>
      </c>
      <c r="AE13" s="479">
        <f>AE8+AE10+AE12</f>
        <v/>
      </c>
      <c r="AF13" s="479">
        <f>AF8+AF10+AF12</f>
        <v/>
      </c>
      <c r="AG13" s="479">
        <f>AG8+AG10+AG12</f>
        <v/>
      </c>
      <c r="AH13" s="479">
        <f>AH8+AH10+AH12</f>
        <v/>
      </c>
      <c r="AI13" s="479">
        <f>AI8+AI10+AI12</f>
        <v/>
      </c>
      <c r="AJ13" s="479">
        <f>AJ8+AJ10+AJ12</f>
        <v/>
      </c>
      <c r="AK13" s="479">
        <f>AK8+AK10+AK12</f>
        <v/>
      </c>
      <c r="AL13" s="479">
        <f>AL8+AL10+AL12</f>
        <v/>
      </c>
      <c r="AM13" s="479">
        <f>AM8+AM10+AM12</f>
        <v/>
      </c>
      <c r="AN13" s="479">
        <f>AN8+AN10+AN12</f>
        <v/>
      </c>
      <c r="AO13" s="479">
        <f>AO8+AO10+AO12</f>
        <v/>
      </c>
      <c r="AP13" s="479">
        <f>AP8+AP10+AP12</f>
        <v/>
      </c>
      <c r="AQ13" s="479">
        <f>AQ8+AQ10+AQ12</f>
        <v/>
      </c>
      <c r="AR13" s="479">
        <f>AR8+AR10+AR12</f>
        <v/>
      </c>
      <c r="AS13" s="479">
        <f>AS8+AS10+AS12</f>
        <v/>
      </c>
      <c r="AT13" s="479">
        <f>AT8+AT10+AT12</f>
        <v/>
      </c>
      <c r="AU13" s="479">
        <f>AU8+AU10+AU12</f>
        <v/>
      </c>
      <c r="AV13" s="479">
        <f>AV8+AV10+AV12</f>
        <v/>
      </c>
      <c r="AW13" s="479">
        <f>AW8+AW10+AW12</f>
        <v/>
      </c>
      <c r="AX13" s="479">
        <f>AX8+AX10+AX12</f>
        <v/>
      </c>
      <c r="AY13" s="479">
        <f>AY8+AY10+AY12</f>
        <v/>
      </c>
      <c r="AZ13" s="479">
        <f>AZ8+AZ10+AZ12</f>
        <v/>
      </c>
      <c r="BA13" s="479">
        <f>BA8+BA10+BA12</f>
        <v/>
      </c>
      <c r="BB13" s="479">
        <f>BB8+BB10+BB12</f>
        <v/>
      </c>
      <c r="BC13" s="479">
        <f>BC8+BC10+BC12</f>
        <v/>
      </c>
      <c r="BD13" s="479">
        <f>BD8+BD10+BD12</f>
        <v/>
      </c>
      <c r="BE13" s="479">
        <f>BE8+BE10+BE12</f>
        <v/>
      </c>
      <c r="BF13" s="479">
        <f>BF8+BF10+BF12</f>
        <v/>
      </c>
      <c r="BG13" s="479">
        <f>BG8+BG10+BG12</f>
        <v/>
      </c>
      <c r="BH13" s="479">
        <f>BH8+BH10+BH12</f>
        <v/>
      </c>
      <c r="BI13" s="479">
        <f>BI8+BI10+BI12</f>
        <v/>
      </c>
      <c r="BJ13" s="479">
        <f>BJ8+BJ10+BJ12</f>
        <v/>
      </c>
      <c r="BK13" s="479">
        <f>BK8+BK10+BK12</f>
        <v/>
      </c>
      <c r="BL13" s="479">
        <f>BL8+BL10+BL12</f>
        <v/>
      </c>
      <c r="BM13" s="479">
        <f>BM8+BM10+BM12</f>
        <v/>
      </c>
      <c r="BN13" s="479">
        <f>BN8+BN10+BN12</f>
        <v/>
      </c>
      <c r="BO13" s="479">
        <f>BO8+BO10+BO12</f>
        <v/>
      </c>
      <c r="BP13" s="479">
        <f>BP8+BP10+BP12</f>
        <v/>
      </c>
      <c r="BQ13" s="479">
        <f>BQ8+BQ10+BQ12</f>
        <v/>
      </c>
      <c r="BR13" s="479">
        <f>BR8+BR10+BR12</f>
        <v/>
      </c>
      <c r="BS13" s="479">
        <f>BS8+BS10+BS12</f>
        <v/>
      </c>
      <c r="BT13" s="479">
        <f>BT8+BT10+BT12</f>
        <v/>
      </c>
      <c r="BU13" s="479">
        <f>BU8+BU10+BU12</f>
        <v/>
      </c>
      <c r="BV13" s="479">
        <f>BV8+BV10+BV12</f>
        <v/>
      </c>
      <c r="BW13" s="479">
        <f>BW8+BW10+BW12</f>
        <v/>
      </c>
      <c r="BX13" s="479">
        <f>BX8+BX10+BX12</f>
        <v/>
      </c>
      <c r="BY13" s="479">
        <f>BY8+BY10+BY12</f>
        <v/>
      </c>
      <c r="BZ13" s="479">
        <f>BZ8+BZ10+BZ12</f>
        <v/>
      </c>
      <c r="CA13" s="479">
        <f>CA8+CA10+CA12</f>
        <v/>
      </c>
      <c r="CB13" s="479">
        <f>CB8+CB10+CB12</f>
        <v/>
      </c>
      <c r="CC13" s="479">
        <f>CC8+CC10+CC12</f>
        <v/>
      </c>
      <c r="CD13" s="479">
        <f>CD8+CD10+CD12</f>
        <v/>
      </c>
      <c r="CE13" s="479">
        <f>CE8+CE10+CE12</f>
        <v/>
      </c>
      <c r="CF13" s="479">
        <f>CF8+CF10+CF12</f>
        <v/>
      </c>
      <c r="CG13" s="479">
        <f>CG8+CG10+CG12</f>
        <v/>
      </c>
      <c r="CH13" s="479">
        <f>CH8+CH10+CH12</f>
        <v/>
      </c>
      <c r="CI13" s="479">
        <f>CI8+CI10+CI12</f>
        <v/>
      </c>
      <c r="CJ13" s="479">
        <f>CJ8+CJ10+CJ12</f>
        <v/>
      </c>
      <c r="CK13" s="479">
        <f>CK8+CK10+CK12</f>
        <v/>
      </c>
      <c r="CL13" s="479">
        <f>CL8+CL10+CL12</f>
        <v/>
      </c>
      <c r="CM13" s="479">
        <f>CM8+CM10+CM12</f>
        <v/>
      </c>
      <c r="CN13" s="479">
        <f>CN8+CN10+CN12</f>
        <v/>
      </c>
      <c r="CO13" s="479">
        <f>CO8+CO10+CO12</f>
        <v/>
      </c>
      <c r="CP13" s="479">
        <f>CP8+CP10+CP12</f>
        <v/>
      </c>
      <c r="CQ13" s="479">
        <f>CQ8+CQ10+CQ12</f>
        <v/>
      </c>
      <c r="CR13" s="479">
        <f>CR8+CR10+CR12</f>
        <v/>
      </c>
      <c r="CS13" s="479">
        <f>CS8+CS10+CS12</f>
        <v/>
      </c>
      <c r="CT13" s="479">
        <f>CT8+CT10+CT12</f>
        <v/>
      </c>
    </row>
    <row r="14" ht="15" customFormat="1" customHeight="1" s="380">
      <c r="A14" s="480" t="inlineStr">
        <is>
          <t>COGS — Trades &amp; Site Costs</t>
        </is>
      </c>
      <c r="C14" s="477" t="n">
        <v>-1233067.43</v>
      </c>
      <c r="D14" s="477" t="n">
        <v>-3073522.36</v>
      </c>
      <c r="E14" s="477" t="n">
        <v>-2078031.64</v>
      </c>
      <c r="F14" s="477" t="n">
        <v>-3244999.65</v>
      </c>
      <c r="G14" s="477" t="n">
        <v>-3950524.93</v>
      </c>
      <c r="H14" s="477" t="n">
        <v>-5610911.85</v>
      </c>
      <c r="I14" s="477" t="n">
        <v>-5258946.14</v>
      </c>
      <c r="J14" s="477" t="n"/>
      <c r="K14" s="477" t="n"/>
      <c r="L14" s="477" t="n"/>
      <c r="M14" s="477" t="n"/>
      <c r="N14" s="477" t="n"/>
      <c r="O14" s="477" t="n"/>
      <c r="P14" s="477" t="n"/>
      <c r="Q14" s="477" t="n"/>
      <c r="R14" s="477" t="n"/>
      <c r="S14" s="477" t="n"/>
      <c r="T14" s="477" t="n"/>
      <c r="U14" s="477" t="n"/>
      <c r="V14" s="477" t="n"/>
      <c r="W14" s="477" t="n"/>
      <c r="X14" s="477" t="n"/>
      <c r="Y14" s="477" t="n"/>
      <c r="Z14" s="477" t="n"/>
      <c r="AA14" s="477" t="n"/>
      <c r="AB14" s="477" t="n"/>
      <c r="AC14" s="477" t="n"/>
      <c r="AD14" s="477" t="n"/>
      <c r="AE14" s="477" t="n"/>
      <c r="AF14" s="477" t="n"/>
      <c r="AG14" s="477" t="n"/>
      <c r="AH14" s="477" t="n"/>
      <c r="AI14" s="477" t="n"/>
      <c r="AJ14" s="477" t="n"/>
      <c r="AK14" s="477" t="n"/>
      <c r="AL14" s="477" t="n"/>
      <c r="AM14" s="477" t="n"/>
      <c r="AN14" s="477" t="n"/>
      <c r="AO14" s="477" t="n"/>
      <c r="AP14" s="477" t="n"/>
      <c r="AQ14" s="477" t="n"/>
      <c r="AR14" s="477" t="n"/>
      <c r="AS14" s="477" t="n"/>
      <c r="AT14" s="477" t="n"/>
      <c r="AU14" s="477" t="n"/>
      <c r="AV14" s="477" t="n"/>
      <c r="AW14" s="477" t="n"/>
      <c r="AX14" s="477" t="n"/>
      <c r="AY14" s="477" t="n"/>
      <c r="AZ14" s="477" t="n"/>
      <c r="BA14" s="477" t="n"/>
      <c r="BB14" s="477" t="n"/>
      <c r="BC14" s="477" t="n"/>
      <c r="BD14" s="477" t="n"/>
      <c r="BE14" s="477" t="n"/>
      <c r="BF14" s="477" t="n"/>
      <c r="BG14" s="477" t="n"/>
      <c r="BH14" s="477" t="n"/>
      <c r="BI14" s="477" t="n"/>
      <c r="BJ14" s="477" t="n"/>
      <c r="BK14" s="477" t="n"/>
      <c r="BL14" s="477" t="n"/>
      <c r="BM14" s="477" t="n"/>
      <c r="BN14" s="477" t="n"/>
      <c r="BO14" s="477" t="n"/>
      <c r="BP14" s="477" t="n"/>
      <c r="BQ14" s="477" t="n"/>
      <c r="BR14" s="477" t="n"/>
      <c r="BS14" s="477" t="n"/>
      <c r="BT14" s="477" t="n"/>
      <c r="BU14" s="477" t="n"/>
      <c r="BV14" s="477" t="n"/>
      <c r="BW14" s="477" t="n"/>
      <c r="BX14" s="477" t="n"/>
      <c r="BY14" s="477" t="n"/>
      <c r="BZ14" s="477" t="n"/>
      <c r="CA14" s="477" t="n"/>
      <c r="CB14" s="477" t="n"/>
      <c r="CC14" s="477" t="n"/>
      <c r="CD14" s="477" t="n"/>
      <c r="CE14" s="477" t="n"/>
      <c r="CF14" s="477" t="n"/>
      <c r="CG14" s="477" t="n"/>
      <c r="CH14" s="477" t="n"/>
      <c r="CI14" s="477" t="n"/>
      <c r="CJ14" s="477" t="n"/>
      <c r="CK14" s="477" t="n"/>
      <c r="CL14" s="477" t="n"/>
      <c r="CM14" s="477" t="n"/>
      <c r="CN14" s="477" t="n"/>
      <c r="CO14" s="477" t="n"/>
      <c r="CP14" s="477" t="n"/>
      <c r="CQ14" s="477" t="n"/>
      <c r="CR14" s="477" t="n"/>
      <c r="CS14" s="477" t="n"/>
      <c r="CT14" s="477" t="n"/>
    </row>
    <row r="15" ht="15" customFormat="1" customHeight="1" s="380">
      <c r="A15" s="476" t="inlineStr">
        <is>
          <t>Bonding Revenue</t>
        </is>
      </c>
      <c r="C15" s="477" t="n">
        <v>0</v>
      </c>
      <c r="D15" s="477" t="n">
        <v>0</v>
      </c>
      <c r="E15" s="477" t="n">
        <v>0</v>
      </c>
      <c r="F15" s="477" t="n">
        <v>0</v>
      </c>
      <c r="G15" s="477" t="n">
        <v>0</v>
      </c>
      <c r="H15" s="477" t="n">
        <v>0</v>
      </c>
      <c r="I15" s="477" t="n">
        <v>1050990</v>
      </c>
      <c r="J15" s="477" t="n">
        <v>0</v>
      </c>
      <c r="K15" s="477" t="n"/>
      <c r="L15" s="477" t="n"/>
      <c r="M15" s="477" t="n"/>
      <c r="N15" s="477" t="n"/>
      <c r="O15" s="477" t="n"/>
      <c r="P15" s="477" t="n"/>
      <c r="Q15" s="477" t="n"/>
      <c r="R15" s="477" t="n"/>
      <c r="S15" s="477" t="n"/>
      <c r="T15" s="477" t="n"/>
      <c r="U15" s="477" t="n"/>
      <c r="V15" s="477" t="n"/>
      <c r="W15" s="477" t="n"/>
      <c r="X15" s="477" t="n"/>
      <c r="Y15" s="477" t="n"/>
      <c r="Z15" s="477" t="n"/>
      <c r="AA15" s="477" t="n"/>
      <c r="AB15" s="477" t="n"/>
      <c r="AC15" s="477" t="n"/>
      <c r="AD15" s="477" t="n"/>
      <c r="AE15" s="477" t="n"/>
      <c r="AF15" s="477" t="n"/>
      <c r="AG15" s="477" t="n"/>
      <c r="AH15" s="477" t="n"/>
      <c r="AI15" s="477" t="n"/>
      <c r="AJ15" s="477" t="n"/>
      <c r="AK15" s="477" t="n"/>
      <c r="AL15" s="477" t="n"/>
      <c r="AM15" s="477" t="n"/>
      <c r="AN15" s="477" t="n"/>
      <c r="AO15" s="477" t="n"/>
      <c r="AP15" s="477" t="n"/>
      <c r="AQ15" s="477" t="n"/>
      <c r="AR15" s="477" t="n"/>
      <c r="AS15" s="477" t="n"/>
      <c r="AT15" s="477" t="n"/>
      <c r="AU15" s="477" t="n"/>
      <c r="AV15" s="477" t="n"/>
      <c r="AW15" s="477" t="n"/>
      <c r="AX15" s="477" t="n"/>
      <c r="AY15" s="477" t="n"/>
      <c r="AZ15" s="477" t="n"/>
      <c r="BA15" s="477" t="n"/>
      <c r="BB15" s="477" t="n"/>
      <c r="BC15" s="477" t="n"/>
      <c r="BD15" s="477" t="n"/>
      <c r="BE15" s="477" t="n"/>
      <c r="BF15" s="477" t="n"/>
      <c r="BG15" s="477" t="n"/>
      <c r="BH15" s="477" t="n"/>
      <c r="BI15" s="477" t="n"/>
      <c r="BJ15" s="477" t="n"/>
      <c r="BK15" s="477" t="n"/>
      <c r="BL15" s="477" t="n"/>
      <c r="BM15" s="477" t="n"/>
      <c r="BN15" s="477" t="n"/>
      <c r="BO15" s="477" t="n"/>
      <c r="BP15" s="477" t="n"/>
      <c r="BQ15" s="477" t="n"/>
      <c r="BR15" s="477" t="n"/>
      <c r="BS15" s="477" t="n"/>
      <c r="BT15" s="477" t="n"/>
      <c r="BU15" s="477" t="n"/>
      <c r="BV15" s="477" t="n"/>
      <c r="BW15" s="477" t="n"/>
      <c r="BX15" s="477" t="n"/>
      <c r="BY15" s="477" t="n"/>
      <c r="BZ15" s="477" t="n"/>
      <c r="CA15" s="477" t="n"/>
      <c r="CB15" s="477" t="n"/>
      <c r="CC15" s="477" t="n"/>
      <c r="CD15" s="477" t="n"/>
      <c r="CE15" s="477" t="n"/>
      <c r="CF15" s="477" t="n"/>
      <c r="CG15" s="477" t="n"/>
      <c r="CH15" s="477" t="n"/>
      <c r="CI15" s="477" t="n"/>
      <c r="CJ15" s="477" t="n"/>
      <c r="CK15" s="477" t="n"/>
      <c r="CL15" s="477" t="n"/>
      <c r="CM15" s="477" t="n"/>
      <c r="CN15" s="477" t="n"/>
      <c r="CO15" s="477" t="n"/>
      <c r="CP15" s="477" t="n"/>
      <c r="CQ15" s="477" t="n"/>
      <c r="CR15" s="477" t="n"/>
      <c r="CS15" s="477" t="n"/>
      <c r="CT15" s="477" t="n"/>
    </row>
    <row r="16" ht="15" customFormat="1" customHeight="1" s="380">
      <c r="A16" s="476" t="inlineStr">
        <is>
          <t>Bonding Costs</t>
        </is>
      </c>
      <c r="C16" s="477" t="n">
        <v>-1966.5</v>
      </c>
      <c r="D16" s="477" t="n">
        <v>0</v>
      </c>
      <c r="E16" s="477" t="n">
        <v>0</v>
      </c>
      <c r="F16" s="477" t="n">
        <v>0</v>
      </c>
      <c r="G16" s="477" t="n">
        <v>0</v>
      </c>
      <c r="H16" s="477" t="n">
        <v>0</v>
      </c>
      <c r="I16" s="477" t="n">
        <v>0</v>
      </c>
      <c r="J16" s="477" t="n"/>
      <c r="K16" s="477" t="n"/>
      <c r="L16" s="477" t="n"/>
      <c r="M16" s="477" t="n"/>
      <c r="N16" s="477" t="n"/>
      <c r="O16" s="477" t="n"/>
      <c r="P16" s="477" t="n"/>
      <c r="Q16" s="477" t="n"/>
      <c r="R16" s="477" t="n"/>
      <c r="S16" s="477" t="n"/>
      <c r="T16" s="477" t="n"/>
      <c r="U16" s="477" t="n"/>
      <c r="V16" s="477" t="n"/>
      <c r="W16" s="477" t="n"/>
      <c r="X16" s="477" t="n"/>
      <c r="Y16" s="477" t="n"/>
      <c r="Z16" s="477" t="n"/>
      <c r="AA16" s="477" t="n"/>
      <c r="AB16" s="477" t="n"/>
      <c r="AC16" s="477" t="n"/>
      <c r="AD16" s="477" t="n"/>
      <c r="AE16" s="477" t="n"/>
      <c r="AF16" s="477" t="n"/>
      <c r="AG16" s="477" t="n"/>
      <c r="AH16" s="477" t="n"/>
      <c r="AI16" s="477" t="n"/>
      <c r="AJ16" s="477" t="n"/>
      <c r="AK16" s="477" t="n"/>
      <c r="AL16" s="477" t="n"/>
      <c r="AM16" s="477" t="n"/>
      <c r="AN16" s="477" t="n"/>
      <c r="AO16" s="477" t="n"/>
      <c r="AP16" s="477" t="n"/>
      <c r="AQ16" s="477" t="n"/>
      <c r="AR16" s="477" t="n"/>
      <c r="AS16" s="477" t="n"/>
      <c r="AT16" s="477" t="n"/>
      <c r="AU16" s="477" t="n"/>
      <c r="AV16" s="477" t="n"/>
      <c r="AW16" s="477" t="n"/>
      <c r="AX16" s="477" t="n"/>
      <c r="AY16" s="477" t="n"/>
      <c r="AZ16" s="477" t="n"/>
      <c r="BA16" s="477" t="n"/>
      <c r="BB16" s="477" t="n"/>
      <c r="BC16" s="477" t="n"/>
      <c r="BD16" s="477" t="n"/>
      <c r="BE16" s="477" t="n"/>
      <c r="BF16" s="477" t="n"/>
      <c r="BG16" s="477" t="n"/>
      <c r="BH16" s="477" t="n"/>
      <c r="BI16" s="477" t="n"/>
      <c r="BJ16" s="477" t="n"/>
      <c r="BK16" s="477" t="n"/>
      <c r="BL16" s="477" t="n"/>
      <c r="BM16" s="477" t="n"/>
      <c r="BN16" s="477" t="n"/>
      <c r="BO16" s="477" t="n"/>
      <c r="BP16" s="477" t="n"/>
      <c r="BQ16" s="477" t="n"/>
      <c r="BR16" s="477" t="n"/>
      <c r="BS16" s="477" t="n"/>
      <c r="BT16" s="477" t="n"/>
      <c r="BU16" s="477" t="n"/>
      <c r="BV16" s="477" t="n"/>
      <c r="BW16" s="477" t="n"/>
      <c r="BX16" s="477" t="n"/>
      <c r="BY16" s="477" t="n"/>
      <c r="BZ16" s="477" t="n"/>
      <c r="CA16" s="477" t="n"/>
      <c r="CB16" s="477" t="n"/>
      <c r="CC16" s="477" t="n"/>
      <c r="CD16" s="477" t="n"/>
      <c r="CE16" s="477" t="n"/>
      <c r="CF16" s="477" t="n"/>
      <c r="CG16" s="477" t="n"/>
      <c r="CH16" s="477" t="n"/>
      <c r="CI16" s="477" t="n"/>
      <c r="CJ16" s="477" t="n"/>
      <c r="CK16" s="477" t="n"/>
      <c r="CL16" s="477" t="n"/>
      <c r="CM16" s="477" t="n"/>
      <c r="CN16" s="477" t="n"/>
      <c r="CO16" s="477" t="n"/>
      <c r="CP16" s="477" t="n"/>
      <c r="CQ16" s="477" t="n"/>
      <c r="CR16" s="477" t="n"/>
      <c r="CS16" s="477" t="n"/>
      <c r="CT16" s="477" t="n"/>
    </row>
    <row r="17" ht="15" customFormat="1" customHeight="1" s="380">
      <c r="A17" s="473" t="inlineStr">
        <is>
          <t>Gross Profit</t>
        </is>
      </c>
      <c r="C17" s="479">
        <f>C8+C9+C10+C11+C12+C14+C15+C16</f>
        <v/>
      </c>
      <c r="D17" s="479">
        <f>D8+D9+D10+D11+D12+D14+D15+D16</f>
        <v/>
      </c>
      <c r="E17" s="479">
        <f>E8+E9+E10+E11+E12+E14+E15+E16</f>
        <v/>
      </c>
      <c r="F17" s="479">
        <f>F8+F9+F10+F11+F12+F14+F15+F16</f>
        <v/>
      </c>
      <c r="G17" s="479">
        <f>G8+G9+G10+G11+G12+G14+G15+G16</f>
        <v/>
      </c>
      <c r="H17" s="479">
        <f>H8+H9+H10+H11+H12+H14+H15+H16</f>
        <v/>
      </c>
      <c r="I17" s="479">
        <f>I8+I9+I10+I11+I12+I14+I15+I16</f>
        <v/>
      </c>
      <c r="J17" s="479">
        <f>J8+J9+J10+J11+J12+J14+J15+J16</f>
        <v/>
      </c>
      <c r="K17" s="479">
        <f>K8+K9+K10+K11+K12+K14+K15+K16</f>
        <v/>
      </c>
      <c r="L17" s="479">
        <f>L8+L9+L10+L11+L12+L14+L15+L16</f>
        <v/>
      </c>
      <c r="M17" s="479">
        <f>M8+M9+M10+M11+M12+M14+M15+M16</f>
        <v/>
      </c>
      <c r="N17" s="479">
        <f>N8+N9+N10+N11+N12+N14+N15+N16</f>
        <v/>
      </c>
      <c r="O17" s="479">
        <f>O8+O9+O10+O11+O12+O14+O15+O16</f>
        <v/>
      </c>
      <c r="P17" s="479">
        <f>P8+P9+P10+P11+P12+P14+P15+P16</f>
        <v/>
      </c>
      <c r="Q17" s="479">
        <f>Q8+Q9+Q10+Q11+Q12+Q14+Q15+Q16</f>
        <v/>
      </c>
      <c r="R17" s="479">
        <f>R8+R9+R10+R11+R12+R14+R15+R16</f>
        <v/>
      </c>
      <c r="S17" s="479">
        <f>S8+S9+S10+S11+S12+S14+S15+S16</f>
        <v/>
      </c>
      <c r="T17" s="479">
        <f>T8+T9+T10+T11+T12+T14+T15+T16</f>
        <v/>
      </c>
      <c r="U17" s="479">
        <f>U8+U9+U10+U11+U12+U14+U15+U16</f>
        <v/>
      </c>
      <c r="V17" s="479">
        <f>V8+V9+V10+V11+V12+V14+V15+V16</f>
        <v/>
      </c>
      <c r="W17" s="479">
        <f>W8+W9+W10+W11+W12+W14+W15+W16</f>
        <v/>
      </c>
      <c r="X17" s="479">
        <f>X8+X9+X10+X11+X12+X14+X15+X16</f>
        <v/>
      </c>
      <c r="Y17" s="479">
        <f>Y8+Y9+Y10+Y11+Y12+Y14+Y15+Y16</f>
        <v/>
      </c>
      <c r="Z17" s="479">
        <f>Z8+Z9+Z10+Z11+Z12+Z14+Z15+Z16</f>
        <v/>
      </c>
      <c r="AA17" s="479">
        <f>AA8+AA9+AA10+AA11+AA12+AA14+AA15+AA16</f>
        <v/>
      </c>
      <c r="AB17" s="479">
        <f>AB8+AB9+AB10+AB11+AB12+AB14+AB15+AB16</f>
        <v/>
      </c>
      <c r="AC17" s="479">
        <f>AC8+AC9+AC10+AC11+AC12+AC14+AC15+AC16</f>
        <v/>
      </c>
      <c r="AD17" s="479">
        <f>AD8+AD9+AD10+AD11+AD12+AD14+AD15+AD16</f>
        <v/>
      </c>
      <c r="AE17" s="479">
        <f>AE8+AE9+AE10+AE11+AE12+AE14+AE15+AE16</f>
        <v/>
      </c>
      <c r="AF17" s="479">
        <f>AF8+AF9+AF10+AF11+AF12+AF14+AF15+AF16</f>
        <v/>
      </c>
      <c r="AG17" s="479">
        <f>AG8+AG9+AG10+AG11+AG12+AG14+AG15+AG16</f>
        <v/>
      </c>
      <c r="AH17" s="479">
        <f>AH8+AH9+AH10+AH11+AH12+AH14+AH15+AH16</f>
        <v/>
      </c>
      <c r="AI17" s="479">
        <f>AI8+AI9+AI10+AI11+AI12+AI14+AI15+AI16</f>
        <v/>
      </c>
      <c r="AJ17" s="479">
        <f>AJ8+AJ9+AJ10+AJ11+AJ12+AJ14+AJ15+AJ16</f>
        <v/>
      </c>
      <c r="AK17" s="479">
        <f>AK8+AK9+AK10+AK11+AK12+AK14+AK15+AK16</f>
        <v/>
      </c>
      <c r="AL17" s="479">
        <f>AL8+AL9+AL10+AL11+AL12+AL14+AL15+AL16</f>
        <v/>
      </c>
      <c r="AM17" s="479">
        <f>AM8+AM9+AM10+AM11+AM12+AM14+AM15+AM16</f>
        <v/>
      </c>
      <c r="AN17" s="479">
        <f>AN8+AN9+AN10+AN11+AN12+AN14+AN15+AN16</f>
        <v/>
      </c>
      <c r="AO17" s="479">
        <f>AO8+AO9+AO10+AO11+AO12+AO14+AO15+AO16</f>
        <v/>
      </c>
      <c r="AP17" s="479">
        <f>AP8+AP9+AP10+AP11+AP12+AP14+AP15+AP16</f>
        <v/>
      </c>
      <c r="AQ17" s="479">
        <f>AQ8+AQ9+AQ10+AQ11+AQ12+AQ14+AQ15+AQ16</f>
        <v/>
      </c>
      <c r="AR17" s="479">
        <f>AR8+AR9+AR10+AR11+AR12+AR14+AR15+AR16</f>
        <v/>
      </c>
      <c r="AS17" s="479">
        <f>AS8+AS9+AS10+AS11+AS12+AS14+AS15+AS16</f>
        <v/>
      </c>
      <c r="AT17" s="479">
        <f>AT8+AT9+AT10+AT11+AT12+AT14+AT15+AT16</f>
        <v/>
      </c>
      <c r="AU17" s="479">
        <f>AU8+AU9+AU10+AU11+AU12+AU14+AU15+AU16</f>
        <v/>
      </c>
      <c r="AV17" s="479">
        <f>AV8+AV9+AV10+AV11+AV12+AV14+AV15+AV16</f>
        <v/>
      </c>
      <c r="AW17" s="479">
        <f>AW8+AW9+AW10+AW11+AW12+AW14+AW15+AW16</f>
        <v/>
      </c>
      <c r="AX17" s="479">
        <f>AX8+AX9+AX10+AX11+AX12+AX14+AX15+AX16</f>
        <v/>
      </c>
      <c r="AY17" s="479">
        <f>AY8+AY9+AY10+AY11+AY12+AY14+AY15+AY16</f>
        <v/>
      </c>
      <c r="AZ17" s="479">
        <f>AZ8+AZ9+AZ10+AZ11+AZ12+AZ14+AZ15+AZ16</f>
        <v/>
      </c>
      <c r="BA17" s="479">
        <f>BA8+BA9+BA10+BA11+BA12+BA14+BA15+BA16</f>
        <v/>
      </c>
      <c r="BB17" s="479">
        <f>BB8+BB9+BB10+BB11+BB12+BB14+BB15+BB16</f>
        <v/>
      </c>
      <c r="BC17" s="479">
        <f>BC8+BC9+BC10+BC11+BC12+BC14+BC15+BC16</f>
        <v/>
      </c>
      <c r="BD17" s="479">
        <f>BD8+BD9+BD10+BD11+BD12+BD14+BD15+BD16</f>
        <v/>
      </c>
      <c r="BE17" s="479">
        <f>BE8+BE9+BE10+BE11+BE12+BE14+BE15+BE16</f>
        <v/>
      </c>
      <c r="BF17" s="479">
        <f>BF8+BF9+BF10+BF11+BF12+BF14+BF15+BF16</f>
        <v/>
      </c>
      <c r="BG17" s="479">
        <f>BG8+BG9+BG10+BG11+BG12+BG14+BG15+BG16</f>
        <v/>
      </c>
      <c r="BH17" s="479">
        <f>BH8+BH9+BH10+BH11+BH12+BH14+BH15+BH16</f>
        <v/>
      </c>
      <c r="BI17" s="479">
        <f>BI8+BI9+BI10+BI11+BI12+BI14+BI15+BI16</f>
        <v/>
      </c>
      <c r="BJ17" s="479">
        <f>BJ8+BJ9+BJ10+BJ11+BJ12+BJ14+BJ15+BJ16</f>
        <v/>
      </c>
      <c r="BK17" s="479">
        <f>BK8+BK9+BK10+BK11+BK12+BK14+BK15+BK16</f>
        <v/>
      </c>
      <c r="BL17" s="479">
        <f>BL8+BL9+BL10+BL11+BL12+BL14+BL15+BL16</f>
        <v/>
      </c>
      <c r="BM17" s="479">
        <f>BM8+BM9+BM10+BM11+BM12+BM14+BM15+BM16</f>
        <v/>
      </c>
      <c r="BN17" s="479">
        <f>BN8+BN9+BN10+BN11+BN12+BN14+BN15+BN16</f>
        <v/>
      </c>
      <c r="BO17" s="479">
        <f>BO8+BO9+BO10+BO11+BO12+BO14+BO15+BO16</f>
        <v/>
      </c>
      <c r="BP17" s="479">
        <f>BP8+BP9+BP10+BP11+BP12+BP14+BP15+BP16</f>
        <v/>
      </c>
      <c r="BQ17" s="479">
        <f>BQ8+BQ9+BQ10+BQ11+BQ12+BQ14+BQ15+BQ16</f>
        <v/>
      </c>
      <c r="BR17" s="479">
        <f>BR8+BR9+BR10+BR11+BR12+BR14+BR15+BR16</f>
        <v/>
      </c>
      <c r="BS17" s="479">
        <f>BS8+BS9+BS10+BS11+BS12+BS14+BS15+BS16</f>
        <v/>
      </c>
      <c r="BT17" s="479">
        <f>BT8+BT9+BT10+BT11+BT12+BT14+BT15+BT16</f>
        <v/>
      </c>
      <c r="BU17" s="479">
        <f>BU8+BU9+BU10+BU11+BU12+BU14+BU15+BU16</f>
        <v/>
      </c>
      <c r="BV17" s="479">
        <f>BV8+BV9+BV10+BV11+BV12+BV14+BV15+BV16</f>
        <v/>
      </c>
      <c r="BW17" s="479">
        <f>BW8+BW9+BW10+BW11+BW12+BW14+BW15+BW16</f>
        <v/>
      </c>
      <c r="BX17" s="479">
        <f>BX8+BX9+BX10+BX11+BX12+BX14+BX15+BX16</f>
        <v/>
      </c>
      <c r="BY17" s="479">
        <f>BY8+BY9+BY10+BY11+BY12+BY14+BY15+BY16</f>
        <v/>
      </c>
      <c r="BZ17" s="479">
        <f>BZ8+BZ9+BZ10+BZ11+BZ12+BZ14+BZ15+BZ16</f>
        <v/>
      </c>
      <c r="CA17" s="479">
        <f>CA8+CA9+CA10+CA11+CA12+CA14+CA15+CA16</f>
        <v/>
      </c>
      <c r="CB17" s="479">
        <f>CB8+CB9+CB10+CB11+CB12+CB14+CB15+CB16</f>
        <v/>
      </c>
      <c r="CC17" s="479">
        <f>CC8+CC9+CC10+CC11+CC12+CC14+CC15+CC16</f>
        <v/>
      </c>
      <c r="CD17" s="479">
        <f>CD8+CD9+CD10+CD11+CD12+CD14+CD15+CD16</f>
        <v/>
      </c>
      <c r="CE17" s="479">
        <f>CE8+CE9+CE10+CE11+CE12+CE14+CE15+CE16</f>
        <v/>
      </c>
      <c r="CF17" s="479">
        <f>CF8+CF9+CF10+CF11+CF12+CF14+CF15+CF16</f>
        <v/>
      </c>
      <c r="CG17" s="479">
        <f>CG8+CG9+CG10+CG11+CG12+CG14+CG15+CG16</f>
        <v/>
      </c>
      <c r="CH17" s="479">
        <f>CH8+CH9+CH10+CH11+CH12+CH14+CH15+CH16</f>
        <v/>
      </c>
      <c r="CI17" s="479">
        <f>CI8+CI9+CI10+CI11+CI12+CI14+CI15+CI16</f>
        <v/>
      </c>
      <c r="CJ17" s="479">
        <f>CJ8+CJ9+CJ10+CJ11+CJ12+CJ14+CJ15+CJ16</f>
        <v/>
      </c>
      <c r="CK17" s="479">
        <f>CK8+CK9+CK10+CK11+CK12+CK14+CK15+CK16</f>
        <v/>
      </c>
      <c r="CL17" s="479">
        <f>CL8+CL9+CL10+CL11+CL12+CL14+CL15+CL16</f>
        <v/>
      </c>
      <c r="CM17" s="479">
        <f>CM8+CM9+CM10+CM11+CM12+CM14+CM15+CM16</f>
        <v/>
      </c>
      <c r="CN17" s="479">
        <f>CN8+CN9+CN10+CN11+CN12+CN14+CN15+CN16</f>
        <v/>
      </c>
      <c r="CO17" s="479">
        <f>CO8+CO9+CO10+CO11+CO12+CO14+CO15+CO16</f>
        <v/>
      </c>
      <c r="CP17" s="479">
        <f>CP8+CP9+CP10+CP11+CP12+CP14+CP15+CP16</f>
        <v/>
      </c>
      <c r="CQ17" s="479">
        <f>CQ8+CQ9+CQ10+CQ11+CQ12+CQ14+CQ15+CQ16</f>
        <v/>
      </c>
      <c r="CR17" s="479">
        <f>CR8+CR9+CR10+CR11+CR12+CR14+CR15+CR16</f>
        <v/>
      </c>
      <c r="CS17" s="479">
        <f>CS8+CS9+CS10+CS11+CS12+CS14+CS15+CS16</f>
        <v/>
      </c>
      <c r="CT17" s="479">
        <f>CT8+CT9+CT10+CT11+CT12+CT14+CT15+CT16</f>
        <v/>
      </c>
    </row>
    <row r="18" ht="15" customFormat="1" customHeight="1" s="380">
      <c r="A18" s="478" t="inlineStr">
        <is>
          <t>GC Gross Profit Margin %</t>
        </is>
      </c>
      <c r="C18" s="481">
        <f>IFERROR(C17/C13,0)</f>
        <v/>
      </c>
      <c r="D18" s="481">
        <f>IFERROR(D17/D13,0)</f>
        <v/>
      </c>
      <c r="E18" s="481">
        <f>IFERROR(E17/E13,0)</f>
        <v/>
      </c>
      <c r="F18" s="481">
        <f>IFERROR(F17/F13,0)</f>
        <v/>
      </c>
      <c r="G18" s="481">
        <f>IFERROR(G17/G13,0)</f>
        <v/>
      </c>
      <c r="H18" s="481">
        <f>IFERROR(H17/H13,0)</f>
        <v/>
      </c>
      <c r="I18" s="481">
        <f>IFERROR(I17/I13,0)</f>
        <v/>
      </c>
      <c r="J18" s="481">
        <f>IFERROR(J17/J13,0)</f>
        <v/>
      </c>
      <c r="K18" s="481">
        <f>IFERROR(K17/K13,0)</f>
        <v/>
      </c>
      <c r="L18" s="481">
        <f>IFERROR(L17/L13,0)</f>
        <v/>
      </c>
      <c r="M18" s="481">
        <f>IFERROR(M17/M13,0)</f>
        <v/>
      </c>
      <c r="N18" s="481">
        <f>IFERROR(N17/N13,0)</f>
        <v/>
      </c>
      <c r="O18" s="481">
        <f>IFERROR(O17/O13,0)</f>
        <v/>
      </c>
      <c r="P18" s="481">
        <f>IFERROR(P17/P13,0)</f>
        <v/>
      </c>
      <c r="Q18" s="481">
        <f>IFERROR(Q17/Q13,0)</f>
        <v/>
      </c>
      <c r="R18" s="481">
        <f>IFERROR(R17/R13,0)</f>
        <v/>
      </c>
      <c r="S18" s="481">
        <f>IFERROR(S17/S13,0)</f>
        <v/>
      </c>
      <c r="T18" s="481">
        <f>IFERROR(T17/T13,0)</f>
        <v/>
      </c>
      <c r="U18" s="481">
        <f>IFERROR(U17/U13,0)</f>
        <v/>
      </c>
      <c r="V18" s="481">
        <f>IFERROR(V17/V13,0)</f>
        <v/>
      </c>
      <c r="W18" s="481">
        <f>IFERROR(W17/W13,0)</f>
        <v/>
      </c>
      <c r="X18" s="481">
        <f>IFERROR(X17/X13,0)</f>
        <v/>
      </c>
      <c r="Y18" s="481">
        <f>IFERROR(Y17/Y13,0)</f>
        <v/>
      </c>
      <c r="Z18" s="481">
        <f>IFERROR(Z17/Z13,0)</f>
        <v/>
      </c>
      <c r="AA18" s="481">
        <f>IFERROR(AA17/AA13,0)</f>
        <v/>
      </c>
      <c r="AB18" s="481">
        <f>IFERROR(AB17/AB13,0)</f>
        <v/>
      </c>
      <c r="AC18" s="481">
        <f>IFERROR(AC17/AC13,0)</f>
        <v/>
      </c>
      <c r="AD18" s="481">
        <f>IFERROR(AD17/AD13,0)</f>
        <v/>
      </c>
      <c r="AE18" s="481">
        <f>IFERROR(AE17/AE13,0)</f>
        <v/>
      </c>
      <c r="AF18" s="481">
        <f>IFERROR(AF17/AF13,0)</f>
        <v/>
      </c>
      <c r="AG18" s="481">
        <f>IFERROR(AG17/AG13,0)</f>
        <v/>
      </c>
      <c r="AH18" s="481">
        <f>IFERROR(AH17/AH13,0)</f>
        <v/>
      </c>
      <c r="AI18" s="481">
        <f>IFERROR(AI17/AI13,0)</f>
        <v/>
      </c>
      <c r="AJ18" s="481">
        <f>IFERROR(AJ17/AJ13,0)</f>
        <v/>
      </c>
      <c r="AK18" s="481">
        <f>IFERROR(AK17/AK13,0)</f>
        <v/>
      </c>
      <c r="AL18" s="481">
        <f>IFERROR(AL17/AL13,0)</f>
        <v/>
      </c>
      <c r="AM18" s="481">
        <f>IFERROR(AM17/AM13,0)</f>
        <v/>
      </c>
      <c r="AN18" s="481">
        <f>IFERROR(AN17/AN13,0)</f>
        <v/>
      </c>
      <c r="AO18" s="481">
        <f>IFERROR(AO17/AO13,0)</f>
        <v/>
      </c>
      <c r="AP18" s="481">
        <f>IFERROR(AP17/AP13,0)</f>
        <v/>
      </c>
      <c r="AQ18" s="481">
        <f>IFERROR(AQ17/AQ13,0)</f>
        <v/>
      </c>
      <c r="AR18" s="481">
        <f>IFERROR(AR17/AR13,0)</f>
        <v/>
      </c>
      <c r="AS18" s="481">
        <f>IFERROR(AS17/AS13,0)</f>
        <v/>
      </c>
      <c r="AT18" s="481">
        <f>IFERROR(AT17/AT13,0)</f>
        <v/>
      </c>
      <c r="AU18" s="481">
        <f>IFERROR(AU17/AU13,0)</f>
        <v/>
      </c>
      <c r="AV18" s="481">
        <f>IFERROR(AV17/AV13,0)</f>
        <v/>
      </c>
      <c r="AW18" s="481">
        <f>IFERROR(AW17/AW13,0)</f>
        <v/>
      </c>
      <c r="AX18" s="481">
        <f>IFERROR(AX17/AX13,0)</f>
        <v/>
      </c>
      <c r="AY18" s="481">
        <f>IFERROR(AY17/AY13,0)</f>
        <v/>
      </c>
      <c r="AZ18" s="481">
        <f>IFERROR(AZ17/AZ13,0)</f>
        <v/>
      </c>
      <c r="BA18" s="481">
        <f>IFERROR(BA17/BA13,0)</f>
        <v/>
      </c>
      <c r="BB18" s="481">
        <f>IFERROR(BB17/BB13,0)</f>
        <v/>
      </c>
      <c r="BC18" s="481">
        <f>IFERROR(BC17/BC13,0)</f>
        <v/>
      </c>
      <c r="BD18" s="481">
        <f>IFERROR(BD17/BD13,0)</f>
        <v/>
      </c>
      <c r="BE18" s="481">
        <f>IFERROR(BE17/BE13,0)</f>
        <v/>
      </c>
      <c r="BF18" s="481">
        <f>IFERROR(BF17/BF13,0)</f>
        <v/>
      </c>
      <c r="BG18" s="481">
        <f>IFERROR(BG17/BG13,0)</f>
        <v/>
      </c>
      <c r="BH18" s="481">
        <f>IFERROR(BH17/BH13,0)</f>
        <v/>
      </c>
      <c r="BI18" s="481">
        <f>IFERROR(BI17/BI13,0)</f>
        <v/>
      </c>
      <c r="BJ18" s="481">
        <f>IFERROR(BJ17/BJ13,0)</f>
        <v/>
      </c>
      <c r="BK18" s="481">
        <f>IFERROR(BK17/BK13,0)</f>
        <v/>
      </c>
      <c r="BL18" s="481">
        <f>IFERROR(BL17/BL13,0)</f>
        <v/>
      </c>
      <c r="BM18" s="481">
        <f>IFERROR(BM17/BM13,0)</f>
        <v/>
      </c>
      <c r="BN18" s="481">
        <f>IFERROR(BN17/BN13,0)</f>
        <v/>
      </c>
      <c r="BO18" s="481">
        <f>IFERROR(BO17/BO13,0)</f>
        <v/>
      </c>
      <c r="BP18" s="481">
        <f>IFERROR(BP17/BP13,0)</f>
        <v/>
      </c>
      <c r="BQ18" s="481">
        <f>IFERROR(BQ17/BQ13,0)</f>
        <v/>
      </c>
      <c r="BR18" s="481">
        <f>IFERROR(BR17/BR13,0)</f>
        <v/>
      </c>
      <c r="BS18" s="481">
        <f>IFERROR(BS17/BS13,0)</f>
        <v/>
      </c>
      <c r="BT18" s="481">
        <f>IFERROR(BT17/BT13,0)</f>
        <v/>
      </c>
      <c r="BU18" s="481">
        <f>IFERROR(BU17/BU13,0)</f>
        <v/>
      </c>
      <c r="BV18" s="481">
        <f>IFERROR(BV17/BV13,0)</f>
        <v/>
      </c>
      <c r="BW18" s="481">
        <f>IFERROR(BW17/BW13,0)</f>
        <v/>
      </c>
      <c r="BX18" s="481">
        <f>IFERROR(BX17/BX13,0)</f>
        <v/>
      </c>
      <c r="BY18" s="481">
        <f>IFERROR(BY17/BY13,0)</f>
        <v/>
      </c>
      <c r="BZ18" s="481">
        <f>IFERROR(BZ17/BZ13,0)</f>
        <v/>
      </c>
      <c r="CA18" s="481">
        <f>IFERROR(CA17/CA13,0)</f>
        <v/>
      </c>
      <c r="CB18" s="481">
        <f>IFERROR(CB17/CB13,0)</f>
        <v/>
      </c>
      <c r="CC18" s="481">
        <f>IFERROR(CC17/CC13,0)</f>
        <v/>
      </c>
      <c r="CD18" s="481">
        <f>IFERROR(CD17/CD13,0)</f>
        <v/>
      </c>
      <c r="CE18" s="481">
        <f>IFERROR(CE17/CE13,0)</f>
        <v/>
      </c>
      <c r="CF18" s="481">
        <f>IFERROR(CF17/CF13,0)</f>
        <v/>
      </c>
      <c r="CG18" s="481">
        <f>IFERROR(CG17/CG13,0)</f>
        <v/>
      </c>
      <c r="CH18" s="481">
        <f>IFERROR(CH17/CH13,0)</f>
        <v/>
      </c>
      <c r="CI18" s="481">
        <f>IFERROR(CI17/CI13,0)</f>
        <v/>
      </c>
      <c r="CJ18" s="481">
        <f>IFERROR(CJ17/CJ13,0)</f>
        <v/>
      </c>
      <c r="CK18" s="481">
        <f>IFERROR(CK17/CK13,0)</f>
        <v/>
      </c>
      <c r="CL18" s="481">
        <f>IFERROR(CL17/CL13,0)</f>
        <v/>
      </c>
      <c r="CM18" s="481">
        <f>IFERROR(CM17/CM13,0)</f>
        <v/>
      </c>
      <c r="CN18" s="481">
        <f>IFERROR(CN17/CN13,0)</f>
        <v/>
      </c>
      <c r="CO18" s="481">
        <f>IFERROR(CO17/CO13,0)</f>
        <v/>
      </c>
      <c r="CP18" s="481">
        <f>IFERROR(CP17/CP13,0)</f>
        <v/>
      </c>
      <c r="CQ18" s="481">
        <f>IFERROR(CQ17/CQ13,0)</f>
        <v/>
      </c>
      <c r="CR18" s="481">
        <f>IFERROR(CR17/CR13,0)</f>
        <v/>
      </c>
      <c r="CS18" s="481">
        <f>IFERROR(CS17/CS13,0)</f>
        <v/>
      </c>
      <c r="CT18" s="481">
        <f>IFERROR(CT17/CT13,0)</f>
        <v/>
      </c>
    </row>
    <row r="19" ht="15" customFormat="1" customHeight="1" s="380">
      <c r="A19" s="476" t="n"/>
      <c r="C19" s="477" t="n"/>
      <c r="D19" s="477" t="n"/>
      <c r="E19" s="477" t="n"/>
      <c r="F19" s="477" t="n"/>
      <c r="G19" s="477" t="n"/>
      <c r="H19" s="477" t="n"/>
      <c r="I19" s="477" t="n"/>
      <c r="J19" s="477" t="n"/>
      <c r="K19" s="477" t="n"/>
      <c r="L19" s="477" t="n"/>
      <c r="M19" s="477" t="n"/>
      <c r="N19" s="477" t="n"/>
      <c r="O19" s="477" t="n"/>
      <c r="P19" s="477" t="n"/>
      <c r="Q19" s="477" t="n"/>
      <c r="R19" s="477" t="n"/>
      <c r="S19" s="477" t="n"/>
      <c r="T19" s="477" t="n"/>
      <c r="U19" s="477" t="n"/>
      <c r="V19" s="477" t="n"/>
      <c r="W19" s="477" t="n"/>
      <c r="X19" s="477" t="n"/>
      <c r="Y19" s="477" t="n"/>
      <c r="Z19" s="477" t="n"/>
      <c r="AA19" s="477" t="n"/>
      <c r="AB19" s="477" t="n"/>
      <c r="AC19" s="477" t="n"/>
      <c r="AD19" s="477" t="n"/>
      <c r="AE19" s="477" t="n"/>
      <c r="AF19" s="477" t="n"/>
      <c r="AG19" s="477" t="n"/>
      <c r="AH19" s="477" t="n"/>
      <c r="AI19" s="477" t="n"/>
      <c r="AJ19" s="477" t="n"/>
      <c r="AK19" s="477" t="n"/>
      <c r="AL19" s="477" t="n"/>
      <c r="AM19" s="477" t="n"/>
      <c r="AN19" s="477" t="n"/>
      <c r="AO19" s="477" t="n"/>
      <c r="AP19" s="477" t="n"/>
      <c r="AQ19" s="477" t="n"/>
      <c r="AR19" s="477" t="n"/>
      <c r="AS19" s="477" t="n"/>
      <c r="AT19" s="477" t="n"/>
      <c r="AU19" s="477" t="n"/>
      <c r="AV19" s="477" t="n"/>
      <c r="AW19" s="477" t="n"/>
      <c r="AX19" s="477" t="n"/>
      <c r="AY19" s="477" t="n"/>
      <c r="AZ19" s="477" t="n"/>
      <c r="BA19" s="477" t="n"/>
      <c r="BB19" s="477" t="n"/>
      <c r="BC19" s="477" t="n"/>
      <c r="BD19" s="477" t="n"/>
      <c r="BE19" s="477" t="n"/>
      <c r="BF19" s="477" t="n"/>
      <c r="BG19" s="477" t="n"/>
      <c r="BH19" s="477" t="n"/>
      <c r="BI19" s="477" t="n"/>
      <c r="BJ19" s="477" t="n"/>
      <c r="BK19" s="477" t="n"/>
      <c r="BL19" s="477" t="n"/>
      <c r="BM19" s="477" t="n"/>
      <c r="BN19" s="477" t="n"/>
      <c r="BO19" s="477" t="n"/>
      <c r="BP19" s="477" t="n"/>
      <c r="BQ19" s="477" t="n"/>
      <c r="BR19" s="477" t="n"/>
      <c r="BS19" s="477" t="n"/>
      <c r="BT19" s="477" t="n"/>
      <c r="BU19" s="477" t="n"/>
      <c r="BV19" s="477" t="n"/>
      <c r="BW19" s="477" t="n"/>
      <c r="BX19" s="477" t="n"/>
      <c r="BY19" s="477" t="n"/>
      <c r="BZ19" s="477" t="n"/>
      <c r="CA19" s="477" t="n"/>
      <c r="CB19" s="477" t="n"/>
      <c r="CC19" s="477" t="n"/>
      <c r="CD19" s="477" t="n"/>
      <c r="CE19" s="477" t="n"/>
      <c r="CF19" s="477" t="n"/>
      <c r="CG19" s="477" t="n"/>
      <c r="CH19" s="477" t="n"/>
      <c r="CI19" s="477" t="n"/>
      <c r="CJ19" s="477" t="n"/>
      <c r="CK19" s="477" t="n"/>
      <c r="CL19" s="477" t="n"/>
      <c r="CM19" s="477" t="n"/>
      <c r="CN19" s="477" t="n"/>
      <c r="CO19" s="477" t="n"/>
      <c r="CP19" s="477" t="n"/>
      <c r="CQ19" s="477" t="n"/>
      <c r="CR19" s="477" t="n"/>
      <c r="CS19" s="477" t="n"/>
      <c r="CT19" s="477" t="n"/>
    </row>
    <row r="20" ht="15" customFormat="1" customHeight="1" s="380">
      <c r="A20" s="476" t="n"/>
      <c r="C20" s="477" t="n"/>
      <c r="D20" s="477" t="n"/>
      <c r="E20" s="477" t="n"/>
      <c r="F20" s="477" t="n"/>
      <c r="G20" s="477" t="n"/>
      <c r="H20" s="477" t="n"/>
      <c r="I20" s="477" t="n"/>
      <c r="J20" s="477" t="n"/>
      <c r="K20" s="477" t="n"/>
      <c r="L20" s="477" t="n"/>
      <c r="M20" s="477" t="n"/>
      <c r="N20" s="477" t="n"/>
      <c r="O20" s="477" t="n"/>
      <c r="P20" s="477" t="n"/>
      <c r="Q20" s="477" t="n"/>
      <c r="R20" s="477" t="n"/>
      <c r="S20" s="477" t="n"/>
      <c r="T20" s="477" t="n"/>
      <c r="U20" s="477" t="n"/>
      <c r="V20" s="477" t="n"/>
      <c r="W20" s="477" t="n"/>
      <c r="X20" s="477" t="n"/>
      <c r="Y20" s="477" t="n"/>
      <c r="Z20" s="477" t="n"/>
      <c r="AA20" s="477" t="n"/>
      <c r="AB20" s="477" t="n"/>
      <c r="AC20" s="477" t="n"/>
      <c r="AD20" s="477" t="n"/>
      <c r="AE20" s="477" t="n"/>
      <c r="AF20" s="477" t="n"/>
      <c r="AG20" s="477" t="n"/>
      <c r="AH20" s="477" t="n"/>
      <c r="AI20" s="477" t="n"/>
      <c r="AJ20" s="477" t="n"/>
      <c r="AK20" s="477" t="n"/>
      <c r="AL20" s="477" t="n"/>
      <c r="AM20" s="477" t="n"/>
      <c r="AN20" s="477" t="n"/>
      <c r="AO20" s="477" t="n"/>
      <c r="AP20" s="477" t="n"/>
      <c r="AQ20" s="477" t="n"/>
      <c r="AR20" s="477" t="n"/>
      <c r="AS20" s="477" t="n"/>
      <c r="AT20" s="477" t="n"/>
      <c r="AU20" s="477" t="n"/>
      <c r="AV20" s="477" t="n"/>
      <c r="AW20" s="477" t="n"/>
      <c r="AX20" s="477" t="n"/>
      <c r="AY20" s="477" t="n"/>
      <c r="AZ20" s="477" t="n"/>
      <c r="BA20" s="477" t="n"/>
      <c r="BB20" s="477" t="n"/>
      <c r="BC20" s="477" t="n"/>
      <c r="BD20" s="477" t="n"/>
      <c r="BE20" s="477" t="n"/>
      <c r="BF20" s="477" t="n"/>
      <c r="BG20" s="477" t="n"/>
      <c r="BH20" s="477" t="n"/>
      <c r="BI20" s="477" t="n"/>
      <c r="BJ20" s="477" t="n"/>
      <c r="BK20" s="477" t="n"/>
      <c r="BL20" s="477" t="n"/>
      <c r="BM20" s="477" t="n"/>
      <c r="BN20" s="477" t="n"/>
      <c r="BO20" s="477" t="n"/>
      <c r="BP20" s="477" t="n"/>
      <c r="BQ20" s="477" t="n"/>
      <c r="BR20" s="477" t="n"/>
      <c r="BS20" s="477" t="n"/>
      <c r="BT20" s="477" t="n"/>
      <c r="BU20" s="477" t="n"/>
      <c r="BV20" s="477" t="n"/>
      <c r="BW20" s="477" t="n"/>
      <c r="BX20" s="477" t="n"/>
      <c r="BY20" s="477" t="n"/>
      <c r="BZ20" s="477" t="n"/>
      <c r="CA20" s="477" t="n"/>
      <c r="CB20" s="477" t="n"/>
      <c r="CC20" s="477" t="n"/>
      <c r="CD20" s="477" t="n"/>
      <c r="CE20" s="477" t="n"/>
      <c r="CF20" s="477" t="n"/>
      <c r="CG20" s="477" t="n"/>
      <c r="CH20" s="477" t="n"/>
      <c r="CI20" s="477" t="n"/>
      <c r="CJ20" s="477" t="n"/>
      <c r="CK20" s="477" t="n"/>
      <c r="CL20" s="477" t="n"/>
      <c r="CM20" s="477" t="n"/>
      <c r="CN20" s="477" t="n"/>
      <c r="CO20" s="477" t="n"/>
      <c r="CP20" s="477" t="n"/>
      <c r="CQ20" s="477" t="n"/>
      <c r="CR20" s="477" t="n"/>
      <c r="CS20" s="477" t="n"/>
      <c r="CT20" s="477" t="n"/>
    </row>
    <row r="21" ht="15" customFormat="1" customHeight="1" s="380">
      <c r="A21" s="476" t="inlineStr">
        <is>
          <t>5000-1000 Payroll</t>
        </is>
      </c>
      <c r="C21" s="477" t="n">
        <v>-144550.9</v>
      </c>
      <c r="D21" s="477" t="n">
        <v>-150672.84</v>
      </c>
      <c r="E21" s="477" t="n">
        <v>-178867.86</v>
      </c>
      <c r="F21" s="477" t="n">
        <v>-187693.63</v>
      </c>
      <c r="G21" s="477" t="n">
        <v>-295949.1</v>
      </c>
      <c r="H21" s="477" t="n">
        <v>-198645.92</v>
      </c>
      <c r="I21" s="477" t="n">
        <v>-215851.71</v>
      </c>
      <c r="J21" s="477" t="n"/>
      <c r="K21" s="477" t="n"/>
      <c r="L21" s="477" t="n"/>
      <c r="M21" s="477" t="n"/>
      <c r="N21" s="477" t="n"/>
      <c r="O21" s="477" t="n"/>
      <c r="P21" s="477" t="n"/>
      <c r="Q21" s="477" t="n"/>
      <c r="R21" s="477" t="n"/>
      <c r="S21" s="477" t="n"/>
      <c r="T21" s="477" t="n"/>
      <c r="U21" s="477" t="n"/>
      <c r="V21" s="477" t="n"/>
      <c r="W21" s="477" t="n"/>
      <c r="X21" s="477" t="n"/>
      <c r="Y21" s="477" t="n"/>
      <c r="Z21" s="477" t="n"/>
      <c r="AA21" s="477" t="n"/>
      <c r="AB21" s="477" t="n"/>
      <c r="AC21" s="477" t="n"/>
      <c r="AD21" s="477" t="n"/>
      <c r="AE21" s="477" t="n"/>
      <c r="AF21" s="477" t="n"/>
      <c r="AG21" s="477" t="n"/>
      <c r="AH21" s="477" t="n"/>
      <c r="AI21" s="477" t="n"/>
      <c r="AJ21" s="477" t="n"/>
      <c r="AK21" s="477" t="n"/>
      <c r="AL21" s="477" t="n"/>
      <c r="AM21" s="477" t="n"/>
      <c r="AN21" s="477" t="n"/>
      <c r="AO21" s="477" t="n"/>
      <c r="AP21" s="477" t="n"/>
      <c r="AQ21" s="477" t="n"/>
      <c r="AR21" s="477" t="n"/>
      <c r="AS21" s="477" t="n"/>
      <c r="AT21" s="477" t="n"/>
      <c r="AU21" s="477" t="n"/>
      <c r="AV21" s="477" t="n"/>
      <c r="AW21" s="477" t="n"/>
      <c r="AX21" s="477" t="n"/>
      <c r="AY21" s="477" t="n"/>
      <c r="AZ21" s="477" t="n"/>
      <c r="BA21" s="477" t="n"/>
      <c r="BB21" s="477" t="n"/>
      <c r="BC21" s="477" t="n"/>
      <c r="BD21" s="477" t="n"/>
      <c r="BE21" s="477" t="n"/>
      <c r="BF21" s="477" t="n"/>
      <c r="BG21" s="477" t="n"/>
      <c r="BH21" s="477" t="n"/>
      <c r="BI21" s="477" t="n"/>
      <c r="BJ21" s="477" t="n"/>
      <c r="BK21" s="477" t="n"/>
      <c r="BL21" s="477" t="n"/>
      <c r="BM21" s="477" t="n"/>
      <c r="BN21" s="477" t="n"/>
      <c r="BO21" s="477" t="n"/>
      <c r="BP21" s="477" t="n"/>
      <c r="BQ21" s="477" t="n"/>
      <c r="BR21" s="477" t="n"/>
      <c r="BS21" s="477" t="n"/>
      <c r="BT21" s="477" t="n"/>
      <c r="BU21" s="477" t="n"/>
      <c r="BV21" s="477" t="n"/>
      <c r="BW21" s="477" t="n"/>
      <c r="BX21" s="477" t="n"/>
      <c r="BY21" s="477" t="n"/>
      <c r="BZ21" s="477" t="n"/>
      <c r="CA21" s="477" t="n"/>
      <c r="CB21" s="477" t="n"/>
      <c r="CC21" s="477" t="n"/>
      <c r="CD21" s="477" t="n"/>
      <c r="CE21" s="477" t="n"/>
      <c r="CF21" s="477" t="n"/>
      <c r="CG21" s="477" t="n"/>
      <c r="CH21" s="477" t="n"/>
      <c r="CI21" s="477" t="n"/>
      <c r="CJ21" s="477" t="n"/>
      <c r="CK21" s="477" t="n"/>
      <c r="CL21" s="477" t="n"/>
      <c r="CM21" s="477" t="n"/>
      <c r="CN21" s="477" t="n"/>
      <c r="CO21" s="477" t="n"/>
      <c r="CP21" s="477" t="n"/>
      <c r="CQ21" s="477" t="n"/>
      <c r="CR21" s="477" t="n"/>
      <c r="CS21" s="477" t="n"/>
      <c r="CT21" s="477" t="n"/>
    </row>
    <row r="22" ht="15" customFormat="1" customHeight="1" s="380">
      <c r="A22" s="476" t="inlineStr">
        <is>
          <t>5000-1001 Payroll Taxes</t>
        </is>
      </c>
      <c r="C22" s="477" t="n">
        <v>-7450.37</v>
      </c>
      <c r="D22" s="477" t="n">
        <v>-10567.2</v>
      </c>
      <c r="E22" s="477" t="n">
        <v>-17033.3</v>
      </c>
      <c r="F22" s="477" t="n">
        <v>-14599.57</v>
      </c>
      <c r="G22" s="477" t="n">
        <v>-23689.02</v>
      </c>
      <c r="H22" s="477" t="n">
        <v>-14793.67</v>
      </c>
      <c r="I22" s="477" t="n">
        <v>-16311.09</v>
      </c>
      <c r="J22" s="477" t="n"/>
      <c r="K22" s="477" t="n"/>
      <c r="L22" s="477" t="n"/>
      <c r="M22" s="477" t="n"/>
      <c r="N22" s="477" t="n"/>
      <c r="O22" s="477" t="n"/>
      <c r="P22" s="477" t="n"/>
      <c r="Q22" s="477" t="n"/>
      <c r="R22" s="477" t="n"/>
      <c r="S22" s="477" t="n"/>
      <c r="T22" s="477" t="n"/>
      <c r="U22" s="477" t="n"/>
      <c r="V22" s="477" t="n"/>
      <c r="W22" s="477" t="n"/>
      <c r="X22" s="477" t="n"/>
      <c r="Y22" s="477" t="n"/>
      <c r="Z22" s="477" t="n"/>
      <c r="AA22" s="477" t="n"/>
      <c r="AB22" s="477" t="n"/>
      <c r="AC22" s="477" t="n"/>
      <c r="AD22" s="477" t="n"/>
      <c r="AE22" s="477" t="n"/>
      <c r="AF22" s="477" t="n"/>
      <c r="AG22" s="477" t="n"/>
      <c r="AH22" s="477" t="n"/>
      <c r="AI22" s="477" t="n"/>
      <c r="AJ22" s="477" t="n"/>
      <c r="AK22" s="477" t="n"/>
      <c r="AL22" s="477" t="n"/>
      <c r="AM22" s="477" t="n"/>
      <c r="AN22" s="477" t="n"/>
      <c r="AO22" s="477" t="n"/>
      <c r="AP22" s="477" t="n"/>
      <c r="AQ22" s="477" t="n"/>
      <c r="AR22" s="477" t="n"/>
      <c r="AS22" s="477" t="n"/>
      <c r="AT22" s="477" t="n"/>
      <c r="AU22" s="477" t="n"/>
      <c r="AV22" s="477" t="n"/>
      <c r="AW22" s="477" t="n"/>
      <c r="AX22" s="477" t="n"/>
      <c r="AY22" s="477" t="n"/>
      <c r="AZ22" s="477" t="n"/>
      <c r="BA22" s="477" t="n"/>
      <c r="BB22" s="477" t="n"/>
      <c r="BC22" s="477" t="n"/>
      <c r="BD22" s="477" t="n"/>
      <c r="BE22" s="477" t="n"/>
      <c r="BF22" s="477" t="n"/>
      <c r="BG22" s="477" t="n"/>
      <c r="BH22" s="477" t="n"/>
      <c r="BI22" s="477" t="n"/>
      <c r="BJ22" s="477" t="n"/>
      <c r="BK22" s="477" t="n"/>
      <c r="BL22" s="477" t="n"/>
      <c r="BM22" s="477" t="n"/>
      <c r="BN22" s="477" t="n"/>
      <c r="BO22" s="477" t="n"/>
      <c r="BP22" s="477" t="n"/>
      <c r="BQ22" s="477" t="n"/>
      <c r="BR22" s="477" t="n"/>
      <c r="BS22" s="477" t="n"/>
      <c r="BT22" s="477" t="n"/>
      <c r="BU22" s="477" t="n"/>
      <c r="BV22" s="477" t="n"/>
      <c r="BW22" s="477" t="n"/>
      <c r="BX22" s="477" t="n"/>
      <c r="BY22" s="477" t="n"/>
      <c r="BZ22" s="477" t="n"/>
      <c r="CA22" s="477" t="n"/>
      <c r="CB22" s="477" t="n"/>
      <c r="CC22" s="477" t="n"/>
      <c r="CD22" s="477" t="n"/>
      <c r="CE22" s="477" t="n"/>
      <c r="CF22" s="477" t="n"/>
      <c r="CG22" s="477" t="n"/>
      <c r="CH22" s="477" t="n"/>
      <c r="CI22" s="477" t="n"/>
      <c r="CJ22" s="477" t="n"/>
      <c r="CK22" s="477" t="n"/>
      <c r="CL22" s="477" t="n"/>
      <c r="CM22" s="477" t="n"/>
      <c r="CN22" s="477" t="n"/>
      <c r="CO22" s="477" t="n"/>
      <c r="CP22" s="477" t="n"/>
      <c r="CQ22" s="477" t="n"/>
      <c r="CR22" s="477" t="n"/>
      <c r="CS22" s="477" t="n"/>
      <c r="CT22" s="477" t="n"/>
    </row>
    <row r="23" ht="15" customFormat="1" customHeight="1" s="380">
      <c r="A23" s="476" t="inlineStr">
        <is>
          <t>SP Allocated to LV</t>
        </is>
      </c>
      <c r="C23" s="477" t="n"/>
      <c r="D23" s="477" t="n"/>
      <c r="E23" s="477" t="n"/>
      <c r="F23" s="477" t="n">
        <v>0</v>
      </c>
      <c r="G23" s="477" t="n">
        <v>0</v>
      </c>
      <c r="H23" s="477" t="n">
        <v>0</v>
      </c>
      <c r="I23" s="477" t="n">
        <v>0</v>
      </c>
      <c r="J23" s="477" t="n"/>
      <c r="K23" s="477" t="n"/>
      <c r="L23" s="477" t="n"/>
      <c r="M23" s="477" t="n"/>
      <c r="N23" s="477" t="n"/>
      <c r="O23" s="477" t="n"/>
      <c r="P23" s="477" t="n"/>
      <c r="Q23" s="477" t="n"/>
      <c r="R23" s="477" t="n"/>
      <c r="S23" s="477" t="n"/>
      <c r="T23" s="477" t="n"/>
      <c r="U23" s="477" t="n"/>
      <c r="V23" s="477" t="n"/>
      <c r="W23" s="477" t="n"/>
      <c r="X23" s="477" t="n"/>
      <c r="Y23" s="477" t="n"/>
      <c r="Z23" s="477" t="n"/>
      <c r="AA23" s="477" t="n"/>
      <c r="AB23" s="477" t="n"/>
      <c r="AC23" s="477" t="n"/>
      <c r="AD23" s="477" t="n"/>
      <c r="AE23" s="477" t="n"/>
      <c r="AF23" s="477" t="n"/>
      <c r="AG23" s="477" t="n"/>
      <c r="AH23" s="477" t="n"/>
      <c r="AI23" s="477" t="n"/>
      <c r="AJ23" s="477" t="n"/>
      <c r="AK23" s="477" t="n"/>
      <c r="AL23" s="477" t="n"/>
      <c r="AM23" s="477" t="n"/>
      <c r="AN23" s="477" t="n"/>
      <c r="AO23" s="477" t="n"/>
      <c r="AP23" s="477" t="n"/>
      <c r="AQ23" s="477" t="n"/>
      <c r="AR23" s="477" t="n"/>
      <c r="AS23" s="477" t="n"/>
      <c r="AT23" s="477" t="n"/>
      <c r="AU23" s="477" t="n"/>
      <c r="AV23" s="477" t="n"/>
      <c r="AW23" s="477" t="n"/>
      <c r="AX23" s="477" t="n"/>
      <c r="AY23" s="477" t="n"/>
      <c r="AZ23" s="477" t="n"/>
      <c r="BA23" s="477" t="n"/>
      <c r="BB23" s="477" t="n"/>
      <c r="BC23" s="477" t="n"/>
      <c r="BD23" s="477" t="n"/>
      <c r="BE23" s="477" t="n"/>
      <c r="BF23" s="477" t="n"/>
      <c r="BG23" s="477" t="n"/>
      <c r="BH23" s="477" t="n"/>
      <c r="BI23" s="477" t="n"/>
      <c r="BJ23" s="477" t="n"/>
      <c r="BK23" s="477" t="n"/>
      <c r="BL23" s="477" t="n"/>
      <c r="BM23" s="477" t="n"/>
      <c r="BN23" s="477" t="n"/>
      <c r="BO23" s="477" t="n"/>
      <c r="BP23" s="477" t="n"/>
      <c r="BQ23" s="477" t="n"/>
      <c r="BR23" s="477" t="n"/>
      <c r="BS23" s="477" t="n"/>
      <c r="BT23" s="477" t="n"/>
      <c r="BU23" s="477" t="n"/>
      <c r="BV23" s="477" t="n"/>
      <c r="BW23" s="477" t="n"/>
      <c r="BX23" s="477" t="n"/>
      <c r="BY23" s="477" t="n"/>
      <c r="BZ23" s="477" t="n"/>
      <c r="CA23" s="477" t="n"/>
      <c r="CB23" s="477" t="n"/>
      <c r="CC23" s="477" t="n"/>
      <c r="CD23" s="477" t="n"/>
      <c r="CE23" s="477" t="n"/>
      <c r="CF23" s="477" t="n"/>
      <c r="CG23" s="477" t="n"/>
      <c r="CH23" s="477" t="n"/>
      <c r="CI23" s="477" t="n"/>
      <c r="CJ23" s="477" t="n"/>
      <c r="CK23" s="477" t="n"/>
      <c r="CL23" s="477" t="n"/>
      <c r="CM23" s="477" t="n"/>
      <c r="CN23" s="477" t="n"/>
      <c r="CO23" s="477" t="n"/>
      <c r="CP23" s="477" t="n"/>
      <c r="CQ23" s="477" t="n"/>
      <c r="CR23" s="477" t="n"/>
      <c r="CS23" s="477" t="n"/>
      <c r="CT23" s="477" t="n"/>
    </row>
    <row r="24" ht="15" customFormat="1" customHeight="1" s="380">
      <c r="A24" s="476" t="inlineStr">
        <is>
          <t>5000-1002 Employee Benefits</t>
        </is>
      </c>
      <c r="C24" s="477" t="n">
        <v>-9482.969999999999</v>
      </c>
      <c r="D24" s="477" t="n">
        <v>-10343.29</v>
      </c>
      <c r="E24" s="477" t="n">
        <v>-3729.48</v>
      </c>
      <c r="F24" s="477" t="n">
        <v>-3206.79</v>
      </c>
      <c r="G24" s="477" t="n">
        <v>10942.55</v>
      </c>
      <c r="H24" s="477" t="n">
        <v>-8982.91</v>
      </c>
      <c r="I24" s="477" t="n">
        <v>-14712.5</v>
      </c>
      <c r="J24" s="477" t="n"/>
      <c r="K24" s="477" t="n"/>
      <c r="L24" s="477" t="n"/>
      <c r="M24" s="477" t="n"/>
      <c r="N24" s="477" t="n"/>
      <c r="O24" s="477" t="n"/>
      <c r="P24" s="477" t="n"/>
      <c r="Q24" s="477" t="n"/>
      <c r="R24" s="477" t="n"/>
      <c r="S24" s="477" t="n"/>
      <c r="T24" s="477" t="n"/>
      <c r="U24" s="477" t="n"/>
      <c r="V24" s="477" t="n"/>
      <c r="W24" s="477" t="n"/>
      <c r="X24" s="477" t="n"/>
      <c r="Y24" s="477" t="n"/>
      <c r="Z24" s="477" t="n"/>
      <c r="AA24" s="477" t="n"/>
      <c r="AB24" s="477" t="n"/>
      <c r="AC24" s="477" t="n"/>
      <c r="AD24" s="477" t="n"/>
      <c r="AE24" s="477" t="n"/>
      <c r="AF24" s="477" t="n"/>
      <c r="AG24" s="477" t="n"/>
      <c r="AH24" s="477" t="n"/>
      <c r="AI24" s="477" t="n"/>
      <c r="AJ24" s="477" t="n"/>
      <c r="AK24" s="477" t="n"/>
      <c r="AL24" s="477" t="n"/>
      <c r="AM24" s="477" t="n"/>
      <c r="AN24" s="477" t="n"/>
      <c r="AO24" s="477" t="n"/>
      <c r="AP24" s="477" t="n"/>
      <c r="AQ24" s="477" t="n"/>
      <c r="AR24" s="477" t="n"/>
      <c r="AS24" s="477" t="n"/>
      <c r="AT24" s="477" t="n"/>
      <c r="AU24" s="477" t="n"/>
      <c r="AV24" s="477" t="n"/>
      <c r="AW24" s="477" t="n"/>
      <c r="AX24" s="477" t="n"/>
      <c r="AY24" s="477" t="n"/>
      <c r="AZ24" s="477" t="n"/>
      <c r="BA24" s="477" t="n"/>
      <c r="BB24" s="477" t="n"/>
      <c r="BC24" s="477" t="n"/>
      <c r="BD24" s="477" t="n"/>
      <c r="BE24" s="477" t="n"/>
      <c r="BF24" s="477" t="n"/>
      <c r="BG24" s="477" t="n"/>
      <c r="BH24" s="477" t="n"/>
      <c r="BI24" s="477" t="n"/>
      <c r="BJ24" s="477" t="n"/>
      <c r="BK24" s="477" t="n"/>
      <c r="BL24" s="477" t="n"/>
      <c r="BM24" s="477" t="n"/>
      <c r="BN24" s="477" t="n"/>
      <c r="BO24" s="477" t="n"/>
      <c r="BP24" s="477" t="n"/>
      <c r="BQ24" s="477" t="n"/>
      <c r="BR24" s="477" t="n"/>
      <c r="BS24" s="477" t="n"/>
      <c r="BT24" s="477" t="n"/>
      <c r="BU24" s="477" t="n"/>
      <c r="BV24" s="477" t="n"/>
      <c r="BW24" s="477" t="n"/>
      <c r="BX24" s="477" t="n"/>
      <c r="BY24" s="477" t="n"/>
      <c r="BZ24" s="477" t="n"/>
      <c r="CA24" s="477" t="n"/>
      <c r="CB24" s="477" t="n"/>
      <c r="CC24" s="477" t="n"/>
      <c r="CD24" s="477" t="n"/>
      <c r="CE24" s="477" t="n"/>
      <c r="CF24" s="477" t="n"/>
      <c r="CG24" s="477" t="n"/>
      <c r="CH24" s="477" t="n"/>
      <c r="CI24" s="477" t="n"/>
      <c r="CJ24" s="477" t="n"/>
      <c r="CK24" s="477" t="n"/>
      <c r="CL24" s="477" t="n"/>
      <c r="CM24" s="477" t="n"/>
      <c r="CN24" s="477" t="n"/>
      <c r="CO24" s="477" t="n"/>
      <c r="CP24" s="477" t="n"/>
      <c r="CQ24" s="477" t="n"/>
      <c r="CR24" s="477" t="n"/>
      <c r="CS24" s="477" t="n"/>
      <c r="CT24" s="477" t="n"/>
    </row>
    <row r="25" ht="15" customFormat="1" customHeight="1" s="380">
      <c r="A25" s="476" t="inlineStr">
        <is>
          <t>5000-1003 Workers Comp</t>
        </is>
      </c>
      <c r="C25" s="477" t="n">
        <v>-2542.47</v>
      </c>
      <c r="D25" s="477" t="n">
        <v>-1618.75</v>
      </c>
      <c r="E25" s="477" t="n">
        <v>3406.77</v>
      </c>
      <c r="F25" s="477" t="n">
        <v>2575.42</v>
      </c>
      <c r="G25" s="477" t="n">
        <v>-1896.11</v>
      </c>
      <c r="H25" s="477" t="n">
        <v>-2888.37</v>
      </c>
      <c r="I25" s="477" t="n">
        <v>636.26</v>
      </c>
      <c r="J25" s="477" t="n"/>
      <c r="K25" s="477" t="n"/>
      <c r="L25" s="477" t="n"/>
      <c r="M25" s="477" t="n"/>
      <c r="N25" s="477" t="n"/>
      <c r="O25" s="477" t="n"/>
      <c r="P25" s="477" t="n"/>
      <c r="Q25" s="477" t="n"/>
      <c r="R25" s="477" t="n"/>
      <c r="S25" s="477" t="n"/>
      <c r="T25" s="477" t="n"/>
      <c r="U25" s="477" t="n"/>
      <c r="V25" s="477" t="n"/>
      <c r="W25" s="477" t="n"/>
      <c r="X25" s="477" t="n"/>
      <c r="Y25" s="477" t="n"/>
      <c r="Z25" s="477" t="n"/>
      <c r="AA25" s="477" t="n"/>
      <c r="AB25" s="477" t="n"/>
      <c r="AC25" s="477" t="n"/>
      <c r="AD25" s="477" t="n"/>
      <c r="AE25" s="477" t="n"/>
      <c r="AF25" s="477" t="n"/>
      <c r="AG25" s="477" t="n"/>
      <c r="AH25" s="477" t="n"/>
      <c r="AI25" s="477" t="n"/>
      <c r="AJ25" s="477" t="n"/>
      <c r="AK25" s="477" t="n"/>
      <c r="AL25" s="477" t="n"/>
      <c r="AM25" s="477" t="n"/>
      <c r="AN25" s="477" t="n"/>
      <c r="AO25" s="477" t="n"/>
      <c r="AP25" s="477" t="n"/>
      <c r="AQ25" s="477" t="n"/>
      <c r="AR25" s="477" t="n"/>
      <c r="AS25" s="477" t="n"/>
      <c r="AT25" s="477" t="n"/>
      <c r="AU25" s="477" t="n"/>
      <c r="AV25" s="477" t="n"/>
      <c r="AW25" s="477" t="n"/>
      <c r="AX25" s="477" t="n"/>
      <c r="AY25" s="477" t="n"/>
      <c r="AZ25" s="477" t="n"/>
      <c r="BA25" s="477" t="n"/>
      <c r="BB25" s="477" t="n"/>
      <c r="BC25" s="477" t="n"/>
      <c r="BD25" s="477" t="n"/>
      <c r="BE25" s="477" t="n"/>
      <c r="BF25" s="477" t="n"/>
      <c r="BG25" s="477" t="n"/>
      <c r="BH25" s="477" t="n"/>
      <c r="BI25" s="477" t="n"/>
      <c r="BJ25" s="477" t="n"/>
      <c r="BK25" s="477" t="n"/>
      <c r="BL25" s="477" t="n"/>
      <c r="BM25" s="477" t="n"/>
      <c r="BN25" s="477" t="n"/>
      <c r="BO25" s="477" t="n"/>
      <c r="BP25" s="477" t="n"/>
      <c r="BQ25" s="477" t="n"/>
      <c r="BR25" s="477" t="n"/>
      <c r="BS25" s="477" t="n"/>
      <c r="BT25" s="477" t="n"/>
      <c r="BU25" s="477" t="n"/>
      <c r="BV25" s="477" t="n"/>
      <c r="BW25" s="477" t="n"/>
      <c r="BX25" s="477" t="n"/>
      <c r="BY25" s="477" t="n"/>
      <c r="BZ25" s="477" t="n"/>
      <c r="CA25" s="477" t="n"/>
      <c r="CB25" s="477" t="n"/>
      <c r="CC25" s="477" t="n"/>
      <c r="CD25" s="477" t="n"/>
      <c r="CE25" s="477" t="n"/>
      <c r="CF25" s="477" t="n"/>
      <c r="CG25" s="477" t="n"/>
      <c r="CH25" s="477" t="n"/>
      <c r="CI25" s="477" t="n"/>
      <c r="CJ25" s="477" t="n"/>
      <c r="CK25" s="477" t="n"/>
      <c r="CL25" s="477" t="n"/>
      <c r="CM25" s="477" t="n"/>
      <c r="CN25" s="477" t="n"/>
      <c r="CO25" s="477" t="n"/>
      <c r="CP25" s="477" t="n"/>
      <c r="CQ25" s="477" t="n"/>
      <c r="CR25" s="477" t="n"/>
      <c r="CS25" s="477" t="n"/>
      <c r="CT25" s="477" t="n"/>
    </row>
    <row r="26" ht="15" customFormat="1" customHeight="1" s="380">
      <c r="A26" s="476" t="inlineStr">
        <is>
          <t>5000-1005 Payroll Servicing Fees</t>
        </is>
      </c>
      <c r="C26" s="477" t="n">
        <v>-195</v>
      </c>
      <c r="D26" s="477" t="n">
        <v>-200</v>
      </c>
      <c r="E26" s="477" t="n">
        <v>0</v>
      </c>
      <c r="F26" s="477" t="n">
        <v>0</v>
      </c>
      <c r="G26" s="477" t="n">
        <v>0</v>
      </c>
      <c r="H26" s="477" t="n">
        <v>0</v>
      </c>
      <c r="I26" s="477" t="n">
        <v>0</v>
      </c>
      <c r="J26" s="477" t="n"/>
      <c r="K26" s="477" t="n"/>
      <c r="L26" s="477" t="n"/>
      <c r="M26" s="477" t="n"/>
      <c r="N26" s="477" t="n"/>
      <c r="O26" s="477" t="n"/>
      <c r="P26" s="477" t="n"/>
      <c r="Q26" s="477" t="n"/>
      <c r="R26" s="477" t="n"/>
      <c r="S26" s="477" t="n"/>
      <c r="T26" s="477" t="n"/>
      <c r="U26" s="477" t="n"/>
      <c r="V26" s="477" t="n"/>
      <c r="W26" s="477" t="n"/>
      <c r="X26" s="477" t="n"/>
      <c r="Y26" s="477" t="n"/>
      <c r="Z26" s="477" t="n"/>
      <c r="AA26" s="477" t="n"/>
      <c r="AB26" s="477" t="n"/>
      <c r="AC26" s="477" t="n"/>
      <c r="AD26" s="477" t="n"/>
      <c r="AE26" s="477" t="n"/>
      <c r="AF26" s="477" t="n"/>
      <c r="AG26" s="477" t="n"/>
      <c r="AH26" s="477" t="n"/>
      <c r="AI26" s="477" t="n"/>
      <c r="AJ26" s="477" t="n"/>
      <c r="AK26" s="477" t="n"/>
      <c r="AL26" s="477" t="n"/>
      <c r="AM26" s="477" t="n"/>
      <c r="AN26" s="477" t="n"/>
      <c r="AO26" s="477" t="n"/>
      <c r="AP26" s="477" t="n"/>
      <c r="AQ26" s="477" t="n"/>
      <c r="AR26" s="477" t="n"/>
      <c r="AS26" s="477" t="n"/>
      <c r="AT26" s="477" t="n"/>
      <c r="AU26" s="477" t="n"/>
      <c r="AV26" s="477" t="n"/>
      <c r="AW26" s="477" t="n"/>
      <c r="AX26" s="477" t="n"/>
      <c r="AY26" s="477" t="n"/>
      <c r="AZ26" s="477" t="n"/>
      <c r="BA26" s="477" t="n"/>
      <c r="BB26" s="477" t="n"/>
      <c r="BC26" s="477" t="n"/>
      <c r="BD26" s="477" t="n"/>
      <c r="BE26" s="477" t="n"/>
      <c r="BF26" s="477" t="n"/>
      <c r="BG26" s="477" t="n"/>
      <c r="BH26" s="477" t="n"/>
      <c r="BI26" s="477" t="n"/>
      <c r="BJ26" s="477" t="n"/>
      <c r="BK26" s="477" t="n"/>
      <c r="BL26" s="477" t="n"/>
      <c r="BM26" s="477" t="n"/>
      <c r="BN26" s="477" t="n"/>
      <c r="BO26" s="477" t="n"/>
      <c r="BP26" s="477" t="n"/>
      <c r="BQ26" s="477" t="n"/>
      <c r="BR26" s="477" t="n"/>
      <c r="BS26" s="477" t="n"/>
      <c r="BT26" s="477" t="n"/>
      <c r="BU26" s="477" t="n"/>
      <c r="BV26" s="477" t="n"/>
      <c r="BW26" s="477" t="n"/>
      <c r="BX26" s="477" t="n"/>
      <c r="BY26" s="477" t="n"/>
      <c r="BZ26" s="477" t="n"/>
      <c r="CA26" s="477" t="n"/>
      <c r="CB26" s="477" t="n"/>
      <c r="CC26" s="477" t="n"/>
      <c r="CD26" s="477" t="n"/>
      <c r="CE26" s="477" t="n"/>
      <c r="CF26" s="477" t="n"/>
      <c r="CG26" s="477" t="n"/>
      <c r="CH26" s="477" t="n"/>
      <c r="CI26" s="477" t="n"/>
      <c r="CJ26" s="477" t="n"/>
      <c r="CK26" s="477" t="n"/>
      <c r="CL26" s="477" t="n"/>
      <c r="CM26" s="477" t="n"/>
      <c r="CN26" s="477" t="n"/>
      <c r="CO26" s="477" t="n"/>
      <c r="CP26" s="477" t="n"/>
      <c r="CQ26" s="477" t="n"/>
      <c r="CR26" s="477" t="n"/>
      <c r="CS26" s="477" t="n"/>
      <c r="CT26" s="477" t="n"/>
    </row>
    <row r="27" ht="15" customFormat="1" customHeight="1" s="380">
      <c r="A27" s="476" t="inlineStr">
        <is>
          <t>5000-1007 Payroll - Consultants</t>
        </is>
      </c>
      <c r="C27" s="477" t="n">
        <v>-33002.28</v>
      </c>
      <c r="D27" s="477" t="n">
        <v>-29166.66</v>
      </c>
      <c r="E27" s="477" t="n">
        <v>-41666.66</v>
      </c>
      <c r="F27" s="477" t="n">
        <v>-29166.66</v>
      </c>
      <c r="G27" s="477" t="n">
        <v>-29166.66</v>
      </c>
      <c r="H27" s="477" t="n">
        <v>-29166.66</v>
      </c>
      <c r="I27" s="477" t="n">
        <v>-29166.66</v>
      </c>
      <c r="J27" s="477" t="n"/>
      <c r="K27" s="477" t="n"/>
      <c r="L27" s="477" t="n"/>
      <c r="M27" s="477" t="n"/>
      <c r="N27" s="477" t="n"/>
      <c r="O27" s="477" t="n"/>
      <c r="P27" s="477" t="n"/>
      <c r="Q27" s="477" t="n"/>
      <c r="R27" s="477" t="n"/>
      <c r="S27" s="477" t="n"/>
      <c r="T27" s="477" t="n"/>
      <c r="U27" s="477" t="n"/>
      <c r="V27" s="477" t="n"/>
      <c r="W27" s="477" t="n"/>
      <c r="X27" s="477" t="n"/>
      <c r="Y27" s="477" t="n"/>
      <c r="Z27" s="477" t="n"/>
      <c r="AA27" s="477" t="n"/>
      <c r="AB27" s="477" t="n"/>
      <c r="AC27" s="477" t="n"/>
      <c r="AD27" s="477" t="n"/>
      <c r="AE27" s="477" t="n"/>
      <c r="AF27" s="477" t="n"/>
      <c r="AG27" s="477" t="n"/>
      <c r="AH27" s="477" t="n"/>
      <c r="AI27" s="477" t="n"/>
      <c r="AJ27" s="477" t="n"/>
      <c r="AK27" s="477" t="n"/>
      <c r="AL27" s="477" t="n"/>
      <c r="AM27" s="477" t="n"/>
      <c r="AN27" s="477" t="n"/>
      <c r="AO27" s="477" t="n"/>
      <c r="AP27" s="477" t="n"/>
      <c r="AQ27" s="477" t="n"/>
      <c r="AR27" s="477" t="n"/>
      <c r="AS27" s="477" t="n"/>
      <c r="AT27" s="477" t="n"/>
      <c r="AU27" s="477" t="n"/>
      <c r="AV27" s="477" t="n"/>
      <c r="AW27" s="477" t="n"/>
      <c r="AX27" s="477" t="n"/>
      <c r="AY27" s="477" t="n"/>
      <c r="AZ27" s="477" t="n"/>
      <c r="BA27" s="477" t="n"/>
      <c r="BB27" s="477" t="n"/>
      <c r="BC27" s="477" t="n"/>
      <c r="BD27" s="477" t="n"/>
      <c r="BE27" s="477" t="n"/>
      <c r="BF27" s="477" t="n"/>
      <c r="BG27" s="477" t="n"/>
      <c r="BH27" s="477" t="n"/>
      <c r="BI27" s="477" t="n"/>
      <c r="BJ27" s="477" t="n"/>
      <c r="BK27" s="477" t="n"/>
      <c r="BL27" s="477" t="n"/>
      <c r="BM27" s="477" t="n"/>
      <c r="BN27" s="477" t="n"/>
      <c r="BO27" s="477" t="n"/>
      <c r="BP27" s="477" t="n"/>
      <c r="BQ27" s="477" t="n"/>
      <c r="BR27" s="477" t="n"/>
      <c r="BS27" s="477" t="n"/>
      <c r="BT27" s="477" t="n"/>
      <c r="BU27" s="477" t="n"/>
      <c r="BV27" s="477" t="n"/>
      <c r="BW27" s="477" t="n"/>
      <c r="BX27" s="477" t="n"/>
      <c r="BY27" s="477" t="n"/>
      <c r="BZ27" s="477" t="n"/>
      <c r="CA27" s="477" t="n"/>
      <c r="CB27" s="477" t="n"/>
      <c r="CC27" s="477" t="n"/>
      <c r="CD27" s="477" t="n"/>
      <c r="CE27" s="477" t="n"/>
      <c r="CF27" s="477" t="n"/>
      <c r="CG27" s="477" t="n"/>
      <c r="CH27" s="477" t="n"/>
      <c r="CI27" s="477" t="n"/>
      <c r="CJ27" s="477" t="n"/>
      <c r="CK27" s="477" t="n"/>
      <c r="CL27" s="477" t="n"/>
      <c r="CM27" s="477" t="n"/>
      <c r="CN27" s="477" t="n"/>
      <c r="CO27" s="477" t="n"/>
      <c r="CP27" s="477" t="n"/>
      <c r="CQ27" s="477" t="n"/>
      <c r="CR27" s="477" t="n"/>
      <c r="CS27" s="477" t="n"/>
      <c r="CT27" s="477" t="n"/>
    </row>
    <row r="28" ht="15" customFormat="1" customHeight="1" s="380">
      <c r="A28" s="476" t="inlineStr">
        <is>
          <t>5000-1018 Payroll - Self Performed Trades</t>
        </is>
      </c>
      <c r="C28" s="477" t="n">
        <v>0</v>
      </c>
      <c r="D28" s="477" t="n">
        <v>0</v>
      </c>
      <c r="E28" s="477" t="n">
        <v>0</v>
      </c>
      <c r="F28" s="477" t="n">
        <v>251304.48</v>
      </c>
      <c r="G28" s="477" t="n">
        <v>81510</v>
      </c>
      <c r="H28" s="477" t="n">
        <v>0</v>
      </c>
      <c r="I28" s="477" t="n">
        <v>0</v>
      </c>
      <c r="J28" s="477" t="n"/>
      <c r="K28" s="477" t="n"/>
      <c r="L28" s="477" t="n"/>
      <c r="M28" s="477" t="n"/>
      <c r="N28" s="477" t="n"/>
      <c r="O28" s="477" t="n"/>
      <c r="P28" s="477" t="n"/>
      <c r="Q28" s="477" t="n"/>
      <c r="R28" s="477" t="n"/>
      <c r="S28" s="477" t="n"/>
      <c r="T28" s="477" t="n"/>
      <c r="U28" s="477" t="n"/>
      <c r="V28" s="477" t="n"/>
      <c r="W28" s="477" t="n"/>
      <c r="X28" s="477" t="n"/>
      <c r="Y28" s="477" t="n"/>
      <c r="Z28" s="477" t="n"/>
      <c r="AA28" s="477" t="n"/>
      <c r="AB28" s="477" t="n"/>
      <c r="AC28" s="477" t="n"/>
      <c r="AD28" s="477" t="n"/>
      <c r="AE28" s="477" t="n"/>
      <c r="AF28" s="477" t="n"/>
      <c r="AG28" s="477" t="n"/>
      <c r="AH28" s="477" t="n"/>
      <c r="AI28" s="477" t="n"/>
      <c r="AJ28" s="477" t="n"/>
      <c r="AK28" s="477" t="n"/>
      <c r="AL28" s="477" t="n"/>
      <c r="AM28" s="477" t="n"/>
      <c r="AN28" s="477" t="n"/>
      <c r="AO28" s="477" t="n"/>
      <c r="AP28" s="477" t="n"/>
      <c r="AQ28" s="477" t="n"/>
      <c r="AR28" s="477" t="n"/>
      <c r="AS28" s="477" t="n"/>
      <c r="AT28" s="477" t="n"/>
      <c r="AU28" s="477" t="n"/>
      <c r="AV28" s="477" t="n"/>
      <c r="AW28" s="477" t="n"/>
      <c r="AX28" s="477" t="n"/>
      <c r="AY28" s="477" t="n"/>
      <c r="AZ28" s="477" t="n"/>
      <c r="BA28" s="477" t="n"/>
      <c r="BB28" s="477" t="n"/>
      <c r="BC28" s="477" t="n"/>
      <c r="BD28" s="477" t="n"/>
      <c r="BE28" s="477" t="n"/>
      <c r="BF28" s="477" t="n"/>
      <c r="BG28" s="477" t="n"/>
      <c r="BH28" s="477" t="n"/>
      <c r="BI28" s="477" t="n"/>
      <c r="BJ28" s="477" t="n"/>
      <c r="BK28" s="477" t="n"/>
      <c r="BL28" s="477" t="n"/>
      <c r="BM28" s="477" t="n"/>
      <c r="BN28" s="477" t="n"/>
      <c r="BO28" s="477" t="n"/>
      <c r="BP28" s="477" t="n"/>
      <c r="BQ28" s="477" t="n"/>
      <c r="BR28" s="477" t="n"/>
      <c r="BS28" s="477" t="n"/>
      <c r="BT28" s="477" t="n"/>
      <c r="BU28" s="477" t="n"/>
      <c r="BV28" s="477" t="n"/>
      <c r="BW28" s="477" t="n"/>
      <c r="BX28" s="477" t="n"/>
      <c r="BY28" s="477" t="n"/>
      <c r="BZ28" s="477" t="n"/>
      <c r="CA28" s="477" t="n"/>
      <c r="CB28" s="477" t="n"/>
      <c r="CC28" s="477" t="n"/>
      <c r="CD28" s="477" t="n"/>
      <c r="CE28" s="477" t="n"/>
      <c r="CF28" s="477" t="n"/>
      <c r="CG28" s="477" t="n"/>
      <c r="CH28" s="477" t="n"/>
      <c r="CI28" s="477" t="n"/>
      <c r="CJ28" s="477" t="n"/>
      <c r="CK28" s="477" t="n"/>
      <c r="CL28" s="477" t="n"/>
      <c r="CM28" s="477" t="n"/>
      <c r="CN28" s="477" t="n"/>
      <c r="CO28" s="477" t="n"/>
      <c r="CP28" s="477" t="n"/>
      <c r="CQ28" s="477" t="n"/>
      <c r="CR28" s="477" t="n"/>
      <c r="CS28" s="477" t="n"/>
      <c r="CT28" s="477" t="n"/>
    </row>
    <row r="29" ht="15" customFormat="1" customHeight="1" s="380">
      <c r="A29" s="476" t="inlineStr">
        <is>
          <t>5100-1000 Rent Expense</t>
        </is>
      </c>
      <c r="C29" s="477" t="n">
        <v>-10400</v>
      </c>
      <c r="D29" s="477" t="n">
        <v>-10400</v>
      </c>
      <c r="E29" s="477" t="n">
        <v>-400</v>
      </c>
      <c r="F29" s="477" t="n">
        <v>-10400</v>
      </c>
      <c r="G29" s="477" t="n">
        <v>-20400</v>
      </c>
      <c r="H29" s="477" t="n">
        <v>-20405</v>
      </c>
      <c r="I29" s="477" t="n">
        <v>-20405</v>
      </c>
      <c r="J29" s="477" t="n"/>
      <c r="K29" s="477" t="n"/>
      <c r="L29" s="477" t="n"/>
      <c r="M29" s="477" t="n"/>
      <c r="N29" s="477" t="n"/>
      <c r="O29" s="477" t="n"/>
      <c r="P29" s="477" t="n"/>
      <c r="Q29" s="477" t="n"/>
      <c r="R29" s="477" t="n"/>
      <c r="S29" s="477" t="n"/>
      <c r="T29" s="477" t="n"/>
      <c r="U29" s="477" t="n"/>
      <c r="V29" s="477" t="n"/>
      <c r="W29" s="477" t="n"/>
      <c r="X29" s="477" t="n"/>
      <c r="Y29" s="477" t="n"/>
      <c r="Z29" s="477" t="n"/>
      <c r="AA29" s="477" t="n"/>
      <c r="AB29" s="477" t="n"/>
      <c r="AC29" s="477" t="n"/>
      <c r="AD29" s="477" t="n"/>
      <c r="AE29" s="477" t="n"/>
      <c r="AF29" s="477" t="n"/>
      <c r="AG29" s="477" t="n"/>
      <c r="AH29" s="477" t="n"/>
      <c r="AI29" s="477" t="n"/>
      <c r="AJ29" s="477" t="n"/>
      <c r="AK29" s="477" t="n"/>
      <c r="AL29" s="477" t="n"/>
      <c r="AM29" s="477" t="n"/>
      <c r="AN29" s="477" t="n"/>
      <c r="AO29" s="477" t="n"/>
      <c r="AP29" s="477" t="n"/>
      <c r="AQ29" s="477" t="n"/>
      <c r="AR29" s="477" t="n"/>
      <c r="AS29" s="477" t="n"/>
      <c r="AT29" s="477" t="n"/>
      <c r="AU29" s="477" t="n"/>
      <c r="AV29" s="477" t="n"/>
      <c r="AW29" s="477" t="n"/>
      <c r="AX29" s="477" t="n"/>
      <c r="AY29" s="477" t="n"/>
      <c r="AZ29" s="477" t="n"/>
      <c r="BA29" s="477" t="n"/>
      <c r="BB29" s="477" t="n"/>
      <c r="BC29" s="477" t="n"/>
      <c r="BD29" s="477" t="n"/>
      <c r="BE29" s="477" t="n"/>
      <c r="BF29" s="477" t="n"/>
      <c r="BG29" s="477" t="n"/>
      <c r="BH29" s="477" t="n"/>
      <c r="BI29" s="477" t="n"/>
      <c r="BJ29" s="477" t="n"/>
      <c r="BK29" s="477" t="n"/>
      <c r="BL29" s="477" t="n"/>
      <c r="BM29" s="477" t="n"/>
      <c r="BN29" s="477" t="n"/>
      <c r="BO29" s="477" t="n"/>
      <c r="BP29" s="477" t="n"/>
      <c r="BQ29" s="477" t="n"/>
      <c r="BR29" s="477" t="n"/>
      <c r="BS29" s="477" t="n"/>
      <c r="BT29" s="477" t="n"/>
      <c r="BU29" s="477" t="n"/>
      <c r="BV29" s="477" t="n"/>
      <c r="BW29" s="477" t="n"/>
      <c r="BX29" s="477" t="n"/>
      <c r="BY29" s="477" t="n"/>
      <c r="BZ29" s="477" t="n"/>
      <c r="CA29" s="477" t="n"/>
      <c r="CB29" s="477" t="n"/>
      <c r="CC29" s="477" t="n"/>
      <c r="CD29" s="477" t="n"/>
      <c r="CE29" s="477" t="n"/>
      <c r="CF29" s="477" t="n"/>
      <c r="CG29" s="477" t="n"/>
      <c r="CH29" s="477" t="n"/>
      <c r="CI29" s="477" t="n"/>
      <c r="CJ29" s="477" t="n"/>
      <c r="CK29" s="477" t="n"/>
      <c r="CL29" s="477" t="n"/>
      <c r="CM29" s="477" t="n"/>
      <c r="CN29" s="477" t="n"/>
      <c r="CO29" s="477" t="n"/>
      <c r="CP29" s="477" t="n"/>
      <c r="CQ29" s="477" t="n"/>
      <c r="CR29" s="477" t="n"/>
      <c r="CS29" s="477" t="n"/>
      <c r="CT29" s="477" t="n"/>
    </row>
    <row r="30" ht="15" customFormat="1" customHeight="1" s="380">
      <c r="A30" s="476" t="inlineStr">
        <is>
          <t>5200-1000 Office Supplies and Expenses</t>
        </is>
      </c>
      <c r="C30" s="477" t="n">
        <v>-1988</v>
      </c>
      <c r="D30" s="477" t="n">
        <v>-955.3200000000001</v>
      </c>
      <c r="E30" s="477" t="n">
        <v>-9130.610000000001</v>
      </c>
      <c r="F30" s="477" t="n">
        <v>-1028.89</v>
      </c>
      <c r="G30" s="477" t="n">
        <v>-7005.14</v>
      </c>
      <c r="H30" s="477" t="n">
        <v>-4121.06</v>
      </c>
      <c r="I30" s="477" t="n">
        <v>-2683.91</v>
      </c>
      <c r="J30" s="477" t="n"/>
      <c r="K30" s="477" t="n"/>
      <c r="L30" s="477" t="n"/>
      <c r="M30" s="477" t="n"/>
      <c r="N30" s="477" t="n"/>
      <c r="O30" s="477" t="n"/>
      <c r="P30" s="477" t="n"/>
      <c r="Q30" s="477" t="n"/>
      <c r="R30" s="477" t="n"/>
      <c r="S30" s="477" t="n"/>
      <c r="T30" s="477" t="n"/>
      <c r="U30" s="477" t="n"/>
      <c r="V30" s="477" t="n"/>
      <c r="W30" s="477" t="n"/>
      <c r="X30" s="477" t="n"/>
      <c r="Y30" s="477" t="n"/>
      <c r="Z30" s="477" t="n"/>
      <c r="AA30" s="477" t="n"/>
      <c r="AB30" s="477" t="n"/>
      <c r="AC30" s="477" t="n"/>
      <c r="AD30" s="477" t="n"/>
      <c r="AE30" s="477" t="n"/>
      <c r="AF30" s="477" t="n"/>
      <c r="AG30" s="477" t="n"/>
      <c r="AH30" s="477" t="n"/>
      <c r="AI30" s="477" t="n"/>
      <c r="AJ30" s="477" t="n"/>
      <c r="AK30" s="477" t="n"/>
      <c r="AL30" s="477" t="n"/>
      <c r="AM30" s="477" t="n"/>
      <c r="AN30" s="477" t="n"/>
      <c r="AO30" s="477" t="n"/>
      <c r="AP30" s="477" t="n"/>
      <c r="AQ30" s="477" t="n"/>
      <c r="AR30" s="477" t="n"/>
      <c r="AS30" s="477" t="n"/>
      <c r="AT30" s="477" t="n"/>
      <c r="AU30" s="477" t="n"/>
      <c r="AV30" s="477" t="n"/>
      <c r="AW30" s="477" t="n"/>
      <c r="AX30" s="477" t="n"/>
      <c r="AY30" s="477" t="n"/>
      <c r="AZ30" s="477" t="n"/>
      <c r="BA30" s="477" t="n"/>
      <c r="BB30" s="477" t="n"/>
      <c r="BC30" s="477" t="n"/>
      <c r="BD30" s="477" t="n"/>
      <c r="BE30" s="477" t="n"/>
      <c r="BF30" s="477" t="n"/>
      <c r="BG30" s="477" t="n"/>
      <c r="BH30" s="477" t="n"/>
      <c r="BI30" s="477" t="n"/>
      <c r="BJ30" s="477" t="n"/>
      <c r="BK30" s="477" t="n"/>
      <c r="BL30" s="477" t="n"/>
      <c r="BM30" s="477" t="n"/>
      <c r="BN30" s="477" t="n"/>
      <c r="BO30" s="477" t="n"/>
      <c r="BP30" s="477" t="n"/>
      <c r="BQ30" s="477" t="n"/>
      <c r="BR30" s="477" t="n"/>
      <c r="BS30" s="477" t="n"/>
      <c r="BT30" s="477" t="n"/>
      <c r="BU30" s="477" t="n"/>
      <c r="BV30" s="477" t="n"/>
      <c r="BW30" s="477" t="n"/>
      <c r="BX30" s="477" t="n"/>
      <c r="BY30" s="477" t="n"/>
      <c r="BZ30" s="477" t="n"/>
      <c r="CA30" s="477" t="n"/>
      <c r="CB30" s="477" t="n"/>
      <c r="CC30" s="477" t="n"/>
      <c r="CD30" s="477" t="n"/>
      <c r="CE30" s="477" t="n"/>
      <c r="CF30" s="477" t="n"/>
      <c r="CG30" s="477" t="n"/>
      <c r="CH30" s="477" t="n"/>
      <c r="CI30" s="477" t="n"/>
      <c r="CJ30" s="477" t="n"/>
      <c r="CK30" s="477" t="n"/>
      <c r="CL30" s="477" t="n"/>
      <c r="CM30" s="477" t="n"/>
      <c r="CN30" s="477" t="n"/>
      <c r="CO30" s="477" t="n"/>
      <c r="CP30" s="477" t="n"/>
      <c r="CQ30" s="477" t="n"/>
      <c r="CR30" s="477" t="n"/>
      <c r="CS30" s="477" t="n"/>
      <c r="CT30" s="477" t="n"/>
    </row>
    <row r="31" ht="15" customFormat="1" customHeight="1" s="380">
      <c r="A31" s="476" t="inlineStr">
        <is>
          <t>5200-1002 Printing and Reproduction</t>
        </is>
      </c>
      <c r="C31" s="477" t="n">
        <v>0</v>
      </c>
      <c r="D31" s="477" t="n">
        <v>0</v>
      </c>
      <c r="E31" s="477" t="n">
        <v>-1077.38</v>
      </c>
      <c r="F31" s="477" t="n">
        <v>-211.28</v>
      </c>
      <c r="G31" s="477" t="n">
        <v>-1254.17</v>
      </c>
      <c r="H31" s="477" t="n">
        <v>0</v>
      </c>
      <c r="I31" s="477" t="n">
        <v>-169.62</v>
      </c>
      <c r="J31" s="477" t="n"/>
      <c r="K31" s="477" t="n"/>
      <c r="L31" s="477" t="n"/>
      <c r="M31" s="477" t="n"/>
      <c r="N31" s="477" t="n"/>
      <c r="O31" s="477" t="n"/>
      <c r="P31" s="477" t="n"/>
      <c r="Q31" s="477" t="n"/>
      <c r="R31" s="477" t="n"/>
      <c r="S31" s="477" t="n"/>
      <c r="T31" s="477" t="n"/>
      <c r="U31" s="477" t="n"/>
      <c r="V31" s="477" t="n"/>
      <c r="W31" s="477" t="n"/>
      <c r="X31" s="477" t="n"/>
      <c r="Y31" s="477" t="n"/>
      <c r="Z31" s="477" t="n"/>
      <c r="AA31" s="477" t="n"/>
      <c r="AB31" s="477" t="n"/>
      <c r="AC31" s="477" t="n"/>
      <c r="AD31" s="477" t="n"/>
      <c r="AE31" s="477" t="n"/>
      <c r="AF31" s="477" t="n"/>
      <c r="AG31" s="477" t="n"/>
      <c r="AH31" s="477" t="n"/>
      <c r="AI31" s="477" t="n"/>
      <c r="AJ31" s="477" t="n"/>
      <c r="AK31" s="477" t="n"/>
      <c r="AL31" s="477" t="n"/>
      <c r="AM31" s="477" t="n"/>
      <c r="AN31" s="477" t="n"/>
      <c r="AO31" s="477" t="n"/>
      <c r="AP31" s="477" t="n"/>
      <c r="AQ31" s="477" t="n"/>
      <c r="AR31" s="477" t="n"/>
      <c r="AS31" s="477" t="n"/>
      <c r="AT31" s="477" t="n"/>
      <c r="AU31" s="477" t="n"/>
      <c r="AV31" s="477" t="n"/>
      <c r="AW31" s="477" t="n"/>
      <c r="AX31" s="477" t="n"/>
      <c r="AY31" s="477" t="n"/>
      <c r="AZ31" s="477" t="n"/>
      <c r="BA31" s="477" t="n"/>
      <c r="BB31" s="477" t="n"/>
      <c r="BC31" s="477" t="n"/>
      <c r="BD31" s="477" t="n"/>
      <c r="BE31" s="477" t="n"/>
      <c r="BF31" s="477" t="n"/>
      <c r="BG31" s="477" t="n"/>
      <c r="BH31" s="477" t="n"/>
      <c r="BI31" s="477" t="n"/>
      <c r="BJ31" s="477" t="n"/>
      <c r="BK31" s="477" t="n"/>
      <c r="BL31" s="477" t="n"/>
      <c r="BM31" s="477" t="n"/>
      <c r="BN31" s="477" t="n"/>
      <c r="BO31" s="477" t="n"/>
      <c r="BP31" s="477" t="n"/>
      <c r="BQ31" s="477" t="n"/>
      <c r="BR31" s="477" t="n"/>
      <c r="BS31" s="477" t="n"/>
      <c r="BT31" s="477" t="n"/>
      <c r="BU31" s="477" t="n"/>
      <c r="BV31" s="477" t="n"/>
      <c r="BW31" s="477" t="n"/>
      <c r="BX31" s="477" t="n"/>
      <c r="BY31" s="477" t="n"/>
      <c r="BZ31" s="477" t="n"/>
      <c r="CA31" s="477" t="n"/>
      <c r="CB31" s="477" t="n"/>
      <c r="CC31" s="477" t="n"/>
      <c r="CD31" s="477" t="n"/>
      <c r="CE31" s="477" t="n"/>
      <c r="CF31" s="477" t="n"/>
      <c r="CG31" s="477" t="n"/>
      <c r="CH31" s="477" t="n"/>
      <c r="CI31" s="477" t="n"/>
      <c r="CJ31" s="477" t="n"/>
      <c r="CK31" s="477" t="n"/>
      <c r="CL31" s="477" t="n"/>
      <c r="CM31" s="477" t="n"/>
      <c r="CN31" s="477" t="n"/>
      <c r="CO31" s="477" t="n"/>
      <c r="CP31" s="477" t="n"/>
      <c r="CQ31" s="477" t="n"/>
      <c r="CR31" s="477" t="n"/>
      <c r="CS31" s="477" t="n"/>
      <c r="CT31" s="477" t="n"/>
    </row>
    <row r="32" ht="15" customFormat="1" customHeight="1" s="380">
      <c r="A32" s="478" t="inlineStr">
        <is>
          <t>5200-1050 Computer and IT Expenses</t>
        </is>
      </c>
      <c r="C32" s="477" t="n">
        <v>-79</v>
      </c>
      <c r="D32" s="477" t="n">
        <v>0</v>
      </c>
      <c r="E32" s="477" t="n">
        <v>0</v>
      </c>
      <c r="F32" s="477" t="n">
        <v>0</v>
      </c>
      <c r="G32" s="477" t="n">
        <v>0</v>
      </c>
      <c r="H32" s="477" t="n">
        <v>0</v>
      </c>
      <c r="I32" s="477" t="n">
        <v>0</v>
      </c>
      <c r="J32" s="477" t="n"/>
      <c r="K32" s="477" t="n"/>
      <c r="L32" s="477" t="n"/>
      <c r="M32" s="477" t="n"/>
      <c r="N32" s="477" t="n"/>
      <c r="O32" s="477" t="n"/>
      <c r="P32" s="477" t="n"/>
      <c r="Q32" s="477" t="n"/>
      <c r="R32" s="477" t="n"/>
      <c r="S32" s="477" t="n"/>
      <c r="T32" s="477" t="n"/>
      <c r="U32" s="477" t="n"/>
      <c r="V32" s="477" t="n"/>
      <c r="W32" s="477" t="n"/>
      <c r="X32" s="477" t="n"/>
      <c r="Y32" s="477" t="n"/>
      <c r="Z32" s="477" t="n"/>
      <c r="AA32" s="477" t="n"/>
      <c r="AB32" s="477" t="n"/>
      <c r="AC32" s="477" t="n"/>
      <c r="AD32" s="477" t="n"/>
      <c r="AE32" s="477" t="n"/>
      <c r="AF32" s="477" t="n"/>
      <c r="AG32" s="477" t="n"/>
      <c r="AH32" s="477" t="n"/>
      <c r="AI32" s="477" t="n"/>
      <c r="AJ32" s="477" t="n"/>
      <c r="AK32" s="477" t="n"/>
      <c r="AL32" s="477" t="n"/>
      <c r="AM32" s="477" t="n"/>
      <c r="AN32" s="477" t="n"/>
      <c r="AO32" s="477" t="n"/>
      <c r="AP32" s="477" t="n"/>
      <c r="AQ32" s="477" t="n"/>
      <c r="AR32" s="477" t="n"/>
      <c r="AS32" s="477" t="n"/>
      <c r="AT32" s="477" t="n"/>
      <c r="AU32" s="477" t="n"/>
      <c r="AV32" s="477" t="n"/>
      <c r="AW32" s="477" t="n"/>
      <c r="AX32" s="477" t="n"/>
      <c r="AY32" s="477" t="n"/>
      <c r="AZ32" s="477" t="n"/>
      <c r="BA32" s="477" t="n"/>
      <c r="BB32" s="477" t="n"/>
      <c r="BC32" s="477" t="n"/>
      <c r="BD32" s="477" t="n"/>
      <c r="BE32" s="477" t="n"/>
      <c r="BF32" s="477" t="n"/>
      <c r="BG32" s="477" t="n"/>
      <c r="BH32" s="477" t="n"/>
      <c r="BI32" s="477" t="n"/>
      <c r="BJ32" s="477" t="n"/>
      <c r="BK32" s="477" t="n"/>
      <c r="BL32" s="477" t="n"/>
      <c r="BM32" s="477" t="n"/>
      <c r="BN32" s="477" t="n"/>
      <c r="BO32" s="477" t="n"/>
      <c r="BP32" s="477" t="n"/>
      <c r="BQ32" s="477" t="n"/>
      <c r="BR32" s="477" t="n"/>
      <c r="BS32" s="477" t="n"/>
      <c r="BT32" s="477" t="n"/>
      <c r="BU32" s="477" t="n"/>
      <c r="BV32" s="477" t="n"/>
      <c r="BW32" s="477" t="n"/>
      <c r="BX32" s="477" t="n"/>
      <c r="BY32" s="477" t="n"/>
      <c r="BZ32" s="477" t="n"/>
      <c r="CA32" s="477" t="n"/>
      <c r="CB32" s="477" t="n"/>
      <c r="CC32" s="477" t="n"/>
      <c r="CD32" s="477" t="n"/>
      <c r="CE32" s="477" t="n"/>
      <c r="CF32" s="477" t="n"/>
      <c r="CG32" s="477" t="n"/>
      <c r="CH32" s="477" t="n"/>
      <c r="CI32" s="477" t="n"/>
      <c r="CJ32" s="477" t="n"/>
      <c r="CK32" s="477" t="n"/>
      <c r="CL32" s="477" t="n"/>
      <c r="CM32" s="477" t="n"/>
      <c r="CN32" s="477" t="n"/>
      <c r="CO32" s="477" t="n"/>
      <c r="CP32" s="477" t="n"/>
      <c r="CQ32" s="477" t="n"/>
      <c r="CR32" s="477" t="n"/>
      <c r="CS32" s="477" t="n"/>
      <c r="CT32" s="477" t="n"/>
    </row>
    <row r="33" ht="15" customFormat="1" customHeight="1" s="380">
      <c r="A33" s="476" t="inlineStr">
        <is>
          <t>5200-1053 IT Software and Subscriptions</t>
        </is>
      </c>
      <c r="C33" s="477" t="n">
        <v>-3405.64</v>
      </c>
      <c r="D33" s="477" t="n">
        <v>-5015.38</v>
      </c>
      <c r="E33" s="477" t="n">
        <v>-7481.39</v>
      </c>
      <c r="F33" s="477" t="n">
        <v>-5111.12</v>
      </c>
      <c r="G33" s="477" t="n">
        <v>-4038.48</v>
      </c>
      <c r="H33" s="477" t="n">
        <v>-6114.98</v>
      </c>
      <c r="I33" s="477" t="n">
        <v>-12545.93</v>
      </c>
      <c r="J33" s="477" t="n"/>
      <c r="K33" s="477" t="n"/>
      <c r="L33" s="477" t="n"/>
      <c r="M33" s="477" t="n"/>
      <c r="N33" s="477" t="n"/>
      <c r="O33" s="477" t="n"/>
      <c r="P33" s="477" t="n"/>
      <c r="Q33" s="477" t="n"/>
      <c r="R33" s="477" t="n"/>
      <c r="S33" s="477" t="n"/>
      <c r="T33" s="477" t="n"/>
      <c r="U33" s="477" t="n"/>
      <c r="V33" s="477" t="n"/>
      <c r="W33" s="477" t="n"/>
      <c r="X33" s="477" t="n"/>
      <c r="Y33" s="477" t="n"/>
      <c r="Z33" s="477" t="n"/>
      <c r="AA33" s="477" t="n"/>
      <c r="AB33" s="477" t="n"/>
      <c r="AC33" s="477" t="n"/>
      <c r="AD33" s="477" t="n"/>
      <c r="AE33" s="477" t="n"/>
      <c r="AF33" s="477" t="n"/>
      <c r="AG33" s="477" t="n"/>
      <c r="AH33" s="477" t="n"/>
      <c r="AI33" s="477" t="n"/>
      <c r="AJ33" s="477" t="n"/>
      <c r="AK33" s="477" t="n"/>
      <c r="AL33" s="477" t="n"/>
      <c r="AM33" s="477" t="n"/>
      <c r="AN33" s="477" t="n"/>
      <c r="AO33" s="477" t="n"/>
      <c r="AP33" s="477" t="n"/>
      <c r="AQ33" s="477" t="n"/>
      <c r="AR33" s="477" t="n"/>
      <c r="AS33" s="477" t="n"/>
      <c r="AT33" s="477" t="n"/>
      <c r="AU33" s="477" t="n"/>
      <c r="AV33" s="477" t="n"/>
      <c r="AW33" s="477" t="n"/>
      <c r="AX33" s="477" t="n"/>
      <c r="AY33" s="477" t="n"/>
      <c r="AZ33" s="477" t="n"/>
      <c r="BA33" s="477" t="n"/>
      <c r="BB33" s="477" t="n"/>
      <c r="BC33" s="477" t="n"/>
      <c r="BD33" s="477" t="n"/>
      <c r="BE33" s="477" t="n"/>
      <c r="BF33" s="477" t="n"/>
      <c r="BG33" s="477" t="n"/>
      <c r="BH33" s="477" t="n"/>
      <c r="BI33" s="477" t="n"/>
      <c r="BJ33" s="477" t="n"/>
      <c r="BK33" s="477" t="n"/>
      <c r="BL33" s="477" t="n"/>
      <c r="BM33" s="477" t="n"/>
      <c r="BN33" s="477" t="n"/>
      <c r="BO33" s="477" t="n"/>
      <c r="BP33" s="477" t="n"/>
      <c r="BQ33" s="477" t="n"/>
      <c r="BR33" s="477" t="n"/>
      <c r="BS33" s="477" t="n"/>
      <c r="BT33" s="477" t="n"/>
      <c r="BU33" s="477" t="n"/>
      <c r="BV33" s="477" t="n"/>
      <c r="BW33" s="477" t="n"/>
      <c r="BX33" s="477" t="n"/>
      <c r="BY33" s="477" t="n"/>
      <c r="BZ33" s="477" t="n"/>
      <c r="CA33" s="477" t="n"/>
      <c r="CB33" s="477" t="n"/>
      <c r="CC33" s="477" t="n"/>
      <c r="CD33" s="477" t="n"/>
      <c r="CE33" s="477" t="n"/>
      <c r="CF33" s="477" t="n"/>
      <c r="CG33" s="477" t="n"/>
      <c r="CH33" s="477" t="n"/>
      <c r="CI33" s="477" t="n"/>
      <c r="CJ33" s="477" t="n"/>
      <c r="CK33" s="477" t="n"/>
      <c r="CL33" s="477" t="n"/>
      <c r="CM33" s="477" t="n"/>
      <c r="CN33" s="477" t="n"/>
      <c r="CO33" s="477" t="n"/>
      <c r="CP33" s="477" t="n"/>
      <c r="CQ33" s="477" t="n"/>
      <c r="CR33" s="477" t="n"/>
      <c r="CS33" s="477" t="n"/>
      <c r="CT33" s="477" t="n"/>
    </row>
    <row r="34" ht="15" customFormat="1" customHeight="1" s="380">
      <c r="A34" s="476" t="inlineStr">
        <is>
          <t>5200-1054 Telephone Expenses</t>
        </is>
      </c>
      <c r="C34" s="477" t="n">
        <v>0</v>
      </c>
      <c r="D34" s="477" t="n">
        <v>-1766.48</v>
      </c>
      <c r="E34" s="477" t="n">
        <v>-441.62</v>
      </c>
      <c r="F34" s="477" t="n">
        <v>-441.62</v>
      </c>
      <c r="G34" s="477" t="n">
        <v>-578.62</v>
      </c>
      <c r="H34" s="477" t="n">
        <v>-491.62</v>
      </c>
      <c r="I34" s="477" t="n">
        <v>-491.62</v>
      </c>
      <c r="J34" s="477" t="n"/>
      <c r="K34" s="477" t="n"/>
      <c r="L34" s="477" t="n"/>
      <c r="M34" s="477" t="n"/>
      <c r="N34" s="477" t="n"/>
      <c r="O34" s="477" t="n"/>
      <c r="P34" s="477" t="n"/>
      <c r="Q34" s="477" t="n"/>
      <c r="R34" s="477" t="n"/>
      <c r="S34" s="477" t="n"/>
      <c r="T34" s="477" t="n"/>
      <c r="U34" s="477" t="n"/>
      <c r="V34" s="477" t="n"/>
      <c r="W34" s="477" t="n"/>
      <c r="X34" s="477" t="n"/>
      <c r="Y34" s="477" t="n"/>
      <c r="Z34" s="477" t="n"/>
      <c r="AA34" s="477" t="n"/>
      <c r="AB34" s="477" t="n"/>
      <c r="AC34" s="477" t="n"/>
      <c r="AD34" s="477" t="n"/>
      <c r="AE34" s="477" t="n"/>
      <c r="AF34" s="477" t="n"/>
      <c r="AG34" s="477" t="n"/>
      <c r="AH34" s="477" t="n"/>
      <c r="AI34" s="477" t="n"/>
      <c r="AJ34" s="477" t="n"/>
      <c r="AK34" s="477" t="n"/>
      <c r="AL34" s="477" t="n"/>
      <c r="AM34" s="477" t="n"/>
      <c r="AN34" s="477" t="n"/>
      <c r="AO34" s="477" t="n"/>
      <c r="AP34" s="477" t="n"/>
      <c r="AQ34" s="477" t="n"/>
      <c r="AR34" s="477" t="n"/>
      <c r="AS34" s="477" t="n"/>
      <c r="AT34" s="477" t="n"/>
      <c r="AU34" s="477" t="n"/>
      <c r="AV34" s="477" t="n"/>
      <c r="AW34" s="477" t="n"/>
      <c r="AX34" s="477" t="n"/>
      <c r="AY34" s="477" t="n"/>
      <c r="AZ34" s="477" t="n"/>
      <c r="BA34" s="477" t="n"/>
      <c r="BB34" s="477" t="n"/>
      <c r="BC34" s="477" t="n"/>
      <c r="BD34" s="477" t="n"/>
      <c r="BE34" s="477" t="n"/>
      <c r="BF34" s="477" t="n"/>
      <c r="BG34" s="477" t="n"/>
      <c r="BH34" s="477" t="n"/>
      <c r="BI34" s="477" t="n"/>
      <c r="BJ34" s="477" t="n"/>
      <c r="BK34" s="477" t="n"/>
      <c r="BL34" s="477" t="n"/>
      <c r="BM34" s="477" t="n"/>
      <c r="BN34" s="477" t="n"/>
      <c r="BO34" s="477" t="n"/>
      <c r="BP34" s="477" t="n"/>
      <c r="BQ34" s="477" t="n"/>
      <c r="BR34" s="477" t="n"/>
      <c r="BS34" s="477" t="n"/>
      <c r="BT34" s="477" t="n"/>
      <c r="BU34" s="477" t="n"/>
      <c r="BV34" s="477" t="n"/>
      <c r="BW34" s="477" t="n"/>
      <c r="BX34" s="477" t="n"/>
      <c r="BY34" s="477" t="n"/>
      <c r="BZ34" s="477" t="n"/>
      <c r="CA34" s="477" t="n"/>
      <c r="CB34" s="477" t="n"/>
      <c r="CC34" s="477" t="n"/>
      <c r="CD34" s="477" t="n"/>
      <c r="CE34" s="477" t="n"/>
      <c r="CF34" s="477" t="n"/>
      <c r="CG34" s="477" t="n"/>
      <c r="CH34" s="477" t="n"/>
      <c r="CI34" s="477" t="n"/>
      <c r="CJ34" s="477" t="n"/>
      <c r="CK34" s="477" t="n"/>
      <c r="CL34" s="477" t="n"/>
      <c r="CM34" s="477" t="n"/>
      <c r="CN34" s="477" t="n"/>
      <c r="CO34" s="477" t="n"/>
      <c r="CP34" s="477" t="n"/>
      <c r="CQ34" s="477" t="n"/>
      <c r="CR34" s="477" t="n"/>
      <c r="CS34" s="477" t="n"/>
      <c r="CT34" s="477" t="n"/>
    </row>
    <row r="35" ht="15" customFormat="1" customHeight="1" s="380">
      <c r="A35" s="476" t="inlineStr">
        <is>
          <t>5300-1050 Meals and Entertainment</t>
        </is>
      </c>
      <c r="C35" s="477" t="n">
        <v>-681.77</v>
      </c>
      <c r="D35" s="477" t="n">
        <v>-600.14</v>
      </c>
      <c r="E35" s="477" t="n">
        <v>-2121.95</v>
      </c>
      <c r="F35" s="477" t="n">
        <v>-840.49</v>
      </c>
      <c r="G35" s="477" t="n">
        <v>-847.85</v>
      </c>
      <c r="H35" s="477" t="n">
        <v>-486.63</v>
      </c>
      <c r="I35" s="477" t="n">
        <v>-871.37</v>
      </c>
      <c r="J35" s="477" t="n"/>
      <c r="K35" s="477" t="n"/>
      <c r="L35" s="477" t="n"/>
      <c r="M35" s="477" t="n"/>
      <c r="N35" s="477" t="n"/>
      <c r="O35" s="477" t="n"/>
      <c r="P35" s="477" t="n"/>
      <c r="Q35" s="477" t="n"/>
      <c r="R35" s="477" t="n"/>
      <c r="S35" s="477" t="n"/>
      <c r="T35" s="477" t="n"/>
      <c r="U35" s="477" t="n"/>
      <c r="V35" s="477" t="n"/>
      <c r="W35" s="477" t="n"/>
      <c r="X35" s="477" t="n"/>
      <c r="Y35" s="477" t="n"/>
      <c r="Z35" s="477" t="n"/>
      <c r="AA35" s="477" t="n"/>
      <c r="AB35" s="477" t="n"/>
      <c r="AC35" s="477" t="n"/>
      <c r="AD35" s="477" t="n"/>
      <c r="AE35" s="477" t="n"/>
      <c r="AF35" s="477" t="n"/>
      <c r="AG35" s="477" t="n"/>
      <c r="AH35" s="477" t="n"/>
      <c r="AI35" s="477" t="n"/>
      <c r="AJ35" s="477" t="n"/>
      <c r="AK35" s="477" t="n"/>
      <c r="AL35" s="477" t="n"/>
      <c r="AM35" s="477" t="n"/>
      <c r="AN35" s="477" t="n"/>
      <c r="AO35" s="477" t="n"/>
      <c r="AP35" s="477" t="n"/>
      <c r="AQ35" s="477" t="n"/>
      <c r="AR35" s="477" t="n"/>
      <c r="AS35" s="477" t="n"/>
      <c r="AT35" s="477" t="n"/>
      <c r="AU35" s="477" t="n"/>
      <c r="AV35" s="477" t="n"/>
      <c r="AW35" s="477" t="n"/>
      <c r="AX35" s="477" t="n"/>
      <c r="AY35" s="477" t="n"/>
      <c r="AZ35" s="477" t="n"/>
      <c r="BA35" s="477" t="n"/>
      <c r="BB35" s="477" t="n"/>
      <c r="BC35" s="477" t="n"/>
      <c r="BD35" s="477" t="n"/>
      <c r="BE35" s="477" t="n"/>
      <c r="BF35" s="477" t="n"/>
      <c r="BG35" s="477" t="n"/>
      <c r="BH35" s="477" t="n"/>
      <c r="BI35" s="477" t="n"/>
      <c r="BJ35" s="477" t="n"/>
      <c r="BK35" s="477" t="n"/>
      <c r="BL35" s="477" t="n"/>
      <c r="BM35" s="477" t="n"/>
      <c r="BN35" s="477" t="n"/>
      <c r="BO35" s="477" t="n"/>
      <c r="BP35" s="477" t="n"/>
      <c r="BQ35" s="477" t="n"/>
      <c r="BR35" s="477" t="n"/>
      <c r="BS35" s="477" t="n"/>
      <c r="BT35" s="477" t="n"/>
      <c r="BU35" s="477" t="n"/>
      <c r="BV35" s="477" t="n"/>
      <c r="BW35" s="477" t="n"/>
      <c r="BX35" s="477" t="n"/>
      <c r="BY35" s="477" t="n"/>
      <c r="BZ35" s="477" t="n"/>
      <c r="CA35" s="477" t="n"/>
      <c r="CB35" s="477" t="n"/>
      <c r="CC35" s="477" t="n"/>
      <c r="CD35" s="477" t="n"/>
      <c r="CE35" s="477" t="n"/>
      <c r="CF35" s="477" t="n"/>
      <c r="CG35" s="477" t="n"/>
      <c r="CH35" s="477" t="n"/>
      <c r="CI35" s="477" t="n"/>
      <c r="CJ35" s="477" t="n"/>
      <c r="CK35" s="477" t="n"/>
      <c r="CL35" s="477" t="n"/>
      <c r="CM35" s="477" t="n"/>
      <c r="CN35" s="477" t="n"/>
      <c r="CO35" s="477" t="n"/>
      <c r="CP35" s="477" t="n"/>
      <c r="CQ35" s="477" t="n"/>
      <c r="CR35" s="477" t="n"/>
      <c r="CS35" s="477" t="n"/>
      <c r="CT35" s="477" t="n"/>
    </row>
    <row r="36" ht="15" customFormat="1" customHeight="1" s="380">
      <c r="A36" s="476" t="inlineStr">
        <is>
          <t>5500-1000 Legal and Professional Fees</t>
        </is>
      </c>
      <c r="C36" s="477" t="n">
        <v>-2187.5</v>
      </c>
      <c r="D36" s="477" t="n">
        <v>0</v>
      </c>
      <c r="E36" s="477" t="n">
        <v>-1625</v>
      </c>
      <c r="F36" s="477" t="n">
        <v>0</v>
      </c>
      <c r="G36" s="477" t="n">
        <v>0</v>
      </c>
      <c r="H36" s="477" t="n">
        <v>0</v>
      </c>
      <c r="I36" s="477" t="n">
        <v>0</v>
      </c>
      <c r="J36" s="477" t="n"/>
      <c r="K36" s="477" t="n"/>
      <c r="L36" s="477" t="n"/>
      <c r="M36" s="477" t="n"/>
      <c r="N36" s="477" t="n"/>
      <c r="O36" s="477" t="n"/>
      <c r="P36" s="477" t="n"/>
      <c r="Q36" s="477" t="n"/>
      <c r="R36" s="477" t="n"/>
      <c r="S36" s="477" t="n"/>
      <c r="T36" s="477" t="n"/>
      <c r="U36" s="477" t="n"/>
      <c r="V36" s="477" t="n"/>
      <c r="W36" s="477" t="n"/>
      <c r="X36" s="477" t="n"/>
      <c r="Y36" s="477" t="n"/>
      <c r="Z36" s="477" t="n"/>
      <c r="AA36" s="477" t="n"/>
      <c r="AB36" s="477" t="n"/>
      <c r="AC36" s="477" t="n"/>
      <c r="AD36" s="477" t="n"/>
      <c r="AE36" s="477" t="n"/>
      <c r="AF36" s="477" t="n"/>
      <c r="AG36" s="477" t="n"/>
      <c r="AH36" s="477" t="n"/>
      <c r="AI36" s="477" t="n"/>
      <c r="AJ36" s="477" t="n"/>
      <c r="AK36" s="477" t="n"/>
      <c r="AL36" s="477" t="n"/>
      <c r="AM36" s="477" t="n"/>
      <c r="AN36" s="477" t="n"/>
      <c r="AO36" s="477" t="n"/>
      <c r="AP36" s="477" t="n"/>
      <c r="AQ36" s="477" t="n"/>
      <c r="AR36" s="477" t="n"/>
      <c r="AS36" s="477" t="n"/>
      <c r="AT36" s="477" t="n"/>
      <c r="AU36" s="477" t="n"/>
      <c r="AV36" s="477" t="n"/>
      <c r="AW36" s="477" t="n"/>
      <c r="AX36" s="477" t="n"/>
      <c r="AY36" s="477" t="n"/>
      <c r="AZ36" s="477" t="n"/>
      <c r="BA36" s="477" t="n"/>
      <c r="BB36" s="477" t="n"/>
      <c r="BC36" s="477" t="n"/>
      <c r="BD36" s="477" t="n"/>
      <c r="BE36" s="477" t="n"/>
      <c r="BF36" s="477" t="n"/>
      <c r="BG36" s="477" t="n"/>
      <c r="BH36" s="477" t="n"/>
      <c r="BI36" s="477" t="n"/>
      <c r="BJ36" s="477" t="n"/>
      <c r="BK36" s="477" t="n"/>
      <c r="BL36" s="477" t="n"/>
      <c r="BM36" s="477" t="n"/>
      <c r="BN36" s="477" t="n"/>
      <c r="BO36" s="477" t="n"/>
      <c r="BP36" s="477" t="n"/>
      <c r="BQ36" s="477" t="n"/>
      <c r="BR36" s="477" t="n"/>
      <c r="BS36" s="477" t="n"/>
      <c r="BT36" s="477" t="n"/>
      <c r="BU36" s="477" t="n"/>
      <c r="BV36" s="477" t="n"/>
      <c r="BW36" s="477" t="n"/>
      <c r="BX36" s="477" t="n"/>
      <c r="BY36" s="477" t="n"/>
      <c r="BZ36" s="477" t="n"/>
      <c r="CA36" s="477" t="n"/>
      <c r="CB36" s="477" t="n"/>
      <c r="CC36" s="477" t="n"/>
      <c r="CD36" s="477" t="n"/>
      <c r="CE36" s="477" t="n"/>
      <c r="CF36" s="477" t="n"/>
      <c r="CG36" s="477" t="n"/>
      <c r="CH36" s="477" t="n"/>
      <c r="CI36" s="477" t="n"/>
      <c r="CJ36" s="477" t="n"/>
      <c r="CK36" s="477" t="n"/>
      <c r="CL36" s="477" t="n"/>
      <c r="CM36" s="477" t="n"/>
      <c r="CN36" s="477" t="n"/>
      <c r="CO36" s="477" t="n"/>
      <c r="CP36" s="477" t="n"/>
      <c r="CQ36" s="477" t="n"/>
      <c r="CR36" s="477" t="n"/>
      <c r="CS36" s="477" t="n"/>
      <c r="CT36" s="477" t="n"/>
    </row>
    <row r="37" ht="15" customFormat="1" customHeight="1" s="380">
      <c r="A37" s="476" t="inlineStr">
        <is>
          <t>5500-1002 Accounting Consulting and Overhead</t>
        </is>
      </c>
      <c r="C37" s="477" t="n">
        <v>0</v>
      </c>
      <c r="D37" s="477" t="n">
        <v>-12349</v>
      </c>
      <c r="E37" s="477" t="n">
        <v>-5400</v>
      </c>
      <c r="F37" s="477" t="n">
        <v>-4377</v>
      </c>
      <c r="G37" s="477" t="n">
        <v>-11750</v>
      </c>
      <c r="H37" s="477" t="n">
        <v>0</v>
      </c>
      <c r="I37" s="477" t="n">
        <v>0</v>
      </c>
      <c r="J37" s="477" t="n"/>
      <c r="K37" s="477" t="n"/>
      <c r="L37" s="477" t="n"/>
      <c r="M37" s="477" t="n"/>
      <c r="N37" s="477" t="n"/>
      <c r="O37" s="477" t="n"/>
      <c r="P37" s="477" t="n"/>
      <c r="Q37" s="477" t="n"/>
      <c r="R37" s="477" t="n"/>
      <c r="S37" s="477" t="n"/>
      <c r="T37" s="477" t="n"/>
      <c r="U37" s="477" t="n"/>
      <c r="V37" s="477" t="n"/>
      <c r="W37" s="477" t="n"/>
      <c r="X37" s="477" t="n"/>
      <c r="Y37" s="477" t="n"/>
      <c r="Z37" s="477" t="n"/>
      <c r="AA37" s="477" t="n"/>
      <c r="AB37" s="477" t="n"/>
      <c r="AC37" s="477" t="n"/>
      <c r="AD37" s="477" t="n"/>
      <c r="AE37" s="477" t="n"/>
      <c r="AF37" s="477" t="n"/>
      <c r="AG37" s="477" t="n"/>
      <c r="AH37" s="477" t="n"/>
      <c r="AI37" s="477" t="n"/>
      <c r="AJ37" s="477" t="n"/>
      <c r="AK37" s="477" t="n"/>
      <c r="AL37" s="477" t="n"/>
      <c r="AM37" s="477" t="n"/>
      <c r="AN37" s="477" t="n"/>
      <c r="AO37" s="477" t="n"/>
      <c r="AP37" s="477" t="n"/>
      <c r="AQ37" s="477" t="n"/>
      <c r="AR37" s="477" t="n"/>
      <c r="AS37" s="477" t="n"/>
      <c r="AT37" s="477" t="n"/>
      <c r="AU37" s="477" t="n"/>
      <c r="AV37" s="477" t="n"/>
      <c r="AW37" s="477" t="n"/>
      <c r="AX37" s="477" t="n"/>
      <c r="AY37" s="477" t="n"/>
      <c r="AZ37" s="477" t="n"/>
      <c r="BA37" s="477" t="n"/>
      <c r="BB37" s="477" t="n"/>
      <c r="BC37" s="477" t="n"/>
      <c r="BD37" s="477" t="n"/>
      <c r="BE37" s="477" t="n"/>
      <c r="BF37" s="477" t="n"/>
      <c r="BG37" s="477" t="n"/>
      <c r="BH37" s="477" t="n"/>
      <c r="BI37" s="477" t="n"/>
      <c r="BJ37" s="477" t="n"/>
      <c r="BK37" s="477" t="n"/>
      <c r="BL37" s="477" t="n"/>
      <c r="BM37" s="477" t="n"/>
      <c r="BN37" s="477" t="n"/>
      <c r="BO37" s="477" t="n"/>
      <c r="BP37" s="477" t="n"/>
      <c r="BQ37" s="477" t="n"/>
      <c r="BR37" s="477" t="n"/>
      <c r="BS37" s="477" t="n"/>
      <c r="BT37" s="477" t="n"/>
      <c r="BU37" s="477" t="n"/>
      <c r="BV37" s="477" t="n"/>
      <c r="BW37" s="477" t="n"/>
      <c r="BX37" s="477" t="n"/>
      <c r="BY37" s="477" t="n"/>
      <c r="BZ37" s="477" t="n"/>
      <c r="CA37" s="477" t="n"/>
      <c r="CB37" s="477" t="n"/>
      <c r="CC37" s="477" t="n"/>
      <c r="CD37" s="477" t="n"/>
      <c r="CE37" s="477" t="n"/>
      <c r="CF37" s="477" t="n"/>
      <c r="CG37" s="477" t="n"/>
      <c r="CH37" s="477" t="n"/>
      <c r="CI37" s="477" t="n"/>
      <c r="CJ37" s="477" t="n"/>
      <c r="CK37" s="477" t="n"/>
      <c r="CL37" s="477" t="n"/>
      <c r="CM37" s="477" t="n"/>
      <c r="CN37" s="477" t="n"/>
      <c r="CO37" s="477" t="n"/>
      <c r="CP37" s="477" t="n"/>
      <c r="CQ37" s="477" t="n"/>
      <c r="CR37" s="477" t="n"/>
      <c r="CS37" s="477" t="n"/>
      <c r="CT37" s="477" t="n"/>
    </row>
    <row r="38" ht="15" customFormat="1" customHeight="1" s="380">
      <c r="A38" s="476" t="inlineStr">
        <is>
          <t>5500-1004 Consultants and Other Professional Expenses</t>
        </is>
      </c>
      <c r="C38" s="477" t="n">
        <v>0</v>
      </c>
      <c r="D38" s="477" t="n">
        <v>0</v>
      </c>
      <c r="E38" s="477" t="n">
        <v>-750.4</v>
      </c>
      <c r="F38" s="477" t="n">
        <v>0</v>
      </c>
      <c r="G38" s="477" t="n">
        <v>0</v>
      </c>
      <c r="H38" s="477" t="n">
        <v>0</v>
      </c>
      <c r="I38" s="477" t="n">
        <v>0</v>
      </c>
      <c r="J38" s="477" t="n"/>
      <c r="K38" s="477" t="n"/>
      <c r="L38" s="477" t="n"/>
      <c r="M38" s="477" t="n"/>
      <c r="N38" s="477" t="n"/>
      <c r="O38" s="477" t="n"/>
      <c r="P38" s="477" t="n"/>
      <c r="Q38" s="477" t="n"/>
      <c r="R38" s="477" t="n"/>
      <c r="S38" s="477" t="n"/>
      <c r="T38" s="477" t="n"/>
      <c r="U38" s="477" t="n"/>
      <c r="V38" s="477" t="n"/>
      <c r="W38" s="477" t="n"/>
      <c r="X38" s="477" t="n"/>
      <c r="Y38" s="477" t="n"/>
      <c r="Z38" s="477" t="n"/>
      <c r="AA38" s="477" t="n"/>
      <c r="AB38" s="477" t="n"/>
      <c r="AC38" s="477" t="n"/>
      <c r="AD38" s="477" t="n"/>
      <c r="AE38" s="477" t="n"/>
      <c r="AF38" s="477" t="n"/>
      <c r="AG38" s="477" t="n"/>
      <c r="AH38" s="477" t="n"/>
      <c r="AI38" s="477" t="n"/>
      <c r="AJ38" s="477" t="n"/>
      <c r="AK38" s="477" t="n"/>
      <c r="AL38" s="477" t="n"/>
      <c r="AM38" s="477" t="n"/>
      <c r="AN38" s="477" t="n"/>
      <c r="AO38" s="477" t="n"/>
      <c r="AP38" s="477" t="n"/>
      <c r="AQ38" s="477" t="n"/>
      <c r="AR38" s="477" t="n"/>
      <c r="AS38" s="477" t="n"/>
      <c r="AT38" s="477" t="n"/>
      <c r="AU38" s="477" t="n"/>
      <c r="AV38" s="477" t="n"/>
      <c r="AW38" s="477" t="n"/>
      <c r="AX38" s="477" t="n"/>
      <c r="AY38" s="477" t="n"/>
      <c r="AZ38" s="477" t="n"/>
      <c r="BA38" s="477" t="n"/>
      <c r="BB38" s="477" t="n"/>
      <c r="BC38" s="477" t="n"/>
      <c r="BD38" s="477" t="n"/>
      <c r="BE38" s="477" t="n"/>
      <c r="BF38" s="477" t="n"/>
      <c r="BG38" s="477" t="n"/>
      <c r="BH38" s="477" t="n"/>
      <c r="BI38" s="477" t="n"/>
      <c r="BJ38" s="477" t="n"/>
      <c r="BK38" s="477" t="n"/>
      <c r="BL38" s="477" t="n"/>
      <c r="BM38" s="477" t="n"/>
      <c r="BN38" s="477" t="n"/>
      <c r="BO38" s="477" t="n"/>
      <c r="BP38" s="477" t="n"/>
      <c r="BQ38" s="477" t="n"/>
      <c r="BR38" s="477" t="n"/>
      <c r="BS38" s="477" t="n"/>
      <c r="BT38" s="477" t="n"/>
      <c r="BU38" s="477" t="n"/>
      <c r="BV38" s="477" t="n"/>
      <c r="BW38" s="477" t="n"/>
      <c r="BX38" s="477" t="n"/>
      <c r="BY38" s="477" t="n"/>
      <c r="BZ38" s="477" t="n"/>
      <c r="CA38" s="477" t="n"/>
      <c r="CB38" s="477" t="n"/>
      <c r="CC38" s="477" t="n"/>
      <c r="CD38" s="477" t="n"/>
      <c r="CE38" s="477" t="n"/>
      <c r="CF38" s="477" t="n"/>
      <c r="CG38" s="477" t="n"/>
      <c r="CH38" s="477" t="n"/>
      <c r="CI38" s="477" t="n"/>
      <c r="CJ38" s="477" t="n"/>
      <c r="CK38" s="477" t="n"/>
      <c r="CL38" s="477" t="n"/>
      <c r="CM38" s="477" t="n"/>
      <c r="CN38" s="477" t="n"/>
      <c r="CO38" s="477" t="n"/>
      <c r="CP38" s="477" t="n"/>
      <c r="CQ38" s="477" t="n"/>
      <c r="CR38" s="477" t="n"/>
      <c r="CS38" s="477" t="n"/>
      <c r="CT38" s="477" t="n"/>
    </row>
    <row r="39" ht="15" customFormat="1" customHeight="1" s="380">
      <c r="A39" s="476" t="inlineStr">
        <is>
          <t>5500-1050 General Insurance</t>
        </is>
      </c>
      <c r="C39" s="477" t="n">
        <v>-1474.63</v>
      </c>
      <c r="D39" s="477" t="n">
        <v>-1449.33</v>
      </c>
      <c r="E39" s="477" t="n">
        <v>-2328.76</v>
      </c>
      <c r="F39" s="477" t="n">
        <v>-2249.56</v>
      </c>
      <c r="G39" s="477" t="n">
        <v>-2759.48</v>
      </c>
      <c r="H39" s="477" t="n">
        <v>-2749.12</v>
      </c>
      <c r="I39" s="477" t="n">
        <v>-2384.6</v>
      </c>
      <c r="J39" s="477" t="n"/>
      <c r="K39" s="477" t="n"/>
      <c r="L39" s="477" t="n"/>
      <c r="M39" s="477" t="n"/>
      <c r="N39" s="477" t="n"/>
      <c r="O39" s="477" t="n"/>
      <c r="P39" s="477" t="n"/>
      <c r="Q39" s="477" t="n"/>
      <c r="R39" s="477" t="n"/>
      <c r="S39" s="477" t="n"/>
      <c r="T39" s="477" t="n"/>
      <c r="U39" s="477" t="n"/>
      <c r="V39" s="477" t="n"/>
      <c r="W39" s="477" t="n"/>
      <c r="X39" s="477" t="n"/>
      <c r="Y39" s="477" t="n"/>
      <c r="Z39" s="477" t="n"/>
      <c r="AA39" s="477" t="n"/>
      <c r="AB39" s="477" t="n"/>
      <c r="AC39" s="477" t="n"/>
      <c r="AD39" s="477" t="n"/>
      <c r="AE39" s="477" t="n"/>
      <c r="AF39" s="477" t="n"/>
      <c r="AG39" s="477" t="n"/>
      <c r="AH39" s="477" t="n"/>
      <c r="AI39" s="477" t="n"/>
      <c r="AJ39" s="477" t="n"/>
      <c r="AK39" s="477" t="n"/>
      <c r="AL39" s="477" t="n"/>
      <c r="AM39" s="477" t="n"/>
      <c r="AN39" s="477" t="n"/>
      <c r="AO39" s="477" t="n"/>
      <c r="AP39" s="477" t="n"/>
      <c r="AQ39" s="477" t="n"/>
      <c r="AR39" s="477" t="n"/>
      <c r="AS39" s="477" t="n"/>
      <c r="AT39" s="477" t="n"/>
      <c r="AU39" s="477" t="n"/>
      <c r="AV39" s="477" t="n"/>
      <c r="AW39" s="477" t="n"/>
      <c r="AX39" s="477" t="n"/>
      <c r="AY39" s="477" t="n"/>
      <c r="AZ39" s="477" t="n"/>
      <c r="BA39" s="477" t="n"/>
      <c r="BB39" s="477" t="n"/>
      <c r="BC39" s="477" t="n"/>
      <c r="BD39" s="477" t="n"/>
      <c r="BE39" s="477" t="n"/>
      <c r="BF39" s="477" t="n"/>
      <c r="BG39" s="477" t="n"/>
      <c r="BH39" s="477" t="n"/>
      <c r="BI39" s="477" t="n"/>
      <c r="BJ39" s="477" t="n"/>
      <c r="BK39" s="477" t="n"/>
      <c r="BL39" s="477" t="n"/>
      <c r="BM39" s="477" t="n"/>
      <c r="BN39" s="477" t="n"/>
      <c r="BO39" s="477" t="n"/>
      <c r="BP39" s="477" t="n"/>
      <c r="BQ39" s="477" t="n"/>
      <c r="BR39" s="477" t="n"/>
      <c r="BS39" s="477" t="n"/>
      <c r="BT39" s="477" t="n"/>
      <c r="BU39" s="477" t="n"/>
      <c r="BV39" s="477" t="n"/>
      <c r="BW39" s="477" t="n"/>
      <c r="BX39" s="477" t="n"/>
      <c r="BY39" s="477" t="n"/>
      <c r="BZ39" s="477" t="n"/>
      <c r="CA39" s="477" t="n"/>
      <c r="CB39" s="477" t="n"/>
      <c r="CC39" s="477" t="n"/>
      <c r="CD39" s="477" t="n"/>
      <c r="CE39" s="477" t="n"/>
      <c r="CF39" s="477" t="n"/>
      <c r="CG39" s="477" t="n"/>
      <c r="CH39" s="477" t="n"/>
      <c r="CI39" s="477" t="n"/>
      <c r="CJ39" s="477" t="n"/>
      <c r="CK39" s="477" t="n"/>
      <c r="CL39" s="477" t="n"/>
      <c r="CM39" s="477" t="n"/>
      <c r="CN39" s="477" t="n"/>
      <c r="CO39" s="477" t="n"/>
      <c r="CP39" s="477" t="n"/>
      <c r="CQ39" s="477" t="n"/>
      <c r="CR39" s="477" t="n"/>
      <c r="CS39" s="477" t="n"/>
      <c r="CT39" s="477" t="n"/>
    </row>
    <row r="40" ht="15" customFormat="1" customHeight="1" s="380">
      <c r="A40" s="476" t="inlineStr">
        <is>
          <t>5700-1003 Other Utilities</t>
        </is>
      </c>
      <c r="C40" s="477" t="n">
        <v>-1417.61</v>
      </c>
      <c r="D40" s="477" t="n">
        <v>-2730.36</v>
      </c>
      <c r="E40" s="477" t="n">
        <v>-1818.05</v>
      </c>
      <c r="F40" s="477" t="n">
        <v>-3307.74</v>
      </c>
      <c r="G40" s="477" t="n">
        <v>-1257.74</v>
      </c>
      <c r="H40" s="477" t="n">
        <v>-3372.74</v>
      </c>
      <c r="I40" s="477" t="n">
        <v>-1434.83</v>
      </c>
      <c r="J40" s="477" t="n"/>
      <c r="K40" s="477" t="n"/>
      <c r="L40" s="477" t="n"/>
      <c r="M40" s="477" t="n"/>
      <c r="N40" s="477" t="n"/>
      <c r="O40" s="477" t="n"/>
      <c r="P40" s="477" t="n"/>
      <c r="Q40" s="477" t="n"/>
      <c r="R40" s="477" t="n"/>
      <c r="S40" s="477" t="n"/>
      <c r="T40" s="477" t="n"/>
      <c r="U40" s="477" t="n"/>
      <c r="V40" s="477" t="n"/>
      <c r="W40" s="477" t="n"/>
      <c r="X40" s="477" t="n"/>
      <c r="Y40" s="477" t="n"/>
      <c r="Z40" s="477" t="n"/>
      <c r="AA40" s="477" t="n"/>
      <c r="AB40" s="477" t="n"/>
      <c r="AC40" s="477" t="n"/>
      <c r="AD40" s="477" t="n"/>
      <c r="AE40" s="477" t="n"/>
      <c r="AF40" s="477" t="n"/>
      <c r="AG40" s="477" t="n"/>
      <c r="AH40" s="477" t="n"/>
      <c r="AI40" s="477" t="n"/>
      <c r="AJ40" s="477" t="n"/>
      <c r="AK40" s="477" t="n"/>
      <c r="AL40" s="477" t="n"/>
      <c r="AM40" s="477" t="n"/>
      <c r="AN40" s="477" t="n"/>
      <c r="AO40" s="477" t="n"/>
      <c r="AP40" s="477" t="n"/>
      <c r="AQ40" s="477" t="n"/>
      <c r="AR40" s="477" t="n"/>
      <c r="AS40" s="477" t="n"/>
      <c r="AT40" s="477" t="n"/>
      <c r="AU40" s="477" t="n"/>
      <c r="AV40" s="477" t="n"/>
      <c r="AW40" s="477" t="n"/>
      <c r="AX40" s="477" t="n"/>
      <c r="AY40" s="477" t="n"/>
      <c r="AZ40" s="477" t="n"/>
      <c r="BA40" s="477" t="n"/>
      <c r="BB40" s="477" t="n"/>
      <c r="BC40" s="477" t="n"/>
      <c r="BD40" s="477" t="n"/>
      <c r="BE40" s="477" t="n"/>
      <c r="BF40" s="477" t="n"/>
      <c r="BG40" s="477" t="n"/>
      <c r="BH40" s="477" t="n"/>
      <c r="BI40" s="477" t="n"/>
      <c r="BJ40" s="477" t="n"/>
      <c r="BK40" s="477" t="n"/>
      <c r="BL40" s="477" t="n"/>
      <c r="BM40" s="477" t="n"/>
      <c r="BN40" s="477" t="n"/>
      <c r="BO40" s="477" t="n"/>
      <c r="BP40" s="477" t="n"/>
      <c r="BQ40" s="477" t="n"/>
      <c r="BR40" s="477" t="n"/>
      <c r="BS40" s="477" t="n"/>
      <c r="BT40" s="477" t="n"/>
      <c r="BU40" s="477" t="n"/>
      <c r="BV40" s="477" t="n"/>
      <c r="BW40" s="477" t="n"/>
      <c r="BX40" s="477" t="n"/>
      <c r="BY40" s="477" t="n"/>
      <c r="BZ40" s="477" t="n"/>
      <c r="CA40" s="477" t="n"/>
      <c r="CB40" s="477" t="n"/>
      <c r="CC40" s="477" t="n"/>
      <c r="CD40" s="477" t="n"/>
      <c r="CE40" s="477" t="n"/>
      <c r="CF40" s="477" t="n"/>
      <c r="CG40" s="477" t="n"/>
      <c r="CH40" s="477" t="n"/>
      <c r="CI40" s="477" t="n"/>
      <c r="CJ40" s="477" t="n"/>
      <c r="CK40" s="477" t="n"/>
      <c r="CL40" s="477" t="n"/>
      <c r="CM40" s="477" t="n"/>
      <c r="CN40" s="477" t="n"/>
      <c r="CO40" s="477" t="n"/>
      <c r="CP40" s="477" t="n"/>
      <c r="CQ40" s="477" t="n"/>
      <c r="CR40" s="477" t="n"/>
      <c r="CS40" s="477" t="n"/>
      <c r="CT40" s="477" t="n"/>
    </row>
    <row r="41" ht="15" customFormat="1" customHeight="1" s="380">
      <c r="A41" s="476" t="inlineStr">
        <is>
          <t>5800-1003 Consulting Fee</t>
        </is>
      </c>
      <c r="C41" s="477" t="n">
        <v>0</v>
      </c>
      <c r="D41" s="477" t="n">
        <v>0</v>
      </c>
      <c r="E41" s="477" t="n">
        <v>-41990</v>
      </c>
      <c r="F41" s="477" t="n">
        <v>-42500</v>
      </c>
      <c r="G41" s="477" t="n">
        <v>-21000</v>
      </c>
      <c r="H41" s="477" t="n">
        <v>0</v>
      </c>
      <c r="I41" s="477" t="n">
        <v>0</v>
      </c>
      <c r="J41" s="477" t="n"/>
      <c r="K41" s="477" t="n"/>
      <c r="L41" s="477" t="n"/>
      <c r="M41" s="477" t="n"/>
      <c r="N41" s="477" t="n"/>
      <c r="O41" s="477" t="n"/>
      <c r="P41" s="477" t="n"/>
      <c r="Q41" s="477" t="n"/>
      <c r="R41" s="477" t="n"/>
      <c r="S41" s="477" t="n"/>
      <c r="T41" s="477" t="n"/>
      <c r="U41" s="477" t="n"/>
      <c r="V41" s="477" t="n"/>
      <c r="W41" s="477" t="n"/>
      <c r="X41" s="477" t="n"/>
      <c r="Y41" s="477" t="n"/>
      <c r="Z41" s="477" t="n"/>
      <c r="AA41" s="477" t="n"/>
      <c r="AB41" s="477" t="n"/>
      <c r="AC41" s="477" t="n"/>
      <c r="AD41" s="477" t="n"/>
      <c r="AE41" s="477" t="n"/>
      <c r="AF41" s="477" t="n"/>
      <c r="AG41" s="477" t="n"/>
      <c r="AH41" s="477" t="n"/>
      <c r="AI41" s="477" t="n"/>
      <c r="AJ41" s="477" t="n"/>
      <c r="AK41" s="477" t="n"/>
      <c r="AL41" s="477" t="n"/>
      <c r="AM41" s="477" t="n"/>
      <c r="AN41" s="477" t="n"/>
      <c r="AO41" s="477" t="n"/>
      <c r="AP41" s="477" t="n"/>
      <c r="AQ41" s="477" t="n"/>
      <c r="AR41" s="477" t="n"/>
      <c r="AS41" s="477" t="n"/>
      <c r="AT41" s="477" t="n"/>
      <c r="AU41" s="477" t="n"/>
      <c r="AV41" s="477" t="n"/>
      <c r="AW41" s="477" t="n"/>
      <c r="AX41" s="477" t="n"/>
      <c r="AY41" s="477" t="n"/>
      <c r="AZ41" s="477" t="n"/>
      <c r="BA41" s="477" t="n"/>
      <c r="BB41" s="477" t="n"/>
      <c r="BC41" s="477" t="n"/>
      <c r="BD41" s="477" t="n"/>
      <c r="BE41" s="477" t="n"/>
      <c r="BF41" s="477" t="n"/>
      <c r="BG41" s="477" t="n"/>
      <c r="BH41" s="477" t="n"/>
      <c r="BI41" s="477" t="n"/>
      <c r="BJ41" s="477" t="n"/>
      <c r="BK41" s="477" t="n"/>
      <c r="BL41" s="477" t="n"/>
      <c r="BM41" s="477" t="n"/>
      <c r="BN41" s="477" t="n"/>
      <c r="BO41" s="477" t="n"/>
      <c r="BP41" s="477" t="n"/>
      <c r="BQ41" s="477" t="n"/>
      <c r="BR41" s="477" t="n"/>
      <c r="BS41" s="477" t="n"/>
      <c r="BT41" s="477" t="n"/>
      <c r="BU41" s="477" t="n"/>
      <c r="BV41" s="477" t="n"/>
      <c r="BW41" s="477" t="n"/>
      <c r="BX41" s="477" t="n"/>
      <c r="BY41" s="477" t="n"/>
      <c r="BZ41" s="477" t="n"/>
      <c r="CA41" s="477" t="n"/>
      <c r="CB41" s="477" t="n"/>
      <c r="CC41" s="477" t="n"/>
      <c r="CD41" s="477" t="n"/>
      <c r="CE41" s="477" t="n"/>
      <c r="CF41" s="477" t="n"/>
      <c r="CG41" s="477" t="n"/>
      <c r="CH41" s="477" t="n"/>
      <c r="CI41" s="477" t="n"/>
      <c r="CJ41" s="477" t="n"/>
      <c r="CK41" s="477" t="n"/>
      <c r="CL41" s="477" t="n"/>
      <c r="CM41" s="477" t="n"/>
      <c r="CN41" s="477" t="n"/>
      <c r="CO41" s="477" t="n"/>
      <c r="CP41" s="477" t="n"/>
      <c r="CQ41" s="477" t="n"/>
      <c r="CR41" s="477" t="n"/>
      <c r="CS41" s="477" t="n"/>
      <c r="CT41" s="477" t="n"/>
    </row>
    <row r="42" ht="15" customFormat="1" customHeight="1" s="380">
      <c r="A42" s="476" t="inlineStr">
        <is>
          <t>5900-1000 Security Monitoring</t>
        </is>
      </c>
      <c r="C42" s="477" t="n">
        <v>-165</v>
      </c>
      <c r="D42" s="477" t="n">
        <v>0</v>
      </c>
      <c r="E42" s="477" t="n">
        <v>0</v>
      </c>
      <c r="F42" s="477" t="n">
        <v>-165</v>
      </c>
      <c r="G42" s="477" t="n">
        <v>0</v>
      </c>
      <c r="H42" s="477" t="n">
        <v>-165</v>
      </c>
      <c r="I42" s="477" t="n">
        <v>0</v>
      </c>
      <c r="J42" s="477" t="n"/>
      <c r="K42" s="477" t="n"/>
      <c r="L42" s="477" t="n"/>
      <c r="M42" s="477" t="n"/>
      <c r="N42" s="477" t="n"/>
      <c r="O42" s="477" t="n"/>
      <c r="P42" s="477" t="n"/>
      <c r="Q42" s="477" t="n"/>
      <c r="R42" s="477" t="n"/>
      <c r="S42" s="477" t="n"/>
      <c r="T42" s="477" t="n"/>
      <c r="U42" s="477" t="n"/>
      <c r="V42" s="477" t="n"/>
      <c r="W42" s="477" t="n"/>
      <c r="X42" s="477" t="n"/>
      <c r="Y42" s="477" t="n"/>
      <c r="Z42" s="477" t="n"/>
      <c r="AA42" s="477" t="n"/>
      <c r="AB42" s="477" t="n"/>
      <c r="AC42" s="477" t="n"/>
      <c r="AD42" s="477" t="n"/>
      <c r="AE42" s="477" t="n"/>
      <c r="AF42" s="477" t="n"/>
      <c r="AG42" s="477" t="n"/>
      <c r="AH42" s="477" t="n"/>
      <c r="AI42" s="477" t="n"/>
      <c r="AJ42" s="477" t="n"/>
      <c r="AK42" s="477" t="n"/>
      <c r="AL42" s="477" t="n"/>
      <c r="AM42" s="477" t="n"/>
      <c r="AN42" s="477" t="n"/>
      <c r="AO42" s="477" t="n"/>
      <c r="AP42" s="477" t="n"/>
      <c r="AQ42" s="477" t="n"/>
      <c r="AR42" s="477" t="n"/>
      <c r="AS42" s="477" t="n"/>
      <c r="AT42" s="477" t="n"/>
      <c r="AU42" s="477" t="n"/>
      <c r="AV42" s="477" t="n"/>
      <c r="AW42" s="477" t="n"/>
      <c r="AX42" s="477" t="n"/>
      <c r="AY42" s="477" t="n"/>
      <c r="AZ42" s="477" t="n"/>
      <c r="BA42" s="477" t="n"/>
      <c r="BB42" s="477" t="n"/>
      <c r="BC42" s="477" t="n"/>
      <c r="BD42" s="477" t="n"/>
      <c r="BE42" s="477" t="n"/>
      <c r="BF42" s="477" t="n"/>
      <c r="BG42" s="477" t="n"/>
      <c r="BH42" s="477" t="n"/>
      <c r="BI42" s="477" t="n"/>
      <c r="BJ42" s="477" t="n"/>
      <c r="BK42" s="477" t="n"/>
      <c r="BL42" s="477" t="n"/>
      <c r="BM42" s="477" t="n"/>
      <c r="BN42" s="477" t="n"/>
      <c r="BO42" s="477" t="n"/>
      <c r="BP42" s="477" t="n"/>
      <c r="BQ42" s="477" t="n"/>
      <c r="BR42" s="477" t="n"/>
      <c r="BS42" s="477" t="n"/>
      <c r="BT42" s="477" t="n"/>
      <c r="BU42" s="477" t="n"/>
      <c r="BV42" s="477" t="n"/>
      <c r="BW42" s="477" t="n"/>
      <c r="BX42" s="477" t="n"/>
      <c r="BY42" s="477" t="n"/>
      <c r="BZ42" s="477" t="n"/>
      <c r="CA42" s="477" t="n"/>
      <c r="CB42" s="477" t="n"/>
      <c r="CC42" s="477" t="n"/>
      <c r="CD42" s="477" t="n"/>
      <c r="CE42" s="477" t="n"/>
      <c r="CF42" s="477" t="n"/>
      <c r="CG42" s="477" t="n"/>
      <c r="CH42" s="477" t="n"/>
      <c r="CI42" s="477" t="n"/>
      <c r="CJ42" s="477" t="n"/>
      <c r="CK42" s="477" t="n"/>
      <c r="CL42" s="477" t="n"/>
      <c r="CM42" s="477" t="n"/>
      <c r="CN42" s="477" t="n"/>
      <c r="CO42" s="477" t="n"/>
      <c r="CP42" s="477" t="n"/>
      <c r="CQ42" s="477" t="n"/>
      <c r="CR42" s="477" t="n"/>
      <c r="CS42" s="477" t="n"/>
      <c r="CT42" s="477" t="n"/>
    </row>
    <row r="43" ht="15" customFormat="1" customHeight="1" s="380">
      <c r="A43" s="476" t="inlineStr">
        <is>
          <t>5900-1002 Repairs and Maintenance</t>
        </is>
      </c>
      <c r="C43" s="477" t="n">
        <v>0</v>
      </c>
      <c r="D43" s="477" t="n">
        <v>0</v>
      </c>
      <c r="E43" s="477" t="n">
        <v>0</v>
      </c>
      <c r="F43" s="477" t="n">
        <v>-1036.49</v>
      </c>
      <c r="G43" s="477" t="n">
        <v>0</v>
      </c>
      <c r="H43" s="477" t="n">
        <v>-4308.58</v>
      </c>
      <c r="I43" s="477" t="n">
        <v>-362.98</v>
      </c>
      <c r="J43" s="477" t="n"/>
      <c r="K43" s="477" t="n"/>
      <c r="L43" s="477" t="n"/>
      <c r="M43" s="477" t="n"/>
      <c r="N43" s="477" t="n"/>
      <c r="O43" s="477" t="n"/>
      <c r="P43" s="477" t="n"/>
      <c r="Q43" s="477" t="n"/>
      <c r="R43" s="477" t="n"/>
      <c r="S43" s="477" t="n"/>
      <c r="T43" s="477" t="n"/>
      <c r="U43" s="477" t="n"/>
      <c r="V43" s="477" t="n"/>
      <c r="W43" s="477" t="n"/>
      <c r="X43" s="477" t="n"/>
      <c r="Y43" s="477" t="n"/>
      <c r="Z43" s="477" t="n"/>
      <c r="AA43" s="477" t="n"/>
      <c r="AB43" s="477" t="n"/>
      <c r="AC43" s="477" t="n"/>
      <c r="AD43" s="477" t="n"/>
      <c r="AE43" s="477" t="n"/>
      <c r="AF43" s="477" t="n"/>
      <c r="AG43" s="477" t="n"/>
      <c r="AH43" s="477" t="n"/>
      <c r="AI43" s="477" t="n"/>
      <c r="AJ43" s="477" t="n"/>
      <c r="AK43" s="477" t="n"/>
      <c r="AL43" s="477" t="n"/>
      <c r="AM43" s="477" t="n"/>
      <c r="AN43" s="477" t="n"/>
      <c r="AO43" s="477" t="n"/>
      <c r="AP43" s="477" t="n"/>
      <c r="AQ43" s="477" t="n"/>
      <c r="AR43" s="477" t="n"/>
      <c r="AS43" s="477" t="n"/>
      <c r="AT43" s="477" t="n"/>
      <c r="AU43" s="477" t="n"/>
      <c r="AV43" s="477" t="n"/>
      <c r="AW43" s="477" t="n"/>
      <c r="AX43" s="477" t="n"/>
      <c r="AY43" s="477" t="n"/>
      <c r="AZ43" s="477" t="n"/>
      <c r="BA43" s="477" t="n"/>
      <c r="BB43" s="477" t="n"/>
      <c r="BC43" s="477" t="n"/>
      <c r="BD43" s="477" t="n"/>
      <c r="BE43" s="477" t="n"/>
      <c r="BF43" s="477" t="n"/>
      <c r="BG43" s="477" t="n"/>
      <c r="BH43" s="477" t="n"/>
      <c r="BI43" s="477" t="n"/>
      <c r="BJ43" s="477" t="n"/>
      <c r="BK43" s="477" t="n"/>
      <c r="BL43" s="477" t="n"/>
      <c r="BM43" s="477" t="n"/>
      <c r="BN43" s="477" t="n"/>
      <c r="BO43" s="477" t="n"/>
      <c r="BP43" s="477" t="n"/>
      <c r="BQ43" s="477" t="n"/>
      <c r="BR43" s="477" t="n"/>
      <c r="BS43" s="477" t="n"/>
      <c r="BT43" s="477" t="n"/>
      <c r="BU43" s="477" t="n"/>
      <c r="BV43" s="477" t="n"/>
      <c r="BW43" s="477" t="n"/>
      <c r="BX43" s="477" t="n"/>
      <c r="BY43" s="477" t="n"/>
      <c r="BZ43" s="477" t="n"/>
      <c r="CA43" s="477" t="n"/>
      <c r="CB43" s="477" t="n"/>
      <c r="CC43" s="477" t="n"/>
      <c r="CD43" s="477" t="n"/>
      <c r="CE43" s="477" t="n"/>
      <c r="CF43" s="477" t="n"/>
      <c r="CG43" s="477" t="n"/>
      <c r="CH43" s="477" t="n"/>
      <c r="CI43" s="477" t="n"/>
      <c r="CJ43" s="477" t="n"/>
      <c r="CK43" s="477" t="n"/>
      <c r="CL43" s="477" t="n"/>
      <c r="CM43" s="477" t="n"/>
      <c r="CN43" s="477" t="n"/>
      <c r="CO43" s="477" t="n"/>
      <c r="CP43" s="477" t="n"/>
      <c r="CQ43" s="477" t="n"/>
      <c r="CR43" s="477" t="n"/>
      <c r="CS43" s="477" t="n"/>
      <c r="CT43" s="477" t="n"/>
    </row>
    <row r="44" ht="15" customFormat="1" customHeight="1" s="380">
      <c r="A44" s="476" t="inlineStr">
        <is>
          <t>5900-1003 Janitorial and Cleaning Expenses</t>
        </is>
      </c>
      <c r="C44" s="477" t="n">
        <v>-550</v>
      </c>
      <c r="D44" s="477" t="n">
        <v>-550</v>
      </c>
      <c r="E44" s="477" t="n">
        <v>-550</v>
      </c>
      <c r="F44" s="477" t="n">
        <v>-600</v>
      </c>
      <c r="G44" s="477" t="n">
        <v>-650</v>
      </c>
      <c r="H44" s="477" t="n">
        <v>-575</v>
      </c>
      <c r="I44" s="477" t="n">
        <v>-1300</v>
      </c>
      <c r="J44" s="477" t="n"/>
      <c r="K44" s="477" t="n"/>
      <c r="L44" s="477" t="n"/>
      <c r="M44" s="477" t="n"/>
      <c r="N44" s="477" t="n"/>
      <c r="O44" s="477" t="n"/>
      <c r="P44" s="477" t="n"/>
      <c r="Q44" s="477" t="n"/>
      <c r="R44" s="477" t="n"/>
      <c r="S44" s="477" t="n"/>
      <c r="T44" s="477" t="n"/>
      <c r="U44" s="477" t="n"/>
      <c r="V44" s="477" t="n"/>
      <c r="W44" s="477" t="n"/>
      <c r="X44" s="477" t="n"/>
      <c r="Y44" s="477" t="n"/>
      <c r="Z44" s="477" t="n"/>
      <c r="AA44" s="477" t="n"/>
      <c r="AB44" s="477" t="n"/>
      <c r="AC44" s="477" t="n"/>
      <c r="AD44" s="477" t="n"/>
      <c r="AE44" s="477" t="n"/>
      <c r="AF44" s="477" t="n"/>
      <c r="AG44" s="477" t="n"/>
      <c r="AH44" s="477" t="n"/>
      <c r="AI44" s="477" t="n"/>
      <c r="AJ44" s="477" t="n"/>
      <c r="AK44" s="477" t="n"/>
      <c r="AL44" s="477" t="n"/>
      <c r="AM44" s="477" t="n"/>
      <c r="AN44" s="477" t="n"/>
      <c r="AO44" s="477" t="n"/>
      <c r="AP44" s="477" t="n"/>
      <c r="AQ44" s="477" t="n"/>
      <c r="AR44" s="477" t="n"/>
      <c r="AS44" s="477" t="n"/>
      <c r="AT44" s="477" t="n"/>
      <c r="AU44" s="477" t="n"/>
      <c r="AV44" s="477" t="n"/>
      <c r="AW44" s="477" t="n"/>
      <c r="AX44" s="477" t="n"/>
      <c r="AY44" s="477" t="n"/>
      <c r="AZ44" s="477" t="n"/>
      <c r="BA44" s="477" t="n"/>
      <c r="BB44" s="477" t="n"/>
      <c r="BC44" s="477" t="n"/>
      <c r="BD44" s="477" t="n"/>
      <c r="BE44" s="477" t="n"/>
      <c r="BF44" s="477" t="n"/>
      <c r="BG44" s="477" t="n"/>
      <c r="BH44" s="477" t="n"/>
      <c r="BI44" s="477" t="n"/>
      <c r="BJ44" s="477" t="n"/>
      <c r="BK44" s="477" t="n"/>
      <c r="BL44" s="477" t="n"/>
      <c r="BM44" s="477" t="n"/>
      <c r="BN44" s="477" t="n"/>
      <c r="BO44" s="477" t="n"/>
      <c r="BP44" s="477" t="n"/>
      <c r="BQ44" s="477" t="n"/>
      <c r="BR44" s="477" t="n"/>
      <c r="BS44" s="477" t="n"/>
      <c r="BT44" s="477" t="n"/>
      <c r="BU44" s="477" t="n"/>
      <c r="BV44" s="477" t="n"/>
      <c r="BW44" s="477" t="n"/>
      <c r="BX44" s="477" t="n"/>
      <c r="BY44" s="477" t="n"/>
      <c r="BZ44" s="477" t="n"/>
      <c r="CA44" s="477" t="n"/>
      <c r="CB44" s="477" t="n"/>
      <c r="CC44" s="477" t="n"/>
      <c r="CD44" s="477" t="n"/>
      <c r="CE44" s="477" t="n"/>
      <c r="CF44" s="477" t="n"/>
      <c r="CG44" s="477" t="n"/>
      <c r="CH44" s="477" t="n"/>
      <c r="CI44" s="477" t="n"/>
      <c r="CJ44" s="477" t="n"/>
      <c r="CK44" s="477" t="n"/>
      <c r="CL44" s="477" t="n"/>
      <c r="CM44" s="477" t="n"/>
      <c r="CN44" s="477" t="n"/>
      <c r="CO44" s="477" t="n"/>
      <c r="CP44" s="477" t="n"/>
      <c r="CQ44" s="477" t="n"/>
      <c r="CR44" s="477" t="n"/>
      <c r="CS44" s="477" t="n"/>
      <c r="CT44" s="477" t="n"/>
    </row>
    <row r="45" ht="15" customFormat="1" customHeight="1" s="380">
      <c r="A45" s="478" t="inlineStr">
        <is>
          <t>5900-1005 Supplies and Other Job Site Overhead</t>
        </is>
      </c>
      <c r="C45" s="482" t="n">
        <v>-19223.75</v>
      </c>
      <c r="D45" s="482" t="n">
        <v>-13381.97</v>
      </c>
      <c r="E45" s="482" t="n">
        <v>-20308.69</v>
      </c>
      <c r="F45" s="482" t="n">
        <v>-16948.76</v>
      </c>
      <c r="G45" s="482" t="n">
        <v>-29716.98</v>
      </c>
      <c r="H45" s="482" t="n">
        <v>-11335.64</v>
      </c>
      <c r="I45" s="482" t="n">
        <v>-11387.12</v>
      </c>
      <c r="J45" s="482" t="n"/>
      <c r="K45" s="482" t="n"/>
      <c r="L45" s="482" t="n"/>
      <c r="M45" s="482" t="n"/>
      <c r="N45" s="482" t="n"/>
      <c r="O45" s="482" t="n"/>
      <c r="P45" s="482" t="n"/>
      <c r="Q45" s="482" t="n"/>
      <c r="R45" s="482" t="n"/>
      <c r="S45" s="482" t="n"/>
      <c r="T45" s="482" t="n"/>
      <c r="U45" s="482" t="n"/>
      <c r="V45" s="482" t="n"/>
      <c r="W45" s="482" t="n"/>
      <c r="X45" s="482" t="n"/>
      <c r="Y45" s="482" t="n"/>
      <c r="Z45" s="482" t="n"/>
      <c r="AA45" s="482" t="n"/>
      <c r="AB45" s="482" t="n"/>
      <c r="AC45" s="482" t="n"/>
      <c r="AD45" s="482" t="n"/>
      <c r="AE45" s="482" t="n"/>
      <c r="AF45" s="482" t="n"/>
      <c r="AG45" s="482" t="n"/>
      <c r="AH45" s="482" t="n"/>
      <c r="AI45" s="482" t="n"/>
      <c r="AJ45" s="482" t="n"/>
      <c r="AK45" s="482" t="n"/>
      <c r="AL45" s="482" t="n"/>
      <c r="AM45" s="482" t="n"/>
      <c r="AN45" s="482" t="n"/>
      <c r="AO45" s="482" t="n"/>
      <c r="AP45" s="482" t="n"/>
      <c r="AQ45" s="482" t="n"/>
      <c r="AR45" s="482" t="n"/>
      <c r="AS45" s="482" t="n"/>
      <c r="AT45" s="482" t="n"/>
      <c r="AU45" s="482" t="n"/>
      <c r="AV45" s="482" t="n"/>
      <c r="AW45" s="482" t="n"/>
      <c r="AX45" s="482" t="n"/>
      <c r="AY45" s="482" t="n"/>
      <c r="AZ45" s="482" t="n"/>
      <c r="BA45" s="482" t="n"/>
      <c r="BB45" s="482" t="n"/>
      <c r="BC45" s="482" t="n"/>
      <c r="BD45" s="482" t="n"/>
      <c r="BE45" s="482" t="n"/>
      <c r="BF45" s="482" t="n"/>
      <c r="BG45" s="482" t="n"/>
      <c r="BH45" s="482" t="n"/>
      <c r="BI45" s="482" t="n"/>
      <c r="BJ45" s="482" t="n"/>
      <c r="BK45" s="482" t="n"/>
      <c r="BL45" s="482" t="n"/>
      <c r="BM45" s="482" t="n"/>
      <c r="BN45" s="482" t="n"/>
      <c r="BO45" s="482" t="n"/>
      <c r="BP45" s="482" t="n"/>
      <c r="BQ45" s="482" t="n"/>
      <c r="BR45" s="482" t="n"/>
      <c r="BS45" s="482" t="n"/>
      <c r="BT45" s="482" t="n"/>
      <c r="BU45" s="482" t="n"/>
      <c r="BV45" s="482" t="n"/>
      <c r="BW45" s="482" t="n"/>
      <c r="BX45" s="482" t="n"/>
      <c r="BY45" s="482" t="n"/>
      <c r="BZ45" s="482" t="n"/>
      <c r="CA45" s="482" t="n"/>
      <c r="CB45" s="482" t="n"/>
      <c r="CC45" s="482" t="n"/>
      <c r="CD45" s="482" t="n"/>
      <c r="CE45" s="482" t="n"/>
      <c r="CF45" s="482" t="n"/>
      <c r="CG45" s="482" t="n"/>
      <c r="CH45" s="482" t="n"/>
      <c r="CI45" s="482" t="n"/>
      <c r="CJ45" s="482" t="n"/>
      <c r="CK45" s="482" t="n"/>
      <c r="CL45" s="482" t="n"/>
      <c r="CM45" s="482" t="n"/>
      <c r="CN45" s="482" t="n"/>
      <c r="CO45" s="482" t="n"/>
      <c r="CP45" s="482" t="n"/>
      <c r="CQ45" s="482" t="n"/>
      <c r="CR45" s="482" t="n"/>
      <c r="CS45" s="482" t="n"/>
      <c r="CT45" s="482" t="n"/>
    </row>
    <row r="46" ht="15" customFormat="1" customHeight="1" s="380">
      <c r="A46" s="478" t="inlineStr">
        <is>
          <t>5900-1006 Auto and Truck Expense</t>
        </is>
      </c>
      <c r="C46" s="482" t="n">
        <v>-1909.98</v>
      </c>
      <c r="D46" s="482" t="n">
        <v>-190.1</v>
      </c>
      <c r="E46" s="482" t="n">
        <v>-2166.92</v>
      </c>
      <c r="F46" s="482" t="n">
        <v>-1816.95</v>
      </c>
      <c r="G46" s="482" t="n">
        <v>-1452.9</v>
      </c>
      <c r="H46" s="482" t="n">
        <v>-13918.31</v>
      </c>
      <c r="I46" s="482" t="n">
        <v>9546.02</v>
      </c>
      <c r="J46" s="482" t="n"/>
      <c r="K46" s="482" t="n"/>
      <c r="L46" s="482" t="n"/>
      <c r="M46" s="482" t="n"/>
      <c r="N46" s="482" t="n"/>
      <c r="O46" s="482" t="n"/>
      <c r="P46" s="482" t="n"/>
      <c r="Q46" s="482" t="n"/>
      <c r="R46" s="482" t="n"/>
      <c r="S46" s="482" t="n"/>
      <c r="T46" s="482" t="n"/>
      <c r="U46" s="482" t="n"/>
      <c r="V46" s="482" t="n"/>
      <c r="W46" s="482" t="n"/>
      <c r="X46" s="482" t="n"/>
      <c r="Y46" s="482" t="n"/>
      <c r="Z46" s="482" t="n"/>
      <c r="AA46" s="482" t="n"/>
      <c r="AB46" s="482" t="n"/>
      <c r="AC46" s="482" t="n"/>
      <c r="AD46" s="482" t="n"/>
      <c r="AE46" s="482" t="n"/>
      <c r="AF46" s="482" t="n"/>
      <c r="AG46" s="482" t="n"/>
      <c r="AH46" s="482" t="n"/>
      <c r="AI46" s="482" t="n"/>
      <c r="AJ46" s="482" t="n"/>
      <c r="AK46" s="482" t="n"/>
      <c r="AL46" s="482" t="n"/>
      <c r="AM46" s="482" t="n"/>
      <c r="AN46" s="482" t="n"/>
      <c r="AO46" s="482" t="n"/>
      <c r="AP46" s="482" t="n"/>
      <c r="AQ46" s="482" t="n"/>
      <c r="AR46" s="482" t="n"/>
      <c r="AS46" s="482" t="n"/>
      <c r="AT46" s="482" t="n"/>
      <c r="AU46" s="482" t="n"/>
      <c r="AV46" s="482" t="n"/>
      <c r="AW46" s="482" t="n"/>
      <c r="AX46" s="482" t="n"/>
      <c r="AY46" s="482" t="n"/>
      <c r="AZ46" s="482" t="n"/>
      <c r="BA46" s="482" t="n"/>
      <c r="BB46" s="482" t="n"/>
      <c r="BC46" s="482" t="n"/>
      <c r="BD46" s="482" t="n"/>
      <c r="BE46" s="482" t="n"/>
      <c r="BF46" s="482" t="n"/>
      <c r="BG46" s="482" t="n"/>
      <c r="BH46" s="482" t="n"/>
      <c r="BI46" s="482" t="n"/>
      <c r="BJ46" s="482" t="n"/>
      <c r="BK46" s="482" t="n"/>
      <c r="BL46" s="482" t="n"/>
      <c r="BM46" s="482" t="n"/>
      <c r="BN46" s="482" t="n"/>
      <c r="BO46" s="482" t="n"/>
      <c r="BP46" s="482" t="n"/>
      <c r="BQ46" s="482" t="n"/>
      <c r="BR46" s="482" t="n"/>
      <c r="BS46" s="482" t="n"/>
      <c r="BT46" s="482" t="n"/>
      <c r="BU46" s="482" t="n"/>
      <c r="BV46" s="482" t="n"/>
      <c r="BW46" s="482" t="n"/>
      <c r="BX46" s="482" t="n"/>
      <c r="BY46" s="482" t="n"/>
      <c r="BZ46" s="482" t="n"/>
      <c r="CA46" s="482" t="n"/>
      <c r="CB46" s="482" t="n"/>
      <c r="CC46" s="482" t="n"/>
      <c r="CD46" s="482" t="n"/>
      <c r="CE46" s="482" t="n"/>
      <c r="CF46" s="482" t="n"/>
      <c r="CG46" s="482" t="n"/>
      <c r="CH46" s="482" t="n"/>
      <c r="CI46" s="482" t="n"/>
      <c r="CJ46" s="482" t="n"/>
      <c r="CK46" s="482" t="n"/>
      <c r="CL46" s="482" t="n"/>
      <c r="CM46" s="482" t="n"/>
      <c r="CN46" s="482" t="n"/>
      <c r="CO46" s="482" t="n"/>
      <c r="CP46" s="482" t="n"/>
      <c r="CQ46" s="482" t="n"/>
      <c r="CR46" s="482" t="n"/>
      <c r="CS46" s="482" t="n"/>
      <c r="CT46" s="482" t="n"/>
    </row>
    <row r="47" ht="15" customFormat="1" customHeight="1" s="380">
      <c r="A47" s="478" t="inlineStr">
        <is>
          <t>5900-1007 Landscaping</t>
        </is>
      </c>
      <c r="C47" s="482" t="n">
        <v>-320</v>
      </c>
      <c r="D47" s="482" t="n">
        <v>-160</v>
      </c>
      <c r="E47" s="482" t="n">
        <v>0</v>
      </c>
      <c r="F47" s="482" t="n">
        <v>0</v>
      </c>
      <c r="G47" s="482" t="n">
        <v>-320</v>
      </c>
      <c r="H47" s="482" t="n">
        <v>-320</v>
      </c>
      <c r="I47" s="482" t="n">
        <v>0</v>
      </c>
      <c r="J47" s="482" t="n"/>
      <c r="K47" s="482" t="n"/>
      <c r="L47" s="482" t="n"/>
      <c r="M47" s="482" t="n"/>
      <c r="N47" s="482" t="n"/>
      <c r="O47" s="482" t="n"/>
      <c r="P47" s="482" t="n"/>
      <c r="Q47" s="482" t="n"/>
      <c r="R47" s="482" t="n"/>
      <c r="S47" s="482" t="n"/>
      <c r="T47" s="482" t="n"/>
      <c r="U47" s="482" t="n"/>
      <c r="V47" s="482" t="n"/>
      <c r="W47" s="482" t="n"/>
      <c r="X47" s="482" t="n"/>
      <c r="Y47" s="482" t="n"/>
      <c r="Z47" s="482" t="n"/>
      <c r="AA47" s="482" t="n"/>
      <c r="AB47" s="482" t="n"/>
      <c r="AC47" s="482" t="n"/>
      <c r="AD47" s="482" t="n"/>
      <c r="AE47" s="482" t="n"/>
      <c r="AF47" s="482" t="n"/>
      <c r="AG47" s="482" t="n"/>
      <c r="AH47" s="482" t="n"/>
      <c r="AI47" s="482" t="n"/>
      <c r="AJ47" s="482" t="n"/>
      <c r="AK47" s="482" t="n"/>
      <c r="AL47" s="482" t="n"/>
      <c r="AM47" s="482" t="n"/>
      <c r="AN47" s="482" t="n"/>
      <c r="AO47" s="482" t="n"/>
      <c r="AP47" s="482" t="n"/>
      <c r="AQ47" s="482" t="n"/>
      <c r="AR47" s="482" t="n"/>
      <c r="AS47" s="482" t="n"/>
      <c r="AT47" s="482" t="n"/>
      <c r="AU47" s="482" t="n"/>
      <c r="AV47" s="482" t="n"/>
      <c r="AW47" s="482" t="n"/>
      <c r="AX47" s="482" t="n"/>
      <c r="AY47" s="482" t="n"/>
      <c r="AZ47" s="482" t="n"/>
      <c r="BA47" s="482" t="n"/>
      <c r="BB47" s="482" t="n"/>
      <c r="BC47" s="482" t="n"/>
      <c r="BD47" s="482" t="n"/>
      <c r="BE47" s="482" t="n"/>
      <c r="BF47" s="482" t="n"/>
      <c r="BG47" s="482" t="n"/>
      <c r="BH47" s="482" t="n"/>
      <c r="BI47" s="482" t="n"/>
      <c r="BJ47" s="482" t="n"/>
      <c r="BK47" s="482" t="n"/>
      <c r="BL47" s="482" t="n"/>
      <c r="BM47" s="482" t="n"/>
      <c r="BN47" s="482" t="n"/>
      <c r="BO47" s="482" t="n"/>
      <c r="BP47" s="482" t="n"/>
      <c r="BQ47" s="482" t="n"/>
      <c r="BR47" s="482" t="n"/>
      <c r="BS47" s="482" t="n"/>
      <c r="BT47" s="482" t="n"/>
      <c r="BU47" s="482" t="n"/>
      <c r="BV47" s="482" t="n"/>
      <c r="BW47" s="482" t="n"/>
      <c r="BX47" s="482" t="n"/>
      <c r="BY47" s="482" t="n"/>
      <c r="BZ47" s="482" t="n"/>
      <c r="CA47" s="482" t="n"/>
      <c r="CB47" s="482" t="n"/>
      <c r="CC47" s="482" t="n"/>
      <c r="CD47" s="482" t="n"/>
      <c r="CE47" s="482" t="n"/>
      <c r="CF47" s="482" t="n"/>
      <c r="CG47" s="482" t="n"/>
      <c r="CH47" s="482" t="n"/>
      <c r="CI47" s="482" t="n"/>
      <c r="CJ47" s="482" t="n"/>
      <c r="CK47" s="482" t="n"/>
      <c r="CL47" s="482" t="n"/>
      <c r="CM47" s="482" t="n"/>
      <c r="CN47" s="482" t="n"/>
      <c r="CO47" s="482" t="n"/>
      <c r="CP47" s="482" t="n"/>
      <c r="CQ47" s="482" t="n"/>
      <c r="CR47" s="482" t="n"/>
      <c r="CS47" s="482" t="n"/>
      <c r="CT47" s="482" t="n"/>
    </row>
    <row r="48" ht="15" customFormat="1" customHeight="1" s="380">
      <c r="A48" s="478" t="inlineStr">
        <is>
          <t>5900-1040 Warranty and Other Job Adjustments</t>
        </is>
      </c>
      <c r="C48" s="482" t="n">
        <v>-17660.72</v>
      </c>
      <c r="D48" s="482" t="n">
        <v>-5799</v>
      </c>
      <c r="E48" s="482" t="n">
        <v>-3432.18</v>
      </c>
      <c r="F48" s="482" t="n">
        <v>0</v>
      </c>
      <c r="G48" s="482" t="n">
        <v>-73874.28999999999</v>
      </c>
      <c r="H48" s="482" t="n">
        <v>0</v>
      </c>
      <c r="I48" s="482" t="n">
        <v>0</v>
      </c>
      <c r="J48" s="482" t="n"/>
      <c r="K48" s="482" t="n"/>
      <c r="L48" s="482" t="n"/>
      <c r="M48" s="482" t="n"/>
      <c r="N48" s="482" t="n"/>
      <c r="O48" s="482" t="n"/>
      <c r="P48" s="482" t="n"/>
      <c r="Q48" s="482" t="n"/>
      <c r="R48" s="482" t="n"/>
      <c r="S48" s="482" t="n"/>
      <c r="T48" s="482" t="n"/>
      <c r="U48" s="482" t="n"/>
      <c r="V48" s="482" t="n"/>
      <c r="W48" s="482" t="n"/>
      <c r="X48" s="482" t="n"/>
      <c r="Y48" s="482" t="n"/>
      <c r="Z48" s="482" t="n"/>
      <c r="AA48" s="482" t="n"/>
      <c r="AB48" s="482" t="n"/>
      <c r="AC48" s="482" t="n"/>
      <c r="AD48" s="482" t="n"/>
      <c r="AE48" s="482" t="n"/>
      <c r="AF48" s="482" t="n"/>
      <c r="AG48" s="482" t="n"/>
      <c r="AH48" s="482" t="n"/>
      <c r="AI48" s="482" t="n"/>
      <c r="AJ48" s="482" t="n"/>
      <c r="AK48" s="482" t="n"/>
      <c r="AL48" s="482" t="n"/>
      <c r="AM48" s="482" t="n"/>
      <c r="AN48" s="482" t="n"/>
      <c r="AO48" s="482" t="n"/>
      <c r="AP48" s="482" t="n"/>
      <c r="AQ48" s="482" t="n"/>
      <c r="AR48" s="482" t="n"/>
      <c r="AS48" s="482" t="n"/>
      <c r="AT48" s="482" t="n"/>
      <c r="AU48" s="482" t="n"/>
      <c r="AV48" s="482" t="n"/>
      <c r="AW48" s="482" t="n"/>
      <c r="AX48" s="482" t="n"/>
      <c r="AY48" s="482" t="n"/>
      <c r="AZ48" s="482" t="n"/>
      <c r="BA48" s="482" t="n"/>
      <c r="BB48" s="482" t="n"/>
      <c r="BC48" s="482" t="n"/>
      <c r="BD48" s="482" t="n"/>
      <c r="BE48" s="482" t="n"/>
      <c r="BF48" s="482" t="n"/>
      <c r="BG48" s="482" t="n"/>
      <c r="BH48" s="482" t="n"/>
      <c r="BI48" s="482" t="n"/>
      <c r="BJ48" s="482" t="n"/>
      <c r="BK48" s="482" t="n"/>
      <c r="BL48" s="482" t="n"/>
      <c r="BM48" s="482" t="n"/>
      <c r="BN48" s="482" t="n"/>
      <c r="BO48" s="482" t="n"/>
      <c r="BP48" s="482" t="n"/>
      <c r="BQ48" s="482" t="n"/>
      <c r="BR48" s="482" t="n"/>
      <c r="BS48" s="482" t="n"/>
      <c r="BT48" s="482" t="n"/>
      <c r="BU48" s="482" t="n"/>
      <c r="BV48" s="482" t="n"/>
      <c r="BW48" s="482" t="n"/>
      <c r="BX48" s="482" t="n"/>
      <c r="BY48" s="482" t="n"/>
      <c r="BZ48" s="482" t="n"/>
      <c r="CA48" s="482" t="n"/>
      <c r="CB48" s="482" t="n"/>
      <c r="CC48" s="482" t="n"/>
      <c r="CD48" s="482" t="n"/>
      <c r="CE48" s="482" t="n"/>
      <c r="CF48" s="482" t="n"/>
      <c r="CG48" s="482" t="n"/>
      <c r="CH48" s="482" t="n"/>
      <c r="CI48" s="482" t="n"/>
      <c r="CJ48" s="482" t="n"/>
      <c r="CK48" s="482" t="n"/>
      <c r="CL48" s="482" t="n"/>
      <c r="CM48" s="482" t="n"/>
      <c r="CN48" s="482" t="n"/>
      <c r="CO48" s="482" t="n"/>
      <c r="CP48" s="482" t="n"/>
      <c r="CQ48" s="482" t="n"/>
      <c r="CR48" s="482" t="n"/>
      <c r="CS48" s="482" t="n"/>
      <c r="CT48" s="482" t="n"/>
    </row>
    <row r="49" ht="15" customFormat="1" customHeight="1" s="380">
      <c r="A49" s="478" t="inlineStr">
        <is>
          <t>5900-1075 Miscellaneous Expense</t>
        </is>
      </c>
      <c r="C49" s="477" t="n">
        <v>-1913.91</v>
      </c>
      <c r="D49" s="477" t="n">
        <v>-2254.72</v>
      </c>
      <c r="E49" s="477" t="n">
        <v>-1913.91</v>
      </c>
      <c r="F49" s="477" t="n">
        <v>-1609.91</v>
      </c>
      <c r="G49" s="477" t="n">
        <v>-2760.86</v>
      </c>
      <c r="H49" s="477" t="n">
        <v>0</v>
      </c>
      <c r="I49" s="477" t="n">
        <v>0</v>
      </c>
      <c r="J49" s="477" t="n"/>
      <c r="K49" s="477" t="n"/>
      <c r="L49" s="477" t="n"/>
      <c r="M49" s="477" t="n"/>
      <c r="N49" s="477" t="n"/>
      <c r="O49" s="477" t="n"/>
      <c r="P49" s="477" t="n"/>
      <c r="Q49" s="477" t="n"/>
      <c r="R49" s="477" t="n"/>
      <c r="S49" s="477" t="n"/>
      <c r="T49" s="477" t="n"/>
      <c r="U49" s="477" t="n"/>
      <c r="V49" s="477" t="n"/>
      <c r="W49" s="477" t="n"/>
      <c r="X49" s="477" t="n"/>
      <c r="Y49" s="477" t="n"/>
      <c r="Z49" s="477" t="n"/>
      <c r="AA49" s="477" t="n"/>
      <c r="AB49" s="477" t="n"/>
      <c r="AC49" s="477" t="n"/>
      <c r="AD49" s="477" t="n"/>
      <c r="AE49" s="477" t="n"/>
      <c r="AF49" s="477" t="n"/>
      <c r="AG49" s="477" t="n"/>
      <c r="AH49" s="477" t="n"/>
      <c r="AI49" s="477" t="n"/>
      <c r="AJ49" s="477" t="n"/>
      <c r="AK49" s="477" t="n"/>
      <c r="AL49" s="477" t="n"/>
      <c r="AM49" s="477" t="n"/>
      <c r="AN49" s="477" t="n"/>
      <c r="AO49" s="477" t="n"/>
      <c r="AP49" s="477" t="n"/>
      <c r="AQ49" s="477" t="n"/>
      <c r="AR49" s="477" t="n"/>
      <c r="AS49" s="477" t="n"/>
      <c r="AT49" s="477" t="n"/>
      <c r="AU49" s="477" t="n"/>
      <c r="AV49" s="477" t="n"/>
      <c r="AW49" s="477" t="n"/>
      <c r="AX49" s="477" t="n"/>
      <c r="AY49" s="477" t="n"/>
      <c r="AZ49" s="477" t="n"/>
      <c r="BA49" s="477" t="n"/>
      <c r="BB49" s="477" t="n"/>
      <c r="BC49" s="477" t="n"/>
      <c r="BD49" s="477" t="n"/>
      <c r="BE49" s="477" t="n"/>
      <c r="BF49" s="477" t="n"/>
      <c r="BG49" s="477" t="n"/>
      <c r="BH49" s="477" t="n"/>
      <c r="BI49" s="477" t="n"/>
      <c r="BJ49" s="477" t="n"/>
      <c r="BK49" s="477" t="n"/>
      <c r="BL49" s="477" t="n"/>
      <c r="BM49" s="477" t="n"/>
      <c r="BN49" s="477" t="n"/>
      <c r="BO49" s="477" t="n"/>
      <c r="BP49" s="477" t="n"/>
      <c r="BQ49" s="477" t="n"/>
      <c r="BR49" s="477" t="n"/>
      <c r="BS49" s="477" t="n"/>
      <c r="BT49" s="477" t="n"/>
      <c r="BU49" s="477" t="n"/>
      <c r="BV49" s="477" t="n"/>
      <c r="BW49" s="477" t="n"/>
      <c r="BX49" s="477" t="n"/>
      <c r="BY49" s="477" t="n"/>
      <c r="BZ49" s="477" t="n"/>
      <c r="CA49" s="477" t="n"/>
      <c r="CB49" s="477" t="n"/>
      <c r="CC49" s="477" t="n"/>
      <c r="CD49" s="477" t="n"/>
      <c r="CE49" s="477" t="n"/>
      <c r="CF49" s="477" t="n"/>
      <c r="CG49" s="477" t="n"/>
      <c r="CH49" s="477" t="n"/>
      <c r="CI49" s="477" t="n"/>
      <c r="CJ49" s="477" t="n"/>
      <c r="CK49" s="477" t="n"/>
      <c r="CL49" s="477" t="n"/>
      <c r="CM49" s="477" t="n"/>
      <c r="CN49" s="477" t="n"/>
      <c r="CO49" s="477" t="n"/>
      <c r="CP49" s="477" t="n"/>
      <c r="CQ49" s="477" t="n"/>
      <c r="CR49" s="477" t="n"/>
      <c r="CS49" s="477" t="n"/>
      <c r="CT49" s="477" t="n"/>
    </row>
    <row r="50" ht="15" customFormat="1" customHeight="1" s="380">
      <c r="A50" s="478" t="inlineStr">
        <is>
          <t>5900-1080 Bank Service Charges</t>
        </is>
      </c>
      <c r="C50" s="477" t="n">
        <v>0</v>
      </c>
      <c r="D50" s="477" t="n">
        <v>-75</v>
      </c>
      <c r="E50" s="477" t="n">
        <v>-5</v>
      </c>
      <c r="F50" s="477" t="n">
        <v>0</v>
      </c>
      <c r="G50" s="477" t="n">
        <v>0</v>
      </c>
      <c r="H50" s="477" t="n">
        <v>0</v>
      </c>
      <c r="I50" s="477" t="n">
        <v>-5</v>
      </c>
      <c r="J50" s="477" t="n"/>
      <c r="K50" s="477" t="n"/>
      <c r="L50" s="477" t="n"/>
      <c r="M50" s="477" t="n"/>
      <c r="N50" s="477" t="n"/>
      <c r="O50" s="477" t="n"/>
      <c r="P50" s="477" t="n"/>
      <c r="Q50" s="477" t="n"/>
      <c r="R50" s="477" t="n"/>
      <c r="S50" s="477" t="n"/>
      <c r="T50" s="477" t="n"/>
      <c r="U50" s="477" t="n"/>
      <c r="V50" s="477" t="n"/>
      <c r="W50" s="477" t="n"/>
      <c r="X50" s="477" t="n"/>
      <c r="Y50" s="477" t="n"/>
      <c r="Z50" s="477" t="n"/>
      <c r="AA50" s="477" t="n"/>
      <c r="AB50" s="477" t="n"/>
      <c r="AC50" s="477" t="n"/>
      <c r="AD50" s="477" t="n"/>
      <c r="AE50" s="477" t="n"/>
      <c r="AF50" s="477" t="n"/>
      <c r="AG50" s="477" t="n"/>
      <c r="AH50" s="477" t="n"/>
      <c r="AI50" s="477" t="n"/>
      <c r="AJ50" s="477" t="n"/>
      <c r="AK50" s="477" t="n"/>
      <c r="AL50" s="477" t="n"/>
      <c r="AM50" s="477" t="n"/>
      <c r="AN50" s="477" t="n"/>
      <c r="AO50" s="477" t="n"/>
      <c r="AP50" s="477" t="n"/>
      <c r="AQ50" s="477" t="n"/>
      <c r="AR50" s="477" t="n"/>
      <c r="AS50" s="477" t="n"/>
      <c r="AT50" s="477" t="n"/>
      <c r="AU50" s="477" t="n"/>
      <c r="AV50" s="477" t="n"/>
      <c r="AW50" s="477" t="n"/>
      <c r="AX50" s="477" t="n"/>
      <c r="AY50" s="477" t="n"/>
      <c r="AZ50" s="477" t="n"/>
      <c r="BA50" s="477" t="n"/>
      <c r="BB50" s="477" t="n"/>
      <c r="BC50" s="477" t="n"/>
      <c r="BD50" s="477" t="n"/>
      <c r="BE50" s="477" t="n"/>
      <c r="BF50" s="477" t="n"/>
      <c r="BG50" s="477" t="n"/>
      <c r="BH50" s="477" t="n"/>
      <c r="BI50" s="477" t="n"/>
      <c r="BJ50" s="477" t="n"/>
      <c r="BK50" s="477" t="n"/>
      <c r="BL50" s="477" t="n"/>
      <c r="BM50" s="477" t="n"/>
      <c r="BN50" s="477" t="n"/>
      <c r="BO50" s="477" t="n"/>
      <c r="BP50" s="477" t="n"/>
      <c r="BQ50" s="477" t="n"/>
      <c r="BR50" s="477" t="n"/>
      <c r="BS50" s="477" t="n"/>
      <c r="BT50" s="477" t="n"/>
      <c r="BU50" s="477" t="n"/>
      <c r="BV50" s="477" t="n"/>
      <c r="BW50" s="477" t="n"/>
      <c r="BX50" s="477" t="n"/>
      <c r="BY50" s="477" t="n"/>
      <c r="BZ50" s="477" t="n"/>
      <c r="CA50" s="477" t="n"/>
      <c r="CB50" s="477" t="n"/>
      <c r="CC50" s="477" t="n"/>
      <c r="CD50" s="477" t="n"/>
      <c r="CE50" s="477" t="n"/>
      <c r="CF50" s="477" t="n"/>
      <c r="CG50" s="477" t="n"/>
      <c r="CH50" s="477" t="n"/>
      <c r="CI50" s="477" t="n"/>
      <c r="CJ50" s="477" t="n"/>
      <c r="CK50" s="477" t="n"/>
      <c r="CL50" s="477" t="n"/>
      <c r="CM50" s="477" t="n"/>
      <c r="CN50" s="477" t="n"/>
      <c r="CO50" s="477" t="n"/>
      <c r="CP50" s="477" t="n"/>
      <c r="CQ50" s="477" t="n"/>
      <c r="CR50" s="477" t="n"/>
      <c r="CS50" s="477" t="n"/>
      <c r="CT50" s="477" t="n"/>
    </row>
    <row r="51" ht="15" customFormat="1" customHeight="1" s="380">
      <c r="A51" s="478" t="inlineStr">
        <is>
          <t>5900-3000 Charitable Contribution</t>
        </is>
      </c>
      <c r="C51" s="477" t="n">
        <v>0</v>
      </c>
      <c r="D51" s="477" t="n">
        <v>-63</v>
      </c>
      <c r="E51" s="477" t="n">
        <v>0</v>
      </c>
      <c r="F51" s="477" t="n">
        <v>0</v>
      </c>
      <c r="G51" s="477" t="n">
        <v>0</v>
      </c>
      <c r="H51" s="477" t="n">
        <v>0</v>
      </c>
      <c r="I51" s="477" t="n">
        <v>0</v>
      </c>
      <c r="J51" s="477" t="n"/>
      <c r="K51" s="477" t="n"/>
      <c r="L51" s="477" t="n"/>
      <c r="M51" s="477" t="n"/>
      <c r="N51" s="477" t="n"/>
      <c r="O51" s="477" t="n"/>
      <c r="P51" s="477" t="n"/>
      <c r="Q51" s="477" t="n"/>
      <c r="R51" s="477" t="n"/>
      <c r="S51" s="477" t="n"/>
      <c r="T51" s="477" t="n"/>
      <c r="U51" s="477" t="n"/>
      <c r="V51" s="477" t="n"/>
      <c r="W51" s="477" t="n"/>
      <c r="X51" s="477" t="n"/>
      <c r="Y51" s="477" t="n"/>
      <c r="Z51" s="477" t="n"/>
      <c r="AA51" s="477" t="n"/>
      <c r="AB51" s="477" t="n"/>
      <c r="AC51" s="477" t="n"/>
      <c r="AD51" s="477" t="n"/>
      <c r="AE51" s="477" t="n"/>
      <c r="AF51" s="477" t="n"/>
      <c r="AG51" s="477" t="n"/>
      <c r="AH51" s="477" t="n"/>
      <c r="AI51" s="477" t="n"/>
      <c r="AJ51" s="477" t="n"/>
      <c r="AK51" s="477" t="n"/>
      <c r="AL51" s="477" t="n"/>
      <c r="AM51" s="477" t="n"/>
      <c r="AN51" s="477" t="n"/>
      <c r="AO51" s="477" t="n"/>
      <c r="AP51" s="477" t="n"/>
      <c r="AQ51" s="477" t="n"/>
      <c r="AR51" s="477" t="n"/>
      <c r="AS51" s="477" t="n"/>
      <c r="AT51" s="477" t="n"/>
      <c r="AU51" s="477" t="n"/>
      <c r="AV51" s="477" t="n"/>
      <c r="AW51" s="477" t="n"/>
      <c r="AX51" s="477" t="n"/>
      <c r="AY51" s="477" t="n"/>
      <c r="AZ51" s="477" t="n"/>
      <c r="BA51" s="477" t="n"/>
      <c r="BB51" s="477" t="n"/>
      <c r="BC51" s="477" t="n"/>
      <c r="BD51" s="477" t="n"/>
      <c r="BE51" s="477" t="n"/>
      <c r="BF51" s="477" t="n"/>
      <c r="BG51" s="477" t="n"/>
      <c r="BH51" s="477" t="n"/>
      <c r="BI51" s="477" t="n"/>
      <c r="BJ51" s="477" t="n"/>
      <c r="BK51" s="477" t="n"/>
      <c r="BL51" s="477" t="n"/>
      <c r="BM51" s="477" t="n"/>
      <c r="BN51" s="477" t="n"/>
      <c r="BO51" s="477" t="n"/>
      <c r="BP51" s="477" t="n"/>
      <c r="BQ51" s="477" t="n"/>
      <c r="BR51" s="477" t="n"/>
      <c r="BS51" s="477" t="n"/>
      <c r="BT51" s="477" t="n"/>
      <c r="BU51" s="477" t="n"/>
      <c r="BV51" s="477" t="n"/>
      <c r="BW51" s="477" t="n"/>
      <c r="BX51" s="477" t="n"/>
      <c r="BY51" s="477" t="n"/>
      <c r="BZ51" s="477" t="n"/>
      <c r="CA51" s="477" t="n"/>
      <c r="CB51" s="477" t="n"/>
      <c r="CC51" s="477" t="n"/>
      <c r="CD51" s="477" t="n"/>
      <c r="CE51" s="477" t="n"/>
      <c r="CF51" s="477" t="n"/>
      <c r="CG51" s="477" t="n"/>
      <c r="CH51" s="477" t="n"/>
      <c r="CI51" s="477" t="n"/>
      <c r="CJ51" s="477" t="n"/>
      <c r="CK51" s="477" t="n"/>
      <c r="CL51" s="477" t="n"/>
      <c r="CM51" s="477" t="n"/>
      <c r="CN51" s="477" t="n"/>
      <c r="CO51" s="477" t="n"/>
      <c r="CP51" s="477" t="n"/>
      <c r="CQ51" s="477" t="n"/>
      <c r="CR51" s="477" t="n"/>
      <c r="CS51" s="477" t="n"/>
      <c r="CT51" s="477" t="n"/>
    </row>
    <row r="52" ht="18" customFormat="1" customHeight="1" s="380">
      <c r="A52" s="480" t="inlineStr">
        <is>
          <t>BD Commission</t>
        </is>
      </c>
      <c r="B52" s="483" t="n"/>
      <c r="C52" s="484" t="n"/>
      <c r="D52" s="484" t="n"/>
      <c r="E52" s="484" t="n"/>
      <c r="F52" s="484" t="n"/>
      <c r="G52" s="484" t="n"/>
      <c r="H52" s="484" t="n"/>
      <c r="I52" s="484" t="n"/>
      <c r="J52" s="484" t="n"/>
      <c r="K52" s="484" t="n"/>
      <c r="L52" s="484" t="n"/>
      <c r="M52" s="484" t="n"/>
      <c r="N52" s="484" t="n"/>
      <c r="O52" s="484" t="n"/>
      <c r="P52" s="484" t="n"/>
      <c r="Q52" s="484" t="n"/>
      <c r="R52" s="484" t="n"/>
      <c r="S52" s="484" t="n"/>
      <c r="T52" s="484" t="n"/>
      <c r="U52" s="484" t="n"/>
      <c r="V52" s="484" t="n"/>
      <c r="W52" s="484" t="n"/>
      <c r="X52" s="484" t="n"/>
      <c r="Y52" s="484" t="n"/>
      <c r="Z52" s="484" t="n"/>
      <c r="AA52" s="484" t="n"/>
      <c r="AB52" s="484" t="n"/>
      <c r="AC52" s="484" t="n"/>
      <c r="AD52" s="484" t="n"/>
      <c r="AE52" s="484" t="n"/>
      <c r="AF52" s="484" t="n"/>
      <c r="AG52" s="484" t="n"/>
      <c r="AH52" s="484" t="n"/>
      <c r="AI52" s="484" t="n"/>
      <c r="AJ52" s="484" t="n"/>
      <c r="AK52" s="484" t="n"/>
      <c r="AL52" s="484" t="n"/>
      <c r="AM52" s="484" t="n"/>
      <c r="AN52" s="484" t="n"/>
      <c r="AO52" s="484" t="n"/>
      <c r="AP52" s="484" t="n"/>
      <c r="AQ52" s="484" t="n"/>
      <c r="AR52" s="484" t="n"/>
      <c r="AS52" s="484" t="n"/>
      <c r="AT52" s="484" t="n"/>
      <c r="AU52" s="484" t="n"/>
      <c r="AV52" s="484" t="n"/>
      <c r="AW52" s="484" t="n"/>
      <c r="AX52" s="484" t="n"/>
      <c r="AY52" s="484" t="n"/>
      <c r="AZ52" s="484" t="n"/>
      <c r="BA52" s="484" t="n"/>
      <c r="BB52" s="484" t="n"/>
      <c r="BC52" s="484" t="n"/>
      <c r="BD52" s="484" t="n"/>
      <c r="BE52" s="484" t="n"/>
      <c r="BF52" s="484" t="n"/>
      <c r="BG52" s="484" t="n"/>
      <c r="BH52" s="484" t="n"/>
      <c r="BI52" s="484" t="n"/>
      <c r="BJ52" s="484" t="n"/>
      <c r="BK52" s="484" t="n"/>
      <c r="BL52" s="484" t="n"/>
      <c r="BM52" s="484" t="n"/>
      <c r="BN52" s="484" t="n"/>
      <c r="BO52" s="484" t="n"/>
      <c r="BP52" s="484" t="n"/>
      <c r="BQ52" s="484" t="n"/>
      <c r="BR52" s="484" t="n"/>
      <c r="BS52" s="484" t="n"/>
      <c r="BT52" s="484" t="n"/>
      <c r="BU52" s="484" t="n"/>
      <c r="BV52" s="484" t="n"/>
      <c r="BW52" s="484" t="n"/>
      <c r="BX52" s="484" t="n"/>
      <c r="BY52" s="484" t="n"/>
      <c r="BZ52" s="484" t="n"/>
      <c r="CA52" s="484" t="n"/>
      <c r="CB52" s="484" t="n"/>
      <c r="CC52" s="484" t="n"/>
      <c r="CD52" s="484" t="n"/>
      <c r="CE52" s="484" t="n"/>
      <c r="CF52" s="484" t="n"/>
      <c r="CG52" s="484" t="n"/>
      <c r="CH52" s="484" t="n"/>
      <c r="CI52" s="484" t="n"/>
      <c r="CJ52" s="484" t="n"/>
      <c r="CK52" s="484" t="n"/>
      <c r="CL52" s="484" t="n"/>
      <c r="CM52" s="484" t="n"/>
      <c r="CN52" s="484" t="n"/>
      <c r="CO52" s="484" t="n"/>
      <c r="CP52" s="484" t="n"/>
      <c r="CQ52" s="484" t="n"/>
      <c r="CR52" s="484" t="n"/>
      <c r="CS52" s="484" t="n"/>
      <c r="CT52" s="484" t="n"/>
    </row>
    <row r="53" ht="15" customFormat="1" customHeight="1" s="380">
      <c r="A53" s="485" t="inlineStr">
        <is>
          <t>8200-2000 State Tax and Fees</t>
        </is>
      </c>
      <c r="C53" s="477" t="n">
        <v>0</v>
      </c>
      <c r="D53" s="477" t="n">
        <v>0</v>
      </c>
      <c r="E53" s="477" t="n">
        <v>-11105.35</v>
      </c>
      <c r="F53" s="477" t="n">
        <v>0</v>
      </c>
      <c r="G53" s="477" t="n">
        <v>0</v>
      </c>
      <c r="H53" s="477" t="n">
        <v>0</v>
      </c>
      <c r="I53" s="477" t="n">
        <v>0</v>
      </c>
      <c r="J53" s="477" t="n"/>
      <c r="K53" s="477" t="n"/>
      <c r="L53" s="477" t="n"/>
      <c r="M53" s="477" t="n"/>
      <c r="N53" s="477" t="n"/>
      <c r="O53" s="477" t="n"/>
      <c r="P53" s="477" t="n"/>
      <c r="Q53" s="477" t="n"/>
      <c r="R53" s="477" t="n"/>
      <c r="S53" s="477" t="n"/>
      <c r="T53" s="477" t="n"/>
      <c r="U53" s="477" t="n"/>
      <c r="V53" s="477" t="n"/>
      <c r="W53" s="477" t="n"/>
      <c r="X53" s="477" t="n"/>
      <c r="Y53" s="477" t="n"/>
      <c r="Z53" s="477" t="n"/>
      <c r="AA53" s="477" t="n"/>
      <c r="AB53" s="477" t="n"/>
      <c r="AC53" s="477" t="n"/>
      <c r="AD53" s="477" t="n"/>
      <c r="AE53" s="477" t="n"/>
      <c r="AF53" s="477" t="n"/>
      <c r="AG53" s="477" t="n"/>
      <c r="AH53" s="477" t="n"/>
      <c r="AI53" s="477" t="n"/>
      <c r="AJ53" s="477" t="n"/>
      <c r="AK53" s="477" t="n"/>
      <c r="AL53" s="477" t="n"/>
      <c r="AM53" s="477" t="n"/>
      <c r="AN53" s="477" t="n"/>
      <c r="AO53" s="477" t="n"/>
      <c r="AP53" s="477" t="n"/>
      <c r="AQ53" s="477" t="n"/>
      <c r="AR53" s="477" t="n"/>
      <c r="AS53" s="477" t="n"/>
      <c r="AT53" s="477" t="n"/>
      <c r="AU53" s="477" t="n"/>
      <c r="AV53" s="477" t="n"/>
      <c r="AW53" s="477" t="n"/>
      <c r="AX53" s="477" t="n"/>
      <c r="AY53" s="477" t="n"/>
      <c r="AZ53" s="477" t="n"/>
      <c r="BA53" s="477" t="n"/>
      <c r="BB53" s="477" t="n"/>
      <c r="BC53" s="477" t="n"/>
      <c r="BD53" s="477" t="n"/>
      <c r="BE53" s="477" t="n"/>
      <c r="BF53" s="477" t="n"/>
      <c r="BG53" s="477" t="n"/>
      <c r="BH53" s="477" t="n"/>
      <c r="BI53" s="477" t="n"/>
      <c r="BJ53" s="477" t="n"/>
      <c r="BK53" s="477" t="n"/>
      <c r="BL53" s="477" t="n"/>
      <c r="BM53" s="477" t="n"/>
      <c r="BN53" s="477" t="n"/>
      <c r="BO53" s="477" t="n"/>
      <c r="BP53" s="477" t="n"/>
      <c r="BQ53" s="477" t="n"/>
      <c r="BR53" s="477" t="n"/>
      <c r="BS53" s="477" t="n"/>
      <c r="BT53" s="477" t="n"/>
      <c r="BU53" s="477" t="n"/>
      <c r="BV53" s="477" t="n"/>
      <c r="BW53" s="477" t="n"/>
      <c r="BX53" s="477" t="n"/>
      <c r="BY53" s="477" t="n"/>
      <c r="BZ53" s="477" t="n"/>
      <c r="CA53" s="477" t="n"/>
      <c r="CB53" s="477" t="n"/>
      <c r="CC53" s="477" t="n"/>
      <c r="CD53" s="477" t="n"/>
      <c r="CE53" s="477" t="n"/>
      <c r="CF53" s="477" t="n"/>
      <c r="CG53" s="477" t="n"/>
      <c r="CH53" s="477" t="n"/>
      <c r="CI53" s="477" t="n"/>
      <c r="CJ53" s="477" t="n"/>
      <c r="CK53" s="477" t="n"/>
      <c r="CL53" s="477" t="n"/>
      <c r="CM53" s="477" t="n"/>
      <c r="CN53" s="477" t="n"/>
      <c r="CO53" s="477" t="n"/>
      <c r="CP53" s="477" t="n"/>
      <c r="CQ53" s="477" t="n"/>
      <c r="CR53" s="477" t="n"/>
      <c r="CS53" s="477" t="n"/>
      <c r="CT53" s="477" t="n"/>
    </row>
    <row r="54" ht="15" customFormat="1" customHeight="1" s="380">
      <c r="A54" s="485" t="inlineStr">
        <is>
          <t>Equip. Rental + D&amp;A (P&amp;L true-up)</t>
        </is>
      </c>
      <c r="C54" s="477" t="n"/>
      <c r="D54" s="477" t="n"/>
      <c r="E54" s="477" t="n"/>
      <c r="F54" s="477" t="n"/>
      <c r="G54" s="477" t="n"/>
      <c r="H54" s="477" t="n">
        <v>-612.6799999999999</v>
      </c>
      <c r="I54" s="477" t="n">
        <v>-1609.91</v>
      </c>
      <c r="J54" s="477" t="n"/>
      <c r="K54" s="477" t="n"/>
      <c r="L54" s="477" t="n"/>
      <c r="M54" s="477" t="n"/>
      <c r="N54" s="477" t="n"/>
      <c r="O54" s="477" t="n"/>
      <c r="P54" s="477" t="n"/>
      <c r="Q54" s="477" t="n"/>
      <c r="R54" s="477" t="n"/>
      <c r="S54" s="477" t="n"/>
      <c r="T54" s="477" t="n"/>
      <c r="U54" s="477" t="n"/>
      <c r="V54" s="477" t="n"/>
      <c r="W54" s="477" t="n"/>
      <c r="X54" s="477" t="n"/>
      <c r="Y54" s="477" t="n"/>
      <c r="Z54" s="477" t="n"/>
      <c r="AA54" s="477" t="n"/>
      <c r="AB54" s="477" t="n"/>
      <c r="AC54" s="477" t="n"/>
      <c r="AD54" s="477" t="n"/>
      <c r="AE54" s="477" t="n"/>
      <c r="AF54" s="477" t="n"/>
      <c r="AG54" s="477" t="n"/>
      <c r="AH54" s="477" t="n"/>
      <c r="AI54" s="477" t="n"/>
      <c r="AJ54" s="477" t="n"/>
      <c r="AK54" s="477" t="n"/>
      <c r="AL54" s="477" t="n"/>
      <c r="AM54" s="477" t="n"/>
      <c r="AN54" s="477" t="n"/>
      <c r="AO54" s="477" t="n"/>
      <c r="AP54" s="477" t="n"/>
      <c r="AQ54" s="477" t="n"/>
      <c r="AR54" s="477" t="n"/>
      <c r="AS54" s="477" t="n"/>
      <c r="AT54" s="477" t="n"/>
      <c r="AU54" s="477" t="n"/>
      <c r="AV54" s="477" t="n"/>
      <c r="AW54" s="477" t="n"/>
      <c r="AX54" s="477" t="n"/>
      <c r="AY54" s="477" t="n"/>
      <c r="AZ54" s="477" t="n"/>
      <c r="BA54" s="477" t="n"/>
      <c r="BB54" s="477" t="n"/>
      <c r="BC54" s="477" t="n"/>
      <c r="BD54" s="477" t="n"/>
      <c r="BE54" s="477" t="n"/>
      <c r="BF54" s="477" t="n"/>
      <c r="BG54" s="477" t="n"/>
      <c r="BH54" s="477" t="n"/>
      <c r="BI54" s="477" t="n"/>
      <c r="BJ54" s="477" t="n"/>
      <c r="BK54" s="477" t="n"/>
      <c r="BL54" s="477" t="n"/>
      <c r="BM54" s="477" t="n"/>
      <c r="BN54" s="477" t="n"/>
      <c r="BO54" s="477" t="n"/>
      <c r="BP54" s="477" t="n"/>
      <c r="BQ54" s="477" t="n"/>
      <c r="BR54" s="477" t="n"/>
      <c r="BS54" s="477" t="n"/>
      <c r="BT54" s="477" t="n"/>
      <c r="BU54" s="477" t="n"/>
      <c r="BV54" s="477" t="n"/>
      <c r="BW54" s="477" t="n"/>
      <c r="BX54" s="477" t="n"/>
      <c r="BY54" s="477" t="n"/>
      <c r="BZ54" s="477" t="n"/>
      <c r="CA54" s="477" t="n"/>
      <c r="CB54" s="477" t="n"/>
      <c r="CC54" s="477" t="n"/>
      <c r="CD54" s="477" t="n"/>
      <c r="CE54" s="477" t="n"/>
      <c r="CF54" s="477" t="n"/>
      <c r="CG54" s="477" t="n"/>
      <c r="CH54" s="477" t="n"/>
      <c r="CI54" s="477" t="n"/>
      <c r="CJ54" s="477" t="n"/>
      <c r="CK54" s="477" t="n"/>
      <c r="CL54" s="477" t="n"/>
      <c r="CM54" s="477" t="n"/>
      <c r="CN54" s="477" t="n"/>
      <c r="CO54" s="477" t="n"/>
      <c r="CP54" s="477" t="n"/>
      <c r="CQ54" s="477" t="n"/>
      <c r="CR54" s="477" t="n"/>
      <c r="CS54" s="477" t="n"/>
      <c r="CT54" s="477" t="n"/>
    </row>
    <row r="55" ht="15" customFormat="1" customHeight="1" s="380">
      <c r="A55" s="473" t="inlineStr">
        <is>
          <t>Total GC Costs</t>
        </is>
      </c>
      <c r="C55" s="486">
        <f>SUM(C20:C54)</f>
        <v/>
      </c>
      <c r="D55" s="486">
        <f>SUM(D20:D54)</f>
        <v/>
      </c>
      <c r="E55" s="486">
        <f>SUM(E20:E54)</f>
        <v/>
      </c>
      <c r="F55" s="486">
        <f>SUM(F20:F54)</f>
        <v/>
      </c>
      <c r="G55" s="486">
        <f>SUM(G20:G54)</f>
        <v/>
      </c>
      <c r="H55" s="486">
        <f>SUM(H20:H54)</f>
        <v/>
      </c>
      <c r="I55" s="486">
        <f>SUM(I20:I54)</f>
        <v/>
      </c>
      <c r="J55" s="486">
        <f>SUM(J20:J54)</f>
        <v/>
      </c>
      <c r="K55" s="486">
        <f>SUM(K20:K54)</f>
        <v/>
      </c>
      <c r="L55" s="486">
        <f>SUM(L20:L54)</f>
        <v/>
      </c>
      <c r="M55" s="486">
        <f>SUM(M20:M54)</f>
        <v/>
      </c>
      <c r="N55" s="486">
        <f>SUM(N20:N54)</f>
        <v/>
      </c>
      <c r="O55" s="486">
        <f>SUM(O20:O54)</f>
        <v/>
      </c>
      <c r="P55" s="486">
        <f>SUM(P20:P54)</f>
        <v/>
      </c>
      <c r="Q55" s="486">
        <f>SUM(Q20:Q54)</f>
        <v/>
      </c>
      <c r="R55" s="486">
        <f>SUM(R20:R54)</f>
        <v/>
      </c>
      <c r="S55" s="486">
        <f>SUM(S20:S54)</f>
        <v/>
      </c>
      <c r="T55" s="486">
        <f>SUM(T20:T54)</f>
        <v/>
      </c>
      <c r="U55" s="486">
        <f>SUM(U20:U54)</f>
        <v/>
      </c>
      <c r="V55" s="486">
        <f>SUM(V20:V54)</f>
        <v/>
      </c>
      <c r="W55" s="486">
        <f>SUM(W20:W54)</f>
        <v/>
      </c>
      <c r="X55" s="486">
        <f>SUM(X20:X54)</f>
        <v/>
      </c>
      <c r="Y55" s="486">
        <f>SUM(Y20:Y54)</f>
        <v/>
      </c>
      <c r="Z55" s="486">
        <f>SUM(Z20:Z54)</f>
        <v/>
      </c>
      <c r="AA55" s="486">
        <f>SUM(AA20:AA54)</f>
        <v/>
      </c>
      <c r="AB55" s="486">
        <f>SUM(AB20:AB54)</f>
        <v/>
      </c>
      <c r="AC55" s="486">
        <f>SUM(AC20:AC54)</f>
        <v/>
      </c>
      <c r="AD55" s="486">
        <f>SUM(AD20:AD54)</f>
        <v/>
      </c>
      <c r="AE55" s="486">
        <f>SUM(AE20:AE54)</f>
        <v/>
      </c>
      <c r="AF55" s="486">
        <f>SUM(AF20:AF54)</f>
        <v/>
      </c>
      <c r="AG55" s="486">
        <f>SUM(AG20:AG54)</f>
        <v/>
      </c>
      <c r="AH55" s="486">
        <f>SUM(AH20:AH54)</f>
        <v/>
      </c>
      <c r="AI55" s="486">
        <f>SUM(AI20:AI54)</f>
        <v/>
      </c>
      <c r="AJ55" s="486">
        <f>SUM(AJ20:AJ54)</f>
        <v/>
      </c>
      <c r="AK55" s="486">
        <f>SUM(AK20:AK54)</f>
        <v/>
      </c>
      <c r="AL55" s="486">
        <f>SUM(AL20:AL54)</f>
        <v/>
      </c>
      <c r="AM55" s="486">
        <f>SUM(AM20:AM54)</f>
        <v/>
      </c>
      <c r="AN55" s="486">
        <f>SUM(AN20:AN54)</f>
        <v/>
      </c>
      <c r="AO55" s="486">
        <f>SUM(AO20:AO54)</f>
        <v/>
      </c>
      <c r="AP55" s="486">
        <f>SUM(AP20:AP54)</f>
        <v/>
      </c>
      <c r="AQ55" s="486">
        <f>SUM(AQ20:AQ54)</f>
        <v/>
      </c>
      <c r="AR55" s="486">
        <f>SUM(AR20:AR54)</f>
        <v/>
      </c>
      <c r="AS55" s="486">
        <f>SUM(AS20:AS54)</f>
        <v/>
      </c>
      <c r="AT55" s="486">
        <f>SUM(AT20:AT54)</f>
        <v/>
      </c>
      <c r="AU55" s="486">
        <f>SUM(AU20:AU54)</f>
        <v/>
      </c>
      <c r="AV55" s="486">
        <f>SUM(AV20:AV54)</f>
        <v/>
      </c>
      <c r="AW55" s="486">
        <f>SUM(AW20:AW54)</f>
        <v/>
      </c>
      <c r="AX55" s="486">
        <f>SUM(AX20:AX54)</f>
        <v/>
      </c>
      <c r="AY55" s="486">
        <f>SUM(AY20:AY54)</f>
        <v/>
      </c>
      <c r="AZ55" s="486">
        <f>SUM(AZ20:AZ54)</f>
        <v/>
      </c>
      <c r="BA55" s="486">
        <f>SUM(BA20:BA54)</f>
        <v/>
      </c>
      <c r="BB55" s="486">
        <f>SUM(BB20:BB54)</f>
        <v/>
      </c>
      <c r="BC55" s="486">
        <f>SUM(BC20:BC54)</f>
        <v/>
      </c>
      <c r="BD55" s="486">
        <f>SUM(BD20:BD54)</f>
        <v/>
      </c>
      <c r="BE55" s="486">
        <f>SUM(BE20:BE54)</f>
        <v/>
      </c>
      <c r="BF55" s="486">
        <f>SUM(BF20:BF54)</f>
        <v/>
      </c>
      <c r="BG55" s="486">
        <f>SUM(BG20:BG54)</f>
        <v/>
      </c>
      <c r="BH55" s="486">
        <f>SUM(BH20:BH54)</f>
        <v/>
      </c>
      <c r="BI55" s="486">
        <f>SUM(BI20:BI54)</f>
        <v/>
      </c>
      <c r="BJ55" s="486">
        <f>SUM(BJ20:BJ54)</f>
        <v/>
      </c>
      <c r="BK55" s="486">
        <f>SUM(BK20:BK54)</f>
        <v/>
      </c>
      <c r="BL55" s="486">
        <f>SUM(BL20:BL54)</f>
        <v/>
      </c>
      <c r="BM55" s="486">
        <f>SUM(BM20:BM54)</f>
        <v/>
      </c>
      <c r="BN55" s="486">
        <f>SUM(BN20:BN54)</f>
        <v/>
      </c>
      <c r="BO55" s="486">
        <f>SUM(BO20:BO54)</f>
        <v/>
      </c>
      <c r="BP55" s="486">
        <f>SUM(BP20:BP54)</f>
        <v/>
      </c>
      <c r="BQ55" s="486">
        <f>SUM(BQ20:BQ54)</f>
        <v/>
      </c>
      <c r="BR55" s="486">
        <f>SUM(BR20:BR54)</f>
        <v/>
      </c>
      <c r="BS55" s="486">
        <f>SUM(BS20:BS54)</f>
        <v/>
      </c>
      <c r="BT55" s="486">
        <f>SUM(BT20:BT54)</f>
        <v/>
      </c>
      <c r="BU55" s="486">
        <f>SUM(BU20:BU54)</f>
        <v/>
      </c>
      <c r="BV55" s="486">
        <f>SUM(BV20:BV54)</f>
        <v/>
      </c>
      <c r="BW55" s="486">
        <f>SUM(BW20:BW54)</f>
        <v/>
      </c>
      <c r="BX55" s="486">
        <f>SUM(BX20:BX54)</f>
        <v/>
      </c>
      <c r="BY55" s="486">
        <f>SUM(BY20:BY54)</f>
        <v/>
      </c>
      <c r="BZ55" s="486">
        <f>SUM(BZ20:BZ54)</f>
        <v/>
      </c>
      <c r="CA55" s="486">
        <f>SUM(CA20:CA54)</f>
        <v/>
      </c>
      <c r="CB55" s="486">
        <f>SUM(CB20:CB54)</f>
        <v/>
      </c>
      <c r="CC55" s="486">
        <f>SUM(CC20:CC54)</f>
        <v/>
      </c>
      <c r="CD55" s="486">
        <f>SUM(CD20:CD54)</f>
        <v/>
      </c>
      <c r="CE55" s="486">
        <f>SUM(CE20:CE54)</f>
        <v/>
      </c>
      <c r="CF55" s="486">
        <f>SUM(CF20:CF54)</f>
        <v/>
      </c>
      <c r="CG55" s="486">
        <f>SUM(CG20:CG54)</f>
        <v/>
      </c>
      <c r="CH55" s="486">
        <f>SUM(CH20:CH54)</f>
        <v/>
      </c>
      <c r="CI55" s="486">
        <f>SUM(CI20:CI54)</f>
        <v/>
      </c>
      <c r="CJ55" s="486">
        <f>SUM(CJ20:CJ54)</f>
        <v/>
      </c>
      <c r="CK55" s="486">
        <f>SUM(CK20:CK54)</f>
        <v/>
      </c>
      <c r="CL55" s="486">
        <f>SUM(CL20:CL54)</f>
        <v/>
      </c>
      <c r="CM55" s="486">
        <f>SUM(CM20:CM54)</f>
        <v/>
      </c>
      <c r="CN55" s="486">
        <f>SUM(CN20:CN54)</f>
        <v/>
      </c>
      <c r="CO55" s="486">
        <f>SUM(CO20:CO54)</f>
        <v/>
      </c>
      <c r="CP55" s="486">
        <f>SUM(CP20:CP54)</f>
        <v/>
      </c>
      <c r="CQ55" s="486">
        <f>SUM(CQ20:CQ54)</f>
        <v/>
      </c>
      <c r="CR55" s="486">
        <f>SUM(CR20:CR54)</f>
        <v/>
      </c>
      <c r="CS55" s="486">
        <f>SUM(CS20:CS54)</f>
        <v/>
      </c>
      <c r="CT55" s="486">
        <f>SUM(CT20:CT54)</f>
        <v/>
      </c>
    </row>
    <row r="56" ht="15" customFormat="1" customHeight="1" s="380">
      <c r="A56" s="476" t="n"/>
      <c r="C56" s="477" t="n"/>
      <c r="D56" s="477" t="n"/>
      <c r="E56" s="477" t="n"/>
      <c r="F56" s="477" t="n"/>
      <c r="G56" s="477" t="n"/>
      <c r="H56" s="477" t="n"/>
      <c r="I56" s="477" t="n"/>
      <c r="J56" s="477" t="n"/>
      <c r="K56" s="477" t="n"/>
      <c r="L56" s="477" t="n"/>
      <c r="M56" s="477" t="n"/>
      <c r="N56" s="477" t="n"/>
      <c r="O56" s="477" t="n"/>
      <c r="P56" s="477" t="n"/>
      <c r="Q56" s="477" t="n"/>
      <c r="R56" s="477" t="n"/>
      <c r="S56" s="477" t="n"/>
      <c r="T56" s="477" t="n"/>
      <c r="U56" s="477" t="n"/>
      <c r="V56" s="477" t="n"/>
      <c r="W56" s="477" t="n"/>
      <c r="X56" s="477" t="n"/>
      <c r="Y56" s="477" t="n"/>
      <c r="Z56" s="477" t="n"/>
      <c r="AA56" s="477" t="n"/>
      <c r="AB56" s="477" t="n"/>
      <c r="AC56" s="477" t="n"/>
      <c r="AD56" s="477" t="n"/>
      <c r="AE56" s="477" t="n"/>
      <c r="AF56" s="477" t="n"/>
      <c r="AG56" s="477" t="n"/>
      <c r="AH56" s="477" t="n"/>
      <c r="AI56" s="477" t="n"/>
      <c r="AJ56" s="477" t="n"/>
      <c r="AK56" s="477" t="n"/>
      <c r="AL56" s="477" t="n"/>
      <c r="AM56" s="477" t="n"/>
      <c r="AN56" s="477" t="n"/>
      <c r="AO56" s="477" t="n"/>
      <c r="AP56" s="477" t="n"/>
      <c r="AQ56" s="477" t="n"/>
      <c r="AR56" s="477" t="n"/>
      <c r="AS56" s="477" t="n"/>
      <c r="AT56" s="477" t="n"/>
      <c r="AU56" s="477" t="n"/>
      <c r="AV56" s="477" t="n"/>
      <c r="AW56" s="477" t="n"/>
      <c r="AX56" s="477" t="n"/>
      <c r="AY56" s="477" t="n"/>
      <c r="AZ56" s="477" t="n"/>
      <c r="BA56" s="477" t="n"/>
      <c r="BB56" s="477" t="n"/>
      <c r="BC56" s="477" t="n"/>
      <c r="BD56" s="477" t="n"/>
      <c r="BE56" s="477" t="n"/>
      <c r="BF56" s="477" t="n"/>
      <c r="BG56" s="477" t="n"/>
      <c r="BH56" s="477" t="n"/>
      <c r="BI56" s="477" t="n"/>
      <c r="BJ56" s="477" t="n"/>
      <c r="BK56" s="477" t="n"/>
      <c r="BL56" s="477" t="n"/>
      <c r="BM56" s="477" t="n"/>
      <c r="BN56" s="477" t="n"/>
      <c r="BO56" s="477" t="n"/>
      <c r="BP56" s="477" t="n"/>
      <c r="BQ56" s="477" t="n"/>
      <c r="BR56" s="477" t="n"/>
      <c r="BS56" s="477" t="n"/>
      <c r="BT56" s="477" t="n"/>
      <c r="BU56" s="477" t="n"/>
      <c r="BV56" s="477" t="n"/>
      <c r="BW56" s="477" t="n"/>
      <c r="BX56" s="477" t="n"/>
      <c r="BY56" s="477" t="n"/>
      <c r="BZ56" s="477" t="n"/>
      <c r="CA56" s="477" t="n"/>
      <c r="CB56" s="477" t="n"/>
      <c r="CC56" s="477" t="n"/>
      <c r="CD56" s="477" t="n"/>
      <c r="CE56" s="477" t="n"/>
      <c r="CF56" s="477" t="n"/>
      <c r="CG56" s="477" t="n"/>
      <c r="CH56" s="477" t="n"/>
      <c r="CI56" s="477" t="n"/>
      <c r="CJ56" s="477" t="n"/>
      <c r="CK56" s="477" t="n"/>
      <c r="CL56" s="477" t="n"/>
      <c r="CM56" s="477" t="n"/>
      <c r="CN56" s="477" t="n"/>
      <c r="CO56" s="477" t="n"/>
      <c r="CP56" s="477" t="n"/>
      <c r="CQ56" s="477" t="n"/>
      <c r="CR56" s="477" t="n"/>
      <c r="CS56" s="477" t="n"/>
      <c r="CT56" s="477" t="n"/>
    </row>
    <row r="57" ht="15" customFormat="1" customHeight="1" s="380">
      <c r="A57" s="480" t="inlineStr">
        <is>
          <t>GC Net Income</t>
        </is>
      </c>
      <c r="C57" s="487">
        <f>C17+C55</f>
        <v/>
      </c>
      <c r="D57" s="487">
        <f>D17+D55</f>
        <v/>
      </c>
      <c r="E57" s="487">
        <f>E17+E55</f>
        <v/>
      </c>
      <c r="F57" s="487">
        <f>F17+F55</f>
        <v/>
      </c>
      <c r="G57" s="487">
        <f>G17+G55</f>
        <v/>
      </c>
      <c r="H57" s="487">
        <f>H17+H55</f>
        <v/>
      </c>
      <c r="I57" s="487">
        <f>I17+I55</f>
        <v/>
      </c>
      <c r="J57" s="487">
        <f>J17+J55</f>
        <v/>
      </c>
      <c r="K57" s="487">
        <f>K17+K55</f>
        <v/>
      </c>
      <c r="L57" s="487">
        <f>L17+L55</f>
        <v/>
      </c>
      <c r="M57" s="487">
        <f>M17+M55</f>
        <v/>
      </c>
      <c r="N57" s="487">
        <f>N17+N55</f>
        <v/>
      </c>
      <c r="O57" s="487">
        <f>O17+O55</f>
        <v/>
      </c>
      <c r="P57" s="487">
        <f>P17+P55</f>
        <v/>
      </c>
      <c r="Q57" s="487">
        <f>Q17+Q55</f>
        <v/>
      </c>
      <c r="R57" s="487">
        <f>R17+R55</f>
        <v/>
      </c>
      <c r="S57" s="487">
        <f>S17+S55</f>
        <v/>
      </c>
      <c r="T57" s="487">
        <f>T17+T55</f>
        <v/>
      </c>
      <c r="U57" s="487">
        <f>U17+U55</f>
        <v/>
      </c>
      <c r="V57" s="487">
        <f>V17+V55</f>
        <v/>
      </c>
      <c r="W57" s="487">
        <f>W17+W55</f>
        <v/>
      </c>
      <c r="X57" s="487">
        <f>X17+X55</f>
        <v/>
      </c>
      <c r="Y57" s="487">
        <f>Y17+Y55</f>
        <v/>
      </c>
      <c r="Z57" s="487">
        <f>Z17+Z55</f>
        <v/>
      </c>
      <c r="AA57" s="487">
        <f>AA17+AA55</f>
        <v/>
      </c>
      <c r="AB57" s="487">
        <f>AB17+AB55</f>
        <v/>
      </c>
      <c r="AC57" s="487">
        <f>AC17+AC55</f>
        <v/>
      </c>
      <c r="AD57" s="487">
        <f>AD17+AD55</f>
        <v/>
      </c>
      <c r="AE57" s="487">
        <f>AE17+AE55</f>
        <v/>
      </c>
      <c r="AF57" s="487">
        <f>AF17+AF55</f>
        <v/>
      </c>
      <c r="AG57" s="487">
        <f>AG17+AG55</f>
        <v/>
      </c>
      <c r="AH57" s="487">
        <f>AH17+AH55</f>
        <v/>
      </c>
      <c r="AI57" s="487">
        <f>AI17+AI55</f>
        <v/>
      </c>
      <c r="AJ57" s="487">
        <f>AJ17+AJ55</f>
        <v/>
      </c>
      <c r="AK57" s="487">
        <f>AK17+AK55</f>
        <v/>
      </c>
      <c r="AL57" s="487">
        <f>AL17+AL55</f>
        <v/>
      </c>
      <c r="AM57" s="487">
        <f>AM17+AM55</f>
        <v/>
      </c>
      <c r="AN57" s="487">
        <f>AN17+AN55</f>
        <v/>
      </c>
      <c r="AO57" s="487">
        <f>AO17+AO55</f>
        <v/>
      </c>
      <c r="AP57" s="487">
        <f>AP17+AP55</f>
        <v/>
      </c>
      <c r="AQ57" s="487">
        <f>AQ17+AQ55</f>
        <v/>
      </c>
      <c r="AR57" s="487">
        <f>AR17+AR55</f>
        <v/>
      </c>
      <c r="AS57" s="487">
        <f>AS17+AS55</f>
        <v/>
      </c>
      <c r="AT57" s="487">
        <f>AT17+AT55</f>
        <v/>
      </c>
      <c r="AU57" s="487">
        <f>AU17+AU55</f>
        <v/>
      </c>
      <c r="AV57" s="487">
        <f>AV17+AV55</f>
        <v/>
      </c>
      <c r="AW57" s="487">
        <f>AW17+AW55</f>
        <v/>
      </c>
      <c r="AX57" s="487">
        <f>AX17+AX55</f>
        <v/>
      </c>
      <c r="AY57" s="487">
        <f>AY17+AY55</f>
        <v/>
      </c>
      <c r="AZ57" s="487">
        <f>AZ17+AZ55</f>
        <v/>
      </c>
      <c r="BA57" s="487">
        <f>BA17+BA55</f>
        <v/>
      </c>
      <c r="BB57" s="487">
        <f>BB17+BB55</f>
        <v/>
      </c>
      <c r="BC57" s="487">
        <f>BC17+BC55</f>
        <v/>
      </c>
      <c r="BD57" s="487">
        <f>BD17+BD55</f>
        <v/>
      </c>
      <c r="BE57" s="487">
        <f>BE17+BE55</f>
        <v/>
      </c>
      <c r="BF57" s="487">
        <f>BF17+BF55</f>
        <v/>
      </c>
      <c r="BG57" s="487">
        <f>BG17+BG55</f>
        <v/>
      </c>
      <c r="BH57" s="487">
        <f>BH17+BH55</f>
        <v/>
      </c>
      <c r="BI57" s="487">
        <f>BI17+BI55</f>
        <v/>
      </c>
      <c r="BJ57" s="487">
        <f>BJ17+BJ55</f>
        <v/>
      </c>
      <c r="BK57" s="487">
        <f>BK17+BK55</f>
        <v/>
      </c>
      <c r="BL57" s="487">
        <f>BL17+BL55</f>
        <v/>
      </c>
      <c r="BM57" s="487">
        <f>BM17+BM55</f>
        <v/>
      </c>
      <c r="BN57" s="487">
        <f>BN17+BN55</f>
        <v/>
      </c>
      <c r="BO57" s="487">
        <f>BO17+BO55</f>
        <v/>
      </c>
      <c r="BP57" s="487">
        <f>BP17+BP55</f>
        <v/>
      </c>
      <c r="BQ57" s="487">
        <f>BQ17+BQ55</f>
        <v/>
      </c>
      <c r="BR57" s="487">
        <f>BR17+BR55</f>
        <v/>
      </c>
      <c r="BS57" s="487">
        <f>BS17+BS55</f>
        <v/>
      </c>
      <c r="BT57" s="487">
        <f>BT17+BT55</f>
        <v/>
      </c>
      <c r="BU57" s="487">
        <f>BU17+BU55</f>
        <v/>
      </c>
      <c r="BV57" s="487">
        <f>BV17+BV55</f>
        <v/>
      </c>
      <c r="BW57" s="487">
        <f>BW17+BW55</f>
        <v/>
      </c>
      <c r="BX57" s="487">
        <f>BX17+BX55</f>
        <v/>
      </c>
      <c r="BY57" s="487">
        <f>BY17+BY55</f>
        <v/>
      </c>
      <c r="BZ57" s="487">
        <f>BZ17+BZ55</f>
        <v/>
      </c>
      <c r="CA57" s="487">
        <f>CA17+CA55</f>
        <v/>
      </c>
      <c r="CB57" s="487">
        <f>CB17+CB55</f>
        <v/>
      </c>
      <c r="CC57" s="487">
        <f>CC17+CC55</f>
        <v/>
      </c>
      <c r="CD57" s="487">
        <f>CD17+CD55</f>
        <v/>
      </c>
      <c r="CE57" s="487">
        <f>CE17+CE55</f>
        <v/>
      </c>
      <c r="CF57" s="487">
        <f>CF17+CF55</f>
        <v/>
      </c>
      <c r="CG57" s="487">
        <f>CG17+CG55</f>
        <v/>
      </c>
      <c r="CH57" s="487">
        <f>CH17+CH55</f>
        <v/>
      </c>
      <c r="CI57" s="487">
        <f>CI17+CI55</f>
        <v/>
      </c>
      <c r="CJ57" s="487">
        <f>CJ17+CJ55</f>
        <v/>
      </c>
      <c r="CK57" s="487">
        <f>CK17+CK55</f>
        <v/>
      </c>
      <c r="CL57" s="487">
        <f>CL17+CL55</f>
        <v/>
      </c>
      <c r="CM57" s="487">
        <f>CM17+CM55</f>
        <v/>
      </c>
      <c r="CN57" s="487">
        <f>CN17+CN55</f>
        <v/>
      </c>
      <c r="CO57" s="487">
        <f>CO17+CO55</f>
        <v/>
      </c>
      <c r="CP57" s="487">
        <f>CP17+CP55</f>
        <v/>
      </c>
      <c r="CQ57" s="487">
        <f>CQ17+CQ55</f>
        <v/>
      </c>
      <c r="CR57" s="487">
        <f>CR17+CR55</f>
        <v/>
      </c>
      <c r="CS57" s="487">
        <f>CS17+CS55</f>
        <v/>
      </c>
      <c r="CT57" s="487">
        <f>CT17+CT55</f>
        <v/>
      </c>
    </row>
    <row r="58" ht="15" customFormat="1" customHeight="1" s="380">
      <c r="A58" s="478" t="inlineStr">
        <is>
          <t>GC Net Profit Margin %</t>
        </is>
      </c>
      <c r="C58" s="481">
        <f>IFERROR(C57/C13,0)</f>
        <v/>
      </c>
      <c r="D58" s="481">
        <f>IFERROR(D57/D13,0)</f>
        <v/>
      </c>
      <c r="E58" s="481">
        <f>IFERROR(E57/E13,0)</f>
        <v/>
      </c>
      <c r="F58" s="481">
        <f>IFERROR(F57/F13,0)</f>
        <v/>
      </c>
      <c r="G58" s="481">
        <f>IFERROR(G57/G13,0)</f>
        <v/>
      </c>
      <c r="H58" s="481">
        <f>IFERROR(H57/H13,0)</f>
        <v/>
      </c>
      <c r="I58" s="481">
        <f>IFERROR(I57/I13,0)</f>
        <v/>
      </c>
      <c r="J58" s="481">
        <f>IFERROR(J57/J13,0)</f>
        <v/>
      </c>
      <c r="K58" s="481">
        <f>IFERROR(K57/K13,0)</f>
        <v/>
      </c>
      <c r="L58" s="481">
        <f>IFERROR(L57/L13,0)</f>
        <v/>
      </c>
      <c r="M58" s="481">
        <f>IFERROR(M57/M13,0)</f>
        <v/>
      </c>
      <c r="N58" s="481">
        <f>IFERROR(N57/N13,0)</f>
        <v/>
      </c>
      <c r="O58" s="481">
        <f>IFERROR(O57/O13,0)</f>
        <v/>
      </c>
      <c r="P58" s="481">
        <f>IFERROR(P57/P13,0)</f>
        <v/>
      </c>
      <c r="Q58" s="481">
        <f>IFERROR(Q57/Q13,0)</f>
        <v/>
      </c>
      <c r="R58" s="481">
        <f>IFERROR(R57/R13,0)</f>
        <v/>
      </c>
      <c r="S58" s="481">
        <f>IFERROR(S57/S13,0)</f>
        <v/>
      </c>
      <c r="T58" s="481">
        <f>IFERROR(T57/T13,0)</f>
        <v/>
      </c>
      <c r="U58" s="481">
        <f>IFERROR(U57/U13,0)</f>
        <v/>
      </c>
      <c r="V58" s="481">
        <f>IFERROR(V57/V13,0)</f>
        <v/>
      </c>
      <c r="W58" s="481">
        <f>IFERROR(W57/W13,0)</f>
        <v/>
      </c>
      <c r="X58" s="481">
        <f>IFERROR(X57/X13,0)</f>
        <v/>
      </c>
      <c r="Y58" s="481">
        <f>IFERROR(Y57/Y13,0)</f>
        <v/>
      </c>
      <c r="Z58" s="481">
        <f>IFERROR(Z57/Z13,0)</f>
        <v/>
      </c>
      <c r="AA58" s="481">
        <f>IFERROR(AA57/AA13,0)</f>
        <v/>
      </c>
      <c r="AB58" s="481">
        <f>IFERROR(AB57/AB13,0)</f>
        <v/>
      </c>
      <c r="AC58" s="481">
        <f>IFERROR(AC57/AC13,0)</f>
        <v/>
      </c>
      <c r="AD58" s="481">
        <f>IFERROR(AD57/AD13,0)</f>
        <v/>
      </c>
      <c r="AE58" s="481">
        <f>IFERROR(AE57/AE13,0)</f>
        <v/>
      </c>
      <c r="AF58" s="481">
        <f>IFERROR(AF57/AF13,0)</f>
        <v/>
      </c>
      <c r="AG58" s="481">
        <f>IFERROR(AG57/AG13,0)</f>
        <v/>
      </c>
      <c r="AH58" s="481">
        <f>IFERROR(AH57/AH13,0)</f>
        <v/>
      </c>
      <c r="AI58" s="481">
        <f>IFERROR(AI57/AI13,0)</f>
        <v/>
      </c>
      <c r="AJ58" s="481">
        <f>IFERROR(AJ57/AJ13,0)</f>
        <v/>
      </c>
      <c r="AK58" s="481">
        <f>IFERROR(AK57/AK13,0)</f>
        <v/>
      </c>
      <c r="AL58" s="481">
        <f>IFERROR(AL57/AL13,0)</f>
        <v/>
      </c>
      <c r="AM58" s="481">
        <f>IFERROR(AM57/AM13,0)</f>
        <v/>
      </c>
      <c r="AN58" s="481">
        <f>IFERROR(AN57/AN13,0)</f>
        <v/>
      </c>
      <c r="AO58" s="481">
        <f>IFERROR(AO57/AO13,0)</f>
        <v/>
      </c>
      <c r="AP58" s="481">
        <f>IFERROR(AP57/AP13,0)</f>
        <v/>
      </c>
      <c r="AQ58" s="481">
        <f>IFERROR(AQ57/AQ13,0)</f>
        <v/>
      </c>
      <c r="AR58" s="481">
        <f>IFERROR(AR57/AR13,0)</f>
        <v/>
      </c>
      <c r="AS58" s="481">
        <f>IFERROR(AS57/AS13,0)</f>
        <v/>
      </c>
      <c r="AT58" s="481">
        <f>IFERROR(AT57/AT13,0)</f>
        <v/>
      </c>
      <c r="AU58" s="481">
        <f>IFERROR(AU57/AU13,0)</f>
        <v/>
      </c>
      <c r="AV58" s="481">
        <f>IFERROR(AV57/AV13,0)</f>
        <v/>
      </c>
      <c r="AW58" s="481">
        <f>IFERROR(AW57/AW13,0)</f>
        <v/>
      </c>
      <c r="AX58" s="481">
        <f>IFERROR(AX57/AX13,0)</f>
        <v/>
      </c>
      <c r="AY58" s="481">
        <f>IFERROR(AY57/AY13,0)</f>
        <v/>
      </c>
      <c r="AZ58" s="481">
        <f>IFERROR(AZ57/AZ13,0)</f>
        <v/>
      </c>
      <c r="BA58" s="481">
        <f>IFERROR(BA57/BA13,0)</f>
        <v/>
      </c>
      <c r="BB58" s="481">
        <f>IFERROR(BB57/BB13,0)</f>
        <v/>
      </c>
      <c r="BC58" s="481">
        <f>IFERROR(BC57/BC13,0)</f>
        <v/>
      </c>
      <c r="BD58" s="481">
        <f>IFERROR(BD57/BD13,0)</f>
        <v/>
      </c>
      <c r="BE58" s="481">
        <f>IFERROR(BE57/BE13,0)</f>
        <v/>
      </c>
      <c r="BF58" s="481">
        <f>IFERROR(BF57/BF13,0)</f>
        <v/>
      </c>
      <c r="BG58" s="481">
        <f>IFERROR(BG57/BG13,0)</f>
        <v/>
      </c>
      <c r="BH58" s="481">
        <f>IFERROR(BH57/BH13,0)</f>
        <v/>
      </c>
      <c r="BI58" s="481">
        <f>IFERROR(BI57/BI13,0)</f>
        <v/>
      </c>
      <c r="BJ58" s="481">
        <f>IFERROR(BJ57/BJ13,0)</f>
        <v/>
      </c>
      <c r="BK58" s="481">
        <f>IFERROR(BK57/BK13,0)</f>
        <v/>
      </c>
      <c r="BL58" s="481">
        <f>IFERROR(BL57/BL13,0)</f>
        <v/>
      </c>
      <c r="BM58" s="481">
        <f>IFERROR(BM57/BM13,0)</f>
        <v/>
      </c>
      <c r="BN58" s="481">
        <f>IFERROR(BN57/BN13,0)</f>
        <v/>
      </c>
      <c r="BO58" s="481">
        <f>IFERROR(BO57/BO13,0)</f>
        <v/>
      </c>
      <c r="BP58" s="481">
        <f>IFERROR(BP57/BP13,0)</f>
        <v/>
      </c>
      <c r="BQ58" s="481">
        <f>IFERROR(BQ57/BQ13,0)</f>
        <v/>
      </c>
      <c r="BR58" s="481">
        <f>IFERROR(BR57/BR13,0)</f>
        <v/>
      </c>
      <c r="BS58" s="481">
        <f>IFERROR(BS57/BS13,0)</f>
        <v/>
      </c>
      <c r="BT58" s="481">
        <f>IFERROR(BT57/BT13,0)</f>
        <v/>
      </c>
      <c r="BU58" s="481">
        <f>IFERROR(BU57/BU13,0)</f>
        <v/>
      </c>
      <c r="BV58" s="481">
        <f>IFERROR(BV57/BV13,0)</f>
        <v/>
      </c>
      <c r="BW58" s="481">
        <f>IFERROR(BW57/BW13,0)</f>
        <v/>
      </c>
      <c r="BX58" s="481">
        <f>IFERROR(BX57/BX13,0)</f>
        <v/>
      </c>
      <c r="BY58" s="481">
        <f>IFERROR(BY57/BY13,0)</f>
        <v/>
      </c>
      <c r="BZ58" s="481">
        <f>IFERROR(BZ57/BZ13,0)</f>
        <v/>
      </c>
      <c r="CA58" s="481">
        <f>IFERROR(CA57/CA13,0)</f>
        <v/>
      </c>
      <c r="CB58" s="481">
        <f>IFERROR(CB57/CB13,0)</f>
        <v/>
      </c>
      <c r="CC58" s="481">
        <f>IFERROR(CC57/CC13,0)</f>
        <v/>
      </c>
      <c r="CD58" s="481">
        <f>IFERROR(CD57/CD13,0)</f>
        <v/>
      </c>
      <c r="CE58" s="481">
        <f>IFERROR(CE57/CE13,0)</f>
        <v/>
      </c>
      <c r="CF58" s="481">
        <f>IFERROR(CF57/CF13,0)</f>
        <v/>
      </c>
      <c r="CG58" s="481">
        <f>IFERROR(CG57/CG13,0)</f>
        <v/>
      </c>
      <c r="CH58" s="481">
        <f>IFERROR(CH57/CH13,0)</f>
        <v/>
      </c>
      <c r="CI58" s="481">
        <f>IFERROR(CI57/CI13,0)</f>
        <v/>
      </c>
      <c r="CJ58" s="481">
        <f>IFERROR(CJ57/CJ13,0)</f>
        <v/>
      </c>
      <c r="CK58" s="481">
        <f>IFERROR(CK57/CK13,0)</f>
        <v/>
      </c>
      <c r="CL58" s="481">
        <f>IFERROR(CL57/CL13,0)</f>
        <v/>
      </c>
      <c r="CM58" s="481">
        <f>IFERROR(CM57/CM13,0)</f>
        <v/>
      </c>
      <c r="CN58" s="481">
        <f>IFERROR(CN57/CN13,0)</f>
        <v/>
      </c>
      <c r="CO58" s="481">
        <f>IFERROR(CO57/CO13,0)</f>
        <v/>
      </c>
      <c r="CP58" s="481">
        <f>IFERROR(CP57/CP13,0)</f>
        <v/>
      </c>
      <c r="CQ58" s="481">
        <f>IFERROR(CQ57/CQ13,0)</f>
        <v/>
      </c>
      <c r="CR58" s="481">
        <f>IFERROR(CR57/CR13,0)</f>
        <v/>
      </c>
      <c r="CS58" s="481">
        <f>IFERROR(CS57/CS13,0)</f>
        <v/>
      </c>
      <c r="CT58" s="481">
        <f>IFERROR(CT57/CT13,0)</f>
        <v/>
      </c>
    </row>
    <row r="59" ht="15" customFormat="1" customHeight="1" s="380">
      <c r="A59" s="476" t="n"/>
      <c r="C59" s="477" t="n"/>
      <c r="D59" s="477" t="n"/>
      <c r="E59" s="477" t="n"/>
      <c r="F59" s="477" t="n"/>
      <c r="G59" s="477" t="n"/>
      <c r="H59" s="477" t="n"/>
      <c r="I59" s="477" t="n"/>
      <c r="J59" s="477" t="n"/>
      <c r="K59" s="477" t="n"/>
      <c r="L59" s="477" t="n"/>
      <c r="M59" s="477" t="n"/>
      <c r="N59" s="477" t="n"/>
      <c r="O59" s="477" t="n"/>
      <c r="P59" s="477" t="n"/>
      <c r="Q59" s="477" t="n"/>
      <c r="R59" s="477" t="n"/>
      <c r="S59" s="477" t="n"/>
      <c r="T59" s="477" t="n"/>
      <c r="U59" s="477" t="n"/>
      <c r="V59" s="477" t="n"/>
      <c r="W59" s="477" t="n"/>
      <c r="X59" s="477" t="n"/>
      <c r="Y59" s="477" t="n"/>
      <c r="Z59" s="477" t="n"/>
      <c r="AA59" s="477" t="n"/>
      <c r="AB59" s="477" t="n"/>
      <c r="AC59" s="477" t="n"/>
      <c r="AD59" s="477" t="n"/>
      <c r="AE59" s="477" t="n"/>
      <c r="AF59" s="477" t="n"/>
      <c r="AG59" s="477" t="n"/>
      <c r="AH59" s="477" t="n"/>
      <c r="AI59" s="477" t="n"/>
      <c r="AJ59" s="477" t="n"/>
      <c r="AK59" s="477" t="n"/>
      <c r="AL59" s="477" t="n"/>
      <c r="AM59" s="477" t="n"/>
      <c r="AN59" s="477" t="n"/>
      <c r="AO59" s="477" t="n"/>
      <c r="AP59" s="477" t="n"/>
      <c r="AQ59" s="477" t="n"/>
      <c r="AR59" s="477" t="n"/>
      <c r="AS59" s="477" t="n"/>
      <c r="AT59" s="477" t="n"/>
      <c r="AU59" s="477" t="n"/>
      <c r="AV59" s="477" t="n"/>
      <c r="AW59" s="477" t="n"/>
      <c r="AX59" s="477" t="n"/>
      <c r="AY59" s="477" t="n"/>
      <c r="AZ59" s="477" t="n"/>
      <c r="BA59" s="477" t="n"/>
      <c r="BB59" s="477" t="n"/>
      <c r="BC59" s="477" t="n"/>
      <c r="BD59" s="477" t="n"/>
      <c r="BE59" s="477" t="n"/>
      <c r="BF59" s="477" t="n"/>
      <c r="BG59" s="477" t="n"/>
      <c r="BH59" s="477" t="n"/>
      <c r="BI59" s="477" t="n"/>
      <c r="BJ59" s="477" t="n"/>
      <c r="BK59" s="477" t="n"/>
      <c r="BL59" s="477" t="n"/>
      <c r="BM59" s="477" t="n"/>
      <c r="BN59" s="477" t="n"/>
      <c r="BO59" s="477" t="n"/>
      <c r="BP59" s="477" t="n"/>
      <c r="BQ59" s="477" t="n"/>
      <c r="BR59" s="477" t="n"/>
      <c r="BS59" s="477" t="n"/>
      <c r="BT59" s="477" t="n"/>
      <c r="BU59" s="477" t="n"/>
      <c r="BV59" s="477" t="n"/>
      <c r="BW59" s="477" t="n"/>
      <c r="BX59" s="477" t="n"/>
      <c r="BY59" s="477" t="n"/>
      <c r="BZ59" s="477" t="n"/>
      <c r="CA59" s="477" t="n"/>
      <c r="CB59" s="477" t="n"/>
      <c r="CC59" s="477" t="n"/>
      <c r="CD59" s="477" t="n"/>
      <c r="CE59" s="477" t="n"/>
      <c r="CF59" s="477" t="n"/>
      <c r="CG59" s="477" t="n"/>
      <c r="CH59" s="477" t="n"/>
      <c r="CI59" s="477" t="n"/>
      <c r="CJ59" s="477" t="n"/>
      <c r="CK59" s="477" t="n"/>
      <c r="CL59" s="477" t="n"/>
      <c r="CM59" s="477" t="n"/>
      <c r="CN59" s="477" t="n"/>
      <c r="CO59" s="477" t="n"/>
      <c r="CP59" s="477" t="n"/>
      <c r="CQ59" s="477" t="n"/>
      <c r="CR59" s="477" t="n"/>
      <c r="CS59" s="477" t="n"/>
      <c r="CT59" s="477" t="n"/>
    </row>
    <row r="60" ht="15" customFormat="1" customHeight="1" s="380">
      <c r="A60" s="476" t="n"/>
      <c r="C60" s="477" t="n"/>
      <c r="D60" s="477" t="n"/>
      <c r="E60" s="477" t="n"/>
      <c r="F60" s="477" t="n"/>
      <c r="G60" s="477" t="n"/>
      <c r="H60" s="477" t="n"/>
      <c r="I60" s="477" t="n"/>
      <c r="J60" s="477" t="n"/>
      <c r="K60" s="477" t="n"/>
      <c r="L60" s="477" t="n"/>
      <c r="M60" s="477" t="n"/>
      <c r="N60" s="477" t="n"/>
      <c r="O60" s="477" t="n"/>
      <c r="P60" s="477" t="n"/>
      <c r="Q60" s="477" t="n"/>
      <c r="R60" s="477" t="n"/>
      <c r="S60" s="477" t="n"/>
      <c r="T60" s="477" t="n"/>
      <c r="U60" s="477" t="n"/>
      <c r="V60" s="477" t="n"/>
      <c r="W60" s="477" t="n"/>
      <c r="X60" s="477" t="n"/>
      <c r="Y60" s="477" t="n"/>
      <c r="Z60" s="477" t="n"/>
      <c r="AA60" s="477" t="n"/>
      <c r="AB60" s="477" t="n"/>
      <c r="AC60" s="477" t="n"/>
      <c r="AD60" s="477" t="n"/>
      <c r="AE60" s="477" t="n"/>
      <c r="AF60" s="477" t="n"/>
      <c r="AG60" s="477" t="n"/>
      <c r="AH60" s="477" t="n"/>
      <c r="AI60" s="477" t="n"/>
      <c r="AJ60" s="477" t="n"/>
      <c r="AK60" s="477" t="n"/>
      <c r="AL60" s="477" t="n"/>
      <c r="AM60" s="477" t="n"/>
      <c r="AN60" s="477" t="n"/>
      <c r="AO60" s="477" t="n"/>
      <c r="AP60" s="477" t="n"/>
      <c r="AQ60" s="477" t="n"/>
      <c r="AR60" s="477" t="n"/>
      <c r="AS60" s="477" t="n"/>
      <c r="AT60" s="477" t="n"/>
      <c r="AU60" s="477" t="n"/>
      <c r="AV60" s="477" t="n"/>
      <c r="AW60" s="477" t="n"/>
      <c r="AX60" s="477" t="n"/>
      <c r="AY60" s="477" t="n"/>
      <c r="AZ60" s="477" t="n"/>
      <c r="BA60" s="477" t="n"/>
      <c r="BB60" s="477" t="n"/>
      <c r="BC60" s="477" t="n"/>
      <c r="BD60" s="477" t="n"/>
      <c r="BE60" s="477" t="n"/>
      <c r="BF60" s="477" t="n"/>
      <c r="BG60" s="477" t="n"/>
      <c r="BH60" s="477" t="n"/>
      <c r="BI60" s="477" t="n"/>
      <c r="BJ60" s="477" t="n"/>
      <c r="BK60" s="477" t="n"/>
      <c r="BL60" s="477" t="n"/>
      <c r="BM60" s="477" t="n"/>
      <c r="BN60" s="477" t="n"/>
      <c r="BO60" s="477" t="n"/>
      <c r="BP60" s="477" t="n"/>
      <c r="BQ60" s="477" t="n"/>
      <c r="BR60" s="477" t="n"/>
      <c r="BS60" s="477" t="n"/>
      <c r="BT60" s="477" t="n"/>
      <c r="BU60" s="477" t="n"/>
      <c r="BV60" s="477" t="n"/>
      <c r="BW60" s="477" t="n"/>
      <c r="BX60" s="477" t="n"/>
      <c r="BY60" s="477" t="n"/>
      <c r="BZ60" s="477" t="n"/>
      <c r="CA60" s="477" t="n"/>
      <c r="CB60" s="477" t="n"/>
      <c r="CC60" s="477" t="n"/>
      <c r="CD60" s="477" t="n"/>
      <c r="CE60" s="477" t="n"/>
      <c r="CF60" s="477" t="n"/>
      <c r="CG60" s="477" t="n"/>
      <c r="CH60" s="477" t="n"/>
      <c r="CI60" s="477" t="n"/>
      <c r="CJ60" s="477" t="n"/>
      <c r="CK60" s="477" t="n"/>
      <c r="CL60" s="477" t="n"/>
      <c r="CM60" s="477" t="n"/>
      <c r="CN60" s="477" t="n"/>
      <c r="CO60" s="477" t="n"/>
      <c r="CP60" s="477" t="n"/>
      <c r="CQ60" s="477" t="n"/>
      <c r="CR60" s="477" t="n"/>
      <c r="CS60" s="477" t="n"/>
      <c r="CT60" s="477" t="n"/>
    </row>
    <row r="61" ht="15" customFormat="1" customHeight="1" s="380">
      <c r="A61" s="476" t="n"/>
      <c r="C61" s="477" t="n"/>
      <c r="D61" s="477" t="n"/>
      <c r="E61" s="477" t="n"/>
      <c r="F61" s="477" t="n"/>
      <c r="G61" s="477" t="n"/>
      <c r="H61" s="477" t="n"/>
      <c r="I61" s="477" t="n"/>
      <c r="J61" s="477" t="n"/>
      <c r="K61" s="477" t="n"/>
      <c r="L61" s="477" t="n"/>
      <c r="M61" s="477" t="n"/>
      <c r="N61" s="477" t="n"/>
      <c r="O61" s="477" t="n"/>
      <c r="P61" s="477" t="n"/>
      <c r="Q61" s="477" t="n"/>
      <c r="R61" s="477" t="n"/>
      <c r="S61" s="477" t="n"/>
      <c r="T61" s="477" t="n"/>
      <c r="U61" s="477" t="n"/>
      <c r="V61" s="477" t="n"/>
      <c r="W61" s="477" t="n"/>
      <c r="X61" s="477" t="n"/>
      <c r="Y61" s="477" t="n"/>
      <c r="Z61" s="477" t="n"/>
      <c r="AA61" s="477" t="n"/>
      <c r="AB61" s="477" t="n"/>
      <c r="AC61" s="477" t="n"/>
      <c r="AD61" s="477" t="n"/>
      <c r="AE61" s="477" t="n"/>
      <c r="AF61" s="477" t="n"/>
      <c r="AG61" s="477" t="n"/>
      <c r="AH61" s="477" t="n"/>
      <c r="AI61" s="477" t="n"/>
      <c r="AJ61" s="477" t="n"/>
      <c r="AK61" s="477" t="n"/>
      <c r="AL61" s="477" t="n"/>
      <c r="AM61" s="477" t="n"/>
      <c r="AN61" s="477" t="n"/>
      <c r="AO61" s="477" t="n"/>
      <c r="AP61" s="477" t="n"/>
      <c r="AQ61" s="477" t="n"/>
      <c r="AR61" s="477" t="n"/>
      <c r="AS61" s="477" t="n"/>
      <c r="AT61" s="477" t="n"/>
      <c r="AU61" s="477" t="n"/>
      <c r="AV61" s="477" t="n"/>
      <c r="AW61" s="477" t="n"/>
      <c r="AX61" s="477" t="n"/>
      <c r="AY61" s="477" t="n"/>
      <c r="AZ61" s="477" t="n"/>
      <c r="BA61" s="477" t="n"/>
      <c r="BB61" s="477" t="n"/>
      <c r="BC61" s="477" t="n"/>
      <c r="BD61" s="477" t="n"/>
      <c r="BE61" s="477" t="n"/>
      <c r="BF61" s="477" t="n"/>
      <c r="BG61" s="477" t="n"/>
      <c r="BH61" s="477" t="n"/>
      <c r="BI61" s="477" t="n"/>
      <c r="BJ61" s="477" t="n"/>
      <c r="BK61" s="477" t="n"/>
      <c r="BL61" s="477" t="n"/>
      <c r="BM61" s="477" t="n"/>
      <c r="BN61" s="477" t="n"/>
      <c r="BO61" s="477" t="n"/>
      <c r="BP61" s="477" t="n"/>
      <c r="BQ61" s="477" t="n"/>
      <c r="BR61" s="477" t="n"/>
      <c r="BS61" s="477" t="n"/>
      <c r="BT61" s="477" t="n"/>
      <c r="BU61" s="477" t="n"/>
      <c r="BV61" s="477" t="n"/>
      <c r="BW61" s="477" t="n"/>
      <c r="BX61" s="477" t="n"/>
      <c r="BY61" s="477" t="n"/>
      <c r="BZ61" s="477" t="n"/>
      <c r="CA61" s="477" t="n"/>
      <c r="CB61" s="477" t="n"/>
      <c r="CC61" s="477" t="n"/>
      <c r="CD61" s="477" t="n"/>
      <c r="CE61" s="477" t="n"/>
      <c r="CF61" s="477" t="n"/>
      <c r="CG61" s="477" t="n"/>
      <c r="CH61" s="477" t="n"/>
      <c r="CI61" s="477" t="n"/>
      <c r="CJ61" s="477" t="n"/>
      <c r="CK61" s="477" t="n"/>
      <c r="CL61" s="477" t="n"/>
      <c r="CM61" s="477" t="n"/>
      <c r="CN61" s="477" t="n"/>
      <c r="CO61" s="477" t="n"/>
      <c r="CP61" s="477" t="n"/>
      <c r="CQ61" s="477" t="n"/>
      <c r="CR61" s="477" t="n"/>
      <c r="CS61" s="477" t="n"/>
      <c r="CT61" s="477" t="n"/>
    </row>
    <row r="62" ht="15" customFormat="1" customHeight="1" s="380">
      <c r="A62" s="476" t="n"/>
      <c r="C62" s="477" t="n"/>
      <c r="D62" s="477" t="n"/>
      <c r="E62" s="477" t="n"/>
      <c r="F62" s="477" t="n"/>
      <c r="G62" s="477" t="n"/>
      <c r="H62" s="477" t="n"/>
      <c r="I62" s="477" t="n"/>
      <c r="J62" s="477" t="n"/>
      <c r="K62" s="477" t="n"/>
      <c r="L62" s="477" t="n"/>
      <c r="M62" s="477" t="n"/>
      <c r="N62" s="477" t="n"/>
      <c r="O62" s="477" t="n"/>
      <c r="P62" s="477" t="n"/>
      <c r="Q62" s="477" t="n"/>
      <c r="R62" s="477" t="n"/>
      <c r="S62" s="477" t="n"/>
      <c r="T62" s="477" t="n"/>
      <c r="U62" s="477" t="n"/>
      <c r="V62" s="477" t="n"/>
      <c r="W62" s="477" t="n"/>
      <c r="X62" s="477" t="n"/>
      <c r="Y62" s="477" t="n"/>
      <c r="Z62" s="477" t="n"/>
      <c r="AA62" s="477" t="n"/>
      <c r="AB62" s="477" t="n"/>
      <c r="AC62" s="477" t="n"/>
      <c r="AD62" s="477" t="n"/>
      <c r="AE62" s="477" t="n"/>
      <c r="AF62" s="477" t="n"/>
      <c r="AG62" s="477" t="n"/>
      <c r="AH62" s="477" t="n"/>
      <c r="AI62" s="477" t="n"/>
      <c r="AJ62" s="477" t="n"/>
      <c r="AK62" s="477" t="n"/>
      <c r="AL62" s="477" t="n"/>
      <c r="AM62" s="477" t="n"/>
      <c r="AN62" s="477" t="n"/>
      <c r="AO62" s="477" t="n"/>
      <c r="AP62" s="477" t="n"/>
      <c r="AQ62" s="477" t="n"/>
      <c r="AR62" s="477" t="n"/>
      <c r="AS62" s="477" t="n"/>
      <c r="AT62" s="477" t="n"/>
      <c r="AU62" s="477" t="n"/>
      <c r="AV62" s="477" t="n"/>
      <c r="AW62" s="477" t="n"/>
      <c r="AX62" s="477" t="n"/>
      <c r="AY62" s="477" t="n"/>
      <c r="AZ62" s="477" t="n"/>
      <c r="BA62" s="477" t="n"/>
      <c r="BB62" s="477" t="n"/>
      <c r="BC62" s="477" t="n"/>
      <c r="BD62" s="477" t="n"/>
      <c r="BE62" s="477" t="n"/>
      <c r="BF62" s="477" t="n"/>
      <c r="BG62" s="477" t="n"/>
      <c r="BH62" s="477" t="n"/>
      <c r="BI62" s="477" t="n"/>
      <c r="BJ62" s="477" t="n"/>
      <c r="BK62" s="477" t="n"/>
      <c r="BL62" s="477" t="n"/>
      <c r="BM62" s="477" t="n"/>
      <c r="BN62" s="477" t="n"/>
      <c r="BO62" s="477" t="n"/>
      <c r="BP62" s="477" t="n"/>
      <c r="BQ62" s="477" t="n"/>
      <c r="BR62" s="477" t="n"/>
      <c r="BS62" s="477" t="n"/>
      <c r="BT62" s="477" t="n"/>
      <c r="BU62" s="477" t="n"/>
      <c r="BV62" s="477" t="n"/>
      <c r="BW62" s="477" t="n"/>
      <c r="BX62" s="477" t="n"/>
      <c r="BY62" s="477" t="n"/>
      <c r="BZ62" s="477" t="n"/>
      <c r="CA62" s="477" t="n"/>
      <c r="CB62" s="477" t="n"/>
      <c r="CC62" s="477" t="n"/>
      <c r="CD62" s="477" t="n"/>
      <c r="CE62" s="477" t="n"/>
      <c r="CF62" s="477" t="n"/>
      <c r="CG62" s="477" t="n"/>
      <c r="CH62" s="477" t="n"/>
      <c r="CI62" s="477" t="n"/>
      <c r="CJ62" s="477" t="n"/>
      <c r="CK62" s="477" t="n"/>
      <c r="CL62" s="477" t="n"/>
      <c r="CM62" s="477" t="n"/>
      <c r="CN62" s="477" t="n"/>
      <c r="CO62" s="477" t="n"/>
      <c r="CP62" s="477" t="n"/>
      <c r="CQ62" s="477" t="n"/>
      <c r="CR62" s="477" t="n"/>
      <c r="CS62" s="477" t="n"/>
      <c r="CT62" s="477" t="n"/>
    </row>
    <row r="63" ht="15" customFormat="1" customHeight="1" s="380">
      <c r="A63" s="476" t="inlineStr">
        <is>
          <t>Non-Cash Revenue Items</t>
        </is>
      </c>
      <c r="C63" s="477" t="n"/>
      <c r="D63" s="477" t="n"/>
      <c r="E63" s="477" t="n"/>
      <c r="F63" s="477" t="n"/>
      <c r="G63" s="477" t="n"/>
      <c r="H63" s="477" t="n">
        <v>299000</v>
      </c>
      <c r="I63" s="477" t="n">
        <v>0</v>
      </c>
      <c r="J63" s="477" t="n"/>
      <c r="K63" s="477" t="n"/>
      <c r="L63" s="477" t="n"/>
      <c r="M63" s="477" t="n"/>
      <c r="N63" s="477" t="n"/>
      <c r="O63" s="477" t="n"/>
      <c r="P63" s="477" t="n"/>
      <c r="Q63" s="477" t="n"/>
      <c r="R63" s="477" t="n"/>
      <c r="S63" s="477" t="n"/>
      <c r="T63" s="477" t="n"/>
      <c r="U63" s="477" t="n"/>
      <c r="V63" s="477" t="n"/>
      <c r="W63" s="477" t="n"/>
      <c r="X63" s="477" t="n"/>
      <c r="Y63" s="477" t="n"/>
      <c r="Z63" s="477" t="n"/>
      <c r="AA63" s="477" t="n"/>
      <c r="AB63" s="477" t="n"/>
      <c r="AC63" s="477" t="n"/>
      <c r="AD63" s="477" t="n"/>
      <c r="AE63" s="477" t="n"/>
      <c r="AF63" s="477" t="n"/>
      <c r="AG63" s="477" t="n"/>
      <c r="AH63" s="477" t="n"/>
      <c r="AI63" s="477" t="n"/>
      <c r="AJ63" s="477" t="n"/>
      <c r="AK63" s="477" t="n"/>
      <c r="AL63" s="477" t="n"/>
      <c r="AM63" s="477" t="n"/>
      <c r="AN63" s="477" t="n"/>
      <c r="AO63" s="477" t="n"/>
      <c r="AP63" s="477" t="n"/>
      <c r="AQ63" s="477" t="n"/>
      <c r="AR63" s="477" t="n"/>
      <c r="AS63" s="477" t="n"/>
      <c r="AT63" s="477" t="n"/>
      <c r="AU63" s="477" t="n"/>
      <c r="AV63" s="477" t="n"/>
      <c r="AW63" s="477" t="n"/>
      <c r="AX63" s="477" t="n"/>
      <c r="AY63" s="477" t="n"/>
      <c r="AZ63" s="477" t="n"/>
      <c r="BA63" s="477" t="n"/>
      <c r="BB63" s="477" t="n"/>
      <c r="BC63" s="477" t="n"/>
      <c r="BD63" s="477" t="n"/>
      <c r="BE63" s="477" t="n"/>
      <c r="BF63" s="477" t="n"/>
      <c r="BG63" s="477" t="n"/>
      <c r="BH63" s="477" t="n"/>
      <c r="BI63" s="477" t="n"/>
      <c r="BJ63" s="477" t="n"/>
      <c r="BK63" s="477" t="n"/>
      <c r="BL63" s="477" t="n"/>
      <c r="BM63" s="477" t="n"/>
      <c r="BN63" s="477" t="n"/>
      <c r="BO63" s="477" t="n"/>
      <c r="BP63" s="477" t="n"/>
      <c r="BQ63" s="477" t="n"/>
      <c r="BR63" s="477" t="n"/>
      <c r="BS63" s="477" t="n"/>
      <c r="BT63" s="477" t="n"/>
      <c r="BU63" s="477" t="n"/>
      <c r="BV63" s="477" t="n"/>
      <c r="BW63" s="477" t="n"/>
      <c r="BX63" s="477" t="n"/>
      <c r="BY63" s="477" t="n"/>
      <c r="BZ63" s="477" t="n"/>
      <c r="CA63" s="477" t="n"/>
      <c r="CB63" s="477" t="n"/>
      <c r="CC63" s="477" t="n"/>
      <c r="CD63" s="477" t="n"/>
      <c r="CE63" s="477" t="n"/>
      <c r="CF63" s="477" t="n"/>
      <c r="CG63" s="477" t="n"/>
      <c r="CH63" s="477" t="n"/>
      <c r="CI63" s="477" t="n"/>
      <c r="CJ63" s="477" t="n"/>
      <c r="CK63" s="477" t="n"/>
      <c r="CL63" s="477" t="n"/>
      <c r="CM63" s="477" t="n"/>
      <c r="CN63" s="477" t="n"/>
      <c r="CO63" s="477" t="n"/>
      <c r="CP63" s="477" t="n"/>
      <c r="CQ63" s="477" t="n"/>
      <c r="CR63" s="477" t="n"/>
      <c r="CS63" s="477" t="n"/>
      <c r="CT63" s="477" t="n"/>
    </row>
    <row r="64" ht="15" customFormat="1" customHeight="1" s="380">
      <c r="A64" s="476" t="inlineStr">
        <is>
          <t>Edgemont Management Fee</t>
        </is>
      </c>
      <c r="C64" s="477" t="n">
        <v>833.33</v>
      </c>
      <c r="D64" s="477" t="n">
        <v>833.33</v>
      </c>
      <c r="E64" s="477" t="n">
        <v>833.33</v>
      </c>
      <c r="F64" s="477" t="n">
        <v>833.33</v>
      </c>
      <c r="G64" s="477" t="n">
        <v>833.33</v>
      </c>
      <c r="H64" s="477" t="n">
        <v>833.33</v>
      </c>
      <c r="I64" s="477" t="n">
        <v>833.33</v>
      </c>
      <c r="J64" s="477" t="n"/>
      <c r="K64" s="477" t="n"/>
      <c r="L64" s="477" t="n"/>
      <c r="M64" s="477" t="n"/>
      <c r="N64" s="477" t="n"/>
      <c r="O64" s="477" t="n"/>
      <c r="P64" s="477" t="n"/>
      <c r="Q64" s="477" t="n"/>
      <c r="R64" s="477" t="n"/>
      <c r="S64" s="477" t="n"/>
      <c r="T64" s="477" t="n"/>
      <c r="U64" s="477" t="n"/>
      <c r="V64" s="477" t="n"/>
      <c r="W64" s="477" t="n"/>
      <c r="X64" s="477" t="n"/>
      <c r="Y64" s="477" t="n"/>
      <c r="Z64" s="477" t="n"/>
      <c r="AA64" s="477" t="n"/>
      <c r="AB64" s="477" t="n"/>
      <c r="AC64" s="477" t="n"/>
      <c r="AD64" s="477" t="n"/>
      <c r="AE64" s="477" t="n"/>
      <c r="AF64" s="477" t="n"/>
      <c r="AG64" s="477" t="n"/>
      <c r="AH64" s="477" t="n"/>
      <c r="AI64" s="477" t="n"/>
      <c r="AJ64" s="477" t="n"/>
      <c r="AK64" s="477" t="n"/>
      <c r="AL64" s="477" t="n"/>
      <c r="AM64" s="477" t="n"/>
      <c r="AN64" s="477" t="n"/>
      <c r="AO64" s="477" t="n"/>
      <c r="AP64" s="477" t="n"/>
      <c r="AQ64" s="477" t="n"/>
      <c r="AR64" s="477" t="n"/>
      <c r="AS64" s="477" t="n"/>
      <c r="AT64" s="477" t="n"/>
      <c r="AU64" s="477" t="n"/>
      <c r="AV64" s="477" t="n"/>
      <c r="AW64" s="477" t="n"/>
      <c r="AX64" s="477" t="n"/>
      <c r="AY64" s="477" t="n"/>
      <c r="AZ64" s="477" t="n"/>
      <c r="BA64" s="477" t="n"/>
      <c r="BB64" s="477" t="n"/>
      <c r="BC64" s="477" t="n"/>
      <c r="BD64" s="477" t="n"/>
      <c r="BE64" s="477" t="n"/>
      <c r="BF64" s="477" t="n"/>
      <c r="BG64" s="477" t="n"/>
      <c r="BH64" s="477" t="n"/>
      <c r="BI64" s="477" t="n"/>
      <c r="BJ64" s="477" t="n"/>
      <c r="BK64" s="477" t="n"/>
      <c r="BL64" s="477" t="n"/>
      <c r="BM64" s="477" t="n"/>
      <c r="BN64" s="477" t="n"/>
      <c r="BO64" s="477" t="n"/>
      <c r="BP64" s="477" t="n"/>
      <c r="BQ64" s="477" t="n"/>
      <c r="BR64" s="477" t="n"/>
      <c r="BS64" s="477" t="n"/>
      <c r="BT64" s="477" t="n"/>
      <c r="BU64" s="477" t="n"/>
      <c r="BV64" s="477" t="n"/>
      <c r="BW64" s="477" t="n"/>
      <c r="BX64" s="477" t="n"/>
      <c r="BY64" s="477" t="n"/>
      <c r="BZ64" s="477" t="n"/>
      <c r="CA64" s="477" t="n"/>
      <c r="CB64" s="477" t="n"/>
      <c r="CC64" s="477" t="n"/>
      <c r="CD64" s="477" t="n"/>
      <c r="CE64" s="477" t="n"/>
      <c r="CF64" s="477" t="n"/>
      <c r="CG64" s="477" t="n"/>
      <c r="CH64" s="477" t="n"/>
      <c r="CI64" s="477" t="n"/>
      <c r="CJ64" s="477" t="n"/>
      <c r="CK64" s="477" t="n"/>
      <c r="CL64" s="477" t="n"/>
      <c r="CM64" s="477" t="n"/>
      <c r="CN64" s="477" t="n"/>
      <c r="CO64" s="477" t="n"/>
      <c r="CP64" s="477" t="n"/>
      <c r="CQ64" s="477" t="n"/>
      <c r="CR64" s="477" t="n"/>
      <c r="CS64" s="477" t="n"/>
      <c r="CT64" s="477" t="n"/>
    </row>
    <row r="65" ht="15" customFormat="1" customHeight="1" s="380">
      <c r="A65" s="476" t="inlineStr">
        <is>
          <t>Ramsgate Dev Fee - Construction</t>
        </is>
      </c>
      <c r="C65" s="477" t="n">
        <v>23906.25</v>
      </c>
      <c r="D65" s="477" t="n">
        <v>23906.25</v>
      </c>
      <c r="E65" s="477" t="n">
        <v>23906.25</v>
      </c>
      <c r="F65" s="477" t="n">
        <v>23906.25</v>
      </c>
      <c r="G65" s="477" t="n">
        <v>23906.25</v>
      </c>
      <c r="H65" s="477" t="n">
        <v>23906.25</v>
      </c>
      <c r="I65" s="477" t="n">
        <v>23906.25</v>
      </c>
      <c r="J65" s="477" t="n"/>
      <c r="K65" s="477" t="n"/>
      <c r="L65" s="477" t="n"/>
      <c r="M65" s="477" t="n"/>
      <c r="N65" s="477" t="n"/>
      <c r="O65" s="477" t="n"/>
      <c r="P65" s="477" t="n"/>
      <c r="Q65" s="477" t="n"/>
      <c r="R65" s="477" t="n"/>
      <c r="S65" s="477" t="n"/>
      <c r="T65" s="477" t="n"/>
      <c r="U65" s="477" t="n"/>
      <c r="V65" s="477" t="n"/>
      <c r="W65" s="477" t="n"/>
      <c r="X65" s="477" t="n"/>
      <c r="Y65" s="477" t="n"/>
      <c r="Z65" s="477" t="n"/>
      <c r="AA65" s="477" t="n"/>
      <c r="AB65" s="477" t="n"/>
      <c r="AC65" s="477" t="n"/>
      <c r="AD65" s="477" t="n"/>
      <c r="AE65" s="477" t="n"/>
      <c r="AF65" s="477" t="n"/>
      <c r="AG65" s="477" t="n"/>
      <c r="AH65" s="477" t="n"/>
      <c r="AI65" s="477" t="n"/>
      <c r="AJ65" s="477" t="n"/>
      <c r="AK65" s="477" t="n"/>
      <c r="AL65" s="477" t="n"/>
      <c r="AM65" s="477" t="n"/>
      <c r="AN65" s="477" t="n"/>
      <c r="AO65" s="477" t="n"/>
      <c r="AP65" s="477" t="n"/>
      <c r="AQ65" s="477" t="n"/>
      <c r="AR65" s="477" t="n"/>
      <c r="AS65" s="477" t="n"/>
      <c r="AT65" s="477" t="n"/>
      <c r="AU65" s="477" t="n"/>
      <c r="AV65" s="477" t="n"/>
      <c r="AW65" s="477" t="n"/>
      <c r="AX65" s="477" t="n"/>
      <c r="AY65" s="477" t="n"/>
      <c r="AZ65" s="477" t="n"/>
      <c r="BA65" s="477" t="n"/>
      <c r="BB65" s="477" t="n"/>
      <c r="BC65" s="477" t="n"/>
      <c r="BD65" s="477" t="n"/>
      <c r="BE65" s="477" t="n"/>
      <c r="BF65" s="477" t="n"/>
      <c r="BG65" s="477" t="n"/>
      <c r="BH65" s="477" t="n"/>
      <c r="BI65" s="477" t="n"/>
      <c r="BJ65" s="477" t="n"/>
      <c r="BK65" s="477" t="n"/>
      <c r="BL65" s="477" t="n"/>
      <c r="BM65" s="477" t="n"/>
      <c r="BN65" s="477" t="n"/>
      <c r="BO65" s="477" t="n"/>
      <c r="BP65" s="477" t="n"/>
      <c r="BQ65" s="477" t="n"/>
      <c r="BR65" s="477" t="n"/>
      <c r="BS65" s="477" t="n"/>
      <c r="BT65" s="477" t="n"/>
      <c r="BU65" s="477" t="n"/>
      <c r="BV65" s="477" t="n"/>
      <c r="BW65" s="477" t="n"/>
      <c r="BX65" s="477" t="n"/>
      <c r="BY65" s="477" t="n"/>
      <c r="BZ65" s="477" t="n"/>
      <c r="CA65" s="477" t="n"/>
      <c r="CB65" s="477" t="n"/>
      <c r="CC65" s="477" t="n"/>
      <c r="CD65" s="477" t="n"/>
      <c r="CE65" s="477" t="n"/>
      <c r="CF65" s="477" t="n"/>
      <c r="CG65" s="477" t="n"/>
      <c r="CH65" s="477" t="n"/>
      <c r="CI65" s="477" t="n"/>
      <c r="CJ65" s="477" t="n"/>
      <c r="CK65" s="477" t="n"/>
      <c r="CL65" s="477" t="n"/>
      <c r="CM65" s="477" t="n"/>
      <c r="CN65" s="477" t="n"/>
      <c r="CO65" s="477" t="n"/>
      <c r="CP65" s="477" t="n"/>
      <c r="CQ65" s="477" t="n"/>
      <c r="CR65" s="477" t="n"/>
      <c r="CS65" s="477" t="n"/>
      <c r="CT65" s="477" t="n"/>
    </row>
    <row r="66" ht="15" customFormat="1" customHeight="1" s="380">
      <c r="A66" s="476" t="inlineStr">
        <is>
          <t>Ramsgate Dev Fee - 20% Occ</t>
        </is>
      </c>
      <c r="C66" s="477" t="n"/>
      <c r="D66" s="477" t="n"/>
      <c r="E66" s="477" t="n"/>
      <c r="F66" s="477" t="n"/>
      <c r="G66" s="477" t="n"/>
      <c r="H66" s="477" t="n"/>
      <c r="I66" s="477" t="n"/>
      <c r="J66" s="477" t="n"/>
      <c r="K66" s="477" t="n"/>
      <c r="L66" s="477" t="n"/>
      <c r="M66" s="477" t="n"/>
      <c r="N66" s="477" t="n"/>
      <c r="O66" s="477" t="n"/>
      <c r="P66" s="477" t="n"/>
      <c r="Q66" s="477" t="n"/>
      <c r="R66" s="477" t="n"/>
      <c r="S66" s="477" t="n"/>
      <c r="T66" s="477" t="n"/>
      <c r="U66" s="477" t="n"/>
      <c r="V66" s="477" t="n"/>
      <c r="W66" s="477" t="n"/>
      <c r="X66" s="477" t="n"/>
      <c r="Y66" s="477" t="n"/>
      <c r="Z66" s="477" t="n"/>
      <c r="AA66" s="477" t="n"/>
      <c r="AB66" s="477" t="n"/>
      <c r="AC66" s="477" t="n"/>
      <c r="AD66" s="477" t="n"/>
      <c r="AE66" s="477" t="n"/>
      <c r="AF66" s="477" t="n"/>
      <c r="AG66" s="477" t="n"/>
      <c r="AH66" s="477" t="n"/>
      <c r="AI66" s="477" t="n"/>
      <c r="AJ66" s="477" t="n"/>
      <c r="AK66" s="477" t="n"/>
      <c r="AL66" s="477" t="n"/>
      <c r="AM66" s="477" t="n"/>
      <c r="AN66" s="477" t="n"/>
      <c r="AO66" s="477" t="n"/>
      <c r="AP66" s="477" t="n"/>
      <c r="AQ66" s="477" t="n"/>
      <c r="AR66" s="477" t="n"/>
      <c r="AS66" s="477" t="n"/>
      <c r="AT66" s="477" t="n"/>
      <c r="AU66" s="477" t="n"/>
      <c r="AV66" s="477" t="n"/>
      <c r="AW66" s="477" t="n"/>
      <c r="AX66" s="477" t="n"/>
      <c r="AY66" s="477" t="n"/>
      <c r="AZ66" s="477" t="n"/>
      <c r="BA66" s="477" t="n"/>
      <c r="BB66" s="477" t="n"/>
      <c r="BC66" s="477" t="n"/>
      <c r="BD66" s="477" t="n"/>
      <c r="BE66" s="477" t="n"/>
      <c r="BF66" s="477" t="n"/>
      <c r="BG66" s="477" t="n"/>
      <c r="BH66" s="477" t="n"/>
      <c r="BI66" s="477" t="n"/>
      <c r="BJ66" s="477" t="n"/>
      <c r="BK66" s="477" t="n"/>
      <c r="BL66" s="477" t="n"/>
      <c r="BM66" s="477" t="n"/>
      <c r="BN66" s="477" t="n"/>
      <c r="BO66" s="477" t="n"/>
      <c r="BP66" s="477" t="n"/>
      <c r="BQ66" s="477" t="n"/>
      <c r="BR66" s="477" t="n"/>
      <c r="BS66" s="477" t="n"/>
      <c r="BT66" s="477" t="n"/>
      <c r="BU66" s="477" t="n"/>
      <c r="BV66" s="477" t="n"/>
      <c r="BW66" s="477" t="n"/>
      <c r="BX66" s="477" t="n"/>
      <c r="BY66" s="477" t="n"/>
      <c r="BZ66" s="477" t="n"/>
      <c r="CA66" s="477" t="n"/>
      <c r="CB66" s="477" t="n"/>
      <c r="CC66" s="477" t="n"/>
      <c r="CD66" s="477" t="n"/>
      <c r="CE66" s="477" t="n"/>
      <c r="CF66" s="477" t="n"/>
      <c r="CG66" s="477" t="n"/>
      <c r="CH66" s="477" t="n"/>
      <c r="CI66" s="477" t="n"/>
      <c r="CJ66" s="477" t="n"/>
      <c r="CK66" s="477" t="n"/>
      <c r="CL66" s="477" t="n"/>
      <c r="CM66" s="477" t="n"/>
      <c r="CN66" s="477" t="n"/>
      <c r="CO66" s="477" t="n"/>
      <c r="CP66" s="477" t="n"/>
      <c r="CQ66" s="477" t="n"/>
      <c r="CR66" s="477" t="n"/>
      <c r="CS66" s="477" t="n"/>
      <c r="CT66" s="477" t="n"/>
    </row>
    <row r="67" ht="15" customFormat="1" customHeight="1" s="380">
      <c r="A67" s="476" t="inlineStr">
        <is>
          <t>Ramsgate Dev Fee - 50% Occ</t>
        </is>
      </c>
      <c r="C67" s="477" t="n"/>
      <c r="D67" s="477" t="n"/>
      <c r="E67" s="477" t="n"/>
      <c r="F67" s="477" t="n"/>
      <c r="G67" s="477" t="n"/>
      <c r="H67" s="477" t="n"/>
      <c r="I67" s="477" t="n"/>
      <c r="J67" s="477" t="n"/>
      <c r="K67" s="477" t="n"/>
      <c r="L67" s="477" t="n"/>
      <c r="M67" s="477" t="n"/>
      <c r="N67" s="477" t="n"/>
      <c r="O67" s="477" t="n"/>
      <c r="P67" s="477" t="n"/>
      <c r="Q67" s="477" t="n"/>
      <c r="R67" s="477" t="n"/>
      <c r="S67" s="477" t="n"/>
      <c r="T67" s="477" t="n"/>
      <c r="U67" s="477" t="n"/>
      <c r="V67" s="477" t="n"/>
      <c r="W67" s="477" t="n"/>
      <c r="X67" s="477" t="n"/>
      <c r="Y67" s="477" t="n"/>
      <c r="Z67" s="477" t="n"/>
      <c r="AA67" s="477" t="n"/>
      <c r="AB67" s="477" t="n"/>
      <c r="AC67" s="477" t="n"/>
      <c r="AD67" s="477" t="n"/>
      <c r="AE67" s="477" t="n"/>
      <c r="AF67" s="477" t="n"/>
      <c r="AG67" s="477" t="n"/>
      <c r="AH67" s="477" t="n"/>
      <c r="AI67" s="477" t="n"/>
      <c r="AJ67" s="477" t="n"/>
      <c r="AK67" s="477" t="n"/>
      <c r="AL67" s="477" t="n"/>
      <c r="AM67" s="477" t="n"/>
      <c r="AN67" s="477" t="n"/>
      <c r="AO67" s="477" t="n"/>
      <c r="AP67" s="477" t="n"/>
      <c r="AQ67" s="477" t="n"/>
      <c r="AR67" s="477" t="n"/>
      <c r="AS67" s="477" t="n"/>
      <c r="AT67" s="477" t="n"/>
      <c r="AU67" s="477" t="n"/>
      <c r="AV67" s="477" t="n"/>
      <c r="AW67" s="477" t="n"/>
      <c r="AX67" s="477" t="n"/>
      <c r="AY67" s="477" t="n"/>
      <c r="AZ67" s="477" t="n"/>
      <c r="BA67" s="477" t="n"/>
      <c r="BB67" s="477" t="n"/>
      <c r="BC67" s="477" t="n"/>
      <c r="BD67" s="477" t="n"/>
      <c r="BE67" s="477" t="n"/>
      <c r="BF67" s="477" t="n"/>
      <c r="BG67" s="477" t="n"/>
      <c r="BH67" s="477" t="n"/>
      <c r="BI67" s="477" t="n"/>
      <c r="BJ67" s="477" t="n"/>
      <c r="BK67" s="477" t="n"/>
      <c r="BL67" s="477" t="n"/>
      <c r="BM67" s="477" t="n"/>
      <c r="BN67" s="477" t="n"/>
      <c r="BO67" s="477" t="n"/>
      <c r="BP67" s="477" t="n"/>
      <c r="BQ67" s="477" t="n"/>
      <c r="BR67" s="477" t="n"/>
      <c r="BS67" s="477" t="n"/>
      <c r="BT67" s="477" t="n"/>
      <c r="BU67" s="477" t="n"/>
      <c r="BV67" s="477" t="n"/>
      <c r="BW67" s="477" t="n"/>
      <c r="BX67" s="477" t="n"/>
      <c r="BY67" s="477" t="n"/>
      <c r="BZ67" s="477" t="n"/>
      <c r="CA67" s="477" t="n"/>
      <c r="CB67" s="477" t="n"/>
      <c r="CC67" s="477" t="n"/>
      <c r="CD67" s="477" t="n"/>
      <c r="CE67" s="477" t="n"/>
      <c r="CF67" s="477" t="n"/>
      <c r="CG67" s="477" t="n"/>
      <c r="CH67" s="477" t="n"/>
      <c r="CI67" s="477" t="n"/>
      <c r="CJ67" s="477" t="n"/>
      <c r="CK67" s="477" t="n"/>
      <c r="CL67" s="477" t="n"/>
      <c r="CM67" s="477" t="n"/>
      <c r="CN67" s="477" t="n"/>
      <c r="CO67" s="477" t="n"/>
      <c r="CP67" s="477" t="n"/>
      <c r="CQ67" s="477" t="n"/>
      <c r="CR67" s="477" t="n"/>
      <c r="CS67" s="477" t="n"/>
      <c r="CT67" s="477" t="n"/>
    </row>
    <row r="68" ht="15" customFormat="1" customHeight="1" s="380">
      <c r="A68" s="476" t="inlineStr">
        <is>
          <t>Ramsgate Dev Fee - 90% Occ</t>
        </is>
      </c>
      <c r="C68" s="477" t="n"/>
      <c r="D68" s="477" t="n"/>
      <c r="E68" s="477" t="n"/>
      <c r="F68" s="477" t="n"/>
      <c r="G68" s="477" t="n"/>
      <c r="H68" s="477" t="n"/>
      <c r="I68" s="477" t="n"/>
      <c r="J68" s="477" t="n"/>
      <c r="K68" s="477" t="n"/>
      <c r="L68" s="477" t="n"/>
      <c r="M68" s="477" t="n"/>
      <c r="N68" s="477" t="n"/>
      <c r="O68" s="477" t="n"/>
      <c r="P68" s="477" t="n"/>
      <c r="Q68" s="477" t="n"/>
      <c r="R68" s="477" t="n"/>
      <c r="S68" s="477" t="n"/>
      <c r="T68" s="477" t="n"/>
      <c r="U68" s="477" t="n"/>
      <c r="V68" s="477" t="n"/>
      <c r="W68" s="477" t="n"/>
      <c r="X68" s="477" t="n"/>
      <c r="Y68" s="477" t="n"/>
      <c r="Z68" s="477" t="n"/>
      <c r="AA68" s="477" t="n"/>
      <c r="AB68" s="477" t="n"/>
      <c r="AC68" s="477" t="n"/>
      <c r="AD68" s="477" t="n"/>
      <c r="AE68" s="477" t="n"/>
      <c r="AF68" s="477" t="n"/>
      <c r="AG68" s="477" t="n"/>
      <c r="AH68" s="477" t="n"/>
      <c r="AI68" s="477" t="n"/>
      <c r="AJ68" s="477" t="n"/>
      <c r="AK68" s="477" t="n"/>
      <c r="AL68" s="477" t="n"/>
      <c r="AM68" s="477" t="n"/>
      <c r="AN68" s="477" t="n"/>
      <c r="AO68" s="477" t="n"/>
      <c r="AP68" s="477" t="n"/>
      <c r="AQ68" s="477" t="n"/>
      <c r="AR68" s="477" t="n"/>
      <c r="AS68" s="477" t="n"/>
      <c r="AT68" s="477" t="n"/>
      <c r="AU68" s="477" t="n"/>
      <c r="AV68" s="477" t="n"/>
      <c r="AW68" s="477" t="n"/>
      <c r="AX68" s="477" t="n"/>
      <c r="AY68" s="477" t="n"/>
      <c r="AZ68" s="477" t="n"/>
      <c r="BA68" s="477" t="n"/>
      <c r="BB68" s="477" t="n"/>
      <c r="BC68" s="477" t="n"/>
      <c r="BD68" s="477" t="n"/>
      <c r="BE68" s="477" t="n"/>
      <c r="BF68" s="477" t="n"/>
      <c r="BG68" s="477" t="n"/>
      <c r="BH68" s="477" t="n"/>
      <c r="BI68" s="477" t="n"/>
      <c r="BJ68" s="477" t="n"/>
      <c r="BK68" s="477" t="n"/>
      <c r="BL68" s="477" t="n"/>
      <c r="BM68" s="477" t="n"/>
      <c r="BN68" s="477" t="n"/>
      <c r="BO68" s="477" t="n"/>
      <c r="BP68" s="477" t="n"/>
      <c r="BQ68" s="477" t="n"/>
      <c r="BR68" s="477" t="n"/>
      <c r="BS68" s="477" t="n"/>
      <c r="BT68" s="477" t="n"/>
      <c r="BU68" s="477" t="n"/>
      <c r="BV68" s="477" t="n"/>
      <c r="BW68" s="477" t="n"/>
      <c r="BX68" s="477" t="n"/>
      <c r="BY68" s="477" t="n"/>
      <c r="BZ68" s="477" t="n"/>
      <c r="CA68" s="477" t="n"/>
      <c r="CB68" s="477" t="n"/>
      <c r="CC68" s="477" t="n"/>
      <c r="CD68" s="477" t="n"/>
      <c r="CE68" s="477" t="n"/>
      <c r="CF68" s="477" t="n"/>
      <c r="CG68" s="477" t="n"/>
      <c r="CH68" s="477" t="n"/>
      <c r="CI68" s="477" t="n"/>
      <c r="CJ68" s="477" t="n"/>
      <c r="CK68" s="477" t="n"/>
      <c r="CL68" s="477" t="n"/>
      <c r="CM68" s="477" t="n"/>
      <c r="CN68" s="477" t="n"/>
      <c r="CO68" s="477" t="n"/>
      <c r="CP68" s="477" t="n"/>
      <c r="CQ68" s="477" t="n"/>
      <c r="CR68" s="477" t="n"/>
      <c r="CS68" s="477" t="n"/>
      <c r="CT68" s="477" t="n"/>
    </row>
    <row r="69" ht="15" customFormat="1" customHeight="1" s="380">
      <c r="A69" s="476" t="inlineStr">
        <is>
          <t>Crenshaw Development Fee</t>
        </is>
      </c>
      <c r="C69" s="477" t="n">
        <v>9375</v>
      </c>
      <c r="D69" s="477" t="n">
        <v>9375</v>
      </c>
      <c r="E69" s="477" t="n">
        <v>9375</v>
      </c>
      <c r="F69" s="477" t="n">
        <v>9375</v>
      </c>
      <c r="G69" s="477" t="n">
        <v>9375</v>
      </c>
      <c r="H69" s="477" t="n">
        <v>9375</v>
      </c>
      <c r="I69" s="477" t="n">
        <v>9375</v>
      </c>
      <c r="J69" s="477" t="n"/>
      <c r="K69" s="477" t="n"/>
      <c r="L69" s="477" t="n"/>
      <c r="M69" s="477" t="n"/>
      <c r="N69" s="477" t="n"/>
      <c r="O69" s="477" t="n"/>
      <c r="P69" s="477" t="n"/>
      <c r="Q69" s="477" t="n"/>
      <c r="R69" s="477" t="n"/>
      <c r="S69" s="477" t="n"/>
      <c r="T69" s="477" t="n"/>
      <c r="U69" s="477" t="n"/>
      <c r="V69" s="477" t="n"/>
      <c r="W69" s="477" t="n"/>
      <c r="X69" s="477" t="n"/>
      <c r="Y69" s="477" t="n"/>
      <c r="Z69" s="477" t="n"/>
      <c r="AA69" s="477" t="n"/>
      <c r="AB69" s="477" t="n"/>
      <c r="AC69" s="477" t="n"/>
      <c r="AD69" s="477" t="n"/>
      <c r="AE69" s="477" t="n"/>
      <c r="AF69" s="477" t="n"/>
      <c r="AG69" s="477" t="n"/>
      <c r="AH69" s="477" t="n"/>
      <c r="AI69" s="477" t="n"/>
      <c r="AJ69" s="477" t="n"/>
      <c r="AK69" s="477" t="n"/>
      <c r="AL69" s="477" t="n"/>
      <c r="AM69" s="477" t="n"/>
      <c r="AN69" s="477" t="n"/>
      <c r="AO69" s="477" t="n"/>
      <c r="AP69" s="477" t="n"/>
      <c r="AQ69" s="477" t="n"/>
      <c r="AR69" s="477" t="n"/>
      <c r="AS69" s="477" t="n"/>
      <c r="AT69" s="477" t="n"/>
      <c r="AU69" s="477" t="n"/>
      <c r="AV69" s="477" t="n"/>
      <c r="AW69" s="477" t="n"/>
      <c r="AX69" s="477" t="n"/>
      <c r="AY69" s="477" t="n"/>
      <c r="AZ69" s="477" t="n"/>
      <c r="BA69" s="477" t="n"/>
      <c r="BB69" s="477" t="n"/>
      <c r="BC69" s="477" t="n"/>
      <c r="BD69" s="477" t="n"/>
      <c r="BE69" s="477" t="n"/>
      <c r="BF69" s="477" t="n"/>
      <c r="BG69" s="477" t="n"/>
      <c r="BH69" s="477" t="n"/>
      <c r="BI69" s="477" t="n"/>
      <c r="BJ69" s="477" t="n"/>
      <c r="BK69" s="477" t="n"/>
      <c r="BL69" s="477" t="n"/>
      <c r="BM69" s="477" t="n"/>
      <c r="BN69" s="477" t="n"/>
      <c r="BO69" s="477" t="n"/>
      <c r="BP69" s="477" t="n"/>
      <c r="BQ69" s="477" t="n"/>
      <c r="BR69" s="477" t="n"/>
      <c r="BS69" s="477" t="n"/>
      <c r="BT69" s="477" t="n"/>
      <c r="BU69" s="477" t="n"/>
      <c r="BV69" s="477" t="n"/>
      <c r="BW69" s="477" t="n"/>
      <c r="BX69" s="477" t="n"/>
      <c r="BY69" s="477" t="n"/>
      <c r="BZ69" s="477" t="n"/>
      <c r="CA69" s="477" t="n"/>
      <c r="CB69" s="477" t="n"/>
      <c r="CC69" s="477" t="n"/>
      <c r="CD69" s="477" t="n"/>
      <c r="CE69" s="477" t="n"/>
      <c r="CF69" s="477" t="n"/>
      <c r="CG69" s="477" t="n"/>
      <c r="CH69" s="477" t="n"/>
      <c r="CI69" s="477" t="n"/>
      <c r="CJ69" s="477" t="n"/>
      <c r="CK69" s="477" t="n"/>
      <c r="CL69" s="477" t="n"/>
      <c r="CM69" s="477" t="n"/>
      <c r="CN69" s="477" t="n"/>
      <c r="CO69" s="477" t="n"/>
      <c r="CP69" s="477" t="n"/>
      <c r="CQ69" s="477" t="n"/>
      <c r="CR69" s="477" t="n"/>
      <c r="CS69" s="477" t="n"/>
      <c r="CT69" s="477" t="n"/>
    </row>
    <row r="70" ht="15" customFormat="1" customHeight="1" s="380">
      <c r="A70" s="476" t="inlineStr">
        <is>
          <t>12th &amp; Fir Developer Fee</t>
        </is>
      </c>
      <c r="C70" s="477" t="n"/>
      <c r="D70" s="477" t="n"/>
      <c r="E70" s="477" t="n"/>
      <c r="F70" s="477" t="n"/>
      <c r="G70" s="477" t="n"/>
      <c r="H70" s="477" t="n"/>
      <c r="I70" s="477" t="n">
        <v>44000</v>
      </c>
      <c r="J70" s="477" t="n"/>
      <c r="K70" s="477" t="n"/>
      <c r="L70" s="477" t="n"/>
      <c r="M70" s="477" t="n"/>
      <c r="N70" s="477" t="n"/>
      <c r="O70" s="477" t="n"/>
      <c r="P70" s="477" t="n"/>
      <c r="Q70" s="477" t="n"/>
      <c r="R70" s="477" t="n"/>
      <c r="S70" s="477" t="n"/>
      <c r="T70" s="477" t="n"/>
      <c r="U70" s="477" t="n"/>
      <c r="V70" s="477" t="n"/>
      <c r="W70" s="477" t="n"/>
      <c r="X70" s="477" t="n"/>
      <c r="Y70" s="477" t="n"/>
      <c r="Z70" s="477" t="n"/>
      <c r="AA70" s="477" t="n"/>
      <c r="AB70" s="477" t="n"/>
      <c r="AC70" s="477" t="n"/>
      <c r="AD70" s="477" t="n"/>
      <c r="AE70" s="477" t="n"/>
      <c r="AF70" s="477" t="n"/>
      <c r="AG70" s="477" t="n"/>
      <c r="AH70" s="477" t="n"/>
      <c r="AI70" s="477" t="n"/>
      <c r="AJ70" s="477" t="n"/>
      <c r="AK70" s="477" t="n"/>
      <c r="AL70" s="477" t="n"/>
      <c r="AM70" s="477" t="n"/>
      <c r="AN70" s="477" t="n"/>
      <c r="AO70" s="477" t="n"/>
      <c r="AP70" s="477" t="n"/>
      <c r="AQ70" s="477" t="n"/>
      <c r="AR70" s="477" t="n"/>
      <c r="AS70" s="477" t="n"/>
      <c r="AT70" s="477" t="n"/>
      <c r="AU70" s="477" t="n"/>
      <c r="AV70" s="477" t="n"/>
      <c r="AW70" s="477" t="n"/>
      <c r="AX70" s="477" t="n"/>
      <c r="AY70" s="477" t="n"/>
      <c r="AZ70" s="477" t="n"/>
      <c r="BA70" s="477" t="n"/>
      <c r="BB70" s="477" t="n"/>
      <c r="BC70" s="477" t="n"/>
      <c r="BD70" s="477" t="n"/>
      <c r="BE70" s="477" t="n"/>
      <c r="BF70" s="477" t="n"/>
      <c r="BG70" s="477" t="n"/>
      <c r="BH70" s="477" t="n"/>
      <c r="BI70" s="477" t="n"/>
      <c r="BJ70" s="477" t="n"/>
      <c r="BK70" s="477" t="n"/>
      <c r="BL70" s="477" t="n"/>
      <c r="BM70" s="477" t="n"/>
      <c r="BN70" s="477" t="n"/>
      <c r="BO70" s="477" t="n"/>
      <c r="BP70" s="477" t="n"/>
      <c r="BQ70" s="477" t="n"/>
      <c r="BR70" s="477" t="n"/>
      <c r="BS70" s="477" t="n"/>
      <c r="BT70" s="477" t="n"/>
      <c r="BU70" s="477" t="n"/>
      <c r="BV70" s="477" t="n"/>
      <c r="BW70" s="477" t="n"/>
      <c r="BX70" s="477" t="n"/>
      <c r="BY70" s="477" t="n"/>
      <c r="BZ70" s="477" t="n"/>
      <c r="CA70" s="477" t="n"/>
      <c r="CB70" s="477" t="n"/>
      <c r="CC70" s="477" t="n"/>
      <c r="CD70" s="477" t="n"/>
      <c r="CE70" s="477" t="n"/>
      <c r="CF70" s="477" t="n"/>
      <c r="CG70" s="477" t="n"/>
      <c r="CH70" s="477" t="n"/>
      <c r="CI70" s="477" t="n"/>
      <c r="CJ70" s="477" t="n"/>
      <c r="CK70" s="477" t="n"/>
      <c r="CL70" s="477" t="n"/>
      <c r="CM70" s="477" t="n"/>
      <c r="CN70" s="477" t="n"/>
      <c r="CO70" s="477" t="n"/>
      <c r="CP70" s="477" t="n"/>
      <c r="CQ70" s="477" t="n"/>
      <c r="CR70" s="477" t="n"/>
      <c r="CS70" s="477" t="n"/>
      <c r="CT70" s="477" t="n"/>
    </row>
    <row r="71" ht="15" customFormat="1" customHeight="1" s="380">
      <c r="A71" s="476" t="inlineStr">
        <is>
          <t>Klump Accounting Fee</t>
        </is>
      </c>
      <c r="C71" s="477" t="n"/>
      <c r="D71" s="477" t="n"/>
      <c r="E71" s="477" t="n"/>
      <c r="F71" s="477" t="n"/>
      <c r="G71" s="477" t="n"/>
      <c r="H71" s="477" t="n"/>
      <c r="I71" s="477" t="n"/>
      <c r="J71" s="477" t="n"/>
      <c r="K71" s="477" t="n"/>
      <c r="L71" s="477" t="n"/>
      <c r="M71" s="477" t="n"/>
      <c r="N71" s="477" t="n"/>
      <c r="O71" s="477" t="n"/>
      <c r="P71" s="477" t="n"/>
      <c r="Q71" s="477" t="n"/>
      <c r="R71" s="477" t="n"/>
      <c r="S71" s="477" t="n"/>
      <c r="T71" s="477" t="n"/>
      <c r="U71" s="477" t="n"/>
      <c r="V71" s="477" t="n"/>
      <c r="W71" s="477" t="n"/>
      <c r="X71" s="477" t="n"/>
      <c r="Y71" s="477" t="n"/>
      <c r="Z71" s="477" t="n"/>
      <c r="AA71" s="477" t="n"/>
      <c r="AB71" s="477" t="n"/>
      <c r="AC71" s="477" t="n"/>
      <c r="AD71" s="477" t="n"/>
      <c r="AE71" s="477" t="n"/>
      <c r="AF71" s="477" t="n"/>
      <c r="AG71" s="477" t="n"/>
      <c r="AH71" s="477" t="n"/>
      <c r="AI71" s="477" t="n"/>
      <c r="AJ71" s="477" t="n"/>
      <c r="AK71" s="477" t="n"/>
      <c r="AL71" s="477" t="n"/>
      <c r="AM71" s="477" t="n"/>
      <c r="AN71" s="477" t="n"/>
      <c r="AO71" s="477" t="n"/>
      <c r="AP71" s="477" t="n"/>
      <c r="AQ71" s="477" t="n"/>
      <c r="AR71" s="477" t="n"/>
      <c r="AS71" s="477" t="n"/>
      <c r="AT71" s="477" t="n"/>
      <c r="AU71" s="477" t="n"/>
      <c r="AV71" s="477" t="n"/>
      <c r="AW71" s="477" t="n"/>
      <c r="AX71" s="477" t="n"/>
      <c r="AY71" s="477" t="n"/>
      <c r="AZ71" s="477" t="n"/>
      <c r="BA71" s="477" t="n"/>
      <c r="BB71" s="477" t="n"/>
      <c r="BC71" s="477" t="n"/>
      <c r="BD71" s="477" t="n"/>
      <c r="BE71" s="477" t="n"/>
      <c r="BF71" s="477" t="n"/>
      <c r="BG71" s="477" t="n"/>
      <c r="BH71" s="477" t="n"/>
      <c r="BI71" s="477" t="n"/>
      <c r="BJ71" s="477" t="n"/>
      <c r="BK71" s="477" t="n"/>
      <c r="BL71" s="477" t="n"/>
      <c r="BM71" s="477" t="n"/>
      <c r="BN71" s="477" t="n"/>
      <c r="BO71" s="477" t="n"/>
      <c r="BP71" s="477" t="n"/>
      <c r="BQ71" s="477" t="n"/>
      <c r="BR71" s="477" t="n"/>
      <c r="BS71" s="477" t="n"/>
      <c r="BT71" s="477" t="n"/>
      <c r="BU71" s="477" t="n"/>
      <c r="BV71" s="477" t="n"/>
      <c r="BW71" s="477" t="n"/>
      <c r="BX71" s="477" t="n"/>
      <c r="BY71" s="477" t="n"/>
      <c r="BZ71" s="477" t="n"/>
      <c r="CA71" s="477" t="n"/>
      <c r="CB71" s="477" t="n"/>
      <c r="CC71" s="477" t="n"/>
      <c r="CD71" s="477" t="n"/>
      <c r="CE71" s="477" t="n"/>
      <c r="CF71" s="477" t="n"/>
      <c r="CG71" s="477" t="n"/>
      <c r="CH71" s="477" t="n"/>
      <c r="CI71" s="477" t="n"/>
      <c r="CJ71" s="477" t="n"/>
      <c r="CK71" s="477" t="n"/>
      <c r="CL71" s="477" t="n"/>
      <c r="CM71" s="477" t="n"/>
      <c r="CN71" s="477" t="n"/>
      <c r="CO71" s="477" t="n"/>
      <c r="CP71" s="477" t="n"/>
      <c r="CQ71" s="477" t="n"/>
      <c r="CR71" s="477" t="n"/>
      <c r="CS71" s="477" t="n"/>
      <c r="CT71" s="477" t="n"/>
    </row>
    <row r="72" ht="15" customFormat="1" customHeight="1" s="380">
      <c r="A72" s="476" t="inlineStr">
        <is>
          <t>Klump Developer Fee</t>
        </is>
      </c>
      <c r="C72" s="477" t="n"/>
      <c r="D72" s="477" t="n"/>
      <c r="E72" s="477" t="n"/>
      <c r="F72" s="477" t="n"/>
      <c r="G72" s="477" t="n"/>
      <c r="H72" s="477" t="n"/>
      <c r="I72" s="477" t="n"/>
      <c r="J72" s="477" t="n"/>
      <c r="K72" s="477" t="n"/>
      <c r="L72" s="477" t="n"/>
      <c r="M72" s="477" t="n"/>
      <c r="N72" s="477" t="n"/>
      <c r="O72" s="477" t="n"/>
      <c r="P72" s="477" t="n"/>
      <c r="Q72" s="477" t="n"/>
      <c r="R72" s="477" t="n"/>
      <c r="S72" s="477" t="n"/>
      <c r="T72" s="477" t="n"/>
      <c r="U72" s="477" t="n"/>
      <c r="V72" s="477" t="n"/>
      <c r="W72" s="477" t="n"/>
      <c r="X72" s="477" t="n"/>
      <c r="Y72" s="477" t="n"/>
      <c r="Z72" s="477" t="n"/>
      <c r="AA72" s="477" t="n"/>
      <c r="AB72" s="477" t="n"/>
      <c r="AC72" s="477" t="n"/>
      <c r="AD72" s="477" t="n"/>
      <c r="AE72" s="477" t="n"/>
      <c r="AF72" s="477" t="n"/>
      <c r="AG72" s="477" t="n"/>
      <c r="AH72" s="477" t="n"/>
      <c r="AI72" s="477" t="n"/>
      <c r="AJ72" s="477" t="n"/>
      <c r="AK72" s="477" t="n"/>
      <c r="AL72" s="477" t="n"/>
      <c r="AM72" s="477" t="n"/>
      <c r="AN72" s="477" t="n"/>
      <c r="AO72" s="477" t="n"/>
      <c r="AP72" s="477" t="n"/>
      <c r="AQ72" s="477" t="n"/>
      <c r="AR72" s="477" t="n"/>
      <c r="AS72" s="477" t="n"/>
      <c r="AT72" s="477" t="n"/>
      <c r="AU72" s="477" t="n"/>
      <c r="AV72" s="477" t="n"/>
      <c r="AW72" s="477" t="n"/>
      <c r="AX72" s="477" t="n"/>
      <c r="AY72" s="477" t="n"/>
      <c r="AZ72" s="477" t="n"/>
      <c r="BA72" s="477" t="n"/>
      <c r="BB72" s="477" t="n"/>
      <c r="BC72" s="477" t="n"/>
      <c r="BD72" s="477" t="n"/>
      <c r="BE72" s="477" t="n"/>
      <c r="BF72" s="477" t="n"/>
      <c r="BG72" s="477" t="n"/>
      <c r="BH72" s="477" t="n"/>
      <c r="BI72" s="477" t="n"/>
      <c r="BJ72" s="477" t="n"/>
      <c r="BK72" s="477" t="n"/>
      <c r="BL72" s="477" t="n"/>
      <c r="BM72" s="477" t="n"/>
      <c r="BN72" s="477" t="n"/>
      <c r="BO72" s="477" t="n"/>
      <c r="BP72" s="477" t="n"/>
      <c r="BQ72" s="477" t="n"/>
      <c r="BR72" s="477" t="n"/>
      <c r="BS72" s="477" t="n"/>
      <c r="BT72" s="477" t="n"/>
      <c r="BU72" s="477" t="n"/>
      <c r="BV72" s="477" t="n"/>
      <c r="BW72" s="477" t="n"/>
      <c r="BX72" s="477" t="n"/>
      <c r="BY72" s="477" t="n"/>
      <c r="BZ72" s="477" t="n"/>
      <c r="CA72" s="477" t="n"/>
      <c r="CB72" s="477" t="n"/>
      <c r="CC72" s="477" t="n"/>
      <c r="CD72" s="477" t="n"/>
      <c r="CE72" s="477" t="n"/>
      <c r="CF72" s="477" t="n"/>
      <c r="CG72" s="477" t="n"/>
      <c r="CH72" s="477" t="n"/>
      <c r="CI72" s="477" t="n"/>
      <c r="CJ72" s="477" t="n"/>
      <c r="CK72" s="477" t="n"/>
      <c r="CL72" s="477" t="n"/>
      <c r="CM72" s="477" t="n"/>
      <c r="CN72" s="477" t="n"/>
      <c r="CO72" s="477" t="n"/>
      <c r="CP72" s="477" t="n"/>
      <c r="CQ72" s="477" t="n"/>
      <c r="CR72" s="477" t="n"/>
      <c r="CS72" s="477" t="n"/>
      <c r="CT72" s="477" t="n"/>
    </row>
    <row r="73" ht="15" customFormat="1" customHeight="1" s="380">
      <c r="A73" s="476" t="inlineStr">
        <is>
          <t>Klump Guarantee Fee</t>
        </is>
      </c>
      <c r="C73" s="477" t="n"/>
      <c r="D73" s="477" t="n"/>
      <c r="E73" s="477" t="n"/>
      <c r="F73" s="477" t="n"/>
      <c r="G73" s="477" t="n"/>
      <c r="H73" s="477" t="n"/>
      <c r="I73" s="477" t="n"/>
      <c r="J73" s="477" t="n"/>
      <c r="K73" s="477" t="n"/>
      <c r="L73" s="477" t="n"/>
      <c r="M73" s="477" t="n"/>
      <c r="N73" s="477" t="n"/>
      <c r="O73" s="477" t="n"/>
      <c r="P73" s="477" t="n"/>
      <c r="Q73" s="477" t="n"/>
      <c r="R73" s="477" t="n"/>
      <c r="S73" s="477" t="n"/>
      <c r="T73" s="477" t="n"/>
      <c r="U73" s="477" t="n"/>
      <c r="V73" s="477" t="n"/>
      <c r="W73" s="477" t="n"/>
      <c r="X73" s="477" t="n"/>
      <c r="Y73" s="477" t="n"/>
      <c r="Z73" s="477" t="n"/>
      <c r="AA73" s="477" t="n"/>
      <c r="AB73" s="477" t="n"/>
      <c r="AC73" s="477" t="n"/>
      <c r="AD73" s="477" t="n"/>
      <c r="AE73" s="477" t="n"/>
      <c r="AF73" s="477" t="n"/>
      <c r="AG73" s="477" t="n"/>
      <c r="AH73" s="477" t="n"/>
      <c r="AI73" s="477" t="n"/>
      <c r="AJ73" s="477" t="n"/>
      <c r="AK73" s="477" t="n"/>
      <c r="AL73" s="477" t="n"/>
      <c r="AM73" s="477" t="n"/>
      <c r="AN73" s="477" t="n"/>
      <c r="AO73" s="477" t="n"/>
      <c r="AP73" s="477" t="n"/>
      <c r="AQ73" s="477" t="n"/>
      <c r="AR73" s="477" t="n"/>
      <c r="AS73" s="477" t="n"/>
      <c r="AT73" s="477" t="n"/>
      <c r="AU73" s="477" t="n"/>
      <c r="AV73" s="477" t="n"/>
      <c r="AW73" s="477" t="n"/>
      <c r="AX73" s="477" t="n"/>
      <c r="AY73" s="477" t="n"/>
      <c r="AZ73" s="477" t="n"/>
      <c r="BA73" s="477" t="n"/>
      <c r="BB73" s="477" t="n"/>
      <c r="BC73" s="477" t="n"/>
      <c r="BD73" s="477" t="n"/>
      <c r="BE73" s="477" t="n"/>
      <c r="BF73" s="477" t="n"/>
      <c r="BG73" s="477" t="n"/>
      <c r="BH73" s="477" t="n"/>
      <c r="BI73" s="477" t="n"/>
      <c r="BJ73" s="477" t="n"/>
      <c r="BK73" s="477" t="n"/>
      <c r="BL73" s="477" t="n"/>
      <c r="BM73" s="477" t="n"/>
      <c r="BN73" s="477" t="n"/>
      <c r="BO73" s="477" t="n"/>
      <c r="BP73" s="477" t="n"/>
      <c r="BQ73" s="477" t="n"/>
      <c r="BR73" s="477" t="n"/>
      <c r="BS73" s="477" t="n"/>
      <c r="BT73" s="477" t="n"/>
      <c r="BU73" s="477" t="n"/>
      <c r="BV73" s="477" t="n"/>
      <c r="BW73" s="477" t="n"/>
      <c r="BX73" s="477" t="n"/>
      <c r="BY73" s="477" t="n"/>
      <c r="BZ73" s="477" t="n"/>
      <c r="CA73" s="477" t="n"/>
      <c r="CB73" s="477" t="n"/>
      <c r="CC73" s="477" t="n"/>
      <c r="CD73" s="477" t="n"/>
      <c r="CE73" s="477" t="n"/>
      <c r="CF73" s="477" t="n"/>
      <c r="CG73" s="477" t="n"/>
      <c r="CH73" s="477" t="n"/>
      <c r="CI73" s="477" t="n"/>
      <c r="CJ73" s="477" t="n"/>
      <c r="CK73" s="477" t="n"/>
      <c r="CL73" s="477" t="n"/>
      <c r="CM73" s="477" t="n"/>
      <c r="CN73" s="477" t="n"/>
      <c r="CO73" s="477" t="n"/>
      <c r="CP73" s="477" t="n"/>
      <c r="CQ73" s="477" t="n"/>
      <c r="CR73" s="477" t="n"/>
      <c r="CS73" s="477" t="n"/>
      <c r="CT73" s="477" t="n"/>
    </row>
    <row r="74" ht="15" customFormat="1" customHeight="1" s="380">
      <c r="A74" s="476" t="inlineStr">
        <is>
          <t>Scott Accounting Fee</t>
        </is>
      </c>
      <c r="C74" s="477" t="n"/>
      <c r="D74" s="477" t="n"/>
      <c r="E74" s="477" t="n"/>
      <c r="F74" s="477" t="n"/>
      <c r="G74" s="477" t="n"/>
      <c r="H74" s="477" t="n"/>
      <c r="I74" s="477" t="n"/>
      <c r="J74" s="477" t="n"/>
      <c r="K74" s="477" t="n"/>
      <c r="L74" s="477" t="n"/>
      <c r="M74" s="477" t="n"/>
      <c r="N74" s="477" t="n"/>
      <c r="O74" s="477" t="n"/>
      <c r="P74" s="477" t="n"/>
      <c r="Q74" s="477" t="n"/>
      <c r="R74" s="477" t="n"/>
      <c r="S74" s="477" t="n"/>
      <c r="T74" s="477" t="n"/>
      <c r="U74" s="477" t="n"/>
      <c r="V74" s="477" t="n"/>
      <c r="W74" s="477" t="n"/>
      <c r="X74" s="477" t="n"/>
      <c r="Y74" s="477" t="n"/>
      <c r="Z74" s="477" t="n"/>
      <c r="AA74" s="477" t="n"/>
      <c r="AB74" s="477" t="n"/>
      <c r="AC74" s="477" t="n"/>
      <c r="AD74" s="477" t="n"/>
      <c r="AE74" s="477" t="n"/>
      <c r="AF74" s="477" t="n"/>
      <c r="AG74" s="477" t="n"/>
      <c r="AH74" s="477" t="n"/>
      <c r="AI74" s="477" t="n"/>
      <c r="AJ74" s="477" t="n"/>
      <c r="AK74" s="477" t="n"/>
      <c r="AL74" s="477" t="n"/>
      <c r="AM74" s="477" t="n"/>
      <c r="AN74" s="477" t="n"/>
      <c r="AO74" s="477" t="n"/>
      <c r="AP74" s="477" t="n"/>
      <c r="AQ74" s="477" t="n"/>
      <c r="AR74" s="477" t="n"/>
      <c r="AS74" s="477" t="n"/>
      <c r="AT74" s="477" t="n"/>
      <c r="AU74" s="477" t="n"/>
      <c r="AV74" s="477" t="n"/>
      <c r="AW74" s="477" t="n"/>
      <c r="AX74" s="477" t="n"/>
      <c r="AY74" s="477" t="n"/>
      <c r="AZ74" s="477" t="n"/>
      <c r="BA74" s="477" t="n"/>
      <c r="BB74" s="477" t="n"/>
      <c r="BC74" s="477" t="n"/>
      <c r="BD74" s="477" t="n"/>
      <c r="BE74" s="477" t="n"/>
      <c r="BF74" s="477" t="n"/>
      <c r="BG74" s="477" t="n"/>
      <c r="BH74" s="477" t="n"/>
      <c r="BI74" s="477" t="n"/>
      <c r="BJ74" s="477" t="n"/>
      <c r="BK74" s="477" t="n"/>
      <c r="BL74" s="477" t="n"/>
      <c r="BM74" s="477" t="n"/>
      <c r="BN74" s="477" t="n"/>
      <c r="BO74" s="477" t="n"/>
      <c r="BP74" s="477" t="n"/>
      <c r="BQ74" s="477" t="n"/>
      <c r="BR74" s="477" t="n"/>
      <c r="BS74" s="477" t="n"/>
      <c r="BT74" s="477" t="n"/>
      <c r="BU74" s="477" t="n"/>
      <c r="BV74" s="477" t="n"/>
      <c r="BW74" s="477" t="n"/>
      <c r="BX74" s="477" t="n"/>
      <c r="BY74" s="477" t="n"/>
      <c r="BZ74" s="477" t="n"/>
      <c r="CA74" s="477" t="n"/>
      <c r="CB74" s="477" t="n"/>
      <c r="CC74" s="477" t="n"/>
      <c r="CD74" s="477" t="n"/>
      <c r="CE74" s="477" t="n"/>
      <c r="CF74" s="477" t="n"/>
      <c r="CG74" s="477" t="n"/>
      <c r="CH74" s="477" t="n"/>
      <c r="CI74" s="477" t="n"/>
      <c r="CJ74" s="477" t="n"/>
      <c r="CK74" s="477" t="n"/>
      <c r="CL74" s="477" t="n"/>
      <c r="CM74" s="477" t="n"/>
      <c r="CN74" s="477" t="n"/>
      <c r="CO74" s="477" t="n"/>
      <c r="CP74" s="477" t="n"/>
      <c r="CQ74" s="477" t="n"/>
      <c r="CR74" s="477" t="n"/>
      <c r="CS74" s="477" t="n"/>
      <c r="CT74" s="477" t="n"/>
    </row>
    <row r="75" ht="15" customFormat="1" customHeight="1" s="380">
      <c r="A75" s="476" t="inlineStr">
        <is>
          <t>Scott Developer Fee</t>
        </is>
      </c>
      <c r="C75" s="477" t="n"/>
      <c r="D75" s="477" t="n"/>
      <c r="E75" s="477" t="n"/>
      <c r="F75" s="477" t="n"/>
      <c r="G75" s="477" t="n"/>
      <c r="H75" s="477" t="n"/>
      <c r="I75" s="477" t="n"/>
      <c r="J75" s="477" t="n"/>
      <c r="K75" s="477" t="n"/>
      <c r="L75" s="477" t="n"/>
      <c r="M75" s="477" t="n"/>
      <c r="N75" s="477" t="n"/>
      <c r="O75" s="477" t="n"/>
      <c r="P75" s="477" t="n"/>
      <c r="Q75" s="477" t="n"/>
      <c r="R75" s="477" t="n"/>
      <c r="S75" s="477" t="n"/>
      <c r="T75" s="477" t="n"/>
      <c r="U75" s="477" t="n"/>
      <c r="V75" s="477" t="n"/>
      <c r="W75" s="477" t="n"/>
      <c r="X75" s="477" t="n"/>
      <c r="Y75" s="477" t="n"/>
      <c r="Z75" s="477" t="n"/>
      <c r="AA75" s="477" t="n"/>
      <c r="AB75" s="477" t="n"/>
      <c r="AC75" s="477" t="n"/>
      <c r="AD75" s="477" t="n"/>
      <c r="AE75" s="477" t="n"/>
      <c r="AF75" s="477" t="n"/>
      <c r="AG75" s="477" t="n"/>
      <c r="AH75" s="477" t="n"/>
      <c r="AI75" s="477" t="n"/>
      <c r="AJ75" s="477" t="n"/>
      <c r="AK75" s="477" t="n"/>
      <c r="AL75" s="477" t="n"/>
      <c r="AM75" s="477" t="n"/>
      <c r="AN75" s="477" t="n"/>
      <c r="AO75" s="477" t="n"/>
      <c r="AP75" s="477" t="n"/>
      <c r="AQ75" s="477" t="n"/>
      <c r="AR75" s="477" t="n"/>
      <c r="AS75" s="477" t="n"/>
      <c r="AT75" s="477" t="n"/>
      <c r="AU75" s="477" t="n"/>
      <c r="AV75" s="477" t="n"/>
      <c r="AW75" s="477" t="n"/>
      <c r="AX75" s="477" t="n"/>
      <c r="AY75" s="477" t="n"/>
      <c r="AZ75" s="477" t="n"/>
      <c r="BA75" s="477" t="n"/>
      <c r="BB75" s="477" t="n"/>
      <c r="BC75" s="477" t="n"/>
      <c r="BD75" s="477" t="n"/>
      <c r="BE75" s="477" t="n"/>
      <c r="BF75" s="477" t="n"/>
      <c r="BG75" s="477" t="n"/>
      <c r="BH75" s="477" t="n"/>
      <c r="BI75" s="477" t="n"/>
      <c r="BJ75" s="477" t="n"/>
      <c r="BK75" s="477" t="n"/>
      <c r="BL75" s="477" t="n"/>
      <c r="BM75" s="477" t="n"/>
      <c r="BN75" s="477" t="n"/>
      <c r="BO75" s="477" t="n"/>
      <c r="BP75" s="477" t="n"/>
      <c r="BQ75" s="477" t="n"/>
      <c r="BR75" s="477" t="n"/>
      <c r="BS75" s="477" t="n"/>
      <c r="BT75" s="477" t="n"/>
      <c r="BU75" s="477" t="n"/>
      <c r="BV75" s="477" t="n"/>
      <c r="BW75" s="477" t="n"/>
      <c r="BX75" s="477" t="n"/>
      <c r="BY75" s="477" t="n"/>
      <c r="BZ75" s="477" t="n"/>
      <c r="CA75" s="477" t="n"/>
      <c r="CB75" s="477" t="n"/>
      <c r="CC75" s="477" t="n"/>
      <c r="CD75" s="477" t="n"/>
      <c r="CE75" s="477" t="n"/>
      <c r="CF75" s="477" t="n"/>
      <c r="CG75" s="477" t="n"/>
      <c r="CH75" s="477" t="n"/>
      <c r="CI75" s="477" t="n"/>
      <c r="CJ75" s="477" t="n"/>
      <c r="CK75" s="477" t="n"/>
      <c r="CL75" s="477" t="n"/>
      <c r="CM75" s="477" t="n"/>
      <c r="CN75" s="477" t="n"/>
      <c r="CO75" s="477" t="n"/>
      <c r="CP75" s="477" t="n"/>
      <c r="CQ75" s="477" t="n"/>
      <c r="CR75" s="477" t="n"/>
      <c r="CS75" s="477" t="n"/>
      <c r="CT75" s="477" t="n"/>
    </row>
    <row r="76" ht="15" customFormat="1" customHeight="1" s="380">
      <c r="A76" s="476" t="inlineStr">
        <is>
          <t>Scott Guarantee Fee</t>
        </is>
      </c>
      <c r="C76" s="477" t="n"/>
      <c r="D76" s="477" t="n"/>
      <c r="E76" s="477" t="n"/>
      <c r="F76" s="477" t="n"/>
      <c r="G76" s="477" t="n"/>
      <c r="H76" s="477" t="n"/>
      <c r="I76" s="477" t="n"/>
      <c r="J76" s="477" t="n"/>
      <c r="K76" s="477" t="n"/>
      <c r="L76" s="477" t="n"/>
      <c r="M76" s="477" t="n"/>
      <c r="N76" s="477" t="n"/>
      <c r="O76" s="477" t="n"/>
      <c r="P76" s="477" t="n"/>
      <c r="Q76" s="477" t="n"/>
      <c r="R76" s="477" t="n"/>
      <c r="S76" s="477" t="n"/>
      <c r="T76" s="477" t="n"/>
      <c r="U76" s="477" t="n"/>
      <c r="V76" s="477" t="n"/>
      <c r="W76" s="477" t="n"/>
      <c r="X76" s="477" t="n"/>
      <c r="Y76" s="477" t="n"/>
      <c r="Z76" s="477" t="n"/>
      <c r="AA76" s="477" t="n"/>
      <c r="AB76" s="477" t="n"/>
      <c r="AC76" s="477" t="n"/>
      <c r="AD76" s="477" t="n"/>
      <c r="AE76" s="477" t="n"/>
      <c r="AF76" s="477" t="n"/>
      <c r="AG76" s="477" t="n"/>
      <c r="AH76" s="477" t="n"/>
      <c r="AI76" s="477" t="n"/>
      <c r="AJ76" s="477" t="n"/>
      <c r="AK76" s="477" t="n"/>
      <c r="AL76" s="477" t="n"/>
      <c r="AM76" s="477" t="n"/>
      <c r="AN76" s="477" t="n"/>
      <c r="AO76" s="477" t="n"/>
      <c r="AP76" s="477" t="n"/>
      <c r="AQ76" s="477" t="n"/>
      <c r="AR76" s="477" t="n"/>
      <c r="AS76" s="477" t="n"/>
      <c r="AT76" s="477" t="n"/>
      <c r="AU76" s="477" t="n"/>
      <c r="AV76" s="477" t="n"/>
      <c r="AW76" s="477" t="n"/>
      <c r="AX76" s="477" t="n"/>
      <c r="AY76" s="477" t="n"/>
      <c r="AZ76" s="477" t="n"/>
      <c r="BA76" s="477" t="n"/>
      <c r="BB76" s="477" t="n"/>
      <c r="BC76" s="477" t="n"/>
      <c r="BD76" s="477" t="n"/>
      <c r="BE76" s="477" t="n"/>
      <c r="BF76" s="477" t="n"/>
      <c r="BG76" s="477" t="n"/>
      <c r="BH76" s="477" t="n"/>
      <c r="BI76" s="477" t="n"/>
      <c r="BJ76" s="477" t="n"/>
      <c r="BK76" s="477" t="n"/>
      <c r="BL76" s="477" t="n"/>
      <c r="BM76" s="477" t="n"/>
      <c r="BN76" s="477" t="n"/>
      <c r="BO76" s="477" t="n"/>
      <c r="BP76" s="477" t="n"/>
      <c r="BQ76" s="477" t="n"/>
      <c r="BR76" s="477" t="n"/>
      <c r="BS76" s="477" t="n"/>
      <c r="BT76" s="477" t="n"/>
      <c r="BU76" s="477" t="n"/>
      <c r="BV76" s="477" t="n"/>
      <c r="BW76" s="477" t="n"/>
      <c r="BX76" s="477" t="n"/>
      <c r="BY76" s="477" t="n"/>
      <c r="BZ76" s="477" t="n"/>
      <c r="CA76" s="477" t="n"/>
      <c r="CB76" s="477" t="n"/>
      <c r="CC76" s="477" t="n"/>
      <c r="CD76" s="477" t="n"/>
      <c r="CE76" s="477" t="n"/>
      <c r="CF76" s="477" t="n"/>
      <c r="CG76" s="477" t="n"/>
      <c r="CH76" s="477" t="n"/>
      <c r="CI76" s="477" t="n"/>
      <c r="CJ76" s="477" t="n"/>
      <c r="CK76" s="477" t="n"/>
      <c r="CL76" s="477" t="n"/>
      <c r="CM76" s="477" t="n"/>
      <c r="CN76" s="477" t="n"/>
      <c r="CO76" s="477" t="n"/>
      <c r="CP76" s="477" t="n"/>
      <c r="CQ76" s="477" t="n"/>
      <c r="CR76" s="477" t="n"/>
      <c r="CS76" s="477" t="n"/>
      <c r="CT76" s="477" t="n"/>
    </row>
    <row r="77" ht="15" customFormat="1" customHeight="1" s="380">
      <c r="A77" s="476" t="inlineStr">
        <is>
          <t>Francis LIHTC Revenue (SP Share)</t>
        </is>
      </c>
      <c r="C77" s="477" t="n"/>
      <c r="D77" s="477" t="n"/>
      <c r="E77" s="477" t="n"/>
      <c r="F77" s="477" t="n"/>
      <c r="G77" s="477" t="n"/>
      <c r="H77" s="477" t="n"/>
      <c r="I77" s="477" t="n"/>
      <c r="J77" s="477" t="n"/>
      <c r="K77" s="477" t="n"/>
      <c r="L77" s="477" t="n"/>
      <c r="M77" s="477" t="n"/>
      <c r="N77" s="477" t="n"/>
      <c r="O77" s="477" t="n"/>
      <c r="P77" s="477" t="n"/>
      <c r="Q77" s="477" t="n"/>
      <c r="R77" s="477" t="n"/>
      <c r="S77" s="477" t="n"/>
      <c r="T77" s="477" t="n"/>
      <c r="U77" s="477" t="n"/>
      <c r="V77" s="477" t="n"/>
      <c r="W77" s="477" t="n"/>
      <c r="X77" s="477" t="n"/>
      <c r="Y77" s="477" t="n"/>
      <c r="Z77" s="477" t="n"/>
      <c r="AA77" s="477" t="n"/>
      <c r="AB77" s="477" t="n"/>
      <c r="AC77" s="477" t="n"/>
      <c r="AD77" s="477" t="n"/>
      <c r="AE77" s="477" t="n"/>
      <c r="AF77" s="477" t="n"/>
      <c r="AG77" s="477" t="n"/>
      <c r="AH77" s="477" t="n"/>
      <c r="AI77" s="477" t="n"/>
      <c r="AJ77" s="477" t="n"/>
      <c r="AK77" s="477" t="n"/>
      <c r="AL77" s="477" t="n"/>
      <c r="AM77" s="477" t="n"/>
      <c r="AN77" s="477" t="n"/>
      <c r="AO77" s="477" t="n"/>
      <c r="AP77" s="477" t="n"/>
      <c r="AQ77" s="477" t="n"/>
      <c r="AR77" s="477" t="n"/>
      <c r="AS77" s="477" t="n"/>
      <c r="AT77" s="477" t="n"/>
      <c r="AU77" s="477" t="n"/>
      <c r="AV77" s="477" t="n"/>
      <c r="AW77" s="477" t="n"/>
      <c r="AX77" s="477" t="n"/>
      <c r="AY77" s="477" t="n"/>
      <c r="AZ77" s="477" t="n"/>
      <c r="BA77" s="477" t="n"/>
      <c r="BB77" s="477" t="n"/>
      <c r="BC77" s="477" t="n"/>
      <c r="BD77" s="477" t="n"/>
      <c r="BE77" s="477" t="n"/>
      <c r="BF77" s="477" t="n"/>
      <c r="BG77" s="477" t="n"/>
      <c r="BH77" s="477" t="n"/>
      <c r="BI77" s="477" t="n"/>
      <c r="BJ77" s="477" t="n"/>
      <c r="BK77" s="477" t="n"/>
      <c r="BL77" s="477" t="n"/>
      <c r="BM77" s="477" t="n"/>
      <c r="BN77" s="477" t="n"/>
      <c r="BO77" s="477" t="n"/>
      <c r="BP77" s="477" t="n"/>
      <c r="BQ77" s="477" t="n"/>
      <c r="BR77" s="477" t="n"/>
      <c r="BS77" s="477" t="n"/>
      <c r="BT77" s="477" t="n"/>
      <c r="BU77" s="477" t="n"/>
      <c r="BV77" s="477" t="n"/>
      <c r="BW77" s="477" t="n"/>
      <c r="BX77" s="477" t="n"/>
      <c r="BY77" s="477" t="n"/>
      <c r="BZ77" s="477" t="n"/>
      <c r="CA77" s="477" t="n"/>
      <c r="CB77" s="477" t="n"/>
      <c r="CC77" s="477" t="n"/>
      <c r="CD77" s="477" t="n"/>
      <c r="CE77" s="477" t="n"/>
      <c r="CF77" s="477" t="n"/>
      <c r="CG77" s="477" t="n"/>
      <c r="CH77" s="477" t="n"/>
      <c r="CI77" s="477" t="n"/>
      <c r="CJ77" s="477" t="n"/>
      <c r="CK77" s="477" t="n"/>
      <c r="CL77" s="477" t="n"/>
      <c r="CM77" s="477" t="n"/>
      <c r="CN77" s="477" t="n"/>
      <c r="CO77" s="477" t="n"/>
      <c r="CP77" s="477" t="n"/>
      <c r="CQ77" s="477" t="n"/>
      <c r="CR77" s="477" t="n"/>
      <c r="CS77" s="477" t="n"/>
      <c r="CT77" s="477" t="n"/>
    </row>
    <row r="78" ht="15" customFormat="1" customHeight="1" s="380">
      <c r="A78" s="476" t="inlineStr">
        <is>
          <t>Reseda LIHTC Revenue (SP Share)</t>
        </is>
      </c>
      <c r="C78" s="477" t="n"/>
      <c r="D78" s="477" t="n"/>
      <c r="E78" s="477" t="n"/>
      <c r="F78" s="477" t="n"/>
      <c r="G78" s="477" t="n"/>
      <c r="H78" s="477" t="n"/>
      <c r="I78" s="477" t="n"/>
      <c r="J78" s="477" t="n"/>
      <c r="K78" s="477" t="n"/>
      <c r="L78" s="477" t="n"/>
      <c r="M78" s="477" t="n"/>
      <c r="N78" s="477" t="n"/>
      <c r="O78" s="477" t="n"/>
      <c r="P78" s="477" t="n"/>
      <c r="Q78" s="477" t="n"/>
      <c r="R78" s="477" t="n"/>
      <c r="S78" s="477" t="n"/>
      <c r="T78" s="477" t="n"/>
      <c r="U78" s="477" t="n"/>
      <c r="V78" s="477" t="n"/>
      <c r="W78" s="477" t="n"/>
      <c r="X78" s="477" t="n"/>
      <c r="Y78" s="477" t="n"/>
      <c r="Z78" s="477" t="n"/>
      <c r="AA78" s="477" t="n"/>
      <c r="AB78" s="477" t="n"/>
      <c r="AC78" s="477" t="n"/>
      <c r="AD78" s="477" t="n"/>
      <c r="AE78" s="477" t="n"/>
      <c r="AF78" s="477" t="n"/>
      <c r="AG78" s="477" t="n"/>
      <c r="AH78" s="477" t="n"/>
      <c r="AI78" s="477" t="n"/>
      <c r="AJ78" s="477" t="n"/>
      <c r="AK78" s="477" t="n"/>
      <c r="AL78" s="477" t="n"/>
      <c r="AM78" s="477" t="n"/>
      <c r="AN78" s="477" t="n"/>
      <c r="AO78" s="477" t="n"/>
      <c r="AP78" s="477" t="n"/>
      <c r="AQ78" s="477" t="n"/>
      <c r="AR78" s="477" t="n"/>
      <c r="AS78" s="477" t="n"/>
      <c r="AT78" s="477" t="n"/>
      <c r="AU78" s="477" t="n"/>
      <c r="AV78" s="477" t="n"/>
      <c r="AW78" s="477" t="n"/>
      <c r="AX78" s="477" t="n"/>
      <c r="AY78" s="477" t="n"/>
      <c r="AZ78" s="477" t="n"/>
      <c r="BA78" s="477" t="n"/>
      <c r="BB78" s="477" t="n"/>
      <c r="BC78" s="477" t="n"/>
      <c r="BD78" s="477" t="n"/>
      <c r="BE78" s="477" t="n"/>
      <c r="BF78" s="477" t="n"/>
      <c r="BG78" s="477" t="n"/>
      <c r="BH78" s="477" t="n"/>
      <c r="BI78" s="477" t="n"/>
      <c r="BJ78" s="477" t="n"/>
      <c r="BK78" s="477" t="n"/>
      <c r="BL78" s="477" t="n"/>
      <c r="BM78" s="477" t="n"/>
      <c r="BN78" s="477" t="n"/>
      <c r="BO78" s="477" t="n"/>
      <c r="BP78" s="477" t="n"/>
      <c r="BQ78" s="477" t="n"/>
      <c r="BR78" s="477" t="n"/>
      <c r="BS78" s="477" t="n"/>
      <c r="BT78" s="477" t="n"/>
      <c r="BU78" s="477" t="n"/>
      <c r="BV78" s="477" t="n"/>
      <c r="BW78" s="477" t="n"/>
      <c r="BX78" s="477" t="n"/>
      <c r="BY78" s="477" t="n"/>
      <c r="BZ78" s="477" t="n"/>
      <c r="CA78" s="477" t="n"/>
      <c r="CB78" s="477" t="n"/>
      <c r="CC78" s="477" t="n"/>
      <c r="CD78" s="477" t="n"/>
      <c r="CE78" s="477" t="n"/>
      <c r="CF78" s="477" t="n"/>
      <c r="CG78" s="477" t="n"/>
      <c r="CH78" s="477" t="n"/>
      <c r="CI78" s="477" t="n"/>
      <c r="CJ78" s="477" t="n"/>
      <c r="CK78" s="477" t="n"/>
      <c r="CL78" s="477" t="n"/>
      <c r="CM78" s="477" t="n"/>
      <c r="CN78" s="477" t="n"/>
      <c r="CO78" s="477" t="n"/>
      <c r="CP78" s="477" t="n"/>
      <c r="CQ78" s="477" t="n"/>
      <c r="CR78" s="477" t="n"/>
      <c r="CS78" s="477" t="n"/>
      <c r="CT78" s="477" t="n"/>
    </row>
    <row r="79" ht="15" customFormat="1" customHeight="1" s="380">
      <c r="A79" s="476" t="inlineStr">
        <is>
          <t>3rd St LIHTC Revenue (SP Share)</t>
        </is>
      </c>
      <c r="C79" s="477" t="n"/>
      <c r="D79" s="477" t="n"/>
      <c r="E79" s="477" t="n"/>
      <c r="F79" s="477" t="n"/>
      <c r="G79" s="477" t="n"/>
      <c r="H79" s="477" t="n"/>
      <c r="I79" s="477" t="n"/>
      <c r="J79" s="477" t="n"/>
      <c r="K79" s="477" t="n"/>
      <c r="L79" s="477" t="n"/>
      <c r="M79" s="477" t="n"/>
      <c r="N79" s="477" t="n"/>
      <c r="O79" s="477" t="n"/>
      <c r="P79" s="477" t="n"/>
      <c r="Q79" s="477" t="n"/>
      <c r="R79" s="477" t="n"/>
      <c r="S79" s="477" t="n"/>
      <c r="T79" s="477" t="n"/>
      <c r="U79" s="477" t="n"/>
      <c r="V79" s="477" t="n"/>
      <c r="W79" s="477" t="n"/>
      <c r="X79" s="477" t="n"/>
      <c r="Y79" s="477" t="n"/>
      <c r="Z79" s="477" t="n"/>
      <c r="AA79" s="477" t="n"/>
      <c r="AB79" s="477" t="n"/>
      <c r="AC79" s="477" t="n"/>
      <c r="AD79" s="477" t="n"/>
      <c r="AE79" s="477" t="n"/>
      <c r="AF79" s="477" t="n"/>
      <c r="AG79" s="477" t="n"/>
      <c r="AH79" s="477" t="n"/>
      <c r="AI79" s="477" t="n"/>
      <c r="AJ79" s="477" t="n"/>
      <c r="AK79" s="477" t="n"/>
      <c r="AL79" s="477" t="n"/>
      <c r="AM79" s="477" t="n"/>
      <c r="AN79" s="477" t="n"/>
      <c r="AO79" s="477" t="n"/>
      <c r="AP79" s="477" t="n"/>
      <c r="AQ79" s="477" t="n"/>
      <c r="AR79" s="477" t="n"/>
      <c r="AS79" s="477" t="n"/>
      <c r="AT79" s="477" t="n"/>
      <c r="AU79" s="477" t="n"/>
      <c r="AV79" s="477" t="n"/>
      <c r="AW79" s="477" t="n"/>
      <c r="AX79" s="477" t="n"/>
      <c r="AY79" s="477" t="n"/>
      <c r="AZ79" s="477" t="n"/>
      <c r="BA79" s="477" t="n"/>
      <c r="BB79" s="477" t="n"/>
      <c r="BC79" s="477" t="n"/>
      <c r="BD79" s="477" t="n"/>
      <c r="BE79" s="477" t="n"/>
      <c r="BF79" s="477" t="n"/>
      <c r="BG79" s="477" t="n"/>
      <c r="BH79" s="477" t="n"/>
      <c r="BI79" s="477" t="n"/>
      <c r="BJ79" s="477" t="n"/>
      <c r="BK79" s="477" t="n"/>
      <c r="BL79" s="477" t="n"/>
      <c r="BM79" s="477" t="n"/>
      <c r="BN79" s="477" t="n"/>
      <c r="BO79" s="477" t="n"/>
      <c r="BP79" s="477" t="n"/>
      <c r="BQ79" s="477" t="n"/>
      <c r="BR79" s="477" t="n"/>
      <c r="BS79" s="477" t="n"/>
      <c r="BT79" s="477" t="n"/>
      <c r="BU79" s="477" t="n"/>
      <c r="BV79" s="477" t="n"/>
      <c r="BW79" s="477" t="n"/>
      <c r="BX79" s="477" t="n"/>
      <c r="BY79" s="477" t="n"/>
      <c r="BZ79" s="477" t="n"/>
      <c r="CA79" s="477" t="n"/>
      <c r="CB79" s="477" t="n"/>
      <c r="CC79" s="477" t="n"/>
      <c r="CD79" s="477" t="n"/>
      <c r="CE79" s="477" t="n"/>
      <c r="CF79" s="477" t="n"/>
      <c r="CG79" s="477" t="n"/>
      <c r="CH79" s="477" t="n"/>
      <c r="CI79" s="477" t="n"/>
      <c r="CJ79" s="477" t="n"/>
      <c r="CK79" s="477" t="n"/>
      <c r="CL79" s="477" t="n"/>
      <c r="CM79" s="477" t="n"/>
      <c r="CN79" s="477" t="n"/>
      <c r="CO79" s="477" t="n"/>
      <c r="CP79" s="477" t="n"/>
      <c r="CQ79" s="477" t="n"/>
      <c r="CR79" s="477" t="n"/>
      <c r="CS79" s="477" t="n"/>
      <c r="CT79" s="477" t="n"/>
    </row>
    <row r="80" ht="15" customFormat="1" customHeight="1" s="380">
      <c r="A80" s="476" t="inlineStr">
        <is>
          <t>Uplifters Total to SP</t>
        </is>
      </c>
      <c r="C80" s="477" t="n"/>
      <c r="D80" s="477" t="n"/>
      <c r="E80" s="477" t="n"/>
      <c r="F80" s="477" t="n"/>
      <c r="G80" s="477" t="n"/>
      <c r="H80" s="477" t="n"/>
      <c r="I80" s="477" t="n"/>
      <c r="J80" s="477" t="n"/>
      <c r="K80" s="477" t="n"/>
      <c r="L80" s="477" t="n"/>
      <c r="M80" s="477" t="n"/>
      <c r="N80" s="477" t="n"/>
      <c r="O80" s="477" t="n"/>
      <c r="P80" s="477" t="n"/>
      <c r="Q80" s="477" t="n"/>
      <c r="R80" s="477" t="n"/>
      <c r="S80" s="477" t="n"/>
      <c r="T80" s="477" t="n"/>
      <c r="U80" s="477" t="n"/>
      <c r="V80" s="477" t="n"/>
      <c r="W80" s="477" t="n"/>
      <c r="X80" s="477" t="n"/>
      <c r="Y80" s="477" t="n"/>
      <c r="Z80" s="477" t="n"/>
      <c r="AA80" s="477" t="n"/>
      <c r="AB80" s="477" t="n"/>
      <c r="AC80" s="477" t="n"/>
      <c r="AD80" s="477" t="n"/>
      <c r="AE80" s="477" t="n"/>
      <c r="AF80" s="477" t="n"/>
      <c r="AG80" s="477" t="n"/>
      <c r="AH80" s="477" t="n"/>
      <c r="AI80" s="477" t="n"/>
      <c r="AJ80" s="477" t="n"/>
      <c r="AK80" s="477" t="n"/>
      <c r="AL80" s="477" t="n"/>
      <c r="AM80" s="477" t="n"/>
      <c r="AN80" s="477" t="n"/>
      <c r="AO80" s="477" t="n"/>
      <c r="AP80" s="477" t="n"/>
      <c r="AQ80" s="477" t="n"/>
      <c r="AR80" s="477" t="n"/>
      <c r="AS80" s="477" t="n"/>
      <c r="AT80" s="477" t="n"/>
      <c r="AU80" s="477" t="n"/>
      <c r="AV80" s="477" t="n"/>
      <c r="AW80" s="477" t="n"/>
      <c r="AX80" s="477" t="n"/>
      <c r="AY80" s="477" t="n"/>
      <c r="AZ80" s="477" t="n"/>
      <c r="BA80" s="477" t="n"/>
      <c r="BB80" s="477" t="n"/>
      <c r="BC80" s="477" t="n"/>
      <c r="BD80" s="477" t="n"/>
      <c r="BE80" s="477" t="n"/>
      <c r="BF80" s="477" t="n"/>
      <c r="BG80" s="477" t="n"/>
      <c r="BH80" s="477" t="n"/>
      <c r="BI80" s="477" t="n"/>
      <c r="BJ80" s="477" t="n"/>
      <c r="BK80" s="477" t="n"/>
      <c r="BL80" s="477" t="n"/>
      <c r="BM80" s="477" t="n"/>
      <c r="BN80" s="477" t="n"/>
      <c r="BO80" s="477" t="n"/>
      <c r="BP80" s="477" t="n"/>
      <c r="BQ80" s="477" t="n"/>
      <c r="BR80" s="477" t="n"/>
      <c r="BS80" s="477" t="n"/>
      <c r="BT80" s="477" t="n"/>
      <c r="BU80" s="477" t="n"/>
      <c r="BV80" s="477" t="n"/>
      <c r="BW80" s="477" t="n"/>
      <c r="BX80" s="477" t="n"/>
      <c r="BY80" s="477" t="n"/>
      <c r="BZ80" s="477" t="n"/>
      <c r="CA80" s="477" t="n"/>
      <c r="CB80" s="477" t="n"/>
      <c r="CC80" s="477" t="n"/>
      <c r="CD80" s="477" t="n"/>
      <c r="CE80" s="477" t="n"/>
      <c r="CF80" s="477" t="n"/>
      <c r="CG80" s="477" t="n"/>
      <c r="CH80" s="477" t="n"/>
      <c r="CI80" s="477" t="n"/>
      <c r="CJ80" s="477" t="n"/>
      <c r="CK80" s="477" t="n"/>
      <c r="CL80" s="477" t="n"/>
      <c r="CM80" s="477" t="n"/>
      <c r="CN80" s="477" t="n"/>
      <c r="CO80" s="477" t="n"/>
      <c r="CP80" s="477" t="n"/>
      <c r="CQ80" s="477" t="n"/>
      <c r="CR80" s="477" t="n"/>
      <c r="CS80" s="477" t="n"/>
      <c r="CT80" s="477" t="n"/>
    </row>
    <row r="81" ht="15" customFormat="1" customHeight="1" s="380">
      <c r="A81" s="473" t="inlineStr">
        <is>
          <t>Total Six Peak Revenue</t>
        </is>
      </c>
      <c r="C81" s="479">
        <f>SUM(C63:C80)</f>
        <v/>
      </c>
      <c r="D81" s="479">
        <f>SUM(D63:D80)</f>
        <v/>
      </c>
      <c r="E81" s="479">
        <f>SUM(E63:E80)</f>
        <v/>
      </c>
      <c r="F81" s="479">
        <f>SUM(F63:F80)</f>
        <v/>
      </c>
      <c r="G81" s="479">
        <f>SUM(G63:G80)</f>
        <v/>
      </c>
      <c r="H81" s="479">
        <f>SUM(H63:H80)</f>
        <v/>
      </c>
      <c r="I81" s="479">
        <f>SUM(I63:I80)</f>
        <v/>
      </c>
      <c r="J81" s="479">
        <f>SUM(J63:J80)</f>
        <v/>
      </c>
      <c r="K81" s="479">
        <f>SUM(K63:K80)</f>
        <v/>
      </c>
      <c r="L81" s="479">
        <f>SUM(L63:L80)</f>
        <v/>
      </c>
      <c r="M81" s="479">
        <f>SUM(M63:M80)</f>
        <v/>
      </c>
      <c r="N81" s="479">
        <f>SUM(N63:N80)</f>
        <v/>
      </c>
      <c r="O81" s="479">
        <f>SUM(O63:O80)</f>
        <v/>
      </c>
      <c r="P81" s="479">
        <f>SUM(P63:P80)</f>
        <v/>
      </c>
      <c r="Q81" s="479">
        <f>SUM(Q63:Q80)</f>
        <v/>
      </c>
      <c r="R81" s="479">
        <f>SUM(R63:R80)</f>
        <v/>
      </c>
      <c r="S81" s="479">
        <f>SUM(S63:S80)</f>
        <v/>
      </c>
      <c r="T81" s="479">
        <f>SUM(T63:T80)</f>
        <v/>
      </c>
      <c r="U81" s="479">
        <f>SUM(U63:U80)</f>
        <v/>
      </c>
      <c r="V81" s="479">
        <f>SUM(V63:V80)</f>
        <v/>
      </c>
      <c r="W81" s="479">
        <f>SUM(W63:W80)</f>
        <v/>
      </c>
      <c r="X81" s="479">
        <f>SUM(X63:X80)</f>
        <v/>
      </c>
      <c r="Y81" s="479">
        <f>SUM(Y63:Y80)</f>
        <v/>
      </c>
      <c r="Z81" s="479">
        <f>SUM(Z63:Z80)</f>
        <v/>
      </c>
      <c r="AA81" s="479">
        <f>SUM(AA63:AA80)</f>
        <v/>
      </c>
      <c r="AB81" s="479">
        <f>SUM(AB63:AB80)</f>
        <v/>
      </c>
      <c r="AC81" s="479">
        <f>SUM(AC63:AC80)</f>
        <v/>
      </c>
      <c r="AD81" s="479">
        <f>SUM(AD63:AD80)</f>
        <v/>
      </c>
      <c r="AE81" s="479">
        <f>SUM(AE63:AE80)</f>
        <v/>
      </c>
      <c r="AF81" s="479">
        <f>SUM(AF63:AF80)</f>
        <v/>
      </c>
      <c r="AG81" s="479">
        <f>SUM(AG63:AG80)</f>
        <v/>
      </c>
      <c r="AH81" s="479">
        <f>SUM(AH63:AH80)</f>
        <v/>
      </c>
      <c r="AI81" s="479">
        <f>SUM(AI63:AI80)</f>
        <v/>
      </c>
      <c r="AJ81" s="479">
        <f>SUM(AJ63:AJ80)</f>
        <v/>
      </c>
      <c r="AK81" s="479">
        <f>SUM(AK63:AK80)</f>
        <v/>
      </c>
      <c r="AL81" s="479">
        <f>SUM(AL63:AL80)</f>
        <v/>
      </c>
      <c r="AM81" s="479">
        <f>SUM(AM63:AM80)</f>
        <v/>
      </c>
      <c r="AN81" s="479">
        <f>SUM(AN63:AN80)</f>
        <v/>
      </c>
      <c r="AO81" s="479">
        <f>SUM(AO63:AO80)</f>
        <v/>
      </c>
      <c r="AP81" s="479">
        <f>SUM(AP63:AP80)</f>
        <v/>
      </c>
      <c r="AQ81" s="479">
        <f>SUM(AQ63:AQ80)</f>
        <v/>
      </c>
      <c r="AR81" s="479">
        <f>SUM(AR63:AR80)</f>
        <v/>
      </c>
      <c r="AS81" s="479">
        <f>SUM(AS63:AS80)</f>
        <v/>
      </c>
      <c r="AT81" s="479">
        <f>SUM(AT63:AT80)</f>
        <v/>
      </c>
      <c r="AU81" s="479">
        <f>SUM(AU63:AU80)</f>
        <v/>
      </c>
      <c r="AV81" s="479">
        <f>SUM(AV63:AV80)</f>
        <v/>
      </c>
      <c r="AW81" s="479">
        <f>SUM(AW63:AW80)</f>
        <v/>
      </c>
      <c r="AX81" s="479">
        <f>SUM(AX63:AX80)</f>
        <v/>
      </c>
      <c r="AY81" s="479">
        <f>SUM(AY63:AY80)</f>
        <v/>
      </c>
      <c r="AZ81" s="479">
        <f>SUM(AZ63:AZ80)</f>
        <v/>
      </c>
      <c r="BA81" s="479">
        <f>SUM(BA63:BA80)</f>
        <v/>
      </c>
      <c r="BB81" s="479">
        <f>SUM(BB63:BB80)</f>
        <v/>
      </c>
      <c r="BC81" s="479">
        <f>SUM(BC63:BC80)</f>
        <v/>
      </c>
      <c r="BD81" s="479">
        <f>SUM(BD63:BD80)</f>
        <v/>
      </c>
      <c r="BE81" s="479">
        <f>SUM(BE63:BE80)</f>
        <v/>
      </c>
      <c r="BF81" s="479">
        <f>SUM(BF63:BF80)</f>
        <v/>
      </c>
      <c r="BG81" s="479">
        <f>SUM(BG63:BG80)</f>
        <v/>
      </c>
      <c r="BH81" s="479">
        <f>SUM(BH63:BH80)</f>
        <v/>
      </c>
      <c r="BI81" s="479">
        <f>SUM(BI63:BI80)</f>
        <v/>
      </c>
      <c r="BJ81" s="479">
        <f>SUM(BJ63:BJ80)</f>
        <v/>
      </c>
      <c r="BK81" s="479">
        <f>SUM(BK63:BK80)</f>
        <v/>
      </c>
      <c r="BL81" s="479">
        <f>SUM(BL63:BL80)</f>
        <v/>
      </c>
      <c r="BM81" s="479">
        <f>SUM(BM63:BM80)</f>
        <v/>
      </c>
      <c r="BN81" s="479">
        <f>SUM(BN63:BN80)</f>
        <v/>
      </c>
      <c r="BO81" s="479">
        <f>SUM(BO63:BO80)</f>
        <v/>
      </c>
      <c r="BP81" s="479">
        <f>SUM(BP63:BP80)</f>
        <v/>
      </c>
      <c r="BQ81" s="479">
        <f>SUM(BQ63:BQ80)</f>
        <v/>
      </c>
      <c r="BR81" s="479">
        <f>SUM(BR63:BR80)</f>
        <v/>
      </c>
      <c r="BS81" s="479">
        <f>SUM(BS63:BS80)</f>
        <v/>
      </c>
      <c r="BT81" s="479">
        <f>SUM(BT63:BT80)</f>
        <v/>
      </c>
      <c r="BU81" s="479">
        <f>SUM(BU63:BU80)</f>
        <v/>
      </c>
      <c r="BV81" s="479">
        <f>SUM(BV63:BV80)</f>
        <v/>
      </c>
      <c r="BW81" s="479">
        <f>SUM(BW63:BW80)</f>
        <v/>
      </c>
      <c r="BX81" s="479">
        <f>SUM(BX63:BX80)</f>
        <v/>
      </c>
      <c r="BY81" s="479">
        <f>SUM(BY63:BY80)</f>
        <v/>
      </c>
      <c r="BZ81" s="479">
        <f>SUM(BZ63:BZ80)</f>
        <v/>
      </c>
      <c r="CA81" s="479">
        <f>SUM(CA63:CA80)</f>
        <v/>
      </c>
      <c r="CB81" s="479">
        <f>SUM(CB63:CB80)</f>
        <v/>
      </c>
      <c r="CC81" s="479">
        <f>SUM(CC63:CC80)</f>
        <v/>
      </c>
      <c r="CD81" s="479">
        <f>SUM(CD63:CD80)</f>
        <v/>
      </c>
      <c r="CE81" s="479">
        <f>SUM(CE63:CE80)</f>
        <v/>
      </c>
      <c r="CF81" s="479">
        <f>SUM(CF63:CF80)</f>
        <v/>
      </c>
      <c r="CG81" s="479">
        <f>SUM(CG63:CG80)</f>
        <v/>
      </c>
      <c r="CH81" s="479">
        <f>SUM(CH63:CH80)</f>
        <v/>
      </c>
      <c r="CI81" s="479">
        <f>SUM(CI63:CI80)</f>
        <v/>
      </c>
      <c r="CJ81" s="479">
        <f>SUM(CJ63:CJ80)</f>
        <v/>
      </c>
      <c r="CK81" s="479">
        <f>SUM(CK63:CK80)</f>
        <v/>
      </c>
      <c r="CL81" s="479">
        <f>SUM(CL63:CL80)</f>
        <v/>
      </c>
      <c r="CM81" s="479">
        <f>SUM(CM63:CM80)</f>
        <v/>
      </c>
      <c r="CN81" s="479">
        <f>SUM(CN63:CN80)</f>
        <v/>
      </c>
      <c r="CO81" s="479">
        <f>SUM(CO63:CO80)</f>
        <v/>
      </c>
      <c r="CP81" s="479">
        <f>SUM(CP63:CP80)</f>
        <v/>
      </c>
      <c r="CQ81" s="479">
        <f>SUM(CQ63:CQ80)</f>
        <v/>
      </c>
      <c r="CR81" s="479">
        <f>SUM(CR63:CR80)</f>
        <v/>
      </c>
      <c r="CS81" s="479">
        <f>SUM(CS63:CS80)</f>
        <v/>
      </c>
      <c r="CT81" s="479">
        <f>SUM(CT63:CT80)</f>
        <v/>
      </c>
    </row>
    <row r="82" ht="15" customFormat="1" customHeight="1" s="380">
      <c r="A82" s="476" t="n"/>
      <c r="C82" s="477" t="n"/>
      <c r="D82" s="477" t="n"/>
      <c r="E82" s="477" t="n"/>
      <c r="F82" s="477" t="n"/>
      <c r="G82" s="477" t="n"/>
      <c r="H82" s="477" t="n"/>
      <c r="I82" s="477" t="n"/>
      <c r="J82" s="477" t="n"/>
      <c r="K82" s="477" t="n"/>
      <c r="L82" s="477" t="n"/>
      <c r="M82" s="477" t="n"/>
      <c r="N82" s="477" t="n"/>
      <c r="O82" s="477" t="n"/>
      <c r="P82" s="477" t="n"/>
      <c r="Q82" s="477" t="n"/>
      <c r="R82" s="477" t="n"/>
      <c r="S82" s="477" t="n"/>
      <c r="T82" s="477" t="n"/>
      <c r="U82" s="477" t="n"/>
      <c r="V82" s="477" t="n"/>
      <c r="W82" s="477" t="n"/>
      <c r="X82" s="477" t="n"/>
      <c r="Y82" s="477" t="n"/>
      <c r="Z82" s="477" t="n"/>
      <c r="AA82" s="477" t="n"/>
      <c r="AB82" s="477" t="n"/>
      <c r="AC82" s="477" t="n"/>
      <c r="AD82" s="477" t="n"/>
      <c r="AE82" s="477" t="n"/>
      <c r="AF82" s="477" t="n"/>
      <c r="AG82" s="477" t="n"/>
      <c r="AH82" s="477" t="n"/>
      <c r="AI82" s="477" t="n"/>
      <c r="AJ82" s="477" t="n"/>
      <c r="AK82" s="477" t="n"/>
      <c r="AL82" s="477" t="n"/>
      <c r="AM82" s="477" t="n"/>
      <c r="AN82" s="477" t="n"/>
      <c r="AO82" s="477" t="n"/>
      <c r="AP82" s="477" t="n"/>
      <c r="AQ82" s="477" t="n"/>
      <c r="AR82" s="477" t="n"/>
      <c r="AS82" s="477" t="n"/>
      <c r="AT82" s="477" t="n"/>
      <c r="AU82" s="477" t="n"/>
      <c r="AV82" s="477" t="n"/>
      <c r="AW82" s="477" t="n"/>
      <c r="AX82" s="477" t="n"/>
      <c r="AY82" s="477" t="n"/>
      <c r="AZ82" s="477" t="n"/>
      <c r="BA82" s="477" t="n"/>
      <c r="BB82" s="477" t="n"/>
      <c r="BC82" s="477" t="n"/>
      <c r="BD82" s="477" t="n"/>
      <c r="BE82" s="477" t="n"/>
      <c r="BF82" s="477" t="n"/>
      <c r="BG82" s="477" t="n"/>
      <c r="BH82" s="477" t="n"/>
      <c r="BI82" s="477" t="n"/>
      <c r="BJ82" s="477" t="n"/>
      <c r="BK82" s="477" t="n"/>
      <c r="BL82" s="477" t="n"/>
      <c r="BM82" s="477" t="n"/>
      <c r="BN82" s="477" t="n"/>
      <c r="BO82" s="477" t="n"/>
      <c r="BP82" s="477" t="n"/>
      <c r="BQ82" s="477" t="n"/>
      <c r="BR82" s="477" t="n"/>
      <c r="BS82" s="477" t="n"/>
      <c r="BT82" s="477" t="n"/>
      <c r="BU82" s="477" t="n"/>
      <c r="BV82" s="477" t="n"/>
      <c r="BW82" s="477" t="n"/>
      <c r="BX82" s="477" t="n"/>
      <c r="BY82" s="477" t="n"/>
      <c r="BZ82" s="477" t="n"/>
      <c r="CA82" s="477" t="n"/>
      <c r="CB82" s="477" t="n"/>
      <c r="CC82" s="477" t="n"/>
      <c r="CD82" s="477" t="n"/>
      <c r="CE82" s="477" t="n"/>
      <c r="CF82" s="477" t="n"/>
      <c r="CG82" s="477" t="n"/>
      <c r="CH82" s="477" t="n"/>
      <c r="CI82" s="477" t="n"/>
      <c r="CJ82" s="477" t="n"/>
      <c r="CK82" s="477" t="n"/>
      <c r="CL82" s="477" t="n"/>
      <c r="CM82" s="477" t="n"/>
      <c r="CN82" s="477" t="n"/>
      <c r="CO82" s="477" t="n"/>
      <c r="CP82" s="477" t="n"/>
      <c r="CQ82" s="477" t="n"/>
      <c r="CR82" s="477" t="n"/>
      <c r="CS82" s="477" t="n"/>
      <c r="CT82" s="477" t="n"/>
    </row>
    <row r="83" ht="15" customFormat="1" customHeight="1" s="380">
      <c r="A83" s="476" t="inlineStr">
        <is>
          <t>5000-1000 Payroll</t>
        </is>
      </c>
      <c r="C83" s="477" t="n">
        <v>-54421</v>
      </c>
      <c r="D83" s="477" t="n">
        <v>-54166.68</v>
      </c>
      <c r="E83" s="477" t="n">
        <v>-54166.68</v>
      </c>
      <c r="F83" s="477" t="n">
        <v>-54166.68</v>
      </c>
      <c r="G83" s="477" t="n">
        <v>-54166.68</v>
      </c>
      <c r="H83" s="477" t="n">
        <v>-54166.68</v>
      </c>
      <c r="I83" s="477" t="n">
        <v>-54166.68</v>
      </c>
      <c r="J83" s="477" t="n"/>
      <c r="K83" s="477" t="n"/>
      <c r="L83" s="477" t="n"/>
      <c r="M83" s="477" t="n"/>
      <c r="N83" s="477" t="n"/>
      <c r="O83" s="477" t="n"/>
      <c r="P83" s="477" t="n"/>
      <c r="Q83" s="477" t="n"/>
      <c r="R83" s="477" t="n"/>
      <c r="S83" s="477" t="n"/>
      <c r="T83" s="477" t="n"/>
      <c r="U83" s="477" t="n"/>
      <c r="V83" s="477" t="n"/>
      <c r="W83" s="477" t="n"/>
      <c r="X83" s="477" t="n"/>
      <c r="Y83" s="477" t="n"/>
      <c r="Z83" s="477" t="n"/>
      <c r="AA83" s="477" t="n"/>
      <c r="AB83" s="477" t="n"/>
      <c r="AC83" s="477" t="n"/>
      <c r="AD83" s="477" t="n"/>
      <c r="AE83" s="477" t="n"/>
      <c r="AF83" s="477" t="n"/>
      <c r="AG83" s="477" t="n"/>
      <c r="AH83" s="477" t="n"/>
      <c r="AI83" s="477" t="n"/>
      <c r="AJ83" s="477" t="n"/>
      <c r="AK83" s="477" t="n"/>
      <c r="AL83" s="477" t="n"/>
      <c r="AM83" s="477" t="n"/>
      <c r="AN83" s="477" t="n"/>
      <c r="AO83" s="477" t="n"/>
      <c r="AP83" s="477" t="n"/>
      <c r="AQ83" s="477" t="n"/>
      <c r="AR83" s="477" t="n"/>
      <c r="AS83" s="477" t="n"/>
      <c r="AT83" s="477" t="n"/>
      <c r="AU83" s="477" t="n"/>
      <c r="AV83" s="477" t="n"/>
      <c r="AW83" s="477" t="n"/>
      <c r="AX83" s="477" t="n"/>
      <c r="AY83" s="477" t="n"/>
      <c r="AZ83" s="477" t="n"/>
      <c r="BA83" s="477" t="n"/>
      <c r="BB83" s="477" t="n"/>
      <c r="BC83" s="477" t="n"/>
      <c r="BD83" s="477" t="n"/>
      <c r="BE83" s="477" t="n"/>
      <c r="BF83" s="477" t="n"/>
      <c r="BG83" s="477" t="n"/>
      <c r="BH83" s="477" t="n"/>
      <c r="BI83" s="477" t="n"/>
      <c r="BJ83" s="477" t="n"/>
      <c r="BK83" s="477" t="n"/>
      <c r="BL83" s="477" t="n"/>
      <c r="BM83" s="477" t="n"/>
      <c r="BN83" s="477" t="n"/>
      <c r="BO83" s="477" t="n"/>
      <c r="BP83" s="477" t="n"/>
      <c r="BQ83" s="477" t="n"/>
      <c r="BR83" s="477" t="n"/>
      <c r="BS83" s="477" t="n"/>
      <c r="BT83" s="477" t="n"/>
      <c r="BU83" s="477" t="n"/>
      <c r="BV83" s="477" t="n"/>
      <c r="BW83" s="477" t="n"/>
      <c r="BX83" s="477" t="n"/>
      <c r="BY83" s="477" t="n"/>
      <c r="BZ83" s="477" t="n"/>
      <c r="CA83" s="477" t="n"/>
      <c r="CB83" s="477" t="n"/>
      <c r="CC83" s="477" t="n"/>
      <c r="CD83" s="477" t="n"/>
      <c r="CE83" s="477" t="n"/>
      <c r="CF83" s="477" t="n"/>
      <c r="CG83" s="477" t="n"/>
      <c r="CH83" s="477" t="n"/>
      <c r="CI83" s="477" t="n"/>
      <c r="CJ83" s="477" t="n"/>
      <c r="CK83" s="477" t="n"/>
      <c r="CL83" s="477" t="n"/>
      <c r="CM83" s="477" t="n"/>
      <c r="CN83" s="477" t="n"/>
      <c r="CO83" s="477" t="n"/>
      <c r="CP83" s="477" t="n"/>
      <c r="CQ83" s="477" t="n"/>
      <c r="CR83" s="477" t="n"/>
      <c r="CS83" s="477" t="n"/>
      <c r="CT83" s="477" t="n"/>
    </row>
    <row r="84" ht="15" customFormat="1" customHeight="1" s="380">
      <c r="A84" s="476" t="inlineStr">
        <is>
          <t>5000-1001 Payroll Taxes</t>
        </is>
      </c>
      <c r="C84" s="477" t="n">
        <v>-5302</v>
      </c>
      <c r="D84" s="477" t="n">
        <v>-4279.79</v>
      </c>
      <c r="E84" s="477" t="n">
        <v>-4145.97</v>
      </c>
      <c r="F84" s="477" t="n">
        <v>-4145.96</v>
      </c>
      <c r="G84" s="477" t="n">
        <v>-4145.99</v>
      </c>
      <c r="H84" s="477" t="n">
        <v>-4145.95</v>
      </c>
      <c r="I84" s="477" t="n">
        <v>-4145.97</v>
      </c>
      <c r="J84" s="477" t="n"/>
      <c r="K84" s="477" t="n"/>
      <c r="L84" s="477" t="n"/>
      <c r="M84" s="477" t="n"/>
      <c r="N84" s="477" t="n"/>
      <c r="O84" s="477" t="n"/>
      <c r="P84" s="477" t="n"/>
      <c r="Q84" s="477" t="n"/>
      <c r="R84" s="477" t="n"/>
      <c r="S84" s="477" t="n"/>
      <c r="T84" s="477" t="n"/>
      <c r="U84" s="477" t="n"/>
      <c r="V84" s="477" t="n"/>
      <c r="W84" s="477" t="n"/>
      <c r="X84" s="477" t="n"/>
      <c r="Y84" s="477" t="n"/>
      <c r="Z84" s="477" t="n"/>
      <c r="AA84" s="477" t="n"/>
      <c r="AB84" s="477" t="n"/>
      <c r="AC84" s="477" t="n"/>
      <c r="AD84" s="477" t="n"/>
      <c r="AE84" s="477" t="n"/>
      <c r="AF84" s="477" t="n"/>
      <c r="AG84" s="477" t="n"/>
      <c r="AH84" s="477" t="n"/>
      <c r="AI84" s="477" t="n"/>
      <c r="AJ84" s="477" t="n"/>
      <c r="AK84" s="477" t="n"/>
      <c r="AL84" s="477" t="n"/>
      <c r="AM84" s="477" t="n"/>
      <c r="AN84" s="477" t="n"/>
      <c r="AO84" s="477" t="n"/>
      <c r="AP84" s="477" t="n"/>
      <c r="AQ84" s="477" t="n"/>
      <c r="AR84" s="477" t="n"/>
      <c r="AS84" s="477" t="n"/>
      <c r="AT84" s="477" t="n"/>
      <c r="AU84" s="477" t="n"/>
      <c r="AV84" s="477" t="n"/>
      <c r="AW84" s="477" t="n"/>
      <c r="AX84" s="477" t="n"/>
      <c r="AY84" s="477" t="n"/>
      <c r="AZ84" s="477" t="n"/>
      <c r="BA84" s="477" t="n"/>
      <c r="BB84" s="477" t="n"/>
      <c r="BC84" s="477" t="n"/>
      <c r="BD84" s="477" t="n"/>
      <c r="BE84" s="477" t="n"/>
      <c r="BF84" s="477" t="n"/>
      <c r="BG84" s="477" t="n"/>
      <c r="BH84" s="477" t="n"/>
      <c r="BI84" s="477" t="n"/>
      <c r="BJ84" s="477" t="n"/>
      <c r="BK84" s="477" t="n"/>
      <c r="BL84" s="477" t="n"/>
      <c r="BM84" s="477" t="n"/>
      <c r="BN84" s="477" t="n"/>
      <c r="BO84" s="477" t="n"/>
      <c r="BP84" s="477" t="n"/>
      <c r="BQ84" s="477" t="n"/>
      <c r="BR84" s="477" t="n"/>
      <c r="BS84" s="477" t="n"/>
      <c r="BT84" s="477" t="n"/>
      <c r="BU84" s="477" t="n"/>
      <c r="BV84" s="477" t="n"/>
      <c r="BW84" s="477" t="n"/>
      <c r="BX84" s="477" t="n"/>
      <c r="BY84" s="477" t="n"/>
      <c r="BZ84" s="477" t="n"/>
      <c r="CA84" s="477" t="n"/>
      <c r="CB84" s="477" t="n"/>
      <c r="CC84" s="477" t="n"/>
      <c r="CD84" s="477" t="n"/>
      <c r="CE84" s="477" t="n"/>
      <c r="CF84" s="477" t="n"/>
      <c r="CG84" s="477" t="n"/>
      <c r="CH84" s="477" t="n"/>
      <c r="CI84" s="477" t="n"/>
      <c r="CJ84" s="477" t="n"/>
      <c r="CK84" s="477" t="n"/>
      <c r="CL84" s="477" t="n"/>
      <c r="CM84" s="477" t="n"/>
      <c r="CN84" s="477" t="n"/>
      <c r="CO84" s="477" t="n"/>
      <c r="CP84" s="477" t="n"/>
      <c r="CQ84" s="477" t="n"/>
      <c r="CR84" s="477" t="n"/>
      <c r="CS84" s="477" t="n"/>
      <c r="CT84" s="477" t="n"/>
    </row>
    <row r="85" ht="15" customFormat="1" customHeight="1" s="380">
      <c r="A85" s="476" t="inlineStr">
        <is>
          <t>5000-1002 Employee Benefits</t>
        </is>
      </c>
      <c r="C85" s="477" t="n">
        <v>-12137.77</v>
      </c>
      <c r="D85" s="477" t="n">
        <v>-12137.78</v>
      </c>
      <c r="E85" s="477" t="n">
        <v>-12137.78</v>
      </c>
      <c r="F85" s="477" t="n">
        <v>-12137.78</v>
      </c>
      <c r="G85" s="477" t="n">
        <v>-12137.78</v>
      </c>
      <c r="H85" s="477" t="n">
        <v>-12137.78</v>
      </c>
      <c r="I85" s="477" t="n">
        <v>-12137.78</v>
      </c>
      <c r="J85" s="477" t="n"/>
      <c r="K85" s="477" t="n"/>
      <c r="L85" s="477" t="n"/>
      <c r="M85" s="477" t="n"/>
      <c r="N85" s="477" t="n"/>
      <c r="O85" s="477" t="n"/>
      <c r="P85" s="477" t="n"/>
      <c r="Q85" s="477" t="n"/>
      <c r="R85" s="477" t="n"/>
      <c r="S85" s="477" t="n"/>
      <c r="T85" s="477" t="n"/>
      <c r="U85" s="477" t="n"/>
      <c r="V85" s="477" t="n"/>
      <c r="W85" s="477" t="n"/>
      <c r="X85" s="477" t="n"/>
      <c r="Y85" s="477" t="n"/>
      <c r="Z85" s="477" t="n"/>
      <c r="AA85" s="477" t="n"/>
      <c r="AB85" s="477" t="n"/>
      <c r="AC85" s="477" t="n"/>
      <c r="AD85" s="477" t="n"/>
      <c r="AE85" s="477" t="n"/>
      <c r="AF85" s="477" t="n"/>
      <c r="AG85" s="477" t="n"/>
      <c r="AH85" s="477" t="n"/>
      <c r="AI85" s="477" t="n"/>
      <c r="AJ85" s="477" t="n"/>
      <c r="AK85" s="477" t="n"/>
      <c r="AL85" s="477" t="n"/>
      <c r="AM85" s="477" t="n"/>
      <c r="AN85" s="477" t="n"/>
      <c r="AO85" s="477" t="n"/>
      <c r="AP85" s="477" t="n"/>
      <c r="AQ85" s="477" t="n"/>
      <c r="AR85" s="477" t="n"/>
      <c r="AS85" s="477" t="n"/>
      <c r="AT85" s="477" t="n"/>
      <c r="AU85" s="477" t="n"/>
      <c r="AV85" s="477" t="n"/>
      <c r="AW85" s="477" t="n"/>
      <c r="AX85" s="477" t="n"/>
      <c r="AY85" s="477" t="n"/>
      <c r="AZ85" s="477" t="n"/>
      <c r="BA85" s="477" t="n"/>
      <c r="BB85" s="477" t="n"/>
      <c r="BC85" s="477" t="n"/>
      <c r="BD85" s="477" t="n"/>
      <c r="BE85" s="477" t="n"/>
      <c r="BF85" s="477" t="n"/>
      <c r="BG85" s="477" t="n"/>
      <c r="BH85" s="477" t="n"/>
      <c r="BI85" s="477" t="n"/>
      <c r="BJ85" s="477" t="n"/>
      <c r="BK85" s="477" t="n"/>
      <c r="BL85" s="477" t="n"/>
      <c r="BM85" s="477" t="n"/>
      <c r="BN85" s="477" t="n"/>
      <c r="BO85" s="477" t="n"/>
      <c r="BP85" s="477" t="n"/>
      <c r="BQ85" s="477" t="n"/>
      <c r="BR85" s="477" t="n"/>
      <c r="BS85" s="477" t="n"/>
      <c r="BT85" s="477" t="n"/>
      <c r="BU85" s="477" t="n"/>
      <c r="BV85" s="477" t="n"/>
      <c r="BW85" s="477" t="n"/>
      <c r="BX85" s="477" t="n"/>
      <c r="BY85" s="477" t="n"/>
      <c r="BZ85" s="477" t="n"/>
      <c r="CA85" s="477" t="n"/>
      <c r="CB85" s="477" t="n"/>
      <c r="CC85" s="477" t="n"/>
      <c r="CD85" s="477" t="n"/>
      <c r="CE85" s="477" t="n"/>
      <c r="CF85" s="477" t="n"/>
      <c r="CG85" s="477" t="n"/>
      <c r="CH85" s="477" t="n"/>
      <c r="CI85" s="477" t="n"/>
      <c r="CJ85" s="477" t="n"/>
      <c r="CK85" s="477" t="n"/>
      <c r="CL85" s="477" t="n"/>
      <c r="CM85" s="477" t="n"/>
      <c r="CN85" s="477" t="n"/>
      <c r="CO85" s="477" t="n"/>
      <c r="CP85" s="477" t="n"/>
      <c r="CQ85" s="477" t="n"/>
      <c r="CR85" s="477" t="n"/>
      <c r="CS85" s="477" t="n"/>
      <c r="CT85" s="477" t="n"/>
    </row>
    <row r="86" ht="15" customFormat="1" customHeight="1" s="380">
      <c r="A86" s="476" t="inlineStr">
        <is>
          <t>5000-1003 Workers Comp</t>
        </is>
      </c>
      <c r="C86" s="477" t="n">
        <v>-475.76</v>
      </c>
      <c r="D86" s="477" t="n">
        <v>-475.76</v>
      </c>
      <c r="E86" s="477" t="n">
        <v>-475.76</v>
      </c>
      <c r="F86" s="477" t="n">
        <v>-475.76</v>
      </c>
      <c r="G86" s="477" t="n">
        <v>-475.76</v>
      </c>
      <c r="H86" s="477" t="n">
        <v>-475.76</v>
      </c>
      <c r="I86" s="477" t="n">
        <v>-475.76</v>
      </c>
      <c r="J86" s="477" t="n"/>
      <c r="K86" s="477" t="n"/>
      <c r="L86" s="477" t="n"/>
      <c r="M86" s="477" t="n"/>
      <c r="N86" s="477" t="n"/>
      <c r="O86" s="477" t="n"/>
      <c r="P86" s="477" t="n"/>
      <c r="Q86" s="477" t="n"/>
      <c r="R86" s="477" t="n"/>
      <c r="S86" s="477" t="n"/>
      <c r="T86" s="477" t="n"/>
      <c r="U86" s="477" t="n"/>
      <c r="V86" s="477" t="n"/>
      <c r="W86" s="477" t="n"/>
      <c r="X86" s="477" t="n"/>
      <c r="Y86" s="477" t="n"/>
      <c r="Z86" s="477" t="n"/>
      <c r="AA86" s="477" t="n"/>
      <c r="AB86" s="477" t="n"/>
      <c r="AC86" s="477" t="n"/>
      <c r="AD86" s="477" t="n"/>
      <c r="AE86" s="477" t="n"/>
      <c r="AF86" s="477" t="n"/>
      <c r="AG86" s="477" t="n"/>
      <c r="AH86" s="477" t="n"/>
      <c r="AI86" s="477" t="n"/>
      <c r="AJ86" s="477" t="n"/>
      <c r="AK86" s="477" t="n"/>
      <c r="AL86" s="477" t="n"/>
      <c r="AM86" s="477" t="n"/>
      <c r="AN86" s="477" t="n"/>
      <c r="AO86" s="477" t="n"/>
      <c r="AP86" s="477" t="n"/>
      <c r="AQ86" s="477" t="n"/>
      <c r="AR86" s="477" t="n"/>
      <c r="AS86" s="477" t="n"/>
      <c r="AT86" s="477" t="n"/>
      <c r="AU86" s="477" t="n"/>
      <c r="AV86" s="477" t="n"/>
      <c r="AW86" s="477" t="n"/>
      <c r="AX86" s="477" t="n"/>
      <c r="AY86" s="477" t="n"/>
      <c r="AZ86" s="477" t="n"/>
      <c r="BA86" s="477" t="n"/>
      <c r="BB86" s="477" t="n"/>
      <c r="BC86" s="477" t="n"/>
      <c r="BD86" s="477" t="n"/>
      <c r="BE86" s="477" t="n"/>
      <c r="BF86" s="477" t="n"/>
      <c r="BG86" s="477" t="n"/>
      <c r="BH86" s="477" t="n"/>
      <c r="BI86" s="477" t="n"/>
      <c r="BJ86" s="477" t="n"/>
      <c r="BK86" s="477" t="n"/>
      <c r="BL86" s="477" t="n"/>
      <c r="BM86" s="477" t="n"/>
      <c r="BN86" s="477" t="n"/>
      <c r="BO86" s="477" t="n"/>
      <c r="BP86" s="477" t="n"/>
      <c r="BQ86" s="477" t="n"/>
      <c r="BR86" s="477" t="n"/>
      <c r="BS86" s="477" t="n"/>
      <c r="BT86" s="477" t="n"/>
      <c r="BU86" s="477" t="n"/>
      <c r="BV86" s="477" t="n"/>
      <c r="BW86" s="477" t="n"/>
      <c r="BX86" s="477" t="n"/>
      <c r="BY86" s="477" t="n"/>
      <c r="BZ86" s="477" t="n"/>
      <c r="CA86" s="477" t="n"/>
      <c r="CB86" s="477" t="n"/>
      <c r="CC86" s="477" t="n"/>
      <c r="CD86" s="477" t="n"/>
      <c r="CE86" s="477" t="n"/>
      <c r="CF86" s="477" t="n"/>
      <c r="CG86" s="477" t="n"/>
      <c r="CH86" s="477" t="n"/>
      <c r="CI86" s="477" t="n"/>
      <c r="CJ86" s="477" t="n"/>
      <c r="CK86" s="477" t="n"/>
      <c r="CL86" s="477" t="n"/>
      <c r="CM86" s="477" t="n"/>
      <c r="CN86" s="477" t="n"/>
      <c r="CO86" s="477" t="n"/>
      <c r="CP86" s="477" t="n"/>
      <c r="CQ86" s="477" t="n"/>
      <c r="CR86" s="477" t="n"/>
      <c r="CS86" s="477" t="n"/>
      <c r="CT86" s="477" t="n"/>
    </row>
    <row r="87" ht="15" customFormat="1" customHeight="1" s="380">
      <c r="A87" s="476" t="inlineStr">
        <is>
          <t>5000-1005 Payroll Servicing Fees</t>
        </is>
      </c>
      <c r="C87" s="477" t="n">
        <v>-2200.12</v>
      </c>
      <c r="D87" s="477" t="n">
        <v>-2200.12</v>
      </c>
      <c r="E87" s="477" t="n">
        <v>-2200.12</v>
      </c>
      <c r="F87" s="477" t="n">
        <v>-2200.12</v>
      </c>
      <c r="G87" s="477" t="n">
        <v>-2200.12</v>
      </c>
      <c r="H87" s="477" t="n">
        <v>-2200.12</v>
      </c>
      <c r="I87" s="477" t="n">
        <v>-2200.12</v>
      </c>
      <c r="J87" s="477" t="n"/>
      <c r="K87" s="477" t="n"/>
      <c r="L87" s="477" t="n"/>
      <c r="M87" s="477" t="n"/>
      <c r="N87" s="477" t="n"/>
      <c r="O87" s="477" t="n"/>
      <c r="P87" s="477" t="n"/>
      <c r="Q87" s="477" t="n"/>
      <c r="R87" s="477" t="n"/>
      <c r="S87" s="477" t="n"/>
      <c r="T87" s="477" t="n"/>
      <c r="U87" s="477" t="n"/>
      <c r="V87" s="477" t="n"/>
      <c r="W87" s="477" t="n"/>
      <c r="X87" s="477" t="n"/>
      <c r="Y87" s="477" t="n"/>
      <c r="Z87" s="477" t="n"/>
      <c r="AA87" s="477" t="n"/>
      <c r="AB87" s="477" t="n"/>
      <c r="AC87" s="477" t="n"/>
      <c r="AD87" s="477" t="n"/>
      <c r="AE87" s="477" t="n"/>
      <c r="AF87" s="477" t="n"/>
      <c r="AG87" s="477" t="n"/>
      <c r="AH87" s="477" t="n"/>
      <c r="AI87" s="477" t="n"/>
      <c r="AJ87" s="477" t="n"/>
      <c r="AK87" s="477" t="n"/>
      <c r="AL87" s="477" t="n"/>
      <c r="AM87" s="477" t="n"/>
      <c r="AN87" s="477" t="n"/>
      <c r="AO87" s="477" t="n"/>
      <c r="AP87" s="477" t="n"/>
      <c r="AQ87" s="477" t="n"/>
      <c r="AR87" s="477" t="n"/>
      <c r="AS87" s="477" t="n"/>
      <c r="AT87" s="477" t="n"/>
      <c r="AU87" s="477" t="n"/>
      <c r="AV87" s="477" t="n"/>
      <c r="AW87" s="477" t="n"/>
      <c r="AX87" s="477" t="n"/>
      <c r="AY87" s="477" t="n"/>
      <c r="AZ87" s="477" t="n"/>
      <c r="BA87" s="477" t="n"/>
      <c r="BB87" s="477" t="n"/>
      <c r="BC87" s="477" t="n"/>
      <c r="BD87" s="477" t="n"/>
      <c r="BE87" s="477" t="n"/>
      <c r="BF87" s="477" t="n"/>
      <c r="BG87" s="477" t="n"/>
      <c r="BH87" s="477" t="n"/>
      <c r="BI87" s="477" t="n"/>
      <c r="BJ87" s="477" t="n"/>
      <c r="BK87" s="477" t="n"/>
      <c r="BL87" s="477" t="n"/>
      <c r="BM87" s="477" t="n"/>
      <c r="BN87" s="477" t="n"/>
      <c r="BO87" s="477" t="n"/>
      <c r="BP87" s="477" t="n"/>
      <c r="BQ87" s="477" t="n"/>
      <c r="BR87" s="477" t="n"/>
      <c r="BS87" s="477" t="n"/>
      <c r="BT87" s="477" t="n"/>
      <c r="BU87" s="477" t="n"/>
      <c r="BV87" s="477" t="n"/>
      <c r="BW87" s="477" t="n"/>
      <c r="BX87" s="477" t="n"/>
      <c r="BY87" s="477" t="n"/>
      <c r="BZ87" s="477" t="n"/>
      <c r="CA87" s="477" t="n"/>
      <c r="CB87" s="477" t="n"/>
      <c r="CC87" s="477" t="n"/>
      <c r="CD87" s="477" t="n"/>
      <c r="CE87" s="477" t="n"/>
      <c r="CF87" s="477" t="n"/>
      <c r="CG87" s="477" t="n"/>
      <c r="CH87" s="477" t="n"/>
      <c r="CI87" s="477" t="n"/>
      <c r="CJ87" s="477" t="n"/>
      <c r="CK87" s="477" t="n"/>
      <c r="CL87" s="477" t="n"/>
      <c r="CM87" s="477" t="n"/>
      <c r="CN87" s="477" t="n"/>
      <c r="CO87" s="477" t="n"/>
      <c r="CP87" s="477" t="n"/>
      <c r="CQ87" s="477" t="n"/>
      <c r="CR87" s="477" t="n"/>
      <c r="CS87" s="477" t="n"/>
      <c r="CT87" s="477" t="n"/>
    </row>
    <row r="88" ht="15" customFormat="1" customHeight="1" s="380">
      <c r="A88" s="476" t="inlineStr">
        <is>
          <t>5100-1000 Rent Expense</t>
        </is>
      </c>
      <c r="C88" s="477" t="n">
        <v>-8848.65</v>
      </c>
      <c r="D88" s="477" t="n">
        <v>-8817.629999999999</v>
      </c>
      <c r="E88" s="477" t="n">
        <v>-3775.91</v>
      </c>
      <c r="F88" s="477" t="n">
        <v>-8731.120000000001</v>
      </c>
      <c r="G88" s="477" t="n">
        <v>-8739.17</v>
      </c>
      <c r="H88" s="477" t="n">
        <v>-8771.99</v>
      </c>
      <c r="I88" s="477" t="n">
        <v>-13832.56</v>
      </c>
      <c r="J88" s="477" t="n"/>
      <c r="K88" s="477" t="n"/>
      <c r="L88" s="477" t="n"/>
      <c r="M88" s="477" t="n"/>
      <c r="N88" s="477" t="n"/>
      <c r="O88" s="477" t="n"/>
      <c r="P88" s="477" t="n"/>
      <c r="Q88" s="477" t="n"/>
      <c r="R88" s="477" t="n"/>
      <c r="S88" s="477" t="n"/>
      <c r="T88" s="477" t="n"/>
      <c r="U88" s="477" t="n"/>
      <c r="V88" s="477" t="n"/>
      <c r="W88" s="477" t="n"/>
      <c r="X88" s="477" t="n"/>
      <c r="Y88" s="477" t="n"/>
      <c r="Z88" s="477" t="n"/>
      <c r="AA88" s="477" t="n"/>
      <c r="AB88" s="477" t="n"/>
      <c r="AC88" s="477" t="n"/>
      <c r="AD88" s="477" t="n"/>
      <c r="AE88" s="477" t="n"/>
      <c r="AF88" s="477" t="n"/>
      <c r="AG88" s="477" t="n"/>
      <c r="AH88" s="477" t="n"/>
      <c r="AI88" s="477" t="n"/>
      <c r="AJ88" s="477" t="n"/>
      <c r="AK88" s="477" t="n"/>
      <c r="AL88" s="477" t="n"/>
      <c r="AM88" s="477" t="n"/>
      <c r="AN88" s="477" t="n"/>
      <c r="AO88" s="477" t="n"/>
      <c r="AP88" s="477" t="n"/>
      <c r="AQ88" s="477" t="n"/>
      <c r="AR88" s="477" t="n"/>
      <c r="AS88" s="477" t="n"/>
      <c r="AT88" s="477" t="n"/>
      <c r="AU88" s="477" t="n"/>
      <c r="AV88" s="477" t="n"/>
      <c r="AW88" s="477" t="n"/>
      <c r="AX88" s="477" t="n"/>
      <c r="AY88" s="477" t="n"/>
      <c r="AZ88" s="477" t="n"/>
      <c r="BA88" s="477" t="n"/>
      <c r="BB88" s="477" t="n"/>
      <c r="BC88" s="477" t="n"/>
      <c r="BD88" s="477" t="n"/>
      <c r="BE88" s="477" t="n"/>
      <c r="BF88" s="477" t="n"/>
      <c r="BG88" s="477" t="n"/>
      <c r="BH88" s="477" t="n"/>
      <c r="BI88" s="477" t="n"/>
      <c r="BJ88" s="477" t="n"/>
      <c r="BK88" s="477" t="n"/>
      <c r="BL88" s="477" t="n"/>
      <c r="BM88" s="477" t="n"/>
      <c r="BN88" s="477" t="n"/>
      <c r="BO88" s="477" t="n"/>
      <c r="BP88" s="477" t="n"/>
      <c r="BQ88" s="477" t="n"/>
      <c r="BR88" s="477" t="n"/>
      <c r="BS88" s="477" t="n"/>
      <c r="BT88" s="477" t="n"/>
      <c r="BU88" s="477" t="n"/>
      <c r="BV88" s="477" t="n"/>
      <c r="BW88" s="477" t="n"/>
      <c r="BX88" s="477" t="n"/>
      <c r="BY88" s="477" t="n"/>
      <c r="BZ88" s="477" t="n"/>
      <c r="CA88" s="477" t="n"/>
      <c r="CB88" s="477" t="n"/>
      <c r="CC88" s="477" t="n"/>
      <c r="CD88" s="477" t="n"/>
      <c r="CE88" s="477" t="n"/>
      <c r="CF88" s="477" t="n"/>
      <c r="CG88" s="477" t="n"/>
      <c r="CH88" s="477" t="n"/>
      <c r="CI88" s="477" t="n"/>
      <c r="CJ88" s="477" t="n"/>
      <c r="CK88" s="477" t="n"/>
      <c r="CL88" s="477" t="n"/>
      <c r="CM88" s="477" t="n"/>
      <c r="CN88" s="477" t="n"/>
      <c r="CO88" s="477" t="n"/>
      <c r="CP88" s="477" t="n"/>
      <c r="CQ88" s="477" t="n"/>
      <c r="CR88" s="477" t="n"/>
      <c r="CS88" s="477" t="n"/>
      <c r="CT88" s="477" t="n"/>
    </row>
    <row r="89" ht="15" customFormat="1" customHeight="1" s="380">
      <c r="A89" s="476" t="inlineStr">
        <is>
          <t>5200-1000 Office Supplies and Expenses</t>
        </is>
      </c>
      <c r="C89" s="477" t="n">
        <v>-1722.9</v>
      </c>
      <c r="D89" s="477" t="n">
        <v>0</v>
      </c>
      <c r="E89" s="477" t="n">
        <v>-28.51</v>
      </c>
      <c r="F89" s="477" t="n">
        <v>0</v>
      </c>
      <c r="G89" s="477" t="n">
        <v>-212.12</v>
      </c>
      <c r="H89" s="477" t="n">
        <v>-83.92</v>
      </c>
      <c r="I89" s="477" t="n">
        <v>-530</v>
      </c>
      <c r="J89" s="477" t="n"/>
      <c r="K89" s="477" t="n"/>
      <c r="L89" s="477" t="n"/>
      <c r="M89" s="477" t="n"/>
      <c r="N89" s="477" t="n"/>
      <c r="O89" s="477" t="n"/>
      <c r="P89" s="477" t="n"/>
      <c r="Q89" s="477" t="n"/>
      <c r="R89" s="477" t="n"/>
      <c r="S89" s="477" t="n"/>
      <c r="T89" s="477" t="n"/>
      <c r="U89" s="477" t="n"/>
      <c r="V89" s="477" t="n"/>
      <c r="W89" s="477" t="n"/>
      <c r="X89" s="477" t="n"/>
      <c r="Y89" s="477" t="n"/>
      <c r="Z89" s="477" t="n"/>
      <c r="AA89" s="477" t="n"/>
      <c r="AB89" s="477" t="n"/>
      <c r="AC89" s="477" t="n"/>
      <c r="AD89" s="477" t="n"/>
      <c r="AE89" s="477" t="n"/>
      <c r="AF89" s="477" t="n"/>
      <c r="AG89" s="477" t="n"/>
      <c r="AH89" s="477" t="n"/>
      <c r="AI89" s="477" t="n"/>
      <c r="AJ89" s="477" t="n"/>
      <c r="AK89" s="477" t="n"/>
      <c r="AL89" s="477" t="n"/>
      <c r="AM89" s="477" t="n"/>
      <c r="AN89" s="477" t="n"/>
      <c r="AO89" s="477" t="n"/>
      <c r="AP89" s="477" t="n"/>
      <c r="AQ89" s="477" t="n"/>
      <c r="AR89" s="477" t="n"/>
      <c r="AS89" s="477" t="n"/>
      <c r="AT89" s="477" t="n"/>
      <c r="AU89" s="477" t="n"/>
      <c r="AV89" s="477" t="n"/>
      <c r="AW89" s="477" t="n"/>
      <c r="AX89" s="477" t="n"/>
      <c r="AY89" s="477" t="n"/>
      <c r="AZ89" s="477" t="n"/>
      <c r="BA89" s="477" t="n"/>
      <c r="BB89" s="477" t="n"/>
      <c r="BC89" s="477" t="n"/>
      <c r="BD89" s="477" t="n"/>
      <c r="BE89" s="477" t="n"/>
      <c r="BF89" s="477" t="n"/>
      <c r="BG89" s="477" t="n"/>
      <c r="BH89" s="477" t="n"/>
      <c r="BI89" s="477" t="n"/>
      <c r="BJ89" s="477" t="n"/>
      <c r="BK89" s="477" t="n"/>
      <c r="BL89" s="477" t="n"/>
      <c r="BM89" s="477" t="n"/>
      <c r="BN89" s="477" t="n"/>
      <c r="BO89" s="477" t="n"/>
      <c r="BP89" s="477" t="n"/>
      <c r="BQ89" s="477" t="n"/>
      <c r="BR89" s="477" t="n"/>
      <c r="BS89" s="477" t="n"/>
      <c r="BT89" s="477" t="n"/>
      <c r="BU89" s="477" t="n"/>
      <c r="BV89" s="477" t="n"/>
      <c r="BW89" s="477" t="n"/>
      <c r="BX89" s="477" t="n"/>
      <c r="BY89" s="477" t="n"/>
      <c r="BZ89" s="477" t="n"/>
      <c r="CA89" s="477" t="n"/>
      <c r="CB89" s="477" t="n"/>
      <c r="CC89" s="477" t="n"/>
      <c r="CD89" s="477" t="n"/>
      <c r="CE89" s="477" t="n"/>
      <c r="CF89" s="477" t="n"/>
      <c r="CG89" s="477" t="n"/>
      <c r="CH89" s="477" t="n"/>
      <c r="CI89" s="477" t="n"/>
      <c r="CJ89" s="477" t="n"/>
      <c r="CK89" s="477" t="n"/>
      <c r="CL89" s="477" t="n"/>
      <c r="CM89" s="477" t="n"/>
      <c r="CN89" s="477" t="n"/>
      <c r="CO89" s="477" t="n"/>
      <c r="CP89" s="477" t="n"/>
      <c r="CQ89" s="477" t="n"/>
      <c r="CR89" s="477" t="n"/>
      <c r="CS89" s="477" t="n"/>
      <c r="CT89" s="477" t="n"/>
    </row>
    <row r="90" ht="15" customFormat="1" customHeight="1" s="380">
      <c r="A90" s="476" t="inlineStr">
        <is>
          <t>5200-1053 IT Software and Subscriptions</t>
        </is>
      </c>
      <c r="C90" s="477" t="n">
        <v>-246.85</v>
      </c>
      <c r="D90" s="477" t="n">
        <v>0</v>
      </c>
      <c r="E90" s="477" t="n">
        <v>-4246.73</v>
      </c>
      <c r="F90" s="477" t="n">
        <v>-3123.87</v>
      </c>
      <c r="G90" s="477" t="n">
        <v>-3184.88</v>
      </c>
      <c r="H90" s="477" t="n">
        <v>-4015.94</v>
      </c>
      <c r="I90" s="477" t="n">
        <v>-759.45</v>
      </c>
      <c r="J90" s="477" t="n"/>
      <c r="K90" s="477" t="n"/>
      <c r="L90" s="477" t="n"/>
      <c r="M90" s="477" t="n"/>
      <c r="N90" s="477" t="n"/>
      <c r="O90" s="477" t="n"/>
      <c r="P90" s="477" t="n"/>
      <c r="Q90" s="477" t="n"/>
      <c r="R90" s="477" t="n"/>
      <c r="S90" s="477" t="n"/>
      <c r="T90" s="477" t="n"/>
      <c r="U90" s="477" t="n"/>
      <c r="V90" s="477" t="n"/>
      <c r="W90" s="477" t="n"/>
      <c r="X90" s="477" t="n"/>
      <c r="Y90" s="477" t="n"/>
      <c r="Z90" s="477" t="n"/>
      <c r="AA90" s="477" t="n"/>
      <c r="AB90" s="477" t="n"/>
      <c r="AC90" s="477" t="n"/>
      <c r="AD90" s="477" t="n"/>
      <c r="AE90" s="477" t="n"/>
      <c r="AF90" s="477" t="n"/>
      <c r="AG90" s="477" t="n"/>
      <c r="AH90" s="477" t="n"/>
      <c r="AI90" s="477" t="n"/>
      <c r="AJ90" s="477" t="n"/>
      <c r="AK90" s="477" t="n"/>
      <c r="AL90" s="477" t="n"/>
      <c r="AM90" s="477" t="n"/>
      <c r="AN90" s="477" t="n"/>
      <c r="AO90" s="477" t="n"/>
      <c r="AP90" s="477" t="n"/>
      <c r="AQ90" s="477" t="n"/>
      <c r="AR90" s="477" t="n"/>
      <c r="AS90" s="477" t="n"/>
      <c r="AT90" s="477" t="n"/>
      <c r="AU90" s="477" t="n"/>
      <c r="AV90" s="477" t="n"/>
      <c r="AW90" s="477" t="n"/>
      <c r="AX90" s="477" t="n"/>
      <c r="AY90" s="477" t="n"/>
      <c r="AZ90" s="477" t="n"/>
      <c r="BA90" s="477" t="n"/>
      <c r="BB90" s="477" t="n"/>
      <c r="BC90" s="477" t="n"/>
      <c r="BD90" s="477" t="n"/>
      <c r="BE90" s="477" t="n"/>
      <c r="BF90" s="477" t="n"/>
      <c r="BG90" s="477" t="n"/>
      <c r="BH90" s="477" t="n"/>
      <c r="BI90" s="477" t="n"/>
      <c r="BJ90" s="477" t="n"/>
      <c r="BK90" s="477" t="n"/>
      <c r="BL90" s="477" t="n"/>
      <c r="BM90" s="477" t="n"/>
      <c r="BN90" s="477" t="n"/>
      <c r="BO90" s="477" t="n"/>
      <c r="BP90" s="477" t="n"/>
      <c r="BQ90" s="477" t="n"/>
      <c r="BR90" s="477" t="n"/>
      <c r="BS90" s="477" t="n"/>
      <c r="BT90" s="477" t="n"/>
      <c r="BU90" s="477" t="n"/>
      <c r="BV90" s="477" t="n"/>
      <c r="BW90" s="477" t="n"/>
      <c r="BX90" s="477" t="n"/>
      <c r="BY90" s="477" t="n"/>
      <c r="BZ90" s="477" t="n"/>
      <c r="CA90" s="477" t="n"/>
      <c r="CB90" s="477" t="n"/>
      <c r="CC90" s="477" t="n"/>
      <c r="CD90" s="477" t="n"/>
      <c r="CE90" s="477" t="n"/>
      <c r="CF90" s="477" t="n"/>
      <c r="CG90" s="477" t="n"/>
      <c r="CH90" s="477" t="n"/>
      <c r="CI90" s="477" t="n"/>
      <c r="CJ90" s="477" t="n"/>
      <c r="CK90" s="477" t="n"/>
      <c r="CL90" s="477" t="n"/>
      <c r="CM90" s="477" t="n"/>
      <c r="CN90" s="477" t="n"/>
      <c r="CO90" s="477" t="n"/>
      <c r="CP90" s="477" t="n"/>
      <c r="CQ90" s="477" t="n"/>
      <c r="CR90" s="477" t="n"/>
      <c r="CS90" s="477" t="n"/>
      <c r="CT90" s="477" t="n"/>
    </row>
    <row r="91" ht="15" customFormat="1" customHeight="1" s="380">
      <c r="A91" s="476" t="inlineStr">
        <is>
          <t>5200-1060 Website Design</t>
        </is>
      </c>
      <c r="C91" s="477" t="n">
        <v>0</v>
      </c>
      <c r="D91" s="477" t="n">
        <v>0</v>
      </c>
      <c r="E91" s="477" t="n">
        <v>-870</v>
      </c>
      <c r="F91" s="477" t="n">
        <v>0</v>
      </c>
      <c r="G91" s="477" t="n">
        <v>0</v>
      </c>
      <c r="H91" s="477" t="n">
        <v>0</v>
      </c>
      <c r="I91" s="477" t="n">
        <v>0</v>
      </c>
      <c r="J91" s="477" t="n"/>
      <c r="K91" s="477" t="n"/>
      <c r="L91" s="477" t="n"/>
      <c r="M91" s="477" t="n"/>
      <c r="N91" s="477" t="n"/>
      <c r="O91" s="477" t="n"/>
      <c r="P91" s="477" t="n"/>
      <c r="Q91" s="477" t="n"/>
      <c r="R91" s="477" t="n"/>
      <c r="S91" s="477" t="n"/>
      <c r="T91" s="477" t="n"/>
      <c r="U91" s="477" t="n"/>
      <c r="V91" s="477" t="n"/>
      <c r="W91" s="477" t="n"/>
      <c r="X91" s="477" t="n"/>
      <c r="Y91" s="477" t="n"/>
      <c r="Z91" s="477" t="n"/>
      <c r="AA91" s="477" t="n"/>
      <c r="AB91" s="477" t="n"/>
      <c r="AC91" s="477" t="n"/>
      <c r="AD91" s="477" t="n"/>
      <c r="AE91" s="477" t="n"/>
      <c r="AF91" s="477" t="n"/>
      <c r="AG91" s="477" t="n"/>
      <c r="AH91" s="477" t="n"/>
      <c r="AI91" s="477" t="n"/>
      <c r="AJ91" s="477" t="n"/>
      <c r="AK91" s="477" t="n"/>
      <c r="AL91" s="477" t="n"/>
      <c r="AM91" s="477" t="n"/>
      <c r="AN91" s="477" t="n"/>
      <c r="AO91" s="477" t="n"/>
      <c r="AP91" s="477" t="n"/>
      <c r="AQ91" s="477" t="n"/>
      <c r="AR91" s="477" t="n"/>
      <c r="AS91" s="477" t="n"/>
      <c r="AT91" s="477" t="n"/>
      <c r="AU91" s="477" t="n"/>
      <c r="AV91" s="477" t="n"/>
      <c r="AW91" s="477" t="n"/>
      <c r="AX91" s="477" t="n"/>
      <c r="AY91" s="477" t="n"/>
      <c r="AZ91" s="477" t="n"/>
      <c r="BA91" s="477" t="n"/>
      <c r="BB91" s="477" t="n"/>
      <c r="BC91" s="477" t="n"/>
      <c r="BD91" s="477" t="n"/>
      <c r="BE91" s="477" t="n"/>
      <c r="BF91" s="477" t="n"/>
      <c r="BG91" s="477" t="n"/>
      <c r="BH91" s="477" t="n"/>
      <c r="BI91" s="477" t="n"/>
      <c r="BJ91" s="477" t="n"/>
      <c r="BK91" s="477" t="n"/>
      <c r="BL91" s="477" t="n"/>
      <c r="BM91" s="477" t="n"/>
      <c r="BN91" s="477" t="n"/>
      <c r="BO91" s="477" t="n"/>
      <c r="BP91" s="477" t="n"/>
      <c r="BQ91" s="477" t="n"/>
      <c r="BR91" s="477" t="n"/>
      <c r="BS91" s="477" t="n"/>
      <c r="BT91" s="477" t="n"/>
      <c r="BU91" s="477" t="n"/>
      <c r="BV91" s="477" t="n"/>
      <c r="BW91" s="477" t="n"/>
      <c r="BX91" s="477" t="n"/>
      <c r="BY91" s="477" t="n"/>
      <c r="BZ91" s="477" t="n"/>
      <c r="CA91" s="477" t="n"/>
      <c r="CB91" s="477" t="n"/>
      <c r="CC91" s="477" t="n"/>
      <c r="CD91" s="477" t="n"/>
      <c r="CE91" s="477" t="n"/>
      <c r="CF91" s="477" t="n"/>
      <c r="CG91" s="477" t="n"/>
      <c r="CH91" s="477" t="n"/>
      <c r="CI91" s="477" t="n"/>
      <c r="CJ91" s="477" t="n"/>
      <c r="CK91" s="477" t="n"/>
      <c r="CL91" s="477" t="n"/>
      <c r="CM91" s="477" t="n"/>
      <c r="CN91" s="477" t="n"/>
      <c r="CO91" s="477" t="n"/>
      <c r="CP91" s="477" t="n"/>
      <c r="CQ91" s="477" t="n"/>
      <c r="CR91" s="477" t="n"/>
      <c r="CS91" s="477" t="n"/>
      <c r="CT91" s="477" t="n"/>
    </row>
    <row r="92" ht="15" customFormat="1" customHeight="1" s="380">
      <c r="A92" s="478" t="inlineStr">
        <is>
          <t>5200-1061 Website Hosting</t>
        </is>
      </c>
      <c r="C92" s="482" t="n">
        <v>-245</v>
      </c>
      <c r="D92" s="482" t="n">
        <v>-245</v>
      </c>
      <c r="E92" s="482" t="n">
        <v>-245</v>
      </c>
      <c r="F92" s="482" t="n">
        <v>-245</v>
      </c>
      <c r="G92" s="482" t="n">
        <v>-245</v>
      </c>
      <c r="H92" s="482" t="n">
        <v>-245</v>
      </c>
      <c r="I92" s="482" t="n">
        <v>-245</v>
      </c>
      <c r="J92" s="482" t="n"/>
      <c r="K92" s="482" t="n"/>
      <c r="L92" s="482" t="n"/>
      <c r="M92" s="482" t="n"/>
      <c r="N92" s="482" t="n"/>
      <c r="O92" s="482" t="n"/>
      <c r="P92" s="482" t="n"/>
      <c r="Q92" s="482" t="n"/>
      <c r="R92" s="482" t="n"/>
      <c r="S92" s="482" t="n"/>
      <c r="T92" s="482" t="n"/>
      <c r="U92" s="482" t="n"/>
      <c r="V92" s="482" t="n"/>
      <c r="W92" s="482" t="n"/>
      <c r="X92" s="482" t="n"/>
      <c r="Y92" s="482" t="n"/>
      <c r="Z92" s="482" t="n"/>
      <c r="AA92" s="482" t="n"/>
      <c r="AB92" s="482" t="n"/>
      <c r="AC92" s="482" t="n"/>
      <c r="AD92" s="482" t="n"/>
      <c r="AE92" s="482" t="n"/>
      <c r="AF92" s="482" t="n"/>
      <c r="AG92" s="482" t="n"/>
      <c r="AH92" s="482" t="n"/>
      <c r="AI92" s="482" t="n"/>
      <c r="AJ92" s="482" t="n"/>
      <c r="AK92" s="482" t="n"/>
      <c r="AL92" s="482" t="n"/>
      <c r="AM92" s="482" t="n"/>
      <c r="AN92" s="482" t="n"/>
      <c r="AO92" s="482" t="n"/>
      <c r="AP92" s="482" t="n"/>
      <c r="AQ92" s="482" t="n"/>
      <c r="AR92" s="482" t="n"/>
      <c r="AS92" s="482" t="n"/>
      <c r="AT92" s="482" t="n"/>
      <c r="AU92" s="482" t="n"/>
      <c r="AV92" s="482" t="n"/>
      <c r="AW92" s="482" t="n"/>
      <c r="AX92" s="482" t="n"/>
      <c r="AY92" s="482" t="n"/>
      <c r="AZ92" s="482" t="n"/>
      <c r="BA92" s="482" t="n"/>
      <c r="BB92" s="482" t="n"/>
      <c r="BC92" s="482" t="n"/>
      <c r="BD92" s="482" t="n"/>
      <c r="BE92" s="482" t="n"/>
      <c r="BF92" s="482" t="n"/>
      <c r="BG92" s="482" t="n"/>
      <c r="BH92" s="482" t="n"/>
      <c r="BI92" s="482" t="n"/>
      <c r="BJ92" s="482" t="n"/>
      <c r="BK92" s="482" t="n"/>
      <c r="BL92" s="482" t="n"/>
      <c r="BM92" s="482" t="n"/>
      <c r="BN92" s="482" t="n"/>
      <c r="BO92" s="482" t="n"/>
      <c r="BP92" s="482" t="n"/>
      <c r="BQ92" s="482" t="n"/>
      <c r="BR92" s="482" t="n"/>
      <c r="BS92" s="482" t="n"/>
      <c r="BT92" s="482" t="n"/>
      <c r="BU92" s="482" t="n"/>
      <c r="BV92" s="482" t="n"/>
      <c r="BW92" s="482" t="n"/>
      <c r="BX92" s="482" t="n"/>
      <c r="BY92" s="482" t="n"/>
      <c r="BZ92" s="482" t="n"/>
      <c r="CA92" s="482" t="n"/>
      <c r="CB92" s="482" t="n"/>
      <c r="CC92" s="482" t="n"/>
      <c r="CD92" s="482" t="n"/>
      <c r="CE92" s="482" t="n"/>
      <c r="CF92" s="482" t="n"/>
      <c r="CG92" s="482" t="n"/>
      <c r="CH92" s="482" t="n"/>
      <c r="CI92" s="482" t="n"/>
      <c r="CJ92" s="482" t="n"/>
      <c r="CK92" s="482" t="n"/>
      <c r="CL92" s="482" t="n"/>
      <c r="CM92" s="482" t="n"/>
      <c r="CN92" s="482" t="n"/>
      <c r="CO92" s="482" t="n"/>
      <c r="CP92" s="482" t="n"/>
      <c r="CQ92" s="482" t="n"/>
      <c r="CR92" s="482" t="n"/>
      <c r="CS92" s="482" t="n"/>
      <c r="CT92" s="482" t="n"/>
    </row>
    <row r="93" ht="15" customFormat="1" customHeight="1" s="380">
      <c r="A93" s="478" t="inlineStr">
        <is>
          <t>5300-1000 Travel and Lodging</t>
        </is>
      </c>
      <c r="C93" s="482" t="n">
        <v>-986.5700000000001</v>
      </c>
      <c r="D93" s="482" t="n">
        <v>-1254.61</v>
      </c>
      <c r="E93" s="482" t="n">
        <v>-1297.31</v>
      </c>
      <c r="F93" s="482" t="n">
        <v>-48.78</v>
      </c>
      <c r="G93" s="482" t="n">
        <v>-4199.86</v>
      </c>
      <c r="H93" s="482" t="n">
        <v>-3433.39</v>
      </c>
      <c r="I93" s="482" t="n">
        <v>0</v>
      </c>
      <c r="J93" s="482" t="n"/>
      <c r="K93" s="482" t="n"/>
      <c r="L93" s="482" t="n"/>
      <c r="M93" s="482" t="n"/>
      <c r="N93" s="482" t="n"/>
      <c r="O93" s="482" t="n"/>
      <c r="P93" s="482" t="n"/>
      <c r="Q93" s="482" t="n"/>
      <c r="R93" s="482" t="n"/>
      <c r="S93" s="482" t="n"/>
      <c r="T93" s="482" t="n"/>
      <c r="U93" s="482" t="n"/>
      <c r="V93" s="482" t="n"/>
      <c r="W93" s="482" t="n"/>
      <c r="X93" s="482" t="n"/>
      <c r="Y93" s="482" t="n"/>
      <c r="Z93" s="482" t="n"/>
      <c r="AA93" s="482" t="n"/>
      <c r="AB93" s="482" t="n"/>
      <c r="AC93" s="482" t="n"/>
      <c r="AD93" s="482" t="n"/>
      <c r="AE93" s="482" t="n"/>
      <c r="AF93" s="482" t="n"/>
      <c r="AG93" s="482" t="n"/>
      <c r="AH93" s="482" t="n"/>
      <c r="AI93" s="482" t="n"/>
      <c r="AJ93" s="482" t="n"/>
      <c r="AK93" s="482" t="n"/>
      <c r="AL93" s="482" t="n"/>
      <c r="AM93" s="482" t="n"/>
      <c r="AN93" s="482" t="n"/>
      <c r="AO93" s="482" t="n"/>
      <c r="AP93" s="482" t="n"/>
      <c r="AQ93" s="482" t="n"/>
      <c r="AR93" s="482" t="n"/>
      <c r="AS93" s="482" t="n"/>
      <c r="AT93" s="482" t="n"/>
      <c r="AU93" s="482" t="n"/>
      <c r="AV93" s="482" t="n"/>
      <c r="AW93" s="482" t="n"/>
      <c r="AX93" s="482" t="n"/>
      <c r="AY93" s="482" t="n"/>
      <c r="AZ93" s="482" t="n"/>
      <c r="BA93" s="482" t="n"/>
      <c r="BB93" s="482" t="n"/>
      <c r="BC93" s="482" t="n"/>
      <c r="BD93" s="482" t="n"/>
      <c r="BE93" s="482" t="n"/>
      <c r="BF93" s="482" t="n"/>
      <c r="BG93" s="482" t="n"/>
      <c r="BH93" s="482" t="n"/>
      <c r="BI93" s="482" t="n"/>
      <c r="BJ93" s="482" t="n"/>
      <c r="BK93" s="482" t="n"/>
      <c r="BL93" s="482" t="n"/>
      <c r="BM93" s="482" t="n"/>
      <c r="BN93" s="482" t="n"/>
      <c r="BO93" s="482" t="n"/>
      <c r="BP93" s="482" t="n"/>
      <c r="BQ93" s="482" t="n"/>
      <c r="BR93" s="482" t="n"/>
      <c r="BS93" s="482" t="n"/>
      <c r="BT93" s="482" t="n"/>
      <c r="BU93" s="482" t="n"/>
      <c r="BV93" s="482" t="n"/>
      <c r="BW93" s="482" t="n"/>
      <c r="BX93" s="482" t="n"/>
      <c r="BY93" s="482" t="n"/>
      <c r="BZ93" s="482" t="n"/>
      <c r="CA93" s="482" t="n"/>
      <c r="CB93" s="482" t="n"/>
      <c r="CC93" s="482" t="n"/>
      <c r="CD93" s="482" t="n"/>
      <c r="CE93" s="482" t="n"/>
      <c r="CF93" s="482" t="n"/>
      <c r="CG93" s="482" t="n"/>
      <c r="CH93" s="482" t="n"/>
      <c r="CI93" s="482" t="n"/>
      <c r="CJ93" s="482" t="n"/>
      <c r="CK93" s="482" t="n"/>
      <c r="CL93" s="482" t="n"/>
      <c r="CM93" s="482" t="n"/>
      <c r="CN93" s="482" t="n"/>
      <c r="CO93" s="482" t="n"/>
      <c r="CP93" s="482" t="n"/>
      <c r="CQ93" s="482" t="n"/>
      <c r="CR93" s="482" t="n"/>
      <c r="CS93" s="482" t="n"/>
      <c r="CT93" s="482" t="n"/>
    </row>
    <row r="94" ht="15" customFormat="1" customHeight="1" s="380">
      <c r="A94" s="478" t="inlineStr">
        <is>
          <t>5300-1001 Public Transportation</t>
        </is>
      </c>
      <c r="C94" s="482" t="n">
        <v>-588.66</v>
      </c>
      <c r="D94" s="482" t="n">
        <v>-22.94</v>
      </c>
      <c r="E94" s="482" t="n">
        <v>-487.3</v>
      </c>
      <c r="F94" s="482" t="n">
        <v>-399.98</v>
      </c>
      <c r="G94" s="482" t="n">
        <v>-216.15</v>
      </c>
      <c r="H94" s="482" t="n">
        <v>-936.05</v>
      </c>
      <c r="I94" s="482" t="n">
        <v>-9.99</v>
      </c>
      <c r="J94" s="482" t="n"/>
      <c r="K94" s="482" t="n"/>
      <c r="L94" s="482" t="n"/>
      <c r="M94" s="482" t="n"/>
      <c r="N94" s="482" t="n"/>
      <c r="O94" s="482" t="n"/>
      <c r="P94" s="482" t="n"/>
      <c r="Q94" s="482" t="n"/>
      <c r="R94" s="482" t="n"/>
      <c r="S94" s="482" t="n"/>
      <c r="T94" s="482" t="n"/>
      <c r="U94" s="482" t="n"/>
      <c r="V94" s="482" t="n"/>
      <c r="W94" s="482" t="n"/>
      <c r="X94" s="482" t="n"/>
      <c r="Y94" s="482" t="n"/>
      <c r="Z94" s="482" t="n"/>
      <c r="AA94" s="482" t="n"/>
      <c r="AB94" s="482" t="n"/>
      <c r="AC94" s="482" t="n"/>
      <c r="AD94" s="482" t="n"/>
      <c r="AE94" s="482" t="n"/>
      <c r="AF94" s="482" t="n"/>
      <c r="AG94" s="482" t="n"/>
      <c r="AH94" s="482" t="n"/>
      <c r="AI94" s="482" t="n"/>
      <c r="AJ94" s="482" t="n"/>
      <c r="AK94" s="482" t="n"/>
      <c r="AL94" s="482" t="n"/>
      <c r="AM94" s="482" t="n"/>
      <c r="AN94" s="482" t="n"/>
      <c r="AO94" s="482" t="n"/>
      <c r="AP94" s="482" t="n"/>
      <c r="AQ94" s="482" t="n"/>
      <c r="AR94" s="482" t="n"/>
      <c r="AS94" s="482" t="n"/>
      <c r="AT94" s="482" t="n"/>
      <c r="AU94" s="482" t="n"/>
      <c r="AV94" s="482" t="n"/>
      <c r="AW94" s="482" t="n"/>
      <c r="AX94" s="482" t="n"/>
      <c r="AY94" s="482" t="n"/>
      <c r="AZ94" s="482" t="n"/>
      <c r="BA94" s="482" t="n"/>
      <c r="BB94" s="482" t="n"/>
      <c r="BC94" s="482" t="n"/>
      <c r="BD94" s="482" t="n"/>
      <c r="BE94" s="482" t="n"/>
      <c r="BF94" s="482" t="n"/>
      <c r="BG94" s="482" t="n"/>
      <c r="BH94" s="482" t="n"/>
      <c r="BI94" s="482" t="n"/>
      <c r="BJ94" s="482" t="n"/>
      <c r="BK94" s="482" t="n"/>
      <c r="BL94" s="482" t="n"/>
      <c r="BM94" s="482" t="n"/>
      <c r="BN94" s="482" t="n"/>
      <c r="BO94" s="482" t="n"/>
      <c r="BP94" s="482" t="n"/>
      <c r="BQ94" s="482" t="n"/>
      <c r="BR94" s="482" t="n"/>
      <c r="BS94" s="482" t="n"/>
      <c r="BT94" s="482" t="n"/>
      <c r="BU94" s="482" t="n"/>
      <c r="BV94" s="482" t="n"/>
      <c r="BW94" s="482" t="n"/>
      <c r="BX94" s="482" t="n"/>
      <c r="BY94" s="482" t="n"/>
      <c r="BZ94" s="482" t="n"/>
      <c r="CA94" s="482" t="n"/>
      <c r="CB94" s="482" t="n"/>
      <c r="CC94" s="482" t="n"/>
      <c r="CD94" s="482" t="n"/>
      <c r="CE94" s="482" t="n"/>
      <c r="CF94" s="482" t="n"/>
      <c r="CG94" s="482" t="n"/>
      <c r="CH94" s="482" t="n"/>
      <c r="CI94" s="482" t="n"/>
      <c r="CJ94" s="482" t="n"/>
      <c r="CK94" s="482" t="n"/>
      <c r="CL94" s="482" t="n"/>
      <c r="CM94" s="482" t="n"/>
      <c r="CN94" s="482" t="n"/>
      <c r="CO94" s="482" t="n"/>
      <c r="CP94" s="482" t="n"/>
      <c r="CQ94" s="482" t="n"/>
      <c r="CR94" s="482" t="n"/>
      <c r="CS94" s="482" t="n"/>
      <c r="CT94" s="482" t="n"/>
    </row>
    <row r="95" ht="15" customFormat="1" customHeight="1" s="380">
      <c r="A95" s="478" t="inlineStr">
        <is>
          <t>5300-1002 Parking</t>
        </is>
      </c>
      <c r="C95" s="482" t="n">
        <v>0</v>
      </c>
      <c r="D95" s="482" t="n">
        <v>-92.75</v>
      </c>
      <c r="E95" s="482" t="n">
        <v>-57.46</v>
      </c>
      <c r="F95" s="482" t="n">
        <v>0</v>
      </c>
      <c r="G95" s="482" t="n">
        <v>-24.3</v>
      </c>
      <c r="H95" s="482" t="n">
        <v>-917.7</v>
      </c>
      <c r="I95" s="482" t="n">
        <v>0</v>
      </c>
      <c r="J95" s="482" t="n"/>
      <c r="K95" s="482" t="n"/>
      <c r="L95" s="482" t="n"/>
      <c r="M95" s="482" t="n"/>
      <c r="N95" s="482" t="n"/>
      <c r="O95" s="482" t="n"/>
      <c r="P95" s="482" t="n"/>
      <c r="Q95" s="482" t="n"/>
      <c r="R95" s="482" t="n"/>
      <c r="S95" s="482" t="n"/>
      <c r="T95" s="482" t="n"/>
      <c r="U95" s="482" t="n"/>
      <c r="V95" s="482" t="n"/>
      <c r="W95" s="482" t="n"/>
      <c r="X95" s="482" t="n"/>
      <c r="Y95" s="482" t="n"/>
      <c r="Z95" s="482" t="n"/>
      <c r="AA95" s="482" t="n"/>
      <c r="AB95" s="482" t="n"/>
      <c r="AC95" s="482" t="n"/>
      <c r="AD95" s="482" t="n"/>
      <c r="AE95" s="482" t="n"/>
      <c r="AF95" s="482" t="n"/>
      <c r="AG95" s="482" t="n"/>
      <c r="AH95" s="482" t="n"/>
      <c r="AI95" s="482" t="n"/>
      <c r="AJ95" s="482" t="n"/>
      <c r="AK95" s="482" t="n"/>
      <c r="AL95" s="482" t="n"/>
      <c r="AM95" s="482" t="n"/>
      <c r="AN95" s="482" t="n"/>
      <c r="AO95" s="482" t="n"/>
      <c r="AP95" s="482" t="n"/>
      <c r="AQ95" s="482" t="n"/>
      <c r="AR95" s="482" t="n"/>
      <c r="AS95" s="482" t="n"/>
      <c r="AT95" s="482" t="n"/>
      <c r="AU95" s="482" t="n"/>
      <c r="AV95" s="482" t="n"/>
      <c r="AW95" s="482" t="n"/>
      <c r="AX95" s="482" t="n"/>
      <c r="AY95" s="482" t="n"/>
      <c r="AZ95" s="482" t="n"/>
      <c r="BA95" s="482" t="n"/>
      <c r="BB95" s="482" t="n"/>
      <c r="BC95" s="482" t="n"/>
      <c r="BD95" s="482" t="n"/>
      <c r="BE95" s="482" t="n"/>
      <c r="BF95" s="482" t="n"/>
      <c r="BG95" s="482" t="n"/>
      <c r="BH95" s="482" t="n"/>
      <c r="BI95" s="482" t="n"/>
      <c r="BJ95" s="482" t="n"/>
      <c r="BK95" s="482" t="n"/>
      <c r="BL95" s="482" t="n"/>
      <c r="BM95" s="482" t="n"/>
      <c r="BN95" s="482" t="n"/>
      <c r="BO95" s="482" t="n"/>
      <c r="BP95" s="482" t="n"/>
      <c r="BQ95" s="482" t="n"/>
      <c r="BR95" s="482" t="n"/>
      <c r="BS95" s="482" t="n"/>
      <c r="BT95" s="482" t="n"/>
      <c r="BU95" s="482" t="n"/>
      <c r="BV95" s="482" t="n"/>
      <c r="BW95" s="482" t="n"/>
      <c r="BX95" s="482" t="n"/>
      <c r="BY95" s="482" t="n"/>
      <c r="BZ95" s="482" t="n"/>
      <c r="CA95" s="482" t="n"/>
      <c r="CB95" s="482" t="n"/>
      <c r="CC95" s="482" t="n"/>
      <c r="CD95" s="482" t="n"/>
      <c r="CE95" s="482" t="n"/>
      <c r="CF95" s="482" t="n"/>
      <c r="CG95" s="482" t="n"/>
      <c r="CH95" s="482" t="n"/>
      <c r="CI95" s="482" t="n"/>
      <c r="CJ95" s="482" t="n"/>
      <c r="CK95" s="482" t="n"/>
      <c r="CL95" s="482" t="n"/>
      <c r="CM95" s="482" t="n"/>
      <c r="CN95" s="482" t="n"/>
      <c r="CO95" s="482" t="n"/>
      <c r="CP95" s="482" t="n"/>
      <c r="CQ95" s="482" t="n"/>
      <c r="CR95" s="482" t="n"/>
      <c r="CS95" s="482" t="n"/>
      <c r="CT95" s="482" t="n"/>
    </row>
    <row r="96" ht="15" customFormat="1" customHeight="1" s="380">
      <c r="A96" s="478" t="inlineStr">
        <is>
          <t>5300-1050 Meals and Entertainment</t>
        </is>
      </c>
      <c r="C96" s="482" t="n">
        <v>-640.88</v>
      </c>
      <c r="D96" s="482" t="n">
        <v>-872.64</v>
      </c>
      <c r="E96" s="482" t="n">
        <v>-1175.78</v>
      </c>
      <c r="F96" s="482" t="n">
        <v>-471.38</v>
      </c>
      <c r="G96" s="482" t="n">
        <v>-1307.57</v>
      </c>
      <c r="H96" s="482" t="n">
        <v>-3067.11</v>
      </c>
      <c r="I96" s="482" t="n">
        <v>-131.02</v>
      </c>
      <c r="J96" s="482" t="n"/>
      <c r="K96" s="482" t="n"/>
      <c r="L96" s="482" t="n"/>
      <c r="M96" s="482" t="n"/>
      <c r="N96" s="482" t="n"/>
      <c r="O96" s="482" t="n"/>
      <c r="P96" s="482" t="n"/>
      <c r="Q96" s="482" t="n"/>
      <c r="R96" s="482" t="n"/>
      <c r="S96" s="482" t="n"/>
      <c r="T96" s="482" t="n"/>
      <c r="U96" s="482" t="n"/>
      <c r="V96" s="482" t="n"/>
      <c r="W96" s="482" t="n"/>
      <c r="X96" s="482" t="n"/>
      <c r="Y96" s="482" t="n"/>
      <c r="Z96" s="482" t="n"/>
      <c r="AA96" s="482" t="n"/>
      <c r="AB96" s="482" t="n"/>
      <c r="AC96" s="482" t="n"/>
      <c r="AD96" s="482" t="n"/>
      <c r="AE96" s="482" t="n"/>
      <c r="AF96" s="482" t="n"/>
      <c r="AG96" s="482" t="n"/>
      <c r="AH96" s="482" t="n"/>
      <c r="AI96" s="482" t="n"/>
      <c r="AJ96" s="482" t="n"/>
      <c r="AK96" s="482" t="n"/>
      <c r="AL96" s="482" t="n"/>
      <c r="AM96" s="482" t="n"/>
      <c r="AN96" s="482" t="n"/>
      <c r="AO96" s="482" t="n"/>
      <c r="AP96" s="482" t="n"/>
      <c r="AQ96" s="482" t="n"/>
      <c r="AR96" s="482" t="n"/>
      <c r="AS96" s="482" t="n"/>
      <c r="AT96" s="482" t="n"/>
      <c r="AU96" s="482" t="n"/>
      <c r="AV96" s="482" t="n"/>
      <c r="AW96" s="482" t="n"/>
      <c r="AX96" s="482" t="n"/>
      <c r="AY96" s="482" t="n"/>
      <c r="AZ96" s="482" t="n"/>
      <c r="BA96" s="482" t="n"/>
      <c r="BB96" s="482" t="n"/>
      <c r="BC96" s="482" t="n"/>
      <c r="BD96" s="482" t="n"/>
      <c r="BE96" s="482" t="n"/>
      <c r="BF96" s="482" t="n"/>
      <c r="BG96" s="482" t="n"/>
      <c r="BH96" s="482" t="n"/>
      <c r="BI96" s="482" t="n"/>
      <c r="BJ96" s="482" t="n"/>
      <c r="BK96" s="482" t="n"/>
      <c r="BL96" s="482" t="n"/>
      <c r="BM96" s="482" t="n"/>
      <c r="BN96" s="482" t="n"/>
      <c r="BO96" s="482" t="n"/>
      <c r="BP96" s="482" t="n"/>
      <c r="BQ96" s="482" t="n"/>
      <c r="BR96" s="482" t="n"/>
      <c r="BS96" s="482" t="n"/>
      <c r="BT96" s="482" t="n"/>
      <c r="BU96" s="482" t="n"/>
      <c r="BV96" s="482" t="n"/>
      <c r="BW96" s="482" t="n"/>
      <c r="BX96" s="482" t="n"/>
      <c r="BY96" s="482" t="n"/>
      <c r="BZ96" s="482" t="n"/>
      <c r="CA96" s="482" t="n"/>
      <c r="CB96" s="482" t="n"/>
      <c r="CC96" s="482" t="n"/>
      <c r="CD96" s="482" t="n"/>
      <c r="CE96" s="482" t="n"/>
      <c r="CF96" s="482" t="n"/>
      <c r="CG96" s="482" t="n"/>
      <c r="CH96" s="482" t="n"/>
      <c r="CI96" s="482" t="n"/>
      <c r="CJ96" s="482" t="n"/>
      <c r="CK96" s="482" t="n"/>
      <c r="CL96" s="482" t="n"/>
      <c r="CM96" s="482" t="n"/>
      <c r="CN96" s="482" t="n"/>
      <c r="CO96" s="482" t="n"/>
      <c r="CP96" s="482" t="n"/>
      <c r="CQ96" s="482" t="n"/>
      <c r="CR96" s="482" t="n"/>
      <c r="CS96" s="482" t="n"/>
      <c r="CT96" s="482" t="n"/>
    </row>
    <row r="97" ht="15" customFormat="1" customHeight="1" s="380">
      <c r="A97" s="478" t="inlineStr">
        <is>
          <t>5500-1000 Legal and Professional Fees</t>
        </is>
      </c>
      <c r="C97" s="482" t="n">
        <v>0</v>
      </c>
      <c r="D97" s="482" t="n">
        <v>0</v>
      </c>
      <c r="E97" s="482" t="n">
        <v>-38050.5</v>
      </c>
      <c r="F97" s="482" t="n">
        <v>0</v>
      </c>
      <c r="G97" s="482" t="n">
        <v>-986.5</v>
      </c>
      <c r="H97" s="482" t="n">
        <v>-4830</v>
      </c>
      <c r="I97" s="482" t="n">
        <v>0</v>
      </c>
      <c r="J97" s="482" t="n"/>
      <c r="K97" s="482" t="n"/>
      <c r="L97" s="482" t="n"/>
      <c r="M97" s="482" t="n"/>
      <c r="N97" s="482" t="n"/>
      <c r="O97" s="482" t="n"/>
      <c r="P97" s="482" t="n"/>
      <c r="Q97" s="482" t="n"/>
      <c r="R97" s="482" t="n"/>
      <c r="S97" s="482" t="n"/>
      <c r="T97" s="482" t="n"/>
      <c r="U97" s="482" t="n"/>
      <c r="V97" s="482" t="n"/>
      <c r="W97" s="482" t="n"/>
      <c r="X97" s="482" t="n"/>
      <c r="Y97" s="482" t="n"/>
      <c r="Z97" s="482" t="n"/>
      <c r="AA97" s="482" t="n"/>
      <c r="AB97" s="482" t="n"/>
      <c r="AC97" s="482" t="n"/>
      <c r="AD97" s="482" t="n"/>
      <c r="AE97" s="482" t="n"/>
      <c r="AF97" s="482" t="n"/>
      <c r="AG97" s="482" t="n"/>
      <c r="AH97" s="482" t="n"/>
      <c r="AI97" s="482" t="n"/>
      <c r="AJ97" s="482" t="n"/>
      <c r="AK97" s="482" t="n"/>
      <c r="AL97" s="482" t="n"/>
      <c r="AM97" s="482" t="n"/>
      <c r="AN97" s="482" t="n"/>
      <c r="AO97" s="482" t="n"/>
      <c r="AP97" s="482" t="n"/>
      <c r="AQ97" s="482" t="n"/>
      <c r="AR97" s="482" t="n"/>
      <c r="AS97" s="482" t="n"/>
      <c r="AT97" s="482" t="n"/>
      <c r="AU97" s="482" t="n"/>
      <c r="AV97" s="482" t="n"/>
      <c r="AW97" s="482" t="n"/>
      <c r="AX97" s="482" t="n"/>
      <c r="AY97" s="482" t="n"/>
      <c r="AZ97" s="482" t="n"/>
      <c r="BA97" s="482" t="n"/>
      <c r="BB97" s="482" t="n"/>
      <c r="BC97" s="482" t="n"/>
      <c r="BD97" s="482" t="n"/>
      <c r="BE97" s="482" t="n"/>
      <c r="BF97" s="482" t="n"/>
      <c r="BG97" s="482" t="n"/>
      <c r="BH97" s="482" t="n"/>
      <c r="BI97" s="482" t="n"/>
      <c r="BJ97" s="482" t="n"/>
      <c r="BK97" s="482" t="n"/>
      <c r="BL97" s="482" t="n"/>
      <c r="BM97" s="482" t="n"/>
      <c r="BN97" s="482" t="n"/>
      <c r="BO97" s="482" t="n"/>
      <c r="BP97" s="482" t="n"/>
      <c r="BQ97" s="482" t="n"/>
      <c r="BR97" s="482" t="n"/>
      <c r="BS97" s="482" t="n"/>
      <c r="BT97" s="482" t="n"/>
      <c r="BU97" s="482" t="n"/>
      <c r="BV97" s="482" t="n"/>
      <c r="BW97" s="482" t="n"/>
      <c r="BX97" s="482" t="n"/>
      <c r="BY97" s="482" t="n"/>
      <c r="BZ97" s="482" t="n"/>
      <c r="CA97" s="482" t="n"/>
      <c r="CB97" s="482" t="n"/>
      <c r="CC97" s="482" t="n"/>
      <c r="CD97" s="482" t="n"/>
      <c r="CE97" s="482" t="n"/>
      <c r="CF97" s="482" t="n"/>
      <c r="CG97" s="482" t="n"/>
      <c r="CH97" s="482" t="n"/>
      <c r="CI97" s="482" t="n"/>
      <c r="CJ97" s="482" t="n"/>
      <c r="CK97" s="482" t="n"/>
      <c r="CL97" s="482" t="n"/>
      <c r="CM97" s="482" t="n"/>
      <c r="CN97" s="482" t="n"/>
      <c r="CO97" s="482" t="n"/>
      <c r="CP97" s="482" t="n"/>
      <c r="CQ97" s="482" t="n"/>
      <c r="CR97" s="482" t="n"/>
      <c r="CS97" s="482" t="n"/>
      <c r="CT97" s="482" t="n"/>
    </row>
    <row r="98" ht="15" customFormat="1" customHeight="1" s="380">
      <c r="A98" s="476" t="inlineStr">
        <is>
          <t>5500-1002 Accounting Consulting and Overhead</t>
        </is>
      </c>
      <c r="C98" s="477" t="n">
        <v>-4097.78</v>
      </c>
      <c r="D98" s="477" t="n">
        <v>-1950.2</v>
      </c>
      <c r="E98" s="477" t="n">
        <v>-1978.2</v>
      </c>
      <c r="F98" s="477" t="n">
        <v>-1970.2</v>
      </c>
      <c r="G98" s="477" t="n">
        <v>-6126.2</v>
      </c>
      <c r="H98" s="477" t="n">
        <v>-1993.2</v>
      </c>
      <c r="I98" s="477" t="n">
        <v>-2040.2</v>
      </c>
      <c r="J98" s="477" t="n"/>
      <c r="K98" s="477" t="n"/>
      <c r="L98" s="477" t="n"/>
      <c r="M98" s="477" t="n"/>
      <c r="N98" s="477" t="n"/>
      <c r="O98" s="477" t="n"/>
      <c r="P98" s="477" t="n"/>
      <c r="Q98" s="477" t="n"/>
      <c r="R98" s="477" t="n"/>
      <c r="S98" s="477" t="n"/>
      <c r="T98" s="477" t="n"/>
      <c r="U98" s="477" t="n"/>
      <c r="V98" s="477" t="n"/>
      <c r="W98" s="477" t="n"/>
      <c r="X98" s="477" t="n"/>
      <c r="Y98" s="477" t="n"/>
      <c r="Z98" s="477" t="n"/>
      <c r="AA98" s="477" t="n"/>
      <c r="AB98" s="477" t="n"/>
      <c r="AC98" s="477" t="n"/>
      <c r="AD98" s="477" t="n"/>
      <c r="AE98" s="477" t="n"/>
      <c r="AF98" s="477" t="n"/>
      <c r="AG98" s="477" t="n"/>
      <c r="AH98" s="477" t="n"/>
      <c r="AI98" s="477" t="n"/>
      <c r="AJ98" s="477" t="n"/>
      <c r="AK98" s="477" t="n"/>
      <c r="AL98" s="477" t="n"/>
      <c r="AM98" s="477" t="n"/>
      <c r="AN98" s="477" t="n"/>
      <c r="AO98" s="477" t="n"/>
      <c r="AP98" s="477" t="n"/>
      <c r="AQ98" s="477" t="n"/>
      <c r="AR98" s="477" t="n"/>
      <c r="AS98" s="477" t="n"/>
      <c r="AT98" s="477" t="n"/>
      <c r="AU98" s="477" t="n"/>
      <c r="AV98" s="477" t="n"/>
      <c r="AW98" s="477" t="n"/>
      <c r="AX98" s="477" t="n"/>
      <c r="AY98" s="477" t="n"/>
      <c r="AZ98" s="477" t="n"/>
      <c r="BA98" s="477" t="n"/>
      <c r="BB98" s="477" t="n"/>
      <c r="BC98" s="477" t="n"/>
      <c r="BD98" s="477" t="n"/>
      <c r="BE98" s="477" t="n"/>
      <c r="BF98" s="477" t="n"/>
      <c r="BG98" s="477" t="n"/>
      <c r="BH98" s="477" t="n"/>
      <c r="BI98" s="477" t="n"/>
      <c r="BJ98" s="477" t="n"/>
      <c r="BK98" s="477" t="n"/>
      <c r="BL98" s="477" t="n"/>
      <c r="BM98" s="477" t="n"/>
      <c r="BN98" s="477" t="n"/>
      <c r="BO98" s="477" t="n"/>
      <c r="BP98" s="477" t="n"/>
      <c r="BQ98" s="477" t="n"/>
      <c r="BR98" s="477" t="n"/>
      <c r="BS98" s="477" t="n"/>
      <c r="BT98" s="477" t="n"/>
      <c r="BU98" s="477" t="n"/>
      <c r="BV98" s="477" t="n"/>
      <c r="BW98" s="477" t="n"/>
      <c r="BX98" s="477" t="n"/>
      <c r="BY98" s="477" t="n"/>
      <c r="BZ98" s="477" t="n"/>
      <c r="CA98" s="477" t="n"/>
      <c r="CB98" s="477" t="n"/>
      <c r="CC98" s="477" t="n"/>
      <c r="CD98" s="477" t="n"/>
      <c r="CE98" s="477" t="n"/>
      <c r="CF98" s="477" t="n"/>
      <c r="CG98" s="477" t="n"/>
      <c r="CH98" s="477" t="n"/>
      <c r="CI98" s="477" t="n"/>
      <c r="CJ98" s="477" t="n"/>
      <c r="CK98" s="477" t="n"/>
      <c r="CL98" s="477" t="n"/>
      <c r="CM98" s="477" t="n"/>
      <c r="CN98" s="477" t="n"/>
      <c r="CO98" s="477" t="n"/>
      <c r="CP98" s="477" t="n"/>
      <c r="CQ98" s="477" t="n"/>
      <c r="CR98" s="477" t="n"/>
      <c r="CS98" s="477" t="n"/>
      <c r="CT98" s="477" t="n"/>
    </row>
    <row r="99" ht="15" customFormat="1" customHeight="1" s="380">
      <c r="A99" s="476" t="inlineStr">
        <is>
          <t>5500-1004 Consultants and Other Professional Expenses</t>
        </is>
      </c>
      <c r="C99" s="477" t="n">
        <v>-28038</v>
      </c>
      <c r="D99" s="477" t="n">
        <v>-29387.5</v>
      </c>
      <c r="E99" s="477" t="n">
        <v>-28083</v>
      </c>
      <c r="F99" s="477" t="n">
        <v>-28083</v>
      </c>
      <c r="G99" s="477" t="n">
        <v>-69333</v>
      </c>
      <c r="H99" s="477" t="n">
        <v>-28083</v>
      </c>
      <c r="I99" s="477" t="n">
        <v>-28628</v>
      </c>
      <c r="J99" s="477" t="n"/>
      <c r="K99" s="477" t="n"/>
      <c r="L99" s="477" t="n"/>
      <c r="M99" s="477" t="n"/>
      <c r="N99" s="477" t="n"/>
      <c r="O99" s="477" t="n"/>
      <c r="P99" s="477" t="n"/>
      <c r="Q99" s="477" t="n"/>
      <c r="R99" s="477" t="n"/>
      <c r="S99" s="477" t="n"/>
      <c r="T99" s="477" t="n"/>
      <c r="U99" s="477" t="n"/>
      <c r="V99" s="477" t="n"/>
      <c r="W99" s="477" t="n"/>
      <c r="X99" s="477" t="n"/>
      <c r="Y99" s="477" t="n"/>
      <c r="Z99" s="477" t="n"/>
      <c r="AA99" s="477" t="n"/>
      <c r="AB99" s="477" t="n"/>
      <c r="AC99" s="477" t="n"/>
      <c r="AD99" s="477" t="n"/>
      <c r="AE99" s="477" t="n"/>
      <c r="AF99" s="477" t="n"/>
      <c r="AG99" s="477" t="n"/>
      <c r="AH99" s="477" t="n"/>
      <c r="AI99" s="477" t="n"/>
      <c r="AJ99" s="477" t="n"/>
      <c r="AK99" s="477" t="n"/>
      <c r="AL99" s="477" t="n"/>
      <c r="AM99" s="477" t="n"/>
      <c r="AN99" s="477" t="n"/>
      <c r="AO99" s="477" t="n"/>
      <c r="AP99" s="477" t="n"/>
      <c r="AQ99" s="477" t="n"/>
      <c r="AR99" s="477" t="n"/>
      <c r="AS99" s="477" t="n"/>
      <c r="AT99" s="477" t="n"/>
      <c r="AU99" s="477" t="n"/>
      <c r="AV99" s="477" t="n"/>
      <c r="AW99" s="477" t="n"/>
      <c r="AX99" s="477" t="n"/>
      <c r="AY99" s="477" t="n"/>
      <c r="AZ99" s="477" t="n"/>
      <c r="BA99" s="477" t="n"/>
      <c r="BB99" s="477" t="n"/>
      <c r="BC99" s="477" t="n"/>
      <c r="BD99" s="477" t="n"/>
      <c r="BE99" s="477" t="n"/>
      <c r="BF99" s="477" t="n"/>
      <c r="BG99" s="477" t="n"/>
      <c r="BH99" s="477" t="n"/>
      <c r="BI99" s="477" t="n"/>
      <c r="BJ99" s="477" t="n"/>
      <c r="BK99" s="477" t="n"/>
      <c r="BL99" s="477" t="n"/>
      <c r="BM99" s="477" t="n"/>
      <c r="BN99" s="477" t="n"/>
      <c r="BO99" s="477" t="n"/>
      <c r="BP99" s="477" t="n"/>
      <c r="BQ99" s="477" t="n"/>
      <c r="BR99" s="477" t="n"/>
      <c r="BS99" s="477" t="n"/>
      <c r="BT99" s="477" t="n"/>
      <c r="BU99" s="477" t="n"/>
      <c r="BV99" s="477" t="n"/>
      <c r="BW99" s="477" t="n"/>
      <c r="BX99" s="477" t="n"/>
      <c r="BY99" s="477" t="n"/>
      <c r="BZ99" s="477" t="n"/>
      <c r="CA99" s="477" t="n"/>
      <c r="CB99" s="477" t="n"/>
      <c r="CC99" s="477" t="n"/>
      <c r="CD99" s="477" t="n"/>
      <c r="CE99" s="477" t="n"/>
      <c r="CF99" s="477" t="n"/>
      <c r="CG99" s="477" t="n"/>
      <c r="CH99" s="477" t="n"/>
      <c r="CI99" s="477" t="n"/>
      <c r="CJ99" s="477" t="n"/>
      <c r="CK99" s="477" t="n"/>
      <c r="CL99" s="477" t="n"/>
      <c r="CM99" s="477" t="n"/>
      <c r="CN99" s="477" t="n"/>
      <c r="CO99" s="477" t="n"/>
      <c r="CP99" s="477" t="n"/>
      <c r="CQ99" s="477" t="n"/>
      <c r="CR99" s="477" t="n"/>
      <c r="CS99" s="477" t="n"/>
      <c r="CT99" s="477" t="n"/>
    </row>
    <row r="100" ht="15" customFormat="1" customHeight="1" s="380">
      <c r="A100" s="478" t="inlineStr">
        <is>
          <t>5500-1007 Dues and Subscriptions</t>
        </is>
      </c>
      <c r="C100" s="482" t="n">
        <v>-268</v>
      </c>
      <c r="D100" s="482" t="n">
        <v>-2088.75</v>
      </c>
      <c r="E100" s="482" t="n">
        <v>-2401.75</v>
      </c>
      <c r="F100" s="482" t="n">
        <v>-4209.5</v>
      </c>
      <c r="G100" s="482" t="n">
        <v>-2377.59</v>
      </c>
      <c r="H100" s="482" t="n">
        <v>-16</v>
      </c>
      <c r="I100" s="482" t="n">
        <v>-4592.5</v>
      </c>
      <c r="J100" s="482" t="n"/>
      <c r="K100" s="482" t="n"/>
      <c r="L100" s="482" t="n"/>
      <c r="M100" s="482" t="n"/>
      <c r="N100" s="482" t="n"/>
      <c r="O100" s="482" t="n"/>
      <c r="P100" s="482" t="n"/>
      <c r="Q100" s="482" t="n"/>
      <c r="R100" s="482" t="n"/>
      <c r="S100" s="482" t="n"/>
      <c r="T100" s="482" t="n"/>
      <c r="U100" s="482" t="n"/>
      <c r="V100" s="482" t="n"/>
      <c r="W100" s="482" t="n"/>
      <c r="X100" s="482" t="n"/>
      <c r="Y100" s="482" t="n"/>
      <c r="Z100" s="482" t="n"/>
      <c r="AA100" s="482" t="n"/>
      <c r="AB100" s="482" t="n"/>
      <c r="AC100" s="482" t="n"/>
      <c r="AD100" s="482" t="n"/>
      <c r="AE100" s="482" t="n"/>
      <c r="AF100" s="482" t="n"/>
      <c r="AG100" s="482" t="n"/>
      <c r="AH100" s="482" t="n"/>
      <c r="AI100" s="482" t="n"/>
      <c r="AJ100" s="482" t="n"/>
      <c r="AK100" s="482" t="n"/>
      <c r="AL100" s="482" t="n"/>
      <c r="AM100" s="482" t="n"/>
      <c r="AN100" s="482" t="n"/>
      <c r="AO100" s="482" t="n"/>
      <c r="AP100" s="482" t="n"/>
      <c r="AQ100" s="482" t="n"/>
      <c r="AR100" s="482" t="n"/>
      <c r="AS100" s="482" t="n"/>
      <c r="AT100" s="482" t="n"/>
      <c r="AU100" s="482" t="n"/>
      <c r="AV100" s="482" t="n"/>
      <c r="AW100" s="482" t="n"/>
      <c r="AX100" s="482" t="n"/>
      <c r="AY100" s="482" t="n"/>
      <c r="AZ100" s="482" t="n"/>
      <c r="BA100" s="482" t="n"/>
      <c r="BB100" s="482" t="n"/>
      <c r="BC100" s="482" t="n"/>
      <c r="BD100" s="482" t="n"/>
      <c r="BE100" s="482" t="n"/>
      <c r="BF100" s="482" t="n"/>
      <c r="BG100" s="482" t="n"/>
      <c r="BH100" s="482" t="n"/>
      <c r="BI100" s="482" t="n"/>
      <c r="BJ100" s="482" t="n"/>
      <c r="BK100" s="482" t="n"/>
      <c r="BL100" s="482" t="n"/>
      <c r="BM100" s="482" t="n"/>
      <c r="BN100" s="482" t="n"/>
      <c r="BO100" s="482" t="n"/>
      <c r="BP100" s="482" t="n"/>
      <c r="BQ100" s="482" t="n"/>
      <c r="BR100" s="482" t="n"/>
      <c r="BS100" s="482" t="n"/>
      <c r="BT100" s="482" t="n"/>
      <c r="BU100" s="482" t="n"/>
      <c r="BV100" s="482" t="n"/>
      <c r="BW100" s="482" t="n"/>
      <c r="BX100" s="482" t="n"/>
      <c r="BY100" s="482" t="n"/>
      <c r="BZ100" s="482" t="n"/>
      <c r="CA100" s="482" t="n"/>
      <c r="CB100" s="482" t="n"/>
      <c r="CC100" s="482" t="n"/>
      <c r="CD100" s="482" t="n"/>
      <c r="CE100" s="482" t="n"/>
      <c r="CF100" s="482" t="n"/>
      <c r="CG100" s="482" t="n"/>
      <c r="CH100" s="482" t="n"/>
      <c r="CI100" s="482" t="n"/>
      <c r="CJ100" s="482" t="n"/>
      <c r="CK100" s="482" t="n"/>
      <c r="CL100" s="482" t="n"/>
      <c r="CM100" s="482" t="n"/>
      <c r="CN100" s="482" t="n"/>
      <c r="CO100" s="482" t="n"/>
      <c r="CP100" s="482" t="n"/>
      <c r="CQ100" s="482" t="n"/>
      <c r="CR100" s="482" t="n"/>
      <c r="CS100" s="482" t="n"/>
      <c r="CT100" s="482" t="n"/>
    </row>
    <row r="101" ht="15" customFormat="1" customHeight="1" s="380">
      <c r="A101" s="478" t="inlineStr">
        <is>
          <t>5500-1009 Entity Filing and Formation Fees</t>
        </is>
      </c>
      <c r="C101" s="482" t="n">
        <v>-341.83</v>
      </c>
      <c r="D101" s="482" t="n">
        <v>-728</v>
      </c>
      <c r="E101" s="482" t="n">
        <v>-15256.75</v>
      </c>
      <c r="F101" s="482" t="n">
        <v>-1033.41</v>
      </c>
      <c r="G101" s="482" t="n">
        <v>-3499</v>
      </c>
      <c r="H101" s="482" t="n">
        <v>-1033.41</v>
      </c>
      <c r="I101" s="482" t="n">
        <v>-537.0599999999999</v>
      </c>
      <c r="J101" s="482" t="n"/>
      <c r="K101" s="482" t="n"/>
      <c r="L101" s="482" t="n"/>
      <c r="M101" s="482" t="n"/>
      <c r="N101" s="482" t="n"/>
      <c r="O101" s="482" t="n"/>
      <c r="P101" s="482" t="n"/>
      <c r="Q101" s="482" t="n"/>
      <c r="R101" s="482" t="n"/>
      <c r="S101" s="482" t="n"/>
      <c r="T101" s="482" t="n"/>
      <c r="U101" s="482" t="n"/>
      <c r="V101" s="482" t="n"/>
      <c r="W101" s="482" t="n"/>
      <c r="X101" s="482" t="n"/>
      <c r="Y101" s="482" t="n"/>
      <c r="Z101" s="482" t="n"/>
      <c r="AA101" s="482" t="n"/>
      <c r="AB101" s="482" t="n"/>
      <c r="AC101" s="482" t="n"/>
      <c r="AD101" s="482" t="n"/>
      <c r="AE101" s="482" t="n"/>
      <c r="AF101" s="482" t="n"/>
      <c r="AG101" s="482" t="n"/>
      <c r="AH101" s="482" t="n"/>
      <c r="AI101" s="482" t="n"/>
      <c r="AJ101" s="482" t="n"/>
      <c r="AK101" s="482" t="n"/>
      <c r="AL101" s="482" t="n"/>
      <c r="AM101" s="482" t="n"/>
      <c r="AN101" s="482" t="n"/>
      <c r="AO101" s="482" t="n"/>
      <c r="AP101" s="482" t="n"/>
      <c r="AQ101" s="482" t="n"/>
      <c r="AR101" s="482" t="n"/>
      <c r="AS101" s="482" t="n"/>
      <c r="AT101" s="482" t="n"/>
      <c r="AU101" s="482" t="n"/>
      <c r="AV101" s="482" t="n"/>
      <c r="AW101" s="482" t="n"/>
      <c r="AX101" s="482" t="n"/>
      <c r="AY101" s="482" t="n"/>
      <c r="AZ101" s="482" t="n"/>
      <c r="BA101" s="482" t="n"/>
      <c r="BB101" s="482" t="n"/>
      <c r="BC101" s="482" t="n"/>
      <c r="BD101" s="482" t="n"/>
      <c r="BE101" s="482" t="n"/>
      <c r="BF101" s="482" t="n"/>
      <c r="BG101" s="482" t="n"/>
      <c r="BH101" s="482" t="n"/>
      <c r="BI101" s="482" t="n"/>
      <c r="BJ101" s="482" t="n"/>
      <c r="BK101" s="482" t="n"/>
      <c r="BL101" s="482" t="n"/>
      <c r="BM101" s="482" t="n"/>
      <c r="BN101" s="482" t="n"/>
      <c r="BO101" s="482" t="n"/>
      <c r="BP101" s="482" t="n"/>
      <c r="BQ101" s="482" t="n"/>
      <c r="BR101" s="482" t="n"/>
      <c r="BS101" s="482" t="n"/>
      <c r="BT101" s="482" t="n"/>
      <c r="BU101" s="482" t="n"/>
      <c r="BV101" s="482" t="n"/>
      <c r="BW101" s="482" t="n"/>
      <c r="BX101" s="482" t="n"/>
      <c r="BY101" s="482" t="n"/>
      <c r="BZ101" s="482" t="n"/>
      <c r="CA101" s="482" t="n"/>
      <c r="CB101" s="482" t="n"/>
      <c r="CC101" s="482" t="n"/>
      <c r="CD101" s="482" t="n"/>
      <c r="CE101" s="482" t="n"/>
      <c r="CF101" s="482" t="n"/>
      <c r="CG101" s="482" t="n"/>
      <c r="CH101" s="482" t="n"/>
      <c r="CI101" s="482" t="n"/>
      <c r="CJ101" s="482" t="n"/>
      <c r="CK101" s="482" t="n"/>
      <c r="CL101" s="482" t="n"/>
      <c r="CM101" s="482" t="n"/>
      <c r="CN101" s="482" t="n"/>
      <c r="CO101" s="482" t="n"/>
      <c r="CP101" s="482" t="n"/>
      <c r="CQ101" s="482" t="n"/>
      <c r="CR101" s="482" t="n"/>
      <c r="CS101" s="482" t="n"/>
      <c r="CT101" s="482" t="n"/>
    </row>
    <row r="102" ht="15" customFormat="1" customHeight="1" s="380">
      <c r="A102" s="485" t="inlineStr">
        <is>
          <t>5500-1010 Investment Management Software</t>
        </is>
      </c>
      <c r="C102" s="482" t="n">
        <v>-1905.31</v>
      </c>
      <c r="D102" s="482" t="n">
        <v>-1905.31</v>
      </c>
      <c r="E102" s="482" t="n">
        <v>-1905.31</v>
      </c>
      <c r="F102" s="482" t="n">
        <v>-1905.31</v>
      </c>
      <c r="G102" s="482" t="n">
        <v>-1905.31</v>
      </c>
      <c r="H102" s="482" t="n">
        <v>-1905.31</v>
      </c>
      <c r="I102" s="482" t="n">
        <v>-1905.31</v>
      </c>
      <c r="J102" s="482" t="n"/>
      <c r="K102" s="482" t="n"/>
      <c r="L102" s="482" t="n"/>
      <c r="M102" s="482" t="n"/>
      <c r="N102" s="482" t="n"/>
      <c r="O102" s="482" t="n"/>
      <c r="P102" s="482" t="n"/>
      <c r="Q102" s="482" t="n"/>
      <c r="R102" s="482" t="n"/>
      <c r="S102" s="482" t="n"/>
      <c r="T102" s="482" t="n"/>
      <c r="U102" s="482" t="n"/>
      <c r="V102" s="482" t="n"/>
      <c r="W102" s="482" t="n"/>
      <c r="X102" s="482" t="n"/>
      <c r="Y102" s="482" t="n"/>
      <c r="Z102" s="482" t="n"/>
      <c r="AA102" s="482" t="n"/>
      <c r="AB102" s="482" t="n"/>
      <c r="AC102" s="482" t="n"/>
      <c r="AD102" s="482" t="n"/>
      <c r="AE102" s="482" t="n"/>
      <c r="AF102" s="482" t="n"/>
      <c r="AG102" s="482" t="n"/>
      <c r="AH102" s="482" t="n"/>
      <c r="AI102" s="482" t="n"/>
      <c r="AJ102" s="482" t="n"/>
      <c r="AK102" s="482" t="n"/>
      <c r="AL102" s="482" t="n"/>
      <c r="AM102" s="482" t="n"/>
      <c r="AN102" s="482" t="n"/>
      <c r="AO102" s="482" t="n"/>
      <c r="AP102" s="482" t="n"/>
      <c r="AQ102" s="482" t="n"/>
      <c r="AR102" s="482" t="n"/>
      <c r="AS102" s="482" t="n"/>
      <c r="AT102" s="482" t="n"/>
      <c r="AU102" s="482" t="n"/>
      <c r="AV102" s="482" t="n"/>
      <c r="AW102" s="482" t="n"/>
      <c r="AX102" s="482" t="n"/>
      <c r="AY102" s="482" t="n"/>
      <c r="AZ102" s="482" t="n"/>
      <c r="BA102" s="482" t="n"/>
      <c r="BB102" s="482" t="n"/>
      <c r="BC102" s="482" t="n"/>
      <c r="BD102" s="482" t="n"/>
      <c r="BE102" s="482" t="n"/>
      <c r="BF102" s="482" t="n"/>
      <c r="BG102" s="482" t="n"/>
      <c r="BH102" s="482" t="n"/>
      <c r="BI102" s="482" t="n"/>
      <c r="BJ102" s="482" t="n"/>
      <c r="BK102" s="482" t="n"/>
      <c r="BL102" s="482" t="n"/>
      <c r="BM102" s="482" t="n"/>
      <c r="BN102" s="482" t="n"/>
      <c r="BO102" s="482" t="n"/>
      <c r="BP102" s="482" t="n"/>
      <c r="BQ102" s="482" t="n"/>
      <c r="BR102" s="482" t="n"/>
      <c r="BS102" s="482" t="n"/>
      <c r="BT102" s="482" t="n"/>
      <c r="BU102" s="482" t="n"/>
      <c r="BV102" s="482" t="n"/>
      <c r="BW102" s="482" t="n"/>
      <c r="BX102" s="482" t="n"/>
      <c r="BY102" s="482" t="n"/>
      <c r="BZ102" s="482" t="n"/>
      <c r="CA102" s="482" t="n"/>
      <c r="CB102" s="482" t="n"/>
      <c r="CC102" s="482" t="n"/>
      <c r="CD102" s="482" t="n"/>
      <c r="CE102" s="482" t="n"/>
      <c r="CF102" s="482" t="n"/>
      <c r="CG102" s="482" t="n"/>
      <c r="CH102" s="482" t="n"/>
      <c r="CI102" s="482" t="n"/>
      <c r="CJ102" s="482" t="n"/>
      <c r="CK102" s="482" t="n"/>
      <c r="CL102" s="482" t="n"/>
      <c r="CM102" s="482" t="n"/>
      <c r="CN102" s="482" t="n"/>
      <c r="CO102" s="482" t="n"/>
      <c r="CP102" s="482" t="n"/>
      <c r="CQ102" s="482" t="n"/>
      <c r="CR102" s="482" t="n"/>
      <c r="CS102" s="482" t="n"/>
      <c r="CT102" s="482" t="n"/>
    </row>
    <row r="103" ht="15" customFormat="1" customHeight="1" s="380">
      <c r="A103" s="485" t="inlineStr">
        <is>
          <t>5500-1053 E&amp;O/D&amp;O Insurance</t>
        </is>
      </c>
      <c r="C103" s="482" t="n">
        <v>-2100</v>
      </c>
      <c r="D103" s="482" t="n">
        <v>-2100</v>
      </c>
      <c r="E103" s="482" t="n">
        <v>-2100</v>
      </c>
      <c r="F103" s="482" t="n">
        <v>-2100</v>
      </c>
      <c r="G103" s="482" t="n">
        <v>-2100</v>
      </c>
      <c r="H103" s="482" t="n">
        <v>-2100</v>
      </c>
      <c r="I103" s="482" t="n">
        <v>-2100</v>
      </c>
      <c r="J103" s="482" t="n"/>
      <c r="K103" s="482" t="n"/>
      <c r="L103" s="482" t="n"/>
      <c r="M103" s="482" t="n"/>
      <c r="N103" s="482" t="n"/>
      <c r="O103" s="482" t="n"/>
      <c r="P103" s="482" t="n"/>
      <c r="Q103" s="482" t="n"/>
      <c r="R103" s="482" t="n"/>
      <c r="S103" s="482" t="n"/>
      <c r="T103" s="482" t="n"/>
      <c r="U103" s="482" t="n"/>
      <c r="V103" s="482" t="n"/>
      <c r="W103" s="482" t="n"/>
      <c r="X103" s="482" t="n"/>
      <c r="Y103" s="482" t="n"/>
      <c r="Z103" s="482" t="n"/>
      <c r="AA103" s="482" t="n"/>
      <c r="AB103" s="482" t="n"/>
      <c r="AC103" s="482" t="n"/>
      <c r="AD103" s="482" t="n"/>
      <c r="AE103" s="482" t="n"/>
      <c r="AF103" s="482" t="n"/>
      <c r="AG103" s="482" t="n"/>
      <c r="AH103" s="482" t="n"/>
      <c r="AI103" s="482" t="n"/>
      <c r="AJ103" s="482" t="n"/>
      <c r="AK103" s="482" t="n"/>
      <c r="AL103" s="482" t="n"/>
      <c r="AM103" s="482" t="n"/>
      <c r="AN103" s="482" t="n"/>
      <c r="AO103" s="482" t="n"/>
      <c r="AP103" s="482" t="n"/>
      <c r="AQ103" s="482" t="n"/>
      <c r="AR103" s="482" t="n"/>
      <c r="AS103" s="482" t="n"/>
      <c r="AT103" s="482" t="n"/>
      <c r="AU103" s="482" t="n"/>
      <c r="AV103" s="482" t="n"/>
      <c r="AW103" s="482" t="n"/>
      <c r="AX103" s="482" t="n"/>
      <c r="AY103" s="482" t="n"/>
      <c r="AZ103" s="482" t="n"/>
      <c r="BA103" s="482" t="n"/>
      <c r="BB103" s="482" t="n"/>
      <c r="BC103" s="482" t="n"/>
      <c r="BD103" s="482" t="n"/>
      <c r="BE103" s="482" t="n"/>
      <c r="BF103" s="482" t="n"/>
      <c r="BG103" s="482" t="n"/>
      <c r="BH103" s="482" t="n"/>
      <c r="BI103" s="482" t="n"/>
      <c r="BJ103" s="482" t="n"/>
      <c r="BK103" s="482" t="n"/>
      <c r="BL103" s="482" t="n"/>
      <c r="BM103" s="482" t="n"/>
      <c r="BN103" s="482" t="n"/>
      <c r="BO103" s="482" t="n"/>
      <c r="BP103" s="482" t="n"/>
      <c r="BQ103" s="482" t="n"/>
      <c r="BR103" s="482" t="n"/>
      <c r="BS103" s="482" t="n"/>
      <c r="BT103" s="482" t="n"/>
      <c r="BU103" s="482" t="n"/>
      <c r="BV103" s="482" t="n"/>
      <c r="BW103" s="482" t="n"/>
      <c r="BX103" s="482" t="n"/>
      <c r="BY103" s="482" t="n"/>
      <c r="BZ103" s="482" t="n"/>
      <c r="CA103" s="482" t="n"/>
      <c r="CB103" s="482" t="n"/>
      <c r="CC103" s="482" t="n"/>
      <c r="CD103" s="482" t="n"/>
      <c r="CE103" s="482" t="n"/>
      <c r="CF103" s="482" t="n"/>
      <c r="CG103" s="482" t="n"/>
      <c r="CH103" s="482" t="n"/>
      <c r="CI103" s="482" t="n"/>
      <c r="CJ103" s="482" t="n"/>
      <c r="CK103" s="482" t="n"/>
      <c r="CL103" s="482" t="n"/>
      <c r="CM103" s="482" t="n"/>
      <c r="CN103" s="482" t="n"/>
      <c r="CO103" s="482" t="n"/>
      <c r="CP103" s="482" t="n"/>
      <c r="CQ103" s="482" t="n"/>
      <c r="CR103" s="482" t="n"/>
      <c r="CS103" s="482" t="n"/>
      <c r="CT103" s="482" t="n"/>
    </row>
    <row r="104" ht="15" customFormat="1" customHeight="1" s="380">
      <c r="A104" s="485" t="inlineStr">
        <is>
          <t>5800-1003 Consulting Fee</t>
        </is>
      </c>
      <c r="C104" s="482" t="n">
        <v>-66666.66</v>
      </c>
      <c r="D104" s="482" t="n">
        <v>-66666.66</v>
      </c>
      <c r="E104" s="482" t="n">
        <v>-66666.66</v>
      </c>
      <c r="F104" s="482" t="n">
        <v>-66666.66</v>
      </c>
      <c r="G104" s="482" t="n">
        <v>-66666.66</v>
      </c>
      <c r="H104" s="482" t="n">
        <v>-66666.66</v>
      </c>
      <c r="I104" s="482" t="n">
        <v>-66666.66</v>
      </c>
      <c r="J104" s="482" t="n"/>
      <c r="K104" s="482" t="n"/>
      <c r="L104" s="482" t="n"/>
      <c r="M104" s="482" t="n"/>
      <c r="N104" s="482" t="n"/>
      <c r="O104" s="482" t="n"/>
      <c r="P104" s="482" t="n"/>
      <c r="Q104" s="482" t="n"/>
      <c r="R104" s="482" t="n"/>
      <c r="S104" s="482" t="n"/>
      <c r="T104" s="482" t="n"/>
      <c r="U104" s="482" t="n"/>
      <c r="V104" s="482" t="n"/>
      <c r="W104" s="482" t="n"/>
      <c r="X104" s="482" t="n"/>
      <c r="Y104" s="482" t="n"/>
      <c r="Z104" s="482" t="n"/>
      <c r="AA104" s="482" t="n"/>
      <c r="AB104" s="482" t="n"/>
      <c r="AC104" s="482" t="n"/>
      <c r="AD104" s="482" t="n"/>
      <c r="AE104" s="482" t="n"/>
      <c r="AF104" s="482" t="n"/>
      <c r="AG104" s="482" t="n"/>
      <c r="AH104" s="482" t="n"/>
      <c r="AI104" s="482" t="n"/>
      <c r="AJ104" s="482" t="n"/>
      <c r="AK104" s="482" t="n"/>
      <c r="AL104" s="482" t="n"/>
      <c r="AM104" s="482" t="n"/>
      <c r="AN104" s="482" t="n"/>
      <c r="AO104" s="482" t="n"/>
      <c r="AP104" s="482" t="n"/>
      <c r="AQ104" s="482" t="n"/>
      <c r="AR104" s="482" t="n"/>
      <c r="AS104" s="482" t="n"/>
      <c r="AT104" s="482" t="n"/>
      <c r="AU104" s="482" t="n"/>
      <c r="AV104" s="482" t="n"/>
      <c r="AW104" s="482" t="n"/>
      <c r="AX104" s="482" t="n"/>
      <c r="AY104" s="482" t="n"/>
      <c r="AZ104" s="482" t="n"/>
      <c r="BA104" s="482" t="n"/>
      <c r="BB104" s="482" t="n"/>
      <c r="BC104" s="482" t="n"/>
      <c r="BD104" s="482" t="n"/>
      <c r="BE104" s="482" t="n"/>
      <c r="BF104" s="482" t="n"/>
      <c r="BG104" s="482" t="n"/>
      <c r="BH104" s="482" t="n"/>
      <c r="BI104" s="482" t="n"/>
      <c r="BJ104" s="482" t="n"/>
      <c r="BK104" s="482" t="n"/>
      <c r="BL104" s="482" t="n"/>
      <c r="BM104" s="482" t="n"/>
      <c r="BN104" s="482" t="n"/>
      <c r="BO104" s="482" t="n"/>
      <c r="BP104" s="482" t="n"/>
      <c r="BQ104" s="482" t="n"/>
      <c r="BR104" s="482" t="n"/>
      <c r="BS104" s="482" t="n"/>
      <c r="BT104" s="482" t="n"/>
      <c r="BU104" s="482" t="n"/>
      <c r="BV104" s="482" t="n"/>
      <c r="BW104" s="482" t="n"/>
      <c r="BX104" s="482" t="n"/>
      <c r="BY104" s="482" t="n"/>
      <c r="BZ104" s="482" t="n"/>
      <c r="CA104" s="482" t="n"/>
      <c r="CB104" s="482" t="n"/>
      <c r="CC104" s="482" t="n"/>
      <c r="CD104" s="482" t="n"/>
      <c r="CE104" s="482" t="n"/>
      <c r="CF104" s="482" t="n"/>
      <c r="CG104" s="482" t="n"/>
      <c r="CH104" s="482" t="n"/>
      <c r="CI104" s="482" t="n"/>
      <c r="CJ104" s="482" t="n"/>
      <c r="CK104" s="482" t="n"/>
      <c r="CL104" s="482" t="n"/>
      <c r="CM104" s="482" t="n"/>
      <c r="CN104" s="482" t="n"/>
      <c r="CO104" s="482" t="n"/>
      <c r="CP104" s="482" t="n"/>
      <c r="CQ104" s="482" t="n"/>
      <c r="CR104" s="482" t="n"/>
      <c r="CS104" s="482" t="n"/>
      <c r="CT104" s="482" t="n"/>
    </row>
    <row r="105" ht="15" customFormat="1" customHeight="1" s="380">
      <c r="A105" s="476" t="inlineStr">
        <is>
          <t>5900-1075 Miscellaneous Expense</t>
        </is>
      </c>
      <c r="C105" s="477" t="n">
        <v>-6935.84</v>
      </c>
      <c r="D105" s="477" t="n">
        <v>-2799.88</v>
      </c>
      <c r="E105" s="477" t="n">
        <v>-12899.88</v>
      </c>
      <c r="F105" s="477" t="n">
        <v>-2932.88</v>
      </c>
      <c r="G105" s="477" t="n">
        <v>-5474.88</v>
      </c>
      <c r="H105" s="477" t="n">
        <v>-5</v>
      </c>
      <c r="I105" s="477" t="n">
        <v>-255</v>
      </c>
      <c r="J105" s="477" t="n"/>
      <c r="K105" s="477" t="n"/>
      <c r="L105" s="477" t="n"/>
      <c r="M105" s="477" t="n"/>
      <c r="N105" s="477" t="n"/>
      <c r="O105" s="477" t="n"/>
      <c r="P105" s="477" t="n"/>
      <c r="Q105" s="477" t="n"/>
      <c r="R105" s="477" t="n"/>
      <c r="S105" s="477" t="n"/>
      <c r="T105" s="477" t="n"/>
      <c r="U105" s="477" t="n"/>
      <c r="V105" s="477" t="n"/>
      <c r="W105" s="477" t="n"/>
      <c r="X105" s="477" t="n"/>
      <c r="Y105" s="477" t="n"/>
      <c r="Z105" s="477" t="n"/>
      <c r="AA105" s="477" t="n"/>
      <c r="AB105" s="477" t="n"/>
      <c r="AC105" s="477" t="n"/>
      <c r="AD105" s="477" t="n"/>
      <c r="AE105" s="477" t="n"/>
      <c r="AF105" s="477" t="n"/>
      <c r="AG105" s="477" t="n"/>
      <c r="AH105" s="477" t="n"/>
      <c r="AI105" s="477" t="n"/>
      <c r="AJ105" s="477" t="n"/>
      <c r="AK105" s="477" t="n"/>
      <c r="AL105" s="477" t="n"/>
      <c r="AM105" s="477" t="n"/>
      <c r="AN105" s="477" t="n"/>
      <c r="AO105" s="477" t="n"/>
      <c r="AP105" s="477" t="n"/>
      <c r="AQ105" s="477" t="n"/>
      <c r="AR105" s="477" t="n"/>
      <c r="AS105" s="477" t="n"/>
      <c r="AT105" s="477" t="n"/>
      <c r="AU105" s="477" t="n"/>
      <c r="AV105" s="477" t="n"/>
      <c r="AW105" s="477" t="n"/>
      <c r="AX105" s="477" t="n"/>
      <c r="AY105" s="477" t="n"/>
      <c r="AZ105" s="477" t="n"/>
      <c r="BA105" s="477" t="n"/>
      <c r="BB105" s="477" t="n"/>
      <c r="BC105" s="477" t="n"/>
      <c r="BD105" s="477" t="n"/>
      <c r="BE105" s="477" t="n"/>
      <c r="BF105" s="477" t="n"/>
      <c r="BG105" s="477" t="n"/>
      <c r="BH105" s="477" t="n"/>
      <c r="BI105" s="477" t="n"/>
      <c r="BJ105" s="477" t="n"/>
      <c r="BK105" s="477" t="n"/>
      <c r="BL105" s="477" t="n"/>
      <c r="BM105" s="477" t="n"/>
      <c r="BN105" s="477" t="n"/>
      <c r="BO105" s="477" t="n"/>
      <c r="BP105" s="477" t="n"/>
      <c r="BQ105" s="477" t="n"/>
      <c r="BR105" s="477" t="n"/>
      <c r="BS105" s="477" t="n"/>
      <c r="BT105" s="477" t="n"/>
      <c r="BU105" s="477" t="n"/>
      <c r="BV105" s="477" t="n"/>
      <c r="BW105" s="477" t="n"/>
      <c r="BX105" s="477" t="n"/>
      <c r="BY105" s="477" t="n"/>
      <c r="BZ105" s="477" t="n"/>
      <c r="CA105" s="477" t="n"/>
      <c r="CB105" s="477" t="n"/>
      <c r="CC105" s="477" t="n"/>
      <c r="CD105" s="477" t="n"/>
      <c r="CE105" s="477" t="n"/>
      <c r="CF105" s="477" t="n"/>
      <c r="CG105" s="477" t="n"/>
      <c r="CH105" s="477" t="n"/>
      <c r="CI105" s="477" t="n"/>
      <c r="CJ105" s="477" t="n"/>
      <c r="CK105" s="477" t="n"/>
      <c r="CL105" s="477" t="n"/>
      <c r="CM105" s="477" t="n"/>
      <c r="CN105" s="477" t="n"/>
      <c r="CO105" s="477" t="n"/>
      <c r="CP105" s="477" t="n"/>
      <c r="CQ105" s="477" t="n"/>
      <c r="CR105" s="477" t="n"/>
      <c r="CS105" s="477" t="n"/>
      <c r="CT105" s="477" t="n"/>
    </row>
    <row r="106" ht="15" customFormat="1" customHeight="1" s="380">
      <c r="A106" s="476" t="inlineStr">
        <is>
          <t>5900-1080 Bank Service Charges</t>
        </is>
      </c>
      <c r="C106" s="477" t="n">
        <v>-658.14</v>
      </c>
      <c r="D106" s="477" t="n">
        <v>-310</v>
      </c>
      <c r="E106" s="477" t="n">
        <v>-371.74</v>
      </c>
      <c r="F106" s="477" t="n">
        <v>-857.33</v>
      </c>
      <c r="G106" s="477" t="n">
        <v>-305</v>
      </c>
      <c r="H106" s="477" t="n">
        <v>-352.5</v>
      </c>
      <c r="I106" s="477" t="n">
        <v>-204</v>
      </c>
      <c r="J106" s="477" t="n"/>
      <c r="K106" s="477" t="n"/>
      <c r="L106" s="477" t="n"/>
      <c r="M106" s="477" t="n"/>
      <c r="N106" s="477" t="n"/>
      <c r="O106" s="477" t="n"/>
      <c r="P106" s="477" t="n"/>
      <c r="Q106" s="477" t="n"/>
      <c r="R106" s="477" t="n"/>
      <c r="S106" s="477" t="n"/>
      <c r="T106" s="477" t="n"/>
      <c r="U106" s="477" t="n"/>
      <c r="V106" s="477" t="n"/>
      <c r="W106" s="477" t="n"/>
      <c r="X106" s="477" t="n"/>
      <c r="Y106" s="477" t="n"/>
      <c r="Z106" s="477" t="n"/>
      <c r="AA106" s="477" t="n"/>
      <c r="AB106" s="477" t="n"/>
      <c r="AC106" s="477" t="n"/>
      <c r="AD106" s="477" t="n"/>
      <c r="AE106" s="477" t="n"/>
      <c r="AF106" s="477" t="n"/>
      <c r="AG106" s="477" t="n"/>
      <c r="AH106" s="477" t="n"/>
      <c r="AI106" s="477" t="n"/>
      <c r="AJ106" s="477" t="n"/>
      <c r="AK106" s="477" t="n"/>
      <c r="AL106" s="477" t="n"/>
      <c r="AM106" s="477" t="n"/>
      <c r="AN106" s="477" t="n"/>
      <c r="AO106" s="477" t="n"/>
      <c r="AP106" s="477" t="n"/>
      <c r="AQ106" s="477" t="n"/>
      <c r="AR106" s="477" t="n"/>
      <c r="AS106" s="477" t="n"/>
      <c r="AT106" s="477" t="n"/>
      <c r="AU106" s="477" t="n"/>
      <c r="AV106" s="477" t="n"/>
      <c r="AW106" s="477" t="n"/>
      <c r="AX106" s="477" t="n"/>
      <c r="AY106" s="477" t="n"/>
      <c r="AZ106" s="477" t="n"/>
      <c r="BA106" s="477" t="n"/>
      <c r="BB106" s="477" t="n"/>
      <c r="BC106" s="477" t="n"/>
      <c r="BD106" s="477" t="n"/>
      <c r="BE106" s="477" t="n"/>
      <c r="BF106" s="477" t="n"/>
      <c r="BG106" s="477" t="n"/>
      <c r="BH106" s="477" t="n"/>
      <c r="BI106" s="477" t="n"/>
      <c r="BJ106" s="477" t="n"/>
      <c r="BK106" s="477" t="n"/>
      <c r="BL106" s="477" t="n"/>
      <c r="BM106" s="477" t="n"/>
      <c r="BN106" s="477" t="n"/>
      <c r="BO106" s="477" t="n"/>
      <c r="BP106" s="477" t="n"/>
      <c r="BQ106" s="477" t="n"/>
      <c r="BR106" s="477" t="n"/>
      <c r="BS106" s="477" t="n"/>
      <c r="BT106" s="477" t="n"/>
      <c r="BU106" s="477" t="n"/>
      <c r="BV106" s="477" t="n"/>
      <c r="BW106" s="477" t="n"/>
      <c r="BX106" s="477" t="n"/>
      <c r="BY106" s="477" t="n"/>
      <c r="BZ106" s="477" t="n"/>
      <c r="CA106" s="477" t="n"/>
      <c r="CB106" s="477" t="n"/>
      <c r="CC106" s="477" t="n"/>
      <c r="CD106" s="477" t="n"/>
      <c r="CE106" s="477" t="n"/>
      <c r="CF106" s="477" t="n"/>
      <c r="CG106" s="477" t="n"/>
      <c r="CH106" s="477" t="n"/>
      <c r="CI106" s="477" t="n"/>
      <c r="CJ106" s="477" t="n"/>
      <c r="CK106" s="477" t="n"/>
      <c r="CL106" s="477" t="n"/>
      <c r="CM106" s="477" t="n"/>
      <c r="CN106" s="477" t="n"/>
      <c r="CO106" s="477" t="n"/>
      <c r="CP106" s="477" t="n"/>
      <c r="CQ106" s="477" t="n"/>
      <c r="CR106" s="477" t="n"/>
      <c r="CS106" s="477" t="n"/>
      <c r="CT106" s="477" t="n"/>
    </row>
    <row r="107" ht="15" customFormat="1" customHeight="1" s="380">
      <c r="A107" s="476" t="inlineStr">
        <is>
          <t>Steyn Group Guaranty Fee</t>
        </is>
      </c>
      <c r="C107" s="477" t="n"/>
      <c r="D107" s="477" t="n"/>
      <c r="E107" s="477" t="n"/>
      <c r="F107" s="477" t="n"/>
      <c r="G107" s="477" t="n"/>
      <c r="H107" s="477" t="n"/>
      <c r="I107" s="477" t="n"/>
      <c r="J107" s="477" t="n"/>
      <c r="K107" s="477" t="n"/>
      <c r="L107" s="477" t="n"/>
      <c r="M107" s="477" t="n"/>
      <c r="N107" s="477" t="n"/>
      <c r="O107" s="477" t="n"/>
      <c r="P107" s="477" t="n"/>
      <c r="Q107" s="477" t="n"/>
      <c r="R107" s="477" t="n"/>
      <c r="S107" s="477" t="n"/>
      <c r="T107" s="477" t="n"/>
      <c r="U107" s="477" t="n"/>
      <c r="V107" s="477" t="n"/>
      <c r="W107" s="477" t="n"/>
      <c r="X107" s="477" t="n"/>
      <c r="Y107" s="477" t="n"/>
      <c r="Z107" s="477" t="n"/>
      <c r="AA107" s="477" t="n"/>
      <c r="AB107" s="477" t="n"/>
      <c r="AC107" s="477" t="n"/>
      <c r="AD107" s="477" t="n"/>
      <c r="AE107" s="477" t="n"/>
      <c r="AF107" s="477" t="n"/>
      <c r="AG107" s="477" t="n"/>
      <c r="AH107" s="477" t="n"/>
      <c r="AI107" s="477" t="n"/>
      <c r="AJ107" s="477" t="n"/>
      <c r="AK107" s="477" t="n"/>
      <c r="AL107" s="477" t="n"/>
      <c r="AM107" s="477" t="n"/>
      <c r="AN107" s="477" t="n"/>
      <c r="AO107" s="477" t="n"/>
      <c r="AP107" s="477" t="n"/>
      <c r="AQ107" s="477" t="n"/>
      <c r="AR107" s="477" t="n"/>
      <c r="AS107" s="477" t="n"/>
      <c r="AT107" s="477" t="n"/>
      <c r="AU107" s="477" t="n"/>
      <c r="AV107" s="477" t="n"/>
      <c r="AW107" s="477" t="n"/>
      <c r="AX107" s="477" t="n"/>
      <c r="AY107" s="477" t="n"/>
      <c r="AZ107" s="477" t="n"/>
      <c r="BA107" s="477" t="n"/>
      <c r="BB107" s="477" t="n"/>
      <c r="BC107" s="477" t="n"/>
      <c r="BD107" s="477" t="n"/>
      <c r="BE107" s="477" t="n"/>
      <c r="BF107" s="477" t="n"/>
      <c r="BG107" s="477" t="n"/>
      <c r="BH107" s="477" t="n"/>
      <c r="BI107" s="477" t="n"/>
      <c r="BJ107" s="477" t="n"/>
      <c r="BK107" s="477" t="n"/>
      <c r="BL107" s="477" t="n"/>
      <c r="BM107" s="477" t="n"/>
      <c r="BN107" s="477" t="n"/>
      <c r="BO107" s="477" t="n"/>
      <c r="BP107" s="477" t="n"/>
      <c r="BQ107" s="477" t="n"/>
      <c r="BR107" s="477" t="n"/>
      <c r="BS107" s="477" t="n"/>
      <c r="BT107" s="477" t="n"/>
      <c r="BU107" s="477" t="n"/>
      <c r="BV107" s="477" t="n"/>
      <c r="BW107" s="477" t="n"/>
      <c r="BX107" s="477" t="n"/>
      <c r="BY107" s="477" t="n"/>
      <c r="BZ107" s="477" t="n"/>
      <c r="CA107" s="477" t="n"/>
      <c r="CB107" s="477" t="n"/>
      <c r="CC107" s="477" t="n"/>
      <c r="CD107" s="477" t="n"/>
      <c r="CE107" s="477" t="n"/>
      <c r="CF107" s="477" t="n"/>
      <c r="CG107" s="477" t="n"/>
      <c r="CH107" s="477" t="n"/>
      <c r="CI107" s="477" t="n"/>
      <c r="CJ107" s="477" t="n"/>
      <c r="CK107" s="477" t="n"/>
      <c r="CL107" s="477" t="n"/>
      <c r="CM107" s="477" t="n"/>
      <c r="CN107" s="477" t="n"/>
      <c r="CO107" s="477" t="n"/>
      <c r="CP107" s="477" t="n"/>
      <c r="CQ107" s="477" t="n"/>
      <c r="CR107" s="477" t="n"/>
      <c r="CS107" s="477" t="n"/>
      <c r="CT107" s="477" t="n"/>
    </row>
    <row r="108" ht="15" customFormat="1" customHeight="1" s="380">
      <c r="A108" s="476" t="inlineStr">
        <is>
          <t>Steyn Liquidity Guarantee Fee</t>
        </is>
      </c>
      <c r="C108" s="477" t="n"/>
      <c r="D108" s="477" t="n"/>
      <c r="E108" s="477" t="n"/>
      <c r="F108" s="477" t="n"/>
      <c r="G108" s="477" t="n"/>
      <c r="H108" s="477" t="n"/>
      <c r="I108" s="477" t="n"/>
      <c r="J108" s="477" t="n"/>
      <c r="K108" s="477" t="n"/>
      <c r="L108" s="477" t="n"/>
      <c r="M108" s="477" t="n"/>
      <c r="N108" s="477" t="n"/>
      <c r="O108" s="477" t="n"/>
      <c r="P108" s="477" t="n"/>
      <c r="Q108" s="477" t="n"/>
      <c r="R108" s="477" t="n"/>
      <c r="S108" s="477" t="n"/>
      <c r="T108" s="477" t="n"/>
      <c r="U108" s="477" t="n"/>
      <c r="V108" s="477" t="n"/>
      <c r="W108" s="477" t="n"/>
      <c r="X108" s="477" t="n"/>
      <c r="Y108" s="477" t="n"/>
      <c r="Z108" s="477" t="n"/>
      <c r="AA108" s="477" t="n"/>
      <c r="AB108" s="477" t="n"/>
      <c r="AC108" s="477" t="n"/>
      <c r="AD108" s="477" t="n"/>
      <c r="AE108" s="477" t="n"/>
      <c r="AF108" s="477" t="n"/>
      <c r="AG108" s="477" t="n"/>
      <c r="AH108" s="477" t="n"/>
      <c r="AI108" s="477" t="n"/>
      <c r="AJ108" s="477" t="n"/>
      <c r="AK108" s="477" t="n"/>
      <c r="AL108" s="477" t="n"/>
      <c r="AM108" s="477" t="n"/>
      <c r="AN108" s="477" t="n"/>
      <c r="AO108" s="477" t="n"/>
      <c r="AP108" s="477" t="n"/>
      <c r="AQ108" s="477" t="n"/>
      <c r="AR108" s="477" t="n"/>
      <c r="AS108" s="477" t="n"/>
      <c r="AT108" s="477" t="n"/>
      <c r="AU108" s="477" t="n"/>
      <c r="AV108" s="477" t="n"/>
      <c r="AW108" s="477" t="n"/>
      <c r="AX108" s="477" t="n"/>
      <c r="AY108" s="477" t="n"/>
      <c r="AZ108" s="477" t="n"/>
      <c r="BA108" s="477" t="n"/>
      <c r="BB108" s="477" t="n"/>
      <c r="BC108" s="477" t="n"/>
      <c r="BD108" s="477" t="n"/>
      <c r="BE108" s="477" t="n"/>
      <c r="BF108" s="477" t="n"/>
      <c r="BG108" s="477" t="n"/>
      <c r="BH108" s="477" t="n"/>
      <c r="BI108" s="477" t="n"/>
      <c r="BJ108" s="477" t="n"/>
      <c r="BK108" s="477" t="n"/>
      <c r="BL108" s="477" t="n"/>
      <c r="BM108" s="477" t="n"/>
      <c r="BN108" s="477" t="n"/>
      <c r="BO108" s="477" t="n"/>
      <c r="BP108" s="477" t="n"/>
      <c r="BQ108" s="477" t="n"/>
      <c r="BR108" s="477" t="n"/>
      <c r="BS108" s="477" t="n"/>
      <c r="BT108" s="477" t="n"/>
      <c r="BU108" s="477" t="n"/>
      <c r="BV108" s="477" t="n"/>
      <c r="BW108" s="477" t="n"/>
      <c r="BX108" s="477" t="n"/>
      <c r="BY108" s="477" t="n"/>
      <c r="BZ108" s="477" t="n"/>
      <c r="CA108" s="477" t="n"/>
      <c r="CB108" s="477" t="n"/>
      <c r="CC108" s="477" t="n"/>
      <c r="CD108" s="477" t="n"/>
      <c r="CE108" s="477" t="n"/>
      <c r="CF108" s="477" t="n"/>
      <c r="CG108" s="477" t="n"/>
      <c r="CH108" s="477" t="n"/>
      <c r="CI108" s="477" t="n"/>
      <c r="CJ108" s="477" t="n"/>
      <c r="CK108" s="477" t="n"/>
      <c r="CL108" s="477" t="n"/>
      <c r="CM108" s="477" t="n"/>
      <c r="CN108" s="477" t="n"/>
      <c r="CO108" s="477" t="n"/>
      <c r="CP108" s="477" t="n"/>
      <c r="CQ108" s="477" t="n"/>
      <c r="CR108" s="477" t="n"/>
      <c r="CS108" s="477" t="n"/>
      <c r="CT108" s="477" t="n"/>
    </row>
    <row r="109" ht="15" customFormat="1" customHeight="1" s="380">
      <c r="A109" s="476" t="inlineStr">
        <is>
          <t>Francis Steyn Fee + PIK (from LIHTC Revenue)</t>
        </is>
      </c>
      <c r="C109" s="477" t="n"/>
      <c r="D109" s="477" t="n"/>
      <c r="E109" s="477" t="n"/>
      <c r="F109" s="477" t="n"/>
      <c r="G109" s="477" t="n"/>
      <c r="H109" s="477" t="n"/>
      <c r="I109" s="477" t="n"/>
      <c r="J109" s="477" t="n"/>
      <c r="K109" s="477" t="n"/>
      <c r="L109" s="477" t="n"/>
      <c r="M109" s="477" t="n"/>
      <c r="N109" s="477" t="n"/>
      <c r="O109" s="477" t="n"/>
      <c r="P109" s="477" t="n"/>
      <c r="Q109" s="477" t="n"/>
      <c r="R109" s="477" t="n"/>
      <c r="S109" s="477" t="n"/>
      <c r="T109" s="477" t="n"/>
      <c r="U109" s="477" t="n"/>
      <c r="V109" s="477" t="n"/>
      <c r="W109" s="477" t="n"/>
      <c r="X109" s="477" t="n"/>
      <c r="Y109" s="477" t="n"/>
      <c r="Z109" s="477" t="n"/>
      <c r="AA109" s="477" t="n"/>
      <c r="AB109" s="477" t="n"/>
      <c r="AC109" s="477" t="n"/>
      <c r="AD109" s="477" t="n"/>
      <c r="AE109" s="477" t="n"/>
      <c r="AF109" s="477" t="n"/>
      <c r="AG109" s="477" t="n"/>
      <c r="AH109" s="477" t="n"/>
      <c r="AI109" s="477" t="n"/>
      <c r="AJ109" s="477" t="n"/>
      <c r="AK109" s="477" t="n"/>
      <c r="AL109" s="477" t="n"/>
      <c r="AM109" s="477" t="n"/>
      <c r="AN109" s="477" t="n"/>
      <c r="AO109" s="477" t="n"/>
      <c r="AP109" s="477" t="n"/>
      <c r="AQ109" s="477" t="n"/>
      <c r="AR109" s="477" t="n"/>
      <c r="AS109" s="477" t="n"/>
      <c r="AT109" s="477" t="n"/>
      <c r="AU109" s="477" t="n"/>
      <c r="AV109" s="477" t="n"/>
      <c r="AW109" s="477" t="n"/>
      <c r="AX109" s="477" t="n"/>
      <c r="AY109" s="477" t="n"/>
      <c r="AZ109" s="477" t="n"/>
      <c r="BA109" s="477" t="n"/>
      <c r="BB109" s="477" t="n"/>
      <c r="BC109" s="477" t="n"/>
      <c r="BD109" s="477" t="n"/>
      <c r="BE109" s="477" t="n"/>
      <c r="BF109" s="477" t="n"/>
      <c r="BG109" s="477" t="n"/>
      <c r="BH109" s="477" t="n"/>
      <c r="BI109" s="477" t="n"/>
      <c r="BJ109" s="477" t="n"/>
      <c r="BK109" s="477" t="n"/>
      <c r="BL109" s="477" t="n"/>
      <c r="BM109" s="477" t="n"/>
      <c r="BN109" s="477" t="n"/>
      <c r="BO109" s="477" t="n"/>
      <c r="BP109" s="477" t="n"/>
      <c r="BQ109" s="477" t="n"/>
      <c r="BR109" s="477" t="n"/>
      <c r="BS109" s="477" t="n"/>
      <c r="BT109" s="477" t="n"/>
      <c r="BU109" s="477" t="n"/>
      <c r="BV109" s="477" t="n"/>
      <c r="BW109" s="477" t="n"/>
      <c r="BX109" s="477" t="n"/>
      <c r="BY109" s="477" t="n"/>
      <c r="BZ109" s="477" t="n"/>
      <c r="CA109" s="477" t="n"/>
      <c r="CB109" s="477" t="n"/>
      <c r="CC109" s="477" t="n"/>
      <c r="CD109" s="477" t="n"/>
      <c r="CE109" s="477" t="n"/>
      <c r="CF109" s="477" t="n"/>
      <c r="CG109" s="477" t="n"/>
      <c r="CH109" s="477" t="n"/>
      <c r="CI109" s="477" t="n"/>
      <c r="CJ109" s="477" t="n"/>
      <c r="CK109" s="477" t="n"/>
      <c r="CL109" s="477" t="n"/>
      <c r="CM109" s="477" t="n"/>
      <c r="CN109" s="477" t="n"/>
      <c r="CO109" s="477" t="n"/>
      <c r="CP109" s="477" t="n"/>
      <c r="CQ109" s="477" t="n"/>
      <c r="CR109" s="477" t="n"/>
      <c r="CS109" s="477" t="n"/>
      <c r="CT109" s="477" t="n"/>
    </row>
    <row r="110" ht="15" customFormat="1" customHeight="1" s="380">
      <c r="A110" s="476" t="inlineStr">
        <is>
          <t>Reseda Steyn Fee + PIK (from LIHTC Revenue)</t>
        </is>
      </c>
      <c r="C110" s="477" t="n"/>
      <c r="D110" s="477" t="n"/>
      <c r="E110" s="477" t="n"/>
      <c r="F110" s="477" t="n"/>
      <c r="G110" s="477" t="n"/>
      <c r="H110" s="477" t="n"/>
      <c r="I110" s="477" t="n"/>
      <c r="J110" s="477" t="n"/>
      <c r="K110" s="477" t="n"/>
      <c r="L110" s="477" t="n"/>
      <c r="M110" s="477" t="n"/>
      <c r="N110" s="477" t="n"/>
      <c r="O110" s="477" t="n"/>
      <c r="P110" s="477" t="n"/>
      <c r="Q110" s="477" t="n"/>
      <c r="R110" s="477" t="n"/>
      <c r="S110" s="477" t="n"/>
      <c r="T110" s="477" t="n"/>
      <c r="U110" s="477" t="n"/>
      <c r="V110" s="477" t="n"/>
      <c r="W110" s="477" t="n"/>
      <c r="X110" s="477" t="n"/>
      <c r="Y110" s="477" t="n"/>
      <c r="Z110" s="477" t="n"/>
      <c r="AA110" s="477" t="n"/>
      <c r="AB110" s="477" t="n"/>
      <c r="AC110" s="477" t="n"/>
      <c r="AD110" s="477" t="n"/>
      <c r="AE110" s="477" t="n"/>
      <c r="AF110" s="477" t="n"/>
      <c r="AG110" s="477" t="n"/>
      <c r="AH110" s="477" t="n"/>
      <c r="AI110" s="477" t="n"/>
      <c r="AJ110" s="477" t="n"/>
      <c r="AK110" s="477" t="n"/>
      <c r="AL110" s="477" t="n"/>
      <c r="AM110" s="477" t="n"/>
      <c r="AN110" s="477" t="n"/>
      <c r="AO110" s="477" t="n"/>
      <c r="AP110" s="477" t="n"/>
      <c r="AQ110" s="477" t="n"/>
      <c r="AR110" s="477" t="n"/>
      <c r="AS110" s="477" t="n"/>
      <c r="AT110" s="477" t="n"/>
      <c r="AU110" s="477" t="n"/>
      <c r="AV110" s="477" t="n"/>
      <c r="AW110" s="477" t="n"/>
      <c r="AX110" s="477" t="n"/>
      <c r="AY110" s="477" t="n"/>
      <c r="AZ110" s="477" t="n"/>
      <c r="BA110" s="477" t="n"/>
      <c r="BB110" s="477" t="n"/>
      <c r="BC110" s="477" t="n"/>
      <c r="BD110" s="477" t="n"/>
      <c r="BE110" s="477" t="n"/>
      <c r="BF110" s="477" t="n"/>
      <c r="BG110" s="477" t="n"/>
      <c r="BH110" s="477" t="n"/>
      <c r="BI110" s="477" t="n"/>
      <c r="BJ110" s="477" t="n"/>
      <c r="BK110" s="477" t="n"/>
      <c r="BL110" s="477" t="n"/>
      <c r="BM110" s="477" t="n"/>
      <c r="BN110" s="477" t="n"/>
      <c r="BO110" s="477" t="n"/>
      <c r="BP110" s="477" t="n"/>
      <c r="BQ110" s="477" t="n"/>
      <c r="BR110" s="477" t="n"/>
      <c r="BS110" s="477" t="n"/>
      <c r="BT110" s="477" t="n"/>
      <c r="BU110" s="477" t="n"/>
      <c r="BV110" s="477" t="n"/>
      <c r="BW110" s="477" t="n"/>
      <c r="BX110" s="477" t="n"/>
      <c r="BY110" s="477" t="n"/>
      <c r="BZ110" s="477" t="n"/>
      <c r="CA110" s="477" t="n"/>
      <c r="CB110" s="477" t="n"/>
      <c r="CC110" s="477" t="n"/>
      <c r="CD110" s="477" t="n"/>
      <c r="CE110" s="477" t="n"/>
      <c r="CF110" s="477" t="n"/>
      <c r="CG110" s="477" t="n"/>
      <c r="CH110" s="477" t="n"/>
      <c r="CI110" s="477" t="n"/>
      <c r="CJ110" s="477" t="n"/>
      <c r="CK110" s="477" t="n"/>
      <c r="CL110" s="477" t="n"/>
      <c r="CM110" s="477" t="n"/>
      <c r="CN110" s="477" t="n"/>
      <c r="CO110" s="477" t="n"/>
      <c r="CP110" s="477" t="n"/>
      <c r="CQ110" s="477" t="n"/>
      <c r="CR110" s="477" t="n"/>
      <c r="CS110" s="477" t="n"/>
      <c r="CT110" s="477" t="n"/>
    </row>
    <row r="111" ht="15" customFormat="1" customHeight="1" s="380">
      <c r="A111" s="476" t="inlineStr">
        <is>
          <t>3rd St Steyn Fee + PIK (from LIHTC Revenue)</t>
        </is>
      </c>
      <c r="C111" s="477" t="n"/>
      <c r="D111" s="477" t="n"/>
      <c r="E111" s="477" t="n"/>
      <c r="F111" s="477" t="n"/>
      <c r="G111" s="477" t="n"/>
      <c r="H111" s="477" t="n"/>
      <c r="I111" s="477" t="n"/>
      <c r="J111" s="477" t="n"/>
      <c r="K111" s="477" t="n"/>
      <c r="L111" s="477" t="n"/>
      <c r="M111" s="477" t="n"/>
      <c r="N111" s="477" t="n"/>
      <c r="O111" s="477" t="n"/>
      <c r="P111" s="477" t="n"/>
      <c r="Q111" s="477" t="n"/>
      <c r="R111" s="477" t="n"/>
      <c r="S111" s="477" t="n"/>
      <c r="T111" s="477" t="n"/>
      <c r="U111" s="477" t="n"/>
      <c r="V111" s="477" t="n"/>
      <c r="W111" s="477" t="n"/>
      <c r="X111" s="477" t="n"/>
      <c r="Y111" s="477" t="n"/>
      <c r="Z111" s="477" t="n"/>
      <c r="AA111" s="477" t="n"/>
      <c r="AB111" s="477" t="n"/>
      <c r="AC111" s="477" t="n"/>
      <c r="AD111" s="477" t="n"/>
      <c r="AE111" s="477" t="n"/>
      <c r="AF111" s="477" t="n"/>
      <c r="AG111" s="477" t="n"/>
      <c r="AH111" s="477" t="n"/>
      <c r="AI111" s="477" t="n"/>
      <c r="AJ111" s="477" t="n"/>
      <c r="AK111" s="477" t="n"/>
      <c r="AL111" s="477" t="n"/>
      <c r="AM111" s="477" t="n"/>
      <c r="AN111" s="477" t="n"/>
      <c r="AO111" s="477" t="n"/>
      <c r="AP111" s="477" t="n"/>
      <c r="AQ111" s="477" t="n"/>
      <c r="AR111" s="477" t="n"/>
      <c r="AS111" s="477" t="n"/>
      <c r="AT111" s="477" t="n"/>
      <c r="AU111" s="477" t="n"/>
      <c r="AV111" s="477" t="n"/>
      <c r="AW111" s="477" t="n"/>
      <c r="AX111" s="477" t="n"/>
      <c r="AY111" s="477" t="n"/>
      <c r="AZ111" s="477" t="n"/>
      <c r="BA111" s="477" t="n"/>
      <c r="BB111" s="477" t="n"/>
      <c r="BC111" s="477" t="n"/>
      <c r="BD111" s="477" t="n"/>
      <c r="BE111" s="477" t="n"/>
      <c r="BF111" s="477" t="n"/>
      <c r="BG111" s="477" t="n"/>
      <c r="BH111" s="477" t="n"/>
      <c r="BI111" s="477" t="n"/>
      <c r="BJ111" s="477" t="n"/>
      <c r="BK111" s="477" t="n"/>
      <c r="BL111" s="477" t="n"/>
      <c r="BM111" s="477" t="n"/>
      <c r="BN111" s="477" t="n"/>
      <c r="BO111" s="477" t="n"/>
      <c r="BP111" s="477" t="n"/>
      <c r="BQ111" s="477" t="n"/>
      <c r="BR111" s="477" t="n"/>
      <c r="BS111" s="477" t="n"/>
      <c r="BT111" s="477" t="n"/>
      <c r="BU111" s="477" t="n"/>
      <c r="BV111" s="477" t="n"/>
      <c r="BW111" s="477" t="n"/>
      <c r="BX111" s="477" t="n"/>
      <c r="BY111" s="477" t="n"/>
      <c r="BZ111" s="477" t="n"/>
      <c r="CA111" s="477" t="n"/>
      <c r="CB111" s="477" t="n"/>
      <c r="CC111" s="477" t="n"/>
      <c r="CD111" s="477" t="n"/>
      <c r="CE111" s="477" t="n"/>
      <c r="CF111" s="477" t="n"/>
      <c r="CG111" s="477" t="n"/>
      <c r="CH111" s="477" t="n"/>
      <c r="CI111" s="477" t="n"/>
      <c r="CJ111" s="477" t="n"/>
      <c r="CK111" s="477" t="n"/>
      <c r="CL111" s="477" t="n"/>
      <c r="CM111" s="477" t="n"/>
      <c r="CN111" s="477" t="n"/>
      <c r="CO111" s="477" t="n"/>
      <c r="CP111" s="477" t="n"/>
      <c r="CQ111" s="477" t="n"/>
      <c r="CR111" s="477" t="n"/>
      <c r="CS111" s="477" t="n"/>
      <c r="CT111" s="477" t="n"/>
    </row>
    <row r="112" ht="15" customFormat="1" customHeight="1" s="380">
      <c r="A112" s="473" t="inlineStr">
        <is>
          <t>Total Six Peak Expenses</t>
        </is>
      </c>
      <c r="C112" s="486">
        <f>SUM(C82:C110)</f>
        <v/>
      </c>
      <c r="D112" s="486">
        <f>SUM(D82:D110)</f>
        <v/>
      </c>
      <c r="E112" s="486">
        <f>SUM(E82:E110)</f>
        <v/>
      </c>
      <c r="F112" s="486">
        <f>SUM(F82:F110)</f>
        <v/>
      </c>
      <c r="G112" s="486">
        <f>SUM(G82:G110)</f>
        <v/>
      </c>
      <c r="H112" s="486">
        <f>SUM(H82:H110)</f>
        <v/>
      </c>
      <c r="I112" s="486">
        <f>SUM(I82:I110)</f>
        <v/>
      </c>
      <c r="J112" s="486">
        <f>SUM(J82:J110)</f>
        <v/>
      </c>
      <c r="K112" s="486">
        <f>SUM(K82:K110)</f>
        <v/>
      </c>
      <c r="L112" s="486">
        <f>SUM(L82:L110)</f>
        <v/>
      </c>
      <c r="M112" s="486">
        <f>SUM(M82:M110)</f>
        <v/>
      </c>
      <c r="N112" s="486">
        <f>SUM(N82:N110)</f>
        <v/>
      </c>
      <c r="O112" s="486">
        <f>SUM(O82:O110)</f>
        <v/>
      </c>
      <c r="P112" s="486">
        <f>SUM(P82:P110)</f>
        <v/>
      </c>
      <c r="Q112" s="486">
        <f>SUM(Q82:Q110)</f>
        <v/>
      </c>
      <c r="R112" s="486">
        <f>SUM(R82:R110)</f>
        <v/>
      </c>
      <c r="S112" s="486">
        <f>SUM(S82:S110)</f>
        <v/>
      </c>
      <c r="T112" s="486">
        <f>SUM(T82:T110)</f>
        <v/>
      </c>
      <c r="U112" s="486">
        <f>SUM(U82:U110)</f>
        <v/>
      </c>
      <c r="V112" s="486">
        <f>SUM(V82:V110)</f>
        <v/>
      </c>
      <c r="W112" s="486">
        <f>SUM(W82:W110)</f>
        <v/>
      </c>
      <c r="X112" s="486">
        <f>SUM(X82:X110)</f>
        <v/>
      </c>
      <c r="Y112" s="486">
        <f>SUM(Y82:Y110)</f>
        <v/>
      </c>
      <c r="Z112" s="486">
        <f>SUM(Z82:Z110)</f>
        <v/>
      </c>
      <c r="AA112" s="486">
        <f>SUM(AA82:AA110)</f>
        <v/>
      </c>
      <c r="AB112" s="486">
        <f>SUM(AB82:AB110)</f>
        <v/>
      </c>
      <c r="AC112" s="486">
        <f>SUM(AC82:AC110)</f>
        <v/>
      </c>
      <c r="AD112" s="486">
        <f>SUM(AD82:AD110)</f>
        <v/>
      </c>
      <c r="AE112" s="486">
        <f>SUM(AE82:AE110)</f>
        <v/>
      </c>
      <c r="AF112" s="486">
        <f>SUM(AF82:AF110)</f>
        <v/>
      </c>
      <c r="AG112" s="486">
        <f>SUM(AG82:AG110)</f>
        <v/>
      </c>
      <c r="AH112" s="486">
        <f>SUM(AH82:AH110)</f>
        <v/>
      </c>
      <c r="AI112" s="486">
        <f>SUM(AI82:AI110)</f>
        <v/>
      </c>
      <c r="AJ112" s="486">
        <f>SUM(AJ82:AJ110)</f>
        <v/>
      </c>
      <c r="AK112" s="486">
        <f>SUM(AK82:AK110)</f>
        <v/>
      </c>
      <c r="AL112" s="486">
        <f>SUM(AL82:AL110)</f>
        <v/>
      </c>
      <c r="AM112" s="486">
        <f>SUM(AM82:AM110)</f>
        <v/>
      </c>
      <c r="AN112" s="486">
        <f>SUM(AN82:AN110)</f>
        <v/>
      </c>
      <c r="AO112" s="486">
        <f>SUM(AO82:AO110)</f>
        <v/>
      </c>
      <c r="AP112" s="486">
        <f>SUM(AP82:AP110)</f>
        <v/>
      </c>
      <c r="AQ112" s="486">
        <f>SUM(AQ82:AQ110)</f>
        <v/>
      </c>
      <c r="AR112" s="486">
        <f>SUM(AR82:AR110)</f>
        <v/>
      </c>
      <c r="AS112" s="486">
        <f>SUM(AS82:AS110)</f>
        <v/>
      </c>
      <c r="AT112" s="486">
        <f>SUM(AT82:AT110)</f>
        <v/>
      </c>
      <c r="AU112" s="486">
        <f>SUM(AU82:AU110)</f>
        <v/>
      </c>
      <c r="AV112" s="486">
        <f>SUM(AV82:AV110)</f>
        <v/>
      </c>
      <c r="AW112" s="486">
        <f>SUM(AW82:AW110)</f>
        <v/>
      </c>
      <c r="AX112" s="486">
        <f>SUM(AX82:AX110)</f>
        <v/>
      </c>
      <c r="AY112" s="486">
        <f>SUM(AY82:AY110)</f>
        <v/>
      </c>
      <c r="AZ112" s="486">
        <f>SUM(AZ82:AZ110)</f>
        <v/>
      </c>
      <c r="BA112" s="486">
        <f>SUM(BA82:BA110)</f>
        <v/>
      </c>
      <c r="BB112" s="486">
        <f>SUM(BB82:BB110)</f>
        <v/>
      </c>
      <c r="BC112" s="486">
        <f>SUM(BC82:BC110)</f>
        <v/>
      </c>
      <c r="BD112" s="486">
        <f>SUM(BD82:BD110)</f>
        <v/>
      </c>
      <c r="BE112" s="486">
        <f>SUM(BE82:BE110)</f>
        <v/>
      </c>
      <c r="BF112" s="486">
        <f>SUM(BF82:BF110)</f>
        <v/>
      </c>
      <c r="BG112" s="486">
        <f>SUM(BG82:BG110)</f>
        <v/>
      </c>
      <c r="BH112" s="486">
        <f>SUM(BH82:BH110)</f>
        <v/>
      </c>
      <c r="BI112" s="486">
        <f>SUM(BI82:BI110)</f>
        <v/>
      </c>
      <c r="BJ112" s="486">
        <f>SUM(BJ82:BJ110)</f>
        <v/>
      </c>
      <c r="BK112" s="486">
        <f>SUM(BK82:BK110)</f>
        <v/>
      </c>
      <c r="BL112" s="486">
        <f>SUM(BL82:BL110)</f>
        <v/>
      </c>
      <c r="BM112" s="486">
        <f>SUM(BM82:BM110)</f>
        <v/>
      </c>
      <c r="BN112" s="486">
        <f>SUM(BN82:BN110)</f>
        <v/>
      </c>
      <c r="BO112" s="486">
        <f>SUM(BO82:BO110)</f>
        <v/>
      </c>
      <c r="BP112" s="486">
        <f>SUM(BP82:BP110)</f>
        <v/>
      </c>
      <c r="BQ112" s="486">
        <f>SUM(BQ82:BQ110)</f>
        <v/>
      </c>
      <c r="BR112" s="486">
        <f>SUM(BR82:BR110)</f>
        <v/>
      </c>
      <c r="BS112" s="486">
        <f>SUM(BS82:BS110)</f>
        <v/>
      </c>
      <c r="BT112" s="486">
        <f>SUM(BT82:BT110)</f>
        <v/>
      </c>
      <c r="BU112" s="486">
        <f>SUM(BU82:BU110)</f>
        <v/>
      </c>
      <c r="BV112" s="486">
        <f>SUM(BV82:BV110)</f>
        <v/>
      </c>
      <c r="BW112" s="486">
        <f>SUM(BW82:BW110)</f>
        <v/>
      </c>
      <c r="BX112" s="486">
        <f>SUM(BX82:BX110)</f>
        <v/>
      </c>
      <c r="BY112" s="486">
        <f>SUM(BY82:BY110)</f>
        <v/>
      </c>
      <c r="BZ112" s="486">
        <f>SUM(BZ82:BZ110)</f>
        <v/>
      </c>
      <c r="CA112" s="486">
        <f>SUM(CA82:CA110)</f>
        <v/>
      </c>
      <c r="CB112" s="486">
        <f>SUM(CB82:CB110)</f>
        <v/>
      </c>
      <c r="CC112" s="486">
        <f>SUM(CC82:CC110)</f>
        <v/>
      </c>
      <c r="CD112" s="486">
        <f>SUM(CD82:CD110)</f>
        <v/>
      </c>
      <c r="CE112" s="486">
        <f>SUM(CE82:CE110)</f>
        <v/>
      </c>
      <c r="CF112" s="486">
        <f>SUM(CF82:CF110)</f>
        <v/>
      </c>
      <c r="CG112" s="486">
        <f>SUM(CG82:CG110)</f>
        <v/>
      </c>
      <c r="CH112" s="486">
        <f>SUM(CH82:CH110)</f>
        <v/>
      </c>
      <c r="CI112" s="486">
        <f>SUM(CI82:CI110)</f>
        <v/>
      </c>
      <c r="CJ112" s="486">
        <f>SUM(CJ82:CJ110)</f>
        <v/>
      </c>
      <c r="CK112" s="486">
        <f>SUM(CK82:CK110)</f>
        <v/>
      </c>
      <c r="CL112" s="486">
        <f>SUM(CL82:CL110)</f>
        <v/>
      </c>
      <c r="CM112" s="486">
        <f>SUM(CM82:CM110)</f>
        <v/>
      </c>
      <c r="CN112" s="486">
        <f>SUM(CN82:CN110)</f>
        <v/>
      </c>
      <c r="CO112" s="486">
        <f>SUM(CO82:CO110)</f>
        <v/>
      </c>
      <c r="CP112" s="486">
        <f>SUM(CP82:CP110)</f>
        <v/>
      </c>
      <c r="CQ112" s="486">
        <f>SUM(CQ82:CQ110)</f>
        <v/>
      </c>
      <c r="CR112" s="486">
        <f>SUM(CR82:CR110)</f>
        <v/>
      </c>
      <c r="CS112" s="486">
        <f>SUM(CS82:CS110)</f>
        <v/>
      </c>
      <c r="CT112" s="486">
        <f>SUM(CT82:CT110)</f>
        <v/>
      </c>
    </row>
    <row r="113" ht="15" customFormat="1" customHeight="1" s="380">
      <c r="A113" s="480" t="inlineStr">
        <is>
          <t>Interest, Tax &amp; Amort (P&amp;L true-up)</t>
        </is>
      </c>
      <c r="C113" s="488" t="n"/>
      <c r="D113" s="488" t="n"/>
      <c r="E113" s="488" t="n"/>
      <c r="F113" s="488" t="n"/>
      <c r="G113" s="488" t="n"/>
      <c r="H113" s="488" t="n">
        <v>53641.68</v>
      </c>
      <c r="I113" s="488" t="n">
        <v>-934.88</v>
      </c>
      <c r="J113" s="488" t="n"/>
      <c r="K113" s="488" t="n"/>
      <c r="L113" s="488" t="n"/>
      <c r="M113" s="488" t="n"/>
      <c r="N113" s="488" t="n"/>
      <c r="O113" s="488" t="n"/>
      <c r="P113" s="488" t="n"/>
      <c r="Q113" s="488" t="n"/>
      <c r="R113" s="488" t="n"/>
      <c r="S113" s="488" t="n"/>
      <c r="T113" s="488" t="n"/>
      <c r="U113" s="488" t="n"/>
      <c r="V113" s="488" t="n"/>
      <c r="W113" s="488" t="n"/>
      <c r="X113" s="488" t="n"/>
      <c r="Y113" s="488" t="n"/>
      <c r="Z113" s="488" t="n"/>
      <c r="AA113" s="488" t="n"/>
      <c r="AB113" s="488" t="n"/>
      <c r="AC113" s="488" t="n"/>
      <c r="AD113" s="488" t="n"/>
      <c r="AE113" s="488" t="n"/>
      <c r="AF113" s="488" t="n"/>
      <c r="AG113" s="488" t="n"/>
      <c r="AH113" s="488" t="n"/>
      <c r="AI113" s="488" t="n"/>
      <c r="AJ113" s="488" t="n"/>
      <c r="AK113" s="488" t="n"/>
      <c r="AL113" s="488" t="n"/>
      <c r="AM113" s="488" t="n"/>
      <c r="AN113" s="488" t="n"/>
      <c r="AO113" s="488" t="n"/>
      <c r="AP113" s="488" t="n"/>
      <c r="AQ113" s="488" t="n"/>
      <c r="AR113" s="488" t="n"/>
      <c r="AS113" s="488" t="n"/>
      <c r="AT113" s="488" t="n"/>
      <c r="AU113" s="488" t="n"/>
      <c r="AV113" s="488" t="n"/>
      <c r="AW113" s="488" t="n"/>
      <c r="AX113" s="488" t="n"/>
      <c r="AY113" s="488" t="n"/>
      <c r="AZ113" s="488" t="n"/>
      <c r="BA113" s="488" t="n"/>
      <c r="BB113" s="488" t="n"/>
      <c r="BC113" s="488" t="n"/>
      <c r="BD113" s="488" t="n"/>
      <c r="BE113" s="488" t="n"/>
      <c r="BF113" s="488" t="n"/>
      <c r="BG113" s="488" t="n"/>
      <c r="BH113" s="488" t="n"/>
      <c r="BI113" s="488" t="n"/>
      <c r="BJ113" s="488" t="n"/>
      <c r="BK113" s="488" t="n"/>
      <c r="BL113" s="488" t="n"/>
      <c r="BM113" s="488" t="n"/>
      <c r="BN113" s="488" t="n"/>
      <c r="BO113" s="488" t="n"/>
      <c r="BP113" s="488" t="n"/>
      <c r="BQ113" s="488" t="n"/>
      <c r="BR113" s="488" t="n"/>
      <c r="BS113" s="488" t="n"/>
      <c r="BT113" s="488" t="n"/>
      <c r="BU113" s="488" t="n"/>
      <c r="BV113" s="488" t="n"/>
      <c r="BW113" s="488" t="n"/>
      <c r="BX113" s="488" t="n"/>
      <c r="BY113" s="488" t="n"/>
      <c r="BZ113" s="488" t="n"/>
      <c r="CA113" s="488" t="n"/>
      <c r="CB113" s="488" t="n"/>
      <c r="CC113" s="488" t="n"/>
      <c r="CD113" s="488" t="n"/>
      <c r="CE113" s="488" t="n"/>
      <c r="CF113" s="488" t="n"/>
      <c r="CG113" s="488" t="n"/>
      <c r="CH113" s="488" t="n"/>
      <c r="CI113" s="488" t="n"/>
      <c r="CJ113" s="488" t="n"/>
      <c r="CK113" s="488" t="n"/>
      <c r="CL113" s="488" t="n"/>
      <c r="CM113" s="488" t="n"/>
      <c r="CN113" s="488" t="n"/>
      <c r="CO113" s="488" t="n"/>
      <c r="CP113" s="488" t="n"/>
      <c r="CQ113" s="488" t="n"/>
      <c r="CR113" s="488" t="n"/>
      <c r="CS113" s="488" t="n"/>
      <c r="CT113" s="488" t="n"/>
    </row>
    <row r="114" ht="15" customFormat="1" customHeight="1" s="380">
      <c r="A114" s="480" t="inlineStr">
        <is>
          <t>Six Peak Net Income</t>
        </is>
      </c>
      <c r="C114" s="487">
        <f>C81+C112+C113</f>
        <v/>
      </c>
      <c r="D114" s="487">
        <f>D81+D112+D113</f>
        <v/>
      </c>
      <c r="E114" s="487">
        <f>E81+E112+E113</f>
        <v/>
      </c>
      <c r="F114" s="487">
        <f>F81+F112+F113</f>
        <v/>
      </c>
      <c r="G114" s="487">
        <f>G81+G112+G113</f>
        <v/>
      </c>
      <c r="H114" s="487">
        <f>H81+H112+H113</f>
        <v/>
      </c>
      <c r="I114" s="487">
        <f>I81+I112+I113</f>
        <v/>
      </c>
      <c r="J114" s="487">
        <f>J81+J112+J113</f>
        <v/>
      </c>
      <c r="K114" s="487">
        <f>K81+K112+K113</f>
        <v/>
      </c>
      <c r="L114" s="487">
        <f>L81+L112+L113</f>
        <v/>
      </c>
      <c r="M114" s="487">
        <f>M81+M112+M113</f>
        <v/>
      </c>
      <c r="N114" s="487">
        <f>N81+N112+N113</f>
        <v/>
      </c>
      <c r="O114" s="487">
        <f>O81+O112+O113</f>
        <v/>
      </c>
      <c r="P114" s="487">
        <f>P81+P112+P113</f>
        <v/>
      </c>
      <c r="Q114" s="487">
        <f>Q81+Q112+Q113</f>
        <v/>
      </c>
      <c r="R114" s="487">
        <f>R81+R112+R113</f>
        <v/>
      </c>
      <c r="S114" s="487">
        <f>S81+S112+S113</f>
        <v/>
      </c>
      <c r="T114" s="487">
        <f>T81+T112+T113</f>
        <v/>
      </c>
      <c r="U114" s="487">
        <f>U81+U112+U113</f>
        <v/>
      </c>
      <c r="V114" s="487">
        <f>V81+V112+V113</f>
        <v/>
      </c>
      <c r="W114" s="487">
        <f>W81+W112+W113</f>
        <v/>
      </c>
      <c r="X114" s="487">
        <f>X81+X112+X113</f>
        <v/>
      </c>
      <c r="Y114" s="487">
        <f>Y81+Y112+Y113</f>
        <v/>
      </c>
      <c r="Z114" s="487">
        <f>Z81+Z112+Z113</f>
        <v/>
      </c>
      <c r="AA114" s="487">
        <f>AA81+AA112+AA113</f>
        <v/>
      </c>
      <c r="AB114" s="487">
        <f>AB81+AB112+AB113</f>
        <v/>
      </c>
      <c r="AC114" s="487">
        <f>AC81+AC112+AC113</f>
        <v/>
      </c>
      <c r="AD114" s="487">
        <f>AD81+AD112+AD113</f>
        <v/>
      </c>
      <c r="AE114" s="487">
        <f>AE81+AE112+AE113</f>
        <v/>
      </c>
      <c r="AF114" s="487">
        <f>AF81+AF112+AF113</f>
        <v/>
      </c>
      <c r="AG114" s="487">
        <f>AG81+AG112+AG113</f>
        <v/>
      </c>
      <c r="AH114" s="487">
        <f>AH81+AH112+AH113</f>
        <v/>
      </c>
      <c r="AI114" s="487">
        <f>AI81+AI112+AI113</f>
        <v/>
      </c>
      <c r="AJ114" s="487">
        <f>AJ81+AJ112+AJ113</f>
        <v/>
      </c>
      <c r="AK114" s="487">
        <f>AK81+AK112+AK113</f>
        <v/>
      </c>
      <c r="AL114" s="487">
        <f>AL81+AL112+AL113</f>
        <v/>
      </c>
      <c r="AM114" s="487">
        <f>AM81+AM112+AM113</f>
        <v/>
      </c>
      <c r="AN114" s="487">
        <f>AN81+AN112+AN113</f>
        <v/>
      </c>
      <c r="AO114" s="487">
        <f>AO81+AO112+AO113</f>
        <v/>
      </c>
      <c r="AP114" s="487">
        <f>AP81+AP112+AP113</f>
        <v/>
      </c>
      <c r="AQ114" s="487">
        <f>AQ81+AQ112+AQ113</f>
        <v/>
      </c>
      <c r="AR114" s="487">
        <f>AR81+AR112+AR113</f>
        <v/>
      </c>
      <c r="AS114" s="487">
        <f>AS81+AS112+AS113</f>
        <v/>
      </c>
      <c r="AT114" s="487">
        <f>AT81+AT112+AT113</f>
        <v/>
      </c>
      <c r="AU114" s="487">
        <f>AU81+AU112+AU113</f>
        <v/>
      </c>
      <c r="AV114" s="487">
        <f>AV81+AV112+AV113</f>
        <v/>
      </c>
      <c r="AW114" s="487">
        <f>AW81+AW112+AW113</f>
        <v/>
      </c>
      <c r="AX114" s="487">
        <f>AX81+AX112+AX113</f>
        <v/>
      </c>
      <c r="AY114" s="487">
        <f>AY81+AY112+AY113</f>
        <v/>
      </c>
      <c r="AZ114" s="487">
        <f>AZ81+AZ112+AZ113</f>
        <v/>
      </c>
      <c r="BA114" s="487">
        <f>BA81+BA112+BA113</f>
        <v/>
      </c>
      <c r="BB114" s="487">
        <f>BB81+BB112+BB113</f>
        <v/>
      </c>
      <c r="BC114" s="487">
        <f>BC81+BC112+BC113</f>
        <v/>
      </c>
      <c r="BD114" s="487">
        <f>BD81+BD112+BD113</f>
        <v/>
      </c>
      <c r="BE114" s="487">
        <f>BE81+BE112+BE113</f>
        <v/>
      </c>
      <c r="BF114" s="487">
        <f>BF81+BF112+BF113</f>
        <v/>
      </c>
      <c r="BG114" s="487">
        <f>BG81+BG112+BG113</f>
        <v/>
      </c>
      <c r="BH114" s="487">
        <f>BH81+BH112+BH113</f>
        <v/>
      </c>
      <c r="BI114" s="487">
        <f>BI81+BI112+BI113</f>
        <v/>
      </c>
      <c r="BJ114" s="487">
        <f>BJ81+BJ112+BJ113</f>
        <v/>
      </c>
      <c r="BK114" s="487">
        <f>BK81+BK112+BK113</f>
        <v/>
      </c>
      <c r="BL114" s="487">
        <f>BL81+BL112+BL113</f>
        <v/>
      </c>
      <c r="BM114" s="487">
        <f>BM81+BM112+BM113</f>
        <v/>
      </c>
      <c r="BN114" s="487">
        <f>BN81+BN112+BN113</f>
        <v/>
      </c>
      <c r="BO114" s="487">
        <f>BO81+BO112+BO113</f>
        <v/>
      </c>
      <c r="BP114" s="487">
        <f>BP81+BP112+BP113</f>
        <v/>
      </c>
      <c r="BQ114" s="487">
        <f>BQ81+BQ112+BQ113</f>
        <v/>
      </c>
      <c r="BR114" s="487">
        <f>BR81+BR112+BR113</f>
        <v/>
      </c>
      <c r="BS114" s="487">
        <f>BS81+BS112+BS113</f>
        <v/>
      </c>
      <c r="BT114" s="487">
        <f>BT81+BT112+BT113</f>
        <v/>
      </c>
      <c r="BU114" s="487">
        <f>BU81+BU112+BU113</f>
        <v/>
      </c>
      <c r="BV114" s="487">
        <f>BV81+BV112+BV113</f>
        <v/>
      </c>
      <c r="BW114" s="487">
        <f>BW81+BW112+BW113</f>
        <v/>
      </c>
      <c r="BX114" s="487">
        <f>BX81+BX112+BX113</f>
        <v/>
      </c>
      <c r="BY114" s="487">
        <f>BY81+BY112+BY113</f>
        <v/>
      </c>
      <c r="BZ114" s="487">
        <f>BZ81+BZ112+BZ113</f>
        <v/>
      </c>
      <c r="CA114" s="487">
        <f>CA81+CA112+CA113</f>
        <v/>
      </c>
      <c r="CB114" s="487">
        <f>CB81+CB112+CB113</f>
        <v/>
      </c>
      <c r="CC114" s="487">
        <f>CC81+CC112+CC113</f>
        <v/>
      </c>
      <c r="CD114" s="487">
        <f>CD81+CD112+CD113</f>
        <v/>
      </c>
      <c r="CE114" s="487">
        <f>CE81+CE112+CE113</f>
        <v/>
      </c>
      <c r="CF114" s="487">
        <f>CF81+CF112+CF113</f>
        <v/>
      </c>
      <c r="CG114" s="487">
        <f>CG81+CG112+CG113</f>
        <v/>
      </c>
      <c r="CH114" s="487">
        <f>CH81+CH112+CH113</f>
        <v/>
      </c>
      <c r="CI114" s="487">
        <f>CI81+CI112+CI113</f>
        <v/>
      </c>
      <c r="CJ114" s="487">
        <f>CJ81+CJ112+CJ113</f>
        <v/>
      </c>
      <c r="CK114" s="487">
        <f>CK81+CK112+CK113</f>
        <v/>
      </c>
      <c r="CL114" s="487">
        <f>CL81+CL112+CL113</f>
        <v/>
      </c>
      <c r="CM114" s="487">
        <f>CM81+CM112+CM113</f>
        <v/>
      </c>
      <c r="CN114" s="487">
        <f>CN81+CN112+CN113</f>
        <v/>
      </c>
      <c r="CO114" s="487">
        <f>CO81+CO112+CO113</f>
        <v/>
      </c>
      <c r="CP114" s="487">
        <f>CP81+CP112+CP113</f>
        <v/>
      </c>
      <c r="CQ114" s="487">
        <f>CQ81+CQ112+CQ113</f>
        <v/>
      </c>
      <c r="CR114" s="487">
        <f>CR81+CR112+CR113</f>
        <v/>
      </c>
      <c r="CS114" s="487">
        <f>CS81+CS112+CS113</f>
        <v/>
      </c>
      <c r="CT114" s="487">
        <f>CT81+CT112+CT113</f>
        <v/>
      </c>
    </row>
    <row r="115" ht="15" customFormat="1" customHeight="1" s="380">
      <c r="C115" s="488" t="n"/>
      <c r="D115" s="488" t="n"/>
      <c r="E115" s="488" t="n"/>
      <c r="F115" s="488" t="n"/>
      <c r="G115" s="488" t="n"/>
      <c r="H115" s="488" t="n"/>
      <c r="I115" s="488" t="n"/>
      <c r="J115" s="488" t="n"/>
      <c r="K115" s="488" t="n"/>
      <c r="L115" s="488" t="n"/>
      <c r="M115" s="488" t="n"/>
      <c r="N115" s="488" t="n"/>
      <c r="O115" s="488" t="n"/>
      <c r="P115" s="488" t="n"/>
      <c r="Q115" s="488" t="n"/>
      <c r="R115" s="488" t="n"/>
      <c r="S115" s="488" t="n"/>
      <c r="T115" s="488" t="n"/>
      <c r="U115" s="488" t="n"/>
      <c r="V115" s="488" t="n"/>
      <c r="W115" s="488" t="n"/>
      <c r="X115" s="488" t="n"/>
      <c r="Y115" s="488" t="n"/>
      <c r="Z115" s="488" t="n"/>
      <c r="AA115" s="488" t="n"/>
      <c r="AB115" s="488" t="n"/>
      <c r="AC115" s="488" t="n"/>
      <c r="AD115" s="488" t="n"/>
      <c r="AE115" s="488" t="n"/>
      <c r="AF115" s="488" t="n"/>
      <c r="AG115" s="488" t="n"/>
      <c r="AH115" s="488" t="n"/>
      <c r="AI115" s="488" t="n"/>
      <c r="AJ115" s="488" t="n"/>
      <c r="AK115" s="488" t="n"/>
      <c r="AL115" s="488" t="n"/>
      <c r="AM115" s="488" t="n"/>
      <c r="AN115" s="488" t="n"/>
      <c r="AO115" s="488" t="n"/>
      <c r="AP115" s="488" t="n"/>
      <c r="AQ115" s="488" t="n"/>
      <c r="AR115" s="488" t="n"/>
      <c r="AS115" s="488" t="n"/>
      <c r="AT115" s="488" t="n"/>
      <c r="AU115" s="488" t="n"/>
      <c r="AV115" s="488" t="n"/>
      <c r="AW115" s="488" t="n"/>
      <c r="AX115" s="488" t="n"/>
      <c r="AY115" s="488" t="n"/>
      <c r="AZ115" s="488" t="n"/>
      <c r="BA115" s="488" t="n"/>
      <c r="BB115" s="488" t="n"/>
      <c r="BC115" s="488" t="n"/>
      <c r="BD115" s="488" t="n"/>
      <c r="BE115" s="488" t="n"/>
      <c r="BF115" s="488" t="n"/>
      <c r="BG115" s="488" t="n"/>
      <c r="BH115" s="488" t="n"/>
      <c r="BI115" s="488" t="n"/>
      <c r="BJ115" s="488" t="n"/>
      <c r="BK115" s="488" t="n"/>
      <c r="BL115" s="488" t="n"/>
      <c r="BM115" s="488" t="n"/>
      <c r="BN115" s="488" t="n"/>
      <c r="BO115" s="488" t="n"/>
      <c r="BP115" s="488" t="n"/>
      <c r="BQ115" s="488" t="n"/>
      <c r="BR115" s="488" t="n"/>
      <c r="BS115" s="488" t="n"/>
      <c r="BT115" s="488" t="n"/>
      <c r="BU115" s="488" t="n"/>
      <c r="BV115" s="488" t="n"/>
      <c r="BW115" s="488" t="n"/>
      <c r="BX115" s="488" t="n"/>
      <c r="BY115" s="488" t="n"/>
      <c r="BZ115" s="488" t="n"/>
      <c r="CA115" s="488" t="n"/>
      <c r="CB115" s="488" t="n"/>
      <c r="CC115" s="488" t="n"/>
      <c r="CD115" s="488" t="n"/>
      <c r="CE115" s="488" t="n"/>
      <c r="CF115" s="488" t="n"/>
      <c r="CG115" s="488" t="n"/>
      <c r="CH115" s="488" t="n"/>
      <c r="CI115" s="488" t="n"/>
      <c r="CJ115" s="488" t="n"/>
      <c r="CK115" s="488" t="n"/>
      <c r="CL115" s="488" t="n"/>
      <c r="CM115" s="488" t="n"/>
      <c r="CN115" s="488" t="n"/>
      <c r="CO115" s="488" t="n"/>
      <c r="CP115" s="488" t="n"/>
      <c r="CQ115" s="488" t="n"/>
      <c r="CR115" s="488" t="n"/>
      <c r="CS115" s="488" t="n"/>
      <c r="CT115" s="488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Budget vs Actual</t>
        </is>
      </c>
    </row>
    <row r="2" ht="15" customFormat="1" customHeight="1" s="380">
      <c r="A2" s="452" t="inlineStr">
        <is>
          <t>Actuals vs the November 2025 approved budget, by month. Variance = Actual minus Budget; a positive variance is favorable (expenses are stored as negatives). Months with no actuals stay blank. YTD adjusts automatically to the number of closed months.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BUDGET</t>
        </is>
      </c>
    </row>
    <row r="5" ht="15" customHeight="1" s="410">
      <c r="A5" s="452" t="inlineStr">
        <is>
          <t>The Nov-2025 budget's Yearly Summary lines. The budget carries LV at fee income only — trade cost passes through at zero margin, no bonding.</t>
        </is>
      </c>
    </row>
    <row r="6" ht="15" customHeight="1" s="410">
      <c r="A6" s="490" t="n"/>
      <c r="B6" s="490" t="inlineStr">
        <is>
          <t>FY Budget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Budget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SUM(Budget!$C$81:$N$81)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SUM(Budget!$C$112:$N$112)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SUM(Budget!$C$114:$N$114)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SUM(Budget!$C$8:$N$11)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SUM(Budget!$C$12:$N$12)+SUM(Budget!$C$14:$N$14)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SUM(Budget!$C$15:$N$16)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SUM(Budget!$C$17:$N$17)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SUM(Budget!$C$55:$N$55)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SUM(Budget!$C$57:$N$57)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Budget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Budget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Budget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Budget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Budget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Budget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Budget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Budget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Budget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Budget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Budget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Budget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Budget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Budget!C8</f>
        <v/>
      </c>
      <c r="D32" s="492">
        <f>IF(B32="","",B32-C32)</f>
        <v/>
      </c>
      <c r="E32" s="492">
        <f>IF(OR(2&gt;$B$27,ISBLANK(Actuals!D8)),"",Actuals!D8)</f>
        <v/>
      </c>
      <c r="F32" s="492">
        <f>Budget!D8</f>
        <v/>
      </c>
      <c r="G32" s="492">
        <f>IF(E32="","",E32-F32)</f>
        <v/>
      </c>
      <c r="H32" s="492">
        <f>IF(OR(3&gt;$B$27,ISBLANK(Actuals!E8)),"",Actuals!E8)</f>
        <v/>
      </c>
      <c r="I32" s="492">
        <f>Budget!E8</f>
        <v/>
      </c>
      <c r="J32" s="492">
        <f>IF(H32="","",H32-I32)</f>
        <v/>
      </c>
      <c r="K32" s="492">
        <f>IF(OR(4&gt;$B$27,ISBLANK(Actuals!F8)),"",Actuals!F8)</f>
        <v/>
      </c>
      <c r="L32" s="492">
        <f>Budget!F8</f>
        <v/>
      </c>
      <c r="M32" s="492">
        <f>IF(K32="","",K32-L32)</f>
        <v/>
      </c>
      <c r="N32" s="492">
        <f>IF(OR(5&gt;$B$27,ISBLANK(Actuals!G8)),"",Actuals!G8)</f>
        <v/>
      </c>
      <c r="O32" s="492">
        <f>Budget!G8</f>
        <v/>
      </c>
      <c r="P32" s="492">
        <f>IF(N32="","",N32-O32)</f>
        <v/>
      </c>
      <c r="Q32" s="492">
        <f>IF(OR(6&gt;$B$27,ISBLANK(Actuals!H8)),"",Actuals!H8)</f>
        <v/>
      </c>
      <c r="R32" s="492">
        <f>Budget!H8</f>
        <v/>
      </c>
      <c r="S32" s="492">
        <f>IF(Q32="","",Q32-R32)</f>
        <v/>
      </c>
      <c r="T32" s="492">
        <f>IF(OR(7&gt;$B$27,ISBLANK(Actuals!I8)),"",Actuals!I8)</f>
        <v/>
      </c>
      <c r="U32" s="492">
        <f>Budget!I8</f>
        <v/>
      </c>
      <c r="V32" s="492">
        <f>IF(T32="","",T32-U32)</f>
        <v/>
      </c>
      <c r="W32" s="492">
        <f>IF(OR(8&gt;$B$27,ISBLANK(Actuals!J8)),"",Actuals!J8)</f>
        <v/>
      </c>
      <c r="X32" s="492">
        <f>Budget!J8</f>
        <v/>
      </c>
      <c r="Y32" s="492">
        <f>IF(W32="","",W32-X32)</f>
        <v/>
      </c>
      <c r="Z32" s="492">
        <f>IF(OR(9&gt;$B$27,ISBLANK(Actuals!K8)),"",Actuals!K8)</f>
        <v/>
      </c>
      <c r="AA32" s="492">
        <f>Budget!K8</f>
        <v/>
      </c>
      <c r="AB32" s="492">
        <f>IF(Z32="","",Z32-AA32)</f>
        <v/>
      </c>
      <c r="AC32" s="492">
        <f>IF(OR(10&gt;$B$27,ISBLANK(Actuals!L8)),"",Actuals!L8)</f>
        <v/>
      </c>
      <c r="AD32" s="492">
        <f>Budget!L8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Budget!M8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Budget!N8</f>
        <v/>
      </c>
      <c r="AK32" s="492">
        <f>IF(AI32="","",AI32-AJ32)</f>
        <v/>
      </c>
      <c r="AL32" s="494">
        <f>SUM(Actuals!$C8:INDEX(Actuals!$C8:$N8,$B$27))</f>
        <v/>
      </c>
      <c r="AM32" s="494">
        <f>SUM(Budget!$C8:INDEX(Budget!$C8:$N8,$B$27))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Budget!C9</f>
        <v/>
      </c>
      <c r="D33" s="492">
        <f>IF(B33="","",B33-C33)</f>
        <v/>
      </c>
      <c r="E33" s="492">
        <f>IF(OR(2&gt;$B$27,ISBLANK(Actuals!D9)),"",Actuals!D9)</f>
        <v/>
      </c>
      <c r="F33" s="492">
        <f>Budget!D9</f>
        <v/>
      </c>
      <c r="G33" s="492">
        <f>IF(E33="","",E33-F33)</f>
        <v/>
      </c>
      <c r="H33" s="492">
        <f>IF(OR(3&gt;$B$27,ISBLANK(Actuals!E9)),"",Actuals!E9)</f>
        <v/>
      </c>
      <c r="I33" s="492">
        <f>Budget!E9</f>
        <v/>
      </c>
      <c r="J33" s="492">
        <f>IF(H33="","",H33-I33)</f>
        <v/>
      </c>
      <c r="K33" s="492">
        <f>IF(OR(4&gt;$B$27,ISBLANK(Actuals!F9)),"",Actuals!F9)</f>
        <v/>
      </c>
      <c r="L33" s="492">
        <f>Budget!F9</f>
        <v/>
      </c>
      <c r="M33" s="492">
        <f>IF(K33="","",K33-L33)</f>
        <v/>
      </c>
      <c r="N33" s="492">
        <f>IF(OR(5&gt;$B$27,ISBLANK(Actuals!G9)),"",Actuals!G9)</f>
        <v/>
      </c>
      <c r="O33" s="492">
        <f>Budget!G9</f>
        <v/>
      </c>
      <c r="P33" s="492">
        <f>IF(N33="","",N33-O33)</f>
        <v/>
      </c>
      <c r="Q33" s="492">
        <f>IF(OR(6&gt;$B$27,ISBLANK(Actuals!H9)),"",Actuals!H9)</f>
        <v/>
      </c>
      <c r="R33" s="492">
        <f>Budget!H9</f>
        <v/>
      </c>
      <c r="S33" s="492">
        <f>IF(Q33="","",Q33-R33)</f>
        <v/>
      </c>
      <c r="T33" s="492">
        <f>IF(OR(7&gt;$B$27,ISBLANK(Actuals!I9)),"",Actuals!I9)</f>
        <v/>
      </c>
      <c r="U33" s="492">
        <f>Budget!I9</f>
        <v/>
      </c>
      <c r="V33" s="492">
        <f>IF(T33="","",T33-U33)</f>
        <v/>
      </c>
      <c r="W33" s="492">
        <f>IF(OR(8&gt;$B$27,ISBLANK(Actuals!J9)),"",Actuals!J9)</f>
        <v/>
      </c>
      <c r="X33" s="492">
        <f>Budget!J9</f>
        <v/>
      </c>
      <c r="Y33" s="492">
        <f>IF(W33="","",W33-X33)</f>
        <v/>
      </c>
      <c r="Z33" s="492">
        <f>IF(OR(9&gt;$B$27,ISBLANK(Actuals!K9)),"",Actuals!K9)</f>
        <v/>
      </c>
      <c r="AA33" s="492">
        <f>Budget!K9</f>
        <v/>
      </c>
      <c r="AB33" s="492">
        <f>IF(Z33="","",Z33-AA33)</f>
        <v/>
      </c>
      <c r="AC33" s="492">
        <f>IF(OR(10&gt;$B$27,ISBLANK(Actuals!L9)),"",Actuals!L9)</f>
        <v/>
      </c>
      <c r="AD33" s="492">
        <f>Budget!L9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Budget!M9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Budget!N9</f>
        <v/>
      </c>
      <c r="AK33" s="492">
        <f>IF(AI33="","",AI33-AJ33)</f>
        <v/>
      </c>
      <c r="AL33" s="494">
        <f>SUM(Actuals!$C9:INDEX(Actuals!$C9:$N9,$B$27))</f>
        <v/>
      </c>
      <c r="AM33" s="494">
        <f>SUM(Budget!$C9:INDEX(Budget!$C9:$N9,$B$27))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Budget!C10</f>
        <v/>
      </c>
      <c r="D34" s="492">
        <f>IF(B34="","",B34-C34)</f>
        <v/>
      </c>
      <c r="E34" s="492">
        <f>IF(OR(2&gt;$B$27,ISBLANK(Actuals!D10)),"",Actuals!D10)</f>
        <v/>
      </c>
      <c r="F34" s="492">
        <f>Budget!D10</f>
        <v/>
      </c>
      <c r="G34" s="492">
        <f>IF(E34="","",E34-F34)</f>
        <v/>
      </c>
      <c r="H34" s="492">
        <f>IF(OR(3&gt;$B$27,ISBLANK(Actuals!E10)),"",Actuals!E10)</f>
        <v/>
      </c>
      <c r="I34" s="492">
        <f>Budget!E10</f>
        <v/>
      </c>
      <c r="J34" s="492">
        <f>IF(H34="","",H34-I34)</f>
        <v/>
      </c>
      <c r="K34" s="492">
        <f>IF(OR(4&gt;$B$27,ISBLANK(Actuals!F10)),"",Actuals!F10)</f>
        <v/>
      </c>
      <c r="L34" s="492">
        <f>Budget!F10</f>
        <v/>
      </c>
      <c r="M34" s="492">
        <f>IF(K34="","",K34-L34)</f>
        <v/>
      </c>
      <c r="N34" s="492">
        <f>IF(OR(5&gt;$B$27,ISBLANK(Actuals!G10)),"",Actuals!G10)</f>
        <v/>
      </c>
      <c r="O34" s="492">
        <f>Budget!G10</f>
        <v/>
      </c>
      <c r="P34" s="492">
        <f>IF(N34="","",N34-O34)</f>
        <v/>
      </c>
      <c r="Q34" s="492">
        <f>IF(OR(6&gt;$B$27,ISBLANK(Actuals!H10)),"",Actuals!H10)</f>
        <v/>
      </c>
      <c r="R34" s="492">
        <f>Budget!H10</f>
        <v/>
      </c>
      <c r="S34" s="492">
        <f>IF(Q34="","",Q34-R34)</f>
        <v/>
      </c>
      <c r="T34" s="492">
        <f>IF(OR(7&gt;$B$27,ISBLANK(Actuals!I10)),"",Actuals!I10)</f>
        <v/>
      </c>
      <c r="U34" s="492">
        <f>Budget!I10</f>
        <v/>
      </c>
      <c r="V34" s="492">
        <f>IF(T34="","",T34-U34)</f>
        <v/>
      </c>
      <c r="W34" s="492">
        <f>IF(OR(8&gt;$B$27,ISBLANK(Actuals!J10)),"",Actuals!J10)</f>
        <v/>
      </c>
      <c r="X34" s="492">
        <f>Budget!J10</f>
        <v/>
      </c>
      <c r="Y34" s="492">
        <f>IF(W34="","",W34-X34)</f>
        <v/>
      </c>
      <c r="Z34" s="492">
        <f>IF(OR(9&gt;$B$27,ISBLANK(Actuals!K10)),"",Actuals!K10)</f>
        <v/>
      </c>
      <c r="AA34" s="492">
        <f>Budget!K10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Budget!L10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Budget!M10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Budget!N10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SUM(Budget!$C10:INDEX(Budget!$C10:$N10,$B$27))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Budget!C11</f>
        <v/>
      </c>
      <c r="D35" s="492">
        <f>IF(B35="","",B35-C35)</f>
        <v/>
      </c>
      <c r="E35" s="492">
        <f>IF(OR(2&gt;$B$27,ISBLANK(Actuals!D11)),"",Actuals!D11)</f>
        <v/>
      </c>
      <c r="F35" s="492">
        <f>Budget!D11</f>
        <v/>
      </c>
      <c r="G35" s="492">
        <f>IF(E35="","",E35-F35)</f>
        <v/>
      </c>
      <c r="H35" s="492">
        <f>IF(OR(3&gt;$B$27,ISBLANK(Actuals!E11)),"",Actuals!E11)</f>
        <v/>
      </c>
      <c r="I35" s="492">
        <f>Budget!E11</f>
        <v/>
      </c>
      <c r="J35" s="492">
        <f>IF(H35="","",H35-I35)</f>
        <v/>
      </c>
      <c r="K35" s="492">
        <f>IF(OR(4&gt;$B$27,ISBLANK(Actuals!F11)),"",Actuals!F11)</f>
        <v/>
      </c>
      <c r="L35" s="492">
        <f>Budget!F11</f>
        <v/>
      </c>
      <c r="M35" s="492">
        <f>IF(K35="","",K35-L35)</f>
        <v/>
      </c>
      <c r="N35" s="492">
        <f>IF(OR(5&gt;$B$27,ISBLANK(Actuals!G11)),"",Actuals!G11)</f>
        <v/>
      </c>
      <c r="O35" s="492">
        <f>Budget!G11</f>
        <v/>
      </c>
      <c r="P35" s="492">
        <f>IF(N35="","",N35-O35)</f>
        <v/>
      </c>
      <c r="Q35" s="492">
        <f>IF(OR(6&gt;$B$27,ISBLANK(Actuals!H11)),"",Actuals!H11)</f>
        <v/>
      </c>
      <c r="R35" s="492">
        <f>Budget!H11</f>
        <v/>
      </c>
      <c r="S35" s="492">
        <f>IF(Q35="","",Q35-R35)</f>
        <v/>
      </c>
      <c r="T35" s="492">
        <f>IF(OR(7&gt;$B$27,ISBLANK(Actuals!I11)),"",Actuals!I11)</f>
        <v/>
      </c>
      <c r="U35" s="492">
        <f>Budget!I11</f>
        <v/>
      </c>
      <c r="V35" s="492">
        <f>IF(T35="","",T35-U35)</f>
        <v/>
      </c>
      <c r="W35" s="492">
        <f>IF(OR(8&gt;$B$27,ISBLANK(Actuals!J11)),"",Actuals!J11)</f>
        <v/>
      </c>
      <c r="X35" s="492">
        <f>Budget!J11</f>
        <v/>
      </c>
      <c r="Y35" s="492">
        <f>IF(W35="","",W35-X35)</f>
        <v/>
      </c>
      <c r="Z35" s="492">
        <f>IF(OR(9&gt;$B$27,ISBLANK(Actuals!K11)),"",Actuals!K11)</f>
        <v/>
      </c>
      <c r="AA35" s="492">
        <f>Budget!K11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Budget!L11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Budget!M11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Budget!N11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SUM(Budget!$C11:INDEX(Budget!$C11:$N11,$B$27))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Budget!C12</f>
        <v/>
      </c>
      <c r="D36" s="492">
        <f>IF(B36="","",B36-C36)</f>
        <v/>
      </c>
      <c r="E36" s="492">
        <f>IF(OR(2&gt;$B$27,ISBLANK(Actuals!D12)),"",Actuals!D12)</f>
        <v/>
      </c>
      <c r="F36" s="492">
        <f>Budget!D12</f>
        <v/>
      </c>
      <c r="G36" s="492">
        <f>IF(E36="","",E36-F36)</f>
        <v/>
      </c>
      <c r="H36" s="492">
        <f>IF(OR(3&gt;$B$27,ISBLANK(Actuals!E12)),"",Actuals!E12)</f>
        <v/>
      </c>
      <c r="I36" s="492">
        <f>Budget!E12</f>
        <v/>
      </c>
      <c r="J36" s="492">
        <f>IF(H36="","",H36-I36)</f>
        <v/>
      </c>
      <c r="K36" s="492">
        <f>IF(OR(4&gt;$B$27,ISBLANK(Actuals!F12)),"",Actuals!F12)</f>
        <v/>
      </c>
      <c r="L36" s="492">
        <f>Budget!F12</f>
        <v/>
      </c>
      <c r="M36" s="492">
        <f>IF(K36="","",K36-L36)</f>
        <v/>
      </c>
      <c r="N36" s="492">
        <f>IF(OR(5&gt;$B$27,ISBLANK(Actuals!G12)),"",Actuals!G12)</f>
        <v/>
      </c>
      <c r="O36" s="492">
        <f>Budget!G12</f>
        <v/>
      </c>
      <c r="P36" s="492">
        <f>IF(N36="","",N36-O36)</f>
        <v/>
      </c>
      <c r="Q36" s="492">
        <f>IF(OR(6&gt;$B$27,ISBLANK(Actuals!H12)),"",Actuals!H12)</f>
        <v/>
      </c>
      <c r="R36" s="492">
        <f>Budget!H12</f>
        <v/>
      </c>
      <c r="S36" s="492">
        <f>IF(Q36="","",Q36-R36)</f>
        <v/>
      </c>
      <c r="T36" s="492">
        <f>IF(OR(7&gt;$B$27,ISBLANK(Actuals!I12)),"",Actuals!I12)</f>
        <v/>
      </c>
      <c r="U36" s="492">
        <f>Budget!I12</f>
        <v/>
      </c>
      <c r="V36" s="492">
        <f>IF(T36="","",T36-U36)</f>
        <v/>
      </c>
      <c r="W36" s="492">
        <f>IF(OR(8&gt;$B$27,ISBLANK(Actuals!J12)),"",Actuals!J12)</f>
        <v/>
      </c>
      <c r="X36" s="492">
        <f>Budget!J12</f>
        <v/>
      </c>
      <c r="Y36" s="492">
        <f>IF(W36="","",W36-X36)</f>
        <v/>
      </c>
      <c r="Z36" s="492">
        <f>IF(OR(9&gt;$B$27,ISBLANK(Actuals!K12)),"",Actuals!K12)</f>
        <v/>
      </c>
      <c r="AA36" s="492">
        <f>Budget!K12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Budget!L12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Budget!M12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Budget!N12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SUM(Budget!$C12:INDEX(Budget!$C12:$N12,$B$27))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Budget!C13</f>
        <v/>
      </c>
      <c r="D37" s="494">
        <f>IF(B37="","",B37-C37)</f>
        <v/>
      </c>
      <c r="E37" s="494">
        <f>IF(OR(2&gt;$B$27,ISBLANK(Actuals!D13)),"",Actuals!D13)</f>
        <v/>
      </c>
      <c r="F37" s="494">
        <f>Budget!D13</f>
        <v/>
      </c>
      <c r="G37" s="494">
        <f>IF(E37="","",E37-F37)</f>
        <v/>
      </c>
      <c r="H37" s="494">
        <f>IF(OR(3&gt;$B$27,ISBLANK(Actuals!E13)),"",Actuals!E13)</f>
        <v/>
      </c>
      <c r="I37" s="494">
        <f>Budget!E13</f>
        <v/>
      </c>
      <c r="J37" s="494">
        <f>IF(H37="","",H37-I37)</f>
        <v/>
      </c>
      <c r="K37" s="494">
        <f>IF(OR(4&gt;$B$27,ISBLANK(Actuals!F13)),"",Actuals!F13)</f>
        <v/>
      </c>
      <c r="L37" s="494">
        <f>Budget!F13</f>
        <v/>
      </c>
      <c r="M37" s="494">
        <f>IF(K37="","",K37-L37)</f>
        <v/>
      </c>
      <c r="N37" s="494">
        <f>IF(OR(5&gt;$B$27,ISBLANK(Actuals!G13)),"",Actuals!G13)</f>
        <v/>
      </c>
      <c r="O37" s="494">
        <f>Budget!G13</f>
        <v/>
      </c>
      <c r="P37" s="494">
        <f>IF(N37="","",N37-O37)</f>
        <v/>
      </c>
      <c r="Q37" s="494">
        <f>IF(OR(6&gt;$B$27,ISBLANK(Actuals!H13)),"",Actuals!H13)</f>
        <v/>
      </c>
      <c r="R37" s="494">
        <f>Budget!H13</f>
        <v/>
      </c>
      <c r="S37" s="494">
        <f>IF(Q37="","",Q37-R37)</f>
        <v/>
      </c>
      <c r="T37" s="494">
        <f>IF(OR(7&gt;$B$27,ISBLANK(Actuals!I13)),"",Actuals!I13)</f>
        <v/>
      </c>
      <c r="U37" s="494">
        <f>Budget!I13</f>
        <v/>
      </c>
      <c r="V37" s="494">
        <f>IF(T37="","",T37-U37)</f>
        <v/>
      </c>
      <c r="W37" s="494">
        <f>IF(OR(8&gt;$B$27,ISBLANK(Actuals!J13)),"",Actuals!J13)</f>
        <v/>
      </c>
      <c r="X37" s="494">
        <f>Budget!J13</f>
        <v/>
      </c>
      <c r="Y37" s="494">
        <f>IF(W37="","",W37-X37)</f>
        <v/>
      </c>
      <c r="Z37" s="494">
        <f>IF(OR(9&gt;$B$27,ISBLANK(Actuals!K13)),"",Actuals!K13)</f>
        <v/>
      </c>
      <c r="AA37" s="494">
        <f>Budget!K13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Budget!L13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Budget!M13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Budget!N13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SUM(Budget!$C13:INDEX(Budget!$C13:$N13,$B$27))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Budget!C14</f>
        <v/>
      </c>
      <c r="D38" s="492">
        <f>IF(B38="","",B38-C38)</f>
        <v/>
      </c>
      <c r="E38" s="492">
        <f>IF(OR(2&gt;$B$27,ISBLANK(Actuals!D14)),"",Actuals!D14)</f>
        <v/>
      </c>
      <c r="F38" s="492">
        <f>Budget!D14</f>
        <v/>
      </c>
      <c r="G38" s="492">
        <f>IF(E38="","",E38-F38)</f>
        <v/>
      </c>
      <c r="H38" s="492">
        <f>IF(OR(3&gt;$B$27,ISBLANK(Actuals!E14)),"",Actuals!E14)</f>
        <v/>
      </c>
      <c r="I38" s="492">
        <f>Budget!E14</f>
        <v/>
      </c>
      <c r="J38" s="492">
        <f>IF(H38="","",H38-I38)</f>
        <v/>
      </c>
      <c r="K38" s="492">
        <f>IF(OR(4&gt;$B$27,ISBLANK(Actuals!F14)),"",Actuals!F14)</f>
        <v/>
      </c>
      <c r="L38" s="492">
        <f>Budget!F14</f>
        <v/>
      </c>
      <c r="M38" s="492">
        <f>IF(K38="","",K38-L38)</f>
        <v/>
      </c>
      <c r="N38" s="492">
        <f>IF(OR(5&gt;$B$27,ISBLANK(Actuals!G14)),"",Actuals!G14)</f>
        <v/>
      </c>
      <c r="O38" s="492">
        <f>Budget!G14</f>
        <v/>
      </c>
      <c r="P38" s="492">
        <f>IF(N38="","",N38-O38)</f>
        <v/>
      </c>
      <c r="Q38" s="492">
        <f>IF(OR(6&gt;$B$27,ISBLANK(Actuals!H14)),"",Actuals!H14)</f>
        <v/>
      </c>
      <c r="R38" s="492">
        <f>Budget!H14</f>
        <v/>
      </c>
      <c r="S38" s="492">
        <f>IF(Q38="","",Q38-R38)</f>
        <v/>
      </c>
      <c r="T38" s="492">
        <f>IF(OR(7&gt;$B$27,ISBLANK(Actuals!I14)),"",Actuals!I14)</f>
        <v/>
      </c>
      <c r="U38" s="492">
        <f>Budget!I14</f>
        <v/>
      </c>
      <c r="V38" s="492">
        <f>IF(T38="","",T38-U38)</f>
        <v/>
      </c>
      <c r="W38" s="492">
        <f>IF(OR(8&gt;$B$27,ISBLANK(Actuals!J14)),"",Actuals!J14)</f>
        <v/>
      </c>
      <c r="X38" s="492">
        <f>Budget!J14</f>
        <v/>
      </c>
      <c r="Y38" s="492">
        <f>IF(W38="","",W38-X38)</f>
        <v/>
      </c>
      <c r="Z38" s="492">
        <f>IF(OR(9&gt;$B$27,ISBLANK(Actuals!K14)),"",Actuals!K14)</f>
        <v/>
      </c>
      <c r="AA38" s="492">
        <f>Budget!K14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Budget!L14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Budget!M14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Budget!N14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SUM(Budget!$C14:INDEX(Budget!$C14:$N14,$B$27))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Budget!C15</f>
        <v/>
      </c>
      <c r="D39" s="492">
        <f>IF(B39="","",B39-C39)</f>
        <v/>
      </c>
      <c r="E39" s="492">
        <f>IF(OR(2&gt;$B$27,ISBLANK(Actuals!D15)),"",Actuals!D15)</f>
        <v/>
      </c>
      <c r="F39" s="492">
        <f>Budget!D15</f>
        <v/>
      </c>
      <c r="G39" s="492">
        <f>IF(E39="","",E39-F39)</f>
        <v/>
      </c>
      <c r="H39" s="492">
        <f>IF(OR(3&gt;$B$27,ISBLANK(Actuals!E15)),"",Actuals!E15)</f>
        <v/>
      </c>
      <c r="I39" s="492">
        <f>Budget!E15</f>
        <v/>
      </c>
      <c r="J39" s="492">
        <f>IF(H39="","",H39-I39)</f>
        <v/>
      </c>
      <c r="K39" s="492">
        <f>IF(OR(4&gt;$B$27,ISBLANK(Actuals!F15)),"",Actuals!F15)</f>
        <v/>
      </c>
      <c r="L39" s="492">
        <f>Budget!F15</f>
        <v/>
      </c>
      <c r="M39" s="492">
        <f>IF(K39="","",K39-L39)</f>
        <v/>
      </c>
      <c r="N39" s="492">
        <f>IF(OR(5&gt;$B$27,ISBLANK(Actuals!G15)),"",Actuals!G15)</f>
        <v/>
      </c>
      <c r="O39" s="492">
        <f>Budget!G15</f>
        <v/>
      </c>
      <c r="P39" s="492">
        <f>IF(N39="","",N39-O39)</f>
        <v/>
      </c>
      <c r="Q39" s="492">
        <f>IF(OR(6&gt;$B$27,ISBLANK(Actuals!H15)),"",Actuals!H15)</f>
        <v/>
      </c>
      <c r="R39" s="492">
        <f>Budget!H15</f>
        <v/>
      </c>
      <c r="S39" s="492">
        <f>IF(Q39="","",Q39-R39)</f>
        <v/>
      </c>
      <c r="T39" s="492">
        <f>IF(OR(7&gt;$B$27,ISBLANK(Actuals!I15)),"",Actuals!I15)</f>
        <v/>
      </c>
      <c r="U39" s="492">
        <f>Budget!I15</f>
        <v/>
      </c>
      <c r="V39" s="492">
        <f>IF(T39="","",T39-U39)</f>
        <v/>
      </c>
      <c r="W39" s="492">
        <f>IF(OR(8&gt;$B$27,ISBLANK(Actuals!J15)),"",Actuals!J15)</f>
        <v/>
      </c>
      <c r="X39" s="492">
        <f>Budget!J15</f>
        <v/>
      </c>
      <c r="Y39" s="492">
        <f>IF(W39="","",W39-X39)</f>
        <v/>
      </c>
      <c r="Z39" s="492">
        <f>IF(OR(9&gt;$B$27,ISBLANK(Actuals!K15)),"",Actuals!K15)</f>
        <v/>
      </c>
      <c r="AA39" s="492">
        <f>Budget!K15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Budget!L15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Budget!M15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Budget!N15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SUM(Budget!$C15:INDEX(Budget!$C15:$N15,$B$27))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Budget!C16</f>
        <v/>
      </c>
      <c r="D40" s="492">
        <f>IF(B40="","",B40-C40)</f>
        <v/>
      </c>
      <c r="E40" s="492">
        <f>IF(OR(2&gt;$B$27,ISBLANK(Actuals!D16)),"",Actuals!D16)</f>
        <v/>
      </c>
      <c r="F40" s="492">
        <f>Budget!D16</f>
        <v/>
      </c>
      <c r="G40" s="492">
        <f>IF(E40="","",E40-F40)</f>
        <v/>
      </c>
      <c r="H40" s="492">
        <f>IF(OR(3&gt;$B$27,ISBLANK(Actuals!E16)),"",Actuals!E16)</f>
        <v/>
      </c>
      <c r="I40" s="492">
        <f>Budget!E16</f>
        <v/>
      </c>
      <c r="J40" s="492">
        <f>IF(H40="","",H40-I40)</f>
        <v/>
      </c>
      <c r="K40" s="492">
        <f>IF(OR(4&gt;$B$27,ISBLANK(Actuals!F16)),"",Actuals!F16)</f>
        <v/>
      </c>
      <c r="L40" s="492">
        <f>Budget!F16</f>
        <v/>
      </c>
      <c r="M40" s="492">
        <f>IF(K40="","",K40-L40)</f>
        <v/>
      </c>
      <c r="N40" s="492">
        <f>IF(OR(5&gt;$B$27,ISBLANK(Actuals!G16)),"",Actuals!G16)</f>
        <v/>
      </c>
      <c r="O40" s="492">
        <f>Budget!G16</f>
        <v/>
      </c>
      <c r="P40" s="492">
        <f>IF(N40="","",N40-O40)</f>
        <v/>
      </c>
      <c r="Q40" s="492">
        <f>IF(OR(6&gt;$B$27,ISBLANK(Actuals!H16)),"",Actuals!H16)</f>
        <v/>
      </c>
      <c r="R40" s="492">
        <f>Budget!H16</f>
        <v/>
      </c>
      <c r="S40" s="492">
        <f>IF(Q40="","",Q40-R40)</f>
        <v/>
      </c>
      <c r="T40" s="492">
        <f>IF(OR(7&gt;$B$27,ISBLANK(Actuals!I16)),"",Actuals!I16)</f>
        <v/>
      </c>
      <c r="U40" s="492">
        <f>Budget!I16</f>
        <v/>
      </c>
      <c r="V40" s="492">
        <f>IF(T40="","",T40-U40)</f>
        <v/>
      </c>
      <c r="W40" s="492">
        <f>IF(OR(8&gt;$B$27,ISBLANK(Actuals!J16)),"",Actuals!J16)</f>
        <v/>
      </c>
      <c r="X40" s="492">
        <f>Budget!J16</f>
        <v/>
      </c>
      <c r="Y40" s="492">
        <f>IF(W40="","",W40-X40)</f>
        <v/>
      </c>
      <c r="Z40" s="492">
        <f>IF(OR(9&gt;$B$27,ISBLANK(Actuals!K16)),"",Actuals!K16)</f>
        <v/>
      </c>
      <c r="AA40" s="492">
        <f>Budget!K16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Budget!L16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Budget!M16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Budget!N16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SUM(Budget!$C16:INDEX(Budget!$C16:$N16,$B$27))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Budget!C17</f>
        <v/>
      </c>
      <c r="D41" s="494">
        <f>IF(B41="","",B41-C41)</f>
        <v/>
      </c>
      <c r="E41" s="494">
        <f>IF(OR(2&gt;$B$27,ISBLANK(Actuals!D17)),"",Actuals!D17)</f>
        <v/>
      </c>
      <c r="F41" s="494">
        <f>Budget!D17</f>
        <v/>
      </c>
      <c r="G41" s="494">
        <f>IF(E41="","",E41-F41)</f>
        <v/>
      </c>
      <c r="H41" s="494">
        <f>IF(OR(3&gt;$B$27,ISBLANK(Actuals!E17)),"",Actuals!E17)</f>
        <v/>
      </c>
      <c r="I41" s="494">
        <f>Budget!E17</f>
        <v/>
      </c>
      <c r="J41" s="494">
        <f>IF(H41="","",H41-I41)</f>
        <v/>
      </c>
      <c r="K41" s="494">
        <f>IF(OR(4&gt;$B$27,ISBLANK(Actuals!F17)),"",Actuals!F17)</f>
        <v/>
      </c>
      <c r="L41" s="494">
        <f>Budget!F17</f>
        <v/>
      </c>
      <c r="M41" s="494">
        <f>IF(K41="","",K41-L41)</f>
        <v/>
      </c>
      <c r="N41" s="494">
        <f>IF(OR(5&gt;$B$27,ISBLANK(Actuals!G17)),"",Actuals!G17)</f>
        <v/>
      </c>
      <c r="O41" s="494">
        <f>Budget!G17</f>
        <v/>
      </c>
      <c r="P41" s="494">
        <f>IF(N41="","",N41-O41)</f>
        <v/>
      </c>
      <c r="Q41" s="494">
        <f>IF(OR(6&gt;$B$27,ISBLANK(Actuals!H17)),"",Actuals!H17)</f>
        <v/>
      </c>
      <c r="R41" s="494">
        <f>Budget!H17</f>
        <v/>
      </c>
      <c r="S41" s="494">
        <f>IF(Q41="","",Q41-R41)</f>
        <v/>
      </c>
      <c r="T41" s="494">
        <f>IF(OR(7&gt;$B$27,ISBLANK(Actuals!I17)),"",Actuals!I17)</f>
        <v/>
      </c>
      <c r="U41" s="494">
        <f>Budget!I17</f>
        <v/>
      </c>
      <c r="V41" s="494">
        <f>IF(T41="","",T41-U41)</f>
        <v/>
      </c>
      <c r="W41" s="494">
        <f>IF(OR(8&gt;$B$27,ISBLANK(Actuals!J17)),"",Actuals!J17)</f>
        <v/>
      </c>
      <c r="X41" s="494">
        <f>Budget!J17</f>
        <v/>
      </c>
      <c r="Y41" s="494">
        <f>IF(W41="","",W41-X41)</f>
        <v/>
      </c>
      <c r="Z41" s="494">
        <f>IF(OR(9&gt;$B$27,ISBLANK(Actuals!K17)),"",Actuals!K17)</f>
        <v/>
      </c>
      <c r="AA41" s="494">
        <f>Budget!K17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Budget!L17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Budget!M17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Budget!N17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SUM(Budget!$C17:INDEX(Budget!$C17:$N17,$B$27))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Budget!C18</f>
        <v/>
      </c>
      <c r="D42" s="492">
        <f>IF(B42="","",B42-C42)</f>
        <v/>
      </c>
      <c r="E42" s="492">
        <f>IF(OR(2&gt;$B$27,ISBLANK(Actuals!D18)),"",Actuals!D18)</f>
        <v/>
      </c>
      <c r="F42" s="492">
        <f>Budget!D18</f>
        <v/>
      </c>
      <c r="G42" s="492">
        <f>IF(E42="","",E42-F42)</f>
        <v/>
      </c>
      <c r="H42" s="492">
        <f>IF(OR(3&gt;$B$27,ISBLANK(Actuals!E18)),"",Actuals!E18)</f>
        <v/>
      </c>
      <c r="I42" s="492">
        <f>Budget!E18</f>
        <v/>
      </c>
      <c r="J42" s="492">
        <f>IF(H42="","",H42-I42)</f>
        <v/>
      </c>
      <c r="K42" s="492">
        <f>IF(OR(4&gt;$B$27,ISBLANK(Actuals!F18)),"",Actuals!F18)</f>
        <v/>
      </c>
      <c r="L42" s="492">
        <f>Budget!F18</f>
        <v/>
      </c>
      <c r="M42" s="492">
        <f>IF(K42="","",K42-L42)</f>
        <v/>
      </c>
      <c r="N42" s="492">
        <f>IF(OR(5&gt;$B$27,ISBLANK(Actuals!G18)),"",Actuals!G18)</f>
        <v/>
      </c>
      <c r="O42" s="492">
        <f>Budget!G18</f>
        <v/>
      </c>
      <c r="P42" s="492">
        <f>IF(N42="","",N42-O42)</f>
        <v/>
      </c>
      <c r="Q42" s="492">
        <f>IF(OR(6&gt;$B$27,ISBLANK(Actuals!H18)),"",Actuals!H18)</f>
        <v/>
      </c>
      <c r="R42" s="492">
        <f>Budget!H18</f>
        <v/>
      </c>
      <c r="S42" s="492">
        <f>IF(Q42="","",Q42-R42)</f>
        <v/>
      </c>
      <c r="T42" s="492">
        <f>IF(OR(7&gt;$B$27,ISBLANK(Actuals!I18)),"",Actuals!I18)</f>
        <v/>
      </c>
      <c r="U42" s="492">
        <f>Budget!I18</f>
        <v/>
      </c>
      <c r="V42" s="492">
        <f>IF(T42="","",T42-U42)</f>
        <v/>
      </c>
      <c r="W42" s="492">
        <f>IF(OR(8&gt;$B$27,ISBLANK(Actuals!J18)),"",Actuals!J18)</f>
        <v/>
      </c>
      <c r="X42" s="492">
        <f>Budget!J18</f>
        <v/>
      </c>
      <c r="Y42" s="492">
        <f>IF(W42="","",W42-X42)</f>
        <v/>
      </c>
      <c r="Z42" s="492">
        <f>IF(OR(9&gt;$B$27,ISBLANK(Actuals!K18)),"",Actuals!K18)</f>
        <v/>
      </c>
      <c r="AA42" s="492">
        <f>Budget!K18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Budget!L18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Budget!M18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Budget!N18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SUM(Budget!$C18:INDEX(Budget!$C18:$N18,$B$27))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Budget!C21</f>
        <v/>
      </c>
      <c r="D45" s="492">
        <f>IF(B45="","",B45-C45)</f>
        <v/>
      </c>
      <c r="E45" s="492">
        <f>IF(OR(2&gt;$B$27,ISBLANK(Actuals!D21)),"",Actuals!D21)</f>
        <v/>
      </c>
      <c r="F45" s="492">
        <f>Budget!D21</f>
        <v/>
      </c>
      <c r="G45" s="492">
        <f>IF(E45="","",E45-F45)</f>
        <v/>
      </c>
      <c r="H45" s="492">
        <f>IF(OR(3&gt;$B$27,ISBLANK(Actuals!E21)),"",Actuals!E21)</f>
        <v/>
      </c>
      <c r="I45" s="492">
        <f>Budget!E21</f>
        <v/>
      </c>
      <c r="J45" s="492">
        <f>IF(H45="","",H45-I45)</f>
        <v/>
      </c>
      <c r="K45" s="492">
        <f>IF(OR(4&gt;$B$27,ISBLANK(Actuals!F21)),"",Actuals!F21)</f>
        <v/>
      </c>
      <c r="L45" s="492">
        <f>Budget!F21</f>
        <v/>
      </c>
      <c r="M45" s="492">
        <f>IF(K45="","",K45-L45)</f>
        <v/>
      </c>
      <c r="N45" s="492">
        <f>IF(OR(5&gt;$B$27,ISBLANK(Actuals!G21)),"",Actuals!G21)</f>
        <v/>
      </c>
      <c r="O45" s="492">
        <f>Budget!G21</f>
        <v/>
      </c>
      <c r="P45" s="492">
        <f>IF(N45="","",N45-O45)</f>
        <v/>
      </c>
      <c r="Q45" s="492">
        <f>IF(OR(6&gt;$B$27,ISBLANK(Actuals!H21)),"",Actuals!H21)</f>
        <v/>
      </c>
      <c r="R45" s="492">
        <f>Budget!H21</f>
        <v/>
      </c>
      <c r="S45" s="492">
        <f>IF(Q45="","",Q45-R45)</f>
        <v/>
      </c>
      <c r="T45" s="492">
        <f>IF(OR(7&gt;$B$27,ISBLANK(Actuals!I21)),"",Actuals!I21)</f>
        <v/>
      </c>
      <c r="U45" s="492">
        <f>Budget!I21</f>
        <v/>
      </c>
      <c r="V45" s="492">
        <f>IF(T45="","",T45-U45)</f>
        <v/>
      </c>
      <c r="W45" s="492">
        <f>IF(OR(8&gt;$B$27,ISBLANK(Actuals!J21)),"",Actuals!J21)</f>
        <v/>
      </c>
      <c r="X45" s="492">
        <f>Budget!J21</f>
        <v/>
      </c>
      <c r="Y45" s="492">
        <f>IF(W45="","",W45-X45)</f>
        <v/>
      </c>
      <c r="Z45" s="492">
        <f>IF(OR(9&gt;$B$27,ISBLANK(Actuals!K21)),"",Actuals!K21)</f>
        <v/>
      </c>
      <c r="AA45" s="492">
        <f>Budget!K21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Budget!L21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Budget!M21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Budget!N21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SUM(Budget!$C21:INDEX(Budget!$C21:$N21,$B$27))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Budget!C22</f>
        <v/>
      </c>
      <c r="D46" s="492">
        <f>IF(B46="","",B46-C46)</f>
        <v/>
      </c>
      <c r="E46" s="492">
        <f>IF(OR(2&gt;$B$27,ISBLANK(Actuals!D22)),"",Actuals!D22)</f>
        <v/>
      </c>
      <c r="F46" s="492">
        <f>Budget!D22</f>
        <v/>
      </c>
      <c r="G46" s="492">
        <f>IF(E46="","",E46-F46)</f>
        <v/>
      </c>
      <c r="H46" s="492">
        <f>IF(OR(3&gt;$B$27,ISBLANK(Actuals!E22)),"",Actuals!E22)</f>
        <v/>
      </c>
      <c r="I46" s="492">
        <f>Budget!E22</f>
        <v/>
      </c>
      <c r="J46" s="492">
        <f>IF(H46="","",H46-I46)</f>
        <v/>
      </c>
      <c r="K46" s="492">
        <f>IF(OR(4&gt;$B$27,ISBLANK(Actuals!F22)),"",Actuals!F22)</f>
        <v/>
      </c>
      <c r="L46" s="492">
        <f>Budget!F22</f>
        <v/>
      </c>
      <c r="M46" s="492">
        <f>IF(K46="","",K46-L46)</f>
        <v/>
      </c>
      <c r="N46" s="492">
        <f>IF(OR(5&gt;$B$27,ISBLANK(Actuals!G22)),"",Actuals!G22)</f>
        <v/>
      </c>
      <c r="O46" s="492">
        <f>Budget!G22</f>
        <v/>
      </c>
      <c r="P46" s="492">
        <f>IF(N46="","",N46-O46)</f>
        <v/>
      </c>
      <c r="Q46" s="492">
        <f>IF(OR(6&gt;$B$27,ISBLANK(Actuals!H22)),"",Actuals!H22)</f>
        <v/>
      </c>
      <c r="R46" s="492">
        <f>Budget!H22</f>
        <v/>
      </c>
      <c r="S46" s="492">
        <f>IF(Q46="","",Q46-R46)</f>
        <v/>
      </c>
      <c r="T46" s="492">
        <f>IF(OR(7&gt;$B$27,ISBLANK(Actuals!I22)),"",Actuals!I22)</f>
        <v/>
      </c>
      <c r="U46" s="492">
        <f>Budget!I22</f>
        <v/>
      </c>
      <c r="V46" s="492">
        <f>IF(T46="","",T46-U46)</f>
        <v/>
      </c>
      <c r="W46" s="492">
        <f>IF(OR(8&gt;$B$27,ISBLANK(Actuals!J22)),"",Actuals!J22)</f>
        <v/>
      </c>
      <c r="X46" s="492">
        <f>Budget!J22</f>
        <v/>
      </c>
      <c r="Y46" s="492">
        <f>IF(W46="","",W46-X46)</f>
        <v/>
      </c>
      <c r="Z46" s="492">
        <f>IF(OR(9&gt;$B$27,ISBLANK(Actuals!K22)),"",Actuals!K22)</f>
        <v/>
      </c>
      <c r="AA46" s="492">
        <f>Budget!K22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Budget!L22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Budget!M22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Budget!N22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SUM(Budget!$C22:INDEX(Budget!$C22:$N22,$B$27))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Budget!C23</f>
        <v/>
      </c>
      <c r="D47" s="492">
        <f>IF(B47="","",B47-C47)</f>
        <v/>
      </c>
      <c r="E47" s="492">
        <f>IF(OR(2&gt;$B$27,ISBLANK(Actuals!D23)),"",Actuals!D23)</f>
        <v/>
      </c>
      <c r="F47" s="492">
        <f>Budget!D23</f>
        <v/>
      </c>
      <c r="G47" s="492">
        <f>IF(E47="","",E47-F47)</f>
        <v/>
      </c>
      <c r="H47" s="492">
        <f>IF(OR(3&gt;$B$27,ISBLANK(Actuals!E23)),"",Actuals!E23)</f>
        <v/>
      </c>
      <c r="I47" s="492">
        <f>Budget!E23</f>
        <v/>
      </c>
      <c r="J47" s="492">
        <f>IF(H47="","",H47-I47)</f>
        <v/>
      </c>
      <c r="K47" s="492">
        <f>IF(OR(4&gt;$B$27,ISBLANK(Actuals!F23)),"",Actuals!F23)</f>
        <v/>
      </c>
      <c r="L47" s="492">
        <f>Budget!F23</f>
        <v/>
      </c>
      <c r="M47" s="492">
        <f>IF(K47="","",K47-L47)</f>
        <v/>
      </c>
      <c r="N47" s="492">
        <f>IF(OR(5&gt;$B$27,ISBLANK(Actuals!G23)),"",Actuals!G23)</f>
        <v/>
      </c>
      <c r="O47" s="492">
        <f>Budget!G23</f>
        <v/>
      </c>
      <c r="P47" s="492">
        <f>IF(N47="","",N47-O47)</f>
        <v/>
      </c>
      <c r="Q47" s="492">
        <f>IF(OR(6&gt;$B$27,ISBLANK(Actuals!H23)),"",Actuals!H23)</f>
        <v/>
      </c>
      <c r="R47" s="492">
        <f>Budget!H23</f>
        <v/>
      </c>
      <c r="S47" s="492">
        <f>IF(Q47="","",Q47-R47)</f>
        <v/>
      </c>
      <c r="T47" s="492">
        <f>IF(OR(7&gt;$B$27,ISBLANK(Actuals!I23)),"",Actuals!I23)</f>
        <v/>
      </c>
      <c r="U47" s="492">
        <f>Budget!I23</f>
        <v/>
      </c>
      <c r="V47" s="492">
        <f>IF(T47="","",T47-U47)</f>
        <v/>
      </c>
      <c r="W47" s="492">
        <f>IF(OR(8&gt;$B$27,ISBLANK(Actuals!J23)),"",Actuals!J23)</f>
        <v/>
      </c>
      <c r="X47" s="492">
        <f>Budget!J23</f>
        <v/>
      </c>
      <c r="Y47" s="492">
        <f>IF(W47="","",W47-X47)</f>
        <v/>
      </c>
      <c r="Z47" s="492">
        <f>IF(OR(9&gt;$B$27,ISBLANK(Actuals!K23)),"",Actuals!K23)</f>
        <v/>
      </c>
      <c r="AA47" s="492">
        <f>Budget!K23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Budget!L23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Budget!M23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Budget!N23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SUM(Budget!$C23:INDEX(Budget!$C23:$N23,$B$27))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Budget!C24</f>
        <v/>
      </c>
      <c r="D48" s="492">
        <f>IF(B48="","",B48-C48)</f>
        <v/>
      </c>
      <c r="E48" s="492">
        <f>IF(OR(2&gt;$B$27,ISBLANK(Actuals!D24)),"",Actuals!D24)</f>
        <v/>
      </c>
      <c r="F48" s="492">
        <f>Budget!D24</f>
        <v/>
      </c>
      <c r="G48" s="492">
        <f>IF(E48="","",E48-F48)</f>
        <v/>
      </c>
      <c r="H48" s="492">
        <f>IF(OR(3&gt;$B$27,ISBLANK(Actuals!E24)),"",Actuals!E24)</f>
        <v/>
      </c>
      <c r="I48" s="492">
        <f>Budget!E24</f>
        <v/>
      </c>
      <c r="J48" s="492">
        <f>IF(H48="","",H48-I48)</f>
        <v/>
      </c>
      <c r="K48" s="492">
        <f>IF(OR(4&gt;$B$27,ISBLANK(Actuals!F24)),"",Actuals!F24)</f>
        <v/>
      </c>
      <c r="L48" s="492">
        <f>Budget!F24</f>
        <v/>
      </c>
      <c r="M48" s="492">
        <f>IF(K48="","",K48-L48)</f>
        <v/>
      </c>
      <c r="N48" s="492">
        <f>IF(OR(5&gt;$B$27,ISBLANK(Actuals!G24)),"",Actuals!G24)</f>
        <v/>
      </c>
      <c r="O48" s="492">
        <f>Budget!G24</f>
        <v/>
      </c>
      <c r="P48" s="492">
        <f>IF(N48="","",N48-O48)</f>
        <v/>
      </c>
      <c r="Q48" s="492">
        <f>IF(OR(6&gt;$B$27,ISBLANK(Actuals!H24)),"",Actuals!H24)</f>
        <v/>
      </c>
      <c r="R48" s="492">
        <f>Budget!H24</f>
        <v/>
      </c>
      <c r="S48" s="492">
        <f>IF(Q48="","",Q48-R48)</f>
        <v/>
      </c>
      <c r="T48" s="492">
        <f>IF(OR(7&gt;$B$27,ISBLANK(Actuals!I24)),"",Actuals!I24)</f>
        <v/>
      </c>
      <c r="U48" s="492">
        <f>Budget!I24</f>
        <v/>
      </c>
      <c r="V48" s="492">
        <f>IF(T48="","",T48-U48)</f>
        <v/>
      </c>
      <c r="W48" s="492">
        <f>IF(OR(8&gt;$B$27,ISBLANK(Actuals!J24)),"",Actuals!J24)</f>
        <v/>
      </c>
      <c r="X48" s="492">
        <f>Budget!J24</f>
        <v/>
      </c>
      <c r="Y48" s="492">
        <f>IF(W48="","",W48-X48)</f>
        <v/>
      </c>
      <c r="Z48" s="492">
        <f>IF(OR(9&gt;$B$27,ISBLANK(Actuals!K24)),"",Actuals!K24)</f>
        <v/>
      </c>
      <c r="AA48" s="492">
        <f>Budget!K24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Budget!L24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Budget!M24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Budget!N24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SUM(Budget!$C24:INDEX(Budget!$C24:$N24,$B$27))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Budget!C25</f>
        <v/>
      </c>
      <c r="D49" s="492">
        <f>IF(B49="","",B49-C49)</f>
        <v/>
      </c>
      <c r="E49" s="492">
        <f>IF(OR(2&gt;$B$27,ISBLANK(Actuals!D25)),"",Actuals!D25)</f>
        <v/>
      </c>
      <c r="F49" s="492">
        <f>Budget!D25</f>
        <v/>
      </c>
      <c r="G49" s="492">
        <f>IF(E49="","",E49-F49)</f>
        <v/>
      </c>
      <c r="H49" s="492">
        <f>IF(OR(3&gt;$B$27,ISBLANK(Actuals!E25)),"",Actuals!E25)</f>
        <v/>
      </c>
      <c r="I49" s="492">
        <f>Budget!E25</f>
        <v/>
      </c>
      <c r="J49" s="492">
        <f>IF(H49="","",H49-I49)</f>
        <v/>
      </c>
      <c r="K49" s="492">
        <f>IF(OR(4&gt;$B$27,ISBLANK(Actuals!F25)),"",Actuals!F25)</f>
        <v/>
      </c>
      <c r="L49" s="492">
        <f>Budget!F25</f>
        <v/>
      </c>
      <c r="M49" s="492">
        <f>IF(K49="","",K49-L49)</f>
        <v/>
      </c>
      <c r="N49" s="492">
        <f>IF(OR(5&gt;$B$27,ISBLANK(Actuals!G25)),"",Actuals!G25)</f>
        <v/>
      </c>
      <c r="O49" s="492">
        <f>Budget!G25</f>
        <v/>
      </c>
      <c r="P49" s="492">
        <f>IF(N49="","",N49-O49)</f>
        <v/>
      </c>
      <c r="Q49" s="492">
        <f>IF(OR(6&gt;$B$27,ISBLANK(Actuals!H25)),"",Actuals!H25)</f>
        <v/>
      </c>
      <c r="R49" s="492">
        <f>Budget!H25</f>
        <v/>
      </c>
      <c r="S49" s="492">
        <f>IF(Q49="","",Q49-R49)</f>
        <v/>
      </c>
      <c r="T49" s="492">
        <f>IF(OR(7&gt;$B$27,ISBLANK(Actuals!I25)),"",Actuals!I25)</f>
        <v/>
      </c>
      <c r="U49" s="492">
        <f>Budget!I25</f>
        <v/>
      </c>
      <c r="V49" s="492">
        <f>IF(T49="","",T49-U49)</f>
        <v/>
      </c>
      <c r="W49" s="492">
        <f>IF(OR(8&gt;$B$27,ISBLANK(Actuals!J25)),"",Actuals!J25)</f>
        <v/>
      </c>
      <c r="X49" s="492">
        <f>Budget!J25</f>
        <v/>
      </c>
      <c r="Y49" s="492">
        <f>IF(W49="","",W49-X49)</f>
        <v/>
      </c>
      <c r="Z49" s="492">
        <f>IF(OR(9&gt;$B$27,ISBLANK(Actuals!K25)),"",Actuals!K25)</f>
        <v/>
      </c>
      <c r="AA49" s="492">
        <f>Budget!K25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Budget!L25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Budget!M25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Budget!N25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SUM(Budget!$C25:INDEX(Budget!$C25:$N25,$B$27))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Budget!C26</f>
        <v/>
      </c>
      <c r="D50" s="492">
        <f>IF(B50="","",B50-C50)</f>
        <v/>
      </c>
      <c r="E50" s="492">
        <f>IF(OR(2&gt;$B$27,ISBLANK(Actuals!D26)),"",Actuals!D26)</f>
        <v/>
      </c>
      <c r="F50" s="492">
        <f>Budget!D26</f>
        <v/>
      </c>
      <c r="G50" s="492">
        <f>IF(E50="","",E50-F50)</f>
        <v/>
      </c>
      <c r="H50" s="492">
        <f>IF(OR(3&gt;$B$27,ISBLANK(Actuals!E26)),"",Actuals!E26)</f>
        <v/>
      </c>
      <c r="I50" s="492">
        <f>Budget!E26</f>
        <v/>
      </c>
      <c r="J50" s="492">
        <f>IF(H50="","",H50-I50)</f>
        <v/>
      </c>
      <c r="K50" s="492">
        <f>IF(OR(4&gt;$B$27,ISBLANK(Actuals!F26)),"",Actuals!F26)</f>
        <v/>
      </c>
      <c r="L50" s="492">
        <f>Budget!F26</f>
        <v/>
      </c>
      <c r="M50" s="492">
        <f>IF(K50="","",K50-L50)</f>
        <v/>
      </c>
      <c r="N50" s="492">
        <f>IF(OR(5&gt;$B$27,ISBLANK(Actuals!G26)),"",Actuals!G26)</f>
        <v/>
      </c>
      <c r="O50" s="492">
        <f>Budget!G26</f>
        <v/>
      </c>
      <c r="P50" s="492">
        <f>IF(N50="","",N50-O50)</f>
        <v/>
      </c>
      <c r="Q50" s="492">
        <f>IF(OR(6&gt;$B$27,ISBLANK(Actuals!H26)),"",Actuals!H26)</f>
        <v/>
      </c>
      <c r="R50" s="492">
        <f>Budget!H26</f>
        <v/>
      </c>
      <c r="S50" s="492">
        <f>IF(Q50="","",Q50-R50)</f>
        <v/>
      </c>
      <c r="T50" s="492">
        <f>IF(OR(7&gt;$B$27,ISBLANK(Actuals!I26)),"",Actuals!I26)</f>
        <v/>
      </c>
      <c r="U50" s="492">
        <f>Budget!I26</f>
        <v/>
      </c>
      <c r="V50" s="492">
        <f>IF(T50="","",T50-U50)</f>
        <v/>
      </c>
      <c r="W50" s="492">
        <f>IF(OR(8&gt;$B$27,ISBLANK(Actuals!J26)),"",Actuals!J26)</f>
        <v/>
      </c>
      <c r="X50" s="492">
        <f>Budget!J26</f>
        <v/>
      </c>
      <c r="Y50" s="492">
        <f>IF(W50="","",W50-X50)</f>
        <v/>
      </c>
      <c r="Z50" s="492">
        <f>IF(OR(9&gt;$B$27,ISBLANK(Actuals!K26)),"",Actuals!K26)</f>
        <v/>
      </c>
      <c r="AA50" s="492">
        <f>Budget!K26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Budget!L26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Budget!M26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Budget!N26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SUM(Budget!$C26:INDEX(Budget!$C26:$N26,$B$27))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Budget!C27</f>
        <v/>
      </c>
      <c r="D51" s="492">
        <f>IF(B51="","",B51-C51)</f>
        <v/>
      </c>
      <c r="E51" s="492">
        <f>IF(OR(2&gt;$B$27,ISBLANK(Actuals!D27)),"",Actuals!D27)</f>
        <v/>
      </c>
      <c r="F51" s="492">
        <f>Budget!D27</f>
        <v/>
      </c>
      <c r="G51" s="492">
        <f>IF(E51="","",E51-F51)</f>
        <v/>
      </c>
      <c r="H51" s="492">
        <f>IF(OR(3&gt;$B$27,ISBLANK(Actuals!E27)),"",Actuals!E27)</f>
        <v/>
      </c>
      <c r="I51" s="492">
        <f>Budget!E27</f>
        <v/>
      </c>
      <c r="J51" s="492">
        <f>IF(H51="","",H51-I51)</f>
        <v/>
      </c>
      <c r="K51" s="492">
        <f>IF(OR(4&gt;$B$27,ISBLANK(Actuals!F27)),"",Actuals!F27)</f>
        <v/>
      </c>
      <c r="L51" s="492">
        <f>Budget!F27</f>
        <v/>
      </c>
      <c r="M51" s="492">
        <f>IF(K51="","",K51-L51)</f>
        <v/>
      </c>
      <c r="N51" s="492">
        <f>IF(OR(5&gt;$B$27,ISBLANK(Actuals!G27)),"",Actuals!G27)</f>
        <v/>
      </c>
      <c r="O51" s="492">
        <f>Budget!G27</f>
        <v/>
      </c>
      <c r="P51" s="492">
        <f>IF(N51="","",N51-O51)</f>
        <v/>
      </c>
      <c r="Q51" s="492">
        <f>IF(OR(6&gt;$B$27,ISBLANK(Actuals!H27)),"",Actuals!H27)</f>
        <v/>
      </c>
      <c r="R51" s="492">
        <f>Budget!H27</f>
        <v/>
      </c>
      <c r="S51" s="492">
        <f>IF(Q51="","",Q51-R51)</f>
        <v/>
      </c>
      <c r="T51" s="492">
        <f>IF(OR(7&gt;$B$27,ISBLANK(Actuals!I27)),"",Actuals!I27)</f>
        <v/>
      </c>
      <c r="U51" s="492">
        <f>Budget!I27</f>
        <v/>
      </c>
      <c r="V51" s="492">
        <f>IF(T51="","",T51-U51)</f>
        <v/>
      </c>
      <c r="W51" s="492">
        <f>IF(OR(8&gt;$B$27,ISBLANK(Actuals!J27)),"",Actuals!J27)</f>
        <v/>
      </c>
      <c r="X51" s="492">
        <f>Budget!J27</f>
        <v/>
      </c>
      <c r="Y51" s="492">
        <f>IF(W51="","",W51-X51)</f>
        <v/>
      </c>
      <c r="Z51" s="492">
        <f>IF(OR(9&gt;$B$27,ISBLANK(Actuals!K27)),"",Actuals!K27)</f>
        <v/>
      </c>
      <c r="AA51" s="492">
        <f>Budget!K27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Budget!L27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Budget!M27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Budget!N27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SUM(Budget!$C27:INDEX(Budget!$C27:$N27,$B$27))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Budget!C28</f>
        <v/>
      </c>
      <c r="D52" s="492">
        <f>IF(B52="","",B52-C52)</f>
        <v/>
      </c>
      <c r="E52" s="492">
        <f>IF(OR(2&gt;$B$27,ISBLANK(Actuals!D28)),"",Actuals!D28)</f>
        <v/>
      </c>
      <c r="F52" s="492">
        <f>Budget!D28</f>
        <v/>
      </c>
      <c r="G52" s="492">
        <f>IF(E52="","",E52-F52)</f>
        <v/>
      </c>
      <c r="H52" s="492">
        <f>IF(OR(3&gt;$B$27,ISBLANK(Actuals!E28)),"",Actuals!E28)</f>
        <v/>
      </c>
      <c r="I52" s="492">
        <f>Budget!E28</f>
        <v/>
      </c>
      <c r="J52" s="492">
        <f>IF(H52="","",H52-I52)</f>
        <v/>
      </c>
      <c r="K52" s="492">
        <f>IF(OR(4&gt;$B$27,ISBLANK(Actuals!F28)),"",Actuals!F28)</f>
        <v/>
      </c>
      <c r="L52" s="492">
        <f>Budget!F28</f>
        <v/>
      </c>
      <c r="M52" s="492">
        <f>IF(K52="","",K52-L52)</f>
        <v/>
      </c>
      <c r="N52" s="492">
        <f>IF(OR(5&gt;$B$27,ISBLANK(Actuals!G28)),"",Actuals!G28)</f>
        <v/>
      </c>
      <c r="O52" s="492">
        <f>Budget!G28</f>
        <v/>
      </c>
      <c r="P52" s="492">
        <f>IF(N52="","",N52-O52)</f>
        <v/>
      </c>
      <c r="Q52" s="492">
        <f>IF(OR(6&gt;$B$27,ISBLANK(Actuals!H28)),"",Actuals!H28)</f>
        <v/>
      </c>
      <c r="R52" s="492">
        <f>Budget!H28</f>
        <v/>
      </c>
      <c r="S52" s="492">
        <f>IF(Q52="","",Q52-R52)</f>
        <v/>
      </c>
      <c r="T52" s="492">
        <f>IF(OR(7&gt;$B$27,ISBLANK(Actuals!I28)),"",Actuals!I28)</f>
        <v/>
      </c>
      <c r="U52" s="492">
        <f>Budget!I28</f>
        <v/>
      </c>
      <c r="V52" s="492">
        <f>IF(T52="","",T52-U52)</f>
        <v/>
      </c>
      <c r="W52" s="492">
        <f>IF(OR(8&gt;$B$27,ISBLANK(Actuals!J28)),"",Actuals!J28)</f>
        <v/>
      </c>
      <c r="X52" s="492">
        <f>Budget!J28</f>
        <v/>
      </c>
      <c r="Y52" s="492">
        <f>IF(W52="","",W52-X52)</f>
        <v/>
      </c>
      <c r="Z52" s="492">
        <f>IF(OR(9&gt;$B$27,ISBLANK(Actuals!K28)),"",Actuals!K28)</f>
        <v/>
      </c>
      <c r="AA52" s="492">
        <f>Budget!K28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Budget!L28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Budget!M28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Budget!N28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SUM(Budget!$C28:INDEX(Budget!$C28:$N28,$B$27))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Budget!C29</f>
        <v/>
      </c>
      <c r="D53" s="492">
        <f>IF(B53="","",B53-C53)</f>
        <v/>
      </c>
      <c r="E53" s="492">
        <f>IF(OR(2&gt;$B$27,ISBLANK(Actuals!D29)),"",Actuals!D29)</f>
        <v/>
      </c>
      <c r="F53" s="492">
        <f>Budget!D29</f>
        <v/>
      </c>
      <c r="G53" s="492">
        <f>IF(E53="","",E53-F53)</f>
        <v/>
      </c>
      <c r="H53" s="492">
        <f>IF(OR(3&gt;$B$27,ISBLANK(Actuals!E29)),"",Actuals!E29)</f>
        <v/>
      </c>
      <c r="I53" s="492">
        <f>Budget!E29</f>
        <v/>
      </c>
      <c r="J53" s="492">
        <f>IF(H53="","",H53-I53)</f>
        <v/>
      </c>
      <c r="K53" s="492">
        <f>IF(OR(4&gt;$B$27,ISBLANK(Actuals!F29)),"",Actuals!F29)</f>
        <v/>
      </c>
      <c r="L53" s="492">
        <f>Budget!F29</f>
        <v/>
      </c>
      <c r="M53" s="492">
        <f>IF(K53="","",K53-L53)</f>
        <v/>
      </c>
      <c r="N53" s="492">
        <f>IF(OR(5&gt;$B$27,ISBLANK(Actuals!G29)),"",Actuals!G29)</f>
        <v/>
      </c>
      <c r="O53" s="492">
        <f>Budget!G29</f>
        <v/>
      </c>
      <c r="P53" s="492">
        <f>IF(N53="","",N53-O53)</f>
        <v/>
      </c>
      <c r="Q53" s="492">
        <f>IF(OR(6&gt;$B$27,ISBLANK(Actuals!H29)),"",Actuals!H29)</f>
        <v/>
      </c>
      <c r="R53" s="492">
        <f>Budget!H29</f>
        <v/>
      </c>
      <c r="S53" s="492">
        <f>IF(Q53="","",Q53-R53)</f>
        <v/>
      </c>
      <c r="T53" s="492">
        <f>IF(OR(7&gt;$B$27,ISBLANK(Actuals!I29)),"",Actuals!I29)</f>
        <v/>
      </c>
      <c r="U53" s="492">
        <f>Budget!I29</f>
        <v/>
      </c>
      <c r="V53" s="492">
        <f>IF(T53="","",T53-U53)</f>
        <v/>
      </c>
      <c r="W53" s="492">
        <f>IF(OR(8&gt;$B$27,ISBLANK(Actuals!J29)),"",Actuals!J29)</f>
        <v/>
      </c>
      <c r="X53" s="492">
        <f>Budget!J29</f>
        <v/>
      </c>
      <c r="Y53" s="492">
        <f>IF(W53="","",W53-X53)</f>
        <v/>
      </c>
      <c r="Z53" s="492">
        <f>IF(OR(9&gt;$B$27,ISBLANK(Actuals!K29)),"",Actuals!K29)</f>
        <v/>
      </c>
      <c r="AA53" s="492">
        <f>Budget!K29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Budget!L29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Budget!M29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Budget!N29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SUM(Budget!$C29:INDEX(Budget!$C29:$N29,$B$27))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Budget!C30</f>
        <v/>
      </c>
      <c r="D54" s="492">
        <f>IF(B54="","",B54-C54)</f>
        <v/>
      </c>
      <c r="E54" s="492">
        <f>IF(OR(2&gt;$B$27,ISBLANK(Actuals!D30)),"",Actuals!D30)</f>
        <v/>
      </c>
      <c r="F54" s="492">
        <f>Budget!D30</f>
        <v/>
      </c>
      <c r="G54" s="492">
        <f>IF(E54="","",E54-F54)</f>
        <v/>
      </c>
      <c r="H54" s="492">
        <f>IF(OR(3&gt;$B$27,ISBLANK(Actuals!E30)),"",Actuals!E30)</f>
        <v/>
      </c>
      <c r="I54" s="492">
        <f>Budget!E30</f>
        <v/>
      </c>
      <c r="J54" s="492">
        <f>IF(H54="","",H54-I54)</f>
        <v/>
      </c>
      <c r="K54" s="492">
        <f>IF(OR(4&gt;$B$27,ISBLANK(Actuals!F30)),"",Actuals!F30)</f>
        <v/>
      </c>
      <c r="L54" s="492">
        <f>Budget!F30</f>
        <v/>
      </c>
      <c r="M54" s="492">
        <f>IF(K54="","",K54-L54)</f>
        <v/>
      </c>
      <c r="N54" s="492">
        <f>IF(OR(5&gt;$B$27,ISBLANK(Actuals!G30)),"",Actuals!G30)</f>
        <v/>
      </c>
      <c r="O54" s="492">
        <f>Budget!G30</f>
        <v/>
      </c>
      <c r="P54" s="492">
        <f>IF(N54="","",N54-O54)</f>
        <v/>
      </c>
      <c r="Q54" s="492">
        <f>IF(OR(6&gt;$B$27,ISBLANK(Actuals!H30)),"",Actuals!H30)</f>
        <v/>
      </c>
      <c r="R54" s="492">
        <f>Budget!H30</f>
        <v/>
      </c>
      <c r="S54" s="492">
        <f>IF(Q54="","",Q54-R54)</f>
        <v/>
      </c>
      <c r="T54" s="492">
        <f>IF(OR(7&gt;$B$27,ISBLANK(Actuals!I30)),"",Actuals!I30)</f>
        <v/>
      </c>
      <c r="U54" s="492">
        <f>Budget!I30</f>
        <v/>
      </c>
      <c r="V54" s="492">
        <f>IF(T54="","",T54-U54)</f>
        <v/>
      </c>
      <c r="W54" s="492">
        <f>IF(OR(8&gt;$B$27,ISBLANK(Actuals!J30)),"",Actuals!J30)</f>
        <v/>
      </c>
      <c r="X54" s="492">
        <f>Budget!J30</f>
        <v/>
      </c>
      <c r="Y54" s="492">
        <f>IF(W54="","",W54-X54)</f>
        <v/>
      </c>
      <c r="Z54" s="492">
        <f>IF(OR(9&gt;$B$27,ISBLANK(Actuals!K30)),"",Actuals!K30)</f>
        <v/>
      </c>
      <c r="AA54" s="492">
        <f>Budget!K30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Budget!L30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Budget!M30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Budget!N30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SUM(Budget!$C30:INDEX(Budget!$C30:$N30,$B$27))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Budget!C31</f>
        <v/>
      </c>
      <c r="D55" s="492">
        <f>IF(B55="","",B55-C55)</f>
        <v/>
      </c>
      <c r="E55" s="492">
        <f>IF(OR(2&gt;$B$27,ISBLANK(Actuals!D31)),"",Actuals!D31)</f>
        <v/>
      </c>
      <c r="F55" s="492">
        <f>Budget!D31</f>
        <v/>
      </c>
      <c r="G55" s="492">
        <f>IF(E55="","",E55-F55)</f>
        <v/>
      </c>
      <c r="H55" s="492">
        <f>IF(OR(3&gt;$B$27,ISBLANK(Actuals!E31)),"",Actuals!E31)</f>
        <v/>
      </c>
      <c r="I55" s="492">
        <f>Budget!E31</f>
        <v/>
      </c>
      <c r="J55" s="492">
        <f>IF(H55="","",H55-I55)</f>
        <v/>
      </c>
      <c r="K55" s="492">
        <f>IF(OR(4&gt;$B$27,ISBLANK(Actuals!F31)),"",Actuals!F31)</f>
        <v/>
      </c>
      <c r="L55" s="492">
        <f>Budget!F31</f>
        <v/>
      </c>
      <c r="M55" s="492">
        <f>IF(K55="","",K55-L55)</f>
        <v/>
      </c>
      <c r="N55" s="492">
        <f>IF(OR(5&gt;$B$27,ISBLANK(Actuals!G31)),"",Actuals!G31)</f>
        <v/>
      </c>
      <c r="O55" s="492">
        <f>Budget!G31</f>
        <v/>
      </c>
      <c r="P55" s="492">
        <f>IF(N55="","",N55-O55)</f>
        <v/>
      </c>
      <c r="Q55" s="492">
        <f>IF(OR(6&gt;$B$27,ISBLANK(Actuals!H31)),"",Actuals!H31)</f>
        <v/>
      </c>
      <c r="R55" s="492">
        <f>Budget!H31</f>
        <v/>
      </c>
      <c r="S55" s="492">
        <f>IF(Q55="","",Q55-R55)</f>
        <v/>
      </c>
      <c r="T55" s="492">
        <f>IF(OR(7&gt;$B$27,ISBLANK(Actuals!I31)),"",Actuals!I31)</f>
        <v/>
      </c>
      <c r="U55" s="492">
        <f>Budget!I31</f>
        <v/>
      </c>
      <c r="V55" s="492">
        <f>IF(T55="","",T55-U55)</f>
        <v/>
      </c>
      <c r="W55" s="492">
        <f>IF(OR(8&gt;$B$27,ISBLANK(Actuals!J31)),"",Actuals!J31)</f>
        <v/>
      </c>
      <c r="X55" s="492">
        <f>Budget!J31</f>
        <v/>
      </c>
      <c r="Y55" s="492">
        <f>IF(W55="","",W55-X55)</f>
        <v/>
      </c>
      <c r="Z55" s="492">
        <f>IF(OR(9&gt;$B$27,ISBLANK(Actuals!K31)),"",Actuals!K31)</f>
        <v/>
      </c>
      <c r="AA55" s="492">
        <f>Budget!K31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Budget!L31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Budget!M31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Budget!N31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SUM(Budget!$C31:INDEX(Budget!$C31:$N31,$B$27))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Budget!C32</f>
        <v/>
      </c>
      <c r="D56" s="492">
        <f>IF(B56="","",B56-C56)</f>
        <v/>
      </c>
      <c r="E56" s="492">
        <f>IF(OR(2&gt;$B$27,ISBLANK(Actuals!D32)),"",Actuals!D32)</f>
        <v/>
      </c>
      <c r="F56" s="492">
        <f>Budget!D32</f>
        <v/>
      </c>
      <c r="G56" s="492">
        <f>IF(E56="","",E56-F56)</f>
        <v/>
      </c>
      <c r="H56" s="492">
        <f>IF(OR(3&gt;$B$27,ISBLANK(Actuals!E32)),"",Actuals!E32)</f>
        <v/>
      </c>
      <c r="I56" s="492">
        <f>Budget!E32</f>
        <v/>
      </c>
      <c r="J56" s="492">
        <f>IF(H56="","",H56-I56)</f>
        <v/>
      </c>
      <c r="K56" s="492">
        <f>IF(OR(4&gt;$B$27,ISBLANK(Actuals!F32)),"",Actuals!F32)</f>
        <v/>
      </c>
      <c r="L56" s="492">
        <f>Budget!F32</f>
        <v/>
      </c>
      <c r="M56" s="492">
        <f>IF(K56="","",K56-L56)</f>
        <v/>
      </c>
      <c r="N56" s="492">
        <f>IF(OR(5&gt;$B$27,ISBLANK(Actuals!G32)),"",Actuals!G32)</f>
        <v/>
      </c>
      <c r="O56" s="492">
        <f>Budget!G32</f>
        <v/>
      </c>
      <c r="P56" s="492">
        <f>IF(N56="","",N56-O56)</f>
        <v/>
      </c>
      <c r="Q56" s="492">
        <f>IF(OR(6&gt;$B$27,ISBLANK(Actuals!H32)),"",Actuals!H32)</f>
        <v/>
      </c>
      <c r="R56" s="492">
        <f>Budget!H32</f>
        <v/>
      </c>
      <c r="S56" s="492">
        <f>IF(Q56="","",Q56-R56)</f>
        <v/>
      </c>
      <c r="T56" s="492">
        <f>IF(OR(7&gt;$B$27,ISBLANK(Actuals!I32)),"",Actuals!I32)</f>
        <v/>
      </c>
      <c r="U56" s="492">
        <f>Budget!I32</f>
        <v/>
      </c>
      <c r="V56" s="492">
        <f>IF(T56="","",T56-U56)</f>
        <v/>
      </c>
      <c r="W56" s="492">
        <f>IF(OR(8&gt;$B$27,ISBLANK(Actuals!J32)),"",Actuals!J32)</f>
        <v/>
      </c>
      <c r="X56" s="492">
        <f>Budget!J32</f>
        <v/>
      </c>
      <c r="Y56" s="492">
        <f>IF(W56="","",W56-X56)</f>
        <v/>
      </c>
      <c r="Z56" s="492">
        <f>IF(OR(9&gt;$B$27,ISBLANK(Actuals!K32)),"",Actuals!K32)</f>
        <v/>
      </c>
      <c r="AA56" s="492">
        <f>Budget!K32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Budget!L32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Budget!M32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Budget!N32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SUM(Budget!$C32:INDEX(Budget!$C32:$N32,$B$27))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Budget!C33</f>
        <v/>
      </c>
      <c r="D57" s="492">
        <f>IF(B57="","",B57-C57)</f>
        <v/>
      </c>
      <c r="E57" s="492">
        <f>IF(OR(2&gt;$B$27,ISBLANK(Actuals!D33)),"",Actuals!D33)</f>
        <v/>
      </c>
      <c r="F57" s="492">
        <f>Budget!D33</f>
        <v/>
      </c>
      <c r="G57" s="492">
        <f>IF(E57="","",E57-F57)</f>
        <v/>
      </c>
      <c r="H57" s="492">
        <f>IF(OR(3&gt;$B$27,ISBLANK(Actuals!E33)),"",Actuals!E33)</f>
        <v/>
      </c>
      <c r="I57" s="492">
        <f>Budget!E33</f>
        <v/>
      </c>
      <c r="J57" s="492">
        <f>IF(H57="","",H57-I57)</f>
        <v/>
      </c>
      <c r="K57" s="492">
        <f>IF(OR(4&gt;$B$27,ISBLANK(Actuals!F33)),"",Actuals!F33)</f>
        <v/>
      </c>
      <c r="L57" s="492">
        <f>Budget!F33</f>
        <v/>
      </c>
      <c r="M57" s="492">
        <f>IF(K57="","",K57-L57)</f>
        <v/>
      </c>
      <c r="N57" s="492">
        <f>IF(OR(5&gt;$B$27,ISBLANK(Actuals!G33)),"",Actuals!G33)</f>
        <v/>
      </c>
      <c r="O57" s="492">
        <f>Budget!G33</f>
        <v/>
      </c>
      <c r="P57" s="492">
        <f>IF(N57="","",N57-O57)</f>
        <v/>
      </c>
      <c r="Q57" s="492">
        <f>IF(OR(6&gt;$B$27,ISBLANK(Actuals!H33)),"",Actuals!H33)</f>
        <v/>
      </c>
      <c r="R57" s="492">
        <f>Budget!H33</f>
        <v/>
      </c>
      <c r="S57" s="492">
        <f>IF(Q57="","",Q57-R57)</f>
        <v/>
      </c>
      <c r="T57" s="492">
        <f>IF(OR(7&gt;$B$27,ISBLANK(Actuals!I33)),"",Actuals!I33)</f>
        <v/>
      </c>
      <c r="U57" s="492">
        <f>Budget!I33</f>
        <v/>
      </c>
      <c r="V57" s="492">
        <f>IF(T57="","",T57-U57)</f>
        <v/>
      </c>
      <c r="W57" s="492">
        <f>IF(OR(8&gt;$B$27,ISBLANK(Actuals!J33)),"",Actuals!J33)</f>
        <v/>
      </c>
      <c r="X57" s="492">
        <f>Budget!J33</f>
        <v/>
      </c>
      <c r="Y57" s="492">
        <f>IF(W57="","",W57-X57)</f>
        <v/>
      </c>
      <c r="Z57" s="492">
        <f>IF(OR(9&gt;$B$27,ISBLANK(Actuals!K33)),"",Actuals!K33)</f>
        <v/>
      </c>
      <c r="AA57" s="492">
        <f>Budget!K33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Budget!L33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Budget!M33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Budget!N33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SUM(Budget!$C33:INDEX(Budget!$C33:$N33,$B$27))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Budget!C34</f>
        <v/>
      </c>
      <c r="D58" s="492">
        <f>IF(B58="","",B58-C58)</f>
        <v/>
      </c>
      <c r="E58" s="492">
        <f>IF(OR(2&gt;$B$27,ISBLANK(Actuals!D34)),"",Actuals!D34)</f>
        <v/>
      </c>
      <c r="F58" s="492">
        <f>Budget!D34</f>
        <v/>
      </c>
      <c r="G58" s="492">
        <f>IF(E58="","",E58-F58)</f>
        <v/>
      </c>
      <c r="H58" s="492">
        <f>IF(OR(3&gt;$B$27,ISBLANK(Actuals!E34)),"",Actuals!E34)</f>
        <v/>
      </c>
      <c r="I58" s="492">
        <f>Budget!E34</f>
        <v/>
      </c>
      <c r="J58" s="492">
        <f>IF(H58="","",H58-I58)</f>
        <v/>
      </c>
      <c r="K58" s="492">
        <f>IF(OR(4&gt;$B$27,ISBLANK(Actuals!F34)),"",Actuals!F34)</f>
        <v/>
      </c>
      <c r="L58" s="492">
        <f>Budget!F34</f>
        <v/>
      </c>
      <c r="M58" s="492">
        <f>IF(K58="","",K58-L58)</f>
        <v/>
      </c>
      <c r="N58" s="492">
        <f>IF(OR(5&gt;$B$27,ISBLANK(Actuals!G34)),"",Actuals!G34)</f>
        <v/>
      </c>
      <c r="O58" s="492">
        <f>Budget!G34</f>
        <v/>
      </c>
      <c r="P58" s="492">
        <f>IF(N58="","",N58-O58)</f>
        <v/>
      </c>
      <c r="Q58" s="492">
        <f>IF(OR(6&gt;$B$27,ISBLANK(Actuals!H34)),"",Actuals!H34)</f>
        <v/>
      </c>
      <c r="R58" s="492">
        <f>Budget!H34</f>
        <v/>
      </c>
      <c r="S58" s="492">
        <f>IF(Q58="","",Q58-R58)</f>
        <v/>
      </c>
      <c r="T58" s="492">
        <f>IF(OR(7&gt;$B$27,ISBLANK(Actuals!I34)),"",Actuals!I34)</f>
        <v/>
      </c>
      <c r="U58" s="492">
        <f>Budget!I34</f>
        <v/>
      </c>
      <c r="V58" s="492">
        <f>IF(T58="","",T58-U58)</f>
        <v/>
      </c>
      <c r="W58" s="492">
        <f>IF(OR(8&gt;$B$27,ISBLANK(Actuals!J34)),"",Actuals!J34)</f>
        <v/>
      </c>
      <c r="X58" s="492">
        <f>Budget!J34</f>
        <v/>
      </c>
      <c r="Y58" s="492">
        <f>IF(W58="","",W58-X58)</f>
        <v/>
      </c>
      <c r="Z58" s="492">
        <f>IF(OR(9&gt;$B$27,ISBLANK(Actuals!K34)),"",Actuals!K34)</f>
        <v/>
      </c>
      <c r="AA58" s="492">
        <f>Budget!K34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Budget!L34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Budget!M34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Budget!N34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SUM(Budget!$C34:INDEX(Budget!$C34:$N34,$B$27))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Budget!C35</f>
        <v/>
      </c>
      <c r="D59" s="492">
        <f>IF(B59="","",B59-C59)</f>
        <v/>
      </c>
      <c r="E59" s="492">
        <f>IF(OR(2&gt;$B$27,ISBLANK(Actuals!D35)),"",Actuals!D35)</f>
        <v/>
      </c>
      <c r="F59" s="492">
        <f>Budget!D35</f>
        <v/>
      </c>
      <c r="G59" s="492">
        <f>IF(E59="","",E59-F59)</f>
        <v/>
      </c>
      <c r="H59" s="492">
        <f>IF(OR(3&gt;$B$27,ISBLANK(Actuals!E35)),"",Actuals!E35)</f>
        <v/>
      </c>
      <c r="I59" s="492">
        <f>Budget!E35</f>
        <v/>
      </c>
      <c r="J59" s="492">
        <f>IF(H59="","",H59-I59)</f>
        <v/>
      </c>
      <c r="K59" s="492">
        <f>IF(OR(4&gt;$B$27,ISBLANK(Actuals!F35)),"",Actuals!F35)</f>
        <v/>
      </c>
      <c r="L59" s="492">
        <f>Budget!F35</f>
        <v/>
      </c>
      <c r="M59" s="492">
        <f>IF(K59="","",K59-L59)</f>
        <v/>
      </c>
      <c r="N59" s="492">
        <f>IF(OR(5&gt;$B$27,ISBLANK(Actuals!G35)),"",Actuals!G35)</f>
        <v/>
      </c>
      <c r="O59" s="492">
        <f>Budget!G35</f>
        <v/>
      </c>
      <c r="P59" s="492">
        <f>IF(N59="","",N59-O59)</f>
        <v/>
      </c>
      <c r="Q59" s="492">
        <f>IF(OR(6&gt;$B$27,ISBLANK(Actuals!H35)),"",Actuals!H35)</f>
        <v/>
      </c>
      <c r="R59" s="492">
        <f>Budget!H35</f>
        <v/>
      </c>
      <c r="S59" s="492">
        <f>IF(Q59="","",Q59-R59)</f>
        <v/>
      </c>
      <c r="T59" s="492">
        <f>IF(OR(7&gt;$B$27,ISBLANK(Actuals!I35)),"",Actuals!I35)</f>
        <v/>
      </c>
      <c r="U59" s="492">
        <f>Budget!I35</f>
        <v/>
      </c>
      <c r="V59" s="492">
        <f>IF(T59="","",T59-U59)</f>
        <v/>
      </c>
      <c r="W59" s="492">
        <f>IF(OR(8&gt;$B$27,ISBLANK(Actuals!J35)),"",Actuals!J35)</f>
        <v/>
      </c>
      <c r="X59" s="492">
        <f>Budget!J35</f>
        <v/>
      </c>
      <c r="Y59" s="492">
        <f>IF(W59="","",W59-X59)</f>
        <v/>
      </c>
      <c r="Z59" s="492">
        <f>IF(OR(9&gt;$B$27,ISBLANK(Actuals!K35)),"",Actuals!K35)</f>
        <v/>
      </c>
      <c r="AA59" s="492">
        <f>Budget!K35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Budget!L35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Budget!M35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Budget!N35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SUM(Budget!$C35:INDEX(Budget!$C35:$N35,$B$27))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Budget!C36</f>
        <v/>
      </c>
      <c r="D60" s="492">
        <f>IF(B60="","",B60-C60)</f>
        <v/>
      </c>
      <c r="E60" s="492">
        <f>IF(OR(2&gt;$B$27,ISBLANK(Actuals!D36)),"",Actuals!D36)</f>
        <v/>
      </c>
      <c r="F60" s="492">
        <f>Budget!D36</f>
        <v/>
      </c>
      <c r="G60" s="492">
        <f>IF(E60="","",E60-F60)</f>
        <v/>
      </c>
      <c r="H60" s="492">
        <f>IF(OR(3&gt;$B$27,ISBLANK(Actuals!E36)),"",Actuals!E36)</f>
        <v/>
      </c>
      <c r="I60" s="492">
        <f>Budget!E36</f>
        <v/>
      </c>
      <c r="J60" s="492">
        <f>IF(H60="","",H60-I60)</f>
        <v/>
      </c>
      <c r="K60" s="492">
        <f>IF(OR(4&gt;$B$27,ISBLANK(Actuals!F36)),"",Actuals!F36)</f>
        <v/>
      </c>
      <c r="L60" s="492">
        <f>Budget!F36</f>
        <v/>
      </c>
      <c r="M60" s="492">
        <f>IF(K60="","",K60-L60)</f>
        <v/>
      </c>
      <c r="N60" s="492">
        <f>IF(OR(5&gt;$B$27,ISBLANK(Actuals!G36)),"",Actuals!G36)</f>
        <v/>
      </c>
      <c r="O60" s="492">
        <f>Budget!G36</f>
        <v/>
      </c>
      <c r="P60" s="492">
        <f>IF(N60="","",N60-O60)</f>
        <v/>
      </c>
      <c r="Q60" s="492">
        <f>IF(OR(6&gt;$B$27,ISBLANK(Actuals!H36)),"",Actuals!H36)</f>
        <v/>
      </c>
      <c r="R60" s="492">
        <f>Budget!H36</f>
        <v/>
      </c>
      <c r="S60" s="492">
        <f>IF(Q60="","",Q60-R60)</f>
        <v/>
      </c>
      <c r="T60" s="492">
        <f>IF(OR(7&gt;$B$27,ISBLANK(Actuals!I36)),"",Actuals!I36)</f>
        <v/>
      </c>
      <c r="U60" s="492">
        <f>Budget!I36</f>
        <v/>
      </c>
      <c r="V60" s="492">
        <f>IF(T60="","",T60-U60)</f>
        <v/>
      </c>
      <c r="W60" s="492">
        <f>IF(OR(8&gt;$B$27,ISBLANK(Actuals!J36)),"",Actuals!J36)</f>
        <v/>
      </c>
      <c r="X60" s="492">
        <f>Budget!J36</f>
        <v/>
      </c>
      <c r="Y60" s="492">
        <f>IF(W60="","",W60-X60)</f>
        <v/>
      </c>
      <c r="Z60" s="492">
        <f>IF(OR(9&gt;$B$27,ISBLANK(Actuals!K36)),"",Actuals!K36)</f>
        <v/>
      </c>
      <c r="AA60" s="492">
        <f>Budget!K36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Budget!L36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Budget!M36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Budget!N36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SUM(Budget!$C36:INDEX(Budget!$C36:$N36,$B$27))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Budget!C37</f>
        <v/>
      </c>
      <c r="D61" s="492">
        <f>IF(B61="","",B61-C61)</f>
        <v/>
      </c>
      <c r="E61" s="492">
        <f>IF(OR(2&gt;$B$27,ISBLANK(Actuals!D37)),"",Actuals!D37)</f>
        <v/>
      </c>
      <c r="F61" s="492">
        <f>Budget!D37</f>
        <v/>
      </c>
      <c r="G61" s="492">
        <f>IF(E61="","",E61-F61)</f>
        <v/>
      </c>
      <c r="H61" s="492">
        <f>IF(OR(3&gt;$B$27,ISBLANK(Actuals!E37)),"",Actuals!E37)</f>
        <v/>
      </c>
      <c r="I61" s="492">
        <f>Budget!E37</f>
        <v/>
      </c>
      <c r="J61" s="492">
        <f>IF(H61="","",H61-I61)</f>
        <v/>
      </c>
      <c r="K61" s="492">
        <f>IF(OR(4&gt;$B$27,ISBLANK(Actuals!F37)),"",Actuals!F37)</f>
        <v/>
      </c>
      <c r="L61" s="492">
        <f>Budget!F37</f>
        <v/>
      </c>
      <c r="M61" s="492">
        <f>IF(K61="","",K61-L61)</f>
        <v/>
      </c>
      <c r="N61" s="492">
        <f>IF(OR(5&gt;$B$27,ISBLANK(Actuals!G37)),"",Actuals!G37)</f>
        <v/>
      </c>
      <c r="O61" s="492">
        <f>Budget!G37</f>
        <v/>
      </c>
      <c r="P61" s="492">
        <f>IF(N61="","",N61-O61)</f>
        <v/>
      </c>
      <c r="Q61" s="492">
        <f>IF(OR(6&gt;$B$27,ISBLANK(Actuals!H37)),"",Actuals!H37)</f>
        <v/>
      </c>
      <c r="R61" s="492">
        <f>Budget!H37</f>
        <v/>
      </c>
      <c r="S61" s="492">
        <f>IF(Q61="","",Q61-R61)</f>
        <v/>
      </c>
      <c r="T61" s="492">
        <f>IF(OR(7&gt;$B$27,ISBLANK(Actuals!I37)),"",Actuals!I37)</f>
        <v/>
      </c>
      <c r="U61" s="492">
        <f>Budget!I37</f>
        <v/>
      </c>
      <c r="V61" s="492">
        <f>IF(T61="","",T61-U61)</f>
        <v/>
      </c>
      <c r="W61" s="492">
        <f>IF(OR(8&gt;$B$27,ISBLANK(Actuals!J37)),"",Actuals!J37)</f>
        <v/>
      </c>
      <c r="X61" s="492">
        <f>Budget!J37</f>
        <v/>
      </c>
      <c r="Y61" s="492">
        <f>IF(W61="","",W61-X61)</f>
        <v/>
      </c>
      <c r="Z61" s="492">
        <f>IF(OR(9&gt;$B$27,ISBLANK(Actuals!K37)),"",Actuals!K37)</f>
        <v/>
      </c>
      <c r="AA61" s="492">
        <f>Budget!K37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Budget!L37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Budget!M37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Budget!N37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SUM(Budget!$C37:INDEX(Budget!$C37:$N37,$B$27))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Budget!C38</f>
        <v/>
      </c>
      <c r="D62" s="492">
        <f>IF(B62="","",B62-C62)</f>
        <v/>
      </c>
      <c r="E62" s="492">
        <f>IF(OR(2&gt;$B$27,ISBLANK(Actuals!D38)),"",Actuals!D38)</f>
        <v/>
      </c>
      <c r="F62" s="492">
        <f>Budget!D38</f>
        <v/>
      </c>
      <c r="G62" s="492">
        <f>IF(E62="","",E62-F62)</f>
        <v/>
      </c>
      <c r="H62" s="492">
        <f>IF(OR(3&gt;$B$27,ISBLANK(Actuals!E38)),"",Actuals!E38)</f>
        <v/>
      </c>
      <c r="I62" s="492">
        <f>Budget!E38</f>
        <v/>
      </c>
      <c r="J62" s="492">
        <f>IF(H62="","",H62-I62)</f>
        <v/>
      </c>
      <c r="K62" s="492">
        <f>IF(OR(4&gt;$B$27,ISBLANK(Actuals!F38)),"",Actuals!F38)</f>
        <v/>
      </c>
      <c r="L62" s="492">
        <f>Budget!F38</f>
        <v/>
      </c>
      <c r="M62" s="492">
        <f>IF(K62="","",K62-L62)</f>
        <v/>
      </c>
      <c r="N62" s="492">
        <f>IF(OR(5&gt;$B$27,ISBLANK(Actuals!G38)),"",Actuals!G38)</f>
        <v/>
      </c>
      <c r="O62" s="492">
        <f>Budget!G38</f>
        <v/>
      </c>
      <c r="P62" s="492">
        <f>IF(N62="","",N62-O62)</f>
        <v/>
      </c>
      <c r="Q62" s="492">
        <f>IF(OR(6&gt;$B$27,ISBLANK(Actuals!H38)),"",Actuals!H38)</f>
        <v/>
      </c>
      <c r="R62" s="492">
        <f>Budget!H38</f>
        <v/>
      </c>
      <c r="S62" s="492">
        <f>IF(Q62="","",Q62-R62)</f>
        <v/>
      </c>
      <c r="T62" s="492">
        <f>IF(OR(7&gt;$B$27,ISBLANK(Actuals!I38)),"",Actuals!I38)</f>
        <v/>
      </c>
      <c r="U62" s="492">
        <f>Budget!I38</f>
        <v/>
      </c>
      <c r="V62" s="492">
        <f>IF(T62="","",T62-U62)</f>
        <v/>
      </c>
      <c r="W62" s="492">
        <f>IF(OR(8&gt;$B$27,ISBLANK(Actuals!J38)),"",Actuals!J38)</f>
        <v/>
      </c>
      <c r="X62" s="492">
        <f>Budget!J38</f>
        <v/>
      </c>
      <c r="Y62" s="492">
        <f>IF(W62="","",W62-X62)</f>
        <v/>
      </c>
      <c r="Z62" s="492">
        <f>IF(OR(9&gt;$B$27,ISBLANK(Actuals!K38)),"",Actuals!K38)</f>
        <v/>
      </c>
      <c r="AA62" s="492">
        <f>Budget!K38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Budget!L38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Budget!M38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Budget!N38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SUM(Budget!$C38:INDEX(Budget!$C38:$N38,$B$27))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Budget!C39</f>
        <v/>
      </c>
      <c r="D63" s="492">
        <f>IF(B63="","",B63-C63)</f>
        <v/>
      </c>
      <c r="E63" s="492">
        <f>IF(OR(2&gt;$B$27,ISBLANK(Actuals!D39)),"",Actuals!D39)</f>
        <v/>
      </c>
      <c r="F63" s="492">
        <f>Budget!D39</f>
        <v/>
      </c>
      <c r="G63" s="492">
        <f>IF(E63="","",E63-F63)</f>
        <v/>
      </c>
      <c r="H63" s="492">
        <f>IF(OR(3&gt;$B$27,ISBLANK(Actuals!E39)),"",Actuals!E39)</f>
        <v/>
      </c>
      <c r="I63" s="492">
        <f>Budget!E39</f>
        <v/>
      </c>
      <c r="J63" s="492">
        <f>IF(H63="","",H63-I63)</f>
        <v/>
      </c>
      <c r="K63" s="492">
        <f>IF(OR(4&gt;$B$27,ISBLANK(Actuals!F39)),"",Actuals!F39)</f>
        <v/>
      </c>
      <c r="L63" s="492">
        <f>Budget!F39</f>
        <v/>
      </c>
      <c r="M63" s="492">
        <f>IF(K63="","",K63-L63)</f>
        <v/>
      </c>
      <c r="N63" s="492">
        <f>IF(OR(5&gt;$B$27,ISBLANK(Actuals!G39)),"",Actuals!G39)</f>
        <v/>
      </c>
      <c r="O63" s="492">
        <f>Budget!G39</f>
        <v/>
      </c>
      <c r="P63" s="492">
        <f>IF(N63="","",N63-O63)</f>
        <v/>
      </c>
      <c r="Q63" s="492">
        <f>IF(OR(6&gt;$B$27,ISBLANK(Actuals!H39)),"",Actuals!H39)</f>
        <v/>
      </c>
      <c r="R63" s="492">
        <f>Budget!H39</f>
        <v/>
      </c>
      <c r="S63" s="492">
        <f>IF(Q63="","",Q63-R63)</f>
        <v/>
      </c>
      <c r="T63" s="492">
        <f>IF(OR(7&gt;$B$27,ISBLANK(Actuals!I39)),"",Actuals!I39)</f>
        <v/>
      </c>
      <c r="U63" s="492">
        <f>Budget!I39</f>
        <v/>
      </c>
      <c r="V63" s="492">
        <f>IF(T63="","",T63-U63)</f>
        <v/>
      </c>
      <c r="W63" s="492">
        <f>IF(OR(8&gt;$B$27,ISBLANK(Actuals!J39)),"",Actuals!J39)</f>
        <v/>
      </c>
      <c r="X63" s="492">
        <f>Budget!J39</f>
        <v/>
      </c>
      <c r="Y63" s="492">
        <f>IF(W63="","",W63-X63)</f>
        <v/>
      </c>
      <c r="Z63" s="492">
        <f>IF(OR(9&gt;$B$27,ISBLANK(Actuals!K39)),"",Actuals!K39)</f>
        <v/>
      </c>
      <c r="AA63" s="492">
        <f>Budget!K39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Budget!L39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Budget!M39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Budget!N39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SUM(Budget!$C39:INDEX(Budget!$C39:$N39,$B$27))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Budget!C40</f>
        <v/>
      </c>
      <c r="D64" s="492">
        <f>IF(B64="","",B64-C64)</f>
        <v/>
      </c>
      <c r="E64" s="492">
        <f>IF(OR(2&gt;$B$27,ISBLANK(Actuals!D40)),"",Actuals!D40)</f>
        <v/>
      </c>
      <c r="F64" s="492">
        <f>Budget!D40</f>
        <v/>
      </c>
      <c r="G64" s="492">
        <f>IF(E64="","",E64-F64)</f>
        <v/>
      </c>
      <c r="H64" s="492">
        <f>IF(OR(3&gt;$B$27,ISBLANK(Actuals!E40)),"",Actuals!E40)</f>
        <v/>
      </c>
      <c r="I64" s="492">
        <f>Budget!E40</f>
        <v/>
      </c>
      <c r="J64" s="492">
        <f>IF(H64="","",H64-I64)</f>
        <v/>
      </c>
      <c r="K64" s="492">
        <f>IF(OR(4&gt;$B$27,ISBLANK(Actuals!F40)),"",Actuals!F40)</f>
        <v/>
      </c>
      <c r="L64" s="492">
        <f>Budget!F40</f>
        <v/>
      </c>
      <c r="M64" s="492">
        <f>IF(K64="","",K64-L64)</f>
        <v/>
      </c>
      <c r="N64" s="492">
        <f>IF(OR(5&gt;$B$27,ISBLANK(Actuals!G40)),"",Actuals!G40)</f>
        <v/>
      </c>
      <c r="O64" s="492">
        <f>Budget!G40</f>
        <v/>
      </c>
      <c r="P64" s="492">
        <f>IF(N64="","",N64-O64)</f>
        <v/>
      </c>
      <c r="Q64" s="492">
        <f>IF(OR(6&gt;$B$27,ISBLANK(Actuals!H40)),"",Actuals!H40)</f>
        <v/>
      </c>
      <c r="R64" s="492">
        <f>Budget!H40</f>
        <v/>
      </c>
      <c r="S64" s="492">
        <f>IF(Q64="","",Q64-R64)</f>
        <v/>
      </c>
      <c r="T64" s="492">
        <f>IF(OR(7&gt;$B$27,ISBLANK(Actuals!I40)),"",Actuals!I40)</f>
        <v/>
      </c>
      <c r="U64" s="492">
        <f>Budget!I40</f>
        <v/>
      </c>
      <c r="V64" s="492">
        <f>IF(T64="","",T64-U64)</f>
        <v/>
      </c>
      <c r="W64" s="492">
        <f>IF(OR(8&gt;$B$27,ISBLANK(Actuals!J40)),"",Actuals!J40)</f>
        <v/>
      </c>
      <c r="X64" s="492">
        <f>Budget!J40</f>
        <v/>
      </c>
      <c r="Y64" s="492">
        <f>IF(W64="","",W64-X64)</f>
        <v/>
      </c>
      <c r="Z64" s="492">
        <f>IF(OR(9&gt;$B$27,ISBLANK(Actuals!K40)),"",Actuals!K40)</f>
        <v/>
      </c>
      <c r="AA64" s="492">
        <f>Budget!K40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Budget!L40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Budget!M40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Budget!N40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SUM(Budget!$C40:INDEX(Budget!$C40:$N40,$B$27))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Budget!C41</f>
        <v/>
      </c>
      <c r="D65" s="492">
        <f>IF(B65="","",B65-C65)</f>
        <v/>
      </c>
      <c r="E65" s="492">
        <f>IF(OR(2&gt;$B$27,ISBLANK(Actuals!D41)),"",Actuals!D41)</f>
        <v/>
      </c>
      <c r="F65" s="492">
        <f>Budget!D41</f>
        <v/>
      </c>
      <c r="G65" s="492">
        <f>IF(E65="","",E65-F65)</f>
        <v/>
      </c>
      <c r="H65" s="492">
        <f>IF(OR(3&gt;$B$27,ISBLANK(Actuals!E41)),"",Actuals!E41)</f>
        <v/>
      </c>
      <c r="I65" s="492">
        <f>Budget!E41</f>
        <v/>
      </c>
      <c r="J65" s="492">
        <f>IF(H65="","",H65-I65)</f>
        <v/>
      </c>
      <c r="K65" s="492">
        <f>IF(OR(4&gt;$B$27,ISBLANK(Actuals!F41)),"",Actuals!F41)</f>
        <v/>
      </c>
      <c r="L65" s="492">
        <f>Budget!F41</f>
        <v/>
      </c>
      <c r="M65" s="492">
        <f>IF(K65="","",K65-L65)</f>
        <v/>
      </c>
      <c r="N65" s="492">
        <f>IF(OR(5&gt;$B$27,ISBLANK(Actuals!G41)),"",Actuals!G41)</f>
        <v/>
      </c>
      <c r="O65" s="492">
        <f>Budget!G41</f>
        <v/>
      </c>
      <c r="P65" s="492">
        <f>IF(N65="","",N65-O65)</f>
        <v/>
      </c>
      <c r="Q65" s="492">
        <f>IF(OR(6&gt;$B$27,ISBLANK(Actuals!H41)),"",Actuals!H41)</f>
        <v/>
      </c>
      <c r="R65" s="492">
        <f>Budget!H41</f>
        <v/>
      </c>
      <c r="S65" s="492">
        <f>IF(Q65="","",Q65-R65)</f>
        <v/>
      </c>
      <c r="T65" s="492">
        <f>IF(OR(7&gt;$B$27,ISBLANK(Actuals!I41)),"",Actuals!I41)</f>
        <v/>
      </c>
      <c r="U65" s="492">
        <f>Budget!I41</f>
        <v/>
      </c>
      <c r="V65" s="492">
        <f>IF(T65="","",T65-U65)</f>
        <v/>
      </c>
      <c r="W65" s="492">
        <f>IF(OR(8&gt;$B$27,ISBLANK(Actuals!J41)),"",Actuals!J41)</f>
        <v/>
      </c>
      <c r="X65" s="492">
        <f>Budget!J41</f>
        <v/>
      </c>
      <c r="Y65" s="492">
        <f>IF(W65="","",W65-X65)</f>
        <v/>
      </c>
      <c r="Z65" s="492">
        <f>IF(OR(9&gt;$B$27,ISBLANK(Actuals!K41)),"",Actuals!K41)</f>
        <v/>
      </c>
      <c r="AA65" s="492">
        <f>Budget!K41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Budget!L41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Budget!M41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Budget!N41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SUM(Budget!$C41:INDEX(Budget!$C41:$N41,$B$27))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Budget!C42</f>
        <v/>
      </c>
      <c r="D66" s="492">
        <f>IF(B66="","",B66-C66)</f>
        <v/>
      </c>
      <c r="E66" s="492">
        <f>IF(OR(2&gt;$B$27,ISBLANK(Actuals!D42)),"",Actuals!D42)</f>
        <v/>
      </c>
      <c r="F66" s="492">
        <f>Budget!D42</f>
        <v/>
      </c>
      <c r="G66" s="492">
        <f>IF(E66="","",E66-F66)</f>
        <v/>
      </c>
      <c r="H66" s="492">
        <f>IF(OR(3&gt;$B$27,ISBLANK(Actuals!E42)),"",Actuals!E42)</f>
        <v/>
      </c>
      <c r="I66" s="492">
        <f>Budget!E42</f>
        <v/>
      </c>
      <c r="J66" s="492">
        <f>IF(H66="","",H66-I66)</f>
        <v/>
      </c>
      <c r="K66" s="492">
        <f>IF(OR(4&gt;$B$27,ISBLANK(Actuals!F42)),"",Actuals!F42)</f>
        <v/>
      </c>
      <c r="L66" s="492">
        <f>Budget!F42</f>
        <v/>
      </c>
      <c r="M66" s="492">
        <f>IF(K66="","",K66-L66)</f>
        <v/>
      </c>
      <c r="N66" s="492">
        <f>IF(OR(5&gt;$B$27,ISBLANK(Actuals!G42)),"",Actuals!G42)</f>
        <v/>
      </c>
      <c r="O66" s="492">
        <f>Budget!G42</f>
        <v/>
      </c>
      <c r="P66" s="492">
        <f>IF(N66="","",N66-O66)</f>
        <v/>
      </c>
      <c r="Q66" s="492">
        <f>IF(OR(6&gt;$B$27,ISBLANK(Actuals!H42)),"",Actuals!H42)</f>
        <v/>
      </c>
      <c r="R66" s="492">
        <f>Budget!H42</f>
        <v/>
      </c>
      <c r="S66" s="492">
        <f>IF(Q66="","",Q66-R66)</f>
        <v/>
      </c>
      <c r="T66" s="492">
        <f>IF(OR(7&gt;$B$27,ISBLANK(Actuals!I42)),"",Actuals!I42)</f>
        <v/>
      </c>
      <c r="U66" s="492">
        <f>Budget!I42</f>
        <v/>
      </c>
      <c r="V66" s="492">
        <f>IF(T66="","",T66-U66)</f>
        <v/>
      </c>
      <c r="W66" s="492">
        <f>IF(OR(8&gt;$B$27,ISBLANK(Actuals!J42)),"",Actuals!J42)</f>
        <v/>
      </c>
      <c r="X66" s="492">
        <f>Budget!J42</f>
        <v/>
      </c>
      <c r="Y66" s="492">
        <f>IF(W66="","",W66-X66)</f>
        <v/>
      </c>
      <c r="Z66" s="492">
        <f>IF(OR(9&gt;$B$27,ISBLANK(Actuals!K42)),"",Actuals!K42)</f>
        <v/>
      </c>
      <c r="AA66" s="492">
        <f>Budget!K42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Budget!L42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Budget!M42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Budget!N42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SUM(Budget!$C42:INDEX(Budget!$C42:$N42,$B$27))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Budget!C43</f>
        <v/>
      </c>
      <c r="D67" s="492">
        <f>IF(B67="","",B67-C67)</f>
        <v/>
      </c>
      <c r="E67" s="492">
        <f>IF(OR(2&gt;$B$27,ISBLANK(Actuals!D43)),"",Actuals!D43)</f>
        <v/>
      </c>
      <c r="F67" s="492">
        <f>Budget!D43</f>
        <v/>
      </c>
      <c r="G67" s="492">
        <f>IF(E67="","",E67-F67)</f>
        <v/>
      </c>
      <c r="H67" s="492">
        <f>IF(OR(3&gt;$B$27,ISBLANK(Actuals!E43)),"",Actuals!E43)</f>
        <v/>
      </c>
      <c r="I67" s="492">
        <f>Budget!E43</f>
        <v/>
      </c>
      <c r="J67" s="492">
        <f>IF(H67="","",H67-I67)</f>
        <v/>
      </c>
      <c r="K67" s="492">
        <f>IF(OR(4&gt;$B$27,ISBLANK(Actuals!F43)),"",Actuals!F43)</f>
        <v/>
      </c>
      <c r="L67" s="492">
        <f>Budget!F43</f>
        <v/>
      </c>
      <c r="M67" s="492">
        <f>IF(K67="","",K67-L67)</f>
        <v/>
      </c>
      <c r="N67" s="492">
        <f>IF(OR(5&gt;$B$27,ISBLANK(Actuals!G43)),"",Actuals!G43)</f>
        <v/>
      </c>
      <c r="O67" s="492">
        <f>Budget!G43</f>
        <v/>
      </c>
      <c r="P67" s="492">
        <f>IF(N67="","",N67-O67)</f>
        <v/>
      </c>
      <c r="Q67" s="492">
        <f>IF(OR(6&gt;$B$27,ISBLANK(Actuals!H43)),"",Actuals!H43)</f>
        <v/>
      </c>
      <c r="R67" s="492">
        <f>Budget!H43</f>
        <v/>
      </c>
      <c r="S67" s="492">
        <f>IF(Q67="","",Q67-R67)</f>
        <v/>
      </c>
      <c r="T67" s="492">
        <f>IF(OR(7&gt;$B$27,ISBLANK(Actuals!I43)),"",Actuals!I43)</f>
        <v/>
      </c>
      <c r="U67" s="492">
        <f>Budget!I43</f>
        <v/>
      </c>
      <c r="V67" s="492">
        <f>IF(T67="","",T67-U67)</f>
        <v/>
      </c>
      <c r="W67" s="492">
        <f>IF(OR(8&gt;$B$27,ISBLANK(Actuals!J43)),"",Actuals!J43)</f>
        <v/>
      </c>
      <c r="X67" s="492">
        <f>Budget!J43</f>
        <v/>
      </c>
      <c r="Y67" s="492">
        <f>IF(W67="","",W67-X67)</f>
        <v/>
      </c>
      <c r="Z67" s="492">
        <f>IF(OR(9&gt;$B$27,ISBLANK(Actuals!K43)),"",Actuals!K43)</f>
        <v/>
      </c>
      <c r="AA67" s="492">
        <f>Budget!K43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Budget!L43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Budget!M43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Budget!N43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SUM(Budget!$C43:INDEX(Budget!$C43:$N43,$B$27))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Budget!C44</f>
        <v/>
      </c>
      <c r="D68" s="492">
        <f>IF(B68="","",B68-C68)</f>
        <v/>
      </c>
      <c r="E68" s="492">
        <f>IF(OR(2&gt;$B$27,ISBLANK(Actuals!D44)),"",Actuals!D44)</f>
        <v/>
      </c>
      <c r="F68" s="492">
        <f>Budget!D44</f>
        <v/>
      </c>
      <c r="G68" s="492">
        <f>IF(E68="","",E68-F68)</f>
        <v/>
      </c>
      <c r="H68" s="492">
        <f>IF(OR(3&gt;$B$27,ISBLANK(Actuals!E44)),"",Actuals!E44)</f>
        <v/>
      </c>
      <c r="I68" s="492">
        <f>Budget!E44</f>
        <v/>
      </c>
      <c r="J68" s="492">
        <f>IF(H68="","",H68-I68)</f>
        <v/>
      </c>
      <c r="K68" s="492">
        <f>IF(OR(4&gt;$B$27,ISBLANK(Actuals!F44)),"",Actuals!F44)</f>
        <v/>
      </c>
      <c r="L68" s="492">
        <f>Budget!F44</f>
        <v/>
      </c>
      <c r="M68" s="492">
        <f>IF(K68="","",K68-L68)</f>
        <v/>
      </c>
      <c r="N68" s="492">
        <f>IF(OR(5&gt;$B$27,ISBLANK(Actuals!G44)),"",Actuals!G44)</f>
        <v/>
      </c>
      <c r="O68" s="492">
        <f>Budget!G44</f>
        <v/>
      </c>
      <c r="P68" s="492">
        <f>IF(N68="","",N68-O68)</f>
        <v/>
      </c>
      <c r="Q68" s="492">
        <f>IF(OR(6&gt;$B$27,ISBLANK(Actuals!H44)),"",Actuals!H44)</f>
        <v/>
      </c>
      <c r="R68" s="492">
        <f>Budget!H44</f>
        <v/>
      </c>
      <c r="S68" s="492">
        <f>IF(Q68="","",Q68-R68)</f>
        <v/>
      </c>
      <c r="T68" s="492">
        <f>IF(OR(7&gt;$B$27,ISBLANK(Actuals!I44)),"",Actuals!I44)</f>
        <v/>
      </c>
      <c r="U68" s="492">
        <f>Budget!I44</f>
        <v/>
      </c>
      <c r="V68" s="492">
        <f>IF(T68="","",T68-U68)</f>
        <v/>
      </c>
      <c r="W68" s="492">
        <f>IF(OR(8&gt;$B$27,ISBLANK(Actuals!J44)),"",Actuals!J44)</f>
        <v/>
      </c>
      <c r="X68" s="492">
        <f>Budget!J44</f>
        <v/>
      </c>
      <c r="Y68" s="492">
        <f>IF(W68="","",W68-X68)</f>
        <v/>
      </c>
      <c r="Z68" s="492">
        <f>IF(OR(9&gt;$B$27,ISBLANK(Actuals!K44)),"",Actuals!K44)</f>
        <v/>
      </c>
      <c r="AA68" s="492">
        <f>Budget!K44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Budget!L44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Budget!M44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Budget!N44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SUM(Budget!$C44:INDEX(Budget!$C44:$N44,$B$27))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Budget!C45</f>
        <v/>
      </c>
      <c r="D69" s="492">
        <f>IF(B69="","",B69-C69)</f>
        <v/>
      </c>
      <c r="E69" s="492">
        <f>IF(OR(2&gt;$B$27,ISBLANK(Actuals!D45)),"",Actuals!D45)</f>
        <v/>
      </c>
      <c r="F69" s="492">
        <f>Budget!D45</f>
        <v/>
      </c>
      <c r="G69" s="492">
        <f>IF(E69="","",E69-F69)</f>
        <v/>
      </c>
      <c r="H69" s="492">
        <f>IF(OR(3&gt;$B$27,ISBLANK(Actuals!E45)),"",Actuals!E45)</f>
        <v/>
      </c>
      <c r="I69" s="492">
        <f>Budget!E45</f>
        <v/>
      </c>
      <c r="J69" s="492">
        <f>IF(H69="","",H69-I69)</f>
        <v/>
      </c>
      <c r="K69" s="492">
        <f>IF(OR(4&gt;$B$27,ISBLANK(Actuals!F45)),"",Actuals!F45)</f>
        <v/>
      </c>
      <c r="L69" s="492">
        <f>Budget!F45</f>
        <v/>
      </c>
      <c r="M69" s="492">
        <f>IF(K69="","",K69-L69)</f>
        <v/>
      </c>
      <c r="N69" s="492">
        <f>IF(OR(5&gt;$B$27,ISBLANK(Actuals!G45)),"",Actuals!G45)</f>
        <v/>
      </c>
      <c r="O69" s="492">
        <f>Budget!G45</f>
        <v/>
      </c>
      <c r="P69" s="492">
        <f>IF(N69="","",N69-O69)</f>
        <v/>
      </c>
      <c r="Q69" s="492">
        <f>IF(OR(6&gt;$B$27,ISBLANK(Actuals!H45)),"",Actuals!H45)</f>
        <v/>
      </c>
      <c r="R69" s="492">
        <f>Budget!H45</f>
        <v/>
      </c>
      <c r="S69" s="492">
        <f>IF(Q69="","",Q69-R69)</f>
        <v/>
      </c>
      <c r="T69" s="492">
        <f>IF(OR(7&gt;$B$27,ISBLANK(Actuals!I45)),"",Actuals!I45)</f>
        <v/>
      </c>
      <c r="U69" s="492">
        <f>Budget!I45</f>
        <v/>
      </c>
      <c r="V69" s="492">
        <f>IF(T69="","",T69-U69)</f>
        <v/>
      </c>
      <c r="W69" s="492">
        <f>IF(OR(8&gt;$B$27,ISBLANK(Actuals!J45)),"",Actuals!J45)</f>
        <v/>
      </c>
      <c r="X69" s="492">
        <f>Budget!J45</f>
        <v/>
      </c>
      <c r="Y69" s="492">
        <f>IF(W69="","",W69-X69)</f>
        <v/>
      </c>
      <c r="Z69" s="492">
        <f>IF(OR(9&gt;$B$27,ISBLANK(Actuals!K45)),"",Actuals!K45)</f>
        <v/>
      </c>
      <c r="AA69" s="492">
        <f>Budget!K45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Budget!L45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Budget!M45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Budget!N45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SUM(Budget!$C45:INDEX(Budget!$C45:$N45,$B$27))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Budget!C46</f>
        <v/>
      </c>
      <c r="D70" s="492">
        <f>IF(B70="","",B70-C70)</f>
        <v/>
      </c>
      <c r="E70" s="492">
        <f>IF(OR(2&gt;$B$27,ISBLANK(Actuals!D46)),"",Actuals!D46)</f>
        <v/>
      </c>
      <c r="F70" s="492">
        <f>Budget!D46</f>
        <v/>
      </c>
      <c r="G70" s="492">
        <f>IF(E70="","",E70-F70)</f>
        <v/>
      </c>
      <c r="H70" s="492">
        <f>IF(OR(3&gt;$B$27,ISBLANK(Actuals!E46)),"",Actuals!E46)</f>
        <v/>
      </c>
      <c r="I70" s="492">
        <f>Budget!E46</f>
        <v/>
      </c>
      <c r="J70" s="492">
        <f>IF(H70="","",H70-I70)</f>
        <v/>
      </c>
      <c r="K70" s="492">
        <f>IF(OR(4&gt;$B$27,ISBLANK(Actuals!F46)),"",Actuals!F46)</f>
        <v/>
      </c>
      <c r="L70" s="492">
        <f>Budget!F46</f>
        <v/>
      </c>
      <c r="M70" s="492">
        <f>IF(K70="","",K70-L70)</f>
        <v/>
      </c>
      <c r="N70" s="492">
        <f>IF(OR(5&gt;$B$27,ISBLANK(Actuals!G46)),"",Actuals!G46)</f>
        <v/>
      </c>
      <c r="O70" s="492">
        <f>Budget!G46</f>
        <v/>
      </c>
      <c r="P70" s="492">
        <f>IF(N70="","",N70-O70)</f>
        <v/>
      </c>
      <c r="Q70" s="492">
        <f>IF(OR(6&gt;$B$27,ISBLANK(Actuals!H46)),"",Actuals!H46)</f>
        <v/>
      </c>
      <c r="R70" s="492">
        <f>Budget!H46</f>
        <v/>
      </c>
      <c r="S70" s="492">
        <f>IF(Q70="","",Q70-R70)</f>
        <v/>
      </c>
      <c r="T70" s="492">
        <f>IF(OR(7&gt;$B$27,ISBLANK(Actuals!I46)),"",Actuals!I46)</f>
        <v/>
      </c>
      <c r="U70" s="492">
        <f>Budget!I46</f>
        <v/>
      </c>
      <c r="V70" s="492">
        <f>IF(T70="","",T70-U70)</f>
        <v/>
      </c>
      <c r="W70" s="492">
        <f>IF(OR(8&gt;$B$27,ISBLANK(Actuals!J46)),"",Actuals!J46)</f>
        <v/>
      </c>
      <c r="X70" s="492">
        <f>Budget!J46</f>
        <v/>
      </c>
      <c r="Y70" s="492">
        <f>IF(W70="","",W70-X70)</f>
        <v/>
      </c>
      <c r="Z70" s="492">
        <f>IF(OR(9&gt;$B$27,ISBLANK(Actuals!K46)),"",Actuals!K46)</f>
        <v/>
      </c>
      <c r="AA70" s="492">
        <f>Budget!K46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Budget!L46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Budget!M46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Budget!N46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SUM(Budget!$C46:INDEX(Budget!$C46:$N46,$B$27))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Budget!C47</f>
        <v/>
      </c>
      <c r="D71" s="492">
        <f>IF(B71="","",B71-C71)</f>
        <v/>
      </c>
      <c r="E71" s="492">
        <f>IF(OR(2&gt;$B$27,ISBLANK(Actuals!D47)),"",Actuals!D47)</f>
        <v/>
      </c>
      <c r="F71" s="492">
        <f>Budget!D47</f>
        <v/>
      </c>
      <c r="G71" s="492">
        <f>IF(E71="","",E71-F71)</f>
        <v/>
      </c>
      <c r="H71" s="492">
        <f>IF(OR(3&gt;$B$27,ISBLANK(Actuals!E47)),"",Actuals!E47)</f>
        <v/>
      </c>
      <c r="I71" s="492">
        <f>Budget!E47</f>
        <v/>
      </c>
      <c r="J71" s="492">
        <f>IF(H71="","",H71-I71)</f>
        <v/>
      </c>
      <c r="K71" s="492">
        <f>IF(OR(4&gt;$B$27,ISBLANK(Actuals!F47)),"",Actuals!F47)</f>
        <v/>
      </c>
      <c r="L71" s="492">
        <f>Budget!F47</f>
        <v/>
      </c>
      <c r="M71" s="492">
        <f>IF(K71="","",K71-L71)</f>
        <v/>
      </c>
      <c r="N71" s="492">
        <f>IF(OR(5&gt;$B$27,ISBLANK(Actuals!G47)),"",Actuals!G47)</f>
        <v/>
      </c>
      <c r="O71" s="492">
        <f>Budget!G47</f>
        <v/>
      </c>
      <c r="P71" s="492">
        <f>IF(N71="","",N71-O71)</f>
        <v/>
      </c>
      <c r="Q71" s="492">
        <f>IF(OR(6&gt;$B$27,ISBLANK(Actuals!H47)),"",Actuals!H47)</f>
        <v/>
      </c>
      <c r="R71" s="492">
        <f>Budget!H47</f>
        <v/>
      </c>
      <c r="S71" s="492">
        <f>IF(Q71="","",Q71-R71)</f>
        <v/>
      </c>
      <c r="T71" s="492">
        <f>IF(OR(7&gt;$B$27,ISBLANK(Actuals!I47)),"",Actuals!I47)</f>
        <v/>
      </c>
      <c r="U71" s="492">
        <f>Budget!I47</f>
        <v/>
      </c>
      <c r="V71" s="492">
        <f>IF(T71="","",T71-U71)</f>
        <v/>
      </c>
      <c r="W71" s="492">
        <f>IF(OR(8&gt;$B$27,ISBLANK(Actuals!J47)),"",Actuals!J47)</f>
        <v/>
      </c>
      <c r="X71" s="492">
        <f>Budget!J47</f>
        <v/>
      </c>
      <c r="Y71" s="492">
        <f>IF(W71="","",W71-X71)</f>
        <v/>
      </c>
      <c r="Z71" s="492">
        <f>IF(OR(9&gt;$B$27,ISBLANK(Actuals!K47)),"",Actuals!K47)</f>
        <v/>
      </c>
      <c r="AA71" s="492">
        <f>Budget!K47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Budget!L47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Budget!M47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Budget!N47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SUM(Budget!$C47:INDEX(Budget!$C47:$N47,$B$27))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Budget!C48</f>
        <v/>
      </c>
      <c r="D72" s="492">
        <f>IF(B72="","",B72-C72)</f>
        <v/>
      </c>
      <c r="E72" s="492">
        <f>IF(OR(2&gt;$B$27,ISBLANK(Actuals!D48)),"",Actuals!D48)</f>
        <v/>
      </c>
      <c r="F72" s="492">
        <f>Budget!D48</f>
        <v/>
      </c>
      <c r="G72" s="492">
        <f>IF(E72="","",E72-F72)</f>
        <v/>
      </c>
      <c r="H72" s="492">
        <f>IF(OR(3&gt;$B$27,ISBLANK(Actuals!E48)),"",Actuals!E48)</f>
        <v/>
      </c>
      <c r="I72" s="492">
        <f>Budget!E48</f>
        <v/>
      </c>
      <c r="J72" s="492">
        <f>IF(H72="","",H72-I72)</f>
        <v/>
      </c>
      <c r="K72" s="492">
        <f>IF(OR(4&gt;$B$27,ISBLANK(Actuals!F48)),"",Actuals!F48)</f>
        <v/>
      </c>
      <c r="L72" s="492">
        <f>Budget!F48</f>
        <v/>
      </c>
      <c r="M72" s="492">
        <f>IF(K72="","",K72-L72)</f>
        <v/>
      </c>
      <c r="N72" s="492">
        <f>IF(OR(5&gt;$B$27,ISBLANK(Actuals!G48)),"",Actuals!G48)</f>
        <v/>
      </c>
      <c r="O72" s="492">
        <f>Budget!G48</f>
        <v/>
      </c>
      <c r="P72" s="492">
        <f>IF(N72="","",N72-O72)</f>
        <v/>
      </c>
      <c r="Q72" s="492">
        <f>IF(OR(6&gt;$B$27,ISBLANK(Actuals!H48)),"",Actuals!H48)</f>
        <v/>
      </c>
      <c r="R72" s="492">
        <f>Budget!H48</f>
        <v/>
      </c>
      <c r="S72" s="492">
        <f>IF(Q72="","",Q72-R72)</f>
        <v/>
      </c>
      <c r="T72" s="492">
        <f>IF(OR(7&gt;$B$27,ISBLANK(Actuals!I48)),"",Actuals!I48)</f>
        <v/>
      </c>
      <c r="U72" s="492">
        <f>Budget!I48</f>
        <v/>
      </c>
      <c r="V72" s="492">
        <f>IF(T72="","",T72-U72)</f>
        <v/>
      </c>
      <c r="W72" s="492">
        <f>IF(OR(8&gt;$B$27,ISBLANK(Actuals!J48)),"",Actuals!J48)</f>
        <v/>
      </c>
      <c r="X72" s="492">
        <f>Budget!J48</f>
        <v/>
      </c>
      <c r="Y72" s="492">
        <f>IF(W72="","",W72-X72)</f>
        <v/>
      </c>
      <c r="Z72" s="492">
        <f>IF(OR(9&gt;$B$27,ISBLANK(Actuals!K48)),"",Actuals!K48)</f>
        <v/>
      </c>
      <c r="AA72" s="492">
        <f>Budget!K48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Budget!L48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Budget!M48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Budget!N48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SUM(Budget!$C48:INDEX(Budget!$C48:$N48,$B$27))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Budget!C49</f>
        <v/>
      </c>
      <c r="D73" s="492">
        <f>IF(B73="","",B73-C73)</f>
        <v/>
      </c>
      <c r="E73" s="492">
        <f>IF(OR(2&gt;$B$27,ISBLANK(Actuals!D49)),"",Actuals!D49)</f>
        <v/>
      </c>
      <c r="F73" s="492">
        <f>Budget!D49</f>
        <v/>
      </c>
      <c r="G73" s="492">
        <f>IF(E73="","",E73-F73)</f>
        <v/>
      </c>
      <c r="H73" s="492">
        <f>IF(OR(3&gt;$B$27,ISBLANK(Actuals!E49)),"",Actuals!E49)</f>
        <v/>
      </c>
      <c r="I73" s="492">
        <f>Budget!E49</f>
        <v/>
      </c>
      <c r="J73" s="492">
        <f>IF(H73="","",H73-I73)</f>
        <v/>
      </c>
      <c r="K73" s="492">
        <f>IF(OR(4&gt;$B$27,ISBLANK(Actuals!F49)),"",Actuals!F49)</f>
        <v/>
      </c>
      <c r="L73" s="492">
        <f>Budget!F49</f>
        <v/>
      </c>
      <c r="M73" s="492">
        <f>IF(K73="","",K73-L73)</f>
        <v/>
      </c>
      <c r="N73" s="492">
        <f>IF(OR(5&gt;$B$27,ISBLANK(Actuals!G49)),"",Actuals!G49)</f>
        <v/>
      </c>
      <c r="O73" s="492">
        <f>Budget!G49</f>
        <v/>
      </c>
      <c r="P73" s="492">
        <f>IF(N73="","",N73-O73)</f>
        <v/>
      </c>
      <c r="Q73" s="492">
        <f>IF(OR(6&gt;$B$27,ISBLANK(Actuals!H49)),"",Actuals!H49)</f>
        <v/>
      </c>
      <c r="R73" s="492">
        <f>Budget!H49</f>
        <v/>
      </c>
      <c r="S73" s="492">
        <f>IF(Q73="","",Q73-R73)</f>
        <v/>
      </c>
      <c r="T73" s="492">
        <f>IF(OR(7&gt;$B$27,ISBLANK(Actuals!I49)),"",Actuals!I49)</f>
        <v/>
      </c>
      <c r="U73" s="492">
        <f>Budget!I49</f>
        <v/>
      </c>
      <c r="V73" s="492">
        <f>IF(T73="","",T73-U73)</f>
        <v/>
      </c>
      <c r="W73" s="492">
        <f>IF(OR(8&gt;$B$27,ISBLANK(Actuals!J49)),"",Actuals!J49)</f>
        <v/>
      </c>
      <c r="X73" s="492">
        <f>Budget!J49</f>
        <v/>
      </c>
      <c r="Y73" s="492">
        <f>IF(W73="","",W73-X73)</f>
        <v/>
      </c>
      <c r="Z73" s="492">
        <f>IF(OR(9&gt;$B$27,ISBLANK(Actuals!K49)),"",Actuals!K49)</f>
        <v/>
      </c>
      <c r="AA73" s="492">
        <f>Budget!K49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Budget!L49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Budget!M49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Budget!N49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SUM(Budget!$C49:INDEX(Budget!$C49:$N49,$B$27))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Budget!C50</f>
        <v/>
      </c>
      <c r="D74" s="492">
        <f>IF(B74="","",B74-C74)</f>
        <v/>
      </c>
      <c r="E74" s="492">
        <f>IF(OR(2&gt;$B$27,ISBLANK(Actuals!D50)),"",Actuals!D50)</f>
        <v/>
      </c>
      <c r="F74" s="492">
        <f>Budget!D50</f>
        <v/>
      </c>
      <c r="G74" s="492">
        <f>IF(E74="","",E74-F74)</f>
        <v/>
      </c>
      <c r="H74" s="492">
        <f>IF(OR(3&gt;$B$27,ISBLANK(Actuals!E50)),"",Actuals!E50)</f>
        <v/>
      </c>
      <c r="I74" s="492">
        <f>Budget!E50</f>
        <v/>
      </c>
      <c r="J74" s="492">
        <f>IF(H74="","",H74-I74)</f>
        <v/>
      </c>
      <c r="K74" s="492">
        <f>IF(OR(4&gt;$B$27,ISBLANK(Actuals!F50)),"",Actuals!F50)</f>
        <v/>
      </c>
      <c r="L74" s="492">
        <f>Budget!F50</f>
        <v/>
      </c>
      <c r="M74" s="492">
        <f>IF(K74="","",K74-L74)</f>
        <v/>
      </c>
      <c r="N74" s="492">
        <f>IF(OR(5&gt;$B$27,ISBLANK(Actuals!G50)),"",Actuals!G50)</f>
        <v/>
      </c>
      <c r="O74" s="492">
        <f>Budget!G50</f>
        <v/>
      </c>
      <c r="P74" s="492">
        <f>IF(N74="","",N74-O74)</f>
        <v/>
      </c>
      <c r="Q74" s="492">
        <f>IF(OR(6&gt;$B$27,ISBLANK(Actuals!H50)),"",Actuals!H50)</f>
        <v/>
      </c>
      <c r="R74" s="492">
        <f>Budget!H50</f>
        <v/>
      </c>
      <c r="S74" s="492">
        <f>IF(Q74="","",Q74-R74)</f>
        <v/>
      </c>
      <c r="T74" s="492">
        <f>IF(OR(7&gt;$B$27,ISBLANK(Actuals!I50)),"",Actuals!I50)</f>
        <v/>
      </c>
      <c r="U74" s="492">
        <f>Budget!I50</f>
        <v/>
      </c>
      <c r="V74" s="492">
        <f>IF(T74="","",T74-U74)</f>
        <v/>
      </c>
      <c r="W74" s="492">
        <f>IF(OR(8&gt;$B$27,ISBLANK(Actuals!J50)),"",Actuals!J50)</f>
        <v/>
      </c>
      <c r="X74" s="492">
        <f>Budget!J50</f>
        <v/>
      </c>
      <c r="Y74" s="492">
        <f>IF(W74="","",W74-X74)</f>
        <v/>
      </c>
      <c r="Z74" s="492">
        <f>IF(OR(9&gt;$B$27,ISBLANK(Actuals!K50)),"",Actuals!K50)</f>
        <v/>
      </c>
      <c r="AA74" s="492">
        <f>Budget!K50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Budget!L50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Budget!M50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Budget!N50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SUM(Budget!$C50:INDEX(Budget!$C50:$N50,$B$27))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Budget!C51</f>
        <v/>
      </c>
      <c r="D75" s="492">
        <f>IF(B75="","",B75-C75)</f>
        <v/>
      </c>
      <c r="E75" s="492">
        <f>IF(OR(2&gt;$B$27,ISBLANK(Actuals!D51)),"",Actuals!D51)</f>
        <v/>
      </c>
      <c r="F75" s="492">
        <f>Budget!D51</f>
        <v/>
      </c>
      <c r="G75" s="492">
        <f>IF(E75="","",E75-F75)</f>
        <v/>
      </c>
      <c r="H75" s="492">
        <f>IF(OR(3&gt;$B$27,ISBLANK(Actuals!E51)),"",Actuals!E51)</f>
        <v/>
      </c>
      <c r="I75" s="492">
        <f>Budget!E51</f>
        <v/>
      </c>
      <c r="J75" s="492">
        <f>IF(H75="","",H75-I75)</f>
        <v/>
      </c>
      <c r="K75" s="492">
        <f>IF(OR(4&gt;$B$27,ISBLANK(Actuals!F51)),"",Actuals!F51)</f>
        <v/>
      </c>
      <c r="L75" s="492">
        <f>Budget!F51</f>
        <v/>
      </c>
      <c r="M75" s="492">
        <f>IF(K75="","",K75-L75)</f>
        <v/>
      </c>
      <c r="N75" s="492">
        <f>IF(OR(5&gt;$B$27,ISBLANK(Actuals!G51)),"",Actuals!G51)</f>
        <v/>
      </c>
      <c r="O75" s="492">
        <f>Budget!G51</f>
        <v/>
      </c>
      <c r="P75" s="492">
        <f>IF(N75="","",N75-O75)</f>
        <v/>
      </c>
      <c r="Q75" s="492">
        <f>IF(OR(6&gt;$B$27,ISBLANK(Actuals!H51)),"",Actuals!H51)</f>
        <v/>
      </c>
      <c r="R75" s="492">
        <f>Budget!H51</f>
        <v/>
      </c>
      <c r="S75" s="492">
        <f>IF(Q75="","",Q75-R75)</f>
        <v/>
      </c>
      <c r="T75" s="492">
        <f>IF(OR(7&gt;$B$27,ISBLANK(Actuals!I51)),"",Actuals!I51)</f>
        <v/>
      </c>
      <c r="U75" s="492">
        <f>Budget!I51</f>
        <v/>
      </c>
      <c r="V75" s="492">
        <f>IF(T75="","",T75-U75)</f>
        <v/>
      </c>
      <c r="W75" s="492">
        <f>IF(OR(8&gt;$B$27,ISBLANK(Actuals!J51)),"",Actuals!J51)</f>
        <v/>
      </c>
      <c r="X75" s="492">
        <f>Budget!J51</f>
        <v/>
      </c>
      <c r="Y75" s="492">
        <f>IF(W75="","",W75-X75)</f>
        <v/>
      </c>
      <c r="Z75" s="492">
        <f>IF(OR(9&gt;$B$27,ISBLANK(Actuals!K51)),"",Actuals!K51)</f>
        <v/>
      </c>
      <c r="AA75" s="492">
        <f>Budget!K51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Budget!L51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Budget!M51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Budget!N51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SUM(Budget!$C51:INDEX(Budget!$C51:$N51,$B$27))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Budget!C52</f>
        <v/>
      </c>
      <c r="D76" s="492">
        <f>IF(B76="","",B76-C76)</f>
        <v/>
      </c>
      <c r="E76" s="492">
        <f>IF(OR(2&gt;$B$27,ISBLANK(Actuals!D52)),"",Actuals!D52)</f>
        <v/>
      </c>
      <c r="F76" s="492">
        <f>Budget!D52</f>
        <v/>
      </c>
      <c r="G76" s="492">
        <f>IF(E76="","",E76-F76)</f>
        <v/>
      </c>
      <c r="H76" s="492">
        <f>IF(OR(3&gt;$B$27,ISBLANK(Actuals!E52)),"",Actuals!E52)</f>
        <v/>
      </c>
      <c r="I76" s="492">
        <f>Budget!E52</f>
        <v/>
      </c>
      <c r="J76" s="492">
        <f>IF(H76="","",H76-I76)</f>
        <v/>
      </c>
      <c r="K76" s="492">
        <f>IF(OR(4&gt;$B$27,ISBLANK(Actuals!F52)),"",Actuals!F52)</f>
        <v/>
      </c>
      <c r="L76" s="492">
        <f>Budget!F52</f>
        <v/>
      </c>
      <c r="M76" s="492">
        <f>IF(K76="","",K76-L76)</f>
        <v/>
      </c>
      <c r="N76" s="492">
        <f>IF(OR(5&gt;$B$27,ISBLANK(Actuals!G52)),"",Actuals!G52)</f>
        <v/>
      </c>
      <c r="O76" s="492">
        <f>Budget!G52</f>
        <v/>
      </c>
      <c r="P76" s="492">
        <f>IF(N76="","",N76-O76)</f>
        <v/>
      </c>
      <c r="Q76" s="492">
        <f>IF(OR(6&gt;$B$27,ISBLANK(Actuals!H52)),"",Actuals!H52)</f>
        <v/>
      </c>
      <c r="R76" s="492">
        <f>Budget!H52</f>
        <v/>
      </c>
      <c r="S76" s="492">
        <f>IF(Q76="","",Q76-R76)</f>
        <v/>
      </c>
      <c r="T76" s="492">
        <f>IF(OR(7&gt;$B$27,ISBLANK(Actuals!I52)),"",Actuals!I52)</f>
        <v/>
      </c>
      <c r="U76" s="492">
        <f>Budget!I52</f>
        <v/>
      </c>
      <c r="V76" s="492">
        <f>IF(T76="","",T76-U76)</f>
        <v/>
      </c>
      <c r="W76" s="492">
        <f>IF(OR(8&gt;$B$27,ISBLANK(Actuals!J52)),"",Actuals!J52)</f>
        <v/>
      </c>
      <c r="X76" s="492">
        <f>Budget!J52</f>
        <v/>
      </c>
      <c r="Y76" s="492">
        <f>IF(W76="","",W76-X76)</f>
        <v/>
      </c>
      <c r="Z76" s="492">
        <f>IF(OR(9&gt;$B$27,ISBLANK(Actuals!K52)),"",Actuals!K52)</f>
        <v/>
      </c>
      <c r="AA76" s="492">
        <f>Budget!K52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Budget!L52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Budget!M52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Budget!N52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SUM(Budget!$C52:INDEX(Budget!$C52:$N52,$B$27))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Budget!C53</f>
        <v/>
      </c>
      <c r="D77" s="492">
        <f>IF(B77="","",B77-C77)</f>
        <v/>
      </c>
      <c r="E77" s="492">
        <f>IF(OR(2&gt;$B$27,ISBLANK(Actuals!D53)),"",Actuals!D53)</f>
        <v/>
      </c>
      <c r="F77" s="492">
        <f>Budget!D53</f>
        <v/>
      </c>
      <c r="G77" s="492">
        <f>IF(E77="","",E77-F77)</f>
        <v/>
      </c>
      <c r="H77" s="492">
        <f>IF(OR(3&gt;$B$27,ISBLANK(Actuals!E53)),"",Actuals!E53)</f>
        <v/>
      </c>
      <c r="I77" s="492">
        <f>Budget!E53</f>
        <v/>
      </c>
      <c r="J77" s="492">
        <f>IF(H77="","",H77-I77)</f>
        <v/>
      </c>
      <c r="K77" s="492">
        <f>IF(OR(4&gt;$B$27,ISBLANK(Actuals!F53)),"",Actuals!F53)</f>
        <v/>
      </c>
      <c r="L77" s="492">
        <f>Budget!F53</f>
        <v/>
      </c>
      <c r="M77" s="492">
        <f>IF(K77="","",K77-L77)</f>
        <v/>
      </c>
      <c r="N77" s="492">
        <f>IF(OR(5&gt;$B$27,ISBLANK(Actuals!G53)),"",Actuals!G53)</f>
        <v/>
      </c>
      <c r="O77" s="492">
        <f>Budget!G53</f>
        <v/>
      </c>
      <c r="P77" s="492">
        <f>IF(N77="","",N77-O77)</f>
        <v/>
      </c>
      <c r="Q77" s="492">
        <f>IF(OR(6&gt;$B$27,ISBLANK(Actuals!H53)),"",Actuals!H53)</f>
        <v/>
      </c>
      <c r="R77" s="492">
        <f>Budget!H53</f>
        <v/>
      </c>
      <c r="S77" s="492">
        <f>IF(Q77="","",Q77-R77)</f>
        <v/>
      </c>
      <c r="T77" s="492">
        <f>IF(OR(7&gt;$B$27,ISBLANK(Actuals!I53)),"",Actuals!I53)</f>
        <v/>
      </c>
      <c r="U77" s="492">
        <f>Budget!I53</f>
        <v/>
      </c>
      <c r="V77" s="492">
        <f>IF(T77="","",T77-U77)</f>
        <v/>
      </c>
      <c r="W77" s="492">
        <f>IF(OR(8&gt;$B$27,ISBLANK(Actuals!J53)),"",Actuals!J53)</f>
        <v/>
      </c>
      <c r="X77" s="492">
        <f>Budget!J53</f>
        <v/>
      </c>
      <c r="Y77" s="492">
        <f>IF(W77="","",W77-X77)</f>
        <v/>
      </c>
      <c r="Z77" s="492">
        <f>IF(OR(9&gt;$B$27,ISBLANK(Actuals!K53)),"",Actuals!K53)</f>
        <v/>
      </c>
      <c r="AA77" s="492">
        <f>Budget!K53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Budget!L53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Budget!M53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Budget!N53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SUM(Budget!$C53:INDEX(Budget!$C53:$N53,$B$27))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Budget!C54</f>
        <v/>
      </c>
      <c r="D78" s="492">
        <f>IF(B78="","",B78-C78)</f>
        <v/>
      </c>
      <c r="E78" s="492">
        <f>IF(OR(2&gt;$B$27,ISBLANK(Actuals!D54)),"",Actuals!D54)</f>
        <v/>
      </c>
      <c r="F78" s="492">
        <f>Budget!D54</f>
        <v/>
      </c>
      <c r="G78" s="492">
        <f>IF(E78="","",E78-F78)</f>
        <v/>
      </c>
      <c r="H78" s="492">
        <f>IF(OR(3&gt;$B$27,ISBLANK(Actuals!E54)),"",Actuals!E54)</f>
        <v/>
      </c>
      <c r="I78" s="492">
        <f>Budget!E54</f>
        <v/>
      </c>
      <c r="J78" s="492">
        <f>IF(H78="","",H78-I78)</f>
        <v/>
      </c>
      <c r="K78" s="492">
        <f>IF(OR(4&gt;$B$27,ISBLANK(Actuals!F54)),"",Actuals!F54)</f>
        <v/>
      </c>
      <c r="L78" s="492">
        <f>Budget!F54</f>
        <v/>
      </c>
      <c r="M78" s="492">
        <f>IF(K78="","",K78-L78)</f>
        <v/>
      </c>
      <c r="N78" s="492">
        <f>IF(OR(5&gt;$B$27,ISBLANK(Actuals!G54)),"",Actuals!G54)</f>
        <v/>
      </c>
      <c r="O78" s="492">
        <f>Budget!G54</f>
        <v/>
      </c>
      <c r="P78" s="492">
        <f>IF(N78="","",N78-O78)</f>
        <v/>
      </c>
      <c r="Q78" s="492">
        <f>IF(OR(6&gt;$B$27,ISBLANK(Actuals!H54)),"",Actuals!H54)</f>
        <v/>
      </c>
      <c r="R78" s="492">
        <f>Budget!H54</f>
        <v/>
      </c>
      <c r="S78" s="492">
        <f>IF(Q78="","",Q78-R78)</f>
        <v/>
      </c>
      <c r="T78" s="492">
        <f>IF(OR(7&gt;$B$27,ISBLANK(Actuals!I54)),"",Actuals!I54)</f>
        <v/>
      </c>
      <c r="U78" s="492">
        <f>Budget!I54</f>
        <v/>
      </c>
      <c r="V78" s="492">
        <f>IF(T78="","",T78-U78)</f>
        <v/>
      </c>
      <c r="W78" s="492">
        <f>IF(OR(8&gt;$B$27,ISBLANK(Actuals!J54)),"",Actuals!J54)</f>
        <v/>
      </c>
      <c r="X78" s="492">
        <f>Budget!J54</f>
        <v/>
      </c>
      <c r="Y78" s="492">
        <f>IF(W78="","",W78-X78)</f>
        <v/>
      </c>
      <c r="Z78" s="492">
        <f>IF(OR(9&gt;$B$27,ISBLANK(Actuals!K54)),"",Actuals!K54)</f>
        <v/>
      </c>
      <c r="AA78" s="492">
        <f>Budget!K54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Budget!L54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Budget!M54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Budget!N54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SUM(Budget!$C54:INDEX(Budget!$C54:$N54,$B$27))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Budget!C55</f>
        <v/>
      </c>
      <c r="D79" s="494">
        <f>IF(B79="","",B79-C79)</f>
        <v/>
      </c>
      <c r="E79" s="494">
        <f>IF(OR(2&gt;$B$27,ISBLANK(Actuals!D55)),"",Actuals!D55)</f>
        <v/>
      </c>
      <c r="F79" s="494">
        <f>Budget!D55</f>
        <v/>
      </c>
      <c r="G79" s="494">
        <f>IF(E79="","",E79-F79)</f>
        <v/>
      </c>
      <c r="H79" s="494">
        <f>IF(OR(3&gt;$B$27,ISBLANK(Actuals!E55)),"",Actuals!E55)</f>
        <v/>
      </c>
      <c r="I79" s="494">
        <f>Budget!E55</f>
        <v/>
      </c>
      <c r="J79" s="494">
        <f>IF(H79="","",H79-I79)</f>
        <v/>
      </c>
      <c r="K79" s="494">
        <f>IF(OR(4&gt;$B$27,ISBLANK(Actuals!F55)),"",Actuals!F55)</f>
        <v/>
      </c>
      <c r="L79" s="494">
        <f>Budget!F55</f>
        <v/>
      </c>
      <c r="M79" s="494">
        <f>IF(K79="","",K79-L79)</f>
        <v/>
      </c>
      <c r="N79" s="494">
        <f>IF(OR(5&gt;$B$27,ISBLANK(Actuals!G55)),"",Actuals!G55)</f>
        <v/>
      </c>
      <c r="O79" s="494">
        <f>Budget!G55</f>
        <v/>
      </c>
      <c r="P79" s="494">
        <f>IF(N79="","",N79-O79)</f>
        <v/>
      </c>
      <c r="Q79" s="494">
        <f>IF(OR(6&gt;$B$27,ISBLANK(Actuals!H55)),"",Actuals!H55)</f>
        <v/>
      </c>
      <c r="R79" s="494">
        <f>Budget!H55</f>
        <v/>
      </c>
      <c r="S79" s="494">
        <f>IF(Q79="","",Q79-R79)</f>
        <v/>
      </c>
      <c r="T79" s="494">
        <f>IF(OR(7&gt;$B$27,ISBLANK(Actuals!I55)),"",Actuals!I55)</f>
        <v/>
      </c>
      <c r="U79" s="494">
        <f>Budget!I55</f>
        <v/>
      </c>
      <c r="V79" s="494">
        <f>IF(T79="","",T79-U79)</f>
        <v/>
      </c>
      <c r="W79" s="494">
        <f>IF(OR(8&gt;$B$27,ISBLANK(Actuals!J55)),"",Actuals!J55)</f>
        <v/>
      </c>
      <c r="X79" s="494">
        <f>Budget!J55</f>
        <v/>
      </c>
      <c r="Y79" s="494">
        <f>IF(W79="","",W79-X79)</f>
        <v/>
      </c>
      <c r="Z79" s="494">
        <f>IF(OR(9&gt;$B$27,ISBLANK(Actuals!K55)),"",Actuals!K55)</f>
        <v/>
      </c>
      <c r="AA79" s="494">
        <f>Budget!K55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Budget!L55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Budget!M55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Budget!N55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SUM(Budget!$C55:INDEX(Budget!$C55:$N55,$B$27))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Budget!C57</f>
        <v/>
      </c>
      <c r="D81" s="496">
        <f>IF(B81="","",B81-C81)</f>
        <v/>
      </c>
      <c r="E81" s="496">
        <f>IF(OR(2&gt;$B$27,ISBLANK(Actuals!D57)),"",Actuals!D57)</f>
        <v/>
      </c>
      <c r="F81" s="496">
        <f>Budget!D57</f>
        <v/>
      </c>
      <c r="G81" s="496">
        <f>IF(E81="","",E81-F81)</f>
        <v/>
      </c>
      <c r="H81" s="496">
        <f>IF(OR(3&gt;$B$27,ISBLANK(Actuals!E57)),"",Actuals!E57)</f>
        <v/>
      </c>
      <c r="I81" s="496">
        <f>Budget!E57</f>
        <v/>
      </c>
      <c r="J81" s="496">
        <f>IF(H81="","",H81-I81)</f>
        <v/>
      </c>
      <c r="K81" s="496">
        <f>IF(OR(4&gt;$B$27,ISBLANK(Actuals!F57)),"",Actuals!F57)</f>
        <v/>
      </c>
      <c r="L81" s="496">
        <f>Budget!F57</f>
        <v/>
      </c>
      <c r="M81" s="496">
        <f>IF(K81="","",K81-L81)</f>
        <v/>
      </c>
      <c r="N81" s="496">
        <f>IF(OR(5&gt;$B$27,ISBLANK(Actuals!G57)),"",Actuals!G57)</f>
        <v/>
      </c>
      <c r="O81" s="496">
        <f>Budget!G57</f>
        <v/>
      </c>
      <c r="P81" s="496">
        <f>IF(N81="","",N81-O81)</f>
        <v/>
      </c>
      <c r="Q81" s="496">
        <f>IF(OR(6&gt;$B$27,ISBLANK(Actuals!H57)),"",Actuals!H57)</f>
        <v/>
      </c>
      <c r="R81" s="496">
        <f>Budget!H57</f>
        <v/>
      </c>
      <c r="S81" s="496">
        <f>IF(Q81="","",Q81-R81)</f>
        <v/>
      </c>
      <c r="T81" s="496">
        <f>IF(OR(7&gt;$B$27,ISBLANK(Actuals!I57)),"",Actuals!I57)</f>
        <v/>
      </c>
      <c r="U81" s="496">
        <f>Budget!I57</f>
        <v/>
      </c>
      <c r="V81" s="496">
        <f>IF(T81="","",T81-U81)</f>
        <v/>
      </c>
      <c r="W81" s="496">
        <f>IF(OR(8&gt;$B$27,ISBLANK(Actuals!J57)),"",Actuals!J57)</f>
        <v/>
      </c>
      <c r="X81" s="496">
        <f>Budget!J57</f>
        <v/>
      </c>
      <c r="Y81" s="496">
        <f>IF(W81="","",W81-X81)</f>
        <v/>
      </c>
      <c r="Z81" s="496">
        <f>IF(OR(9&gt;$B$27,ISBLANK(Actuals!K57)),"",Actuals!K57)</f>
        <v/>
      </c>
      <c r="AA81" s="496">
        <f>Budget!K57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Budget!L57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Budget!M57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Budget!N57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SUM(Budget!$C57:INDEX(Budget!$C57:$N57,$B$27))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Budget!C58</f>
        <v/>
      </c>
      <c r="D82" s="492">
        <f>IF(B82="","",B82-C82)</f>
        <v/>
      </c>
      <c r="E82" s="492">
        <f>IF(OR(2&gt;$B$27,ISBLANK(Actuals!D58)),"",Actuals!D58)</f>
        <v/>
      </c>
      <c r="F82" s="492">
        <f>Budget!D58</f>
        <v/>
      </c>
      <c r="G82" s="492">
        <f>IF(E82="","",E82-F82)</f>
        <v/>
      </c>
      <c r="H82" s="492">
        <f>IF(OR(3&gt;$B$27,ISBLANK(Actuals!E58)),"",Actuals!E58)</f>
        <v/>
      </c>
      <c r="I82" s="492">
        <f>Budget!E58</f>
        <v/>
      </c>
      <c r="J82" s="492">
        <f>IF(H82="","",H82-I82)</f>
        <v/>
      </c>
      <c r="K82" s="492">
        <f>IF(OR(4&gt;$B$27,ISBLANK(Actuals!F58)),"",Actuals!F58)</f>
        <v/>
      </c>
      <c r="L82" s="492">
        <f>Budget!F58</f>
        <v/>
      </c>
      <c r="M82" s="492">
        <f>IF(K82="","",K82-L82)</f>
        <v/>
      </c>
      <c r="N82" s="492">
        <f>IF(OR(5&gt;$B$27,ISBLANK(Actuals!G58)),"",Actuals!G58)</f>
        <v/>
      </c>
      <c r="O82" s="492">
        <f>Budget!G58</f>
        <v/>
      </c>
      <c r="P82" s="492">
        <f>IF(N82="","",N82-O82)</f>
        <v/>
      </c>
      <c r="Q82" s="492">
        <f>IF(OR(6&gt;$B$27,ISBLANK(Actuals!H58)),"",Actuals!H58)</f>
        <v/>
      </c>
      <c r="R82" s="492">
        <f>Budget!H58</f>
        <v/>
      </c>
      <c r="S82" s="492">
        <f>IF(Q82="","",Q82-R82)</f>
        <v/>
      </c>
      <c r="T82" s="492">
        <f>IF(OR(7&gt;$B$27,ISBLANK(Actuals!I58)),"",Actuals!I58)</f>
        <v/>
      </c>
      <c r="U82" s="492">
        <f>Budget!I58</f>
        <v/>
      </c>
      <c r="V82" s="492">
        <f>IF(T82="","",T82-U82)</f>
        <v/>
      </c>
      <c r="W82" s="492">
        <f>IF(OR(8&gt;$B$27,ISBLANK(Actuals!J58)),"",Actuals!J58)</f>
        <v/>
      </c>
      <c r="X82" s="492">
        <f>Budget!J58</f>
        <v/>
      </c>
      <c r="Y82" s="492">
        <f>IF(W82="","",W82-X82)</f>
        <v/>
      </c>
      <c r="Z82" s="492">
        <f>IF(OR(9&gt;$B$27,ISBLANK(Actuals!K58)),"",Actuals!K58)</f>
        <v/>
      </c>
      <c r="AA82" s="492">
        <f>Budget!K58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Budget!L58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Budget!M58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Budget!N58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SUM(Budget!$C58:INDEX(Budget!$C58:$N58,$B$27))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Budget!C63</f>
        <v/>
      </c>
      <c r="D87" s="492">
        <f>IF(B87="","",B87-C87)</f>
        <v/>
      </c>
      <c r="E87" s="492">
        <f>IF(OR(2&gt;$B$27,ISBLANK(Actuals!D63)),"",Actuals!D63)</f>
        <v/>
      </c>
      <c r="F87" s="492">
        <f>Budget!D63</f>
        <v/>
      </c>
      <c r="G87" s="492">
        <f>IF(E87="","",E87-F87)</f>
        <v/>
      </c>
      <c r="H87" s="492">
        <f>IF(OR(3&gt;$B$27,ISBLANK(Actuals!E63)),"",Actuals!E63)</f>
        <v/>
      </c>
      <c r="I87" s="492">
        <f>Budget!E63</f>
        <v/>
      </c>
      <c r="J87" s="492">
        <f>IF(H87="","",H87-I87)</f>
        <v/>
      </c>
      <c r="K87" s="492">
        <f>IF(OR(4&gt;$B$27,ISBLANK(Actuals!F63)),"",Actuals!F63)</f>
        <v/>
      </c>
      <c r="L87" s="492">
        <f>Budget!F63</f>
        <v/>
      </c>
      <c r="M87" s="492">
        <f>IF(K87="","",K87-L87)</f>
        <v/>
      </c>
      <c r="N87" s="492">
        <f>IF(OR(5&gt;$B$27,ISBLANK(Actuals!G63)),"",Actuals!G63)</f>
        <v/>
      </c>
      <c r="O87" s="492">
        <f>Budget!G63</f>
        <v/>
      </c>
      <c r="P87" s="492">
        <f>IF(N87="","",N87-O87)</f>
        <v/>
      </c>
      <c r="Q87" s="492">
        <f>IF(OR(6&gt;$B$27,ISBLANK(Actuals!H63)),"",Actuals!H63)</f>
        <v/>
      </c>
      <c r="R87" s="492">
        <f>Budget!H63</f>
        <v/>
      </c>
      <c r="S87" s="492">
        <f>IF(Q87="","",Q87-R87)</f>
        <v/>
      </c>
      <c r="T87" s="492">
        <f>IF(OR(7&gt;$B$27,ISBLANK(Actuals!I63)),"",Actuals!I63)</f>
        <v/>
      </c>
      <c r="U87" s="492">
        <f>Budget!I63</f>
        <v/>
      </c>
      <c r="V87" s="492">
        <f>IF(T87="","",T87-U87)</f>
        <v/>
      </c>
      <c r="W87" s="492">
        <f>IF(OR(8&gt;$B$27,ISBLANK(Actuals!J63)),"",Actuals!J63)</f>
        <v/>
      </c>
      <c r="X87" s="492">
        <f>Budget!J63</f>
        <v/>
      </c>
      <c r="Y87" s="492">
        <f>IF(W87="","",W87-X87)</f>
        <v/>
      </c>
      <c r="Z87" s="492">
        <f>IF(OR(9&gt;$B$27,ISBLANK(Actuals!K63)),"",Actuals!K63)</f>
        <v/>
      </c>
      <c r="AA87" s="492">
        <f>Budget!K63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Budget!L63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Budget!M63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Budget!N63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SUM(Budget!$C63:INDEX(Budget!$C63:$N63,$B$27))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Budget!C64</f>
        <v/>
      </c>
      <c r="D88" s="492">
        <f>IF(B88="","",B88-C88)</f>
        <v/>
      </c>
      <c r="E88" s="492">
        <f>IF(OR(2&gt;$B$27,ISBLANK(Actuals!D64)),"",Actuals!D64)</f>
        <v/>
      </c>
      <c r="F88" s="492">
        <f>Budget!D64</f>
        <v/>
      </c>
      <c r="G88" s="492">
        <f>IF(E88="","",E88-F88)</f>
        <v/>
      </c>
      <c r="H88" s="492">
        <f>IF(OR(3&gt;$B$27,ISBLANK(Actuals!E64)),"",Actuals!E64)</f>
        <v/>
      </c>
      <c r="I88" s="492">
        <f>Budget!E64</f>
        <v/>
      </c>
      <c r="J88" s="492">
        <f>IF(H88="","",H88-I88)</f>
        <v/>
      </c>
      <c r="K88" s="492">
        <f>IF(OR(4&gt;$B$27,ISBLANK(Actuals!F64)),"",Actuals!F64)</f>
        <v/>
      </c>
      <c r="L88" s="492">
        <f>Budget!F64</f>
        <v/>
      </c>
      <c r="M88" s="492">
        <f>IF(K88="","",K88-L88)</f>
        <v/>
      </c>
      <c r="N88" s="492">
        <f>IF(OR(5&gt;$B$27,ISBLANK(Actuals!G64)),"",Actuals!G64)</f>
        <v/>
      </c>
      <c r="O88" s="492">
        <f>Budget!G64</f>
        <v/>
      </c>
      <c r="P88" s="492">
        <f>IF(N88="","",N88-O88)</f>
        <v/>
      </c>
      <c r="Q88" s="492">
        <f>IF(OR(6&gt;$B$27,ISBLANK(Actuals!H64)),"",Actuals!H64)</f>
        <v/>
      </c>
      <c r="R88" s="492">
        <f>Budget!H64</f>
        <v/>
      </c>
      <c r="S88" s="492">
        <f>IF(Q88="","",Q88-R88)</f>
        <v/>
      </c>
      <c r="T88" s="492">
        <f>IF(OR(7&gt;$B$27,ISBLANK(Actuals!I64)),"",Actuals!I64)</f>
        <v/>
      </c>
      <c r="U88" s="492">
        <f>Budget!I64</f>
        <v/>
      </c>
      <c r="V88" s="492">
        <f>IF(T88="","",T88-U88)</f>
        <v/>
      </c>
      <c r="W88" s="492">
        <f>IF(OR(8&gt;$B$27,ISBLANK(Actuals!J64)),"",Actuals!J64)</f>
        <v/>
      </c>
      <c r="X88" s="492">
        <f>Budget!J64</f>
        <v/>
      </c>
      <c r="Y88" s="492">
        <f>IF(W88="","",W88-X88)</f>
        <v/>
      </c>
      <c r="Z88" s="492">
        <f>IF(OR(9&gt;$B$27,ISBLANK(Actuals!K64)),"",Actuals!K64)</f>
        <v/>
      </c>
      <c r="AA88" s="492">
        <f>Budget!K64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Budget!L64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Budget!M64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Budget!N64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SUM(Budget!$C64:INDEX(Budget!$C64:$N64,$B$27))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Budget!C65</f>
        <v/>
      </c>
      <c r="D89" s="492">
        <f>IF(B89="","",B89-C89)</f>
        <v/>
      </c>
      <c r="E89" s="492">
        <f>IF(OR(2&gt;$B$27,ISBLANK(Actuals!D65)),"",Actuals!D65)</f>
        <v/>
      </c>
      <c r="F89" s="492">
        <f>Budget!D65</f>
        <v/>
      </c>
      <c r="G89" s="492">
        <f>IF(E89="","",E89-F89)</f>
        <v/>
      </c>
      <c r="H89" s="492">
        <f>IF(OR(3&gt;$B$27,ISBLANK(Actuals!E65)),"",Actuals!E65)</f>
        <v/>
      </c>
      <c r="I89" s="492">
        <f>Budget!E65</f>
        <v/>
      </c>
      <c r="J89" s="492">
        <f>IF(H89="","",H89-I89)</f>
        <v/>
      </c>
      <c r="K89" s="492">
        <f>IF(OR(4&gt;$B$27,ISBLANK(Actuals!F65)),"",Actuals!F65)</f>
        <v/>
      </c>
      <c r="L89" s="492">
        <f>Budget!F65</f>
        <v/>
      </c>
      <c r="M89" s="492">
        <f>IF(K89="","",K89-L89)</f>
        <v/>
      </c>
      <c r="N89" s="492">
        <f>IF(OR(5&gt;$B$27,ISBLANK(Actuals!G65)),"",Actuals!G65)</f>
        <v/>
      </c>
      <c r="O89" s="492">
        <f>Budget!G65</f>
        <v/>
      </c>
      <c r="P89" s="492">
        <f>IF(N89="","",N89-O89)</f>
        <v/>
      </c>
      <c r="Q89" s="492">
        <f>IF(OR(6&gt;$B$27,ISBLANK(Actuals!H65)),"",Actuals!H65)</f>
        <v/>
      </c>
      <c r="R89" s="492">
        <f>Budget!H65</f>
        <v/>
      </c>
      <c r="S89" s="492">
        <f>IF(Q89="","",Q89-R89)</f>
        <v/>
      </c>
      <c r="T89" s="492">
        <f>IF(OR(7&gt;$B$27,ISBLANK(Actuals!I65)),"",Actuals!I65)</f>
        <v/>
      </c>
      <c r="U89" s="492">
        <f>Budget!I65</f>
        <v/>
      </c>
      <c r="V89" s="492">
        <f>IF(T89="","",T89-U89)</f>
        <v/>
      </c>
      <c r="W89" s="492">
        <f>IF(OR(8&gt;$B$27,ISBLANK(Actuals!J65)),"",Actuals!J65)</f>
        <v/>
      </c>
      <c r="X89" s="492">
        <f>Budget!J65</f>
        <v/>
      </c>
      <c r="Y89" s="492">
        <f>IF(W89="","",W89-X89)</f>
        <v/>
      </c>
      <c r="Z89" s="492">
        <f>IF(OR(9&gt;$B$27,ISBLANK(Actuals!K65)),"",Actuals!K65)</f>
        <v/>
      </c>
      <c r="AA89" s="492">
        <f>Budget!K65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Budget!L65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Budget!M65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Budget!N65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SUM(Budget!$C65:INDEX(Budget!$C65:$N65,$B$27))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Budget!C66</f>
        <v/>
      </c>
      <c r="D90" s="492">
        <f>IF(B90="","",B90-C90)</f>
        <v/>
      </c>
      <c r="E90" s="492">
        <f>IF(OR(2&gt;$B$27,ISBLANK(Actuals!D66)),"",Actuals!D66)</f>
        <v/>
      </c>
      <c r="F90" s="492">
        <f>Budget!D66</f>
        <v/>
      </c>
      <c r="G90" s="492">
        <f>IF(E90="","",E90-F90)</f>
        <v/>
      </c>
      <c r="H90" s="492">
        <f>IF(OR(3&gt;$B$27,ISBLANK(Actuals!E66)),"",Actuals!E66)</f>
        <v/>
      </c>
      <c r="I90" s="492">
        <f>Budget!E66</f>
        <v/>
      </c>
      <c r="J90" s="492">
        <f>IF(H90="","",H90-I90)</f>
        <v/>
      </c>
      <c r="K90" s="492">
        <f>IF(OR(4&gt;$B$27,ISBLANK(Actuals!F66)),"",Actuals!F66)</f>
        <v/>
      </c>
      <c r="L90" s="492">
        <f>Budget!F66</f>
        <v/>
      </c>
      <c r="M90" s="492">
        <f>IF(K90="","",K90-L90)</f>
        <v/>
      </c>
      <c r="N90" s="492">
        <f>IF(OR(5&gt;$B$27,ISBLANK(Actuals!G66)),"",Actuals!G66)</f>
        <v/>
      </c>
      <c r="O90" s="492">
        <f>Budget!G66</f>
        <v/>
      </c>
      <c r="P90" s="492">
        <f>IF(N90="","",N90-O90)</f>
        <v/>
      </c>
      <c r="Q90" s="492">
        <f>IF(OR(6&gt;$B$27,ISBLANK(Actuals!H66)),"",Actuals!H66)</f>
        <v/>
      </c>
      <c r="R90" s="492">
        <f>Budget!H66</f>
        <v/>
      </c>
      <c r="S90" s="492">
        <f>IF(Q90="","",Q90-R90)</f>
        <v/>
      </c>
      <c r="T90" s="492">
        <f>IF(OR(7&gt;$B$27,ISBLANK(Actuals!I66)),"",Actuals!I66)</f>
        <v/>
      </c>
      <c r="U90" s="492">
        <f>Budget!I66</f>
        <v/>
      </c>
      <c r="V90" s="492">
        <f>IF(T90="","",T90-U90)</f>
        <v/>
      </c>
      <c r="W90" s="492">
        <f>IF(OR(8&gt;$B$27,ISBLANK(Actuals!J66)),"",Actuals!J66)</f>
        <v/>
      </c>
      <c r="X90" s="492">
        <f>Budget!J66</f>
        <v/>
      </c>
      <c r="Y90" s="492">
        <f>IF(W90="","",W90-X90)</f>
        <v/>
      </c>
      <c r="Z90" s="492">
        <f>IF(OR(9&gt;$B$27,ISBLANK(Actuals!K66)),"",Actuals!K66)</f>
        <v/>
      </c>
      <c r="AA90" s="492">
        <f>Budget!K66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Budget!L66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Budget!M66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Budget!N66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SUM(Budget!$C66:INDEX(Budget!$C66:$N66,$B$27))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Budget!C67</f>
        <v/>
      </c>
      <c r="D91" s="492">
        <f>IF(B91="","",B91-C91)</f>
        <v/>
      </c>
      <c r="E91" s="492">
        <f>IF(OR(2&gt;$B$27,ISBLANK(Actuals!D67)),"",Actuals!D67)</f>
        <v/>
      </c>
      <c r="F91" s="492">
        <f>Budget!D67</f>
        <v/>
      </c>
      <c r="G91" s="492">
        <f>IF(E91="","",E91-F91)</f>
        <v/>
      </c>
      <c r="H91" s="492">
        <f>IF(OR(3&gt;$B$27,ISBLANK(Actuals!E67)),"",Actuals!E67)</f>
        <v/>
      </c>
      <c r="I91" s="492">
        <f>Budget!E67</f>
        <v/>
      </c>
      <c r="J91" s="492">
        <f>IF(H91="","",H91-I91)</f>
        <v/>
      </c>
      <c r="K91" s="492">
        <f>IF(OR(4&gt;$B$27,ISBLANK(Actuals!F67)),"",Actuals!F67)</f>
        <v/>
      </c>
      <c r="L91" s="492">
        <f>Budget!F67</f>
        <v/>
      </c>
      <c r="M91" s="492">
        <f>IF(K91="","",K91-L91)</f>
        <v/>
      </c>
      <c r="N91" s="492">
        <f>IF(OR(5&gt;$B$27,ISBLANK(Actuals!G67)),"",Actuals!G67)</f>
        <v/>
      </c>
      <c r="O91" s="492">
        <f>Budget!G67</f>
        <v/>
      </c>
      <c r="P91" s="492">
        <f>IF(N91="","",N91-O91)</f>
        <v/>
      </c>
      <c r="Q91" s="492">
        <f>IF(OR(6&gt;$B$27,ISBLANK(Actuals!H67)),"",Actuals!H67)</f>
        <v/>
      </c>
      <c r="R91" s="492">
        <f>Budget!H67</f>
        <v/>
      </c>
      <c r="S91" s="492">
        <f>IF(Q91="","",Q91-R91)</f>
        <v/>
      </c>
      <c r="T91" s="492">
        <f>IF(OR(7&gt;$B$27,ISBLANK(Actuals!I67)),"",Actuals!I67)</f>
        <v/>
      </c>
      <c r="U91" s="492">
        <f>Budget!I67</f>
        <v/>
      </c>
      <c r="V91" s="492">
        <f>IF(T91="","",T91-U91)</f>
        <v/>
      </c>
      <c r="W91" s="492">
        <f>IF(OR(8&gt;$B$27,ISBLANK(Actuals!J67)),"",Actuals!J67)</f>
        <v/>
      </c>
      <c r="X91" s="492">
        <f>Budget!J67</f>
        <v/>
      </c>
      <c r="Y91" s="492">
        <f>IF(W91="","",W91-X91)</f>
        <v/>
      </c>
      <c r="Z91" s="492">
        <f>IF(OR(9&gt;$B$27,ISBLANK(Actuals!K67)),"",Actuals!K67)</f>
        <v/>
      </c>
      <c r="AA91" s="492">
        <f>Budget!K67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Budget!L67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Budget!M67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Budget!N67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SUM(Budget!$C67:INDEX(Budget!$C67:$N67,$B$27))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Budget!C68</f>
        <v/>
      </c>
      <c r="D92" s="492">
        <f>IF(B92="","",B92-C92)</f>
        <v/>
      </c>
      <c r="E92" s="492">
        <f>IF(OR(2&gt;$B$27,ISBLANK(Actuals!D68)),"",Actuals!D68)</f>
        <v/>
      </c>
      <c r="F92" s="492">
        <f>Budget!D68</f>
        <v/>
      </c>
      <c r="G92" s="492">
        <f>IF(E92="","",E92-F92)</f>
        <v/>
      </c>
      <c r="H92" s="492">
        <f>IF(OR(3&gt;$B$27,ISBLANK(Actuals!E68)),"",Actuals!E68)</f>
        <v/>
      </c>
      <c r="I92" s="492">
        <f>Budget!E68</f>
        <v/>
      </c>
      <c r="J92" s="492">
        <f>IF(H92="","",H92-I92)</f>
        <v/>
      </c>
      <c r="K92" s="492">
        <f>IF(OR(4&gt;$B$27,ISBLANK(Actuals!F68)),"",Actuals!F68)</f>
        <v/>
      </c>
      <c r="L92" s="492">
        <f>Budget!F68</f>
        <v/>
      </c>
      <c r="M92" s="492">
        <f>IF(K92="","",K92-L92)</f>
        <v/>
      </c>
      <c r="N92" s="492">
        <f>IF(OR(5&gt;$B$27,ISBLANK(Actuals!G68)),"",Actuals!G68)</f>
        <v/>
      </c>
      <c r="O92" s="492">
        <f>Budget!G68</f>
        <v/>
      </c>
      <c r="P92" s="492">
        <f>IF(N92="","",N92-O92)</f>
        <v/>
      </c>
      <c r="Q92" s="492">
        <f>IF(OR(6&gt;$B$27,ISBLANK(Actuals!H68)),"",Actuals!H68)</f>
        <v/>
      </c>
      <c r="R92" s="492">
        <f>Budget!H68</f>
        <v/>
      </c>
      <c r="S92" s="492">
        <f>IF(Q92="","",Q92-R92)</f>
        <v/>
      </c>
      <c r="T92" s="492">
        <f>IF(OR(7&gt;$B$27,ISBLANK(Actuals!I68)),"",Actuals!I68)</f>
        <v/>
      </c>
      <c r="U92" s="492">
        <f>Budget!I68</f>
        <v/>
      </c>
      <c r="V92" s="492">
        <f>IF(T92="","",T92-U92)</f>
        <v/>
      </c>
      <c r="W92" s="492">
        <f>IF(OR(8&gt;$B$27,ISBLANK(Actuals!J68)),"",Actuals!J68)</f>
        <v/>
      </c>
      <c r="X92" s="492">
        <f>Budget!J68</f>
        <v/>
      </c>
      <c r="Y92" s="492">
        <f>IF(W92="","",W92-X92)</f>
        <v/>
      </c>
      <c r="Z92" s="492">
        <f>IF(OR(9&gt;$B$27,ISBLANK(Actuals!K68)),"",Actuals!K68)</f>
        <v/>
      </c>
      <c r="AA92" s="492">
        <f>Budget!K68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Budget!L68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Budget!M68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Budget!N68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SUM(Budget!$C68:INDEX(Budget!$C68:$N68,$B$27))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Budget!C69</f>
        <v/>
      </c>
      <c r="D93" s="492">
        <f>IF(B93="","",B93-C93)</f>
        <v/>
      </c>
      <c r="E93" s="492">
        <f>IF(OR(2&gt;$B$27,ISBLANK(Actuals!D69)),"",Actuals!D69)</f>
        <v/>
      </c>
      <c r="F93" s="492">
        <f>Budget!D69</f>
        <v/>
      </c>
      <c r="G93" s="492">
        <f>IF(E93="","",E93-F93)</f>
        <v/>
      </c>
      <c r="H93" s="492">
        <f>IF(OR(3&gt;$B$27,ISBLANK(Actuals!E69)),"",Actuals!E69)</f>
        <v/>
      </c>
      <c r="I93" s="492">
        <f>Budget!E69</f>
        <v/>
      </c>
      <c r="J93" s="492">
        <f>IF(H93="","",H93-I93)</f>
        <v/>
      </c>
      <c r="K93" s="492">
        <f>IF(OR(4&gt;$B$27,ISBLANK(Actuals!F69)),"",Actuals!F69)</f>
        <v/>
      </c>
      <c r="L93" s="492">
        <f>Budget!F69</f>
        <v/>
      </c>
      <c r="M93" s="492">
        <f>IF(K93="","",K93-L93)</f>
        <v/>
      </c>
      <c r="N93" s="492">
        <f>IF(OR(5&gt;$B$27,ISBLANK(Actuals!G69)),"",Actuals!G69)</f>
        <v/>
      </c>
      <c r="O93" s="492">
        <f>Budget!G69</f>
        <v/>
      </c>
      <c r="P93" s="492">
        <f>IF(N93="","",N93-O93)</f>
        <v/>
      </c>
      <c r="Q93" s="492">
        <f>IF(OR(6&gt;$B$27,ISBLANK(Actuals!H69)),"",Actuals!H69)</f>
        <v/>
      </c>
      <c r="R93" s="492">
        <f>Budget!H69</f>
        <v/>
      </c>
      <c r="S93" s="492">
        <f>IF(Q93="","",Q93-R93)</f>
        <v/>
      </c>
      <c r="T93" s="492">
        <f>IF(OR(7&gt;$B$27,ISBLANK(Actuals!I69)),"",Actuals!I69)</f>
        <v/>
      </c>
      <c r="U93" s="492">
        <f>Budget!I69</f>
        <v/>
      </c>
      <c r="V93" s="492">
        <f>IF(T93="","",T93-U93)</f>
        <v/>
      </c>
      <c r="W93" s="492">
        <f>IF(OR(8&gt;$B$27,ISBLANK(Actuals!J69)),"",Actuals!J69)</f>
        <v/>
      </c>
      <c r="X93" s="492">
        <f>Budget!J69</f>
        <v/>
      </c>
      <c r="Y93" s="492">
        <f>IF(W93="","",W93-X93)</f>
        <v/>
      </c>
      <c r="Z93" s="492">
        <f>IF(OR(9&gt;$B$27,ISBLANK(Actuals!K69)),"",Actuals!K69)</f>
        <v/>
      </c>
      <c r="AA93" s="492">
        <f>Budget!K69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Budget!L69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Budget!M69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Budget!N69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SUM(Budget!$C69:INDEX(Budget!$C69:$N69,$B$27))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Budget!C70</f>
        <v/>
      </c>
      <c r="D94" s="492">
        <f>IF(B94="","",B94-C94)</f>
        <v/>
      </c>
      <c r="E94" s="492">
        <f>IF(OR(2&gt;$B$27,ISBLANK(Actuals!D70)),"",Actuals!D70)</f>
        <v/>
      </c>
      <c r="F94" s="492">
        <f>Budget!D70</f>
        <v/>
      </c>
      <c r="G94" s="492">
        <f>IF(E94="","",E94-F94)</f>
        <v/>
      </c>
      <c r="H94" s="492">
        <f>IF(OR(3&gt;$B$27,ISBLANK(Actuals!E70)),"",Actuals!E70)</f>
        <v/>
      </c>
      <c r="I94" s="492">
        <f>Budget!E70</f>
        <v/>
      </c>
      <c r="J94" s="492">
        <f>IF(H94="","",H94-I94)</f>
        <v/>
      </c>
      <c r="K94" s="492">
        <f>IF(OR(4&gt;$B$27,ISBLANK(Actuals!F70)),"",Actuals!F70)</f>
        <v/>
      </c>
      <c r="L94" s="492">
        <f>Budget!F70</f>
        <v/>
      </c>
      <c r="M94" s="492">
        <f>IF(K94="","",K94-L94)</f>
        <v/>
      </c>
      <c r="N94" s="492">
        <f>IF(OR(5&gt;$B$27,ISBLANK(Actuals!G70)),"",Actuals!G70)</f>
        <v/>
      </c>
      <c r="O94" s="492">
        <f>Budget!G70</f>
        <v/>
      </c>
      <c r="P94" s="492">
        <f>IF(N94="","",N94-O94)</f>
        <v/>
      </c>
      <c r="Q94" s="492">
        <f>IF(OR(6&gt;$B$27,ISBLANK(Actuals!H70)),"",Actuals!H70)</f>
        <v/>
      </c>
      <c r="R94" s="492">
        <f>Budget!H70</f>
        <v/>
      </c>
      <c r="S94" s="492">
        <f>IF(Q94="","",Q94-R94)</f>
        <v/>
      </c>
      <c r="T94" s="492">
        <f>IF(OR(7&gt;$B$27,ISBLANK(Actuals!I70)),"",Actuals!I70)</f>
        <v/>
      </c>
      <c r="U94" s="492">
        <f>Budget!I70</f>
        <v/>
      </c>
      <c r="V94" s="492">
        <f>IF(T94="","",T94-U94)</f>
        <v/>
      </c>
      <c r="W94" s="492">
        <f>IF(OR(8&gt;$B$27,ISBLANK(Actuals!J70)),"",Actuals!J70)</f>
        <v/>
      </c>
      <c r="X94" s="492">
        <f>Budget!J70</f>
        <v/>
      </c>
      <c r="Y94" s="492">
        <f>IF(W94="","",W94-X94)</f>
        <v/>
      </c>
      <c r="Z94" s="492">
        <f>IF(OR(9&gt;$B$27,ISBLANK(Actuals!K70)),"",Actuals!K70)</f>
        <v/>
      </c>
      <c r="AA94" s="492">
        <f>Budget!K70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Budget!L70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Budget!M70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Budget!N70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SUM(Budget!$C70:INDEX(Budget!$C70:$N70,$B$27))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Budget!C71</f>
        <v/>
      </c>
      <c r="D95" s="492">
        <f>IF(B95="","",B95-C95)</f>
        <v/>
      </c>
      <c r="E95" s="492">
        <f>IF(OR(2&gt;$B$27,ISBLANK(Actuals!D71)),"",Actuals!D71)</f>
        <v/>
      </c>
      <c r="F95" s="492">
        <f>Budget!D71</f>
        <v/>
      </c>
      <c r="G95" s="492">
        <f>IF(E95="","",E95-F95)</f>
        <v/>
      </c>
      <c r="H95" s="492">
        <f>IF(OR(3&gt;$B$27,ISBLANK(Actuals!E71)),"",Actuals!E71)</f>
        <v/>
      </c>
      <c r="I95" s="492">
        <f>Budget!E71</f>
        <v/>
      </c>
      <c r="J95" s="492">
        <f>IF(H95="","",H95-I95)</f>
        <v/>
      </c>
      <c r="K95" s="492">
        <f>IF(OR(4&gt;$B$27,ISBLANK(Actuals!F71)),"",Actuals!F71)</f>
        <v/>
      </c>
      <c r="L95" s="492">
        <f>Budget!F71</f>
        <v/>
      </c>
      <c r="M95" s="492">
        <f>IF(K95="","",K95-L95)</f>
        <v/>
      </c>
      <c r="N95" s="492">
        <f>IF(OR(5&gt;$B$27,ISBLANK(Actuals!G71)),"",Actuals!G71)</f>
        <v/>
      </c>
      <c r="O95" s="492">
        <f>Budget!G71</f>
        <v/>
      </c>
      <c r="P95" s="492">
        <f>IF(N95="","",N95-O95)</f>
        <v/>
      </c>
      <c r="Q95" s="492">
        <f>IF(OR(6&gt;$B$27,ISBLANK(Actuals!H71)),"",Actuals!H71)</f>
        <v/>
      </c>
      <c r="R95" s="492">
        <f>Budget!H71</f>
        <v/>
      </c>
      <c r="S95" s="492">
        <f>IF(Q95="","",Q95-R95)</f>
        <v/>
      </c>
      <c r="T95" s="492">
        <f>IF(OR(7&gt;$B$27,ISBLANK(Actuals!I71)),"",Actuals!I71)</f>
        <v/>
      </c>
      <c r="U95" s="492">
        <f>Budget!I71</f>
        <v/>
      </c>
      <c r="V95" s="492">
        <f>IF(T95="","",T95-U95)</f>
        <v/>
      </c>
      <c r="W95" s="492">
        <f>IF(OR(8&gt;$B$27,ISBLANK(Actuals!J71)),"",Actuals!J71)</f>
        <v/>
      </c>
      <c r="X95" s="492">
        <f>Budget!J71</f>
        <v/>
      </c>
      <c r="Y95" s="492">
        <f>IF(W95="","",W95-X95)</f>
        <v/>
      </c>
      <c r="Z95" s="492">
        <f>IF(OR(9&gt;$B$27,ISBLANK(Actuals!K71)),"",Actuals!K71)</f>
        <v/>
      </c>
      <c r="AA95" s="492">
        <f>Budget!K71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Budget!L71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Budget!M71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Budget!N71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SUM(Budget!$C71:INDEX(Budget!$C71:$N71,$B$27))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Budget!C72</f>
        <v/>
      </c>
      <c r="D96" s="492">
        <f>IF(B96="","",B96-C96)</f>
        <v/>
      </c>
      <c r="E96" s="492">
        <f>IF(OR(2&gt;$B$27,ISBLANK(Actuals!D72)),"",Actuals!D72)</f>
        <v/>
      </c>
      <c r="F96" s="492">
        <f>Budget!D72</f>
        <v/>
      </c>
      <c r="G96" s="492">
        <f>IF(E96="","",E96-F96)</f>
        <v/>
      </c>
      <c r="H96" s="492">
        <f>IF(OR(3&gt;$B$27,ISBLANK(Actuals!E72)),"",Actuals!E72)</f>
        <v/>
      </c>
      <c r="I96" s="492">
        <f>Budget!E72</f>
        <v/>
      </c>
      <c r="J96" s="492">
        <f>IF(H96="","",H96-I96)</f>
        <v/>
      </c>
      <c r="K96" s="492">
        <f>IF(OR(4&gt;$B$27,ISBLANK(Actuals!F72)),"",Actuals!F72)</f>
        <v/>
      </c>
      <c r="L96" s="492">
        <f>Budget!F72</f>
        <v/>
      </c>
      <c r="M96" s="492">
        <f>IF(K96="","",K96-L96)</f>
        <v/>
      </c>
      <c r="N96" s="492">
        <f>IF(OR(5&gt;$B$27,ISBLANK(Actuals!G72)),"",Actuals!G72)</f>
        <v/>
      </c>
      <c r="O96" s="492">
        <f>Budget!G72</f>
        <v/>
      </c>
      <c r="P96" s="492">
        <f>IF(N96="","",N96-O96)</f>
        <v/>
      </c>
      <c r="Q96" s="492">
        <f>IF(OR(6&gt;$B$27,ISBLANK(Actuals!H72)),"",Actuals!H72)</f>
        <v/>
      </c>
      <c r="R96" s="492">
        <f>Budget!H72</f>
        <v/>
      </c>
      <c r="S96" s="492">
        <f>IF(Q96="","",Q96-R96)</f>
        <v/>
      </c>
      <c r="T96" s="492">
        <f>IF(OR(7&gt;$B$27,ISBLANK(Actuals!I72)),"",Actuals!I72)</f>
        <v/>
      </c>
      <c r="U96" s="492">
        <f>Budget!I72</f>
        <v/>
      </c>
      <c r="V96" s="492">
        <f>IF(T96="","",T96-U96)</f>
        <v/>
      </c>
      <c r="W96" s="492">
        <f>IF(OR(8&gt;$B$27,ISBLANK(Actuals!J72)),"",Actuals!J72)</f>
        <v/>
      </c>
      <c r="X96" s="492">
        <f>Budget!J72</f>
        <v/>
      </c>
      <c r="Y96" s="492">
        <f>IF(W96="","",W96-X96)</f>
        <v/>
      </c>
      <c r="Z96" s="492">
        <f>IF(OR(9&gt;$B$27,ISBLANK(Actuals!K72)),"",Actuals!K72)</f>
        <v/>
      </c>
      <c r="AA96" s="492">
        <f>Budget!K72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Budget!L72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Budget!M72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Budget!N72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SUM(Budget!$C72:INDEX(Budget!$C72:$N72,$B$27))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Budget!C73</f>
        <v/>
      </c>
      <c r="D97" s="492">
        <f>IF(B97="","",B97-C97)</f>
        <v/>
      </c>
      <c r="E97" s="492">
        <f>IF(OR(2&gt;$B$27,ISBLANK(Actuals!D73)),"",Actuals!D73)</f>
        <v/>
      </c>
      <c r="F97" s="492">
        <f>Budget!D73</f>
        <v/>
      </c>
      <c r="G97" s="492">
        <f>IF(E97="","",E97-F97)</f>
        <v/>
      </c>
      <c r="H97" s="492">
        <f>IF(OR(3&gt;$B$27,ISBLANK(Actuals!E73)),"",Actuals!E73)</f>
        <v/>
      </c>
      <c r="I97" s="492">
        <f>Budget!E73</f>
        <v/>
      </c>
      <c r="J97" s="492">
        <f>IF(H97="","",H97-I97)</f>
        <v/>
      </c>
      <c r="K97" s="492">
        <f>IF(OR(4&gt;$B$27,ISBLANK(Actuals!F73)),"",Actuals!F73)</f>
        <v/>
      </c>
      <c r="L97" s="492">
        <f>Budget!F73</f>
        <v/>
      </c>
      <c r="M97" s="492">
        <f>IF(K97="","",K97-L97)</f>
        <v/>
      </c>
      <c r="N97" s="492">
        <f>IF(OR(5&gt;$B$27,ISBLANK(Actuals!G73)),"",Actuals!G73)</f>
        <v/>
      </c>
      <c r="O97" s="492">
        <f>Budget!G73</f>
        <v/>
      </c>
      <c r="P97" s="492">
        <f>IF(N97="","",N97-O97)</f>
        <v/>
      </c>
      <c r="Q97" s="492">
        <f>IF(OR(6&gt;$B$27,ISBLANK(Actuals!H73)),"",Actuals!H73)</f>
        <v/>
      </c>
      <c r="R97" s="492">
        <f>Budget!H73</f>
        <v/>
      </c>
      <c r="S97" s="492">
        <f>IF(Q97="","",Q97-R97)</f>
        <v/>
      </c>
      <c r="T97" s="492">
        <f>IF(OR(7&gt;$B$27,ISBLANK(Actuals!I73)),"",Actuals!I73)</f>
        <v/>
      </c>
      <c r="U97" s="492">
        <f>Budget!I73</f>
        <v/>
      </c>
      <c r="V97" s="492">
        <f>IF(T97="","",T97-U97)</f>
        <v/>
      </c>
      <c r="W97" s="492">
        <f>IF(OR(8&gt;$B$27,ISBLANK(Actuals!J73)),"",Actuals!J73)</f>
        <v/>
      </c>
      <c r="X97" s="492">
        <f>Budget!J73</f>
        <v/>
      </c>
      <c r="Y97" s="492">
        <f>IF(W97="","",W97-X97)</f>
        <v/>
      </c>
      <c r="Z97" s="492">
        <f>IF(OR(9&gt;$B$27,ISBLANK(Actuals!K73)),"",Actuals!K73)</f>
        <v/>
      </c>
      <c r="AA97" s="492">
        <f>Budget!K73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Budget!L73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Budget!M73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Budget!N73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SUM(Budget!$C73:INDEX(Budget!$C73:$N73,$B$27))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Budget!C74</f>
        <v/>
      </c>
      <c r="D98" s="492">
        <f>IF(B98="","",B98-C98)</f>
        <v/>
      </c>
      <c r="E98" s="492">
        <f>IF(OR(2&gt;$B$27,ISBLANK(Actuals!D74)),"",Actuals!D74)</f>
        <v/>
      </c>
      <c r="F98" s="492">
        <f>Budget!D74</f>
        <v/>
      </c>
      <c r="G98" s="492">
        <f>IF(E98="","",E98-F98)</f>
        <v/>
      </c>
      <c r="H98" s="492">
        <f>IF(OR(3&gt;$B$27,ISBLANK(Actuals!E74)),"",Actuals!E74)</f>
        <v/>
      </c>
      <c r="I98" s="492">
        <f>Budget!E74</f>
        <v/>
      </c>
      <c r="J98" s="492">
        <f>IF(H98="","",H98-I98)</f>
        <v/>
      </c>
      <c r="K98" s="492">
        <f>IF(OR(4&gt;$B$27,ISBLANK(Actuals!F74)),"",Actuals!F74)</f>
        <v/>
      </c>
      <c r="L98" s="492">
        <f>Budget!F74</f>
        <v/>
      </c>
      <c r="M98" s="492">
        <f>IF(K98="","",K98-L98)</f>
        <v/>
      </c>
      <c r="N98" s="492">
        <f>IF(OR(5&gt;$B$27,ISBLANK(Actuals!G74)),"",Actuals!G74)</f>
        <v/>
      </c>
      <c r="O98" s="492">
        <f>Budget!G74</f>
        <v/>
      </c>
      <c r="P98" s="492">
        <f>IF(N98="","",N98-O98)</f>
        <v/>
      </c>
      <c r="Q98" s="492">
        <f>IF(OR(6&gt;$B$27,ISBLANK(Actuals!H74)),"",Actuals!H74)</f>
        <v/>
      </c>
      <c r="R98" s="492">
        <f>Budget!H74</f>
        <v/>
      </c>
      <c r="S98" s="492">
        <f>IF(Q98="","",Q98-R98)</f>
        <v/>
      </c>
      <c r="T98" s="492">
        <f>IF(OR(7&gt;$B$27,ISBLANK(Actuals!I74)),"",Actuals!I74)</f>
        <v/>
      </c>
      <c r="U98" s="492">
        <f>Budget!I74</f>
        <v/>
      </c>
      <c r="V98" s="492">
        <f>IF(T98="","",T98-U98)</f>
        <v/>
      </c>
      <c r="W98" s="492">
        <f>IF(OR(8&gt;$B$27,ISBLANK(Actuals!J74)),"",Actuals!J74)</f>
        <v/>
      </c>
      <c r="X98" s="492">
        <f>Budget!J74</f>
        <v/>
      </c>
      <c r="Y98" s="492">
        <f>IF(W98="","",W98-X98)</f>
        <v/>
      </c>
      <c r="Z98" s="492">
        <f>IF(OR(9&gt;$B$27,ISBLANK(Actuals!K74)),"",Actuals!K74)</f>
        <v/>
      </c>
      <c r="AA98" s="492">
        <f>Budget!K74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Budget!L74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Budget!M74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Budget!N74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SUM(Budget!$C74:INDEX(Budget!$C74:$N74,$B$27))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Budget!C75</f>
        <v/>
      </c>
      <c r="D99" s="492">
        <f>IF(B99="","",B99-C99)</f>
        <v/>
      </c>
      <c r="E99" s="492">
        <f>IF(OR(2&gt;$B$27,ISBLANK(Actuals!D75)),"",Actuals!D75)</f>
        <v/>
      </c>
      <c r="F99" s="492">
        <f>Budget!D75</f>
        <v/>
      </c>
      <c r="G99" s="492">
        <f>IF(E99="","",E99-F99)</f>
        <v/>
      </c>
      <c r="H99" s="492">
        <f>IF(OR(3&gt;$B$27,ISBLANK(Actuals!E75)),"",Actuals!E75)</f>
        <v/>
      </c>
      <c r="I99" s="492">
        <f>Budget!E75</f>
        <v/>
      </c>
      <c r="J99" s="492">
        <f>IF(H99="","",H99-I99)</f>
        <v/>
      </c>
      <c r="K99" s="492">
        <f>IF(OR(4&gt;$B$27,ISBLANK(Actuals!F75)),"",Actuals!F75)</f>
        <v/>
      </c>
      <c r="L99" s="492">
        <f>Budget!F75</f>
        <v/>
      </c>
      <c r="M99" s="492">
        <f>IF(K99="","",K99-L99)</f>
        <v/>
      </c>
      <c r="N99" s="492">
        <f>IF(OR(5&gt;$B$27,ISBLANK(Actuals!G75)),"",Actuals!G75)</f>
        <v/>
      </c>
      <c r="O99" s="492">
        <f>Budget!G75</f>
        <v/>
      </c>
      <c r="P99" s="492">
        <f>IF(N99="","",N99-O99)</f>
        <v/>
      </c>
      <c r="Q99" s="492">
        <f>IF(OR(6&gt;$B$27,ISBLANK(Actuals!H75)),"",Actuals!H75)</f>
        <v/>
      </c>
      <c r="R99" s="492">
        <f>Budget!H75</f>
        <v/>
      </c>
      <c r="S99" s="492">
        <f>IF(Q99="","",Q99-R99)</f>
        <v/>
      </c>
      <c r="T99" s="492">
        <f>IF(OR(7&gt;$B$27,ISBLANK(Actuals!I75)),"",Actuals!I75)</f>
        <v/>
      </c>
      <c r="U99" s="492">
        <f>Budget!I75</f>
        <v/>
      </c>
      <c r="V99" s="492">
        <f>IF(T99="","",T99-U99)</f>
        <v/>
      </c>
      <c r="W99" s="492">
        <f>IF(OR(8&gt;$B$27,ISBLANK(Actuals!J75)),"",Actuals!J75)</f>
        <v/>
      </c>
      <c r="X99" s="492">
        <f>Budget!J75</f>
        <v/>
      </c>
      <c r="Y99" s="492">
        <f>IF(W99="","",W99-X99)</f>
        <v/>
      </c>
      <c r="Z99" s="492">
        <f>IF(OR(9&gt;$B$27,ISBLANK(Actuals!K75)),"",Actuals!K75)</f>
        <v/>
      </c>
      <c r="AA99" s="492">
        <f>Budget!K75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Budget!L75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Budget!M75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Budget!N75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SUM(Budget!$C75:INDEX(Budget!$C75:$N75,$B$27))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Budget!C76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Budget!D76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Budget!E76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Budget!F76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Budget!G76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Budget!H76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Budget!I76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Budget!J76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Budget!K76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Budget!L76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Budget!M76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Budget!N76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SUM(Budget!$C76:INDEX(Budget!$C76:$N76,$B$27))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Budget!C77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Budget!D77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Budget!E77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Budget!F77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Budget!G77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Budget!H77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Budget!I77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Budget!J77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Budget!K77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Budget!L77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Budget!M77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Budget!N77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SUM(Budget!$C77:INDEX(Budget!$C77:$N77,$B$27))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Budget!C78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Budget!D78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Budget!E78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Budget!F78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Budget!G78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Budget!H78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Budget!I78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Budget!J78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Budget!K78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Budget!L78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Budget!M78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Budget!N78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SUM(Budget!$C78:INDEX(Budget!$C78:$N78,$B$27))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Budget!C79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Budget!D79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Budget!E79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Budget!F79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Budget!G79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Budget!H79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Budget!I79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Budget!J79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Budget!K79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Budget!L79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Budget!M79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Budget!N79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SUM(Budget!$C79:INDEX(Budget!$C79:$N79,$B$27))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Budget!C80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Budget!D80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Budget!E80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Budget!F80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Budget!G80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Budget!H80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Budget!I80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Budget!J80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Budget!K80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Budget!L80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Budget!M80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Budget!N80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SUM(Budget!$C80:INDEX(Budget!$C80:$N80,$B$27))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Budget!C81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Budget!D81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Budget!E81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Budget!F81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Budget!G81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Budget!H81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Budget!I81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Budget!J81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Budget!K81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Budget!L81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Budget!M81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Budget!N81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SUM(Budget!$C81:INDEX(Budget!$C81:$N81,$B$27))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Budget!C83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Budget!D83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Budget!E83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Budget!F83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Budget!G83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Budget!H83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Budget!I83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Budget!J83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Budget!K83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Budget!L83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Budget!M83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Budget!N83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SUM(Budget!$C83:INDEX(Budget!$C83:$N83,$B$27))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Budget!C84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Budget!D84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Budget!E84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Budget!F84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Budget!G84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Budget!H84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Budget!I84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Budget!J84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Budget!K84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Budget!L84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Budget!M84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Budget!N84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SUM(Budget!$C84:INDEX(Budget!$C84:$N84,$B$27))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Budget!C85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Budget!D85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Budget!E85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Budget!F85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Budget!G85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Budget!H85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Budget!I85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Budget!J85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Budget!K85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Budget!L85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Budget!M85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Budget!N85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SUM(Budget!$C85:INDEX(Budget!$C85:$N85,$B$27))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Budget!C86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Budget!D86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Budget!E86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Budget!F86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Budget!G86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Budget!H86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Budget!I86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Budget!J86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Budget!K86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Budget!L86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Budget!M86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Budget!N86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SUM(Budget!$C86:INDEX(Budget!$C86:$N86,$B$27))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Budget!C87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Budget!D87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Budget!E87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Budget!F87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Budget!G87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Budget!H87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Budget!I87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Budget!J87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Budget!K87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Budget!L87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Budget!M87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Budget!N87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SUM(Budget!$C87:INDEX(Budget!$C87:$N87,$B$27))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Budget!C88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Budget!D88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Budget!E88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Budget!F88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Budget!G88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Budget!H88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Budget!I88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Budget!J88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Budget!K88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Budget!L88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Budget!M88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Budget!N88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SUM(Budget!$C88:INDEX(Budget!$C88:$N88,$B$27))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Budget!C89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Budget!D89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Budget!E89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Budget!F89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Budget!G89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Budget!H89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Budget!I89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Budget!J89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Budget!K89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Budget!L89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Budget!M89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Budget!N89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SUM(Budget!$C89:INDEX(Budget!$C89:$N89,$B$27))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Budget!C90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Budget!D90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Budget!E90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Budget!F90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Budget!G90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Budget!H90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Budget!I90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Budget!J90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Budget!K90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Budget!L90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Budget!M90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Budget!N90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SUM(Budget!$C90:INDEX(Budget!$C90:$N90,$B$27))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Budget!C91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Budget!D91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Budget!E91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Budget!F91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Budget!G91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Budget!H91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Budget!I91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Budget!J91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Budget!K91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Budget!L91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Budget!M91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Budget!N91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SUM(Budget!$C91:INDEX(Budget!$C91:$N91,$B$27))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Budget!C92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Budget!D92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Budget!E92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Budget!F92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Budget!G92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Budget!H92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Budget!I92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Budget!J92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Budget!K92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Budget!L92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Budget!M92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Budget!N92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SUM(Budget!$C92:INDEX(Budget!$C92:$N92,$B$27))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Budget!C93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Budget!D93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Budget!E93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Budget!F93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Budget!G93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Budget!H93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Budget!I93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Budget!J93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Budget!K93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Budget!L93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Budget!M93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Budget!N93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SUM(Budget!$C93:INDEX(Budget!$C93:$N93,$B$27))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Budget!C94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Budget!D94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Budget!E94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Budget!F94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Budget!G94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Budget!H94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Budget!I94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Budget!J94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Budget!K94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Budget!L94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Budget!M94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Budget!N94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SUM(Budget!$C94:INDEX(Budget!$C94:$N94,$B$27))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Budget!C95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Budget!D95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Budget!E95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Budget!F95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Budget!G95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Budget!H95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Budget!I95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Budget!J95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Budget!K95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Budget!L95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Budget!M95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Budget!N95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SUM(Budget!$C95:INDEX(Budget!$C95:$N95,$B$27))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Budget!C96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Budget!D96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Budget!E96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Budget!F96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Budget!G96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Budget!H96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Budget!I96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Budget!J96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Budget!K96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Budget!L96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Budget!M96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Budget!N96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SUM(Budget!$C96:INDEX(Budget!$C96:$N96,$B$27))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Budget!C97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Budget!D97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Budget!E97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Budget!F97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Budget!G97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Budget!H97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Budget!I97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Budget!J97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Budget!K97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Budget!L97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Budget!M97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Budget!N97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SUM(Budget!$C97:INDEX(Budget!$C97:$N97,$B$27))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Budget!C98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Budget!D98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Budget!E98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Budget!F98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Budget!G98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Budget!H98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Budget!I98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Budget!J98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Budget!K98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Budget!L98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Budget!M98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Budget!N98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SUM(Budget!$C98:INDEX(Budget!$C98:$N98,$B$27))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Budget!C99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Budget!D99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Budget!E99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Budget!F99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Budget!G99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Budget!H99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Budget!I99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Budget!J99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Budget!K99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Budget!L99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Budget!M99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Budget!N99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SUM(Budget!$C99:INDEX(Budget!$C99:$N99,$B$27))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Budget!C100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Budget!D100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Budget!E100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Budget!F100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Budget!G100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Budget!H100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Budget!I100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Budget!J100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Budget!K100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Budget!L100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Budget!M100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Budget!N100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SUM(Budget!$C100:INDEX(Budget!$C100:$N100,$B$27))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Budget!C101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Budget!D101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Budget!E101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Budget!F101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Budget!G101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Budget!H101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Budget!I101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Budget!J101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Budget!K101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Budget!L101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Budget!M101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Budget!N101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SUM(Budget!$C101:INDEX(Budget!$C101:$N101,$B$27))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Budget!C102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Budget!D102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Budget!E102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Budget!F102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Budget!G102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Budget!H102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Budget!I102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Budget!J102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Budget!K102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Budget!L102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Budget!M102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Budget!N102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SUM(Budget!$C102:INDEX(Budget!$C102:$N102,$B$27))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Budget!C103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Budget!D103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Budget!E103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Budget!F103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Budget!G103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Budget!H103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Budget!I103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Budget!J103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Budget!K103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Budget!L103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Budget!M103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Budget!N103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SUM(Budget!$C103:INDEX(Budget!$C103:$N103,$B$27))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Budget!C104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Budget!D104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Budget!E104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Budget!F104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Budget!G104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Budget!H104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Budget!I104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Budget!J104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Budget!K104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Budget!L104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Budget!M104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Budget!N104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SUM(Budget!$C104:INDEX(Budget!$C104:$N104,$B$27))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Budget!C105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Budget!D105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Budget!E105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Budget!F105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Budget!G105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Budget!H105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Budget!I105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Budget!J105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Budget!K105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Budget!L105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Budget!M105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Budget!N105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SUM(Budget!$C105:INDEX(Budget!$C105:$N105,$B$27))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Budget!C106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Budget!D106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Budget!E106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Budget!F106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Budget!G106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Budget!H106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Budget!I106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Budget!J106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Budget!K106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Budget!L106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Budget!M106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Budget!N106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SUM(Budget!$C106:INDEX(Budget!$C106:$N106,$B$27))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Budget!C107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Budget!D107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Budget!E107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Budget!F107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Budget!G107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Budget!H107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Budget!I107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Budget!J107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Budget!K107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Budget!L107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Budget!M107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Budget!N107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SUM(Budget!$C107:INDEX(Budget!$C107:$N107,$B$27))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Budget!C108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Budget!D108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Budget!E108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Budget!F108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Budget!G108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Budget!H108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Budget!I108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Budget!J108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Budget!K108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Budget!L108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Budget!M108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Budget!N108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SUM(Budget!$C108:INDEX(Budget!$C108:$N108,$B$27))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Budget!C109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Budget!D109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Budget!E109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Budget!F109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Budget!G109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Budget!H109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Budget!I109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Budget!J109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Budget!K109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Budget!L109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Budget!M109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Budget!N109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SUM(Budget!$C109:INDEX(Budget!$C109:$N109,$B$27))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Budget!C110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Budget!D110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Budget!E110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Budget!F110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Budget!G110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Budget!H110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Budget!I110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Budget!J110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Budget!K110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Budget!L110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Budget!M110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Budget!N110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SUM(Budget!$C110:INDEX(Budget!$C110:$N110,$B$27))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Budget!C111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Budget!D111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Budget!E111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Budget!F111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Budget!G111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Budget!H111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Budget!I111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Budget!J111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Budget!K111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Budget!L111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Budget!M111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Budget!N111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SUM(Budget!$C111:INDEX(Budget!$C111:$N111,$B$27))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Budget!C112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Budget!D112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Budget!E112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Budget!F112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Budget!G112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Budget!H112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Budget!I112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Budget!J112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Budget!K112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Budget!L112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Budget!M112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Budget!N112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SUM(Budget!$C112:INDEX(Budget!$C112:$N112,$B$27))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Budget!C113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Budget!D113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Budget!E113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Budget!F113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Budget!G113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Budget!H113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Budget!I113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Budget!J113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Budget!K113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Budget!L113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Budget!M113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Budget!N113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SUM(Budget!$C113:INDEX(Budget!$C113:$N113,$B$27))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Budget!C114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Budget!D114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Budget!E114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Budget!F114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Budget!G114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Budget!H114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Budget!I114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Budget!J114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Budget!K114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Budget!L114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Budget!M114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Budget!N114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SUM(Budget!$C114:INDEX(Budget!$C114:$N114,$B$27))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Reforecast vs Actual</t>
        </is>
      </c>
    </row>
    <row r="2" ht="15" customFormat="1" customHeight="1" s="380">
      <c r="A2" s="452" t="inlineStr">
        <is>
          <t>Actuals vs the Q1 2026 reforecast (frozen v26 snapshot), by month. Variance = Actual minus Reforecast; a positive variance is favorable (expenses are stored as negatives). YTD covers Jan to Jun 2026.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Q1 REFORECAST</t>
        </is>
      </c>
    </row>
    <row r="5" ht="15" customHeight="1" s="410">
      <c r="A5" s="452" t="inlineStr">
        <is>
          <t>Anchor: the frozen Q1 2026 reforecast (struck with Q1 actuals loaded). Same lines as the budget summary above the Budget vs Actual grid.</t>
        </is>
      </c>
    </row>
    <row r="6" ht="15" customHeight="1" s="410">
      <c r="A6" s="490" t="n"/>
      <c r="B6" s="490" t="inlineStr">
        <is>
          <t>FY Reforecast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Reforecast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SUM('Reforecast Q1 2026'!$C$81:$N$81)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SUM('Reforecast Q1 2026'!$C$112:$N$112)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SUM('Reforecast Q1 2026'!$C$114:$N$114)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SUM('Reforecast Q1 2026'!$C$8:$N$11)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SUM('Reforecast Q1 2026'!$C$12:$N$12)+SUM('Reforecast Q1 2026'!$C$14:$N$14)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SUM('Reforecast Q1 2026'!$C$15:$N$16)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SUM('Reforecast Q1 2026'!$C$17:$N$17)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SUM('Reforecast Q1 2026'!$C$55:$N$55)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SUM('Reforecast Q1 2026'!$C$57:$N$57)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Reforecast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Reforecast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Reforecast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Reforecast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Reforecast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Reforecast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Reforecast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Reforecast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Reforecast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Reforecast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Reforecast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Reforecast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Reforecast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'Reforecast Q1 2026'!C8</f>
        <v/>
      </c>
      <c r="D32" s="492">
        <f>IF(B32="","",B32-C32)</f>
        <v/>
      </c>
      <c r="E32" s="492">
        <f>IF(OR(2&gt;$B$27,ISBLANK(Actuals!D8)),"",Actuals!D8)</f>
        <v/>
      </c>
      <c r="F32" s="492">
        <f>'Reforecast Q1 2026'!D8</f>
        <v/>
      </c>
      <c r="G32" s="492">
        <f>IF(E32="","",E32-F32)</f>
        <v/>
      </c>
      <c r="H32" s="492">
        <f>IF(OR(3&gt;$B$27,ISBLANK(Actuals!E8)),"",Actuals!E8)</f>
        <v/>
      </c>
      <c r="I32" s="492">
        <f>'Reforecast Q1 2026'!E8</f>
        <v/>
      </c>
      <c r="J32" s="492">
        <f>IF(H32="","",H32-I32)</f>
        <v/>
      </c>
      <c r="K32" s="492">
        <f>IF(OR(4&gt;$B$27,ISBLANK(Actuals!F8)),"",Actuals!F8)</f>
        <v/>
      </c>
      <c r="L32" s="492">
        <f>'Reforecast Q1 2026'!F8</f>
        <v/>
      </c>
      <c r="M32" s="492">
        <f>IF(K32="","",K32-L32)</f>
        <v/>
      </c>
      <c r="N32" s="492">
        <f>IF(OR(5&gt;$B$27,ISBLANK(Actuals!G8)),"",Actuals!G8)</f>
        <v/>
      </c>
      <c r="O32" s="492">
        <f>'Reforecast Q1 2026'!G8</f>
        <v/>
      </c>
      <c r="P32" s="492">
        <f>IF(N32="","",N32-O32)</f>
        <v/>
      </c>
      <c r="Q32" s="492">
        <f>IF(OR(6&gt;$B$27,ISBLANK(Actuals!H8)),"",Actuals!H8)</f>
        <v/>
      </c>
      <c r="R32" s="492">
        <f>'Reforecast Q1 2026'!H8</f>
        <v/>
      </c>
      <c r="S32" s="492">
        <f>IF(Q32="","",Q32-R32)</f>
        <v/>
      </c>
      <c r="T32" s="492">
        <f>IF(OR(7&gt;$B$27,ISBLANK(Actuals!I8)),"",Actuals!I8)</f>
        <v/>
      </c>
      <c r="U32" s="492">
        <f>'Reforecast Q1 2026'!I8</f>
        <v/>
      </c>
      <c r="V32" s="492">
        <f>IF(T32="","",T32-U32)</f>
        <v/>
      </c>
      <c r="W32" s="492">
        <f>IF(OR(8&gt;$B$27,ISBLANK(Actuals!J8)),"",Actuals!J8)</f>
        <v/>
      </c>
      <c r="X32" s="492">
        <f>'Reforecast Q1 2026'!J8</f>
        <v/>
      </c>
      <c r="Y32" s="492">
        <f>IF(W32="","",W32-X32)</f>
        <v/>
      </c>
      <c r="Z32" s="492">
        <f>IF(OR(9&gt;$B$27,ISBLANK(Actuals!K8)),"",Actuals!K8)</f>
        <v/>
      </c>
      <c r="AA32" s="492">
        <f>'Reforecast Q1 2026'!K8</f>
        <v/>
      </c>
      <c r="AB32" s="492">
        <f>IF(Z32="","",Z32-AA32)</f>
        <v/>
      </c>
      <c r="AC32" s="492">
        <f>IF(OR(10&gt;$B$27,ISBLANK(Actuals!L8)),"",Actuals!L8)</f>
        <v/>
      </c>
      <c r="AD32" s="492">
        <f>'Reforecast Q1 2026'!L8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'Reforecast Q1 2026'!M8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'Reforecast Q1 2026'!N8</f>
        <v/>
      </c>
      <c r="AK32" s="492">
        <f>IF(AI32="","",AI32-AJ32)</f>
        <v/>
      </c>
      <c r="AL32" s="494">
        <f>SUM(Actuals!$C8:INDEX(Actuals!$C8:$N8,$B$27))</f>
        <v/>
      </c>
      <c r="AM32" s="494">
        <f>SUM('Reforecast Q1 2026'!$C8:INDEX('Reforecast Q1 2026'!$C8:$N8,$B$27))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'Reforecast Q1 2026'!C9</f>
        <v/>
      </c>
      <c r="D33" s="492">
        <f>IF(B33="","",B33-C33)</f>
        <v/>
      </c>
      <c r="E33" s="492">
        <f>IF(OR(2&gt;$B$27,ISBLANK(Actuals!D9)),"",Actuals!D9)</f>
        <v/>
      </c>
      <c r="F33" s="492">
        <f>'Reforecast Q1 2026'!D9</f>
        <v/>
      </c>
      <c r="G33" s="492">
        <f>IF(E33="","",E33-F33)</f>
        <v/>
      </c>
      <c r="H33" s="492">
        <f>IF(OR(3&gt;$B$27,ISBLANK(Actuals!E9)),"",Actuals!E9)</f>
        <v/>
      </c>
      <c r="I33" s="492">
        <f>'Reforecast Q1 2026'!E9</f>
        <v/>
      </c>
      <c r="J33" s="492">
        <f>IF(H33="","",H33-I33)</f>
        <v/>
      </c>
      <c r="K33" s="492">
        <f>IF(OR(4&gt;$B$27,ISBLANK(Actuals!F9)),"",Actuals!F9)</f>
        <v/>
      </c>
      <c r="L33" s="492">
        <f>'Reforecast Q1 2026'!F9</f>
        <v/>
      </c>
      <c r="M33" s="492">
        <f>IF(K33="","",K33-L33)</f>
        <v/>
      </c>
      <c r="N33" s="492">
        <f>IF(OR(5&gt;$B$27,ISBLANK(Actuals!G9)),"",Actuals!G9)</f>
        <v/>
      </c>
      <c r="O33" s="492">
        <f>'Reforecast Q1 2026'!G9</f>
        <v/>
      </c>
      <c r="P33" s="492">
        <f>IF(N33="","",N33-O33)</f>
        <v/>
      </c>
      <c r="Q33" s="492">
        <f>IF(OR(6&gt;$B$27,ISBLANK(Actuals!H9)),"",Actuals!H9)</f>
        <v/>
      </c>
      <c r="R33" s="492">
        <f>'Reforecast Q1 2026'!H9</f>
        <v/>
      </c>
      <c r="S33" s="492">
        <f>IF(Q33="","",Q33-R33)</f>
        <v/>
      </c>
      <c r="T33" s="492">
        <f>IF(OR(7&gt;$B$27,ISBLANK(Actuals!I9)),"",Actuals!I9)</f>
        <v/>
      </c>
      <c r="U33" s="492">
        <f>'Reforecast Q1 2026'!I9</f>
        <v/>
      </c>
      <c r="V33" s="492">
        <f>IF(T33="","",T33-U33)</f>
        <v/>
      </c>
      <c r="W33" s="492">
        <f>IF(OR(8&gt;$B$27,ISBLANK(Actuals!J9)),"",Actuals!J9)</f>
        <v/>
      </c>
      <c r="X33" s="492">
        <f>'Reforecast Q1 2026'!J9</f>
        <v/>
      </c>
      <c r="Y33" s="492">
        <f>IF(W33="","",W33-X33)</f>
        <v/>
      </c>
      <c r="Z33" s="492">
        <f>IF(OR(9&gt;$B$27,ISBLANK(Actuals!K9)),"",Actuals!K9)</f>
        <v/>
      </c>
      <c r="AA33" s="492">
        <f>'Reforecast Q1 2026'!K9</f>
        <v/>
      </c>
      <c r="AB33" s="492">
        <f>IF(Z33="","",Z33-AA33)</f>
        <v/>
      </c>
      <c r="AC33" s="492">
        <f>IF(OR(10&gt;$B$27,ISBLANK(Actuals!L9)),"",Actuals!L9)</f>
        <v/>
      </c>
      <c r="AD33" s="492">
        <f>'Reforecast Q1 2026'!L9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'Reforecast Q1 2026'!M9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'Reforecast Q1 2026'!N9</f>
        <v/>
      </c>
      <c r="AK33" s="492">
        <f>IF(AI33="","",AI33-AJ33)</f>
        <v/>
      </c>
      <c r="AL33" s="494">
        <f>SUM(Actuals!$C9:INDEX(Actuals!$C9:$N9,$B$27))</f>
        <v/>
      </c>
      <c r="AM33" s="494">
        <f>SUM('Reforecast Q1 2026'!$C9:INDEX('Reforecast Q1 2026'!$C9:$N9,$B$27))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'Reforecast Q1 2026'!C10</f>
        <v/>
      </c>
      <c r="D34" s="492">
        <f>IF(B34="","",B34-C34)</f>
        <v/>
      </c>
      <c r="E34" s="492">
        <f>IF(OR(2&gt;$B$27,ISBLANK(Actuals!D10)),"",Actuals!D10)</f>
        <v/>
      </c>
      <c r="F34" s="492">
        <f>'Reforecast Q1 2026'!D10</f>
        <v/>
      </c>
      <c r="G34" s="492">
        <f>IF(E34="","",E34-F34)</f>
        <v/>
      </c>
      <c r="H34" s="492">
        <f>IF(OR(3&gt;$B$27,ISBLANK(Actuals!E10)),"",Actuals!E10)</f>
        <v/>
      </c>
      <c r="I34" s="492">
        <f>'Reforecast Q1 2026'!E10</f>
        <v/>
      </c>
      <c r="J34" s="492">
        <f>IF(H34="","",H34-I34)</f>
        <v/>
      </c>
      <c r="K34" s="492">
        <f>IF(OR(4&gt;$B$27,ISBLANK(Actuals!F10)),"",Actuals!F10)</f>
        <v/>
      </c>
      <c r="L34" s="492">
        <f>'Reforecast Q1 2026'!F10</f>
        <v/>
      </c>
      <c r="M34" s="492">
        <f>IF(K34="","",K34-L34)</f>
        <v/>
      </c>
      <c r="N34" s="492">
        <f>IF(OR(5&gt;$B$27,ISBLANK(Actuals!G10)),"",Actuals!G10)</f>
        <v/>
      </c>
      <c r="O34" s="492">
        <f>'Reforecast Q1 2026'!G10</f>
        <v/>
      </c>
      <c r="P34" s="492">
        <f>IF(N34="","",N34-O34)</f>
        <v/>
      </c>
      <c r="Q34" s="492">
        <f>IF(OR(6&gt;$B$27,ISBLANK(Actuals!H10)),"",Actuals!H10)</f>
        <v/>
      </c>
      <c r="R34" s="492">
        <f>'Reforecast Q1 2026'!H10</f>
        <v/>
      </c>
      <c r="S34" s="492">
        <f>IF(Q34="","",Q34-R34)</f>
        <v/>
      </c>
      <c r="T34" s="492">
        <f>IF(OR(7&gt;$B$27,ISBLANK(Actuals!I10)),"",Actuals!I10)</f>
        <v/>
      </c>
      <c r="U34" s="492">
        <f>'Reforecast Q1 2026'!I10</f>
        <v/>
      </c>
      <c r="V34" s="492">
        <f>IF(T34="","",T34-U34)</f>
        <v/>
      </c>
      <c r="W34" s="492">
        <f>IF(OR(8&gt;$B$27,ISBLANK(Actuals!J10)),"",Actuals!J10)</f>
        <v/>
      </c>
      <c r="X34" s="492">
        <f>'Reforecast Q1 2026'!J10</f>
        <v/>
      </c>
      <c r="Y34" s="492">
        <f>IF(W34="","",W34-X34)</f>
        <v/>
      </c>
      <c r="Z34" s="492">
        <f>IF(OR(9&gt;$B$27,ISBLANK(Actuals!K10)),"",Actuals!K10)</f>
        <v/>
      </c>
      <c r="AA34" s="492">
        <f>'Reforecast Q1 2026'!K10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'Reforecast Q1 2026'!L10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'Reforecast Q1 2026'!M10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'Reforecast Q1 2026'!N10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SUM('Reforecast Q1 2026'!$C10:INDEX('Reforecast Q1 2026'!$C10:$N10,$B$27))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'Reforecast Q1 2026'!C11</f>
        <v/>
      </c>
      <c r="D35" s="492">
        <f>IF(B35="","",B35-C35)</f>
        <v/>
      </c>
      <c r="E35" s="492">
        <f>IF(OR(2&gt;$B$27,ISBLANK(Actuals!D11)),"",Actuals!D11)</f>
        <v/>
      </c>
      <c r="F35" s="492">
        <f>'Reforecast Q1 2026'!D11</f>
        <v/>
      </c>
      <c r="G35" s="492">
        <f>IF(E35="","",E35-F35)</f>
        <v/>
      </c>
      <c r="H35" s="492">
        <f>IF(OR(3&gt;$B$27,ISBLANK(Actuals!E11)),"",Actuals!E11)</f>
        <v/>
      </c>
      <c r="I35" s="492">
        <f>'Reforecast Q1 2026'!E11</f>
        <v/>
      </c>
      <c r="J35" s="492">
        <f>IF(H35="","",H35-I35)</f>
        <v/>
      </c>
      <c r="K35" s="492">
        <f>IF(OR(4&gt;$B$27,ISBLANK(Actuals!F11)),"",Actuals!F11)</f>
        <v/>
      </c>
      <c r="L35" s="492">
        <f>'Reforecast Q1 2026'!F11</f>
        <v/>
      </c>
      <c r="M35" s="492">
        <f>IF(K35="","",K35-L35)</f>
        <v/>
      </c>
      <c r="N35" s="492">
        <f>IF(OR(5&gt;$B$27,ISBLANK(Actuals!G11)),"",Actuals!G11)</f>
        <v/>
      </c>
      <c r="O35" s="492">
        <f>'Reforecast Q1 2026'!G11</f>
        <v/>
      </c>
      <c r="P35" s="492">
        <f>IF(N35="","",N35-O35)</f>
        <v/>
      </c>
      <c r="Q35" s="492">
        <f>IF(OR(6&gt;$B$27,ISBLANK(Actuals!H11)),"",Actuals!H11)</f>
        <v/>
      </c>
      <c r="R35" s="492">
        <f>'Reforecast Q1 2026'!H11</f>
        <v/>
      </c>
      <c r="S35" s="492">
        <f>IF(Q35="","",Q35-R35)</f>
        <v/>
      </c>
      <c r="T35" s="492">
        <f>IF(OR(7&gt;$B$27,ISBLANK(Actuals!I11)),"",Actuals!I11)</f>
        <v/>
      </c>
      <c r="U35" s="492">
        <f>'Reforecast Q1 2026'!I11</f>
        <v/>
      </c>
      <c r="V35" s="492">
        <f>IF(T35="","",T35-U35)</f>
        <v/>
      </c>
      <c r="W35" s="492">
        <f>IF(OR(8&gt;$B$27,ISBLANK(Actuals!J11)),"",Actuals!J11)</f>
        <v/>
      </c>
      <c r="X35" s="492">
        <f>'Reforecast Q1 2026'!J11</f>
        <v/>
      </c>
      <c r="Y35" s="492">
        <f>IF(W35="","",W35-X35)</f>
        <v/>
      </c>
      <c r="Z35" s="492">
        <f>IF(OR(9&gt;$B$27,ISBLANK(Actuals!K11)),"",Actuals!K11)</f>
        <v/>
      </c>
      <c r="AA35" s="492">
        <f>'Reforecast Q1 2026'!K11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'Reforecast Q1 2026'!L11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'Reforecast Q1 2026'!M11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'Reforecast Q1 2026'!N11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SUM('Reforecast Q1 2026'!$C11:INDEX('Reforecast Q1 2026'!$C11:$N11,$B$27))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'Reforecast Q1 2026'!C12</f>
        <v/>
      </c>
      <c r="D36" s="492">
        <f>IF(B36="","",B36-C36)</f>
        <v/>
      </c>
      <c r="E36" s="492">
        <f>IF(OR(2&gt;$B$27,ISBLANK(Actuals!D12)),"",Actuals!D12)</f>
        <v/>
      </c>
      <c r="F36" s="492">
        <f>'Reforecast Q1 2026'!D12</f>
        <v/>
      </c>
      <c r="G36" s="492">
        <f>IF(E36="","",E36-F36)</f>
        <v/>
      </c>
      <c r="H36" s="492">
        <f>IF(OR(3&gt;$B$27,ISBLANK(Actuals!E12)),"",Actuals!E12)</f>
        <v/>
      </c>
      <c r="I36" s="492">
        <f>'Reforecast Q1 2026'!E12</f>
        <v/>
      </c>
      <c r="J36" s="492">
        <f>IF(H36="","",H36-I36)</f>
        <v/>
      </c>
      <c r="K36" s="492">
        <f>IF(OR(4&gt;$B$27,ISBLANK(Actuals!F12)),"",Actuals!F12)</f>
        <v/>
      </c>
      <c r="L36" s="492">
        <f>'Reforecast Q1 2026'!F12</f>
        <v/>
      </c>
      <c r="M36" s="492">
        <f>IF(K36="","",K36-L36)</f>
        <v/>
      </c>
      <c r="N36" s="492">
        <f>IF(OR(5&gt;$B$27,ISBLANK(Actuals!G12)),"",Actuals!G12)</f>
        <v/>
      </c>
      <c r="O36" s="492">
        <f>'Reforecast Q1 2026'!G12</f>
        <v/>
      </c>
      <c r="P36" s="492">
        <f>IF(N36="","",N36-O36)</f>
        <v/>
      </c>
      <c r="Q36" s="492">
        <f>IF(OR(6&gt;$B$27,ISBLANK(Actuals!H12)),"",Actuals!H12)</f>
        <v/>
      </c>
      <c r="R36" s="492">
        <f>'Reforecast Q1 2026'!H12</f>
        <v/>
      </c>
      <c r="S36" s="492">
        <f>IF(Q36="","",Q36-R36)</f>
        <v/>
      </c>
      <c r="T36" s="492">
        <f>IF(OR(7&gt;$B$27,ISBLANK(Actuals!I12)),"",Actuals!I12)</f>
        <v/>
      </c>
      <c r="U36" s="492">
        <f>'Reforecast Q1 2026'!I12</f>
        <v/>
      </c>
      <c r="V36" s="492">
        <f>IF(T36="","",T36-U36)</f>
        <v/>
      </c>
      <c r="W36" s="492">
        <f>IF(OR(8&gt;$B$27,ISBLANK(Actuals!J12)),"",Actuals!J12)</f>
        <v/>
      </c>
      <c r="X36" s="492">
        <f>'Reforecast Q1 2026'!J12</f>
        <v/>
      </c>
      <c r="Y36" s="492">
        <f>IF(W36="","",W36-X36)</f>
        <v/>
      </c>
      <c r="Z36" s="492">
        <f>IF(OR(9&gt;$B$27,ISBLANK(Actuals!K12)),"",Actuals!K12)</f>
        <v/>
      </c>
      <c r="AA36" s="492">
        <f>'Reforecast Q1 2026'!K12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'Reforecast Q1 2026'!L12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'Reforecast Q1 2026'!M12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'Reforecast Q1 2026'!N12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SUM('Reforecast Q1 2026'!$C12:INDEX('Reforecast Q1 2026'!$C12:$N12,$B$27))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'Reforecast Q1 2026'!C13</f>
        <v/>
      </c>
      <c r="D37" s="494">
        <f>IF(B37="","",B37-C37)</f>
        <v/>
      </c>
      <c r="E37" s="494">
        <f>IF(OR(2&gt;$B$27,ISBLANK(Actuals!D13)),"",Actuals!D13)</f>
        <v/>
      </c>
      <c r="F37" s="494">
        <f>'Reforecast Q1 2026'!D13</f>
        <v/>
      </c>
      <c r="G37" s="494">
        <f>IF(E37="","",E37-F37)</f>
        <v/>
      </c>
      <c r="H37" s="494">
        <f>IF(OR(3&gt;$B$27,ISBLANK(Actuals!E13)),"",Actuals!E13)</f>
        <v/>
      </c>
      <c r="I37" s="494">
        <f>'Reforecast Q1 2026'!E13</f>
        <v/>
      </c>
      <c r="J37" s="494">
        <f>IF(H37="","",H37-I37)</f>
        <v/>
      </c>
      <c r="K37" s="494">
        <f>IF(OR(4&gt;$B$27,ISBLANK(Actuals!F13)),"",Actuals!F13)</f>
        <v/>
      </c>
      <c r="L37" s="494">
        <f>'Reforecast Q1 2026'!F13</f>
        <v/>
      </c>
      <c r="M37" s="494">
        <f>IF(K37="","",K37-L37)</f>
        <v/>
      </c>
      <c r="N37" s="494">
        <f>IF(OR(5&gt;$B$27,ISBLANK(Actuals!G13)),"",Actuals!G13)</f>
        <v/>
      </c>
      <c r="O37" s="494">
        <f>'Reforecast Q1 2026'!G13</f>
        <v/>
      </c>
      <c r="P37" s="494">
        <f>IF(N37="","",N37-O37)</f>
        <v/>
      </c>
      <c r="Q37" s="494">
        <f>IF(OR(6&gt;$B$27,ISBLANK(Actuals!H13)),"",Actuals!H13)</f>
        <v/>
      </c>
      <c r="R37" s="494">
        <f>'Reforecast Q1 2026'!H13</f>
        <v/>
      </c>
      <c r="S37" s="494">
        <f>IF(Q37="","",Q37-R37)</f>
        <v/>
      </c>
      <c r="T37" s="494">
        <f>IF(OR(7&gt;$B$27,ISBLANK(Actuals!I13)),"",Actuals!I13)</f>
        <v/>
      </c>
      <c r="U37" s="494">
        <f>'Reforecast Q1 2026'!I13</f>
        <v/>
      </c>
      <c r="V37" s="494">
        <f>IF(T37="","",T37-U37)</f>
        <v/>
      </c>
      <c r="W37" s="494">
        <f>IF(OR(8&gt;$B$27,ISBLANK(Actuals!J13)),"",Actuals!J13)</f>
        <v/>
      </c>
      <c r="X37" s="494">
        <f>'Reforecast Q1 2026'!J13</f>
        <v/>
      </c>
      <c r="Y37" s="494">
        <f>IF(W37="","",W37-X37)</f>
        <v/>
      </c>
      <c r="Z37" s="494">
        <f>IF(OR(9&gt;$B$27,ISBLANK(Actuals!K13)),"",Actuals!K13)</f>
        <v/>
      </c>
      <c r="AA37" s="494">
        <f>'Reforecast Q1 2026'!K13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'Reforecast Q1 2026'!L13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'Reforecast Q1 2026'!M13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'Reforecast Q1 2026'!N13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SUM('Reforecast Q1 2026'!$C13:INDEX('Reforecast Q1 2026'!$C13:$N13,$B$27))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'Reforecast Q1 2026'!C14</f>
        <v/>
      </c>
      <c r="D38" s="492">
        <f>IF(B38="","",B38-C38)</f>
        <v/>
      </c>
      <c r="E38" s="492">
        <f>IF(OR(2&gt;$B$27,ISBLANK(Actuals!D14)),"",Actuals!D14)</f>
        <v/>
      </c>
      <c r="F38" s="492">
        <f>'Reforecast Q1 2026'!D14</f>
        <v/>
      </c>
      <c r="G38" s="492">
        <f>IF(E38="","",E38-F38)</f>
        <v/>
      </c>
      <c r="H38" s="492">
        <f>IF(OR(3&gt;$B$27,ISBLANK(Actuals!E14)),"",Actuals!E14)</f>
        <v/>
      </c>
      <c r="I38" s="492">
        <f>'Reforecast Q1 2026'!E14</f>
        <v/>
      </c>
      <c r="J38" s="492">
        <f>IF(H38="","",H38-I38)</f>
        <v/>
      </c>
      <c r="K38" s="492">
        <f>IF(OR(4&gt;$B$27,ISBLANK(Actuals!F14)),"",Actuals!F14)</f>
        <v/>
      </c>
      <c r="L38" s="492">
        <f>'Reforecast Q1 2026'!F14</f>
        <v/>
      </c>
      <c r="M38" s="492">
        <f>IF(K38="","",K38-L38)</f>
        <v/>
      </c>
      <c r="N38" s="492">
        <f>IF(OR(5&gt;$B$27,ISBLANK(Actuals!G14)),"",Actuals!G14)</f>
        <v/>
      </c>
      <c r="O38" s="492">
        <f>'Reforecast Q1 2026'!G14</f>
        <v/>
      </c>
      <c r="P38" s="492">
        <f>IF(N38="","",N38-O38)</f>
        <v/>
      </c>
      <c r="Q38" s="492">
        <f>IF(OR(6&gt;$B$27,ISBLANK(Actuals!H14)),"",Actuals!H14)</f>
        <v/>
      </c>
      <c r="R38" s="492">
        <f>'Reforecast Q1 2026'!H14</f>
        <v/>
      </c>
      <c r="S38" s="492">
        <f>IF(Q38="","",Q38-R38)</f>
        <v/>
      </c>
      <c r="T38" s="492">
        <f>IF(OR(7&gt;$B$27,ISBLANK(Actuals!I14)),"",Actuals!I14)</f>
        <v/>
      </c>
      <c r="U38" s="492">
        <f>'Reforecast Q1 2026'!I14</f>
        <v/>
      </c>
      <c r="V38" s="492">
        <f>IF(T38="","",T38-U38)</f>
        <v/>
      </c>
      <c r="W38" s="492">
        <f>IF(OR(8&gt;$B$27,ISBLANK(Actuals!J14)),"",Actuals!J14)</f>
        <v/>
      </c>
      <c r="X38" s="492">
        <f>'Reforecast Q1 2026'!J14</f>
        <v/>
      </c>
      <c r="Y38" s="492">
        <f>IF(W38="","",W38-X38)</f>
        <v/>
      </c>
      <c r="Z38" s="492">
        <f>IF(OR(9&gt;$B$27,ISBLANK(Actuals!K14)),"",Actuals!K14)</f>
        <v/>
      </c>
      <c r="AA38" s="492">
        <f>'Reforecast Q1 2026'!K14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'Reforecast Q1 2026'!L14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'Reforecast Q1 2026'!M14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'Reforecast Q1 2026'!N14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SUM('Reforecast Q1 2026'!$C14:INDEX('Reforecast Q1 2026'!$C14:$N14,$B$27))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'Reforecast Q1 2026'!C15</f>
        <v/>
      </c>
      <c r="D39" s="492">
        <f>IF(B39="","",B39-C39)</f>
        <v/>
      </c>
      <c r="E39" s="492">
        <f>IF(OR(2&gt;$B$27,ISBLANK(Actuals!D15)),"",Actuals!D15)</f>
        <v/>
      </c>
      <c r="F39" s="492">
        <f>'Reforecast Q1 2026'!D15</f>
        <v/>
      </c>
      <c r="G39" s="492">
        <f>IF(E39="","",E39-F39)</f>
        <v/>
      </c>
      <c r="H39" s="492">
        <f>IF(OR(3&gt;$B$27,ISBLANK(Actuals!E15)),"",Actuals!E15)</f>
        <v/>
      </c>
      <c r="I39" s="492">
        <f>'Reforecast Q1 2026'!E15</f>
        <v/>
      </c>
      <c r="J39" s="492">
        <f>IF(H39="","",H39-I39)</f>
        <v/>
      </c>
      <c r="K39" s="492">
        <f>IF(OR(4&gt;$B$27,ISBLANK(Actuals!F15)),"",Actuals!F15)</f>
        <v/>
      </c>
      <c r="L39" s="492">
        <f>'Reforecast Q1 2026'!F15</f>
        <v/>
      </c>
      <c r="M39" s="492">
        <f>IF(K39="","",K39-L39)</f>
        <v/>
      </c>
      <c r="N39" s="492">
        <f>IF(OR(5&gt;$B$27,ISBLANK(Actuals!G15)),"",Actuals!G15)</f>
        <v/>
      </c>
      <c r="O39" s="492">
        <f>'Reforecast Q1 2026'!G15</f>
        <v/>
      </c>
      <c r="P39" s="492">
        <f>IF(N39="","",N39-O39)</f>
        <v/>
      </c>
      <c r="Q39" s="492">
        <f>IF(OR(6&gt;$B$27,ISBLANK(Actuals!H15)),"",Actuals!H15)</f>
        <v/>
      </c>
      <c r="R39" s="492">
        <f>'Reforecast Q1 2026'!H15</f>
        <v/>
      </c>
      <c r="S39" s="492">
        <f>IF(Q39="","",Q39-R39)</f>
        <v/>
      </c>
      <c r="T39" s="492">
        <f>IF(OR(7&gt;$B$27,ISBLANK(Actuals!I15)),"",Actuals!I15)</f>
        <v/>
      </c>
      <c r="U39" s="492">
        <f>'Reforecast Q1 2026'!I15</f>
        <v/>
      </c>
      <c r="V39" s="492">
        <f>IF(T39="","",T39-U39)</f>
        <v/>
      </c>
      <c r="W39" s="492">
        <f>IF(OR(8&gt;$B$27,ISBLANK(Actuals!J15)),"",Actuals!J15)</f>
        <v/>
      </c>
      <c r="X39" s="492">
        <f>'Reforecast Q1 2026'!J15</f>
        <v/>
      </c>
      <c r="Y39" s="492">
        <f>IF(W39="","",W39-X39)</f>
        <v/>
      </c>
      <c r="Z39" s="492">
        <f>IF(OR(9&gt;$B$27,ISBLANK(Actuals!K15)),"",Actuals!K15)</f>
        <v/>
      </c>
      <c r="AA39" s="492">
        <f>'Reforecast Q1 2026'!K15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'Reforecast Q1 2026'!L15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'Reforecast Q1 2026'!M15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'Reforecast Q1 2026'!N15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SUM('Reforecast Q1 2026'!$C15:INDEX('Reforecast Q1 2026'!$C15:$N15,$B$27))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'Reforecast Q1 2026'!C16</f>
        <v/>
      </c>
      <c r="D40" s="492">
        <f>IF(B40="","",B40-C40)</f>
        <v/>
      </c>
      <c r="E40" s="492">
        <f>IF(OR(2&gt;$B$27,ISBLANK(Actuals!D16)),"",Actuals!D16)</f>
        <v/>
      </c>
      <c r="F40" s="492">
        <f>'Reforecast Q1 2026'!D16</f>
        <v/>
      </c>
      <c r="G40" s="492">
        <f>IF(E40="","",E40-F40)</f>
        <v/>
      </c>
      <c r="H40" s="492">
        <f>IF(OR(3&gt;$B$27,ISBLANK(Actuals!E16)),"",Actuals!E16)</f>
        <v/>
      </c>
      <c r="I40" s="492">
        <f>'Reforecast Q1 2026'!E16</f>
        <v/>
      </c>
      <c r="J40" s="492">
        <f>IF(H40="","",H40-I40)</f>
        <v/>
      </c>
      <c r="K40" s="492">
        <f>IF(OR(4&gt;$B$27,ISBLANK(Actuals!F16)),"",Actuals!F16)</f>
        <v/>
      </c>
      <c r="L40" s="492">
        <f>'Reforecast Q1 2026'!F16</f>
        <v/>
      </c>
      <c r="M40" s="492">
        <f>IF(K40="","",K40-L40)</f>
        <v/>
      </c>
      <c r="N40" s="492">
        <f>IF(OR(5&gt;$B$27,ISBLANK(Actuals!G16)),"",Actuals!G16)</f>
        <v/>
      </c>
      <c r="O40" s="492">
        <f>'Reforecast Q1 2026'!G16</f>
        <v/>
      </c>
      <c r="P40" s="492">
        <f>IF(N40="","",N40-O40)</f>
        <v/>
      </c>
      <c r="Q40" s="492">
        <f>IF(OR(6&gt;$B$27,ISBLANK(Actuals!H16)),"",Actuals!H16)</f>
        <v/>
      </c>
      <c r="R40" s="492">
        <f>'Reforecast Q1 2026'!H16</f>
        <v/>
      </c>
      <c r="S40" s="492">
        <f>IF(Q40="","",Q40-R40)</f>
        <v/>
      </c>
      <c r="T40" s="492">
        <f>IF(OR(7&gt;$B$27,ISBLANK(Actuals!I16)),"",Actuals!I16)</f>
        <v/>
      </c>
      <c r="U40" s="492">
        <f>'Reforecast Q1 2026'!I16</f>
        <v/>
      </c>
      <c r="V40" s="492">
        <f>IF(T40="","",T40-U40)</f>
        <v/>
      </c>
      <c r="W40" s="492">
        <f>IF(OR(8&gt;$B$27,ISBLANK(Actuals!J16)),"",Actuals!J16)</f>
        <v/>
      </c>
      <c r="X40" s="492">
        <f>'Reforecast Q1 2026'!J16</f>
        <v/>
      </c>
      <c r="Y40" s="492">
        <f>IF(W40="","",W40-X40)</f>
        <v/>
      </c>
      <c r="Z40" s="492">
        <f>IF(OR(9&gt;$B$27,ISBLANK(Actuals!K16)),"",Actuals!K16)</f>
        <v/>
      </c>
      <c r="AA40" s="492">
        <f>'Reforecast Q1 2026'!K16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'Reforecast Q1 2026'!L16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'Reforecast Q1 2026'!M16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'Reforecast Q1 2026'!N16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SUM('Reforecast Q1 2026'!$C16:INDEX('Reforecast Q1 2026'!$C16:$N16,$B$27))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'Reforecast Q1 2026'!C17</f>
        <v/>
      </c>
      <c r="D41" s="494">
        <f>IF(B41="","",B41-C41)</f>
        <v/>
      </c>
      <c r="E41" s="494">
        <f>IF(OR(2&gt;$B$27,ISBLANK(Actuals!D17)),"",Actuals!D17)</f>
        <v/>
      </c>
      <c r="F41" s="494">
        <f>'Reforecast Q1 2026'!D17</f>
        <v/>
      </c>
      <c r="G41" s="494">
        <f>IF(E41="","",E41-F41)</f>
        <v/>
      </c>
      <c r="H41" s="494">
        <f>IF(OR(3&gt;$B$27,ISBLANK(Actuals!E17)),"",Actuals!E17)</f>
        <v/>
      </c>
      <c r="I41" s="494">
        <f>'Reforecast Q1 2026'!E17</f>
        <v/>
      </c>
      <c r="J41" s="494">
        <f>IF(H41="","",H41-I41)</f>
        <v/>
      </c>
      <c r="K41" s="494">
        <f>IF(OR(4&gt;$B$27,ISBLANK(Actuals!F17)),"",Actuals!F17)</f>
        <v/>
      </c>
      <c r="L41" s="494">
        <f>'Reforecast Q1 2026'!F17</f>
        <v/>
      </c>
      <c r="M41" s="494">
        <f>IF(K41="","",K41-L41)</f>
        <v/>
      </c>
      <c r="N41" s="494">
        <f>IF(OR(5&gt;$B$27,ISBLANK(Actuals!G17)),"",Actuals!G17)</f>
        <v/>
      </c>
      <c r="O41" s="494">
        <f>'Reforecast Q1 2026'!G17</f>
        <v/>
      </c>
      <c r="P41" s="494">
        <f>IF(N41="","",N41-O41)</f>
        <v/>
      </c>
      <c r="Q41" s="494">
        <f>IF(OR(6&gt;$B$27,ISBLANK(Actuals!H17)),"",Actuals!H17)</f>
        <v/>
      </c>
      <c r="R41" s="494">
        <f>'Reforecast Q1 2026'!H17</f>
        <v/>
      </c>
      <c r="S41" s="494">
        <f>IF(Q41="","",Q41-R41)</f>
        <v/>
      </c>
      <c r="T41" s="494">
        <f>IF(OR(7&gt;$B$27,ISBLANK(Actuals!I17)),"",Actuals!I17)</f>
        <v/>
      </c>
      <c r="U41" s="494">
        <f>'Reforecast Q1 2026'!I17</f>
        <v/>
      </c>
      <c r="V41" s="494">
        <f>IF(T41="","",T41-U41)</f>
        <v/>
      </c>
      <c r="W41" s="494">
        <f>IF(OR(8&gt;$B$27,ISBLANK(Actuals!J17)),"",Actuals!J17)</f>
        <v/>
      </c>
      <c r="X41" s="494">
        <f>'Reforecast Q1 2026'!J17</f>
        <v/>
      </c>
      <c r="Y41" s="494">
        <f>IF(W41="","",W41-X41)</f>
        <v/>
      </c>
      <c r="Z41" s="494">
        <f>IF(OR(9&gt;$B$27,ISBLANK(Actuals!K17)),"",Actuals!K17)</f>
        <v/>
      </c>
      <c r="AA41" s="494">
        <f>'Reforecast Q1 2026'!K17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'Reforecast Q1 2026'!L17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'Reforecast Q1 2026'!M17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'Reforecast Q1 2026'!N17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SUM('Reforecast Q1 2026'!$C17:INDEX('Reforecast Q1 2026'!$C17:$N17,$B$27))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'Reforecast Q1 2026'!C18</f>
        <v/>
      </c>
      <c r="D42" s="492">
        <f>IF(B42="","",B42-C42)</f>
        <v/>
      </c>
      <c r="E42" s="492">
        <f>IF(OR(2&gt;$B$27,ISBLANK(Actuals!D18)),"",Actuals!D18)</f>
        <v/>
      </c>
      <c r="F42" s="492">
        <f>'Reforecast Q1 2026'!D18</f>
        <v/>
      </c>
      <c r="G42" s="492">
        <f>IF(E42="","",E42-F42)</f>
        <v/>
      </c>
      <c r="H42" s="492">
        <f>IF(OR(3&gt;$B$27,ISBLANK(Actuals!E18)),"",Actuals!E18)</f>
        <v/>
      </c>
      <c r="I42" s="492">
        <f>'Reforecast Q1 2026'!E18</f>
        <v/>
      </c>
      <c r="J42" s="492">
        <f>IF(H42="","",H42-I42)</f>
        <v/>
      </c>
      <c r="K42" s="492">
        <f>IF(OR(4&gt;$B$27,ISBLANK(Actuals!F18)),"",Actuals!F18)</f>
        <v/>
      </c>
      <c r="L42" s="492">
        <f>'Reforecast Q1 2026'!F18</f>
        <v/>
      </c>
      <c r="M42" s="492">
        <f>IF(K42="","",K42-L42)</f>
        <v/>
      </c>
      <c r="N42" s="492">
        <f>IF(OR(5&gt;$B$27,ISBLANK(Actuals!G18)),"",Actuals!G18)</f>
        <v/>
      </c>
      <c r="O42" s="492">
        <f>'Reforecast Q1 2026'!G18</f>
        <v/>
      </c>
      <c r="P42" s="492">
        <f>IF(N42="","",N42-O42)</f>
        <v/>
      </c>
      <c r="Q42" s="492">
        <f>IF(OR(6&gt;$B$27,ISBLANK(Actuals!H18)),"",Actuals!H18)</f>
        <v/>
      </c>
      <c r="R42" s="492">
        <f>'Reforecast Q1 2026'!H18</f>
        <v/>
      </c>
      <c r="S42" s="492">
        <f>IF(Q42="","",Q42-R42)</f>
        <v/>
      </c>
      <c r="T42" s="492">
        <f>IF(OR(7&gt;$B$27,ISBLANK(Actuals!I18)),"",Actuals!I18)</f>
        <v/>
      </c>
      <c r="U42" s="492">
        <f>'Reforecast Q1 2026'!I18</f>
        <v/>
      </c>
      <c r="V42" s="492">
        <f>IF(T42="","",T42-U42)</f>
        <v/>
      </c>
      <c r="W42" s="492">
        <f>IF(OR(8&gt;$B$27,ISBLANK(Actuals!J18)),"",Actuals!J18)</f>
        <v/>
      </c>
      <c r="X42" s="492">
        <f>'Reforecast Q1 2026'!J18</f>
        <v/>
      </c>
      <c r="Y42" s="492">
        <f>IF(W42="","",W42-X42)</f>
        <v/>
      </c>
      <c r="Z42" s="492">
        <f>IF(OR(9&gt;$B$27,ISBLANK(Actuals!K18)),"",Actuals!K18)</f>
        <v/>
      </c>
      <c r="AA42" s="492">
        <f>'Reforecast Q1 2026'!K18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'Reforecast Q1 2026'!L18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'Reforecast Q1 2026'!M18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'Reforecast Q1 2026'!N18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SUM('Reforecast Q1 2026'!$C18:INDEX('Reforecast Q1 2026'!$C18:$N18,$B$27))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'Reforecast Q1 2026'!C21</f>
        <v/>
      </c>
      <c r="D45" s="492">
        <f>IF(B45="","",B45-C45)</f>
        <v/>
      </c>
      <c r="E45" s="492">
        <f>IF(OR(2&gt;$B$27,ISBLANK(Actuals!D21)),"",Actuals!D21)</f>
        <v/>
      </c>
      <c r="F45" s="492">
        <f>'Reforecast Q1 2026'!D21</f>
        <v/>
      </c>
      <c r="G45" s="492">
        <f>IF(E45="","",E45-F45)</f>
        <v/>
      </c>
      <c r="H45" s="492">
        <f>IF(OR(3&gt;$B$27,ISBLANK(Actuals!E21)),"",Actuals!E21)</f>
        <v/>
      </c>
      <c r="I45" s="492">
        <f>'Reforecast Q1 2026'!E21</f>
        <v/>
      </c>
      <c r="J45" s="492">
        <f>IF(H45="","",H45-I45)</f>
        <v/>
      </c>
      <c r="K45" s="492">
        <f>IF(OR(4&gt;$B$27,ISBLANK(Actuals!F21)),"",Actuals!F21)</f>
        <v/>
      </c>
      <c r="L45" s="492">
        <f>'Reforecast Q1 2026'!F21</f>
        <v/>
      </c>
      <c r="M45" s="492">
        <f>IF(K45="","",K45-L45)</f>
        <v/>
      </c>
      <c r="N45" s="492">
        <f>IF(OR(5&gt;$B$27,ISBLANK(Actuals!G21)),"",Actuals!G21)</f>
        <v/>
      </c>
      <c r="O45" s="492">
        <f>'Reforecast Q1 2026'!G21</f>
        <v/>
      </c>
      <c r="P45" s="492">
        <f>IF(N45="","",N45-O45)</f>
        <v/>
      </c>
      <c r="Q45" s="492">
        <f>IF(OR(6&gt;$B$27,ISBLANK(Actuals!H21)),"",Actuals!H21)</f>
        <v/>
      </c>
      <c r="R45" s="492">
        <f>'Reforecast Q1 2026'!H21</f>
        <v/>
      </c>
      <c r="S45" s="492">
        <f>IF(Q45="","",Q45-R45)</f>
        <v/>
      </c>
      <c r="T45" s="492">
        <f>IF(OR(7&gt;$B$27,ISBLANK(Actuals!I21)),"",Actuals!I21)</f>
        <v/>
      </c>
      <c r="U45" s="492">
        <f>'Reforecast Q1 2026'!I21</f>
        <v/>
      </c>
      <c r="V45" s="492">
        <f>IF(T45="","",T45-U45)</f>
        <v/>
      </c>
      <c r="W45" s="492">
        <f>IF(OR(8&gt;$B$27,ISBLANK(Actuals!J21)),"",Actuals!J21)</f>
        <v/>
      </c>
      <c r="X45" s="492">
        <f>'Reforecast Q1 2026'!J21</f>
        <v/>
      </c>
      <c r="Y45" s="492">
        <f>IF(W45="","",W45-X45)</f>
        <v/>
      </c>
      <c r="Z45" s="492">
        <f>IF(OR(9&gt;$B$27,ISBLANK(Actuals!K21)),"",Actuals!K21)</f>
        <v/>
      </c>
      <c r="AA45" s="492">
        <f>'Reforecast Q1 2026'!K21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'Reforecast Q1 2026'!L21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'Reforecast Q1 2026'!M21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'Reforecast Q1 2026'!N21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SUM('Reforecast Q1 2026'!$C21:INDEX('Reforecast Q1 2026'!$C21:$N21,$B$27))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'Reforecast Q1 2026'!C22</f>
        <v/>
      </c>
      <c r="D46" s="492">
        <f>IF(B46="","",B46-C46)</f>
        <v/>
      </c>
      <c r="E46" s="492">
        <f>IF(OR(2&gt;$B$27,ISBLANK(Actuals!D22)),"",Actuals!D22)</f>
        <v/>
      </c>
      <c r="F46" s="492">
        <f>'Reforecast Q1 2026'!D22</f>
        <v/>
      </c>
      <c r="G46" s="492">
        <f>IF(E46="","",E46-F46)</f>
        <v/>
      </c>
      <c r="H46" s="492">
        <f>IF(OR(3&gt;$B$27,ISBLANK(Actuals!E22)),"",Actuals!E22)</f>
        <v/>
      </c>
      <c r="I46" s="492">
        <f>'Reforecast Q1 2026'!E22</f>
        <v/>
      </c>
      <c r="J46" s="492">
        <f>IF(H46="","",H46-I46)</f>
        <v/>
      </c>
      <c r="K46" s="492">
        <f>IF(OR(4&gt;$B$27,ISBLANK(Actuals!F22)),"",Actuals!F22)</f>
        <v/>
      </c>
      <c r="L46" s="492">
        <f>'Reforecast Q1 2026'!F22</f>
        <v/>
      </c>
      <c r="M46" s="492">
        <f>IF(K46="","",K46-L46)</f>
        <v/>
      </c>
      <c r="N46" s="492">
        <f>IF(OR(5&gt;$B$27,ISBLANK(Actuals!G22)),"",Actuals!G22)</f>
        <v/>
      </c>
      <c r="O46" s="492">
        <f>'Reforecast Q1 2026'!G22</f>
        <v/>
      </c>
      <c r="P46" s="492">
        <f>IF(N46="","",N46-O46)</f>
        <v/>
      </c>
      <c r="Q46" s="492">
        <f>IF(OR(6&gt;$B$27,ISBLANK(Actuals!H22)),"",Actuals!H22)</f>
        <v/>
      </c>
      <c r="R46" s="492">
        <f>'Reforecast Q1 2026'!H22</f>
        <v/>
      </c>
      <c r="S46" s="492">
        <f>IF(Q46="","",Q46-R46)</f>
        <v/>
      </c>
      <c r="T46" s="492">
        <f>IF(OR(7&gt;$B$27,ISBLANK(Actuals!I22)),"",Actuals!I22)</f>
        <v/>
      </c>
      <c r="U46" s="492">
        <f>'Reforecast Q1 2026'!I22</f>
        <v/>
      </c>
      <c r="V46" s="492">
        <f>IF(T46="","",T46-U46)</f>
        <v/>
      </c>
      <c r="W46" s="492">
        <f>IF(OR(8&gt;$B$27,ISBLANK(Actuals!J22)),"",Actuals!J22)</f>
        <v/>
      </c>
      <c r="X46" s="492">
        <f>'Reforecast Q1 2026'!J22</f>
        <v/>
      </c>
      <c r="Y46" s="492">
        <f>IF(W46="","",W46-X46)</f>
        <v/>
      </c>
      <c r="Z46" s="492">
        <f>IF(OR(9&gt;$B$27,ISBLANK(Actuals!K22)),"",Actuals!K22)</f>
        <v/>
      </c>
      <c r="AA46" s="492">
        <f>'Reforecast Q1 2026'!K22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'Reforecast Q1 2026'!L22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'Reforecast Q1 2026'!M22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'Reforecast Q1 2026'!N22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SUM('Reforecast Q1 2026'!$C22:INDEX('Reforecast Q1 2026'!$C22:$N22,$B$27))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'Reforecast Q1 2026'!C23</f>
        <v/>
      </c>
      <c r="D47" s="492">
        <f>IF(B47="","",B47-C47)</f>
        <v/>
      </c>
      <c r="E47" s="492">
        <f>IF(OR(2&gt;$B$27,ISBLANK(Actuals!D23)),"",Actuals!D23)</f>
        <v/>
      </c>
      <c r="F47" s="492">
        <f>'Reforecast Q1 2026'!D23</f>
        <v/>
      </c>
      <c r="G47" s="492">
        <f>IF(E47="","",E47-F47)</f>
        <v/>
      </c>
      <c r="H47" s="492">
        <f>IF(OR(3&gt;$B$27,ISBLANK(Actuals!E23)),"",Actuals!E23)</f>
        <v/>
      </c>
      <c r="I47" s="492">
        <f>'Reforecast Q1 2026'!E23</f>
        <v/>
      </c>
      <c r="J47" s="492">
        <f>IF(H47="","",H47-I47)</f>
        <v/>
      </c>
      <c r="K47" s="492">
        <f>IF(OR(4&gt;$B$27,ISBLANK(Actuals!F23)),"",Actuals!F23)</f>
        <v/>
      </c>
      <c r="L47" s="492">
        <f>'Reforecast Q1 2026'!F23</f>
        <v/>
      </c>
      <c r="M47" s="492">
        <f>IF(K47="","",K47-L47)</f>
        <v/>
      </c>
      <c r="N47" s="492">
        <f>IF(OR(5&gt;$B$27,ISBLANK(Actuals!G23)),"",Actuals!G23)</f>
        <v/>
      </c>
      <c r="O47" s="492">
        <f>'Reforecast Q1 2026'!G23</f>
        <v/>
      </c>
      <c r="P47" s="492">
        <f>IF(N47="","",N47-O47)</f>
        <v/>
      </c>
      <c r="Q47" s="492">
        <f>IF(OR(6&gt;$B$27,ISBLANK(Actuals!H23)),"",Actuals!H23)</f>
        <v/>
      </c>
      <c r="R47" s="492">
        <f>'Reforecast Q1 2026'!H23</f>
        <v/>
      </c>
      <c r="S47" s="492">
        <f>IF(Q47="","",Q47-R47)</f>
        <v/>
      </c>
      <c r="T47" s="492">
        <f>IF(OR(7&gt;$B$27,ISBLANK(Actuals!I23)),"",Actuals!I23)</f>
        <v/>
      </c>
      <c r="U47" s="492">
        <f>'Reforecast Q1 2026'!I23</f>
        <v/>
      </c>
      <c r="V47" s="492">
        <f>IF(T47="","",T47-U47)</f>
        <v/>
      </c>
      <c r="W47" s="492">
        <f>IF(OR(8&gt;$B$27,ISBLANK(Actuals!J23)),"",Actuals!J23)</f>
        <v/>
      </c>
      <c r="X47" s="492">
        <f>'Reforecast Q1 2026'!J23</f>
        <v/>
      </c>
      <c r="Y47" s="492">
        <f>IF(W47="","",W47-X47)</f>
        <v/>
      </c>
      <c r="Z47" s="492">
        <f>IF(OR(9&gt;$B$27,ISBLANK(Actuals!K23)),"",Actuals!K23)</f>
        <v/>
      </c>
      <c r="AA47" s="492">
        <f>'Reforecast Q1 2026'!K23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'Reforecast Q1 2026'!L23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'Reforecast Q1 2026'!M23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'Reforecast Q1 2026'!N23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SUM('Reforecast Q1 2026'!$C23:INDEX('Reforecast Q1 2026'!$C23:$N23,$B$27))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'Reforecast Q1 2026'!C24</f>
        <v/>
      </c>
      <c r="D48" s="492">
        <f>IF(B48="","",B48-C48)</f>
        <v/>
      </c>
      <c r="E48" s="492">
        <f>IF(OR(2&gt;$B$27,ISBLANK(Actuals!D24)),"",Actuals!D24)</f>
        <v/>
      </c>
      <c r="F48" s="492">
        <f>'Reforecast Q1 2026'!D24</f>
        <v/>
      </c>
      <c r="G48" s="492">
        <f>IF(E48="","",E48-F48)</f>
        <v/>
      </c>
      <c r="H48" s="492">
        <f>IF(OR(3&gt;$B$27,ISBLANK(Actuals!E24)),"",Actuals!E24)</f>
        <v/>
      </c>
      <c r="I48" s="492">
        <f>'Reforecast Q1 2026'!E24</f>
        <v/>
      </c>
      <c r="J48" s="492">
        <f>IF(H48="","",H48-I48)</f>
        <v/>
      </c>
      <c r="K48" s="492">
        <f>IF(OR(4&gt;$B$27,ISBLANK(Actuals!F24)),"",Actuals!F24)</f>
        <v/>
      </c>
      <c r="L48" s="492">
        <f>'Reforecast Q1 2026'!F24</f>
        <v/>
      </c>
      <c r="M48" s="492">
        <f>IF(K48="","",K48-L48)</f>
        <v/>
      </c>
      <c r="N48" s="492">
        <f>IF(OR(5&gt;$B$27,ISBLANK(Actuals!G24)),"",Actuals!G24)</f>
        <v/>
      </c>
      <c r="O48" s="492">
        <f>'Reforecast Q1 2026'!G24</f>
        <v/>
      </c>
      <c r="P48" s="492">
        <f>IF(N48="","",N48-O48)</f>
        <v/>
      </c>
      <c r="Q48" s="492">
        <f>IF(OR(6&gt;$B$27,ISBLANK(Actuals!H24)),"",Actuals!H24)</f>
        <v/>
      </c>
      <c r="R48" s="492">
        <f>'Reforecast Q1 2026'!H24</f>
        <v/>
      </c>
      <c r="S48" s="492">
        <f>IF(Q48="","",Q48-R48)</f>
        <v/>
      </c>
      <c r="T48" s="492">
        <f>IF(OR(7&gt;$B$27,ISBLANK(Actuals!I24)),"",Actuals!I24)</f>
        <v/>
      </c>
      <c r="U48" s="492">
        <f>'Reforecast Q1 2026'!I24</f>
        <v/>
      </c>
      <c r="V48" s="492">
        <f>IF(T48="","",T48-U48)</f>
        <v/>
      </c>
      <c r="W48" s="492">
        <f>IF(OR(8&gt;$B$27,ISBLANK(Actuals!J24)),"",Actuals!J24)</f>
        <v/>
      </c>
      <c r="X48" s="492">
        <f>'Reforecast Q1 2026'!J24</f>
        <v/>
      </c>
      <c r="Y48" s="492">
        <f>IF(W48="","",W48-X48)</f>
        <v/>
      </c>
      <c r="Z48" s="492">
        <f>IF(OR(9&gt;$B$27,ISBLANK(Actuals!K24)),"",Actuals!K24)</f>
        <v/>
      </c>
      <c r="AA48" s="492">
        <f>'Reforecast Q1 2026'!K24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'Reforecast Q1 2026'!L24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'Reforecast Q1 2026'!M24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'Reforecast Q1 2026'!N24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SUM('Reforecast Q1 2026'!$C24:INDEX('Reforecast Q1 2026'!$C24:$N24,$B$27))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'Reforecast Q1 2026'!C25</f>
        <v/>
      </c>
      <c r="D49" s="492">
        <f>IF(B49="","",B49-C49)</f>
        <v/>
      </c>
      <c r="E49" s="492">
        <f>IF(OR(2&gt;$B$27,ISBLANK(Actuals!D25)),"",Actuals!D25)</f>
        <v/>
      </c>
      <c r="F49" s="492">
        <f>'Reforecast Q1 2026'!D25</f>
        <v/>
      </c>
      <c r="G49" s="492">
        <f>IF(E49="","",E49-F49)</f>
        <v/>
      </c>
      <c r="H49" s="492">
        <f>IF(OR(3&gt;$B$27,ISBLANK(Actuals!E25)),"",Actuals!E25)</f>
        <v/>
      </c>
      <c r="I49" s="492">
        <f>'Reforecast Q1 2026'!E25</f>
        <v/>
      </c>
      <c r="J49" s="492">
        <f>IF(H49="","",H49-I49)</f>
        <v/>
      </c>
      <c r="K49" s="492">
        <f>IF(OR(4&gt;$B$27,ISBLANK(Actuals!F25)),"",Actuals!F25)</f>
        <v/>
      </c>
      <c r="L49" s="492">
        <f>'Reforecast Q1 2026'!F25</f>
        <v/>
      </c>
      <c r="M49" s="492">
        <f>IF(K49="","",K49-L49)</f>
        <v/>
      </c>
      <c r="N49" s="492">
        <f>IF(OR(5&gt;$B$27,ISBLANK(Actuals!G25)),"",Actuals!G25)</f>
        <v/>
      </c>
      <c r="O49" s="492">
        <f>'Reforecast Q1 2026'!G25</f>
        <v/>
      </c>
      <c r="P49" s="492">
        <f>IF(N49="","",N49-O49)</f>
        <v/>
      </c>
      <c r="Q49" s="492">
        <f>IF(OR(6&gt;$B$27,ISBLANK(Actuals!H25)),"",Actuals!H25)</f>
        <v/>
      </c>
      <c r="R49" s="492">
        <f>'Reforecast Q1 2026'!H25</f>
        <v/>
      </c>
      <c r="S49" s="492">
        <f>IF(Q49="","",Q49-R49)</f>
        <v/>
      </c>
      <c r="T49" s="492">
        <f>IF(OR(7&gt;$B$27,ISBLANK(Actuals!I25)),"",Actuals!I25)</f>
        <v/>
      </c>
      <c r="U49" s="492">
        <f>'Reforecast Q1 2026'!I25</f>
        <v/>
      </c>
      <c r="V49" s="492">
        <f>IF(T49="","",T49-U49)</f>
        <v/>
      </c>
      <c r="W49" s="492">
        <f>IF(OR(8&gt;$B$27,ISBLANK(Actuals!J25)),"",Actuals!J25)</f>
        <v/>
      </c>
      <c r="X49" s="492">
        <f>'Reforecast Q1 2026'!J25</f>
        <v/>
      </c>
      <c r="Y49" s="492">
        <f>IF(W49="","",W49-X49)</f>
        <v/>
      </c>
      <c r="Z49" s="492">
        <f>IF(OR(9&gt;$B$27,ISBLANK(Actuals!K25)),"",Actuals!K25)</f>
        <v/>
      </c>
      <c r="AA49" s="492">
        <f>'Reforecast Q1 2026'!K25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'Reforecast Q1 2026'!L25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'Reforecast Q1 2026'!M25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'Reforecast Q1 2026'!N25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SUM('Reforecast Q1 2026'!$C25:INDEX('Reforecast Q1 2026'!$C25:$N25,$B$27))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'Reforecast Q1 2026'!C26</f>
        <v/>
      </c>
      <c r="D50" s="492">
        <f>IF(B50="","",B50-C50)</f>
        <v/>
      </c>
      <c r="E50" s="492">
        <f>IF(OR(2&gt;$B$27,ISBLANK(Actuals!D26)),"",Actuals!D26)</f>
        <v/>
      </c>
      <c r="F50" s="492">
        <f>'Reforecast Q1 2026'!D26</f>
        <v/>
      </c>
      <c r="G50" s="492">
        <f>IF(E50="","",E50-F50)</f>
        <v/>
      </c>
      <c r="H50" s="492">
        <f>IF(OR(3&gt;$B$27,ISBLANK(Actuals!E26)),"",Actuals!E26)</f>
        <v/>
      </c>
      <c r="I50" s="492">
        <f>'Reforecast Q1 2026'!E26</f>
        <v/>
      </c>
      <c r="J50" s="492">
        <f>IF(H50="","",H50-I50)</f>
        <v/>
      </c>
      <c r="K50" s="492">
        <f>IF(OR(4&gt;$B$27,ISBLANK(Actuals!F26)),"",Actuals!F26)</f>
        <v/>
      </c>
      <c r="L50" s="492">
        <f>'Reforecast Q1 2026'!F26</f>
        <v/>
      </c>
      <c r="M50" s="492">
        <f>IF(K50="","",K50-L50)</f>
        <v/>
      </c>
      <c r="N50" s="492">
        <f>IF(OR(5&gt;$B$27,ISBLANK(Actuals!G26)),"",Actuals!G26)</f>
        <v/>
      </c>
      <c r="O50" s="492">
        <f>'Reforecast Q1 2026'!G26</f>
        <v/>
      </c>
      <c r="P50" s="492">
        <f>IF(N50="","",N50-O50)</f>
        <v/>
      </c>
      <c r="Q50" s="492">
        <f>IF(OR(6&gt;$B$27,ISBLANK(Actuals!H26)),"",Actuals!H26)</f>
        <v/>
      </c>
      <c r="R50" s="492">
        <f>'Reforecast Q1 2026'!H26</f>
        <v/>
      </c>
      <c r="S50" s="492">
        <f>IF(Q50="","",Q50-R50)</f>
        <v/>
      </c>
      <c r="T50" s="492">
        <f>IF(OR(7&gt;$B$27,ISBLANK(Actuals!I26)),"",Actuals!I26)</f>
        <v/>
      </c>
      <c r="U50" s="492">
        <f>'Reforecast Q1 2026'!I26</f>
        <v/>
      </c>
      <c r="V50" s="492">
        <f>IF(T50="","",T50-U50)</f>
        <v/>
      </c>
      <c r="W50" s="492">
        <f>IF(OR(8&gt;$B$27,ISBLANK(Actuals!J26)),"",Actuals!J26)</f>
        <v/>
      </c>
      <c r="X50" s="492">
        <f>'Reforecast Q1 2026'!J26</f>
        <v/>
      </c>
      <c r="Y50" s="492">
        <f>IF(W50="","",W50-X50)</f>
        <v/>
      </c>
      <c r="Z50" s="492">
        <f>IF(OR(9&gt;$B$27,ISBLANK(Actuals!K26)),"",Actuals!K26)</f>
        <v/>
      </c>
      <c r="AA50" s="492">
        <f>'Reforecast Q1 2026'!K26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'Reforecast Q1 2026'!L26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'Reforecast Q1 2026'!M26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'Reforecast Q1 2026'!N26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SUM('Reforecast Q1 2026'!$C26:INDEX('Reforecast Q1 2026'!$C26:$N26,$B$27))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'Reforecast Q1 2026'!C27</f>
        <v/>
      </c>
      <c r="D51" s="492">
        <f>IF(B51="","",B51-C51)</f>
        <v/>
      </c>
      <c r="E51" s="492">
        <f>IF(OR(2&gt;$B$27,ISBLANK(Actuals!D27)),"",Actuals!D27)</f>
        <v/>
      </c>
      <c r="F51" s="492">
        <f>'Reforecast Q1 2026'!D27</f>
        <v/>
      </c>
      <c r="G51" s="492">
        <f>IF(E51="","",E51-F51)</f>
        <v/>
      </c>
      <c r="H51" s="492">
        <f>IF(OR(3&gt;$B$27,ISBLANK(Actuals!E27)),"",Actuals!E27)</f>
        <v/>
      </c>
      <c r="I51" s="492">
        <f>'Reforecast Q1 2026'!E27</f>
        <v/>
      </c>
      <c r="J51" s="492">
        <f>IF(H51="","",H51-I51)</f>
        <v/>
      </c>
      <c r="K51" s="492">
        <f>IF(OR(4&gt;$B$27,ISBLANK(Actuals!F27)),"",Actuals!F27)</f>
        <v/>
      </c>
      <c r="L51" s="492">
        <f>'Reforecast Q1 2026'!F27</f>
        <v/>
      </c>
      <c r="M51" s="492">
        <f>IF(K51="","",K51-L51)</f>
        <v/>
      </c>
      <c r="N51" s="492">
        <f>IF(OR(5&gt;$B$27,ISBLANK(Actuals!G27)),"",Actuals!G27)</f>
        <v/>
      </c>
      <c r="O51" s="492">
        <f>'Reforecast Q1 2026'!G27</f>
        <v/>
      </c>
      <c r="P51" s="492">
        <f>IF(N51="","",N51-O51)</f>
        <v/>
      </c>
      <c r="Q51" s="492">
        <f>IF(OR(6&gt;$B$27,ISBLANK(Actuals!H27)),"",Actuals!H27)</f>
        <v/>
      </c>
      <c r="R51" s="492">
        <f>'Reforecast Q1 2026'!H27</f>
        <v/>
      </c>
      <c r="S51" s="492">
        <f>IF(Q51="","",Q51-R51)</f>
        <v/>
      </c>
      <c r="T51" s="492">
        <f>IF(OR(7&gt;$B$27,ISBLANK(Actuals!I27)),"",Actuals!I27)</f>
        <v/>
      </c>
      <c r="U51" s="492">
        <f>'Reforecast Q1 2026'!I27</f>
        <v/>
      </c>
      <c r="V51" s="492">
        <f>IF(T51="","",T51-U51)</f>
        <v/>
      </c>
      <c r="W51" s="492">
        <f>IF(OR(8&gt;$B$27,ISBLANK(Actuals!J27)),"",Actuals!J27)</f>
        <v/>
      </c>
      <c r="X51" s="492">
        <f>'Reforecast Q1 2026'!J27</f>
        <v/>
      </c>
      <c r="Y51" s="492">
        <f>IF(W51="","",W51-X51)</f>
        <v/>
      </c>
      <c r="Z51" s="492">
        <f>IF(OR(9&gt;$B$27,ISBLANK(Actuals!K27)),"",Actuals!K27)</f>
        <v/>
      </c>
      <c r="AA51" s="492">
        <f>'Reforecast Q1 2026'!K27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'Reforecast Q1 2026'!L27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'Reforecast Q1 2026'!M27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'Reforecast Q1 2026'!N27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SUM('Reforecast Q1 2026'!$C27:INDEX('Reforecast Q1 2026'!$C27:$N27,$B$27))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'Reforecast Q1 2026'!C28</f>
        <v/>
      </c>
      <c r="D52" s="492">
        <f>IF(B52="","",B52-C52)</f>
        <v/>
      </c>
      <c r="E52" s="492">
        <f>IF(OR(2&gt;$B$27,ISBLANK(Actuals!D28)),"",Actuals!D28)</f>
        <v/>
      </c>
      <c r="F52" s="492">
        <f>'Reforecast Q1 2026'!D28</f>
        <v/>
      </c>
      <c r="G52" s="492">
        <f>IF(E52="","",E52-F52)</f>
        <v/>
      </c>
      <c r="H52" s="492">
        <f>IF(OR(3&gt;$B$27,ISBLANK(Actuals!E28)),"",Actuals!E28)</f>
        <v/>
      </c>
      <c r="I52" s="492">
        <f>'Reforecast Q1 2026'!E28</f>
        <v/>
      </c>
      <c r="J52" s="492">
        <f>IF(H52="","",H52-I52)</f>
        <v/>
      </c>
      <c r="K52" s="492">
        <f>IF(OR(4&gt;$B$27,ISBLANK(Actuals!F28)),"",Actuals!F28)</f>
        <v/>
      </c>
      <c r="L52" s="492">
        <f>'Reforecast Q1 2026'!F28</f>
        <v/>
      </c>
      <c r="M52" s="492">
        <f>IF(K52="","",K52-L52)</f>
        <v/>
      </c>
      <c r="N52" s="492">
        <f>IF(OR(5&gt;$B$27,ISBLANK(Actuals!G28)),"",Actuals!G28)</f>
        <v/>
      </c>
      <c r="O52" s="492">
        <f>'Reforecast Q1 2026'!G28</f>
        <v/>
      </c>
      <c r="P52" s="492">
        <f>IF(N52="","",N52-O52)</f>
        <v/>
      </c>
      <c r="Q52" s="492">
        <f>IF(OR(6&gt;$B$27,ISBLANK(Actuals!H28)),"",Actuals!H28)</f>
        <v/>
      </c>
      <c r="R52" s="492">
        <f>'Reforecast Q1 2026'!H28</f>
        <v/>
      </c>
      <c r="S52" s="492">
        <f>IF(Q52="","",Q52-R52)</f>
        <v/>
      </c>
      <c r="T52" s="492">
        <f>IF(OR(7&gt;$B$27,ISBLANK(Actuals!I28)),"",Actuals!I28)</f>
        <v/>
      </c>
      <c r="U52" s="492">
        <f>'Reforecast Q1 2026'!I28</f>
        <v/>
      </c>
      <c r="V52" s="492">
        <f>IF(T52="","",T52-U52)</f>
        <v/>
      </c>
      <c r="W52" s="492">
        <f>IF(OR(8&gt;$B$27,ISBLANK(Actuals!J28)),"",Actuals!J28)</f>
        <v/>
      </c>
      <c r="X52" s="492">
        <f>'Reforecast Q1 2026'!J28</f>
        <v/>
      </c>
      <c r="Y52" s="492">
        <f>IF(W52="","",W52-X52)</f>
        <v/>
      </c>
      <c r="Z52" s="492">
        <f>IF(OR(9&gt;$B$27,ISBLANK(Actuals!K28)),"",Actuals!K28)</f>
        <v/>
      </c>
      <c r="AA52" s="492">
        <f>'Reforecast Q1 2026'!K28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'Reforecast Q1 2026'!L28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'Reforecast Q1 2026'!M28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'Reforecast Q1 2026'!N28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SUM('Reforecast Q1 2026'!$C28:INDEX('Reforecast Q1 2026'!$C28:$N28,$B$27))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'Reforecast Q1 2026'!C29</f>
        <v/>
      </c>
      <c r="D53" s="492">
        <f>IF(B53="","",B53-C53)</f>
        <v/>
      </c>
      <c r="E53" s="492">
        <f>IF(OR(2&gt;$B$27,ISBLANK(Actuals!D29)),"",Actuals!D29)</f>
        <v/>
      </c>
      <c r="F53" s="492">
        <f>'Reforecast Q1 2026'!D29</f>
        <v/>
      </c>
      <c r="G53" s="492">
        <f>IF(E53="","",E53-F53)</f>
        <v/>
      </c>
      <c r="H53" s="492">
        <f>IF(OR(3&gt;$B$27,ISBLANK(Actuals!E29)),"",Actuals!E29)</f>
        <v/>
      </c>
      <c r="I53" s="492">
        <f>'Reforecast Q1 2026'!E29</f>
        <v/>
      </c>
      <c r="J53" s="492">
        <f>IF(H53="","",H53-I53)</f>
        <v/>
      </c>
      <c r="K53" s="492">
        <f>IF(OR(4&gt;$B$27,ISBLANK(Actuals!F29)),"",Actuals!F29)</f>
        <v/>
      </c>
      <c r="L53" s="492">
        <f>'Reforecast Q1 2026'!F29</f>
        <v/>
      </c>
      <c r="M53" s="492">
        <f>IF(K53="","",K53-L53)</f>
        <v/>
      </c>
      <c r="N53" s="492">
        <f>IF(OR(5&gt;$B$27,ISBLANK(Actuals!G29)),"",Actuals!G29)</f>
        <v/>
      </c>
      <c r="O53" s="492">
        <f>'Reforecast Q1 2026'!G29</f>
        <v/>
      </c>
      <c r="P53" s="492">
        <f>IF(N53="","",N53-O53)</f>
        <v/>
      </c>
      <c r="Q53" s="492">
        <f>IF(OR(6&gt;$B$27,ISBLANK(Actuals!H29)),"",Actuals!H29)</f>
        <v/>
      </c>
      <c r="R53" s="492">
        <f>'Reforecast Q1 2026'!H29</f>
        <v/>
      </c>
      <c r="S53" s="492">
        <f>IF(Q53="","",Q53-R53)</f>
        <v/>
      </c>
      <c r="T53" s="492">
        <f>IF(OR(7&gt;$B$27,ISBLANK(Actuals!I29)),"",Actuals!I29)</f>
        <v/>
      </c>
      <c r="U53" s="492">
        <f>'Reforecast Q1 2026'!I29</f>
        <v/>
      </c>
      <c r="V53" s="492">
        <f>IF(T53="","",T53-U53)</f>
        <v/>
      </c>
      <c r="W53" s="492">
        <f>IF(OR(8&gt;$B$27,ISBLANK(Actuals!J29)),"",Actuals!J29)</f>
        <v/>
      </c>
      <c r="X53" s="492">
        <f>'Reforecast Q1 2026'!J29</f>
        <v/>
      </c>
      <c r="Y53" s="492">
        <f>IF(W53="","",W53-X53)</f>
        <v/>
      </c>
      <c r="Z53" s="492">
        <f>IF(OR(9&gt;$B$27,ISBLANK(Actuals!K29)),"",Actuals!K29)</f>
        <v/>
      </c>
      <c r="AA53" s="492">
        <f>'Reforecast Q1 2026'!K29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'Reforecast Q1 2026'!L29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'Reforecast Q1 2026'!M29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'Reforecast Q1 2026'!N29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SUM('Reforecast Q1 2026'!$C29:INDEX('Reforecast Q1 2026'!$C29:$N29,$B$27))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'Reforecast Q1 2026'!C30</f>
        <v/>
      </c>
      <c r="D54" s="492">
        <f>IF(B54="","",B54-C54)</f>
        <v/>
      </c>
      <c r="E54" s="492">
        <f>IF(OR(2&gt;$B$27,ISBLANK(Actuals!D30)),"",Actuals!D30)</f>
        <v/>
      </c>
      <c r="F54" s="492">
        <f>'Reforecast Q1 2026'!D30</f>
        <v/>
      </c>
      <c r="G54" s="492">
        <f>IF(E54="","",E54-F54)</f>
        <v/>
      </c>
      <c r="H54" s="492">
        <f>IF(OR(3&gt;$B$27,ISBLANK(Actuals!E30)),"",Actuals!E30)</f>
        <v/>
      </c>
      <c r="I54" s="492">
        <f>'Reforecast Q1 2026'!E30</f>
        <v/>
      </c>
      <c r="J54" s="492">
        <f>IF(H54="","",H54-I54)</f>
        <v/>
      </c>
      <c r="K54" s="492">
        <f>IF(OR(4&gt;$B$27,ISBLANK(Actuals!F30)),"",Actuals!F30)</f>
        <v/>
      </c>
      <c r="L54" s="492">
        <f>'Reforecast Q1 2026'!F30</f>
        <v/>
      </c>
      <c r="M54" s="492">
        <f>IF(K54="","",K54-L54)</f>
        <v/>
      </c>
      <c r="N54" s="492">
        <f>IF(OR(5&gt;$B$27,ISBLANK(Actuals!G30)),"",Actuals!G30)</f>
        <v/>
      </c>
      <c r="O54" s="492">
        <f>'Reforecast Q1 2026'!G30</f>
        <v/>
      </c>
      <c r="P54" s="492">
        <f>IF(N54="","",N54-O54)</f>
        <v/>
      </c>
      <c r="Q54" s="492">
        <f>IF(OR(6&gt;$B$27,ISBLANK(Actuals!H30)),"",Actuals!H30)</f>
        <v/>
      </c>
      <c r="R54" s="492">
        <f>'Reforecast Q1 2026'!H30</f>
        <v/>
      </c>
      <c r="S54" s="492">
        <f>IF(Q54="","",Q54-R54)</f>
        <v/>
      </c>
      <c r="T54" s="492">
        <f>IF(OR(7&gt;$B$27,ISBLANK(Actuals!I30)),"",Actuals!I30)</f>
        <v/>
      </c>
      <c r="U54" s="492">
        <f>'Reforecast Q1 2026'!I30</f>
        <v/>
      </c>
      <c r="V54" s="492">
        <f>IF(T54="","",T54-U54)</f>
        <v/>
      </c>
      <c r="W54" s="492">
        <f>IF(OR(8&gt;$B$27,ISBLANK(Actuals!J30)),"",Actuals!J30)</f>
        <v/>
      </c>
      <c r="X54" s="492">
        <f>'Reforecast Q1 2026'!J30</f>
        <v/>
      </c>
      <c r="Y54" s="492">
        <f>IF(W54="","",W54-X54)</f>
        <v/>
      </c>
      <c r="Z54" s="492">
        <f>IF(OR(9&gt;$B$27,ISBLANK(Actuals!K30)),"",Actuals!K30)</f>
        <v/>
      </c>
      <c r="AA54" s="492">
        <f>'Reforecast Q1 2026'!K30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'Reforecast Q1 2026'!L30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'Reforecast Q1 2026'!M30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'Reforecast Q1 2026'!N30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SUM('Reforecast Q1 2026'!$C30:INDEX('Reforecast Q1 2026'!$C30:$N30,$B$27))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'Reforecast Q1 2026'!C31</f>
        <v/>
      </c>
      <c r="D55" s="492">
        <f>IF(B55="","",B55-C55)</f>
        <v/>
      </c>
      <c r="E55" s="492">
        <f>IF(OR(2&gt;$B$27,ISBLANK(Actuals!D31)),"",Actuals!D31)</f>
        <v/>
      </c>
      <c r="F55" s="492">
        <f>'Reforecast Q1 2026'!D31</f>
        <v/>
      </c>
      <c r="G55" s="492">
        <f>IF(E55="","",E55-F55)</f>
        <v/>
      </c>
      <c r="H55" s="492">
        <f>IF(OR(3&gt;$B$27,ISBLANK(Actuals!E31)),"",Actuals!E31)</f>
        <v/>
      </c>
      <c r="I55" s="492">
        <f>'Reforecast Q1 2026'!E31</f>
        <v/>
      </c>
      <c r="J55" s="492">
        <f>IF(H55="","",H55-I55)</f>
        <v/>
      </c>
      <c r="K55" s="492">
        <f>IF(OR(4&gt;$B$27,ISBLANK(Actuals!F31)),"",Actuals!F31)</f>
        <v/>
      </c>
      <c r="L55" s="492">
        <f>'Reforecast Q1 2026'!F31</f>
        <v/>
      </c>
      <c r="M55" s="492">
        <f>IF(K55="","",K55-L55)</f>
        <v/>
      </c>
      <c r="N55" s="492">
        <f>IF(OR(5&gt;$B$27,ISBLANK(Actuals!G31)),"",Actuals!G31)</f>
        <v/>
      </c>
      <c r="O55" s="492">
        <f>'Reforecast Q1 2026'!G31</f>
        <v/>
      </c>
      <c r="P55" s="492">
        <f>IF(N55="","",N55-O55)</f>
        <v/>
      </c>
      <c r="Q55" s="492">
        <f>IF(OR(6&gt;$B$27,ISBLANK(Actuals!H31)),"",Actuals!H31)</f>
        <v/>
      </c>
      <c r="R55" s="492">
        <f>'Reforecast Q1 2026'!H31</f>
        <v/>
      </c>
      <c r="S55" s="492">
        <f>IF(Q55="","",Q55-R55)</f>
        <v/>
      </c>
      <c r="T55" s="492">
        <f>IF(OR(7&gt;$B$27,ISBLANK(Actuals!I31)),"",Actuals!I31)</f>
        <v/>
      </c>
      <c r="U55" s="492">
        <f>'Reforecast Q1 2026'!I31</f>
        <v/>
      </c>
      <c r="V55" s="492">
        <f>IF(T55="","",T55-U55)</f>
        <v/>
      </c>
      <c r="W55" s="492">
        <f>IF(OR(8&gt;$B$27,ISBLANK(Actuals!J31)),"",Actuals!J31)</f>
        <v/>
      </c>
      <c r="X55" s="492">
        <f>'Reforecast Q1 2026'!J31</f>
        <v/>
      </c>
      <c r="Y55" s="492">
        <f>IF(W55="","",W55-X55)</f>
        <v/>
      </c>
      <c r="Z55" s="492">
        <f>IF(OR(9&gt;$B$27,ISBLANK(Actuals!K31)),"",Actuals!K31)</f>
        <v/>
      </c>
      <c r="AA55" s="492">
        <f>'Reforecast Q1 2026'!K31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'Reforecast Q1 2026'!L31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'Reforecast Q1 2026'!M31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'Reforecast Q1 2026'!N31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SUM('Reforecast Q1 2026'!$C31:INDEX('Reforecast Q1 2026'!$C31:$N31,$B$27))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'Reforecast Q1 2026'!C32</f>
        <v/>
      </c>
      <c r="D56" s="492">
        <f>IF(B56="","",B56-C56)</f>
        <v/>
      </c>
      <c r="E56" s="492">
        <f>IF(OR(2&gt;$B$27,ISBLANK(Actuals!D32)),"",Actuals!D32)</f>
        <v/>
      </c>
      <c r="F56" s="492">
        <f>'Reforecast Q1 2026'!D32</f>
        <v/>
      </c>
      <c r="G56" s="492">
        <f>IF(E56="","",E56-F56)</f>
        <v/>
      </c>
      <c r="H56" s="492">
        <f>IF(OR(3&gt;$B$27,ISBLANK(Actuals!E32)),"",Actuals!E32)</f>
        <v/>
      </c>
      <c r="I56" s="492">
        <f>'Reforecast Q1 2026'!E32</f>
        <v/>
      </c>
      <c r="J56" s="492">
        <f>IF(H56="","",H56-I56)</f>
        <v/>
      </c>
      <c r="K56" s="492">
        <f>IF(OR(4&gt;$B$27,ISBLANK(Actuals!F32)),"",Actuals!F32)</f>
        <v/>
      </c>
      <c r="L56" s="492">
        <f>'Reforecast Q1 2026'!F32</f>
        <v/>
      </c>
      <c r="M56" s="492">
        <f>IF(K56="","",K56-L56)</f>
        <v/>
      </c>
      <c r="N56" s="492">
        <f>IF(OR(5&gt;$B$27,ISBLANK(Actuals!G32)),"",Actuals!G32)</f>
        <v/>
      </c>
      <c r="O56" s="492">
        <f>'Reforecast Q1 2026'!G32</f>
        <v/>
      </c>
      <c r="P56" s="492">
        <f>IF(N56="","",N56-O56)</f>
        <v/>
      </c>
      <c r="Q56" s="492">
        <f>IF(OR(6&gt;$B$27,ISBLANK(Actuals!H32)),"",Actuals!H32)</f>
        <v/>
      </c>
      <c r="R56" s="492">
        <f>'Reforecast Q1 2026'!H32</f>
        <v/>
      </c>
      <c r="S56" s="492">
        <f>IF(Q56="","",Q56-R56)</f>
        <v/>
      </c>
      <c r="T56" s="492">
        <f>IF(OR(7&gt;$B$27,ISBLANK(Actuals!I32)),"",Actuals!I32)</f>
        <v/>
      </c>
      <c r="U56" s="492">
        <f>'Reforecast Q1 2026'!I32</f>
        <v/>
      </c>
      <c r="V56" s="492">
        <f>IF(T56="","",T56-U56)</f>
        <v/>
      </c>
      <c r="W56" s="492">
        <f>IF(OR(8&gt;$B$27,ISBLANK(Actuals!J32)),"",Actuals!J32)</f>
        <v/>
      </c>
      <c r="X56" s="492">
        <f>'Reforecast Q1 2026'!J32</f>
        <v/>
      </c>
      <c r="Y56" s="492">
        <f>IF(W56="","",W56-X56)</f>
        <v/>
      </c>
      <c r="Z56" s="492">
        <f>IF(OR(9&gt;$B$27,ISBLANK(Actuals!K32)),"",Actuals!K32)</f>
        <v/>
      </c>
      <c r="AA56" s="492">
        <f>'Reforecast Q1 2026'!K32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'Reforecast Q1 2026'!L32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'Reforecast Q1 2026'!M32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'Reforecast Q1 2026'!N32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SUM('Reforecast Q1 2026'!$C32:INDEX('Reforecast Q1 2026'!$C32:$N32,$B$27))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'Reforecast Q1 2026'!C33</f>
        <v/>
      </c>
      <c r="D57" s="492">
        <f>IF(B57="","",B57-C57)</f>
        <v/>
      </c>
      <c r="E57" s="492">
        <f>IF(OR(2&gt;$B$27,ISBLANK(Actuals!D33)),"",Actuals!D33)</f>
        <v/>
      </c>
      <c r="F57" s="492">
        <f>'Reforecast Q1 2026'!D33</f>
        <v/>
      </c>
      <c r="G57" s="492">
        <f>IF(E57="","",E57-F57)</f>
        <v/>
      </c>
      <c r="H57" s="492">
        <f>IF(OR(3&gt;$B$27,ISBLANK(Actuals!E33)),"",Actuals!E33)</f>
        <v/>
      </c>
      <c r="I57" s="492">
        <f>'Reforecast Q1 2026'!E33</f>
        <v/>
      </c>
      <c r="J57" s="492">
        <f>IF(H57="","",H57-I57)</f>
        <v/>
      </c>
      <c r="K57" s="492">
        <f>IF(OR(4&gt;$B$27,ISBLANK(Actuals!F33)),"",Actuals!F33)</f>
        <v/>
      </c>
      <c r="L57" s="492">
        <f>'Reforecast Q1 2026'!F33</f>
        <v/>
      </c>
      <c r="M57" s="492">
        <f>IF(K57="","",K57-L57)</f>
        <v/>
      </c>
      <c r="N57" s="492">
        <f>IF(OR(5&gt;$B$27,ISBLANK(Actuals!G33)),"",Actuals!G33)</f>
        <v/>
      </c>
      <c r="O57" s="492">
        <f>'Reforecast Q1 2026'!G33</f>
        <v/>
      </c>
      <c r="P57" s="492">
        <f>IF(N57="","",N57-O57)</f>
        <v/>
      </c>
      <c r="Q57" s="492">
        <f>IF(OR(6&gt;$B$27,ISBLANK(Actuals!H33)),"",Actuals!H33)</f>
        <v/>
      </c>
      <c r="R57" s="492">
        <f>'Reforecast Q1 2026'!H33</f>
        <v/>
      </c>
      <c r="S57" s="492">
        <f>IF(Q57="","",Q57-R57)</f>
        <v/>
      </c>
      <c r="T57" s="492">
        <f>IF(OR(7&gt;$B$27,ISBLANK(Actuals!I33)),"",Actuals!I33)</f>
        <v/>
      </c>
      <c r="U57" s="492">
        <f>'Reforecast Q1 2026'!I33</f>
        <v/>
      </c>
      <c r="V57" s="492">
        <f>IF(T57="","",T57-U57)</f>
        <v/>
      </c>
      <c r="W57" s="492">
        <f>IF(OR(8&gt;$B$27,ISBLANK(Actuals!J33)),"",Actuals!J33)</f>
        <v/>
      </c>
      <c r="X57" s="492">
        <f>'Reforecast Q1 2026'!J33</f>
        <v/>
      </c>
      <c r="Y57" s="492">
        <f>IF(W57="","",W57-X57)</f>
        <v/>
      </c>
      <c r="Z57" s="492">
        <f>IF(OR(9&gt;$B$27,ISBLANK(Actuals!K33)),"",Actuals!K33)</f>
        <v/>
      </c>
      <c r="AA57" s="492">
        <f>'Reforecast Q1 2026'!K33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'Reforecast Q1 2026'!L33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'Reforecast Q1 2026'!M33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'Reforecast Q1 2026'!N33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SUM('Reforecast Q1 2026'!$C33:INDEX('Reforecast Q1 2026'!$C33:$N33,$B$27))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'Reforecast Q1 2026'!C34</f>
        <v/>
      </c>
      <c r="D58" s="492">
        <f>IF(B58="","",B58-C58)</f>
        <v/>
      </c>
      <c r="E58" s="492">
        <f>IF(OR(2&gt;$B$27,ISBLANK(Actuals!D34)),"",Actuals!D34)</f>
        <v/>
      </c>
      <c r="F58" s="492">
        <f>'Reforecast Q1 2026'!D34</f>
        <v/>
      </c>
      <c r="G58" s="492">
        <f>IF(E58="","",E58-F58)</f>
        <v/>
      </c>
      <c r="H58" s="492">
        <f>IF(OR(3&gt;$B$27,ISBLANK(Actuals!E34)),"",Actuals!E34)</f>
        <v/>
      </c>
      <c r="I58" s="492">
        <f>'Reforecast Q1 2026'!E34</f>
        <v/>
      </c>
      <c r="J58" s="492">
        <f>IF(H58="","",H58-I58)</f>
        <v/>
      </c>
      <c r="K58" s="492">
        <f>IF(OR(4&gt;$B$27,ISBLANK(Actuals!F34)),"",Actuals!F34)</f>
        <v/>
      </c>
      <c r="L58" s="492">
        <f>'Reforecast Q1 2026'!F34</f>
        <v/>
      </c>
      <c r="M58" s="492">
        <f>IF(K58="","",K58-L58)</f>
        <v/>
      </c>
      <c r="N58" s="492">
        <f>IF(OR(5&gt;$B$27,ISBLANK(Actuals!G34)),"",Actuals!G34)</f>
        <v/>
      </c>
      <c r="O58" s="492">
        <f>'Reforecast Q1 2026'!G34</f>
        <v/>
      </c>
      <c r="P58" s="492">
        <f>IF(N58="","",N58-O58)</f>
        <v/>
      </c>
      <c r="Q58" s="492">
        <f>IF(OR(6&gt;$B$27,ISBLANK(Actuals!H34)),"",Actuals!H34)</f>
        <v/>
      </c>
      <c r="R58" s="492">
        <f>'Reforecast Q1 2026'!H34</f>
        <v/>
      </c>
      <c r="S58" s="492">
        <f>IF(Q58="","",Q58-R58)</f>
        <v/>
      </c>
      <c r="T58" s="492">
        <f>IF(OR(7&gt;$B$27,ISBLANK(Actuals!I34)),"",Actuals!I34)</f>
        <v/>
      </c>
      <c r="U58" s="492">
        <f>'Reforecast Q1 2026'!I34</f>
        <v/>
      </c>
      <c r="V58" s="492">
        <f>IF(T58="","",T58-U58)</f>
        <v/>
      </c>
      <c r="W58" s="492">
        <f>IF(OR(8&gt;$B$27,ISBLANK(Actuals!J34)),"",Actuals!J34)</f>
        <v/>
      </c>
      <c r="X58" s="492">
        <f>'Reforecast Q1 2026'!J34</f>
        <v/>
      </c>
      <c r="Y58" s="492">
        <f>IF(W58="","",W58-X58)</f>
        <v/>
      </c>
      <c r="Z58" s="492">
        <f>IF(OR(9&gt;$B$27,ISBLANK(Actuals!K34)),"",Actuals!K34)</f>
        <v/>
      </c>
      <c r="AA58" s="492">
        <f>'Reforecast Q1 2026'!K34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'Reforecast Q1 2026'!L34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'Reforecast Q1 2026'!M34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'Reforecast Q1 2026'!N34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SUM('Reforecast Q1 2026'!$C34:INDEX('Reforecast Q1 2026'!$C34:$N34,$B$27))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'Reforecast Q1 2026'!C35</f>
        <v/>
      </c>
      <c r="D59" s="492">
        <f>IF(B59="","",B59-C59)</f>
        <v/>
      </c>
      <c r="E59" s="492">
        <f>IF(OR(2&gt;$B$27,ISBLANK(Actuals!D35)),"",Actuals!D35)</f>
        <v/>
      </c>
      <c r="F59" s="492">
        <f>'Reforecast Q1 2026'!D35</f>
        <v/>
      </c>
      <c r="G59" s="492">
        <f>IF(E59="","",E59-F59)</f>
        <v/>
      </c>
      <c r="H59" s="492">
        <f>IF(OR(3&gt;$B$27,ISBLANK(Actuals!E35)),"",Actuals!E35)</f>
        <v/>
      </c>
      <c r="I59" s="492">
        <f>'Reforecast Q1 2026'!E35</f>
        <v/>
      </c>
      <c r="J59" s="492">
        <f>IF(H59="","",H59-I59)</f>
        <v/>
      </c>
      <c r="K59" s="492">
        <f>IF(OR(4&gt;$B$27,ISBLANK(Actuals!F35)),"",Actuals!F35)</f>
        <v/>
      </c>
      <c r="L59" s="492">
        <f>'Reforecast Q1 2026'!F35</f>
        <v/>
      </c>
      <c r="M59" s="492">
        <f>IF(K59="","",K59-L59)</f>
        <v/>
      </c>
      <c r="N59" s="492">
        <f>IF(OR(5&gt;$B$27,ISBLANK(Actuals!G35)),"",Actuals!G35)</f>
        <v/>
      </c>
      <c r="O59" s="492">
        <f>'Reforecast Q1 2026'!G35</f>
        <v/>
      </c>
      <c r="P59" s="492">
        <f>IF(N59="","",N59-O59)</f>
        <v/>
      </c>
      <c r="Q59" s="492">
        <f>IF(OR(6&gt;$B$27,ISBLANK(Actuals!H35)),"",Actuals!H35)</f>
        <v/>
      </c>
      <c r="R59" s="492">
        <f>'Reforecast Q1 2026'!H35</f>
        <v/>
      </c>
      <c r="S59" s="492">
        <f>IF(Q59="","",Q59-R59)</f>
        <v/>
      </c>
      <c r="T59" s="492">
        <f>IF(OR(7&gt;$B$27,ISBLANK(Actuals!I35)),"",Actuals!I35)</f>
        <v/>
      </c>
      <c r="U59" s="492">
        <f>'Reforecast Q1 2026'!I35</f>
        <v/>
      </c>
      <c r="V59" s="492">
        <f>IF(T59="","",T59-U59)</f>
        <v/>
      </c>
      <c r="W59" s="492">
        <f>IF(OR(8&gt;$B$27,ISBLANK(Actuals!J35)),"",Actuals!J35)</f>
        <v/>
      </c>
      <c r="X59" s="492">
        <f>'Reforecast Q1 2026'!J35</f>
        <v/>
      </c>
      <c r="Y59" s="492">
        <f>IF(W59="","",W59-X59)</f>
        <v/>
      </c>
      <c r="Z59" s="492">
        <f>IF(OR(9&gt;$B$27,ISBLANK(Actuals!K35)),"",Actuals!K35)</f>
        <v/>
      </c>
      <c r="AA59" s="492">
        <f>'Reforecast Q1 2026'!K35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'Reforecast Q1 2026'!L35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'Reforecast Q1 2026'!M35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'Reforecast Q1 2026'!N35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SUM('Reforecast Q1 2026'!$C35:INDEX('Reforecast Q1 2026'!$C35:$N35,$B$27))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'Reforecast Q1 2026'!C36</f>
        <v/>
      </c>
      <c r="D60" s="492">
        <f>IF(B60="","",B60-C60)</f>
        <v/>
      </c>
      <c r="E60" s="492">
        <f>IF(OR(2&gt;$B$27,ISBLANK(Actuals!D36)),"",Actuals!D36)</f>
        <v/>
      </c>
      <c r="F60" s="492">
        <f>'Reforecast Q1 2026'!D36</f>
        <v/>
      </c>
      <c r="G60" s="492">
        <f>IF(E60="","",E60-F60)</f>
        <v/>
      </c>
      <c r="H60" s="492">
        <f>IF(OR(3&gt;$B$27,ISBLANK(Actuals!E36)),"",Actuals!E36)</f>
        <v/>
      </c>
      <c r="I60" s="492">
        <f>'Reforecast Q1 2026'!E36</f>
        <v/>
      </c>
      <c r="J60" s="492">
        <f>IF(H60="","",H60-I60)</f>
        <v/>
      </c>
      <c r="K60" s="492">
        <f>IF(OR(4&gt;$B$27,ISBLANK(Actuals!F36)),"",Actuals!F36)</f>
        <v/>
      </c>
      <c r="L60" s="492">
        <f>'Reforecast Q1 2026'!F36</f>
        <v/>
      </c>
      <c r="M60" s="492">
        <f>IF(K60="","",K60-L60)</f>
        <v/>
      </c>
      <c r="N60" s="492">
        <f>IF(OR(5&gt;$B$27,ISBLANK(Actuals!G36)),"",Actuals!G36)</f>
        <v/>
      </c>
      <c r="O60" s="492">
        <f>'Reforecast Q1 2026'!G36</f>
        <v/>
      </c>
      <c r="P60" s="492">
        <f>IF(N60="","",N60-O60)</f>
        <v/>
      </c>
      <c r="Q60" s="492">
        <f>IF(OR(6&gt;$B$27,ISBLANK(Actuals!H36)),"",Actuals!H36)</f>
        <v/>
      </c>
      <c r="R60" s="492">
        <f>'Reforecast Q1 2026'!H36</f>
        <v/>
      </c>
      <c r="S60" s="492">
        <f>IF(Q60="","",Q60-R60)</f>
        <v/>
      </c>
      <c r="T60" s="492">
        <f>IF(OR(7&gt;$B$27,ISBLANK(Actuals!I36)),"",Actuals!I36)</f>
        <v/>
      </c>
      <c r="U60" s="492">
        <f>'Reforecast Q1 2026'!I36</f>
        <v/>
      </c>
      <c r="V60" s="492">
        <f>IF(T60="","",T60-U60)</f>
        <v/>
      </c>
      <c r="W60" s="492">
        <f>IF(OR(8&gt;$B$27,ISBLANK(Actuals!J36)),"",Actuals!J36)</f>
        <v/>
      </c>
      <c r="X60" s="492">
        <f>'Reforecast Q1 2026'!J36</f>
        <v/>
      </c>
      <c r="Y60" s="492">
        <f>IF(W60="","",W60-X60)</f>
        <v/>
      </c>
      <c r="Z60" s="492">
        <f>IF(OR(9&gt;$B$27,ISBLANK(Actuals!K36)),"",Actuals!K36)</f>
        <v/>
      </c>
      <c r="AA60" s="492">
        <f>'Reforecast Q1 2026'!K36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'Reforecast Q1 2026'!L36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'Reforecast Q1 2026'!M36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'Reforecast Q1 2026'!N36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SUM('Reforecast Q1 2026'!$C36:INDEX('Reforecast Q1 2026'!$C36:$N36,$B$27))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'Reforecast Q1 2026'!C37</f>
        <v/>
      </c>
      <c r="D61" s="492">
        <f>IF(B61="","",B61-C61)</f>
        <v/>
      </c>
      <c r="E61" s="492">
        <f>IF(OR(2&gt;$B$27,ISBLANK(Actuals!D37)),"",Actuals!D37)</f>
        <v/>
      </c>
      <c r="F61" s="492">
        <f>'Reforecast Q1 2026'!D37</f>
        <v/>
      </c>
      <c r="G61" s="492">
        <f>IF(E61="","",E61-F61)</f>
        <v/>
      </c>
      <c r="H61" s="492">
        <f>IF(OR(3&gt;$B$27,ISBLANK(Actuals!E37)),"",Actuals!E37)</f>
        <v/>
      </c>
      <c r="I61" s="492">
        <f>'Reforecast Q1 2026'!E37</f>
        <v/>
      </c>
      <c r="J61" s="492">
        <f>IF(H61="","",H61-I61)</f>
        <v/>
      </c>
      <c r="K61" s="492">
        <f>IF(OR(4&gt;$B$27,ISBLANK(Actuals!F37)),"",Actuals!F37)</f>
        <v/>
      </c>
      <c r="L61" s="492">
        <f>'Reforecast Q1 2026'!F37</f>
        <v/>
      </c>
      <c r="M61" s="492">
        <f>IF(K61="","",K61-L61)</f>
        <v/>
      </c>
      <c r="N61" s="492">
        <f>IF(OR(5&gt;$B$27,ISBLANK(Actuals!G37)),"",Actuals!G37)</f>
        <v/>
      </c>
      <c r="O61" s="492">
        <f>'Reforecast Q1 2026'!G37</f>
        <v/>
      </c>
      <c r="P61" s="492">
        <f>IF(N61="","",N61-O61)</f>
        <v/>
      </c>
      <c r="Q61" s="492">
        <f>IF(OR(6&gt;$B$27,ISBLANK(Actuals!H37)),"",Actuals!H37)</f>
        <v/>
      </c>
      <c r="R61" s="492">
        <f>'Reforecast Q1 2026'!H37</f>
        <v/>
      </c>
      <c r="S61" s="492">
        <f>IF(Q61="","",Q61-R61)</f>
        <v/>
      </c>
      <c r="T61" s="492">
        <f>IF(OR(7&gt;$B$27,ISBLANK(Actuals!I37)),"",Actuals!I37)</f>
        <v/>
      </c>
      <c r="U61" s="492">
        <f>'Reforecast Q1 2026'!I37</f>
        <v/>
      </c>
      <c r="V61" s="492">
        <f>IF(T61="","",T61-U61)</f>
        <v/>
      </c>
      <c r="W61" s="492">
        <f>IF(OR(8&gt;$B$27,ISBLANK(Actuals!J37)),"",Actuals!J37)</f>
        <v/>
      </c>
      <c r="X61" s="492">
        <f>'Reforecast Q1 2026'!J37</f>
        <v/>
      </c>
      <c r="Y61" s="492">
        <f>IF(W61="","",W61-X61)</f>
        <v/>
      </c>
      <c r="Z61" s="492">
        <f>IF(OR(9&gt;$B$27,ISBLANK(Actuals!K37)),"",Actuals!K37)</f>
        <v/>
      </c>
      <c r="AA61" s="492">
        <f>'Reforecast Q1 2026'!K37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'Reforecast Q1 2026'!L37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'Reforecast Q1 2026'!M37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'Reforecast Q1 2026'!N37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SUM('Reforecast Q1 2026'!$C37:INDEX('Reforecast Q1 2026'!$C37:$N37,$B$27))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'Reforecast Q1 2026'!C38</f>
        <v/>
      </c>
      <c r="D62" s="492">
        <f>IF(B62="","",B62-C62)</f>
        <v/>
      </c>
      <c r="E62" s="492">
        <f>IF(OR(2&gt;$B$27,ISBLANK(Actuals!D38)),"",Actuals!D38)</f>
        <v/>
      </c>
      <c r="F62" s="492">
        <f>'Reforecast Q1 2026'!D38</f>
        <v/>
      </c>
      <c r="G62" s="492">
        <f>IF(E62="","",E62-F62)</f>
        <v/>
      </c>
      <c r="H62" s="492">
        <f>IF(OR(3&gt;$B$27,ISBLANK(Actuals!E38)),"",Actuals!E38)</f>
        <v/>
      </c>
      <c r="I62" s="492">
        <f>'Reforecast Q1 2026'!E38</f>
        <v/>
      </c>
      <c r="J62" s="492">
        <f>IF(H62="","",H62-I62)</f>
        <v/>
      </c>
      <c r="K62" s="492">
        <f>IF(OR(4&gt;$B$27,ISBLANK(Actuals!F38)),"",Actuals!F38)</f>
        <v/>
      </c>
      <c r="L62" s="492">
        <f>'Reforecast Q1 2026'!F38</f>
        <v/>
      </c>
      <c r="M62" s="492">
        <f>IF(K62="","",K62-L62)</f>
        <v/>
      </c>
      <c r="N62" s="492">
        <f>IF(OR(5&gt;$B$27,ISBLANK(Actuals!G38)),"",Actuals!G38)</f>
        <v/>
      </c>
      <c r="O62" s="492">
        <f>'Reforecast Q1 2026'!G38</f>
        <v/>
      </c>
      <c r="P62" s="492">
        <f>IF(N62="","",N62-O62)</f>
        <v/>
      </c>
      <c r="Q62" s="492">
        <f>IF(OR(6&gt;$B$27,ISBLANK(Actuals!H38)),"",Actuals!H38)</f>
        <v/>
      </c>
      <c r="R62" s="492">
        <f>'Reforecast Q1 2026'!H38</f>
        <v/>
      </c>
      <c r="S62" s="492">
        <f>IF(Q62="","",Q62-R62)</f>
        <v/>
      </c>
      <c r="T62" s="492">
        <f>IF(OR(7&gt;$B$27,ISBLANK(Actuals!I38)),"",Actuals!I38)</f>
        <v/>
      </c>
      <c r="U62" s="492">
        <f>'Reforecast Q1 2026'!I38</f>
        <v/>
      </c>
      <c r="V62" s="492">
        <f>IF(T62="","",T62-U62)</f>
        <v/>
      </c>
      <c r="W62" s="492">
        <f>IF(OR(8&gt;$B$27,ISBLANK(Actuals!J38)),"",Actuals!J38)</f>
        <v/>
      </c>
      <c r="X62" s="492">
        <f>'Reforecast Q1 2026'!J38</f>
        <v/>
      </c>
      <c r="Y62" s="492">
        <f>IF(W62="","",W62-X62)</f>
        <v/>
      </c>
      <c r="Z62" s="492">
        <f>IF(OR(9&gt;$B$27,ISBLANK(Actuals!K38)),"",Actuals!K38)</f>
        <v/>
      </c>
      <c r="AA62" s="492">
        <f>'Reforecast Q1 2026'!K38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'Reforecast Q1 2026'!L38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'Reforecast Q1 2026'!M38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'Reforecast Q1 2026'!N38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SUM('Reforecast Q1 2026'!$C38:INDEX('Reforecast Q1 2026'!$C38:$N38,$B$27))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'Reforecast Q1 2026'!C39</f>
        <v/>
      </c>
      <c r="D63" s="492">
        <f>IF(B63="","",B63-C63)</f>
        <v/>
      </c>
      <c r="E63" s="492">
        <f>IF(OR(2&gt;$B$27,ISBLANK(Actuals!D39)),"",Actuals!D39)</f>
        <v/>
      </c>
      <c r="F63" s="492">
        <f>'Reforecast Q1 2026'!D39</f>
        <v/>
      </c>
      <c r="G63" s="492">
        <f>IF(E63="","",E63-F63)</f>
        <v/>
      </c>
      <c r="H63" s="492">
        <f>IF(OR(3&gt;$B$27,ISBLANK(Actuals!E39)),"",Actuals!E39)</f>
        <v/>
      </c>
      <c r="I63" s="492">
        <f>'Reforecast Q1 2026'!E39</f>
        <v/>
      </c>
      <c r="J63" s="492">
        <f>IF(H63="","",H63-I63)</f>
        <v/>
      </c>
      <c r="K63" s="492">
        <f>IF(OR(4&gt;$B$27,ISBLANK(Actuals!F39)),"",Actuals!F39)</f>
        <v/>
      </c>
      <c r="L63" s="492">
        <f>'Reforecast Q1 2026'!F39</f>
        <v/>
      </c>
      <c r="M63" s="492">
        <f>IF(K63="","",K63-L63)</f>
        <v/>
      </c>
      <c r="N63" s="492">
        <f>IF(OR(5&gt;$B$27,ISBLANK(Actuals!G39)),"",Actuals!G39)</f>
        <v/>
      </c>
      <c r="O63" s="492">
        <f>'Reforecast Q1 2026'!G39</f>
        <v/>
      </c>
      <c r="P63" s="492">
        <f>IF(N63="","",N63-O63)</f>
        <v/>
      </c>
      <c r="Q63" s="492">
        <f>IF(OR(6&gt;$B$27,ISBLANK(Actuals!H39)),"",Actuals!H39)</f>
        <v/>
      </c>
      <c r="R63" s="492">
        <f>'Reforecast Q1 2026'!H39</f>
        <v/>
      </c>
      <c r="S63" s="492">
        <f>IF(Q63="","",Q63-R63)</f>
        <v/>
      </c>
      <c r="T63" s="492">
        <f>IF(OR(7&gt;$B$27,ISBLANK(Actuals!I39)),"",Actuals!I39)</f>
        <v/>
      </c>
      <c r="U63" s="492">
        <f>'Reforecast Q1 2026'!I39</f>
        <v/>
      </c>
      <c r="V63" s="492">
        <f>IF(T63="","",T63-U63)</f>
        <v/>
      </c>
      <c r="W63" s="492">
        <f>IF(OR(8&gt;$B$27,ISBLANK(Actuals!J39)),"",Actuals!J39)</f>
        <v/>
      </c>
      <c r="X63" s="492">
        <f>'Reforecast Q1 2026'!J39</f>
        <v/>
      </c>
      <c r="Y63" s="492">
        <f>IF(W63="","",W63-X63)</f>
        <v/>
      </c>
      <c r="Z63" s="492">
        <f>IF(OR(9&gt;$B$27,ISBLANK(Actuals!K39)),"",Actuals!K39)</f>
        <v/>
      </c>
      <c r="AA63" s="492">
        <f>'Reforecast Q1 2026'!K39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'Reforecast Q1 2026'!L39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'Reforecast Q1 2026'!M39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'Reforecast Q1 2026'!N39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SUM('Reforecast Q1 2026'!$C39:INDEX('Reforecast Q1 2026'!$C39:$N39,$B$27))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'Reforecast Q1 2026'!C40</f>
        <v/>
      </c>
      <c r="D64" s="492">
        <f>IF(B64="","",B64-C64)</f>
        <v/>
      </c>
      <c r="E64" s="492">
        <f>IF(OR(2&gt;$B$27,ISBLANK(Actuals!D40)),"",Actuals!D40)</f>
        <v/>
      </c>
      <c r="F64" s="492">
        <f>'Reforecast Q1 2026'!D40</f>
        <v/>
      </c>
      <c r="G64" s="492">
        <f>IF(E64="","",E64-F64)</f>
        <v/>
      </c>
      <c r="H64" s="492">
        <f>IF(OR(3&gt;$B$27,ISBLANK(Actuals!E40)),"",Actuals!E40)</f>
        <v/>
      </c>
      <c r="I64" s="492">
        <f>'Reforecast Q1 2026'!E40</f>
        <v/>
      </c>
      <c r="J64" s="492">
        <f>IF(H64="","",H64-I64)</f>
        <v/>
      </c>
      <c r="K64" s="492">
        <f>IF(OR(4&gt;$B$27,ISBLANK(Actuals!F40)),"",Actuals!F40)</f>
        <v/>
      </c>
      <c r="L64" s="492">
        <f>'Reforecast Q1 2026'!F40</f>
        <v/>
      </c>
      <c r="M64" s="492">
        <f>IF(K64="","",K64-L64)</f>
        <v/>
      </c>
      <c r="N64" s="492">
        <f>IF(OR(5&gt;$B$27,ISBLANK(Actuals!G40)),"",Actuals!G40)</f>
        <v/>
      </c>
      <c r="O64" s="492">
        <f>'Reforecast Q1 2026'!G40</f>
        <v/>
      </c>
      <c r="P64" s="492">
        <f>IF(N64="","",N64-O64)</f>
        <v/>
      </c>
      <c r="Q64" s="492">
        <f>IF(OR(6&gt;$B$27,ISBLANK(Actuals!H40)),"",Actuals!H40)</f>
        <v/>
      </c>
      <c r="R64" s="492">
        <f>'Reforecast Q1 2026'!H40</f>
        <v/>
      </c>
      <c r="S64" s="492">
        <f>IF(Q64="","",Q64-R64)</f>
        <v/>
      </c>
      <c r="T64" s="492">
        <f>IF(OR(7&gt;$B$27,ISBLANK(Actuals!I40)),"",Actuals!I40)</f>
        <v/>
      </c>
      <c r="U64" s="492">
        <f>'Reforecast Q1 2026'!I40</f>
        <v/>
      </c>
      <c r="V64" s="492">
        <f>IF(T64="","",T64-U64)</f>
        <v/>
      </c>
      <c r="W64" s="492">
        <f>IF(OR(8&gt;$B$27,ISBLANK(Actuals!J40)),"",Actuals!J40)</f>
        <v/>
      </c>
      <c r="X64" s="492">
        <f>'Reforecast Q1 2026'!J40</f>
        <v/>
      </c>
      <c r="Y64" s="492">
        <f>IF(W64="","",W64-X64)</f>
        <v/>
      </c>
      <c r="Z64" s="492">
        <f>IF(OR(9&gt;$B$27,ISBLANK(Actuals!K40)),"",Actuals!K40)</f>
        <v/>
      </c>
      <c r="AA64" s="492">
        <f>'Reforecast Q1 2026'!K40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'Reforecast Q1 2026'!L40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'Reforecast Q1 2026'!M40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'Reforecast Q1 2026'!N40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SUM('Reforecast Q1 2026'!$C40:INDEX('Reforecast Q1 2026'!$C40:$N40,$B$27))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'Reforecast Q1 2026'!C41</f>
        <v/>
      </c>
      <c r="D65" s="492">
        <f>IF(B65="","",B65-C65)</f>
        <v/>
      </c>
      <c r="E65" s="492">
        <f>IF(OR(2&gt;$B$27,ISBLANK(Actuals!D41)),"",Actuals!D41)</f>
        <v/>
      </c>
      <c r="F65" s="492">
        <f>'Reforecast Q1 2026'!D41</f>
        <v/>
      </c>
      <c r="G65" s="492">
        <f>IF(E65="","",E65-F65)</f>
        <v/>
      </c>
      <c r="H65" s="492">
        <f>IF(OR(3&gt;$B$27,ISBLANK(Actuals!E41)),"",Actuals!E41)</f>
        <v/>
      </c>
      <c r="I65" s="492">
        <f>'Reforecast Q1 2026'!E41</f>
        <v/>
      </c>
      <c r="J65" s="492">
        <f>IF(H65="","",H65-I65)</f>
        <v/>
      </c>
      <c r="K65" s="492">
        <f>IF(OR(4&gt;$B$27,ISBLANK(Actuals!F41)),"",Actuals!F41)</f>
        <v/>
      </c>
      <c r="L65" s="492">
        <f>'Reforecast Q1 2026'!F41</f>
        <v/>
      </c>
      <c r="M65" s="492">
        <f>IF(K65="","",K65-L65)</f>
        <v/>
      </c>
      <c r="N65" s="492">
        <f>IF(OR(5&gt;$B$27,ISBLANK(Actuals!G41)),"",Actuals!G41)</f>
        <v/>
      </c>
      <c r="O65" s="492">
        <f>'Reforecast Q1 2026'!G41</f>
        <v/>
      </c>
      <c r="P65" s="492">
        <f>IF(N65="","",N65-O65)</f>
        <v/>
      </c>
      <c r="Q65" s="492">
        <f>IF(OR(6&gt;$B$27,ISBLANK(Actuals!H41)),"",Actuals!H41)</f>
        <v/>
      </c>
      <c r="R65" s="492">
        <f>'Reforecast Q1 2026'!H41</f>
        <v/>
      </c>
      <c r="S65" s="492">
        <f>IF(Q65="","",Q65-R65)</f>
        <v/>
      </c>
      <c r="T65" s="492">
        <f>IF(OR(7&gt;$B$27,ISBLANK(Actuals!I41)),"",Actuals!I41)</f>
        <v/>
      </c>
      <c r="U65" s="492">
        <f>'Reforecast Q1 2026'!I41</f>
        <v/>
      </c>
      <c r="V65" s="492">
        <f>IF(T65="","",T65-U65)</f>
        <v/>
      </c>
      <c r="W65" s="492">
        <f>IF(OR(8&gt;$B$27,ISBLANK(Actuals!J41)),"",Actuals!J41)</f>
        <v/>
      </c>
      <c r="X65" s="492">
        <f>'Reforecast Q1 2026'!J41</f>
        <v/>
      </c>
      <c r="Y65" s="492">
        <f>IF(W65="","",W65-X65)</f>
        <v/>
      </c>
      <c r="Z65" s="492">
        <f>IF(OR(9&gt;$B$27,ISBLANK(Actuals!K41)),"",Actuals!K41)</f>
        <v/>
      </c>
      <c r="AA65" s="492">
        <f>'Reforecast Q1 2026'!K41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'Reforecast Q1 2026'!L41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'Reforecast Q1 2026'!M41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'Reforecast Q1 2026'!N41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SUM('Reforecast Q1 2026'!$C41:INDEX('Reforecast Q1 2026'!$C41:$N41,$B$27))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'Reforecast Q1 2026'!C42</f>
        <v/>
      </c>
      <c r="D66" s="492">
        <f>IF(B66="","",B66-C66)</f>
        <v/>
      </c>
      <c r="E66" s="492">
        <f>IF(OR(2&gt;$B$27,ISBLANK(Actuals!D42)),"",Actuals!D42)</f>
        <v/>
      </c>
      <c r="F66" s="492">
        <f>'Reforecast Q1 2026'!D42</f>
        <v/>
      </c>
      <c r="G66" s="492">
        <f>IF(E66="","",E66-F66)</f>
        <v/>
      </c>
      <c r="H66" s="492">
        <f>IF(OR(3&gt;$B$27,ISBLANK(Actuals!E42)),"",Actuals!E42)</f>
        <v/>
      </c>
      <c r="I66" s="492">
        <f>'Reforecast Q1 2026'!E42</f>
        <v/>
      </c>
      <c r="J66" s="492">
        <f>IF(H66="","",H66-I66)</f>
        <v/>
      </c>
      <c r="K66" s="492">
        <f>IF(OR(4&gt;$B$27,ISBLANK(Actuals!F42)),"",Actuals!F42)</f>
        <v/>
      </c>
      <c r="L66" s="492">
        <f>'Reforecast Q1 2026'!F42</f>
        <v/>
      </c>
      <c r="M66" s="492">
        <f>IF(K66="","",K66-L66)</f>
        <v/>
      </c>
      <c r="N66" s="492">
        <f>IF(OR(5&gt;$B$27,ISBLANK(Actuals!G42)),"",Actuals!G42)</f>
        <v/>
      </c>
      <c r="O66" s="492">
        <f>'Reforecast Q1 2026'!G42</f>
        <v/>
      </c>
      <c r="P66" s="492">
        <f>IF(N66="","",N66-O66)</f>
        <v/>
      </c>
      <c r="Q66" s="492">
        <f>IF(OR(6&gt;$B$27,ISBLANK(Actuals!H42)),"",Actuals!H42)</f>
        <v/>
      </c>
      <c r="R66" s="492">
        <f>'Reforecast Q1 2026'!H42</f>
        <v/>
      </c>
      <c r="S66" s="492">
        <f>IF(Q66="","",Q66-R66)</f>
        <v/>
      </c>
      <c r="T66" s="492">
        <f>IF(OR(7&gt;$B$27,ISBLANK(Actuals!I42)),"",Actuals!I42)</f>
        <v/>
      </c>
      <c r="U66" s="492">
        <f>'Reforecast Q1 2026'!I42</f>
        <v/>
      </c>
      <c r="V66" s="492">
        <f>IF(T66="","",T66-U66)</f>
        <v/>
      </c>
      <c r="W66" s="492">
        <f>IF(OR(8&gt;$B$27,ISBLANK(Actuals!J42)),"",Actuals!J42)</f>
        <v/>
      </c>
      <c r="X66" s="492">
        <f>'Reforecast Q1 2026'!J42</f>
        <v/>
      </c>
      <c r="Y66" s="492">
        <f>IF(W66="","",W66-X66)</f>
        <v/>
      </c>
      <c r="Z66" s="492">
        <f>IF(OR(9&gt;$B$27,ISBLANK(Actuals!K42)),"",Actuals!K42)</f>
        <v/>
      </c>
      <c r="AA66" s="492">
        <f>'Reforecast Q1 2026'!K42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'Reforecast Q1 2026'!L42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'Reforecast Q1 2026'!M42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'Reforecast Q1 2026'!N42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SUM('Reforecast Q1 2026'!$C42:INDEX('Reforecast Q1 2026'!$C42:$N42,$B$27))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'Reforecast Q1 2026'!C43</f>
        <v/>
      </c>
      <c r="D67" s="492">
        <f>IF(B67="","",B67-C67)</f>
        <v/>
      </c>
      <c r="E67" s="492">
        <f>IF(OR(2&gt;$B$27,ISBLANK(Actuals!D43)),"",Actuals!D43)</f>
        <v/>
      </c>
      <c r="F67" s="492">
        <f>'Reforecast Q1 2026'!D43</f>
        <v/>
      </c>
      <c r="G67" s="492">
        <f>IF(E67="","",E67-F67)</f>
        <v/>
      </c>
      <c r="H67" s="492">
        <f>IF(OR(3&gt;$B$27,ISBLANK(Actuals!E43)),"",Actuals!E43)</f>
        <v/>
      </c>
      <c r="I67" s="492">
        <f>'Reforecast Q1 2026'!E43</f>
        <v/>
      </c>
      <c r="J67" s="492">
        <f>IF(H67="","",H67-I67)</f>
        <v/>
      </c>
      <c r="K67" s="492">
        <f>IF(OR(4&gt;$B$27,ISBLANK(Actuals!F43)),"",Actuals!F43)</f>
        <v/>
      </c>
      <c r="L67" s="492">
        <f>'Reforecast Q1 2026'!F43</f>
        <v/>
      </c>
      <c r="M67" s="492">
        <f>IF(K67="","",K67-L67)</f>
        <v/>
      </c>
      <c r="N67" s="492">
        <f>IF(OR(5&gt;$B$27,ISBLANK(Actuals!G43)),"",Actuals!G43)</f>
        <v/>
      </c>
      <c r="O67" s="492">
        <f>'Reforecast Q1 2026'!G43</f>
        <v/>
      </c>
      <c r="P67" s="492">
        <f>IF(N67="","",N67-O67)</f>
        <v/>
      </c>
      <c r="Q67" s="492">
        <f>IF(OR(6&gt;$B$27,ISBLANK(Actuals!H43)),"",Actuals!H43)</f>
        <v/>
      </c>
      <c r="R67" s="492">
        <f>'Reforecast Q1 2026'!H43</f>
        <v/>
      </c>
      <c r="S67" s="492">
        <f>IF(Q67="","",Q67-R67)</f>
        <v/>
      </c>
      <c r="T67" s="492">
        <f>IF(OR(7&gt;$B$27,ISBLANK(Actuals!I43)),"",Actuals!I43)</f>
        <v/>
      </c>
      <c r="U67" s="492">
        <f>'Reforecast Q1 2026'!I43</f>
        <v/>
      </c>
      <c r="V67" s="492">
        <f>IF(T67="","",T67-U67)</f>
        <v/>
      </c>
      <c r="W67" s="492">
        <f>IF(OR(8&gt;$B$27,ISBLANK(Actuals!J43)),"",Actuals!J43)</f>
        <v/>
      </c>
      <c r="X67" s="492">
        <f>'Reforecast Q1 2026'!J43</f>
        <v/>
      </c>
      <c r="Y67" s="492">
        <f>IF(W67="","",W67-X67)</f>
        <v/>
      </c>
      <c r="Z67" s="492">
        <f>IF(OR(9&gt;$B$27,ISBLANK(Actuals!K43)),"",Actuals!K43)</f>
        <v/>
      </c>
      <c r="AA67" s="492">
        <f>'Reforecast Q1 2026'!K43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'Reforecast Q1 2026'!L43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'Reforecast Q1 2026'!M43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'Reforecast Q1 2026'!N43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SUM('Reforecast Q1 2026'!$C43:INDEX('Reforecast Q1 2026'!$C43:$N43,$B$27))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'Reforecast Q1 2026'!C44</f>
        <v/>
      </c>
      <c r="D68" s="492">
        <f>IF(B68="","",B68-C68)</f>
        <v/>
      </c>
      <c r="E68" s="492">
        <f>IF(OR(2&gt;$B$27,ISBLANK(Actuals!D44)),"",Actuals!D44)</f>
        <v/>
      </c>
      <c r="F68" s="492">
        <f>'Reforecast Q1 2026'!D44</f>
        <v/>
      </c>
      <c r="G68" s="492">
        <f>IF(E68="","",E68-F68)</f>
        <v/>
      </c>
      <c r="H68" s="492">
        <f>IF(OR(3&gt;$B$27,ISBLANK(Actuals!E44)),"",Actuals!E44)</f>
        <v/>
      </c>
      <c r="I68" s="492">
        <f>'Reforecast Q1 2026'!E44</f>
        <v/>
      </c>
      <c r="J68" s="492">
        <f>IF(H68="","",H68-I68)</f>
        <v/>
      </c>
      <c r="K68" s="492">
        <f>IF(OR(4&gt;$B$27,ISBLANK(Actuals!F44)),"",Actuals!F44)</f>
        <v/>
      </c>
      <c r="L68" s="492">
        <f>'Reforecast Q1 2026'!F44</f>
        <v/>
      </c>
      <c r="M68" s="492">
        <f>IF(K68="","",K68-L68)</f>
        <v/>
      </c>
      <c r="N68" s="492">
        <f>IF(OR(5&gt;$B$27,ISBLANK(Actuals!G44)),"",Actuals!G44)</f>
        <v/>
      </c>
      <c r="O68" s="492">
        <f>'Reforecast Q1 2026'!G44</f>
        <v/>
      </c>
      <c r="P68" s="492">
        <f>IF(N68="","",N68-O68)</f>
        <v/>
      </c>
      <c r="Q68" s="492">
        <f>IF(OR(6&gt;$B$27,ISBLANK(Actuals!H44)),"",Actuals!H44)</f>
        <v/>
      </c>
      <c r="R68" s="492">
        <f>'Reforecast Q1 2026'!H44</f>
        <v/>
      </c>
      <c r="S68" s="492">
        <f>IF(Q68="","",Q68-R68)</f>
        <v/>
      </c>
      <c r="T68" s="492">
        <f>IF(OR(7&gt;$B$27,ISBLANK(Actuals!I44)),"",Actuals!I44)</f>
        <v/>
      </c>
      <c r="U68" s="492">
        <f>'Reforecast Q1 2026'!I44</f>
        <v/>
      </c>
      <c r="V68" s="492">
        <f>IF(T68="","",T68-U68)</f>
        <v/>
      </c>
      <c r="W68" s="492">
        <f>IF(OR(8&gt;$B$27,ISBLANK(Actuals!J44)),"",Actuals!J44)</f>
        <v/>
      </c>
      <c r="X68" s="492">
        <f>'Reforecast Q1 2026'!J44</f>
        <v/>
      </c>
      <c r="Y68" s="492">
        <f>IF(W68="","",W68-X68)</f>
        <v/>
      </c>
      <c r="Z68" s="492">
        <f>IF(OR(9&gt;$B$27,ISBLANK(Actuals!K44)),"",Actuals!K44)</f>
        <v/>
      </c>
      <c r="AA68" s="492">
        <f>'Reforecast Q1 2026'!K44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'Reforecast Q1 2026'!L44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'Reforecast Q1 2026'!M44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'Reforecast Q1 2026'!N44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SUM('Reforecast Q1 2026'!$C44:INDEX('Reforecast Q1 2026'!$C44:$N44,$B$27))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'Reforecast Q1 2026'!C45</f>
        <v/>
      </c>
      <c r="D69" s="492">
        <f>IF(B69="","",B69-C69)</f>
        <v/>
      </c>
      <c r="E69" s="492">
        <f>IF(OR(2&gt;$B$27,ISBLANK(Actuals!D45)),"",Actuals!D45)</f>
        <v/>
      </c>
      <c r="F69" s="492">
        <f>'Reforecast Q1 2026'!D45</f>
        <v/>
      </c>
      <c r="G69" s="492">
        <f>IF(E69="","",E69-F69)</f>
        <v/>
      </c>
      <c r="H69" s="492">
        <f>IF(OR(3&gt;$B$27,ISBLANK(Actuals!E45)),"",Actuals!E45)</f>
        <v/>
      </c>
      <c r="I69" s="492">
        <f>'Reforecast Q1 2026'!E45</f>
        <v/>
      </c>
      <c r="J69" s="492">
        <f>IF(H69="","",H69-I69)</f>
        <v/>
      </c>
      <c r="K69" s="492">
        <f>IF(OR(4&gt;$B$27,ISBLANK(Actuals!F45)),"",Actuals!F45)</f>
        <v/>
      </c>
      <c r="L69" s="492">
        <f>'Reforecast Q1 2026'!F45</f>
        <v/>
      </c>
      <c r="M69" s="492">
        <f>IF(K69="","",K69-L69)</f>
        <v/>
      </c>
      <c r="N69" s="492">
        <f>IF(OR(5&gt;$B$27,ISBLANK(Actuals!G45)),"",Actuals!G45)</f>
        <v/>
      </c>
      <c r="O69" s="492">
        <f>'Reforecast Q1 2026'!G45</f>
        <v/>
      </c>
      <c r="P69" s="492">
        <f>IF(N69="","",N69-O69)</f>
        <v/>
      </c>
      <c r="Q69" s="492">
        <f>IF(OR(6&gt;$B$27,ISBLANK(Actuals!H45)),"",Actuals!H45)</f>
        <v/>
      </c>
      <c r="R69" s="492">
        <f>'Reforecast Q1 2026'!H45</f>
        <v/>
      </c>
      <c r="S69" s="492">
        <f>IF(Q69="","",Q69-R69)</f>
        <v/>
      </c>
      <c r="T69" s="492">
        <f>IF(OR(7&gt;$B$27,ISBLANK(Actuals!I45)),"",Actuals!I45)</f>
        <v/>
      </c>
      <c r="U69" s="492">
        <f>'Reforecast Q1 2026'!I45</f>
        <v/>
      </c>
      <c r="V69" s="492">
        <f>IF(T69="","",T69-U69)</f>
        <v/>
      </c>
      <c r="W69" s="492">
        <f>IF(OR(8&gt;$B$27,ISBLANK(Actuals!J45)),"",Actuals!J45)</f>
        <v/>
      </c>
      <c r="X69" s="492">
        <f>'Reforecast Q1 2026'!J45</f>
        <v/>
      </c>
      <c r="Y69" s="492">
        <f>IF(W69="","",W69-X69)</f>
        <v/>
      </c>
      <c r="Z69" s="492">
        <f>IF(OR(9&gt;$B$27,ISBLANK(Actuals!K45)),"",Actuals!K45)</f>
        <v/>
      </c>
      <c r="AA69" s="492">
        <f>'Reforecast Q1 2026'!K45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'Reforecast Q1 2026'!L45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'Reforecast Q1 2026'!M45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'Reforecast Q1 2026'!N45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SUM('Reforecast Q1 2026'!$C45:INDEX('Reforecast Q1 2026'!$C45:$N45,$B$27))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'Reforecast Q1 2026'!C46</f>
        <v/>
      </c>
      <c r="D70" s="492">
        <f>IF(B70="","",B70-C70)</f>
        <v/>
      </c>
      <c r="E70" s="492">
        <f>IF(OR(2&gt;$B$27,ISBLANK(Actuals!D46)),"",Actuals!D46)</f>
        <v/>
      </c>
      <c r="F70" s="492">
        <f>'Reforecast Q1 2026'!D46</f>
        <v/>
      </c>
      <c r="G70" s="492">
        <f>IF(E70="","",E70-F70)</f>
        <v/>
      </c>
      <c r="H70" s="492">
        <f>IF(OR(3&gt;$B$27,ISBLANK(Actuals!E46)),"",Actuals!E46)</f>
        <v/>
      </c>
      <c r="I70" s="492">
        <f>'Reforecast Q1 2026'!E46</f>
        <v/>
      </c>
      <c r="J70" s="492">
        <f>IF(H70="","",H70-I70)</f>
        <v/>
      </c>
      <c r="K70" s="492">
        <f>IF(OR(4&gt;$B$27,ISBLANK(Actuals!F46)),"",Actuals!F46)</f>
        <v/>
      </c>
      <c r="L70" s="492">
        <f>'Reforecast Q1 2026'!F46</f>
        <v/>
      </c>
      <c r="M70" s="492">
        <f>IF(K70="","",K70-L70)</f>
        <v/>
      </c>
      <c r="N70" s="492">
        <f>IF(OR(5&gt;$B$27,ISBLANK(Actuals!G46)),"",Actuals!G46)</f>
        <v/>
      </c>
      <c r="O70" s="492">
        <f>'Reforecast Q1 2026'!G46</f>
        <v/>
      </c>
      <c r="P70" s="492">
        <f>IF(N70="","",N70-O70)</f>
        <v/>
      </c>
      <c r="Q70" s="492">
        <f>IF(OR(6&gt;$B$27,ISBLANK(Actuals!H46)),"",Actuals!H46)</f>
        <v/>
      </c>
      <c r="R70" s="492">
        <f>'Reforecast Q1 2026'!H46</f>
        <v/>
      </c>
      <c r="S70" s="492">
        <f>IF(Q70="","",Q70-R70)</f>
        <v/>
      </c>
      <c r="T70" s="492">
        <f>IF(OR(7&gt;$B$27,ISBLANK(Actuals!I46)),"",Actuals!I46)</f>
        <v/>
      </c>
      <c r="U70" s="492">
        <f>'Reforecast Q1 2026'!I46</f>
        <v/>
      </c>
      <c r="V70" s="492">
        <f>IF(T70="","",T70-U70)</f>
        <v/>
      </c>
      <c r="W70" s="492">
        <f>IF(OR(8&gt;$B$27,ISBLANK(Actuals!J46)),"",Actuals!J46)</f>
        <v/>
      </c>
      <c r="X70" s="492">
        <f>'Reforecast Q1 2026'!J46</f>
        <v/>
      </c>
      <c r="Y70" s="492">
        <f>IF(W70="","",W70-X70)</f>
        <v/>
      </c>
      <c r="Z70" s="492">
        <f>IF(OR(9&gt;$B$27,ISBLANK(Actuals!K46)),"",Actuals!K46)</f>
        <v/>
      </c>
      <c r="AA70" s="492">
        <f>'Reforecast Q1 2026'!K46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'Reforecast Q1 2026'!L46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'Reforecast Q1 2026'!M46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'Reforecast Q1 2026'!N46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SUM('Reforecast Q1 2026'!$C46:INDEX('Reforecast Q1 2026'!$C46:$N46,$B$27))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'Reforecast Q1 2026'!C47</f>
        <v/>
      </c>
      <c r="D71" s="492">
        <f>IF(B71="","",B71-C71)</f>
        <v/>
      </c>
      <c r="E71" s="492">
        <f>IF(OR(2&gt;$B$27,ISBLANK(Actuals!D47)),"",Actuals!D47)</f>
        <v/>
      </c>
      <c r="F71" s="492">
        <f>'Reforecast Q1 2026'!D47</f>
        <v/>
      </c>
      <c r="G71" s="492">
        <f>IF(E71="","",E71-F71)</f>
        <v/>
      </c>
      <c r="H71" s="492">
        <f>IF(OR(3&gt;$B$27,ISBLANK(Actuals!E47)),"",Actuals!E47)</f>
        <v/>
      </c>
      <c r="I71" s="492">
        <f>'Reforecast Q1 2026'!E47</f>
        <v/>
      </c>
      <c r="J71" s="492">
        <f>IF(H71="","",H71-I71)</f>
        <v/>
      </c>
      <c r="K71" s="492">
        <f>IF(OR(4&gt;$B$27,ISBLANK(Actuals!F47)),"",Actuals!F47)</f>
        <v/>
      </c>
      <c r="L71" s="492">
        <f>'Reforecast Q1 2026'!F47</f>
        <v/>
      </c>
      <c r="M71" s="492">
        <f>IF(K71="","",K71-L71)</f>
        <v/>
      </c>
      <c r="N71" s="492">
        <f>IF(OR(5&gt;$B$27,ISBLANK(Actuals!G47)),"",Actuals!G47)</f>
        <v/>
      </c>
      <c r="O71" s="492">
        <f>'Reforecast Q1 2026'!G47</f>
        <v/>
      </c>
      <c r="P71" s="492">
        <f>IF(N71="","",N71-O71)</f>
        <v/>
      </c>
      <c r="Q71" s="492">
        <f>IF(OR(6&gt;$B$27,ISBLANK(Actuals!H47)),"",Actuals!H47)</f>
        <v/>
      </c>
      <c r="R71" s="492">
        <f>'Reforecast Q1 2026'!H47</f>
        <v/>
      </c>
      <c r="S71" s="492">
        <f>IF(Q71="","",Q71-R71)</f>
        <v/>
      </c>
      <c r="T71" s="492">
        <f>IF(OR(7&gt;$B$27,ISBLANK(Actuals!I47)),"",Actuals!I47)</f>
        <v/>
      </c>
      <c r="U71" s="492">
        <f>'Reforecast Q1 2026'!I47</f>
        <v/>
      </c>
      <c r="V71" s="492">
        <f>IF(T71="","",T71-U71)</f>
        <v/>
      </c>
      <c r="W71" s="492">
        <f>IF(OR(8&gt;$B$27,ISBLANK(Actuals!J47)),"",Actuals!J47)</f>
        <v/>
      </c>
      <c r="X71" s="492">
        <f>'Reforecast Q1 2026'!J47</f>
        <v/>
      </c>
      <c r="Y71" s="492">
        <f>IF(W71="","",W71-X71)</f>
        <v/>
      </c>
      <c r="Z71" s="492">
        <f>IF(OR(9&gt;$B$27,ISBLANK(Actuals!K47)),"",Actuals!K47)</f>
        <v/>
      </c>
      <c r="AA71" s="492">
        <f>'Reforecast Q1 2026'!K47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'Reforecast Q1 2026'!L47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'Reforecast Q1 2026'!M47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'Reforecast Q1 2026'!N47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SUM('Reforecast Q1 2026'!$C47:INDEX('Reforecast Q1 2026'!$C47:$N47,$B$27))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'Reforecast Q1 2026'!C48</f>
        <v/>
      </c>
      <c r="D72" s="492">
        <f>IF(B72="","",B72-C72)</f>
        <v/>
      </c>
      <c r="E72" s="492">
        <f>IF(OR(2&gt;$B$27,ISBLANK(Actuals!D48)),"",Actuals!D48)</f>
        <v/>
      </c>
      <c r="F72" s="492">
        <f>'Reforecast Q1 2026'!D48</f>
        <v/>
      </c>
      <c r="G72" s="492">
        <f>IF(E72="","",E72-F72)</f>
        <v/>
      </c>
      <c r="H72" s="492">
        <f>IF(OR(3&gt;$B$27,ISBLANK(Actuals!E48)),"",Actuals!E48)</f>
        <v/>
      </c>
      <c r="I72" s="492">
        <f>'Reforecast Q1 2026'!E48</f>
        <v/>
      </c>
      <c r="J72" s="492">
        <f>IF(H72="","",H72-I72)</f>
        <v/>
      </c>
      <c r="K72" s="492">
        <f>IF(OR(4&gt;$B$27,ISBLANK(Actuals!F48)),"",Actuals!F48)</f>
        <v/>
      </c>
      <c r="L72" s="492">
        <f>'Reforecast Q1 2026'!F48</f>
        <v/>
      </c>
      <c r="M72" s="492">
        <f>IF(K72="","",K72-L72)</f>
        <v/>
      </c>
      <c r="N72" s="492">
        <f>IF(OR(5&gt;$B$27,ISBLANK(Actuals!G48)),"",Actuals!G48)</f>
        <v/>
      </c>
      <c r="O72" s="492">
        <f>'Reforecast Q1 2026'!G48</f>
        <v/>
      </c>
      <c r="P72" s="492">
        <f>IF(N72="","",N72-O72)</f>
        <v/>
      </c>
      <c r="Q72" s="492">
        <f>IF(OR(6&gt;$B$27,ISBLANK(Actuals!H48)),"",Actuals!H48)</f>
        <v/>
      </c>
      <c r="R72" s="492">
        <f>'Reforecast Q1 2026'!H48</f>
        <v/>
      </c>
      <c r="S72" s="492">
        <f>IF(Q72="","",Q72-R72)</f>
        <v/>
      </c>
      <c r="T72" s="492">
        <f>IF(OR(7&gt;$B$27,ISBLANK(Actuals!I48)),"",Actuals!I48)</f>
        <v/>
      </c>
      <c r="U72" s="492">
        <f>'Reforecast Q1 2026'!I48</f>
        <v/>
      </c>
      <c r="V72" s="492">
        <f>IF(T72="","",T72-U72)</f>
        <v/>
      </c>
      <c r="W72" s="492">
        <f>IF(OR(8&gt;$B$27,ISBLANK(Actuals!J48)),"",Actuals!J48)</f>
        <v/>
      </c>
      <c r="X72" s="492">
        <f>'Reforecast Q1 2026'!J48</f>
        <v/>
      </c>
      <c r="Y72" s="492">
        <f>IF(W72="","",W72-X72)</f>
        <v/>
      </c>
      <c r="Z72" s="492">
        <f>IF(OR(9&gt;$B$27,ISBLANK(Actuals!K48)),"",Actuals!K48)</f>
        <v/>
      </c>
      <c r="AA72" s="492">
        <f>'Reforecast Q1 2026'!K48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'Reforecast Q1 2026'!L48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'Reforecast Q1 2026'!M48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'Reforecast Q1 2026'!N48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SUM('Reforecast Q1 2026'!$C48:INDEX('Reforecast Q1 2026'!$C48:$N48,$B$27))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'Reforecast Q1 2026'!C49</f>
        <v/>
      </c>
      <c r="D73" s="492">
        <f>IF(B73="","",B73-C73)</f>
        <v/>
      </c>
      <c r="E73" s="492">
        <f>IF(OR(2&gt;$B$27,ISBLANK(Actuals!D49)),"",Actuals!D49)</f>
        <v/>
      </c>
      <c r="F73" s="492">
        <f>'Reforecast Q1 2026'!D49</f>
        <v/>
      </c>
      <c r="G73" s="492">
        <f>IF(E73="","",E73-F73)</f>
        <v/>
      </c>
      <c r="H73" s="492">
        <f>IF(OR(3&gt;$B$27,ISBLANK(Actuals!E49)),"",Actuals!E49)</f>
        <v/>
      </c>
      <c r="I73" s="492">
        <f>'Reforecast Q1 2026'!E49</f>
        <v/>
      </c>
      <c r="J73" s="492">
        <f>IF(H73="","",H73-I73)</f>
        <v/>
      </c>
      <c r="K73" s="492">
        <f>IF(OR(4&gt;$B$27,ISBLANK(Actuals!F49)),"",Actuals!F49)</f>
        <v/>
      </c>
      <c r="L73" s="492">
        <f>'Reforecast Q1 2026'!F49</f>
        <v/>
      </c>
      <c r="M73" s="492">
        <f>IF(K73="","",K73-L73)</f>
        <v/>
      </c>
      <c r="N73" s="492">
        <f>IF(OR(5&gt;$B$27,ISBLANK(Actuals!G49)),"",Actuals!G49)</f>
        <v/>
      </c>
      <c r="O73" s="492">
        <f>'Reforecast Q1 2026'!G49</f>
        <v/>
      </c>
      <c r="P73" s="492">
        <f>IF(N73="","",N73-O73)</f>
        <v/>
      </c>
      <c r="Q73" s="492">
        <f>IF(OR(6&gt;$B$27,ISBLANK(Actuals!H49)),"",Actuals!H49)</f>
        <v/>
      </c>
      <c r="R73" s="492">
        <f>'Reforecast Q1 2026'!H49</f>
        <v/>
      </c>
      <c r="S73" s="492">
        <f>IF(Q73="","",Q73-R73)</f>
        <v/>
      </c>
      <c r="T73" s="492">
        <f>IF(OR(7&gt;$B$27,ISBLANK(Actuals!I49)),"",Actuals!I49)</f>
        <v/>
      </c>
      <c r="U73" s="492">
        <f>'Reforecast Q1 2026'!I49</f>
        <v/>
      </c>
      <c r="V73" s="492">
        <f>IF(T73="","",T73-U73)</f>
        <v/>
      </c>
      <c r="W73" s="492">
        <f>IF(OR(8&gt;$B$27,ISBLANK(Actuals!J49)),"",Actuals!J49)</f>
        <v/>
      </c>
      <c r="X73" s="492">
        <f>'Reforecast Q1 2026'!J49</f>
        <v/>
      </c>
      <c r="Y73" s="492">
        <f>IF(W73="","",W73-X73)</f>
        <v/>
      </c>
      <c r="Z73" s="492">
        <f>IF(OR(9&gt;$B$27,ISBLANK(Actuals!K49)),"",Actuals!K49)</f>
        <v/>
      </c>
      <c r="AA73" s="492">
        <f>'Reforecast Q1 2026'!K49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'Reforecast Q1 2026'!L49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'Reforecast Q1 2026'!M49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'Reforecast Q1 2026'!N49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SUM('Reforecast Q1 2026'!$C49:INDEX('Reforecast Q1 2026'!$C49:$N49,$B$27))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'Reforecast Q1 2026'!C50</f>
        <v/>
      </c>
      <c r="D74" s="492">
        <f>IF(B74="","",B74-C74)</f>
        <v/>
      </c>
      <c r="E74" s="492">
        <f>IF(OR(2&gt;$B$27,ISBLANK(Actuals!D50)),"",Actuals!D50)</f>
        <v/>
      </c>
      <c r="F74" s="492">
        <f>'Reforecast Q1 2026'!D50</f>
        <v/>
      </c>
      <c r="G74" s="492">
        <f>IF(E74="","",E74-F74)</f>
        <v/>
      </c>
      <c r="H74" s="492">
        <f>IF(OR(3&gt;$B$27,ISBLANK(Actuals!E50)),"",Actuals!E50)</f>
        <v/>
      </c>
      <c r="I74" s="492">
        <f>'Reforecast Q1 2026'!E50</f>
        <v/>
      </c>
      <c r="J74" s="492">
        <f>IF(H74="","",H74-I74)</f>
        <v/>
      </c>
      <c r="K74" s="492">
        <f>IF(OR(4&gt;$B$27,ISBLANK(Actuals!F50)),"",Actuals!F50)</f>
        <v/>
      </c>
      <c r="L74" s="492">
        <f>'Reforecast Q1 2026'!F50</f>
        <v/>
      </c>
      <c r="M74" s="492">
        <f>IF(K74="","",K74-L74)</f>
        <v/>
      </c>
      <c r="N74" s="492">
        <f>IF(OR(5&gt;$B$27,ISBLANK(Actuals!G50)),"",Actuals!G50)</f>
        <v/>
      </c>
      <c r="O74" s="492">
        <f>'Reforecast Q1 2026'!G50</f>
        <v/>
      </c>
      <c r="P74" s="492">
        <f>IF(N74="","",N74-O74)</f>
        <v/>
      </c>
      <c r="Q74" s="492">
        <f>IF(OR(6&gt;$B$27,ISBLANK(Actuals!H50)),"",Actuals!H50)</f>
        <v/>
      </c>
      <c r="R74" s="492">
        <f>'Reforecast Q1 2026'!H50</f>
        <v/>
      </c>
      <c r="S74" s="492">
        <f>IF(Q74="","",Q74-R74)</f>
        <v/>
      </c>
      <c r="T74" s="492">
        <f>IF(OR(7&gt;$B$27,ISBLANK(Actuals!I50)),"",Actuals!I50)</f>
        <v/>
      </c>
      <c r="U74" s="492">
        <f>'Reforecast Q1 2026'!I50</f>
        <v/>
      </c>
      <c r="V74" s="492">
        <f>IF(T74="","",T74-U74)</f>
        <v/>
      </c>
      <c r="W74" s="492">
        <f>IF(OR(8&gt;$B$27,ISBLANK(Actuals!J50)),"",Actuals!J50)</f>
        <v/>
      </c>
      <c r="X74" s="492">
        <f>'Reforecast Q1 2026'!J50</f>
        <v/>
      </c>
      <c r="Y74" s="492">
        <f>IF(W74="","",W74-X74)</f>
        <v/>
      </c>
      <c r="Z74" s="492">
        <f>IF(OR(9&gt;$B$27,ISBLANK(Actuals!K50)),"",Actuals!K50)</f>
        <v/>
      </c>
      <c r="AA74" s="492">
        <f>'Reforecast Q1 2026'!K50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'Reforecast Q1 2026'!L50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'Reforecast Q1 2026'!M50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'Reforecast Q1 2026'!N50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SUM('Reforecast Q1 2026'!$C50:INDEX('Reforecast Q1 2026'!$C50:$N50,$B$27))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'Reforecast Q1 2026'!C51</f>
        <v/>
      </c>
      <c r="D75" s="492">
        <f>IF(B75="","",B75-C75)</f>
        <v/>
      </c>
      <c r="E75" s="492">
        <f>IF(OR(2&gt;$B$27,ISBLANK(Actuals!D51)),"",Actuals!D51)</f>
        <v/>
      </c>
      <c r="F75" s="492">
        <f>'Reforecast Q1 2026'!D51</f>
        <v/>
      </c>
      <c r="G75" s="492">
        <f>IF(E75="","",E75-F75)</f>
        <v/>
      </c>
      <c r="H75" s="492">
        <f>IF(OR(3&gt;$B$27,ISBLANK(Actuals!E51)),"",Actuals!E51)</f>
        <v/>
      </c>
      <c r="I75" s="492">
        <f>'Reforecast Q1 2026'!E51</f>
        <v/>
      </c>
      <c r="J75" s="492">
        <f>IF(H75="","",H75-I75)</f>
        <v/>
      </c>
      <c r="K75" s="492">
        <f>IF(OR(4&gt;$B$27,ISBLANK(Actuals!F51)),"",Actuals!F51)</f>
        <v/>
      </c>
      <c r="L75" s="492">
        <f>'Reforecast Q1 2026'!F51</f>
        <v/>
      </c>
      <c r="M75" s="492">
        <f>IF(K75="","",K75-L75)</f>
        <v/>
      </c>
      <c r="N75" s="492">
        <f>IF(OR(5&gt;$B$27,ISBLANK(Actuals!G51)),"",Actuals!G51)</f>
        <v/>
      </c>
      <c r="O75" s="492">
        <f>'Reforecast Q1 2026'!G51</f>
        <v/>
      </c>
      <c r="P75" s="492">
        <f>IF(N75="","",N75-O75)</f>
        <v/>
      </c>
      <c r="Q75" s="492">
        <f>IF(OR(6&gt;$B$27,ISBLANK(Actuals!H51)),"",Actuals!H51)</f>
        <v/>
      </c>
      <c r="R75" s="492">
        <f>'Reforecast Q1 2026'!H51</f>
        <v/>
      </c>
      <c r="S75" s="492">
        <f>IF(Q75="","",Q75-R75)</f>
        <v/>
      </c>
      <c r="T75" s="492">
        <f>IF(OR(7&gt;$B$27,ISBLANK(Actuals!I51)),"",Actuals!I51)</f>
        <v/>
      </c>
      <c r="U75" s="492">
        <f>'Reforecast Q1 2026'!I51</f>
        <v/>
      </c>
      <c r="V75" s="492">
        <f>IF(T75="","",T75-U75)</f>
        <v/>
      </c>
      <c r="W75" s="492">
        <f>IF(OR(8&gt;$B$27,ISBLANK(Actuals!J51)),"",Actuals!J51)</f>
        <v/>
      </c>
      <c r="X75" s="492">
        <f>'Reforecast Q1 2026'!J51</f>
        <v/>
      </c>
      <c r="Y75" s="492">
        <f>IF(W75="","",W75-X75)</f>
        <v/>
      </c>
      <c r="Z75" s="492">
        <f>IF(OR(9&gt;$B$27,ISBLANK(Actuals!K51)),"",Actuals!K51)</f>
        <v/>
      </c>
      <c r="AA75" s="492">
        <f>'Reforecast Q1 2026'!K51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'Reforecast Q1 2026'!L51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'Reforecast Q1 2026'!M51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'Reforecast Q1 2026'!N51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SUM('Reforecast Q1 2026'!$C51:INDEX('Reforecast Q1 2026'!$C51:$N51,$B$27))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'Reforecast Q1 2026'!C52</f>
        <v/>
      </c>
      <c r="D76" s="492">
        <f>IF(B76="","",B76-C76)</f>
        <v/>
      </c>
      <c r="E76" s="492">
        <f>IF(OR(2&gt;$B$27,ISBLANK(Actuals!D52)),"",Actuals!D52)</f>
        <v/>
      </c>
      <c r="F76" s="492">
        <f>'Reforecast Q1 2026'!D52</f>
        <v/>
      </c>
      <c r="G76" s="492">
        <f>IF(E76="","",E76-F76)</f>
        <v/>
      </c>
      <c r="H76" s="492">
        <f>IF(OR(3&gt;$B$27,ISBLANK(Actuals!E52)),"",Actuals!E52)</f>
        <v/>
      </c>
      <c r="I76" s="492">
        <f>'Reforecast Q1 2026'!E52</f>
        <v/>
      </c>
      <c r="J76" s="492">
        <f>IF(H76="","",H76-I76)</f>
        <v/>
      </c>
      <c r="K76" s="492">
        <f>IF(OR(4&gt;$B$27,ISBLANK(Actuals!F52)),"",Actuals!F52)</f>
        <v/>
      </c>
      <c r="L76" s="492">
        <f>'Reforecast Q1 2026'!F52</f>
        <v/>
      </c>
      <c r="M76" s="492">
        <f>IF(K76="","",K76-L76)</f>
        <v/>
      </c>
      <c r="N76" s="492">
        <f>IF(OR(5&gt;$B$27,ISBLANK(Actuals!G52)),"",Actuals!G52)</f>
        <v/>
      </c>
      <c r="O76" s="492">
        <f>'Reforecast Q1 2026'!G52</f>
        <v/>
      </c>
      <c r="P76" s="492">
        <f>IF(N76="","",N76-O76)</f>
        <v/>
      </c>
      <c r="Q76" s="492">
        <f>IF(OR(6&gt;$B$27,ISBLANK(Actuals!H52)),"",Actuals!H52)</f>
        <v/>
      </c>
      <c r="R76" s="492">
        <f>'Reforecast Q1 2026'!H52</f>
        <v/>
      </c>
      <c r="S76" s="492">
        <f>IF(Q76="","",Q76-R76)</f>
        <v/>
      </c>
      <c r="T76" s="492">
        <f>IF(OR(7&gt;$B$27,ISBLANK(Actuals!I52)),"",Actuals!I52)</f>
        <v/>
      </c>
      <c r="U76" s="492">
        <f>'Reforecast Q1 2026'!I52</f>
        <v/>
      </c>
      <c r="V76" s="492">
        <f>IF(T76="","",T76-U76)</f>
        <v/>
      </c>
      <c r="W76" s="492">
        <f>IF(OR(8&gt;$B$27,ISBLANK(Actuals!J52)),"",Actuals!J52)</f>
        <v/>
      </c>
      <c r="X76" s="492">
        <f>'Reforecast Q1 2026'!J52</f>
        <v/>
      </c>
      <c r="Y76" s="492">
        <f>IF(W76="","",W76-X76)</f>
        <v/>
      </c>
      <c r="Z76" s="492">
        <f>IF(OR(9&gt;$B$27,ISBLANK(Actuals!K52)),"",Actuals!K52)</f>
        <v/>
      </c>
      <c r="AA76" s="492">
        <f>'Reforecast Q1 2026'!K52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'Reforecast Q1 2026'!L52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'Reforecast Q1 2026'!M52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'Reforecast Q1 2026'!N52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SUM('Reforecast Q1 2026'!$C52:INDEX('Reforecast Q1 2026'!$C52:$N52,$B$27))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'Reforecast Q1 2026'!C53</f>
        <v/>
      </c>
      <c r="D77" s="492">
        <f>IF(B77="","",B77-C77)</f>
        <v/>
      </c>
      <c r="E77" s="492">
        <f>IF(OR(2&gt;$B$27,ISBLANK(Actuals!D53)),"",Actuals!D53)</f>
        <v/>
      </c>
      <c r="F77" s="492">
        <f>'Reforecast Q1 2026'!D53</f>
        <v/>
      </c>
      <c r="G77" s="492">
        <f>IF(E77="","",E77-F77)</f>
        <v/>
      </c>
      <c r="H77" s="492">
        <f>IF(OR(3&gt;$B$27,ISBLANK(Actuals!E53)),"",Actuals!E53)</f>
        <v/>
      </c>
      <c r="I77" s="492">
        <f>'Reforecast Q1 2026'!E53</f>
        <v/>
      </c>
      <c r="J77" s="492">
        <f>IF(H77="","",H77-I77)</f>
        <v/>
      </c>
      <c r="K77" s="492">
        <f>IF(OR(4&gt;$B$27,ISBLANK(Actuals!F53)),"",Actuals!F53)</f>
        <v/>
      </c>
      <c r="L77" s="492">
        <f>'Reforecast Q1 2026'!F53</f>
        <v/>
      </c>
      <c r="M77" s="492">
        <f>IF(K77="","",K77-L77)</f>
        <v/>
      </c>
      <c r="N77" s="492">
        <f>IF(OR(5&gt;$B$27,ISBLANK(Actuals!G53)),"",Actuals!G53)</f>
        <v/>
      </c>
      <c r="O77" s="492">
        <f>'Reforecast Q1 2026'!G53</f>
        <v/>
      </c>
      <c r="P77" s="492">
        <f>IF(N77="","",N77-O77)</f>
        <v/>
      </c>
      <c r="Q77" s="492">
        <f>IF(OR(6&gt;$B$27,ISBLANK(Actuals!H53)),"",Actuals!H53)</f>
        <v/>
      </c>
      <c r="R77" s="492">
        <f>'Reforecast Q1 2026'!H53</f>
        <v/>
      </c>
      <c r="S77" s="492">
        <f>IF(Q77="","",Q77-R77)</f>
        <v/>
      </c>
      <c r="T77" s="492">
        <f>IF(OR(7&gt;$B$27,ISBLANK(Actuals!I53)),"",Actuals!I53)</f>
        <v/>
      </c>
      <c r="U77" s="492">
        <f>'Reforecast Q1 2026'!I53</f>
        <v/>
      </c>
      <c r="V77" s="492">
        <f>IF(T77="","",T77-U77)</f>
        <v/>
      </c>
      <c r="W77" s="492">
        <f>IF(OR(8&gt;$B$27,ISBLANK(Actuals!J53)),"",Actuals!J53)</f>
        <v/>
      </c>
      <c r="X77" s="492">
        <f>'Reforecast Q1 2026'!J53</f>
        <v/>
      </c>
      <c r="Y77" s="492">
        <f>IF(W77="","",W77-X77)</f>
        <v/>
      </c>
      <c r="Z77" s="492">
        <f>IF(OR(9&gt;$B$27,ISBLANK(Actuals!K53)),"",Actuals!K53)</f>
        <v/>
      </c>
      <c r="AA77" s="492">
        <f>'Reforecast Q1 2026'!K53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'Reforecast Q1 2026'!L53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'Reforecast Q1 2026'!M53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'Reforecast Q1 2026'!N53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SUM('Reforecast Q1 2026'!$C53:INDEX('Reforecast Q1 2026'!$C53:$N53,$B$27))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'Reforecast Q1 2026'!C54</f>
        <v/>
      </c>
      <c r="D78" s="492">
        <f>IF(B78="","",B78-C78)</f>
        <v/>
      </c>
      <c r="E78" s="492">
        <f>IF(OR(2&gt;$B$27,ISBLANK(Actuals!D54)),"",Actuals!D54)</f>
        <v/>
      </c>
      <c r="F78" s="492">
        <f>'Reforecast Q1 2026'!D54</f>
        <v/>
      </c>
      <c r="G78" s="492">
        <f>IF(E78="","",E78-F78)</f>
        <v/>
      </c>
      <c r="H78" s="492">
        <f>IF(OR(3&gt;$B$27,ISBLANK(Actuals!E54)),"",Actuals!E54)</f>
        <v/>
      </c>
      <c r="I78" s="492">
        <f>'Reforecast Q1 2026'!E54</f>
        <v/>
      </c>
      <c r="J78" s="492">
        <f>IF(H78="","",H78-I78)</f>
        <v/>
      </c>
      <c r="K78" s="492">
        <f>IF(OR(4&gt;$B$27,ISBLANK(Actuals!F54)),"",Actuals!F54)</f>
        <v/>
      </c>
      <c r="L78" s="492">
        <f>'Reforecast Q1 2026'!F54</f>
        <v/>
      </c>
      <c r="M78" s="492">
        <f>IF(K78="","",K78-L78)</f>
        <v/>
      </c>
      <c r="N78" s="492">
        <f>IF(OR(5&gt;$B$27,ISBLANK(Actuals!G54)),"",Actuals!G54)</f>
        <v/>
      </c>
      <c r="O78" s="492">
        <f>'Reforecast Q1 2026'!G54</f>
        <v/>
      </c>
      <c r="P78" s="492">
        <f>IF(N78="","",N78-O78)</f>
        <v/>
      </c>
      <c r="Q78" s="492">
        <f>IF(OR(6&gt;$B$27,ISBLANK(Actuals!H54)),"",Actuals!H54)</f>
        <v/>
      </c>
      <c r="R78" s="492">
        <f>'Reforecast Q1 2026'!H54</f>
        <v/>
      </c>
      <c r="S78" s="492">
        <f>IF(Q78="","",Q78-R78)</f>
        <v/>
      </c>
      <c r="T78" s="492">
        <f>IF(OR(7&gt;$B$27,ISBLANK(Actuals!I54)),"",Actuals!I54)</f>
        <v/>
      </c>
      <c r="U78" s="492">
        <f>'Reforecast Q1 2026'!I54</f>
        <v/>
      </c>
      <c r="V78" s="492">
        <f>IF(T78="","",T78-U78)</f>
        <v/>
      </c>
      <c r="W78" s="492">
        <f>IF(OR(8&gt;$B$27,ISBLANK(Actuals!J54)),"",Actuals!J54)</f>
        <v/>
      </c>
      <c r="X78" s="492">
        <f>'Reforecast Q1 2026'!J54</f>
        <v/>
      </c>
      <c r="Y78" s="492">
        <f>IF(W78="","",W78-X78)</f>
        <v/>
      </c>
      <c r="Z78" s="492">
        <f>IF(OR(9&gt;$B$27,ISBLANK(Actuals!K54)),"",Actuals!K54)</f>
        <v/>
      </c>
      <c r="AA78" s="492">
        <f>'Reforecast Q1 2026'!K54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'Reforecast Q1 2026'!L54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'Reforecast Q1 2026'!M54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'Reforecast Q1 2026'!N54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SUM('Reforecast Q1 2026'!$C54:INDEX('Reforecast Q1 2026'!$C54:$N54,$B$27))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'Reforecast Q1 2026'!C55</f>
        <v/>
      </c>
      <c r="D79" s="494">
        <f>IF(B79="","",B79-C79)</f>
        <v/>
      </c>
      <c r="E79" s="494">
        <f>IF(OR(2&gt;$B$27,ISBLANK(Actuals!D55)),"",Actuals!D55)</f>
        <v/>
      </c>
      <c r="F79" s="494">
        <f>'Reforecast Q1 2026'!D55</f>
        <v/>
      </c>
      <c r="G79" s="494">
        <f>IF(E79="","",E79-F79)</f>
        <v/>
      </c>
      <c r="H79" s="494">
        <f>IF(OR(3&gt;$B$27,ISBLANK(Actuals!E55)),"",Actuals!E55)</f>
        <v/>
      </c>
      <c r="I79" s="494">
        <f>'Reforecast Q1 2026'!E55</f>
        <v/>
      </c>
      <c r="J79" s="494">
        <f>IF(H79="","",H79-I79)</f>
        <v/>
      </c>
      <c r="K79" s="494">
        <f>IF(OR(4&gt;$B$27,ISBLANK(Actuals!F55)),"",Actuals!F55)</f>
        <v/>
      </c>
      <c r="L79" s="494">
        <f>'Reforecast Q1 2026'!F55</f>
        <v/>
      </c>
      <c r="M79" s="494">
        <f>IF(K79="","",K79-L79)</f>
        <v/>
      </c>
      <c r="N79" s="494">
        <f>IF(OR(5&gt;$B$27,ISBLANK(Actuals!G55)),"",Actuals!G55)</f>
        <v/>
      </c>
      <c r="O79" s="494">
        <f>'Reforecast Q1 2026'!G55</f>
        <v/>
      </c>
      <c r="P79" s="494">
        <f>IF(N79="","",N79-O79)</f>
        <v/>
      </c>
      <c r="Q79" s="494">
        <f>IF(OR(6&gt;$B$27,ISBLANK(Actuals!H55)),"",Actuals!H55)</f>
        <v/>
      </c>
      <c r="R79" s="494">
        <f>'Reforecast Q1 2026'!H55</f>
        <v/>
      </c>
      <c r="S79" s="494">
        <f>IF(Q79="","",Q79-R79)</f>
        <v/>
      </c>
      <c r="T79" s="494">
        <f>IF(OR(7&gt;$B$27,ISBLANK(Actuals!I55)),"",Actuals!I55)</f>
        <v/>
      </c>
      <c r="U79" s="494">
        <f>'Reforecast Q1 2026'!I55</f>
        <v/>
      </c>
      <c r="V79" s="494">
        <f>IF(T79="","",T79-U79)</f>
        <v/>
      </c>
      <c r="W79" s="494">
        <f>IF(OR(8&gt;$B$27,ISBLANK(Actuals!J55)),"",Actuals!J55)</f>
        <v/>
      </c>
      <c r="X79" s="494">
        <f>'Reforecast Q1 2026'!J55</f>
        <v/>
      </c>
      <c r="Y79" s="494">
        <f>IF(W79="","",W79-X79)</f>
        <v/>
      </c>
      <c r="Z79" s="494">
        <f>IF(OR(9&gt;$B$27,ISBLANK(Actuals!K55)),"",Actuals!K55)</f>
        <v/>
      </c>
      <c r="AA79" s="494">
        <f>'Reforecast Q1 2026'!K55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'Reforecast Q1 2026'!L55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'Reforecast Q1 2026'!M55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'Reforecast Q1 2026'!N55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SUM('Reforecast Q1 2026'!$C55:INDEX('Reforecast Q1 2026'!$C55:$N55,$B$27))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'Reforecast Q1 2026'!C57</f>
        <v/>
      </c>
      <c r="D81" s="496">
        <f>IF(B81="","",B81-C81)</f>
        <v/>
      </c>
      <c r="E81" s="496">
        <f>IF(OR(2&gt;$B$27,ISBLANK(Actuals!D57)),"",Actuals!D57)</f>
        <v/>
      </c>
      <c r="F81" s="496">
        <f>'Reforecast Q1 2026'!D57</f>
        <v/>
      </c>
      <c r="G81" s="496">
        <f>IF(E81="","",E81-F81)</f>
        <v/>
      </c>
      <c r="H81" s="496">
        <f>IF(OR(3&gt;$B$27,ISBLANK(Actuals!E57)),"",Actuals!E57)</f>
        <v/>
      </c>
      <c r="I81" s="496">
        <f>'Reforecast Q1 2026'!E57</f>
        <v/>
      </c>
      <c r="J81" s="496">
        <f>IF(H81="","",H81-I81)</f>
        <v/>
      </c>
      <c r="K81" s="496">
        <f>IF(OR(4&gt;$B$27,ISBLANK(Actuals!F57)),"",Actuals!F57)</f>
        <v/>
      </c>
      <c r="L81" s="496">
        <f>'Reforecast Q1 2026'!F57</f>
        <v/>
      </c>
      <c r="M81" s="496">
        <f>IF(K81="","",K81-L81)</f>
        <v/>
      </c>
      <c r="N81" s="496">
        <f>IF(OR(5&gt;$B$27,ISBLANK(Actuals!G57)),"",Actuals!G57)</f>
        <v/>
      </c>
      <c r="O81" s="496">
        <f>'Reforecast Q1 2026'!G57</f>
        <v/>
      </c>
      <c r="P81" s="496">
        <f>IF(N81="","",N81-O81)</f>
        <v/>
      </c>
      <c r="Q81" s="496">
        <f>IF(OR(6&gt;$B$27,ISBLANK(Actuals!H57)),"",Actuals!H57)</f>
        <v/>
      </c>
      <c r="R81" s="496">
        <f>'Reforecast Q1 2026'!H57</f>
        <v/>
      </c>
      <c r="S81" s="496">
        <f>IF(Q81="","",Q81-R81)</f>
        <v/>
      </c>
      <c r="T81" s="496">
        <f>IF(OR(7&gt;$B$27,ISBLANK(Actuals!I57)),"",Actuals!I57)</f>
        <v/>
      </c>
      <c r="U81" s="496">
        <f>'Reforecast Q1 2026'!I57</f>
        <v/>
      </c>
      <c r="V81" s="496">
        <f>IF(T81="","",T81-U81)</f>
        <v/>
      </c>
      <c r="W81" s="496">
        <f>IF(OR(8&gt;$B$27,ISBLANK(Actuals!J57)),"",Actuals!J57)</f>
        <v/>
      </c>
      <c r="X81" s="496">
        <f>'Reforecast Q1 2026'!J57</f>
        <v/>
      </c>
      <c r="Y81" s="496">
        <f>IF(W81="","",W81-X81)</f>
        <v/>
      </c>
      <c r="Z81" s="496">
        <f>IF(OR(9&gt;$B$27,ISBLANK(Actuals!K57)),"",Actuals!K57)</f>
        <v/>
      </c>
      <c r="AA81" s="496">
        <f>'Reforecast Q1 2026'!K57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'Reforecast Q1 2026'!L57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'Reforecast Q1 2026'!M57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'Reforecast Q1 2026'!N57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SUM('Reforecast Q1 2026'!$C57:INDEX('Reforecast Q1 2026'!$C57:$N57,$B$27))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'Reforecast Q1 2026'!C58</f>
        <v/>
      </c>
      <c r="D82" s="492">
        <f>IF(B82="","",B82-C82)</f>
        <v/>
      </c>
      <c r="E82" s="492">
        <f>IF(OR(2&gt;$B$27,ISBLANK(Actuals!D58)),"",Actuals!D58)</f>
        <v/>
      </c>
      <c r="F82" s="492">
        <f>'Reforecast Q1 2026'!D58</f>
        <v/>
      </c>
      <c r="G82" s="492">
        <f>IF(E82="","",E82-F82)</f>
        <v/>
      </c>
      <c r="H82" s="492">
        <f>IF(OR(3&gt;$B$27,ISBLANK(Actuals!E58)),"",Actuals!E58)</f>
        <v/>
      </c>
      <c r="I82" s="492">
        <f>'Reforecast Q1 2026'!E58</f>
        <v/>
      </c>
      <c r="J82" s="492">
        <f>IF(H82="","",H82-I82)</f>
        <v/>
      </c>
      <c r="K82" s="492">
        <f>IF(OR(4&gt;$B$27,ISBLANK(Actuals!F58)),"",Actuals!F58)</f>
        <v/>
      </c>
      <c r="L82" s="492">
        <f>'Reforecast Q1 2026'!F58</f>
        <v/>
      </c>
      <c r="M82" s="492">
        <f>IF(K82="","",K82-L82)</f>
        <v/>
      </c>
      <c r="N82" s="492">
        <f>IF(OR(5&gt;$B$27,ISBLANK(Actuals!G58)),"",Actuals!G58)</f>
        <v/>
      </c>
      <c r="O82" s="492">
        <f>'Reforecast Q1 2026'!G58</f>
        <v/>
      </c>
      <c r="P82" s="492">
        <f>IF(N82="","",N82-O82)</f>
        <v/>
      </c>
      <c r="Q82" s="492">
        <f>IF(OR(6&gt;$B$27,ISBLANK(Actuals!H58)),"",Actuals!H58)</f>
        <v/>
      </c>
      <c r="R82" s="492">
        <f>'Reforecast Q1 2026'!H58</f>
        <v/>
      </c>
      <c r="S82" s="492">
        <f>IF(Q82="","",Q82-R82)</f>
        <v/>
      </c>
      <c r="T82" s="492">
        <f>IF(OR(7&gt;$B$27,ISBLANK(Actuals!I58)),"",Actuals!I58)</f>
        <v/>
      </c>
      <c r="U82" s="492">
        <f>'Reforecast Q1 2026'!I58</f>
        <v/>
      </c>
      <c r="V82" s="492">
        <f>IF(T82="","",T82-U82)</f>
        <v/>
      </c>
      <c r="W82" s="492">
        <f>IF(OR(8&gt;$B$27,ISBLANK(Actuals!J58)),"",Actuals!J58)</f>
        <v/>
      </c>
      <c r="X82" s="492">
        <f>'Reforecast Q1 2026'!J58</f>
        <v/>
      </c>
      <c r="Y82" s="492">
        <f>IF(W82="","",W82-X82)</f>
        <v/>
      </c>
      <c r="Z82" s="492">
        <f>IF(OR(9&gt;$B$27,ISBLANK(Actuals!K58)),"",Actuals!K58)</f>
        <v/>
      </c>
      <c r="AA82" s="492">
        <f>'Reforecast Q1 2026'!K58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'Reforecast Q1 2026'!L58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'Reforecast Q1 2026'!M58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'Reforecast Q1 2026'!N58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SUM('Reforecast Q1 2026'!$C58:INDEX('Reforecast Q1 2026'!$C58:$N58,$B$27))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'Reforecast Q1 2026'!C63</f>
        <v/>
      </c>
      <c r="D87" s="492">
        <f>IF(B87="","",B87-C87)</f>
        <v/>
      </c>
      <c r="E87" s="492">
        <f>IF(OR(2&gt;$B$27,ISBLANK(Actuals!D63)),"",Actuals!D63)</f>
        <v/>
      </c>
      <c r="F87" s="492">
        <f>'Reforecast Q1 2026'!D63</f>
        <v/>
      </c>
      <c r="G87" s="492">
        <f>IF(E87="","",E87-F87)</f>
        <v/>
      </c>
      <c r="H87" s="492">
        <f>IF(OR(3&gt;$B$27,ISBLANK(Actuals!E63)),"",Actuals!E63)</f>
        <v/>
      </c>
      <c r="I87" s="492">
        <f>'Reforecast Q1 2026'!E63</f>
        <v/>
      </c>
      <c r="J87" s="492">
        <f>IF(H87="","",H87-I87)</f>
        <v/>
      </c>
      <c r="K87" s="492">
        <f>IF(OR(4&gt;$B$27,ISBLANK(Actuals!F63)),"",Actuals!F63)</f>
        <v/>
      </c>
      <c r="L87" s="492">
        <f>'Reforecast Q1 2026'!F63</f>
        <v/>
      </c>
      <c r="M87" s="492">
        <f>IF(K87="","",K87-L87)</f>
        <v/>
      </c>
      <c r="N87" s="492">
        <f>IF(OR(5&gt;$B$27,ISBLANK(Actuals!G63)),"",Actuals!G63)</f>
        <v/>
      </c>
      <c r="O87" s="492">
        <f>'Reforecast Q1 2026'!G63</f>
        <v/>
      </c>
      <c r="P87" s="492">
        <f>IF(N87="","",N87-O87)</f>
        <v/>
      </c>
      <c r="Q87" s="492">
        <f>IF(OR(6&gt;$B$27,ISBLANK(Actuals!H63)),"",Actuals!H63)</f>
        <v/>
      </c>
      <c r="R87" s="492">
        <f>'Reforecast Q1 2026'!H63</f>
        <v/>
      </c>
      <c r="S87" s="492">
        <f>IF(Q87="","",Q87-R87)</f>
        <v/>
      </c>
      <c r="T87" s="492">
        <f>IF(OR(7&gt;$B$27,ISBLANK(Actuals!I63)),"",Actuals!I63)</f>
        <v/>
      </c>
      <c r="U87" s="492">
        <f>'Reforecast Q1 2026'!I63</f>
        <v/>
      </c>
      <c r="V87" s="492">
        <f>IF(T87="","",T87-U87)</f>
        <v/>
      </c>
      <c r="W87" s="492">
        <f>IF(OR(8&gt;$B$27,ISBLANK(Actuals!J63)),"",Actuals!J63)</f>
        <v/>
      </c>
      <c r="X87" s="492">
        <f>'Reforecast Q1 2026'!J63</f>
        <v/>
      </c>
      <c r="Y87" s="492">
        <f>IF(W87="","",W87-X87)</f>
        <v/>
      </c>
      <c r="Z87" s="492">
        <f>IF(OR(9&gt;$B$27,ISBLANK(Actuals!K63)),"",Actuals!K63)</f>
        <v/>
      </c>
      <c r="AA87" s="492">
        <f>'Reforecast Q1 2026'!K63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'Reforecast Q1 2026'!L63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'Reforecast Q1 2026'!M63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'Reforecast Q1 2026'!N63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SUM('Reforecast Q1 2026'!$C63:INDEX('Reforecast Q1 2026'!$C63:$N63,$B$27))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'Reforecast Q1 2026'!C64</f>
        <v/>
      </c>
      <c r="D88" s="492">
        <f>IF(B88="","",B88-C88)</f>
        <v/>
      </c>
      <c r="E88" s="492">
        <f>IF(OR(2&gt;$B$27,ISBLANK(Actuals!D64)),"",Actuals!D64)</f>
        <v/>
      </c>
      <c r="F88" s="492">
        <f>'Reforecast Q1 2026'!D64</f>
        <v/>
      </c>
      <c r="G88" s="492">
        <f>IF(E88="","",E88-F88)</f>
        <v/>
      </c>
      <c r="H88" s="492">
        <f>IF(OR(3&gt;$B$27,ISBLANK(Actuals!E64)),"",Actuals!E64)</f>
        <v/>
      </c>
      <c r="I88" s="492">
        <f>'Reforecast Q1 2026'!E64</f>
        <v/>
      </c>
      <c r="J88" s="492">
        <f>IF(H88="","",H88-I88)</f>
        <v/>
      </c>
      <c r="K88" s="492">
        <f>IF(OR(4&gt;$B$27,ISBLANK(Actuals!F64)),"",Actuals!F64)</f>
        <v/>
      </c>
      <c r="L88" s="492">
        <f>'Reforecast Q1 2026'!F64</f>
        <v/>
      </c>
      <c r="M88" s="492">
        <f>IF(K88="","",K88-L88)</f>
        <v/>
      </c>
      <c r="N88" s="492">
        <f>IF(OR(5&gt;$B$27,ISBLANK(Actuals!G64)),"",Actuals!G64)</f>
        <v/>
      </c>
      <c r="O88" s="492">
        <f>'Reforecast Q1 2026'!G64</f>
        <v/>
      </c>
      <c r="P88" s="492">
        <f>IF(N88="","",N88-O88)</f>
        <v/>
      </c>
      <c r="Q88" s="492">
        <f>IF(OR(6&gt;$B$27,ISBLANK(Actuals!H64)),"",Actuals!H64)</f>
        <v/>
      </c>
      <c r="R88" s="492">
        <f>'Reforecast Q1 2026'!H64</f>
        <v/>
      </c>
      <c r="S88" s="492">
        <f>IF(Q88="","",Q88-R88)</f>
        <v/>
      </c>
      <c r="T88" s="492">
        <f>IF(OR(7&gt;$B$27,ISBLANK(Actuals!I64)),"",Actuals!I64)</f>
        <v/>
      </c>
      <c r="U88" s="492">
        <f>'Reforecast Q1 2026'!I64</f>
        <v/>
      </c>
      <c r="V88" s="492">
        <f>IF(T88="","",T88-U88)</f>
        <v/>
      </c>
      <c r="W88" s="492">
        <f>IF(OR(8&gt;$B$27,ISBLANK(Actuals!J64)),"",Actuals!J64)</f>
        <v/>
      </c>
      <c r="X88" s="492">
        <f>'Reforecast Q1 2026'!J64</f>
        <v/>
      </c>
      <c r="Y88" s="492">
        <f>IF(W88="","",W88-X88)</f>
        <v/>
      </c>
      <c r="Z88" s="492">
        <f>IF(OR(9&gt;$B$27,ISBLANK(Actuals!K64)),"",Actuals!K64)</f>
        <v/>
      </c>
      <c r="AA88" s="492">
        <f>'Reforecast Q1 2026'!K64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'Reforecast Q1 2026'!L64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'Reforecast Q1 2026'!M64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'Reforecast Q1 2026'!N64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SUM('Reforecast Q1 2026'!$C64:INDEX('Reforecast Q1 2026'!$C64:$N64,$B$27))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'Reforecast Q1 2026'!C65</f>
        <v/>
      </c>
      <c r="D89" s="492">
        <f>IF(B89="","",B89-C89)</f>
        <v/>
      </c>
      <c r="E89" s="492">
        <f>IF(OR(2&gt;$B$27,ISBLANK(Actuals!D65)),"",Actuals!D65)</f>
        <v/>
      </c>
      <c r="F89" s="492">
        <f>'Reforecast Q1 2026'!D65</f>
        <v/>
      </c>
      <c r="G89" s="492">
        <f>IF(E89="","",E89-F89)</f>
        <v/>
      </c>
      <c r="H89" s="492">
        <f>IF(OR(3&gt;$B$27,ISBLANK(Actuals!E65)),"",Actuals!E65)</f>
        <v/>
      </c>
      <c r="I89" s="492">
        <f>'Reforecast Q1 2026'!E65</f>
        <v/>
      </c>
      <c r="J89" s="492">
        <f>IF(H89="","",H89-I89)</f>
        <v/>
      </c>
      <c r="K89" s="492">
        <f>IF(OR(4&gt;$B$27,ISBLANK(Actuals!F65)),"",Actuals!F65)</f>
        <v/>
      </c>
      <c r="L89" s="492">
        <f>'Reforecast Q1 2026'!F65</f>
        <v/>
      </c>
      <c r="M89" s="492">
        <f>IF(K89="","",K89-L89)</f>
        <v/>
      </c>
      <c r="N89" s="492">
        <f>IF(OR(5&gt;$B$27,ISBLANK(Actuals!G65)),"",Actuals!G65)</f>
        <v/>
      </c>
      <c r="O89" s="492">
        <f>'Reforecast Q1 2026'!G65</f>
        <v/>
      </c>
      <c r="P89" s="492">
        <f>IF(N89="","",N89-O89)</f>
        <v/>
      </c>
      <c r="Q89" s="492">
        <f>IF(OR(6&gt;$B$27,ISBLANK(Actuals!H65)),"",Actuals!H65)</f>
        <v/>
      </c>
      <c r="R89" s="492">
        <f>'Reforecast Q1 2026'!H65</f>
        <v/>
      </c>
      <c r="S89" s="492">
        <f>IF(Q89="","",Q89-R89)</f>
        <v/>
      </c>
      <c r="T89" s="492">
        <f>IF(OR(7&gt;$B$27,ISBLANK(Actuals!I65)),"",Actuals!I65)</f>
        <v/>
      </c>
      <c r="U89" s="492">
        <f>'Reforecast Q1 2026'!I65</f>
        <v/>
      </c>
      <c r="V89" s="492">
        <f>IF(T89="","",T89-U89)</f>
        <v/>
      </c>
      <c r="W89" s="492">
        <f>IF(OR(8&gt;$B$27,ISBLANK(Actuals!J65)),"",Actuals!J65)</f>
        <v/>
      </c>
      <c r="X89" s="492">
        <f>'Reforecast Q1 2026'!J65</f>
        <v/>
      </c>
      <c r="Y89" s="492">
        <f>IF(W89="","",W89-X89)</f>
        <v/>
      </c>
      <c r="Z89" s="492">
        <f>IF(OR(9&gt;$B$27,ISBLANK(Actuals!K65)),"",Actuals!K65)</f>
        <v/>
      </c>
      <c r="AA89" s="492">
        <f>'Reforecast Q1 2026'!K65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'Reforecast Q1 2026'!L65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'Reforecast Q1 2026'!M65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'Reforecast Q1 2026'!N65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SUM('Reforecast Q1 2026'!$C65:INDEX('Reforecast Q1 2026'!$C65:$N65,$B$27))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'Reforecast Q1 2026'!C66</f>
        <v/>
      </c>
      <c r="D90" s="492">
        <f>IF(B90="","",B90-C90)</f>
        <v/>
      </c>
      <c r="E90" s="492">
        <f>IF(OR(2&gt;$B$27,ISBLANK(Actuals!D66)),"",Actuals!D66)</f>
        <v/>
      </c>
      <c r="F90" s="492">
        <f>'Reforecast Q1 2026'!D66</f>
        <v/>
      </c>
      <c r="G90" s="492">
        <f>IF(E90="","",E90-F90)</f>
        <v/>
      </c>
      <c r="H90" s="492">
        <f>IF(OR(3&gt;$B$27,ISBLANK(Actuals!E66)),"",Actuals!E66)</f>
        <v/>
      </c>
      <c r="I90" s="492">
        <f>'Reforecast Q1 2026'!E66</f>
        <v/>
      </c>
      <c r="J90" s="492">
        <f>IF(H90="","",H90-I90)</f>
        <v/>
      </c>
      <c r="K90" s="492">
        <f>IF(OR(4&gt;$B$27,ISBLANK(Actuals!F66)),"",Actuals!F66)</f>
        <v/>
      </c>
      <c r="L90" s="492">
        <f>'Reforecast Q1 2026'!F66</f>
        <v/>
      </c>
      <c r="M90" s="492">
        <f>IF(K90="","",K90-L90)</f>
        <v/>
      </c>
      <c r="N90" s="492">
        <f>IF(OR(5&gt;$B$27,ISBLANK(Actuals!G66)),"",Actuals!G66)</f>
        <v/>
      </c>
      <c r="O90" s="492">
        <f>'Reforecast Q1 2026'!G66</f>
        <v/>
      </c>
      <c r="P90" s="492">
        <f>IF(N90="","",N90-O90)</f>
        <v/>
      </c>
      <c r="Q90" s="492">
        <f>IF(OR(6&gt;$B$27,ISBLANK(Actuals!H66)),"",Actuals!H66)</f>
        <v/>
      </c>
      <c r="R90" s="492">
        <f>'Reforecast Q1 2026'!H66</f>
        <v/>
      </c>
      <c r="S90" s="492">
        <f>IF(Q90="","",Q90-R90)</f>
        <v/>
      </c>
      <c r="T90" s="492">
        <f>IF(OR(7&gt;$B$27,ISBLANK(Actuals!I66)),"",Actuals!I66)</f>
        <v/>
      </c>
      <c r="U90" s="492">
        <f>'Reforecast Q1 2026'!I66</f>
        <v/>
      </c>
      <c r="V90" s="492">
        <f>IF(T90="","",T90-U90)</f>
        <v/>
      </c>
      <c r="W90" s="492">
        <f>IF(OR(8&gt;$B$27,ISBLANK(Actuals!J66)),"",Actuals!J66)</f>
        <v/>
      </c>
      <c r="X90" s="492">
        <f>'Reforecast Q1 2026'!J66</f>
        <v/>
      </c>
      <c r="Y90" s="492">
        <f>IF(W90="","",W90-X90)</f>
        <v/>
      </c>
      <c r="Z90" s="492">
        <f>IF(OR(9&gt;$B$27,ISBLANK(Actuals!K66)),"",Actuals!K66)</f>
        <v/>
      </c>
      <c r="AA90" s="492">
        <f>'Reforecast Q1 2026'!K66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'Reforecast Q1 2026'!L66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'Reforecast Q1 2026'!M66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'Reforecast Q1 2026'!N66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SUM('Reforecast Q1 2026'!$C66:INDEX('Reforecast Q1 2026'!$C66:$N66,$B$27))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'Reforecast Q1 2026'!C67</f>
        <v/>
      </c>
      <c r="D91" s="492">
        <f>IF(B91="","",B91-C91)</f>
        <v/>
      </c>
      <c r="E91" s="492">
        <f>IF(OR(2&gt;$B$27,ISBLANK(Actuals!D67)),"",Actuals!D67)</f>
        <v/>
      </c>
      <c r="F91" s="492">
        <f>'Reforecast Q1 2026'!D67</f>
        <v/>
      </c>
      <c r="G91" s="492">
        <f>IF(E91="","",E91-F91)</f>
        <v/>
      </c>
      <c r="H91" s="492">
        <f>IF(OR(3&gt;$B$27,ISBLANK(Actuals!E67)),"",Actuals!E67)</f>
        <v/>
      </c>
      <c r="I91" s="492">
        <f>'Reforecast Q1 2026'!E67</f>
        <v/>
      </c>
      <c r="J91" s="492">
        <f>IF(H91="","",H91-I91)</f>
        <v/>
      </c>
      <c r="K91" s="492">
        <f>IF(OR(4&gt;$B$27,ISBLANK(Actuals!F67)),"",Actuals!F67)</f>
        <v/>
      </c>
      <c r="L91" s="492">
        <f>'Reforecast Q1 2026'!F67</f>
        <v/>
      </c>
      <c r="M91" s="492">
        <f>IF(K91="","",K91-L91)</f>
        <v/>
      </c>
      <c r="N91" s="492">
        <f>IF(OR(5&gt;$B$27,ISBLANK(Actuals!G67)),"",Actuals!G67)</f>
        <v/>
      </c>
      <c r="O91" s="492">
        <f>'Reforecast Q1 2026'!G67</f>
        <v/>
      </c>
      <c r="P91" s="492">
        <f>IF(N91="","",N91-O91)</f>
        <v/>
      </c>
      <c r="Q91" s="492">
        <f>IF(OR(6&gt;$B$27,ISBLANK(Actuals!H67)),"",Actuals!H67)</f>
        <v/>
      </c>
      <c r="R91" s="492">
        <f>'Reforecast Q1 2026'!H67</f>
        <v/>
      </c>
      <c r="S91" s="492">
        <f>IF(Q91="","",Q91-R91)</f>
        <v/>
      </c>
      <c r="T91" s="492">
        <f>IF(OR(7&gt;$B$27,ISBLANK(Actuals!I67)),"",Actuals!I67)</f>
        <v/>
      </c>
      <c r="U91" s="492">
        <f>'Reforecast Q1 2026'!I67</f>
        <v/>
      </c>
      <c r="V91" s="492">
        <f>IF(T91="","",T91-U91)</f>
        <v/>
      </c>
      <c r="W91" s="492">
        <f>IF(OR(8&gt;$B$27,ISBLANK(Actuals!J67)),"",Actuals!J67)</f>
        <v/>
      </c>
      <c r="X91" s="492">
        <f>'Reforecast Q1 2026'!J67</f>
        <v/>
      </c>
      <c r="Y91" s="492">
        <f>IF(W91="","",W91-X91)</f>
        <v/>
      </c>
      <c r="Z91" s="492">
        <f>IF(OR(9&gt;$B$27,ISBLANK(Actuals!K67)),"",Actuals!K67)</f>
        <v/>
      </c>
      <c r="AA91" s="492">
        <f>'Reforecast Q1 2026'!K67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'Reforecast Q1 2026'!L67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'Reforecast Q1 2026'!M67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'Reforecast Q1 2026'!N67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SUM('Reforecast Q1 2026'!$C67:INDEX('Reforecast Q1 2026'!$C67:$N67,$B$27))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'Reforecast Q1 2026'!C68</f>
        <v/>
      </c>
      <c r="D92" s="492">
        <f>IF(B92="","",B92-C92)</f>
        <v/>
      </c>
      <c r="E92" s="492">
        <f>IF(OR(2&gt;$B$27,ISBLANK(Actuals!D68)),"",Actuals!D68)</f>
        <v/>
      </c>
      <c r="F92" s="492">
        <f>'Reforecast Q1 2026'!D68</f>
        <v/>
      </c>
      <c r="G92" s="492">
        <f>IF(E92="","",E92-F92)</f>
        <v/>
      </c>
      <c r="H92" s="492">
        <f>IF(OR(3&gt;$B$27,ISBLANK(Actuals!E68)),"",Actuals!E68)</f>
        <v/>
      </c>
      <c r="I92" s="492">
        <f>'Reforecast Q1 2026'!E68</f>
        <v/>
      </c>
      <c r="J92" s="492">
        <f>IF(H92="","",H92-I92)</f>
        <v/>
      </c>
      <c r="K92" s="492">
        <f>IF(OR(4&gt;$B$27,ISBLANK(Actuals!F68)),"",Actuals!F68)</f>
        <v/>
      </c>
      <c r="L92" s="492">
        <f>'Reforecast Q1 2026'!F68</f>
        <v/>
      </c>
      <c r="M92" s="492">
        <f>IF(K92="","",K92-L92)</f>
        <v/>
      </c>
      <c r="N92" s="492">
        <f>IF(OR(5&gt;$B$27,ISBLANK(Actuals!G68)),"",Actuals!G68)</f>
        <v/>
      </c>
      <c r="O92" s="492">
        <f>'Reforecast Q1 2026'!G68</f>
        <v/>
      </c>
      <c r="P92" s="492">
        <f>IF(N92="","",N92-O92)</f>
        <v/>
      </c>
      <c r="Q92" s="492">
        <f>IF(OR(6&gt;$B$27,ISBLANK(Actuals!H68)),"",Actuals!H68)</f>
        <v/>
      </c>
      <c r="R92" s="492">
        <f>'Reforecast Q1 2026'!H68</f>
        <v/>
      </c>
      <c r="S92" s="492">
        <f>IF(Q92="","",Q92-R92)</f>
        <v/>
      </c>
      <c r="T92" s="492">
        <f>IF(OR(7&gt;$B$27,ISBLANK(Actuals!I68)),"",Actuals!I68)</f>
        <v/>
      </c>
      <c r="U92" s="492">
        <f>'Reforecast Q1 2026'!I68</f>
        <v/>
      </c>
      <c r="V92" s="492">
        <f>IF(T92="","",T92-U92)</f>
        <v/>
      </c>
      <c r="W92" s="492">
        <f>IF(OR(8&gt;$B$27,ISBLANK(Actuals!J68)),"",Actuals!J68)</f>
        <v/>
      </c>
      <c r="X92" s="492">
        <f>'Reforecast Q1 2026'!J68</f>
        <v/>
      </c>
      <c r="Y92" s="492">
        <f>IF(W92="","",W92-X92)</f>
        <v/>
      </c>
      <c r="Z92" s="492">
        <f>IF(OR(9&gt;$B$27,ISBLANK(Actuals!K68)),"",Actuals!K68)</f>
        <v/>
      </c>
      <c r="AA92" s="492">
        <f>'Reforecast Q1 2026'!K68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'Reforecast Q1 2026'!L68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'Reforecast Q1 2026'!M68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'Reforecast Q1 2026'!N68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SUM('Reforecast Q1 2026'!$C68:INDEX('Reforecast Q1 2026'!$C68:$N68,$B$27))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'Reforecast Q1 2026'!C69</f>
        <v/>
      </c>
      <c r="D93" s="492">
        <f>IF(B93="","",B93-C93)</f>
        <v/>
      </c>
      <c r="E93" s="492">
        <f>IF(OR(2&gt;$B$27,ISBLANK(Actuals!D69)),"",Actuals!D69)</f>
        <v/>
      </c>
      <c r="F93" s="492">
        <f>'Reforecast Q1 2026'!D69</f>
        <v/>
      </c>
      <c r="G93" s="492">
        <f>IF(E93="","",E93-F93)</f>
        <v/>
      </c>
      <c r="H93" s="492">
        <f>IF(OR(3&gt;$B$27,ISBLANK(Actuals!E69)),"",Actuals!E69)</f>
        <v/>
      </c>
      <c r="I93" s="492">
        <f>'Reforecast Q1 2026'!E69</f>
        <v/>
      </c>
      <c r="J93" s="492">
        <f>IF(H93="","",H93-I93)</f>
        <v/>
      </c>
      <c r="K93" s="492">
        <f>IF(OR(4&gt;$B$27,ISBLANK(Actuals!F69)),"",Actuals!F69)</f>
        <v/>
      </c>
      <c r="L93" s="492">
        <f>'Reforecast Q1 2026'!F69</f>
        <v/>
      </c>
      <c r="M93" s="492">
        <f>IF(K93="","",K93-L93)</f>
        <v/>
      </c>
      <c r="N93" s="492">
        <f>IF(OR(5&gt;$B$27,ISBLANK(Actuals!G69)),"",Actuals!G69)</f>
        <v/>
      </c>
      <c r="O93" s="492">
        <f>'Reforecast Q1 2026'!G69</f>
        <v/>
      </c>
      <c r="P93" s="492">
        <f>IF(N93="","",N93-O93)</f>
        <v/>
      </c>
      <c r="Q93" s="492">
        <f>IF(OR(6&gt;$B$27,ISBLANK(Actuals!H69)),"",Actuals!H69)</f>
        <v/>
      </c>
      <c r="R93" s="492">
        <f>'Reforecast Q1 2026'!H69</f>
        <v/>
      </c>
      <c r="S93" s="492">
        <f>IF(Q93="","",Q93-R93)</f>
        <v/>
      </c>
      <c r="T93" s="492">
        <f>IF(OR(7&gt;$B$27,ISBLANK(Actuals!I69)),"",Actuals!I69)</f>
        <v/>
      </c>
      <c r="U93" s="492">
        <f>'Reforecast Q1 2026'!I69</f>
        <v/>
      </c>
      <c r="V93" s="492">
        <f>IF(T93="","",T93-U93)</f>
        <v/>
      </c>
      <c r="W93" s="492">
        <f>IF(OR(8&gt;$B$27,ISBLANK(Actuals!J69)),"",Actuals!J69)</f>
        <v/>
      </c>
      <c r="X93" s="492">
        <f>'Reforecast Q1 2026'!J69</f>
        <v/>
      </c>
      <c r="Y93" s="492">
        <f>IF(W93="","",W93-X93)</f>
        <v/>
      </c>
      <c r="Z93" s="492">
        <f>IF(OR(9&gt;$B$27,ISBLANK(Actuals!K69)),"",Actuals!K69)</f>
        <v/>
      </c>
      <c r="AA93" s="492">
        <f>'Reforecast Q1 2026'!K69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'Reforecast Q1 2026'!L69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'Reforecast Q1 2026'!M69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'Reforecast Q1 2026'!N69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SUM('Reforecast Q1 2026'!$C69:INDEX('Reforecast Q1 2026'!$C69:$N69,$B$27))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'Reforecast Q1 2026'!C70</f>
        <v/>
      </c>
      <c r="D94" s="492">
        <f>IF(B94="","",B94-C94)</f>
        <v/>
      </c>
      <c r="E94" s="492">
        <f>IF(OR(2&gt;$B$27,ISBLANK(Actuals!D70)),"",Actuals!D70)</f>
        <v/>
      </c>
      <c r="F94" s="492">
        <f>'Reforecast Q1 2026'!D70</f>
        <v/>
      </c>
      <c r="G94" s="492">
        <f>IF(E94="","",E94-F94)</f>
        <v/>
      </c>
      <c r="H94" s="492">
        <f>IF(OR(3&gt;$B$27,ISBLANK(Actuals!E70)),"",Actuals!E70)</f>
        <v/>
      </c>
      <c r="I94" s="492">
        <f>'Reforecast Q1 2026'!E70</f>
        <v/>
      </c>
      <c r="J94" s="492">
        <f>IF(H94="","",H94-I94)</f>
        <v/>
      </c>
      <c r="K94" s="492">
        <f>IF(OR(4&gt;$B$27,ISBLANK(Actuals!F70)),"",Actuals!F70)</f>
        <v/>
      </c>
      <c r="L94" s="492">
        <f>'Reforecast Q1 2026'!F70</f>
        <v/>
      </c>
      <c r="M94" s="492">
        <f>IF(K94="","",K94-L94)</f>
        <v/>
      </c>
      <c r="N94" s="492">
        <f>IF(OR(5&gt;$B$27,ISBLANK(Actuals!G70)),"",Actuals!G70)</f>
        <v/>
      </c>
      <c r="O94" s="492">
        <f>'Reforecast Q1 2026'!G70</f>
        <v/>
      </c>
      <c r="P94" s="492">
        <f>IF(N94="","",N94-O94)</f>
        <v/>
      </c>
      <c r="Q94" s="492">
        <f>IF(OR(6&gt;$B$27,ISBLANK(Actuals!H70)),"",Actuals!H70)</f>
        <v/>
      </c>
      <c r="R94" s="492">
        <f>'Reforecast Q1 2026'!H70</f>
        <v/>
      </c>
      <c r="S94" s="492">
        <f>IF(Q94="","",Q94-R94)</f>
        <v/>
      </c>
      <c r="T94" s="492">
        <f>IF(OR(7&gt;$B$27,ISBLANK(Actuals!I70)),"",Actuals!I70)</f>
        <v/>
      </c>
      <c r="U94" s="492">
        <f>'Reforecast Q1 2026'!I70</f>
        <v/>
      </c>
      <c r="V94" s="492">
        <f>IF(T94="","",T94-U94)</f>
        <v/>
      </c>
      <c r="W94" s="492">
        <f>IF(OR(8&gt;$B$27,ISBLANK(Actuals!J70)),"",Actuals!J70)</f>
        <v/>
      </c>
      <c r="X94" s="492">
        <f>'Reforecast Q1 2026'!J70</f>
        <v/>
      </c>
      <c r="Y94" s="492">
        <f>IF(W94="","",W94-X94)</f>
        <v/>
      </c>
      <c r="Z94" s="492">
        <f>IF(OR(9&gt;$B$27,ISBLANK(Actuals!K70)),"",Actuals!K70)</f>
        <v/>
      </c>
      <c r="AA94" s="492">
        <f>'Reforecast Q1 2026'!K70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'Reforecast Q1 2026'!L70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'Reforecast Q1 2026'!M70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'Reforecast Q1 2026'!N70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SUM('Reforecast Q1 2026'!$C70:INDEX('Reforecast Q1 2026'!$C70:$N70,$B$27))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'Reforecast Q1 2026'!C71</f>
        <v/>
      </c>
      <c r="D95" s="492">
        <f>IF(B95="","",B95-C95)</f>
        <v/>
      </c>
      <c r="E95" s="492">
        <f>IF(OR(2&gt;$B$27,ISBLANK(Actuals!D71)),"",Actuals!D71)</f>
        <v/>
      </c>
      <c r="F95" s="492">
        <f>'Reforecast Q1 2026'!D71</f>
        <v/>
      </c>
      <c r="G95" s="492">
        <f>IF(E95="","",E95-F95)</f>
        <v/>
      </c>
      <c r="H95" s="492">
        <f>IF(OR(3&gt;$B$27,ISBLANK(Actuals!E71)),"",Actuals!E71)</f>
        <v/>
      </c>
      <c r="I95" s="492">
        <f>'Reforecast Q1 2026'!E71</f>
        <v/>
      </c>
      <c r="J95" s="492">
        <f>IF(H95="","",H95-I95)</f>
        <v/>
      </c>
      <c r="K95" s="492">
        <f>IF(OR(4&gt;$B$27,ISBLANK(Actuals!F71)),"",Actuals!F71)</f>
        <v/>
      </c>
      <c r="L95" s="492">
        <f>'Reforecast Q1 2026'!F71</f>
        <v/>
      </c>
      <c r="M95" s="492">
        <f>IF(K95="","",K95-L95)</f>
        <v/>
      </c>
      <c r="N95" s="492">
        <f>IF(OR(5&gt;$B$27,ISBLANK(Actuals!G71)),"",Actuals!G71)</f>
        <v/>
      </c>
      <c r="O95" s="492">
        <f>'Reforecast Q1 2026'!G71</f>
        <v/>
      </c>
      <c r="P95" s="492">
        <f>IF(N95="","",N95-O95)</f>
        <v/>
      </c>
      <c r="Q95" s="492">
        <f>IF(OR(6&gt;$B$27,ISBLANK(Actuals!H71)),"",Actuals!H71)</f>
        <v/>
      </c>
      <c r="R95" s="492">
        <f>'Reforecast Q1 2026'!H71</f>
        <v/>
      </c>
      <c r="S95" s="492">
        <f>IF(Q95="","",Q95-R95)</f>
        <v/>
      </c>
      <c r="T95" s="492">
        <f>IF(OR(7&gt;$B$27,ISBLANK(Actuals!I71)),"",Actuals!I71)</f>
        <v/>
      </c>
      <c r="U95" s="492">
        <f>'Reforecast Q1 2026'!I71</f>
        <v/>
      </c>
      <c r="V95" s="492">
        <f>IF(T95="","",T95-U95)</f>
        <v/>
      </c>
      <c r="W95" s="492">
        <f>IF(OR(8&gt;$B$27,ISBLANK(Actuals!J71)),"",Actuals!J71)</f>
        <v/>
      </c>
      <c r="X95" s="492">
        <f>'Reforecast Q1 2026'!J71</f>
        <v/>
      </c>
      <c r="Y95" s="492">
        <f>IF(W95="","",W95-X95)</f>
        <v/>
      </c>
      <c r="Z95" s="492">
        <f>IF(OR(9&gt;$B$27,ISBLANK(Actuals!K71)),"",Actuals!K71)</f>
        <v/>
      </c>
      <c r="AA95" s="492">
        <f>'Reforecast Q1 2026'!K71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'Reforecast Q1 2026'!L71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'Reforecast Q1 2026'!M71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'Reforecast Q1 2026'!N71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SUM('Reforecast Q1 2026'!$C71:INDEX('Reforecast Q1 2026'!$C71:$N71,$B$27))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'Reforecast Q1 2026'!C72</f>
        <v/>
      </c>
      <c r="D96" s="492">
        <f>IF(B96="","",B96-C96)</f>
        <v/>
      </c>
      <c r="E96" s="492">
        <f>IF(OR(2&gt;$B$27,ISBLANK(Actuals!D72)),"",Actuals!D72)</f>
        <v/>
      </c>
      <c r="F96" s="492">
        <f>'Reforecast Q1 2026'!D72</f>
        <v/>
      </c>
      <c r="G96" s="492">
        <f>IF(E96="","",E96-F96)</f>
        <v/>
      </c>
      <c r="H96" s="492">
        <f>IF(OR(3&gt;$B$27,ISBLANK(Actuals!E72)),"",Actuals!E72)</f>
        <v/>
      </c>
      <c r="I96" s="492">
        <f>'Reforecast Q1 2026'!E72</f>
        <v/>
      </c>
      <c r="J96" s="492">
        <f>IF(H96="","",H96-I96)</f>
        <v/>
      </c>
      <c r="K96" s="492">
        <f>IF(OR(4&gt;$B$27,ISBLANK(Actuals!F72)),"",Actuals!F72)</f>
        <v/>
      </c>
      <c r="L96" s="492">
        <f>'Reforecast Q1 2026'!F72</f>
        <v/>
      </c>
      <c r="M96" s="492">
        <f>IF(K96="","",K96-L96)</f>
        <v/>
      </c>
      <c r="N96" s="492">
        <f>IF(OR(5&gt;$B$27,ISBLANK(Actuals!G72)),"",Actuals!G72)</f>
        <v/>
      </c>
      <c r="O96" s="492">
        <f>'Reforecast Q1 2026'!G72</f>
        <v/>
      </c>
      <c r="P96" s="492">
        <f>IF(N96="","",N96-O96)</f>
        <v/>
      </c>
      <c r="Q96" s="492">
        <f>IF(OR(6&gt;$B$27,ISBLANK(Actuals!H72)),"",Actuals!H72)</f>
        <v/>
      </c>
      <c r="R96" s="492">
        <f>'Reforecast Q1 2026'!H72</f>
        <v/>
      </c>
      <c r="S96" s="492">
        <f>IF(Q96="","",Q96-R96)</f>
        <v/>
      </c>
      <c r="T96" s="492">
        <f>IF(OR(7&gt;$B$27,ISBLANK(Actuals!I72)),"",Actuals!I72)</f>
        <v/>
      </c>
      <c r="U96" s="492">
        <f>'Reforecast Q1 2026'!I72</f>
        <v/>
      </c>
      <c r="V96" s="492">
        <f>IF(T96="","",T96-U96)</f>
        <v/>
      </c>
      <c r="W96" s="492">
        <f>IF(OR(8&gt;$B$27,ISBLANK(Actuals!J72)),"",Actuals!J72)</f>
        <v/>
      </c>
      <c r="X96" s="492">
        <f>'Reforecast Q1 2026'!J72</f>
        <v/>
      </c>
      <c r="Y96" s="492">
        <f>IF(W96="","",W96-X96)</f>
        <v/>
      </c>
      <c r="Z96" s="492">
        <f>IF(OR(9&gt;$B$27,ISBLANK(Actuals!K72)),"",Actuals!K72)</f>
        <v/>
      </c>
      <c r="AA96" s="492">
        <f>'Reforecast Q1 2026'!K72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'Reforecast Q1 2026'!L72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'Reforecast Q1 2026'!M72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'Reforecast Q1 2026'!N72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SUM('Reforecast Q1 2026'!$C72:INDEX('Reforecast Q1 2026'!$C72:$N72,$B$27))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'Reforecast Q1 2026'!C73</f>
        <v/>
      </c>
      <c r="D97" s="492">
        <f>IF(B97="","",B97-C97)</f>
        <v/>
      </c>
      <c r="E97" s="492">
        <f>IF(OR(2&gt;$B$27,ISBLANK(Actuals!D73)),"",Actuals!D73)</f>
        <v/>
      </c>
      <c r="F97" s="492">
        <f>'Reforecast Q1 2026'!D73</f>
        <v/>
      </c>
      <c r="G97" s="492">
        <f>IF(E97="","",E97-F97)</f>
        <v/>
      </c>
      <c r="H97" s="492">
        <f>IF(OR(3&gt;$B$27,ISBLANK(Actuals!E73)),"",Actuals!E73)</f>
        <v/>
      </c>
      <c r="I97" s="492">
        <f>'Reforecast Q1 2026'!E73</f>
        <v/>
      </c>
      <c r="J97" s="492">
        <f>IF(H97="","",H97-I97)</f>
        <v/>
      </c>
      <c r="K97" s="492">
        <f>IF(OR(4&gt;$B$27,ISBLANK(Actuals!F73)),"",Actuals!F73)</f>
        <v/>
      </c>
      <c r="L97" s="492">
        <f>'Reforecast Q1 2026'!F73</f>
        <v/>
      </c>
      <c r="M97" s="492">
        <f>IF(K97="","",K97-L97)</f>
        <v/>
      </c>
      <c r="N97" s="492">
        <f>IF(OR(5&gt;$B$27,ISBLANK(Actuals!G73)),"",Actuals!G73)</f>
        <v/>
      </c>
      <c r="O97" s="492">
        <f>'Reforecast Q1 2026'!G73</f>
        <v/>
      </c>
      <c r="P97" s="492">
        <f>IF(N97="","",N97-O97)</f>
        <v/>
      </c>
      <c r="Q97" s="492">
        <f>IF(OR(6&gt;$B$27,ISBLANK(Actuals!H73)),"",Actuals!H73)</f>
        <v/>
      </c>
      <c r="R97" s="492">
        <f>'Reforecast Q1 2026'!H73</f>
        <v/>
      </c>
      <c r="S97" s="492">
        <f>IF(Q97="","",Q97-R97)</f>
        <v/>
      </c>
      <c r="T97" s="492">
        <f>IF(OR(7&gt;$B$27,ISBLANK(Actuals!I73)),"",Actuals!I73)</f>
        <v/>
      </c>
      <c r="U97" s="492">
        <f>'Reforecast Q1 2026'!I73</f>
        <v/>
      </c>
      <c r="V97" s="492">
        <f>IF(T97="","",T97-U97)</f>
        <v/>
      </c>
      <c r="W97" s="492">
        <f>IF(OR(8&gt;$B$27,ISBLANK(Actuals!J73)),"",Actuals!J73)</f>
        <v/>
      </c>
      <c r="X97" s="492">
        <f>'Reforecast Q1 2026'!J73</f>
        <v/>
      </c>
      <c r="Y97" s="492">
        <f>IF(W97="","",W97-X97)</f>
        <v/>
      </c>
      <c r="Z97" s="492">
        <f>IF(OR(9&gt;$B$27,ISBLANK(Actuals!K73)),"",Actuals!K73)</f>
        <v/>
      </c>
      <c r="AA97" s="492">
        <f>'Reforecast Q1 2026'!K73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'Reforecast Q1 2026'!L73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'Reforecast Q1 2026'!M73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'Reforecast Q1 2026'!N73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SUM('Reforecast Q1 2026'!$C73:INDEX('Reforecast Q1 2026'!$C73:$N73,$B$27))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'Reforecast Q1 2026'!C74</f>
        <v/>
      </c>
      <c r="D98" s="492">
        <f>IF(B98="","",B98-C98)</f>
        <v/>
      </c>
      <c r="E98" s="492">
        <f>IF(OR(2&gt;$B$27,ISBLANK(Actuals!D74)),"",Actuals!D74)</f>
        <v/>
      </c>
      <c r="F98" s="492">
        <f>'Reforecast Q1 2026'!D74</f>
        <v/>
      </c>
      <c r="G98" s="492">
        <f>IF(E98="","",E98-F98)</f>
        <v/>
      </c>
      <c r="H98" s="492">
        <f>IF(OR(3&gt;$B$27,ISBLANK(Actuals!E74)),"",Actuals!E74)</f>
        <v/>
      </c>
      <c r="I98" s="492">
        <f>'Reforecast Q1 2026'!E74</f>
        <v/>
      </c>
      <c r="J98" s="492">
        <f>IF(H98="","",H98-I98)</f>
        <v/>
      </c>
      <c r="K98" s="492">
        <f>IF(OR(4&gt;$B$27,ISBLANK(Actuals!F74)),"",Actuals!F74)</f>
        <v/>
      </c>
      <c r="L98" s="492">
        <f>'Reforecast Q1 2026'!F74</f>
        <v/>
      </c>
      <c r="M98" s="492">
        <f>IF(K98="","",K98-L98)</f>
        <v/>
      </c>
      <c r="N98" s="492">
        <f>IF(OR(5&gt;$B$27,ISBLANK(Actuals!G74)),"",Actuals!G74)</f>
        <v/>
      </c>
      <c r="O98" s="492">
        <f>'Reforecast Q1 2026'!G74</f>
        <v/>
      </c>
      <c r="P98" s="492">
        <f>IF(N98="","",N98-O98)</f>
        <v/>
      </c>
      <c r="Q98" s="492">
        <f>IF(OR(6&gt;$B$27,ISBLANK(Actuals!H74)),"",Actuals!H74)</f>
        <v/>
      </c>
      <c r="R98" s="492">
        <f>'Reforecast Q1 2026'!H74</f>
        <v/>
      </c>
      <c r="S98" s="492">
        <f>IF(Q98="","",Q98-R98)</f>
        <v/>
      </c>
      <c r="T98" s="492">
        <f>IF(OR(7&gt;$B$27,ISBLANK(Actuals!I74)),"",Actuals!I74)</f>
        <v/>
      </c>
      <c r="U98" s="492">
        <f>'Reforecast Q1 2026'!I74</f>
        <v/>
      </c>
      <c r="V98" s="492">
        <f>IF(T98="","",T98-U98)</f>
        <v/>
      </c>
      <c r="W98" s="492">
        <f>IF(OR(8&gt;$B$27,ISBLANK(Actuals!J74)),"",Actuals!J74)</f>
        <v/>
      </c>
      <c r="X98" s="492">
        <f>'Reforecast Q1 2026'!J74</f>
        <v/>
      </c>
      <c r="Y98" s="492">
        <f>IF(W98="","",W98-X98)</f>
        <v/>
      </c>
      <c r="Z98" s="492">
        <f>IF(OR(9&gt;$B$27,ISBLANK(Actuals!K74)),"",Actuals!K74)</f>
        <v/>
      </c>
      <c r="AA98" s="492">
        <f>'Reforecast Q1 2026'!K74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'Reforecast Q1 2026'!L74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'Reforecast Q1 2026'!M74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'Reforecast Q1 2026'!N74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SUM('Reforecast Q1 2026'!$C74:INDEX('Reforecast Q1 2026'!$C74:$N74,$B$27))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'Reforecast Q1 2026'!C75</f>
        <v/>
      </c>
      <c r="D99" s="492">
        <f>IF(B99="","",B99-C99)</f>
        <v/>
      </c>
      <c r="E99" s="492">
        <f>IF(OR(2&gt;$B$27,ISBLANK(Actuals!D75)),"",Actuals!D75)</f>
        <v/>
      </c>
      <c r="F99" s="492">
        <f>'Reforecast Q1 2026'!D75</f>
        <v/>
      </c>
      <c r="G99" s="492">
        <f>IF(E99="","",E99-F99)</f>
        <v/>
      </c>
      <c r="H99" s="492">
        <f>IF(OR(3&gt;$B$27,ISBLANK(Actuals!E75)),"",Actuals!E75)</f>
        <v/>
      </c>
      <c r="I99" s="492">
        <f>'Reforecast Q1 2026'!E75</f>
        <v/>
      </c>
      <c r="J99" s="492">
        <f>IF(H99="","",H99-I99)</f>
        <v/>
      </c>
      <c r="K99" s="492">
        <f>IF(OR(4&gt;$B$27,ISBLANK(Actuals!F75)),"",Actuals!F75)</f>
        <v/>
      </c>
      <c r="L99" s="492">
        <f>'Reforecast Q1 2026'!F75</f>
        <v/>
      </c>
      <c r="M99" s="492">
        <f>IF(K99="","",K99-L99)</f>
        <v/>
      </c>
      <c r="N99" s="492">
        <f>IF(OR(5&gt;$B$27,ISBLANK(Actuals!G75)),"",Actuals!G75)</f>
        <v/>
      </c>
      <c r="O99" s="492">
        <f>'Reforecast Q1 2026'!G75</f>
        <v/>
      </c>
      <c r="P99" s="492">
        <f>IF(N99="","",N99-O99)</f>
        <v/>
      </c>
      <c r="Q99" s="492">
        <f>IF(OR(6&gt;$B$27,ISBLANK(Actuals!H75)),"",Actuals!H75)</f>
        <v/>
      </c>
      <c r="R99" s="492">
        <f>'Reforecast Q1 2026'!H75</f>
        <v/>
      </c>
      <c r="S99" s="492">
        <f>IF(Q99="","",Q99-R99)</f>
        <v/>
      </c>
      <c r="T99" s="492">
        <f>IF(OR(7&gt;$B$27,ISBLANK(Actuals!I75)),"",Actuals!I75)</f>
        <v/>
      </c>
      <c r="U99" s="492">
        <f>'Reforecast Q1 2026'!I75</f>
        <v/>
      </c>
      <c r="V99" s="492">
        <f>IF(T99="","",T99-U99)</f>
        <v/>
      </c>
      <c r="W99" s="492">
        <f>IF(OR(8&gt;$B$27,ISBLANK(Actuals!J75)),"",Actuals!J75)</f>
        <v/>
      </c>
      <c r="X99" s="492">
        <f>'Reforecast Q1 2026'!J75</f>
        <v/>
      </c>
      <c r="Y99" s="492">
        <f>IF(W99="","",W99-X99)</f>
        <v/>
      </c>
      <c r="Z99" s="492">
        <f>IF(OR(9&gt;$B$27,ISBLANK(Actuals!K75)),"",Actuals!K75)</f>
        <v/>
      </c>
      <c r="AA99" s="492">
        <f>'Reforecast Q1 2026'!K75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'Reforecast Q1 2026'!L75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'Reforecast Q1 2026'!M75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'Reforecast Q1 2026'!N75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SUM('Reforecast Q1 2026'!$C75:INDEX('Reforecast Q1 2026'!$C75:$N75,$B$27))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'Reforecast Q1 2026'!C76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'Reforecast Q1 2026'!D76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'Reforecast Q1 2026'!E76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'Reforecast Q1 2026'!F76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'Reforecast Q1 2026'!G76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'Reforecast Q1 2026'!H76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'Reforecast Q1 2026'!I76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'Reforecast Q1 2026'!J76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'Reforecast Q1 2026'!K76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'Reforecast Q1 2026'!L76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'Reforecast Q1 2026'!M76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'Reforecast Q1 2026'!N76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SUM('Reforecast Q1 2026'!$C76:INDEX('Reforecast Q1 2026'!$C76:$N76,$B$27))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'Reforecast Q1 2026'!C77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'Reforecast Q1 2026'!D77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'Reforecast Q1 2026'!E77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'Reforecast Q1 2026'!F77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'Reforecast Q1 2026'!G77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'Reforecast Q1 2026'!H77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'Reforecast Q1 2026'!I77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'Reforecast Q1 2026'!J77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'Reforecast Q1 2026'!K77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'Reforecast Q1 2026'!L77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'Reforecast Q1 2026'!M77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'Reforecast Q1 2026'!N77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SUM('Reforecast Q1 2026'!$C77:INDEX('Reforecast Q1 2026'!$C77:$N77,$B$27))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'Reforecast Q1 2026'!C78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'Reforecast Q1 2026'!D78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'Reforecast Q1 2026'!E78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'Reforecast Q1 2026'!F78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'Reforecast Q1 2026'!G78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'Reforecast Q1 2026'!H78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'Reforecast Q1 2026'!I78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'Reforecast Q1 2026'!J78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'Reforecast Q1 2026'!K78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'Reforecast Q1 2026'!L78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'Reforecast Q1 2026'!M78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'Reforecast Q1 2026'!N78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SUM('Reforecast Q1 2026'!$C78:INDEX('Reforecast Q1 2026'!$C78:$N78,$B$27))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'Reforecast Q1 2026'!C79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'Reforecast Q1 2026'!D79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'Reforecast Q1 2026'!E79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'Reforecast Q1 2026'!F79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'Reforecast Q1 2026'!G79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'Reforecast Q1 2026'!H79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'Reforecast Q1 2026'!I79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'Reforecast Q1 2026'!J79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'Reforecast Q1 2026'!K79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'Reforecast Q1 2026'!L79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'Reforecast Q1 2026'!M79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'Reforecast Q1 2026'!N79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SUM('Reforecast Q1 2026'!$C79:INDEX('Reforecast Q1 2026'!$C79:$N79,$B$27))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'Reforecast Q1 2026'!C80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'Reforecast Q1 2026'!D80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'Reforecast Q1 2026'!E80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'Reforecast Q1 2026'!F80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'Reforecast Q1 2026'!G80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'Reforecast Q1 2026'!H80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'Reforecast Q1 2026'!I80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'Reforecast Q1 2026'!J80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'Reforecast Q1 2026'!K80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'Reforecast Q1 2026'!L80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'Reforecast Q1 2026'!M80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'Reforecast Q1 2026'!N80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SUM('Reforecast Q1 2026'!$C80:INDEX('Reforecast Q1 2026'!$C80:$N80,$B$27))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'Reforecast Q1 2026'!C81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'Reforecast Q1 2026'!D81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'Reforecast Q1 2026'!E81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'Reforecast Q1 2026'!F81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'Reforecast Q1 2026'!G81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'Reforecast Q1 2026'!H81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'Reforecast Q1 2026'!I81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'Reforecast Q1 2026'!J81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'Reforecast Q1 2026'!K81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'Reforecast Q1 2026'!L81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'Reforecast Q1 2026'!M81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'Reforecast Q1 2026'!N81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SUM('Reforecast Q1 2026'!$C81:INDEX('Reforecast Q1 2026'!$C81:$N81,$B$27))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'Reforecast Q1 2026'!C83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'Reforecast Q1 2026'!D83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'Reforecast Q1 2026'!E83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'Reforecast Q1 2026'!F83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'Reforecast Q1 2026'!G83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'Reforecast Q1 2026'!H83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'Reforecast Q1 2026'!I83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'Reforecast Q1 2026'!J83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'Reforecast Q1 2026'!K83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'Reforecast Q1 2026'!L83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'Reforecast Q1 2026'!M83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'Reforecast Q1 2026'!N83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SUM('Reforecast Q1 2026'!$C83:INDEX('Reforecast Q1 2026'!$C83:$N83,$B$27))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'Reforecast Q1 2026'!C84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'Reforecast Q1 2026'!D84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'Reforecast Q1 2026'!E84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'Reforecast Q1 2026'!F84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'Reforecast Q1 2026'!G84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'Reforecast Q1 2026'!H84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'Reforecast Q1 2026'!I84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'Reforecast Q1 2026'!J84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'Reforecast Q1 2026'!K84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'Reforecast Q1 2026'!L84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'Reforecast Q1 2026'!M84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'Reforecast Q1 2026'!N84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SUM('Reforecast Q1 2026'!$C84:INDEX('Reforecast Q1 2026'!$C84:$N84,$B$27))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'Reforecast Q1 2026'!C85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'Reforecast Q1 2026'!D85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'Reforecast Q1 2026'!E85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'Reforecast Q1 2026'!F85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'Reforecast Q1 2026'!G85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'Reforecast Q1 2026'!H85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'Reforecast Q1 2026'!I85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'Reforecast Q1 2026'!J85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'Reforecast Q1 2026'!K85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'Reforecast Q1 2026'!L85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'Reforecast Q1 2026'!M85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'Reforecast Q1 2026'!N85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SUM('Reforecast Q1 2026'!$C85:INDEX('Reforecast Q1 2026'!$C85:$N85,$B$27))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'Reforecast Q1 2026'!C86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'Reforecast Q1 2026'!D86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'Reforecast Q1 2026'!E86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'Reforecast Q1 2026'!F86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'Reforecast Q1 2026'!G86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'Reforecast Q1 2026'!H86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'Reforecast Q1 2026'!I86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'Reforecast Q1 2026'!J86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'Reforecast Q1 2026'!K86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'Reforecast Q1 2026'!L86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'Reforecast Q1 2026'!M86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'Reforecast Q1 2026'!N86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SUM('Reforecast Q1 2026'!$C86:INDEX('Reforecast Q1 2026'!$C86:$N86,$B$27))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'Reforecast Q1 2026'!C87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'Reforecast Q1 2026'!D87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'Reforecast Q1 2026'!E87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'Reforecast Q1 2026'!F87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'Reforecast Q1 2026'!G87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'Reforecast Q1 2026'!H87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'Reforecast Q1 2026'!I87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'Reforecast Q1 2026'!J87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'Reforecast Q1 2026'!K87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'Reforecast Q1 2026'!L87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'Reforecast Q1 2026'!M87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'Reforecast Q1 2026'!N87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SUM('Reforecast Q1 2026'!$C87:INDEX('Reforecast Q1 2026'!$C87:$N87,$B$27))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'Reforecast Q1 2026'!C88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'Reforecast Q1 2026'!D88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'Reforecast Q1 2026'!E88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'Reforecast Q1 2026'!F88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'Reforecast Q1 2026'!G88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'Reforecast Q1 2026'!H88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'Reforecast Q1 2026'!I88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'Reforecast Q1 2026'!J88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'Reforecast Q1 2026'!K88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'Reforecast Q1 2026'!L88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'Reforecast Q1 2026'!M88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'Reforecast Q1 2026'!N88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SUM('Reforecast Q1 2026'!$C88:INDEX('Reforecast Q1 2026'!$C88:$N88,$B$27))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'Reforecast Q1 2026'!C89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'Reforecast Q1 2026'!D89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'Reforecast Q1 2026'!E89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'Reforecast Q1 2026'!F89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'Reforecast Q1 2026'!G89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'Reforecast Q1 2026'!H89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'Reforecast Q1 2026'!I89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'Reforecast Q1 2026'!J89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'Reforecast Q1 2026'!K89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'Reforecast Q1 2026'!L89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'Reforecast Q1 2026'!M89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'Reforecast Q1 2026'!N89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SUM('Reforecast Q1 2026'!$C89:INDEX('Reforecast Q1 2026'!$C89:$N89,$B$27))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'Reforecast Q1 2026'!C90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'Reforecast Q1 2026'!D90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'Reforecast Q1 2026'!E90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'Reforecast Q1 2026'!F90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'Reforecast Q1 2026'!G90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'Reforecast Q1 2026'!H90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'Reforecast Q1 2026'!I90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'Reforecast Q1 2026'!J90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'Reforecast Q1 2026'!K90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'Reforecast Q1 2026'!L90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'Reforecast Q1 2026'!M90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'Reforecast Q1 2026'!N90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SUM('Reforecast Q1 2026'!$C90:INDEX('Reforecast Q1 2026'!$C90:$N90,$B$27))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'Reforecast Q1 2026'!C91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'Reforecast Q1 2026'!D91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'Reforecast Q1 2026'!E91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'Reforecast Q1 2026'!F91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'Reforecast Q1 2026'!G91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'Reforecast Q1 2026'!H91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'Reforecast Q1 2026'!I91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'Reforecast Q1 2026'!J91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'Reforecast Q1 2026'!K91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'Reforecast Q1 2026'!L91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'Reforecast Q1 2026'!M91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'Reforecast Q1 2026'!N91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SUM('Reforecast Q1 2026'!$C91:INDEX('Reforecast Q1 2026'!$C91:$N91,$B$27))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'Reforecast Q1 2026'!C92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'Reforecast Q1 2026'!D92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'Reforecast Q1 2026'!E92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'Reforecast Q1 2026'!F92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'Reforecast Q1 2026'!G92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'Reforecast Q1 2026'!H92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'Reforecast Q1 2026'!I92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'Reforecast Q1 2026'!J92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'Reforecast Q1 2026'!K92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'Reforecast Q1 2026'!L92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'Reforecast Q1 2026'!M92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'Reforecast Q1 2026'!N92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SUM('Reforecast Q1 2026'!$C92:INDEX('Reforecast Q1 2026'!$C92:$N92,$B$27))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'Reforecast Q1 2026'!C93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'Reforecast Q1 2026'!D93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'Reforecast Q1 2026'!E93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'Reforecast Q1 2026'!F93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'Reforecast Q1 2026'!G93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'Reforecast Q1 2026'!H93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'Reforecast Q1 2026'!I93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'Reforecast Q1 2026'!J93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'Reforecast Q1 2026'!K93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'Reforecast Q1 2026'!L93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'Reforecast Q1 2026'!M93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'Reforecast Q1 2026'!N93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SUM('Reforecast Q1 2026'!$C93:INDEX('Reforecast Q1 2026'!$C93:$N93,$B$27))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'Reforecast Q1 2026'!C94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'Reforecast Q1 2026'!D94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'Reforecast Q1 2026'!E94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'Reforecast Q1 2026'!F94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'Reforecast Q1 2026'!G94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'Reforecast Q1 2026'!H94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'Reforecast Q1 2026'!I94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'Reforecast Q1 2026'!J94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'Reforecast Q1 2026'!K94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'Reforecast Q1 2026'!L94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'Reforecast Q1 2026'!M94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'Reforecast Q1 2026'!N94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SUM('Reforecast Q1 2026'!$C94:INDEX('Reforecast Q1 2026'!$C94:$N94,$B$27))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'Reforecast Q1 2026'!C95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'Reforecast Q1 2026'!D95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'Reforecast Q1 2026'!E95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'Reforecast Q1 2026'!F95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'Reforecast Q1 2026'!G95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'Reforecast Q1 2026'!H95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'Reforecast Q1 2026'!I95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'Reforecast Q1 2026'!J95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'Reforecast Q1 2026'!K95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'Reforecast Q1 2026'!L95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'Reforecast Q1 2026'!M95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'Reforecast Q1 2026'!N95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SUM('Reforecast Q1 2026'!$C95:INDEX('Reforecast Q1 2026'!$C95:$N95,$B$27))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'Reforecast Q1 2026'!C96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'Reforecast Q1 2026'!D96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'Reforecast Q1 2026'!E96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'Reforecast Q1 2026'!F96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'Reforecast Q1 2026'!G96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'Reforecast Q1 2026'!H96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'Reforecast Q1 2026'!I96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'Reforecast Q1 2026'!J96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'Reforecast Q1 2026'!K96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'Reforecast Q1 2026'!L96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'Reforecast Q1 2026'!M96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'Reforecast Q1 2026'!N96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SUM('Reforecast Q1 2026'!$C96:INDEX('Reforecast Q1 2026'!$C96:$N96,$B$27))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'Reforecast Q1 2026'!C97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'Reforecast Q1 2026'!D97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'Reforecast Q1 2026'!E97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'Reforecast Q1 2026'!F97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'Reforecast Q1 2026'!G97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'Reforecast Q1 2026'!H97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'Reforecast Q1 2026'!I97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'Reforecast Q1 2026'!J97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'Reforecast Q1 2026'!K97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'Reforecast Q1 2026'!L97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'Reforecast Q1 2026'!M97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'Reforecast Q1 2026'!N97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SUM('Reforecast Q1 2026'!$C97:INDEX('Reforecast Q1 2026'!$C97:$N97,$B$27))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'Reforecast Q1 2026'!C98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'Reforecast Q1 2026'!D98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'Reforecast Q1 2026'!E98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'Reforecast Q1 2026'!F98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'Reforecast Q1 2026'!G98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'Reforecast Q1 2026'!H98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'Reforecast Q1 2026'!I98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'Reforecast Q1 2026'!J98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'Reforecast Q1 2026'!K98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'Reforecast Q1 2026'!L98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'Reforecast Q1 2026'!M98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'Reforecast Q1 2026'!N98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SUM('Reforecast Q1 2026'!$C98:INDEX('Reforecast Q1 2026'!$C98:$N98,$B$27))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'Reforecast Q1 2026'!C99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'Reforecast Q1 2026'!D99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'Reforecast Q1 2026'!E99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'Reforecast Q1 2026'!F99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'Reforecast Q1 2026'!G99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'Reforecast Q1 2026'!H99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'Reforecast Q1 2026'!I99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'Reforecast Q1 2026'!J99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'Reforecast Q1 2026'!K99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'Reforecast Q1 2026'!L99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'Reforecast Q1 2026'!M99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'Reforecast Q1 2026'!N99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SUM('Reforecast Q1 2026'!$C99:INDEX('Reforecast Q1 2026'!$C99:$N99,$B$27))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'Reforecast Q1 2026'!C100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'Reforecast Q1 2026'!D100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'Reforecast Q1 2026'!E100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'Reforecast Q1 2026'!F100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'Reforecast Q1 2026'!G100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'Reforecast Q1 2026'!H100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'Reforecast Q1 2026'!I100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'Reforecast Q1 2026'!J100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'Reforecast Q1 2026'!K100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'Reforecast Q1 2026'!L100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'Reforecast Q1 2026'!M100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'Reforecast Q1 2026'!N100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SUM('Reforecast Q1 2026'!$C100:INDEX('Reforecast Q1 2026'!$C100:$N100,$B$27))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'Reforecast Q1 2026'!C101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'Reforecast Q1 2026'!D101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'Reforecast Q1 2026'!E101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'Reforecast Q1 2026'!F101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'Reforecast Q1 2026'!G101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'Reforecast Q1 2026'!H101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'Reforecast Q1 2026'!I101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'Reforecast Q1 2026'!J101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'Reforecast Q1 2026'!K101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'Reforecast Q1 2026'!L101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'Reforecast Q1 2026'!M101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'Reforecast Q1 2026'!N101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SUM('Reforecast Q1 2026'!$C101:INDEX('Reforecast Q1 2026'!$C101:$N101,$B$27))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'Reforecast Q1 2026'!C102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'Reforecast Q1 2026'!D102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'Reforecast Q1 2026'!E102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'Reforecast Q1 2026'!F102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'Reforecast Q1 2026'!G102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'Reforecast Q1 2026'!H102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'Reforecast Q1 2026'!I102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'Reforecast Q1 2026'!J102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'Reforecast Q1 2026'!K102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'Reforecast Q1 2026'!L102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'Reforecast Q1 2026'!M102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'Reforecast Q1 2026'!N102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SUM('Reforecast Q1 2026'!$C102:INDEX('Reforecast Q1 2026'!$C102:$N102,$B$27))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'Reforecast Q1 2026'!C103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'Reforecast Q1 2026'!D103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'Reforecast Q1 2026'!E103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'Reforecast Q1 2026'!F103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'Reforecast Q1 2026'!G103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'Reforecast Q1 2026'!H103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'Reforecast Q1 2026'!I103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'Reforecast Q1 2026'!J103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'Reforecast Q1 2026'!K103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'Reforecast Q1 2026'!L103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'Reforecast Q1 2026'!M103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'Reforecast Q1 2026'!N103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SUM('Reforecast Q1 2026'!$C103:INDEX('Reforecast Q1 2026'!$C103:$N103,$B$27))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'Reforecast Q1 2026'!C104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'Reforecast Q1 2026'!D104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'Reforecast Q1 2026'!E104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'Reforecast Q1 2026'!F104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'Reforecast Q1 2026'!G104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'Reforecast Q1 2026'!H104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'Reforecast Q1 2026'!I104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'Reforecast Q1 2026'!J104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'Reforecast Q1 2026'!K104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'Reforecast Q1 2026'!L104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'Reforecast Q1 2026'!M104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'Reforecast Q1 2026'!N104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SUM('Reforecast Q1 2026'!$C104:INDEX('Reforecast Q1 2026'!$C104:$N104,$B$27))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'Reforecast Q1 2026'!C105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'Reforecast Q1 2026'!D105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'Reforecast Q1 2026'!E105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'Reforecast Q1 2026'!F105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'Reforecast Q1 2026'!G105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'Reforecast Q1 2026'!H105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'Reforecast Q1 2026'!I105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'Reforecast Q1 2026'!J105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'Reforecast Q1 2026'!K105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'Reforecast Q1 2026'!L105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'Reforecast Q1 2026'!M105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'Reforecast Q1 2026'!N105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SUM('Reforecast Q1 2026'!$C105:INDEX('Reforecast Q1 2026'!$C105:$N105,$B$27))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'Reforecast Q1 2026'!C106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'Reforecast Q1 2026'!D106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'Reforecast Q1 2026'!E106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'Reforecast Q1 2026'!F106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'Reforecast Q1 2026'!G106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'Reforecast Q1 2026'!H106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'Reforecast Q1 2026'!I106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'Reforecast Q1 2026'!J106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'Reforecast Q1 2026'!K106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'Reforecast Q1 2026'!L106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'Reforecast Q1 2026'!M106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'Reforecast Q1 2026'!N106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SUM('Reforecast Q1 2026'!$C106:INDEX('Reforecast Q1 2026'!$C106:$N106,$B$27))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'Reforecast Q1 2026'!C107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'Reforecast Q1 2026'!D107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'Reforecast Q1 2026'!E107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'Reforecast Q1 2026'!F107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'Reforecast Q1 2026'!G107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'Reforecast Q1 2026'!H107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'Reforecast Q1 2026'!I107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'Reforecast Q1 2026'!J107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'Reforecast Q1 2026'!K107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'Reforecast Q1 2026'!L107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'Reforecast Q1 2026'!M107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'Reforecast Q1 2026'!N107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SUM('Reforecast Q1 2026'!$C107:INDEX('Reforecast Q1 2026'!$C107:$N107,$B$27))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'Reforecast Q1 2026'!C108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'Reforecast Q1 2026'!D108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'Reforecast Q1 2026'!E108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'Reforecast Q1 2026'!F108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'Reforecast Q1 2026'!G108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'Reforecast Q1 2026'!H108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'Reforecast Q1 2026'!I108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'Reforecast Q1 2026'!J108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'Reforecast Q1 2026'!K108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'Reforecast Q1 2026'!L108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'Reforecast Q1 2026'!M108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'Reforecast Q1 2026'!N108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SUM('Reforecast Q1 2026'!$C108:INDEX('Reforecast Q1 2026'!$C108:$N108,$B$27))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'Reforecast Q1 2026'!C109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'Reforecast Q1 2026'!D109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'Reforecast Q1 2026'!E109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'Reforecast Q1 2026'!F109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'Reforecast Q1 2026'!G109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'Reforecast Q1 2026'!H109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'Reforecast Q1 2026'!I109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'Reforecast Q1 2026'!J109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'Reforecast Q1 2026'!K109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'Reforecast Q1 2026'!L109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'Reforecast Q1 2026'!M109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'Reforecast Q1 2026'!N109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SUM('Reforecast Q1 2026'!$C109:INDEX('Reforecast Q1 2026'!$C109:$N109,$B$27))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'Reforecast Q1 2026'!C110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'Reforecast Q1 2026'!D110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'Reforecast Q1 2026'!E110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'Reforecast Q1 2026'!F110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'Reforecast Q1 2026'!G110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'Reforecast Q1 2026'!H110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'Reforecast Q1 2026'!I110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'Reforecast Q1 2026'!J110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'Reforecast Q1 2026'!K110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'Reforecast Q1 2026'!L110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'Reforecast Q1 2026'!M110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'Reforecast Q1 2026'!N110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SUM('Reforecast Q1 2026'!$C110:INDEX('Reforecast Q1 2026'!$C110:$N110,$B$27))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'Reforecast Q1 2026'!C111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'Reforecast Q1 2026'!D111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'Reforecast Q1 2026'!E111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'Reforecast Q1 2026'!F111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'Reforecast Q1 2026'!G111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'Reforecast Q1 2026'!H111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'Reforecast Q1 2026'!I111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'Reforecast Q1 2026'!J111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'Reforecast Q1 2026'!K111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'Reforecast Q1 2026'!L111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'Reforecast Q1 2026'!M111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'Reforecast Q1 2026'!N111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SUM('Reforecast Q1 2026'!$C111:INDEX('Reforecast Q1 2026'!$C111:$N111,$B$27))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'Reforecast Q1 2026'!C112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'Reforecast Q1 2026'!D112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'Reforecast Q1 2026'!E112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'Reforecast Q1 2026'!F112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'Reforecast Q1 2026'!G112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'Reforecast Q1 2026'!H112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'Reforecast Q1 2026'!I112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'Reforecast Q1 2026'!J112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'Reforecast Q1 2026'!K112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'Reforecast Q1 2026'!L112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'Reforecast Q1 2026'!M112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'Reforecast Q1 2026'!N112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SUM('Reforecast Q1 2026'!$C112:INDEX('Reforecast Q1 2026'!$C112:$N112,$B$27))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'Reforecast Q1 2026'!C113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'Reforecast Q1 2026'!D113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'Reforecast Q1 2026'!E113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'Reforecast Q1 2026'!F113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'Reforecast Q1 2026'!G113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'Reforecast Q1 2026'!H113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'Reforecast Q1 2026'!I113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'Reforecast Q1 2026'!J113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'Reforecast Q1 2026'!K113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'Reforecast Q1 2026'!L113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'Reforecast Q1 2026'!M113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'Reforecast Q1 2026'!N113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SUM('Reforecast Q1 2026'!$C113:INDEX('Reforecast Q1 2026'!$C113:$N113,$B$27))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'Reforecast Q1 2026'!C114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'Reforecast Q1 2026'!D114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'Reforecast Q1 2026'!E114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'Reforecast Q1 2026'!F114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'Reforecast Q1 2026'!G114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'Reforecast Q1 2026'!H114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'Reforecast Q1 2026'!I114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'Reforecast Q1 2026'!J114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'Reforecast Q1 2026'!K114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'Reforecast Q1 2026'!L114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'Reforecast Q1 2026'!M114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'Reforecast Q1 2026'!N114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SUM('Reforecast Q1 2026'!$C114:INDEX('Reforecast Q1 2026'!$C114:$N114,$B$27))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Budget (Nov 2025)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Format="1" customHeight="1" s="38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Budget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Budget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Budget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Budget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Budget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Budget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Budget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Budget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Budget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Budget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Budget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Budget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Budget!C8</f>
        <v/>
      </c>
      <c r="C6" s="508">
        <f>IF(OR(1&gt;$B$3,ISBLANK(Actuals!C8)),"",Actuals!C8)</f>
        <v/>
      </c>
      <c r="D6" s="509">
        <f>IF(OR(1&gt;$B$3,ISBLANK(Actuals!C8)),"",Budget!C8-Actuals!C8)</f>
        <v/>
      </c>
      <c r="E6" s="509">
        <f>IFERROR(IF(OR(1&gt;$B$3,ISBLANK(Actuals!C8)),"",(Budget!C8-Actuals!C8)/ABS(Budget!C8)),"")</f>
        <v/>
      </c>
      <c r="F6" s="508">
        <f>Budget!D8</f>
        <v/>
      </c>
      <c r="G6" s="508">
        <f>IF(OR(2&gt;$B$3,ISBLANK(Actuals!D8)),"",Actuals!D8)</f>
        <v/>
      </c>
      <c r="H6" s="509">
        <f>IF(OR(2&gt;$B$3,ISBLANK(Actuals!D8)),"",Budget!D8-Actuals!D8)</f>
        <v/>
      </c>
      <c r="I6" s="509">
        <f>IFERROR(IF(OR(2&gt;$B$3,ISBLANK(Actuals!D8)),"",(Budget!D8-Actuals!D8)/ABS(Budget!D8)),"")</f>
        <v/>
      </c>
      <c r="J6" s="508">
        <f>Budget!E8</f>
        <v/>
      </c>
      <c r="K6" s="508">
        <f>IF(OR(3&gt;$B$3,ISBLANK(Actuals!E8)),"",Actuals!E8)</f>
        <v/>
      </c>
      <c r="L6" s="509">
        <f>IF(OR(3&gt;$B$3,ISBLANK(Actuals!E8)),"",Budget!E8-Actuals!E8)</f>
        <v/>
      </c>
      <c r="M6" s="509">
        <f>IFERROR(IF(OR(3&gt;$B$3,ISBLANK(Actuals!E8)),"",(Budget!E8-Actuals!E8)/ABS(Budget!E8)),"")</f>
        <v/>
      </c>
      <c r="N6" s="508">
        <f>Budget!F8</f>
        <v/>
      </c>
      <c r="O6" s="508">
        <f>IF(OR(4&gt;$B$3,ISBLANK(Actuals!F8)),"",Actuals!F8)</f>
        <v/>
      </c>
      <c r="P6" s="509">
        <f>IF(OR(4&gt;$B$3,ISBLANK(Actuals!F8)),"",Budget!F8-Actuals!F8)</f>
        <v/>
      </c>
      <c r="Q6" s="509">
        <f>IFERROR(IF(OR(4&gt;$B$3,ISBLANK(Actuals!F8)),"",(Budget!F8-Actuals!F8)/ABS(Budget!F8)),"")</f>
        <v/>
      </c>
      <c r="R6" s="508">
        <f>Budget!G8</f>
        <v/>
      </c>
      <c r="S6" s="508">
        <f>IF(OR(5&gt;$B$3,ISBLANK(Actuals!G8)),"",Actuals!G8)</f>
        <v/>
      </c>
      <c r="T6" s="509">
        <f>IF(OR(5&gt;$B$3,ISBLANK(Actuals!G8)),"",Budget!G8-Actuals!G8)</f>
        <v/>
      </c>
      <c r="U6" s="509">
        <f>IFERROR(IF(OR(5&gt;$B$3,ISBLANK(Actuals!G8)),"",(Budget!G8-Actuals!G8)/ABS(Budget!G8)),"")</f>
        <v/>
      </c>
      <c r="V6" s="508">
        <f>Budget!H8</f>
        <v/>
      </c>
      <c r="W6" s="508">
        <f>IF(OR(6&gt;$B$3,ISBLANK(Actuals!H8)),"",Actuals!H8)</f>
        <v/>
      </c>
      <c r="X6" s="509">
        <f>IF(OR(6&gt;$B$3,ISBLANK(Actuals!H8)),"",Budget!H8-Actuals!H8)</f>
        <v/>
      </c>
      <c r="Y6" s="509">
        <f>IFERROR(IF(OR(6&gt;$B$3,ISBLANK(Actuals!H8)),"",(Budget!H8-Actuals!H8)/ABS(Budget!H8)),"")</f>
        <v/>
      </c>
      <c r="Z6" s="508">
        <f>Budget!I8</f>
        <v/>
      </c>
      <c r="AA6" s="508">
        <f>IF(OR(7&gt;$B$3,ISBLANK(Actuals!I8)),"",Actuals!I8)</f>
        <v/>
      </c>
      <c r="AB6" s="509">
        <f>IF(OR(7&gt;$B$3,ISBLANK(Actuals!I8)),"",Budget!I8-Actuals!I8)</f>
        <v/>
      </c>
      <c r="AC6" s="509">
        <f>IFERROR(IF(OR(7&gt;$B$3,ISBLANK(Actuals!I8)),"",(Budget!I8-Actuals!I8)/ABS(Budget!I8)),"")</f>
        <v/>
      </c>
      <c r="AD6" s="508">
        <f>Budget!J8</f>
        <v/>
      </c>
      <c r="AE6" s="508">
        <f>IF(OR(8&gt;$B$3,ISBLANK(Actuals!J8)),"",Actuals!J8)</f>
        <v/>
      </c>
      <c r="AF6" s="509">
        <f>IF(OR(8&gt;$B$3,ISBLANK(Actuals!J8)),"",Budget!J8-Actuals!J8)</f>
        <v/>
      </c>
      <c r="AG6" s="509">
        <f>IFERROR(IF(OR(8&gt;$B$3,ISBLANK(Actuals!J8)),"",(Budget!J8-Actuals!J8)/ABS(Budget!J8)),"")</f>
        <v/>
      </c>
      <c r="AH6" s="508">
        <f>Budget!K8</f>
        <v/>
      </c>
      <c r="AI6" s="508">
        <f>IF(OR(9&gt;$B$3,ISBLANK(Actuals!K8)),"",Actuals!K8)</f>
        <v/>
      </c>
      <c r="AJ6" s="509">
        <f>IF(OR(9&gt;$B$3,ISBLANK(Actuals!K8)),"",Budget!K8-Actuals!K8)</f>
        <v/>
      </c>
      <c r="AK6" s="509">
        <f>IFERROR(IF(OR(9&gt;$B$3,ISBLANK(Actuals!K8)),"",(Budget!K8-Actuals!K8)/ABS(Budget!K8)),"")</f>
        <v/>
      </c>
      <c r="AL6" s="508">
        <f>Budget!L8</f>
        <v/>
      </c>
      <c r="AM6" s="508">
        <f>IF(OR(10&gt;$B$3,ISBLANK(Actuals!L8)),"",Actuals!L8)</f>
        <v/>
      </c>
      <c r="AN6" s="509">
        <f>IF(OR(10&gt;$B$3,ISBLANK(Actuals!L8)),"",Budget!L8-Actuals!L8)</f>
        <v/>
      </c>
      <c r="AO6" s="509">
        <f>IFERROR(IF(OR(10&gt;$B$3,ISBLANK(Actuals!L8)),"",(Budget!L8-Actuals!L8)/ABS(Budget!L8)),"")</f>
        <v/>
      </c>
      <c r="AP6" s="508">
        <f>Budget!M8</f>
        <v/>
      </c>
      <c r="AQ6" s="508">
        <f>IF(OR(11&gt;$B$3,ISBLANK(Actuals!M8)),"",Actuals!M8)</f>
        <v/>
      </c>
      <c r="AR6" s="509">
        <f>IF(OR(11&gt;$B$3,ISBLANK(Actuals!M8)),"",Budget!M8-Actuals!M8)</f>
        <v/>
      </c>
      <c r="AS6" s="509">
        <f>IFERROR(IF(OR(11&gt;$B$3,ISBLANK(Actuals!M8)),"",(Budget!M8-Actuals!M8)/ABS(Budget!M8)),"")</f>
        <v/>
      </c>
      <c r="AT6" s="508">
        <f>Budget!N8</f>
        <v/>
      </c>
      <c r="AU6" s="508">
        <f>IF(OR(12&gt;$B$3,ISBLANK(Actuals!N8)),"",Actuals!N8)</f>
        <v/>
      </c>
      <c r="AV6" s="509">
        <f>IF(OR(12&gt;$B$3,ISBLANK(Actuals!N8)),"",Budget!N8-Actuals!N8)</f>
        <v/>
      </c>
      <c r="AW6" s="509">
        <f>IFERROR(IF(OR(12&gt;$B$3,ISBLANK(Actuals!N8)),"",(Budget!N8-Actuals!N8)/ABS(Budget!N8)),"")</f>
        <v/>
      </c>
      <c r="AX6" s="510">
        <f>SUMPRODUCT((Actuals!C8:N8&lt;&gt;"")*(Budget!C8:N8))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Budget!C9</f>
        <v/>
      </c>
      <c r="C7" s="508">
        <f>IF(OR(1&gt;$B$3,ISBLANK(Actuals!C9)),"",Actuals!C9)</f>
        <v/>
      </c>
      <c r="D7" s="509">
        <f>IF(OR(1&gt;$B$3,ISBLANK(Actuals!C9)),"",Budget!C9-Actuals!C9)</f>
        <v/>
      </c>
      <c r="E7" s="509">
        <f>IFERROR(IF(OR(1&gt;$B$3,ISBLANK(Actuals!C9)),"",(Budget!C9-Actuals!C9)/ABS(Budget!C9)),"")</f>
        <v/>
      </c>
      <c r="F7" s="508">
        <f>Budget!D9</f>
        <v/>
      </c>
      <c r="G7" s="508">
        <f>IF(OR(2&gt;$B$3,ISBLANK(Actuals!D9)),"",Actuals!D9)</f>
        <v/>
      </c>
      <c r="H7" s="509">
        <f>IF(OR(2&gt;$B$3,ISBLANK(Actuals!D9)),"",Budget!D9-Actuals!D9)</f>
        <v/>
      </c>
      <c r="I7" s="509">
        <f>IFERROR(IF(OR(2&gt;$B$3,ISBLANK(Actuals!D9)),"",(Budget!D9-Actuals!D9)/ABS(Budget!D9)),"")</f>
        <v/>
      </c>
      <c r="J7" s="508">
        <f>Budget!E9</f>
        <v/>
      </c>
      <c r="K7" s="508">
        <f>IF(OR(3&gt;$B$3,ISBLANK(Actuals!E9)),"",Actuals!E9)</f>
        <v/>
      </c>
      <c r="L7" s="509">
        <f>IF(OR(3&gt;$B$3,ISBLANK(Actuals!E9)),"",Budget!E9-Actuals!E9)</f>
        <v/>
      </c>
      <c r="M7" s="509">
        <f>IFERROR(IF(OR(3&gt;$B$3,ISBLANK(Actuals!E9)),"",(Budget!E9-Actuals!E9)/ABS(Budget!E9)),"")</f>
        <v/>
      </c>
      <c r="N7" s="508">
        <f>Budget!F9</f>
        <v/>
      </c>
      <c r="O7" s="508">
        <f>IF(OR(4&gt;$B$3,ISBLANK(Actuals!F9)),"",Actuals!F9)</f>
        <v/>
      </c>
      <c r="P7" s="509">
        <f>IF(OR(4&gt;$B$3,ISBLANK(Actuals!F9)),"",Budget!F9-Actuals!F9)</f>
        <v/>
      </c>
      <c r="Q7" s="509">
        <f>IFERROR(IF(OR(4&gt;$B$3,ISBLANK(Actuals!F9)),"",(Budget!F9-Actuals!F9)/ABS(Budget!F9)),"")</f>
        <v/>
      </c>
      <c r="R7" s="508">
        <f>Budget!G9</f>
        <v/>
      </c>
      <c r="S7" s="508">
        <f>IF(OR(5&gt;$B$3,ISBLANK(Actuals!G9)),"",Actuals!G9)</f>
        <v/>
      </c>
      <c r="T7" s="509">
        <f>IF(OR(5&gt;$B$3,ISBLANK(Actuals!G9)),"",Budget!G9-Actuals!G9)</f>
        <v/>
      </c>
      <c r="U7" s="509">
        <f>IFERROR(IF(OR(5&gt;$B$3,ISBLANK(Actuals!G9)),"",(Budget!G9-Actuals!G9)/ABS(Budget!G9)),"")</f>
        <v/>
      </c>
      <c r="V7" s="508">
        <f>Budget!H9</f>
        <v/>
      </c>
      <c r="W7" s="508">
        <f>IF(OR(6&gt;$B$3,ISBLANK(Actuals!H9)),"",Actuals!H9)</f>
        <v/>
      </c>
      <c r="X7" s="509">
        <f>IF(OR(6&gt;$B$3,ISBLANK(Actuals!H9)),"",Budget!H9-Actuals!H9)</f>
        <v/>
      </c>
      <c r="Y7" s="509">
        <f>IFERROR(IF(OR(6&gt;$B$3,ISBLANK(Actuals!H9)),"",(Budget!H9-Actuals!H9)/ABS(Budget!H9)),"")</f>
        <v/>
      </c>
      <c r="Z7" s="508">
        <f>Budget!I9</f>
        <v/>
      </c>
      <c r="AA7" s="508">
        <f>IF(OR(7&gt;$B$3,ISBLANK(Actuals!I9)),"",Actuals!I9)</f>
        <v/>
      </c>
      <c r="AB7" s="509">
        <f>IF(OR(7&gt;$B$3,ISBLANK(Actuals!I9)),"",Budget!I9-Actuals!I9)</f>
        <v/>
      </c>
      <c r="AC7" s="509">
        <f>IFERROR(IF(OR(7&gt;$B$3,ISBLANK(Actuals!I9)),"",(Budget!I9-Actuals!I9)/ABS(Budget!I9)),"")</f>
        <v/>
      </c>
      <c r="AD7" s="508">
        <f>Budget!J9</f>
        <v/>
      </c>
      <c r="AE7" s="508">
        <f>IF(OR(8&gt;$B$3,ISBLANK(Actuals!J9)),"",Actuals!J9)</f>
        <v/>
      </c>
      <c r="AF7" s="509">
        <f>IF(OR(8&gt;$B$3,ISBLANK(Actuals!J9)),"",Budget!J9-Actuals!J9)</f>
        <v/>
      </c>
      <c r="AG7" s="509">
        <f>IFERROR(IF(OR(8&gt;$B$3,ISBLANK(Actuals!J9)),"",(Budget!J9-Actuals!J9)/ABS(Budget!J9)),"")</f>
        <v/>
      </c>
      <c r="AH7" s="508">
        <f>Budget!K9</f>
        <v/>
      </c>
      <c r="AI7" s="508">
        <f>IF(OR(9&gt;$B$3,ISBLANK(Actuals!K9)),"",Actuals!K9)</f>
        <v/>
      </c>
      <c r="AJ7" s="509">
        <f>IF(OR(9&gt;$B$3,ISBLANK(Actuals!K9)),"",Budget!K9-Actuals!K9)</f>
        <v/>
      </c>
      <c r="AK7" s="509">
        <f>IFERROR(IF(OR(9&gt;$B$3,ISBLANK(Actuals!K9)),"",(Budget!K9-Actuals!K9)/ABS(Budget!K9)),"")</f>
        <v/>
      </c>
      <c r="AL7" s="508">
        <f>Budget!L9</f>
        <v/>
      </c>
      <c r="AM7" s="508">
        <f>IF(OR(10&gt;$B$3,ISBLANK(Actuals!L9)),"",Actuals!L9)</f>
        <v/>
      </c>
      <c r="AN7" s="509">
        <f>IF(OR(10&gt;$B$3,ISBLANK(Actuals!L9)),"",Budget!L9-Actuals!L9)</f>
        <v/>
      </c>
      <c r="AO7" s="509">
        <f>IFERROR(IF(OR(10&gt;$B$3,ISBLANK(Actuals!L9)),"",(Budget!L9-Actuals!L9)/ABS(Budget!L9)),"")</f>
        <v/>
      </c>
      <c r="AP7" s="508">
        <f>Budget!M9</f>
        <v/>
      </c>
      <c r="AQ7" s="508">
        <f>IF(OR(11&gt;$B$3,ISBLANK(Actuals!M9)),"",Actuals!M9)</f>
        <v/>
      </c>
      <c r="AR7" s="509">
        <f>IF(OR(11&gt;$B$3,ISBLANK(Actuals!M9)),"",Budget!M9-Actuals!M9)</f>
        <v/>
      </c>
      <c r="AS7" s="509">
        <f>IFERROR(IF(OR(11&gt;$B$3,ISBLANK(Actuals!M9)),"",(Budget!M9-Actuals!M9)/ABS(Budget!M9)),"")</f>
        <v/>
      </c>
      <c r="AT7" s="508">
        <f>Budget!N9</f>
        <v/>
      </c>
      <c r="AU7" s="508">
        <f>IF(OR(12&gt;$B$3,ISBLANK(Actuals!N9)),"",Actuals!N9)</f>
        <v/>
      </c>
      <c r="AV7" s="509">
        <f>IF(OR(12&gt;$B$3,ISBLANK(Actuals!N9)),"",Budget!N9-Actuals!N9)</f>
        <v/>
      </c>
      <c r="AW7" s="509">
        <f>IFERROR(IF(OR(12&gt;$B$3,ISBLANK(Actuals!N9)),"",(Budget!N9-Actuals!N9)/ABS(Budget!N9)),"")</f>
        <v/>
      </c>
      <c r="AX7" s="510">
        <f>SUMPRODUCT((Actuals!C9:N9&lt;&gt;"")*(Budget!C9:N9))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Budget!C10</f>
        <v/>
      </c>
      <c r="C8" s="508">
        <f>IF(OR(1&gt;$B$3,ISBLANK(Actuals!C10)),"",Actuals!C10)</f>
        <v/>
      </c>
      <c r="D8" s="509">
        <f>IF(OR(1&gt;$B$3,ISBLANK(Actuals!C10)),"",Budget!C10-Actuals!C10)</f>
        <v/>
      </c>
      <c r="E8" s="509">
        <f>IFERROR(IF(OR(1&gt;$B$3,ISBLANK(Actuals!C10)),"",(Budget!C10-Actuals!C10)/ABS(Budget!C10)),"")</f>
        <v/>
      </c>
      <c r="F8" s="508">
        <f>Budget!D10</f>
        <v/>
      </c>
      <c r="G8" s="508">
        <f>IF(OR(2&gt;$B$3,ISBLANK(Actuals!D10)),"",Actuals!D10)</f>
        <v/>
      </c>
      <c r="H8" s="509">
        <f>IF(OR(2&gt;$B$3,ISBLANK(Actuals!D10)),"",Budget!D10-Actuals!D10)</f>
        <v/>
      </c>
      <c r="I8" s="509">
        <f>IFERROR(IF(OR(2&gt;$B$3,ISBLANK(Actuals!D10)),"",(Budget!D10-Actuals!D10)/ABS(Budget!D10)),"")</f>
        <v/>
      </c>
      <c r="J8" s="508">
        <f>Budget!E10</f>
        <v/>
      </c>
      <c r="K8" s="508">
        <f>IF(OR(3&gt;$B$3,ISBLANK(Actuals!E10)),"",Actuals!E10)</f>
        <v/>
      </c>
      <c r="L8" s="509">
        <f>IF(OR(3&gt;$B$3,ISBLANK(Actuals!E10)),"",Budget!E10-Actuals!E10)</f>
        <v/>
      </c>
      <c r="M8" s="509">
        <f>IFERROR(IF(OR(3&gt;$B$3,ISBLANK(Actuals!E10)),"",(Budget!E10-Actuals!E10)/ABS(Budget!E10)),"")</f>
        <v/>
      </c>
      <c r="N8" s="508">
        <f>Budget!F10</f>
        <v/>
      </c>
      <c r="O8" s="508">
        <f>IF(OR(4&gt;$B$3,ISBLANK(Actuals!F10)),"",Actuals!F10)</f>
        <v/>
      </c>
      <c r="P8" s="509">
        <f>IF(OR(4&gt;$B$3,ISBLANK(Actuals!F10)),"",Budget!F10-Actuals!F10)</f>
        <v/>
      </c>
      <c r="Q8" s="509">
        <f>IFERROR(IF(OR(4&gt;$B$3,ISBLANK(Actuals!F10)),"",(Budget!F10-Actuals!F10)/ABS(Budget!F10)),"")</f>
        <v/>
      </c>
      <c r="R8" s="508">
        <f>Budget!G10</f>
        <v/>
      </c>
      <c r="S8" s="508">
        <f>IF(OR(5&gt;$B$3,ISBLANK(Actuals!G10)),"",Actuals!G10)</f>
        <v/>
      </c>
      <c r="T8" s="509">
        <f>IF(OR(5&gt;$B$3,ISBLANK(Actuals!G10)),"",Budget!G10-Actuals!G10)</f>
        <v/>
      </c>
      <c r="U8" s="509">
        <f>IFERROR(IF(OR(5&gt;$B$3,ISBLANK(Actuals!G10)),"",(Budget!G10-Actuals!G10)/ABS(Budget!G10)),"")</f>
        <v/>
      </c>
      <c r="V8" s="508">
        <f>Budget!H10</f>
        <v/>
      </c>
      <c r="W8" s="508">
        <f>IF(OR(6&gt;$B$3,ISBLANK(Actuals!H10)),"",Actuals!H10)</f>
        <v/>
      </c>
      <c r="X8" s="509">
        <f>IF(OR(6&gt;$B$3,ISBLANK(Actuals!H10)),"",Budget!H10-Actuals!H10)</f>
        <v/>
      </c>
      <c r="Y8" s="509">
        <f>IFERROR(IF(OR(6&gt;$B$3,ISBLANK(Actuals!H10)),"",(Budget!H10-Actuals!H10)/ABS(Budget!H10)),"")</f>
        <v/>
      </c>
      <c r="Z8" s="508">
        <f>Budget!I10</f>
        <v/>
      </c>
      <c r="AA8" s="508">
        <f>IF(OR(7&gt;$B$3,ISBLANK(Actuals!I10)),"",Actuals!I10)</f>
        <v/>
      </c>
      <c r="AB8" s="509">
        <f>IF(OR(7&gt;$B$3,ISBLANK(Actuals!I10)),"",Budget!I10-Actuals!I10)</f>
        <v/>
      </c>
      <c r="AC8" s="509">
        <f>IFERROR(IF(OR(7&gt;$B$3,ISBLANK(Actuals!I10)),"",(Budget!I10-Actuals!I10)/ABS(Budget!I10)),"")</f>
        <v/>
      </c>
      <c r="AD8" s="508">
        <f>Budget!J10</f>
        <v/>
      </c>
      <c r="AE8" s="508">
        <f>IF(OR(8&gt;$B$3,ISBLANK(Actuals!J10)),"",Actuals!J10)</f>
        <v/>
      </c>
      <c r="AF8" s="509">
        <f>IF(OR(8&gt;$B$3,ISBLANK(Actuals!J10)),"",Budget!J10-Actuals!J10)</f>
        <v/>
      </c>
      <c r="AG8" s="509">
        <f>IFERROR(IF(OR(8&gt;$B$3,ISBLANK(Actuals!J10)),"",(Budget!J10-Actuals!J10)/ABS(Budget!J10)),"")</f>
        <v/>
      </c>
      <c r="AH8" s="508">
        <f>Budget!K10</f>
        <v/>
      </c>
      <c r="AI8" s="508">
        <f>IF(OR(9&gt;$B$3,ISBLANK(Actuals!K10)),"",Actuals!K10)</f>
        <v/>
      </c>
      <c r="AJ8" s="509">
        <f>IF(OR(9&gt;$B$3,ISBLANK(Actuals!K10)),"",Budget!K10-Actuals!K10)</f>
        <v/>
      </c>
      <c r="AK8" s="509">
        <f>IFERROR(IF(OR(9&gt;$B$3,ISBLANK(Actuals!K10)),"",(Budget!K10-Actuals!K10)/ABS(Budget!K10)),"")</f>
        <v/>
      </c>
      <c r="AL8" s="508">
        <f>Budget!L10</f>
        <v/>
      </c>
      <c r="AM8" s="508">
        <f>IF(OR(10&gt;$B$3,ISBLANK(Actuals!L10)),"",Actuals!L10)</f>
        <v/>
      </c>
      <c r="AN8" s="509">
        <f>IF(OR(10&gt;$B$3,ISBLANK(Actuals!L10)),"",Budget!L10-Actuals!L10)</f>
        <v/>
      </c>
      <c r="AO8" s="509">
        <f>IFERROR(IF(OR(10&gt;$B$3,ISBLANK(Actuals!L10)),"",(Budget!L10-Actuals!L10)/ABS(Budget!L10)),"")</f>
        <v/>
      </c>
      <c r="AP8" s="508">
        <f>Budget!M10</f>
        <v/>
      </c>
      <c r="AQ8" s="508">
        <f>IF(OR(11&gt;$B$3,ISBLANK(Actuals!M10)),"",Actuals!M10)</f>
        <v/>
      </c>
      <c r="AR8" s="509">
        <f>IF(OR(11&gt;$B$3,ISBLANK(Actuals!M10)),"",Budget!M10-Actuals!M10)</f>
        <v/>
      </c>
      <c r="AS8" s="509">
        <f>IFERROR(IF(OR(11&gt;$B$3,ISBLANK(Actuals!M10)),"",(Budget!M10-Actuals!M10)/ABS(Budget!M10)),"")</f>
        <v/>
      </c>
      <c r="AT8" s="508">
        <f>Budget!N10</f>
        <v/>
      </c>
      <c r="AU8" s="508">
        <f>IF(OR(12&gt;$B$3,ISBLANK(Actuals!N10)),"",Actuals!N10)</f>
        <v/>
      </c>
      <c r="AV8" s="509">
        <f>IF(OR(12&gt;$B$3,ISBLANK(Actuals!N10)),"",Budget!N10-Actuals!N10)</f>
        <v/>
      </c>
      <c r="AW8" s="509">
        <f>IFERROR(IF(OR(12&gt;$B$3,ISBLANK(Actuals!N10)),"",(Budget!N10-Actuals!N10)/ABS(Budget!N10)),"")</f>
        <v/>
      </c>
      <c r="AX8" s="510">
        <f>SUMPRODUCT((Actuals!C10:N10&lt;&gt;"")*(Budget!C10:N10))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Budget!C11</f>
        <v/>
      </c>
      <c r="C9" s="508">
        <f>IF(OR(1&gt;$B$3,ISBLANK(Actuals!C11)),"",Actuals!C11)</f>
        <v/>
      </c>
      <c r="D9" s="509">
        <f>IF(OR(1&gt;$B$3,ISBLANK(Actuals!C11)),"",Budget!C11-Actuals!C11)</f>
        <v/>
      </c>
      <c r="E9" s="509">
        <f>IFERROR(IF(OR(1&gt;$B$3,ISBLANK(Actuals!C11)),"",(Budget!C11-Actuals!C11)/ABS(Budget!C11)),"")</f>
        <v/>
      </c>
      <c r="F9" s="508">
        <f>Budget!D11</f>
        <v/>
      </c>
      <c r="G9" s="508">
        <f>IF(OR(2&gt;$B$3,ISBLANK(Actuals!D11)),"",Actuals!D11)</f>
        <v/>
      </c>
      <c r="H9" s="509">
        <f>IF(OR(2&gt;$B$3,ISBLANK(Actuals!D11)),"",Budget!D11-Actuals!D11)</f>
        <v/>
      </c>
      <c r="I9" s="509">
        <f>IFERROR(IF(OR(2&gt;$B$3,ISBLANK(Actuals!D11)),"",(Budget!D11-Actuals!D11)/ABS(Budget!D11)),"")</f>
        <v/>
      </c>
      <c r="J9" s="508">
        <f>Budget!E11</f>
        <v/>
      </c>
      <c r="K9" s="508">
        <f>IF(OR(3&gt;$B$3,ISBLANK(Actuals!E11)),"",Actuals!E11)</f>
        <v/>
      </c>
      <c r="L9" s="509">
        <f>IF(OR(3&gt;$B$3,ISBLANK(Actuals!E11)),"",Budget!E11-Actuals!E11)</f>
        <v/>
      </c>
      <c r="M9" s="509">
        <f>IFERROR(IF(OR(3&gt;$B$3,ISBLANK(Actuals!E11)),"",(Budget!E11-Actuals!E11)/ABS(Budget!E11)),"")</f>
        <v/>
      </c>
      <c r="N9" s="508">
        <f>Budget!F11</f>
        <v/>
      </c>
      <c r="O9" s="508">
        <f>IF(OR(4&gt;$B$3,ISBLANK(Actuals!F11)),"",Actuals!F11)</f>
        <v/>
      </c>
      <c r="P9" s="509">
        <f>IF(OR(4&gt;$B$3,ISBLANK(Actuals!F11)),"",Budget!F11-Actuals!F11)</f>
        <v/>
      </c>
      <c r="Q9" s="509">
        <f>IFERROR(IF(OR(4&gt;$B$3,ISBLANK(Actuals!F11)),"",(Budget!F11-Actuals!F11)/ABS(Budget!F11)),"")</f>
        <v/>
      </c>
      <c r="R9" s="508">
        <f>Budget!G11</f>
        <v/>
      </c>
      <c r="S9" s="508">
        <f>IF(OR(5&gt;$B$3,ISBLANK(Actuals!G11)),"",Actuals!G11)</f>
        <v/>
      </c>
      <c r="T9" s="509">
        <f>IF(OR(5&gt;$B$3,ISBLANK(Actuals!G11)),"",Budget!G11-Actuals!G11)</f>
        <v/>
      </c>
      <c r="U9" s="509">
        <f>IFERROR(IF(OR(5&gt;$B$3,ISBLANK(Actuals!G11)),"",(Budget!G11-Actuals!G11)/ABS(Budget!G11)),"")</f>
        <v/>
      </c>
      <c r="V9" s="508">
        <f>Budget!H11</f>
        <v/>
      </c>
      <c r="W9" s="508">
        <f>IF(OR(6&gt;$B$3,ISBLANK(Actuals!H11)),"",Actuals!H11)</f>
        <v/>
      </c>
      <c r="X9" s="509">
        <f>IF(OR(6&gt;$B$3,ISBLANK(Actuals!H11)),"",Budget!H11-Actuals!H11)</f>
        <v/>
      </c>
      <c r="Y9" s="509">
        <f>IFERROR(IF(OR(6&gt;$B$3,ISBLANK(Actuals!H11)),"",(Budget!H11-Actuals!H11)/ABS(Budget!H11)),"")</f>
        <v/>
      </c>
      <c r="Z9" s="508">
        <f>Budget!I11</f>
        <v/>
      </c>
      <c r="AA9" s="508">
        <f>IF(OR(7&gt;$B$3,ISBLANK(Actuals!I11)),"",Actuals!I11)</f>
        <v/>
      </c>
      <c r="AB9" s="509">
        <f>IF(OR(7&gt;$B$3,ISBLANK(Actuals!I11)),"",Budget!I11-Actuals!I11)</f>
        <v/>
      </c>
      <c r="AC9" s="509">
        <f>IFERROR(IF(OR(7&gt;$B$3,ISBLANK(Actuals!I11)),"",(Budget!I11-Actuals!I11)/ABS(Budget!I11)),"")</f>
        <v/>
      </c>
      <c r="AD9" s="508">
        <f>Budget!J11</f>
        <v/>
      </c>
      <c r="AE9" s="508">
        <f>IF(OR(8&gt;$B$3,ISBLANK(Actuals!J11)),"",Actuals!J11)</f>
        <v/>
      </c>
      <c r="AF9" s="509">
        <f>IF(OR(8&gt;$B$3,ISBLANK(Actuals!J11)),"",Budget!J11-Actuals!J11)</f>
        <v/>
      </c>
      <c r="AG9" s="509">
        <f>IFERROR(IF(OR(8&gt;$B$3,ISBLANK(Actuals!J11)),"",(Budget!J11-Actuals!J11)/ABS(Budget!J11)),"")</f>
        <v/>
      </c>
      <c r="AH9" s="508">
        <f>Budget!K11</f>
        <v/>
      </c>
      <c r="AI9" s="508">
        <f>IF(OR(9&gt;$B$3,ISBLANK(Actuals!K11)),"",Actuals!K11)</f>
        <v/>
      </c>
      <c r="AJ9" s="509">
        <f>IF(OR(9&gt;$B$3,ISBLANK(Actuals!K11)),"",Budget!K11-Actuals!K11)</f>
        <v/>
      </c>
      <c r="AK9" s="509">
        <f>IFERROR(IF(OR(9&gt;$B$3,ISBLANK(Actuals!K11)),"",(Budget!K11-Actuals!K11)/ABS(Budget!K11)),"")</f>
        <v/>
      </c>
      <c r="AL9" s="508">
        <f>Budget!L11</f>
        <v/>
      </c>
      <c r="AM9" s="508">
        <f>IF(OR(10&gt;$B$3,ISBLANK(Actuals!L11)),"",Actuals!L11)</f>
        <v/>
      </c>
      <c r="AN9" s="509">
        <f>IF(OR(10&gt;$B$3,ISBLANK(Actuals!L11)),"",Budget!L11-Actuals!L11)</f>
        <v/>
      </c>
      <c r="AO9" s="509">
        <f>IFERROR(IF(OR(10&gt;$B$3,ISBLANK(Actuals!L11)),"",(Budget!L11-Actuals!L11)/ABS(Budget!L11)),"")</f>
        <v/>
      </c>
      <c r="AP9" s="508">
        <f>Budget!M11</f>
        <v/>
      </c>
      <c r="AQ9" s="508">
        <f>IF(OR(11&gt;$B$3,ISBLANK(Actuals!M11)),"",Actuals!M11)</f>
        <v/>
      </c>
      <c r="AR9" s="509">
        <f>IF(OR(11&gt;$B$3,ISBLANK(Actuals!M11)),"",Budget!M11-Actuals!M11)</f>
        <v/>
      </c>
      <c r="AS9" s="509">
        <f>IFERROR(IF(OR(11&gt;$B$3,ISBLANK(Actuals!M11)),"",(Budget!M11-Actuals!M11)/ABS(Budget!M11)),"")</f>
        <v/>
      </c>
      <c r="AT9" s="508">
        <f>Budget!N11</f>
        <v/>
      </c>
      <c r="AU9" s="508">
        <f>IF(OR(12&gt;$B$3,ISBLANK(Actuals!N11)),"",Actuals!N11)</f>
        <v/>
      </c>
      <c r="AV9" s="509">
        <f>IF(OR(12&gt;$B$3,ISBLANK(Actuals!N11)),"",Budget!N11-Actuals!N11)</f>
        <v/>
      </c>
      <c r="AW9" s="509">
        <f>IFERROR(IF(OR(12&gt;$B$3,ISBLANK(Actuals!N11)),"",(Budget!N11-Actuals!N11)/ABS(Budget!N11)),"")</f>
        <v/>
      </c>
      <c r="AX9" s="510">
        <f>SUMPRODUCT((Actuals!C11:N11&lt;&gt;"")*(Budget!C11:N11))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Budget!C12</f>
        <v/>
      </c>
      <c r="C10" s="508">
        <f>IF(OR(1&gt;$B$3,ISBLANK(Actuals!C12)),"",Actuals!C12)</f>
        <v/>
      </c>
      <c r="D10" s="509">
        <f>IF(OR(1&gt;$B$3,ISBLANK(Actuals!C12)),"",Budget!C12-Actuals!C12)</f>
        <v/>
      </c>
      <c r="E10" s="509">
        <f>IFERROR(IF(OR(1&gt;$B$3,ISBLANK(Actuals!C12)),"",(Budget!C12-Actuals!C12)/ABS(Budget!C12)),"")</f>
        <v/>
      </c>
      <c r="F10" s="508">
        <f>Budget!D12</f>
        <v/>
      </c>
      <c r="G10" s="508">
        <f>IF(OR(2&gt;$B$3,ISBLANK(Actuals!D12)),"",Actuals!D12)</f>
        <v/>
      </c>
      <c r="H10" s="509">
        <f>IF(OR(2&gt;$B$3,ISBLANK(Actuals!D12)),"",Budget!D12-Actuals!D12)</f>
        <v/>
      </c>
      <c r="I10" s="509">
        <f>IFERROR(IF(OR(2&gt;$B$3,ISBLANK(Actuals!D12)),"",(Budget!D12-Actuals!D12)/ABS(Budget!D12)),"")</f>
        <v/>
      </c>
      <c r="J10" s="508">
        <f>Budget!E12</f>
        <v/>
      </c>
      <c r="K10" s="508">
        <f>IF(OR(3&gt;$B$3,ISBLANK(Actuals!E12)),"",Actuals!E12)</f>
        <v/>
      </c>
      <c r="L10" s="509">
        <f>IF(OR(3&gt;$B$3,ISBLANK(Actuals!E12)),"",Budget!E12-Actuals!E12)</f>
        <v/>
      </c>
      <c r="M10" s="509">
        <f>IFERROR(IF(OR(3&gt;$B$3,ISBLANK(Actuals!E12)),"",(Budget!E12-Actuals!E12)/ABS(Budget!E12)),"")</f>
        <v/>
      </c>
      <c r="N10" s="508">
        <f>Budget!F12</f>
        <v/>
      </c>
      <c r="O10" s="508">
        <f>IF(OR(4&gt;$B$3,ISBLANK(Actuals!F12)),"",Actuals!F12)</f>
        <v/>
      </c>
      <c r="P10" s="509">
        <f>IF(OR(4&gt;$B$3,ISBLANK(Actuals!F12)),"",Budget!F12-Actuals!F12)</f>
        <v/>
      </c>
      <c r="Q10" s="509">
        <f>IFERROR(IF(OR(4&gt;$B$3,ISBLANK(Actuals!F12)),"",(Budget!F12-Actuals!F12)/ABS(Budget!F12)),"")</f>
        <v/>
      </c>
      <c r="R10" s="508">
        <f>Budget!G12</f>
        <v/>
      </c>
      <c r="S10" s="508">
        <f>IF(OR(5&gt;$B$3,ISBLANK(Actuals!G12)),"",Actuals!G12)</f>
        <v/>
      </c>
      <c r="T10" s="509">
        <f>IF(OR(5&gt;$B$3,ISBLANK(Actuals!G12)),"",Budget!G12-Actuals!G12)</f>
        <v/>
      </c>
      <c r="U10" s="509">
        <f>IFERROR(IF(OR(5&gt;$B$3,ISBLANK(Actuals!G12)),"",(Budget!G12-Actuals!G12)/ABS(Budget!G12)),"")</f>
        <v/>
      </c>
      <c r="V10" s="508">
        <f>Budget!H12</f>
        <v/>
      </c>
      <c r="W10" s="508">
        <f>IF(OR(6&gt;$B$3,ISBLANK(Actuals!H12)),"",Actuals!H12)</f>
        <v/>
      </c>
      <c r="X10" s="509">
        <f>IF(OR(6&gt;$B$3,ISBLANK(Actuals!H12)),"",Budget!H12-Actuals!H12)</f>
        <v/>
      </c>
      <c r="Y10" s="509">
        <f>IFERROR(IF(OR(6&gt;$B$3,ISBLANK(Actuals!H12)),"",(Budget!H12-Actuals!H12)/ABS(Budget!H12)),"")</f>
        <v/>
      </c>
      <c r="Z10" s="508">
        <f>Budget!I12</f>
        <v/>
      </c>
      <c r="AA10" s="508">
        <f>IF(OR(7&gt;$B$3,ISBLANK(Actuals!I12)),"",Actuals!I12)</f>
        <v/>
      </c>
      <c r="AB10" s="509">
        <f>IF(OR(7&gt;$B$3,ISBLANK(Actuals!I12)),"",Budget!I12-Actuals!I12)</f>
        <v/>
      </c>
      <c r="AC10" s="509">
        <f>IFERROR(IF(OR(7&gt;$B$3,ISBLANK(Actuals!I12)),"",(Budget!I12-Actuals!I12)/ABS(Budget!I12)),"")</f>
        <v/>
      </c>
      <c r="AD10" s="508">
        <f>Budget!J12</f>
        <v/>
      </c>
      <c r="AE10" s="508">
        <f>IF(OR(8&gt;$B$3,ISBLANK(Actuals!J12)),"",Actuals!J12)</f>
        <v/>
      </c>
      <c r="AF10" s="509">
        <f>IF(OR(8&gt;$B$3,ISBLANK(Actuals!J12)),"",Budget!J12-Actuals!J12)</f>
        <v/>
      </c>
      <c r="AG10" s="509">
        <f>IFERROR(IF(OR(8&gt;$B$3,ISBLANK(Actuals!J12)),"",(Budget!J12-Actuals!J12)/ABS(Budget!J12)),"")</f>
        <v/>
      </c>
      <c r="AH10" s="508">
        <f>Budget!K12</f>
        <v/>
      </c>
      <c r="AI10" s="508">
        <f>IF(OR(9&gt;$B$3,ISBLANK(Actuals!K12)),"",Actuals!K12)</f>
        <v/>
      </c>
      <c r="AJ10" s="509">
        <f>IF(OR(9&gt;$B$3,ISBLANK(Actuals!K12)),"",Budget!K12-Actuals!K12)</f>
        <v/>
      </c>
      <c r="AK10" s="509">
        <f>IFERROR(IF(OR(9&gt;$B$3,ISBLANK(Actuals!K12)),"",(Budget!K12-Actuals!K12)/ABS(Budget!K12)),"")</f>
        <v/>
      </c>
      <c r="AL10" s="508">
        <f>Budget!L12</f>
        <v/>
      </c>
      <c r="AM10" s="508">
        <f>IF(OR(10&gt;$B$3,ISBLANK(Actuals!L12)),"",Actuals!L12)</f>
        <v/>
      </c>
      <c r="AN10" s="509">
        <f>IF(OR(10&gt;$B$3,ISBLANK(Actuals!L12)),"",Budget!L12-Actuals!L12)</f>
        <v/>
      </c>
      <c r="AO10" s="509">
        <f>IFERROR(IF(OR(10&gt;$B$3,ISBLANK(Actuals!L12)),"",(Budget!L12-Actuals!L12)/ABS(Budget!L12)),"")</f>
        <v/>
      </c>
      <c r="AP10" s="508">
        <f>Budget!M12</f>
        <v/>
      </c>
      <c r="AQ10" s="508">
        <f>IF(OR(11&gt;$B$3,ISBLANK(Actuals!M12)),"",Actuals!M12)</f>
        <v/>
      </c>
      <c r="AR10" s="509">
        <f>IF(OR(11&gt;$B$3,ISBLANK(Actuals!M12)),"",Budget!M12-Actuals!M12)</f>
        <v/>
      </c>
      <c r="AS10" s="509">
        <f>IFERROR(IF(OR(11&gt;$B$3,ISBLANK(Actuals!M12)),"",(Budget!M12-Actuals!M12)/ABS(Budget!M12)),"")</f>
        <v/>
      </c>
      <c r="AT10" s="508">
        <f>Budget!N12</f>
        <v/>
      </c>
      <c r="AU10" s="508">
        <f>IF(OR(12&gt;$B$3,ISBLANK(Actuals!N12)),"",Actuals!N12)</f>
        <v/>
      </c>
      <c r="AV10" s="509">
        <f>IF(OR(12&gt;$B$3,ISBLANK(Actuals!N12)),"",Budget!N12-Actuals!N12)</f>
        <v/>
      </c>
      <c r="AW10" s="509">
        <f>IFERROR(IF(OR(12&gt;$B$3,ISBLANK(Actuals!N12)),"",(Budget!N12-Actuals!N12)/ABS(Budget!N12)),"")</f>
        <v/>
      </c>
      <c r="AX10" s="510">
        <f>SUMPRODUCT((Actuals!C12:N12&lt;&gt;"")*(Budget!C12:N12))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Budget!C14</f>
        <v/>
      </c>
      <c r="C11" s="508">
        <f>IF(OR(1&gt;$B$3,ISBLANK(Actuals!C14)),"",Actuals!C14)</f>
        <v/>
      </c>
      <c r="D11" s="509">
        <f>IF(OR(1&gt;$B$3,ISBLANK(Actuals!C14)),"",Budget!C14-Actuals!C14)</f>
        <v/>
      </c>
      <c r="E11" s="509">
        <f>IFERROR(IF(OR(1&gt;$B$3,ISBLANK(Actuals!C14)),"",(Budget!C14-Actuals!C14)/ABS(Budget!C14)),"")</f>
        <v/>
      </c>
      <c r="F11" s="508">
        <f>Budget!D14</f>
        <v/>
      </c>
      <c r="G11" s="508">
        <f>IF(OR(2&gt;$B$3,ISBLANK(Actuals!D14)),"",Actuals!D14)</f>
        <v/>
      </c>
      <c r="H11" s="509">
        <f>IF(OR(2&gt;$B$3,ISBLANK(Actuals!D14)),"",Budget!D14-Actuals!D14)</f>
        <v/>
      </c>
      <c r="I11" s="509">
        <f>IFERROR(IF(OR(2&gt;$B$3,ISBLANK(Actuals!D14)),"",(Budget!D14-Actuals!D14)/ABS(Budget!D14)),"")</f>
        <v/>
      </c>
      <c r="J11" s="508">
        <f>Budget!E14</f>
        <v/>
      </c>
      <c r="K11" s="508">
        <f>IF(OR(3&gt;$B$3,ISBLANK(Actuals!E14)),"",Actuals!E14)</f>
        <v/>
      </c>
      <c r="L11" s="509">
        <f>IF(OR(3&gt;$B$3,ISBLANK(Actuals!E14)),"",Budget!E14-Actuals!E14)</f>
        <v/>
      </c>
      <c r="M11" s="509">
        <f>IFERROR(IF(OR(3&gt;$B$3,ISBLANK(Actuals!E14)),"",(Budget!E14-Actuals!E14)/ABS(Budget!E14)),"")</f>
        <v/>
      </c>
      <c r="N11" s="508">
        <f>Budget!F14</f>
        <v/>
      </c>
      <c r="O11" s="508">
        <f>IF(OR(4&gt;$B$3,ISBLANK(Actuals!F14)),"",Actuals!F14)</f>
        <v/>
      </c>
      <c r="P11" s="509">
        <f>IF(OR(4&gt;$B$3,ISBLANK(Actuals!F14)),"",Budget!F14-Actuals!F14)</f>
        <v/>
      </c>
      <c r="Q11" s="509">
        <f>IFERROR(IF(OR(4&gt;$B$3,ISBLANK(Actuals!F14)),"",(Budget!F14-Actuals!F14)/ABS(Budget!F14)),"")</f>
        <v/>
      </c>
      <c r="R11" s="508">
        <f>Budget!G14</f>
        <v/>
      </c>
      <c r="S11" s="508">
        <f>IF(OR(5&gt;$B$3,ISBLANK(Actuals!G14)),"",Actuals!G14)</f>
        <v/>
      </c>
      <c r="T11" s="509">
        <f>IF(OR(5&gt;$B$3,ISBLANK(Actuals!G14)),"",Budget!G14-Actuals!G14)</f>
        <v/>
      </c>
      <c r="U11" s="509">
        <f>IFERROR(IF(OR(5&gt;$B$3,ISBLANK(Actuals!G14)),"",(Budget!G14-Actuals!G14)/ABS(Budget!G14)),"")</f>
        <v/>
      </c>
      <c r="V11" s="508">
        <f>Budget!H14</f>
        <v/>
      </c>
      <c r="W11" s="508">
        <f>IF(OR(6&gt;$B$3,ISBLANK(Actuals!H14)),"",Actuals!H14)</f>
        <v/>
      </c>
      <c r="X11" s="509">
        <f>IF(OR(6&gt;$B$3,ISBLANK(Actuals!H14)),"",Budget!H14-Actuals!H14)</f>
        <v/>
      </c>
      <c r="Y11" s="509">
        <f>IFERROR(IF(OR(6&gt;$B$3,ISBLANK(Actuals!H14)),"",(Budget!H14-Actuals!H14)/ABS(Budget!H14)),"")</f>
        <v/>
      </c>
      <c r="Z11" s="508">
        <f>Budget!I14</f>
        <v/>
      </c>
      <c r="AA11" s="508">
        <f>IF(OR(7&gt;$B$3,ISBLANK(Actuals!I14)),"",Actuals!I14)</f>
        <v/>
      </c>
      <c r="AB11" s="509">
        <f>IF(OR(7&gt;$B$3,ISBLANK(Actuals!I14)),"",Budget!I14-Actuals!I14)</f>
        <v/>
      </c>
      <c r="AC11" s="509">
        <f>IFERROR(IF(OR(7&gt;$B$3,ISBLANK(Actuals!I14)),"",(Budget!I14-Actuals!I14)/ABS(Budget!I14)),"")</f>
        <v/>
      </c>
      <c r="AD11" s="508">
        <f>Budget!J14</f>
        <v/>
      </c>
      <c r="AE11" s="508">
        <f>IF(OR(8&gt;$B$3,ISBLANK(Actuals!J14)),"",Actuals!J14)</f>
        <v/>
      </c>
      <c r="AF11" s="509">
        <f>IF(OR(8&gt;$B$3,ISBLANK(Actuals!J14)),"",Budget!J14-Actuals!J14)</f>
        <v/>
      </c>
      <c r="AG11" s="509">
        <f>IFERROR(IF(OR(8&gt;$B$3,ISBLANK(Actuals!J14)),"",(Budget!J14-Actuals!J14)/ABS(Budget!J14)),"")</f>
        <v/>
      </c>
      <c r="AH11" s="508">
        <f>Budget!K14</f>
        <v/>
      </c>
      <c r="AI11" s="508">
        <f>IF(OR(9&gt;$B$3,ISBLANK(Actuals!K14)),"",Actuals!K14)</f>
        <v/>
      </c>
      <c r="AJ11" s="509">
        <f>IF(OR(9&gt;$B$3,ISBLANK(Actuals!K14)),"",Budget!K14-Actuals!K14)</f>
        <v/>
      </c>
      <c r="AK11" s="509">
        <f>IFERROR(IF(OR(9&gt;$B$3,ISBLANK(Actuals!K14)),"",(Budget!K14-Actuals!K14)/ABS(Budget!K14)),"")</f>
        <v/>
      </c>
      <c r="AL11" s="508">
        <f>Budget!L14</f>
        <v/>
      </c>
      <c r="AM11" s="508">
        <f>IF(OR(10&gt;$B$3,ISBLANK(Actuals!L14)),"",Actuals!L14)</f>
        <v/>
      </c>
      <c r="AN11" s="509">
        <f>IF(OR(10&gt;$B$3,ISBLANK(Actuals!L14)),"",Budget!L14-Actuals!L14)</f>
        <v/>
      </c>
      <c r="AO11" s="509">
        <f>IFERROR(IF(OR(10&gt;$B$3,ISBLANK(Actuals!L14)),"",(Budget!L14-Actuals!L14)/ABS(Budget!L14)),"")</f>
        <v/>
      </c>
      <c r="AP11" s="508">
        <f>Budget!M14</f>
        <v/>
      </c>
      <c r="AQ11" s="508">
        <f>IF(OR(11&gt;$B$3,ISBLANK(Actuals!M14)),"",Actuals!M14)</f>
        <v/>
      </c>
      <c r="AR11" s="509">
        <f>IF(OR(11&gt;$B$3,ISBLANK(Actuals!M14)),"",Budget!M14-Actuals!M14)</f>
        <v/>
      </c>
      <c r="AS11" s="509">
        <f>IFERROR(IF(OR(11&gt;$B$3,ISBLANK(Actuals!M14)),"",(Budget!M14-Actuals!M14)/ABS(Budget!M14)),"")</f>
        <v/>
      </c>
      <c r="AT11" s="508">
        <f>Budget!N14</f>
        <v/>
      </c>
      <c r="AU11" s="508">
        <f>IF(OR(12&gt;$B$3,ISBLANK(Actuals!N14)),"",Actuals!N14)</f>
        <v/>
      </c>
      <c r="AV11" s="509">
        <f>IF(OR(12&gt;$B$3,ISBLANK(Actuals!N14)),"",Budget!N14-Actuals!N14)</f>
        <v/>
      </c>
      <c r="AW11" s="509">
        <f>IFERROR(IF(OR(12&gt;$B$3,ISBLANK(Actuals!N14)),"",(Budget!N14-Actuals!N14)/ABS(Budget!N14)),"")</f>
        <v/>
      </c>
      <c r="AX11" s="510">
        <f>SUMPRODUCT((Actuals!C14:N14&lt;&gt;"")*(Budget!C14:N14))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Budget!C15</f>
        <v/>
      </c>
      <c r="C12" s="508">
        <f>IF(OR(1&gt;$B$3,ISBLANK(Actuals!C15)),"",Actuals!C15)</f>
        <v/>
      </c>
      <c r="D12" s="509">
        <f>IF(OR(1&gt;$B$3,ISBLANK(Actuals!C15)),"",Budget!C15-Actuals!C15)</f>
        <v/>
      </c>
      <c r="E12" s="509">
        <f>IFERROR(IF(OR(1&gt;$B$3,ISBLANK(Actuals!C15)),"",(Budget!C15-Actuals!C15)/ABS(Budget!C15)),"")</f>
        <v/>
      </c>
      <c r="F12" s="508">
        <f>Budget!D15</f>
        <v/>
      </c>
      <c r="G12" s="508">
        <f>IF(OR(2&gt;$B$3,ISBLANK(Actuals!D15)),"",Actuals!D15)</f>
        <v/>
      </c>
      <c r="H12" s="509">
        <f>IF(OR(2&gt;$B$3,ISBLANK(Actuals!D15)),"",Budget!D15-Actuals!D15)</f>
        <v/>
      </c>
      <c r="I12" s="509">
        <f>IFERROR(IF(OR(2&gt;$B$3,ISBLANK(Actuals!D15)),"",(Budget!D15-Actuals!D15)/ABS(Budget!D15)),"")</f>
        <v/>
      </c>
      <c r="J12" s="508">
        <f>Budget!E15</f>
        <v/>
      </c>
      <c r="K12" s="508">
        <f>IF(OR(3&gt;$B$3,ISBLANK(Actuals!E15)),"",Actuals!E15)</f>
        <v/>
      </c>
      <c r="L12" s="509">
        <f>IF(OR(3&gt;$B$3,ISBLANK(Actuals!E15)),"",Budget!E15-Actuals!E15)</f>
        <v/>
      </c>
      <c r="M12" s="509">
        <f>IFERROR(IF(OR(3&gt;$B$3,ISBLANK(Actuals!E15)),"",(Budget!E15-Actuals!E15)/ABS(Budget!E15)),"")</f>
        <v/>
      </c>
      <c r="N12" s="508">
        <f>Budget!F15</f>
        <v/>
      </c>
      <c r="O12" s="508">
        <f>IF(OR(4&gt;$B$3,ISBLANK(Actuals!F15)),"",Actuals!F15)</f>
        <v/>
      </c>
      <c r="P12" s="509">
        <f>IF(OR(4&gt;$B$3,ISBLANK(Actuals!F15)),"",Budget!F15-Actuals!F15)</f>
        <v/>
      </c>
      <c r="Q12" s="509">
        <f>IFERROR(IF(OR(4&gt;$B$3,ISBLANK(Actuals!F15)),"",(Budget!F15-Actuals!F15)/ABS(Budget!F15)),"")</f>
        <v/>
      </c>
      <c r="R12" s="508">
        <f>Budget!G15</f>
        <v/>
      </c>
      <c r="S12" s="508">
        <f>IF(OR(5&gt;$B$3,ISBLANK(Actuals!G15)),"",Actuals!G15)</f>
        <v/>
      </c>
      <c r="T12" s="509">
        <f>IF(OR(5&gt;$B$3,ISBLANK(Actuals!G15)),"",Budget!G15-Actuals!G15)</f>
        <v/>
      </c>
      <c r="U12" s="509">
        <f>IFERROR(IF(OR(5&gt;$B$3,ISBLANK(Actuals!G15)),"",(Budget!G15-Actuals!G15)/ABS(Budget!G15)),"")</f>
        <v/>
      </c>
      <c r="V12" s="508">
        <f>Budget!H15</f>
        <v/>
      </c>
      <c r="W12" s="508">
        <f>IF(OR(6&gt;$B$3,ISBLANK(Actuals!H15)),"",Actuals!H15)</f>
        <v/>
      </c>
      <c r="X12" s="509">
        <f>IF(OR(6&gt;$B$3,ISBLANK(Actuals!H15)),"",Budget!H15-Actuals!H15)</f>
        <v/>
      </c>
      <c r="Y12" s="509">
        <f>IFERROR(IF(OR(6&gt;$B$3,ISBLANK(Actuals!H15)),"",(Budget!H15-Actuals!H15)/ABS(Budget!H15)),"")</f>
        <v/>
      </c>
      <c r="Z12" s="508">
        <f>Budget!I15</f>
        <v/>
      </c>
      <c r="AA12" s="508">
        <f>IF(OR(7&gt;$B$3,ISBLANK(Actuals!I15)),"",Actuals!I15)</f>
        <v/>
      </c>
      <c r="AB12" s="509">
        <f>IF(OR(7&gt;$B$3,ISBLANK(Actuals!I15)),"",Budget!I15-Actuals!I15)</f>
        <v/>
      </c>
      <c r="AC12" s="509">
        <f>IFERROR(IF(OR(7&gt;$B$3,ISBLANK(Actuals!I15)),"",(Budget!I15-Actuals!I15)/ABS(Budget!I15)),"")</f>
        <v/>
      </c>
      <c r="AD12" s="508">
        <f>Budget!J15</f>
        <v/>
      </c>
      <c r="AE12" s="508">
        <f>IF(OR(8&gt;$B$3,ISBLANK(Actuals!J15)),"",Actuals!J15)</f>
        <v/>
      </c>
      <c r="AF12" s="509">
        <f>IF(OR(8&gt;$B$3,ISBLANK(Actuals!J15)),"",Budget!J15-Actuals!J15)</f>
        <v/>
      </c>
      <c r="AG12" s="509">
        <f>IFERROR(IF(OR(8&gt;$B$3,ISBLANK(Actuals!J15)),"",(Budget!J15-Actuals!J15)/ABS(Budget!J15)),"")</f>
        <v/>
      </c>
      <c r="AH12" s="508">
        <f>Budget!K15</f>
        <v/>
      </c>
      <c r="AI12" s="508">
        <f>IF(OR(9&gt;$B$3,ISBLANK(Actuals!K15)),"",Actuals!K15)</f>
        <v/>
      </c>
      <c r="AJ12" s="509">
        <f>IF(OR(9&gt;$B$3,ISBLANK(Actuals!K15)),"",Budget!K15-Actuals!K15)</f>
        <v/>
      </c>
      <c r="AK12" s="509">
        <f>IFERROR(IF(OR(9&gt;$B$3,ISBLANK(Actuals!K15)),"",(Budget!K15-Actuals!K15)/ABS(Budget!K15)),"")</f>
        <v/>
      </c>
      <c r="AL12" s="508">
        <f>Budget!L15</f>
        <v/>
      </c>
      <c r="AM12" s="508">
        <f>IF(OR(10&gt;$B$3,ISBLANK(Actuals!L15)),"",Actuals!L15)</f>
        <v/>
      </c>
      <c r="AN12" s="509">
        <f>IF(OR(10&gt;$B$3,ISBLANK(Actuals!L15)),"",Budget!L15-Actuals!L15)</f>
        <v/>
      </c>
      <c r="AO12" s="509">
        <f>IFERROR(IF(OR(10&gt;$B$3,ISBLANK(Actuals!L15)),"",(Budget!L15-Actuals!L15)/ABS(Budget!L15)),"")</f>
        <v/>
      </c>
      <c r="AP12" s="508">
        <f>Budget!M15</f>
        <v/>
      </c>
      <c r="AQ12" s="508">
        <f>IF(OR(11&gt;$B$3,ISBLANK(Actuals!M15)),"",Actuals!M15)</f>
        <v/>
      </c>
      <c r="AR12" s="509">
        <f>IF(OR(11&gt;$B$3,ISBLANK(Actuals!M15)),"",Budget!M15-Actuals!M15)</f>
        <v/>
      </c>
      <c r="AS12" s="509">
        <f>IFERROR(IF(OR(11&gt;$B$3,ISBLANK(Actuals!M15)),"",(Budget!M15-Actuals!M15)/ABS(Budget!M15)),"")</f>
        <v/>
      </c>
      <c r="AT12" s="508">
        <f>Budget!N15</f>
        <v/>
      </c>
      <c r="AU12" s="508">
        <f>IF(OR(12&gt;$B$3,ISBLANK(Actuals!N15)),"",Actuals!N15)</f>
        <v/>
      </c>
      <c r="AV12" s="509">
        <f>IF(OR(12&gt;$B$3,ISBLANK(Actuals!N15)),"",Budget!N15-Actuals!N15)</f>
        <v/>
      </c>
      <c r="AW12" s="509">
        <f>IFERROR(IF(OR(12&gt;$B$3,ISBLANK(Actuals!N15)),"",(Budget!N15-Actuals!N15)/ABS(Budget!N15)),"")</f>
        <v/>
      </c>
      <c r="AX12" s="510">
        <f>SUMPRODUCT((Actuals!C15:N15&lt;&gt;"")*(Budget!C15:N15))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Budget!C16</f>
        <v/>
      </c>
      <c r="C13" s="508">
        <f>IF(OR(1&gt;$B$3,ISBLANK(Actuals!C16)),"",Actuals!C16)</f>
        <v/>
      </c>
      <c r="D13" s="509">
        <f>IF(OR(1&gt;$B$3,ISBLANK(Actuals!C16)),"",Budget!C16-Actuals!C16)</f>
        <v/>
      </c>
      <c r="E13" s="509">
        <f>IFERROR(IF(OR(1&gt;$B$3,ISBLANK(Actuals!C16)),"",(Budget!C16-Actuals!C16)/ABS(Budget!C16)),"")</f>
        <v/>
      </c>
      <c r="F13" s="508">
        <f>Budget!D16</f>
        <v/>
      </c>
      <c r="G13" s="508">
        <f>IF(OR(2&gt;$B$3,ISBLANK(Actuals!D16)),"",Actuals!D16)</f>
        <v/>
      </c>
      <c r="H13" s="509">
        <f>IF(OR(2&gt;$B$3,ISBLANK(Actuals!D16)),"",Budget!D16-Actuals!D16)</f>
        <v/>
      </c>
      <c r="I13" s="509">
        <f>IFERROR(IF(OR(2&gt;$B$3,ISBLANK(Actuals!D16)),"",(Budget!D16-Actuals!D16)/ABS(Budget!D16)),"")</f>
        <v/>
      </c>
      <c r="J13" s="508">
        <f>Budget!E16</f>
        <v/>
      </c>
      <c r="K13" s="508">
        <f>IF(OR(3&gt;$B$3,ISBLANK(Actuals!E16)),"",Actuals!E16)</f>
        <v/>
      </c>
      <c r="L13" s="509">
        <f>IF(OR(3&gt;$B$3,ISBLANK(Actuals!E16)),"",Budget!E16-Actuals!E16)</f>
        <v/>
      </c>
      <c r="M13" s="509">
        <f>IFERROR(IF(OR(3&gt;$B$3,ISBLANK(Actuals!E16)),"",(Budget!E16-Actuals!E16)/ABS(Budget!E16)),"")</f>
        <v/>
      </c>
      <c r="N13" s="508">
        <f>Budget!F16</f>
        <v/>
      </c>
      <c r="O13" s="508">
        <f>IF(OR(4&gt;$B$3,ISBLANK(Actuals!F16)),"",Actuals!F16)</f>
        <v/>
      </c>
      <c r="P13" s="509">
        <f>IF(OR(4&gt;$B$3,ISBLANK(Actuals!F16)),"",Budget!F16-Actuals!F16)</f>
        <v/>
      </c>
      <c r="Q13" s="509">
        <f>IFERROR(IF(OR(4&gt;$B$3,ISBLANK(Actuals!F16)),"",(Budget!F16-Actuals!F16)/ABS(Budget!F16)),"")</f>
        <v/>
      </c>
      <c r="R13" s="508">
        <f>Budget!G16</f>
        <v/>
      </c>
      <c r="S13" s="508">
        <f>IF(OR(5&gt;$B$3,ISBLANK(Actuals!G16)),"",Actuals!G16)</f>
        <v/>
      </c>
      <c r="T13" s="509">
        <f>IF(OR(5&gt;$B$3,ISBLANK(Actuals!G16)),"",Budget!G16-Actuals!G16)</f>
        <v/>
      </c>
      <c r="U13" s="509">
        <f>IFERROR(IF(OR(5&gt;$B$3,ISBLANK(Actuals!G16)),"",(Budget!G16-Actuals!G16)/ABS(Budget!G16)),"")</f>
        <v/>
      </c>
      <c r="V13" s="508">
        <f>Budget!H16</f>
        <v/>
      </c>
      <c r="W13" s="508">
        <f>IF(OR(6&gt;$B$3,ISBLANK(Actuals!H16)),"",Actuals!H16)</f>
        <v/>
      </c>
      <c r="X13" s="509">
        <f>IF(OR(6&gt;$B$3,ISBLANK(Actuals!H16)),"",Budget!H16-Actuals!H16)</f>
        <v/>
      </c>
      <c r="Y13" s="509">
        <f>IFERROR(IF(OR(6&gt;$B$3,ISBLANK(Actuals!H16)),"",(Budget!H16-Actuals!H16)/ABS(Budget!H16)),"")</f>
        <v/>
      </c>
      <c r="Z13" s="508">
        <f>Budget!I16</f>
        <v/>
      </c>
      <c r="AA13" s="508">
        <f>IF(OR(7&gt;$B$3,ISBLANK(Actuals!I16)),"",Actuals!I16)</f>
        <v/>
      </c>
      <c r="AB13" s="509">
        <f>IF(OR(7&gt;$B$3,ISBLANK(Actuals!I16)),"",Budget!I16-Actuals!I16)</f>
        <v/>
      </c>
      <c r="AC13" s="509">
        <f>IFERROR(IF(OR(7&gt;$B$3,ISBLANK(Actuals!I16)),"",(Budget!I16-Actuals!I16)/ABS(Budget!I16)),"")</f>
        <v/>
      </c>
      <c r="AD13" s="508">
        <f>Budget!J16</f>
        <v/>
      </c>
      <c r="AE13" s="508">
        <f>IF(OR(8&gt;$B$3,ISBLANK(Actuals!J16)),"",Actuals!J16)</f>
        <v/>
      </c>
      <c r="AF13" s="509">
        <f>IF(OR(8&gt;$B$3,ISBLANK(Actuals!J16)),"",Budget!J16-Actuals!J16)</f>
        <v/>
      </c>
      <c r="AG13" s="509">
        <f>IFERROR(IF(OR(8&gt;$B$3,ISBLANK(Actuals!J16)),"",(Budget!J16-Actuals!J16)/ABS(Budget!J16)),"")</f>
        <v/>
      </c>
      <c r="AH13" s="508">
        <f>Budget!K16</f>
        <v/>
      </c>
      <c r="AI13" s="508">
        <f>IF(OR(9&gt;$B$3,ISBLANK(Actuals!K16)),"",Actuals!K16)</f>
        <v/>
      </c>
      <c r="AJ13" s="509">
        <f>IF(OR(9&gt;$B$3,ISBLANK(Actuals!K16)),"",Budget!K16-Actuals!K16)</f>
        <v/>
      </c>
      <c r="AK13" s="509">
        <f>IFERROR(IF(OR(9&gt;$B$3,ISBLANK(Actuals!K16)),"",(Budget!K16-Actuals!K16)/ABS(Budget!K16)),"")</f>
        <v/>
      </c>
      <c r="AL13" s="508">
        <f>Budget!L16</f>
        <v/>
      </c>
      <c r="AM13" s="508">
        <f>IF(OR(10&gt;$B$3,ISBLANK(Actuals!L16)),"",Actuals!L16)</f>
        <v/>
      </c>
      <c r="AN13" s="509">
        <f>IF(OR(10&gt;$B$3,ISBLANK(Actuals!L16)),"",Budget!L16-Actuals!L16)</f>
        <v/>
      </c>
      <c r="AO13" s="509">
        <f>IFERROR(IF(OR(10&gt;$B$3,ISBLANK(Actuals!L16)),"",(Budget!L16-Actuals!L16)/ABS(Budget!L16)),"")</f>
        <v/>
      </c>
      <c r="AP13" s="508">
        <f>Budget!M16</f>
        <v/>
      </c>
      <c r="AQ13" s="508">
        <f>IF(OR(11&gt;$B$3,ISBLANK(Actuals!M16)),"",Actuals!M16)</f>
        <v/>
      </c>
      <c r="AR13" s="509">
        <f>IF(OR(11&gt;$B$3,ISBLANK(Actuals!M16)),"",Budget!M16-Actuals!M16)</f>
        <v/>
      </c>
      <c r="AS13" s="509">
        <f>IFERROR(IF(OR(11&gt;$B$3,ISBLANK(Actuals!M16)),"",(Budget!M16-Actuals!M16)/ABS(Budget!M16)),"")</f>
        <v/>
      </c>
      <c r="AT13" s="508">
        <f>Budget!N16</f>
        <v/>
      </c>
      <c r="AU13" s="508">
        <f>IF(OR(12&gt;$B$3,ISBLANK(Actuals!N16)),"",Actuals!N16)</f>
        <v/>
      </c>
      <c r="AV13" s="509">
        <f>IF(OR(12&gt;$B$3,ISBLANK(Actuals!N16)),"",Budget!N16-Actuals!N16)</f>
        <v/>
      </c>
      <c r="AW13" s="509">
        <f>IFERROR(IF(OR(12&gt;$B$3,ISBLANK(Actuals!N16)),"",(Budget!N16-Actuals!N16)/ABS(Budget!N16)),"")</f>
        <v/>
      </c>
      <c r="AX13" s="510">
        <f>SUMPRODUCT((Actuals!C16:N16&lt;&gt;"")*(Budget!C16:N16))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Budget!C17</f>
        <v/>
      </c>
      <c r="C14" s="508">
        <f>IF(OR(1&gt;$B$3,ISBLANK(Actuals!C17)),"",Actuals!C17)</f>
        <v/>
      </c>
      <c r="D14" s="509">
        <f>IF(OR(1&gt;$B$3,ISBLANK(Actuals!C17)),"",Budget!C17-Actuals!C17)</f>
        <v/>
      </c>
      <c r="E14" s="509">
        <f>IFERROR(IF(OR(1&gt;$B$3,ISBLANK(Actuals!C17)),"",(Budget!C17-Actuals!C17)/ABS(Budget!C17)),"")</f>
        <v/>
      </c>
      <c r="F14" s="508">
        <f>Budget!D17</f>
        <v/>
      </c>
      <c r="G14" s="508">
        <f>IF(OR(2&gt;$B$3,ISBLANK(Actuals!D17)),"",Actuals!D17)</f>
        <v/>
      </c>
      <c r="H14" s="509">
        <f>IF(OR(2&gt;$B$3,ISBLANK(Actuals!D17)),"",Budget!D17-Actuals!D17)</f>
        <v/>
      </c>
      <c r="I14" s="509">
        <f>IFERROR(IF(OR(2&gt;$B$3,ISBLANK(Actuals!D17)),"",(Budget!D17-Actuals!D17)/ABS(Budget!D17)),"")</f>
        <v/>
      </c>
      <c r="J14" s="508">
        <f>Budget!E17</f>
        <v/>
      </c>
      <c r="K14" s="508">
        <f>IF(OR(3&gt;$B$3,ISBLANK(Actuals!E17)),"",Actuals!E17)</f>
        <v/>
      </c>
      <c r="L14" s="509">
        <f>IF(OR(3&gt;$B$3,ISBLANK(Actuals!E17)),"",Budget!E17-Actuals!E17)</f>
        <v/>
      </c>
      <c r="M14" s="509">
        <f>IFERROR(IF(OR(3&gt;$B$3,ISBLANK(Actuals!E17)),"",(Budget!E17-Actuals!E17)/ABS(Budget!E17)),"")</f>
        <v/>
      </c>
      <c r="N14" s="508">
        <f>Budget!F17</f>
        <v/>
      </c>
      <c r="O14" s="508">
        <f>IF(OR(4&gt;$B$3,ISBLANK(Actuals!F17)),"",Actuals!F17)</f>
        <v/>
      </c>
      <c r="P14" s="509">
        <f>IF(OR(4&gt;$B$3,ISBLANK(Actuals!F17)),"",Budget!F17-Actuals!F17)</f>
        <v/>
      </c>
      <c r="Q14" s="509">
        <f>IFERROR(IF(OR(4&gt;$B$3,ISBLANK(Actuals!F17)),"",(Budget!F17-Actuals!F17)/ABS(Budget!F17)),"")</f>
        <v/>
      </c>
      <c r="R14" s="508">
        <f>Budget!G17</f>
        <v/>
      </c>
      <c r="S14" s="508">
        <f>IF(OR(5&gt;$B$3,ISBLANK(Actuals!G17)),"",Actuals!G17)</f>
        <v/>
      </c>
      <c r="T14" s="509">
        <f>IF(OR(5&gt;$B$3,ISBLANK(Actuals!G17)),"",Budget!G17-Actuals!G17)</f>
        <v/>
      </c>
      <c r="U14" s="509">
        <f>IFERROR(IF(OR(5&gt;$B$3,ISBLANK(Actuals!G17)),"",(Budget!G17-Actuals!G17)/ABS(Budget!G17)),"")</f>
        <v/>
      </c>
      <c r="V14" s="508">
        <f>Budget!H17</f>
        <v/>
      </c>
      <c r="W14" s="508">
        <f>IF(OR(6&gt;$B$3,ISBLANK(Actuals!H17)),"",Actuals!H17)</f>
        <v/>
      </c>
      <c r="X14" s="509">
        <f>IF(OR(6&gt;$B$3,ISBLANK(Actuals!H17)),"",Budget!H17-Actuals!H17)</f>
        <v/>
      </c>
      <c r="Y14" s="509">
        <f>IFERROR(IF(OR(6&gt;$B$3,ISBLANK(Actuals!H17)),"",(Budget!H17-Actuals!H17)/ABS(Budget!H17)),"")</f>
        <v/>
      </c>
      <c r="Z14" s="508">
        <f>Budget!I17</f>
        <v/>
      </c>
      <c r="AA14" s="508">
        <f>IF(OR(7&gt;$B$3,ISBLANK(Actuals!I17)),"",Actuals!I17)</f>
        <v/>
      </c>
      <c r="AB14" s="509">
        <f>IF(OR(7&gt;$B$3,ISBLANK(Actuals!I17)),"",Budget!I17-Actuals!I17)</f>
        <v/>
      </c>
      <c r="AC14" s="509">
        <f>IFERROR(IF(OR(7&gt;$B$3,ISBLANK(Actuals!I17)),"",(Budget!I17-Actuals!I17)/ABS(Budget!I17)),"")</f>
        <v/>
      </c>
      <c r="AD14" s="508">
        <f>Budget!J17</f>
        <v/>
      </c>
      <c r="AE14" s="508">
        <f>IF(OR(8&gt;$B$3,ISBLANK(Actuals!J17)),"",Actuals!J17)</f>
        <v/>
      </c>
      <c r="AF14" s="509">
        <f>IF(OR(8&gt;$B$3,ISBLANK(Actuals!J17)),"",Budget!J17-Actuals!J17)</f>
        <v/>
      </c>
      <c r="AG14" s="509">
        <f>IFERROR(IF(OR(8&gt;$B$3,ISBLANK(Actuals!J17)),"",(Budget!J17-Actuals!J17)/ABS(Budget!J17)),"")</f>
        <v/>
      </c>
      <c r="AH14" s="508">
        <f>Budget!K17</f>
        <v/>
      </c>
      <c r="AI14" s="508">
        <f>IF(OR(9&gt;$B$3,ISBLANK(Actuals!K17)),"",Actuals!K17)</f>
        <v/>
      </c>
      <c r="AJ14" s="509">
        <f>IF(OR(9&gt;$B$3,ISBLANK(Actuals!K17)),"",Budget!K17-Actuals!K17)</f>
        <v/>
      </c>
      <c r="AK14" s="509">
        <f>IFERROR(IF(OR(9&gt;$B$3,ISBLANK(Actuals!K17)),"",(Budget!K17-Actuals!K17)/ABS(Budget!K17)),"")</f>
        <v/>
      </c>
      <c r="AL14" s="508">
        <f>Budget!L17</f>
        <v/>
      </c>
      <c r="AM14" s="508">
        <f>IF(OR(10&gt;$B$3,ISBLANK(Actuals!L17)),"",Actuals!L17)</f>
        <v/>
      </c>
      <c r="AN14" s="509">
        <f>IF(OR(10&gt;$B$3,ISBLANK(Actuals!L17)),"",Budget!L17-Actuals!L17)</f>
        <v/>
      </c>
      <c r="AO14" s="509">
        <f>IFERROR(IF(OR(10&gt;$B$3,ISBLANK(Actuals!L17)),"",(Budget!L17-Actuals!L17)/ABS(Budget!L17)),"")</f>
        <v/>
      </c>
      <c r="AP14" s="508">
        <f>Budget!M17</f>
        <v/>
      </c>
      <c r="AQ14" s="508">
        <f>IF(OR(11&gt;$B$3,ISBLANK(Actuals!M17)),"",Actuals!M17)</f>
        <v/>
      </c>
      <c r="AR14" s="509">
        <f>IF(OR(11&gt;$B$3,ISBLANK(Actuals!M17)),"",Budget!M17-Actuals!M17)</f>
        <v/>
      </c>
      <c r="AS14" s="509">
        <f>IFERROR(IF(OR(11&gt;$B$3,ISBLANK(Actuals!M17)),"",(Budget!M17-Actuals!M17)/ABS(Budget!M17)),"")</f>
        <v/>
      </c>
      <c r="AT14" s="508">
        <f>Budget!N17</f>
        <v/>
      </c>
      <c r="AU14" s="508">
        <f>IF(OR(12&gt;$B$3,ISBLANK(Actuals!N17)),"",Actuals!N17)</f>
        <v/>
      </c>
      <c r="AV14" s="509">
        <f>IF(OR(12&gt;$B$3,ISBLANK(Actuals!N17)),"",Budget!N17-Actuals!N17)</f>
        <v/>
      </c>
      <c r="AW14" s="509">
        <f>IFERROR(IF(OR(12&gt;$B$3,ISBLANK(Actuals!N17)),"",(Budget!N17-Actuals!N17)/ABS(Budget!N17)),"")</f>
        <v/>
      </c>
      <c r="AX14" s="510">
        <f>SUMPRODUCT((Actuals!C17:N17&lt;&gt;"")*(Budget!C17:N17))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Budget!C21</f>
        <v/>
      </c>
      <c r="C15" s="508">
        <f>IF(OR(1&gt;$B$3,ISBLANK(Actuals!C21)),"",Actuals!C21)</f>
        <v/>
      </c>
      <c r="D15" s="509">
        <f>IF(OR(1&gt;$B$3,ISBLANK(Actuals!C21)),"",Budget!C21-Actuals!C21)</f>
        <v/>
      </c>
      <c r="E15" s="509">
        <f>IFERROR(IF(OR(1&gt;$B$3,ISBLANK(Actuals!C21)),"",(Budget!C21-Actuals!C21)/ABS(Budget!C21)),"")</f>
        <v/>
      </c>
      <c r="F15" s="508">
        <f>Budget!D21</f>
        <v/>
      </c>
      <c r="G15" s="508">
        <f>IF(OR(2&gt;$B$3,ISBLANK(Actuals!D21)),"",Actuals!D21)</f>
        <v/>
      </c>
      <c r="H15" s="509">
        <f>IF(OR(2&gt;$B$3,ISBLANK(Actuals!D21)),"",Budget!D21-Actuals!D21)</f>
        <v/>
      </c>
      <c r="I15" s="509">
        <f>IFERROR(IF(OR(2&gt;$B$3,ISBLANK(Actuals!D21)),"",(Budget!D21-Actuals!D21)/ABS(Budget!D21)),"")</f>
        <v/>
      </c>
      <c r="J15" s="508">
        <f>Budget!E21</f>
        <v/>
      </c>
      <c r="K15" s="508">
        <f>IF(OR(3&gt;$B$3,ISBLANK(Actuals!E21)),"",Actuals!E21)</f>
        <v/>
      </c>
      <c r="L15" s="509">
        <f>IF(OR(3&gt;$B$3,ISBLANK(Actuals!E21)),"",Budget!E21-Actuals!E21)</f>
        <v/>
      </c>
      <c r="M15" s="509">
        <f>IFERROR(IF(OR(3&gt;$B$3,ISBLANK(Actuals!E21)),"",(Budget!E21-Actuals!E21)/ABS(Budget!E21)),"")</f>
        <v/>
      </c>
      <c r="N15" s="508">
        <f>Budget!F21</f>
        <v/>
      </c>
      <c r="O15" s="508">
        <f>IF(OR(4&gt;$B$3,ISBLANK(Actuals!F21)),"",Actuals!F21)</f>
        <v/>
      </c>
      <c r="P15" s="509">
        <f>IF(OR(4&gt;$B$3,ISBLANK(Actuals!F21)),"",Budget!F21-Actuals!F21)</f>
        <v/>
      </c>
      <c r="Q15" s="509">
        <f>IFERROR(IF(OR(4&gt;$B$3,ISBLANK(Actuals!F21)),"",(Budget!F21-Actuals!F21)/ABS(Budget!F21)),"")</f>
        <v/>
      </c>
      <c r="R15" s="508">
        <f>Budget!G21</f>
        <v/>
      </c>
      <c r="S15" s="508">
        <f>IF(OR(5&gt;$B$3,ISBLANK(Actuals!G21)),"",Actuals!G21)</f>
        <v/>
      </c>
      <c r="T15" s="509">
        <f>IF(OR(5&gt;$B$3,ISBLANK(Actuals!G21)),"",Budget!G21-Actuals!G21)</f>
        <v/>
      </c>
      <c r="U15" s="509">
        <f>IFERROR(IF(OR(5&gt;$B$3,ISBLANK(Actuals!G21)),"",(Budget!G21-Actuals!G21)/ABS(Budget!G21)),"")</f>
        <v/>
      </c>
      <c r="V15" s="508">
        <f>Budget!H21</f>
        <v/>
      </c>
      <c r="W15" s="508">
        <f>IF(OR(6&gt;$B$3,ISBLANK(Actuals!H21)),"",Actuals!H21)</f>
        <v/>
      </c>
      <c r="X15" s="509">
        <f>IF(OR(6&gt;$B$3,ISBLANK(Actuals!H21)),"",Budget!H21-Actuals!H21)</f>
        <v/>
      </c>
      <c r="Y15" s="509">
        <f>IFERROR(IF(OR(6&gt;$B$3,ISBLANK(Actuals!H21)),"",(Budget!H21-Actuals!H21)/ABS(Budget!H21)),"")</f>
        <v/>
      </c>
      <c r="Z15" s="508">
        <f>Budget!I21</f>
        <v/>
      </c>
      <c r="AA15" s="508">
        <f>IF(OR(7&gt;$B$3,ISBLANK(Actuals!I21)),"",Actuals!I21)</f>
        <v/>
      </c>
      <c r="AB15" s="509">
        <f>IF(OR(7&gt;$B$3,ISBLANK(Actuals!I21)),"",Budget!I21-Actuals!I21)</f>
        <v/>
      </c>
      <c r="AC15" s="509">
        <f>IFERROR(IF(OR(7&gt;$B$3,ISBLANK(Actuals!I21)),"",(Budget!I21-Actuals!I21)/ABS(Budget!I21)),"")</f>
        <v/>
      </c>
      <c r="AD15" s="508">
        <f>Budget!J21</f>
        <v/>
      </c>
      <c r="AE15" s="508">
        <f>IF(OR(8&gt;$B$3,ISBLANK(Actuals!J21)),"",Actuals!J21)</f>
        <v/>
      </c>
      <c r="AF15" s="509">
        <f>IF(OR(8&gt;$B$3,ISBLANK(Actuals!J21)),"",Budget!J21-Actuals!J21)</f>
        <v/>
      </c>
      <c r="AG15" s="509">
        <f>IFERROR(IF(OR(8&gt;$B$3,ISBLANK(Actuals!J21)),"",(Budget!J21-Actuals!J21)/ABS(Budget!J21)),"")</f>
        <v/>
      </c>
      <c r="AH15" s="508">
        <f>Budget!K21</f>
        <v/>
      </c>
      <c r="AI15" s="508">
        <f>IF(OR(9&gt;$B$3,ISBLANK(Actuals!K21)),"",Actuals!K21)</f>
        <v/>
      </c>
      <c r="AJ15" s="509">
        <f>IF(OR(9&gt;$B$3,ISBLANK(Actuals!K21)),"",Budget!K21-Actuals!K21)</f>
        <v/>
      </c>
      <c r="AK15" s="509">
        <f>IFERROR(IF(OR(9&gt;$B$3,ISBLANK(Actuals!K21)),"",(Budget!K21-Actuals!K21)/ABS(Budget!K21)),"")</f>
        <v/>
      </c>
      <c r="AL15" s="508">
        <f>Budget!L21</f>
        <v/>
      </c>
      <c r="AM15" s="508">
        <f>IF(OR(10&gt;$B$3,ISBLANK(Actuals!L21)),"",Actuals!L21)</f>
        <v/>
      </c>
      <c r="AN15" s="509">
        <f>IF(OR(10&gt;$B$3,ISBLANK(Actuals!L21)),"",Budget!L21-Actuals!L21)</f>
        <v/>
      </c>
      <c r="AO15" s="509">
        <f>IFERROR(IF(OR(10&gt;$B$3,ISBLANK(Actuals!L21)),"",(Budget!L21-Actuals!L21)/ABS(Budget!L21)),"")</f>
        <v/>
      </c>
      <c r="AP15" s="508">
        <f>Budget!M21</f>
        <v/>
      </c>
      <c r="AQ15" s="508">
        <f>IF(OR(11&gt;$B$3,ISBLANK(Actuals!M21)),"",Actuals!M21)</f>
        <v/>
      </c>
      <c r="AR15" s="509">
        <f>IF(OR(11&gt;$B$3,ISBLANK(Actuals!M21)),"",Budget!M21-Actuals!M21)</f>
        <v/>
      </c>
      <c r="AS15" s="509">
        <f>IFERROR(IF(OR(11&gt;$B$3,ISBLANK(Actuals!M21)),"",(Budget!M21-Actuals!M21)/ABS(Budget!M21)),"")</f>
        <v/>
      </c>
      <c r="AT15" s="508">
        <f>Budget!N21</f>
        <v/>
      </c>
      <c r="AU15" s="508">
        <f>IF(OR(12&gt;$B$3,ISBLANK(Actuals!N21)),"",Actuals!N21)</f>
        <v/>
      </c>
      <c r="AV15" s="509">
        <f>IF(OR(12&gt;$B$3,ISBLANK(Actuals!N21)),"",Budget!N21-Actuals!N21)</f>
        <v/>
      </c>
      <c r="AW15" s="509">
        <f>IFERROR(IF(OR(12&gt;$B$3,ISBLANK(Actuals!N21)),"",(Budget!N21-Actuals!N21)/ABS(Budget!N21)),"")</f>
        <v/>
      </c>
      <c r="AX15" s="510">
        <f>SUMPRODUCT((Actuals!C21:N21&lt;&gt;"")*(Budget!C21:N21))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Budget!C22</f>
        <v/>
      </c>
      <c r="C16" s="508">
        <f>IF(OR(1&gt;$B$3,ISBLANK(Actuals!C22)),"",Actuals!C22)</f>
        <v/>
      </c>
      <c r="D16" s="509">
        <f>IF(OR(1&gt;$B$3,ISBLANK(Actuals!C22)),"",Budget!C22-Actuals!C22)</f>
        <v/>
      </c>
      <c r="E16" s="509">
        <f>IFERROR(IF(OR(1&gt;$B$3,ISBLANK(Actuals!C22)),"",(Budget!C22-Actuals!C22)/ABS(Budget!C22)),"")</f>
        <v/>
      </c>
      <c r="F16" s="508">
        <f>Budget!D22</f>
        <v/>
      </c>
      <c r="G16" s="508">
        <f>IF(OR(2&gt;$B$3,ISBLANK(Actuals!D22)),"",Actuals!D22)</f>
        <v/>
      </c>
      <c r="H16" s="509">
        <f>IF(OR(2&gt;$B$3,ISBLANK(Actuals!D22)),"",Budget!D22-Actuals!D22)</f>
        <v/>
      </c>
      <c r="I16" s="509">
        <f>IFERROR(IF(OR(2&gt;$B$3,ISBLANK(Actuals!D22)),"",(Budget!D22-Actuals!D22)/ABS(Budget!D22)),"")</f>
        <v/>
      </c>
      <c r="J16" s="508">
        <f>Budget!E22</f>
        <v/>
      </c>
      <c r="K16" s="508">
        <f>IF(OR(3&gt;$B$3,ISBLANK(Actuals!E22)),"",Actuals!E22)</f>
        <v/>
      </c>
      <c r="L16" s="509">
        <f>IF(OR(3&gt;$B$3,ISBLANK(Actuals!E22)),"",Budget!E22-Actuals!E22)</f>
        <v/>
      </c>
      <c r="M16" s="509">
        <f>IFERROR(IF(OR(3&gt;$B$3,ISBLANK(Actuals!E22)),"",(Budget!E22-Actuals!E22)/ABS(Budget!E22)),"")</f>
        <v/>
      </c>
      <c r="N16" s="508">
        <f>Budget!F22</f>
        <v/>
      </c>
      <c r="O16" s="508">
        <f>IF(OR(4&gt;$B$3,ISBLANK(Actuals!F22)),"",Actuals!F22)</f>
        <v/>
      </c>
      <c r="P16" s="509">
        <f>IF(OR(4&gt;$B$3,ISBLANK(Actuals!F22)),"",Budget!F22-Actuals!F22)</f>
        <v/>
      </c>
      <c r="Q16" s="509">
        <f>IFERROR(IF(OR(4&gt;$B$3,ISBLANK(Actuals!F22)),"",(Budget!F22-Actuals!F22)/ABS(Budget!F22)),"")</f>
        <v/>
      </c>
      <c r="R16" s="508">
        <f>Budget!G22</f>
        <v/>
      </c>
      <c r="S16" s="508">
        <f>IF(OR(5&gt;$B$3,ISBLANK(Actuals!G22)),"",Actuals!G22)</f>
        <v/>
      </c>
      <c r="T16" s="509">
        <f>IF(OR(5&gt;$B$3,ISBLANK(Actuals!G22)),"",Budget!G22-Actuals!G22)</f>
        <v/>
      </c>
      <c r="U16" s="509">
        <f>IFERROR(IF(OR(5&gt;$B$3,ISBLANK(Actuals!G22)),"",(Budget!G22-Actuals!G22)/ABS(Budget!G22)),"")</f>
        <v/>
      </c>
      <c r="V16" s="508">
        <f>Budget!H22</f>
        <v/>
      </c>
      <c r="W16" s="508">
        <f>IF(OR(6&gt;$B$3,ISBLANK(Actuals!H22)),"",Actuals!H22)</f>
        <v/>
      </c>
      <c r="X16" s="509">
        <f>IF(OR(6&gt;$B$3,ISBLANK(Actuals!H22)),"",Budget!H22-Actuals!H22)</f>
        <v/>
      </c>
      <c r="Y16" s="509">
        <f>IFERROR(IF(OR(6&gt;$B$3,ISBLANK(Actuals!H22)),"",(Budget!H22-Actuals!H22)/ABS(Budget!H22)),"")</f>
        <v/>
      </c>
      <c r="Z16" s="508">
        <f>Budget!I22</f>
        <v/>
      </c>
      <c r="AA16" s="508">
        <f>IF(OR(7&gt;$B$3,ISBLANK(Actuals!I22)),"",Actuals!I22)</f>
        <v/>
      </c>
      <c r="AB16" s="509">
        <f>IF(OR(7&gt;$B$3,ISBLANK(Actuals!I22)),"",Budget!I22-Actuals!I22)</f>
        <v/>
      </c>
      <c r="AC16" s="509">
        <f>IFERROR(IF(OR(7&gt;$B$3,ISBLANK(Actuals!I22)),"",(Budget!I22-Actuals!I22)/ABS(Budget!I22)),"")</f>
        <v/>
      </c>
      <c r="AD16" s="508">
        <f>Budget!J22</f>
        <v/>
      </c>
      <c r="AE16" s="508">
        <f>IF(OR(8&gt;$B$3,ISBLANK(Actuals!J22)),"",Actuals!J22)</f>
        <v/>
      </c>
      <c r="AF16" s="509">
        <f>IF(OR(8&gt;$B$3,ISBLANK(Actuals!J22)),"",Budget!J22-Actuals!J22)</f>
        <v/>
      </c>
      <c r="AG16" s="509">
        <f>IFERROR(IF(OR(8&gt;$B$3,ISBLANK(Actuals!J22)),"",(Budget!J22-Actuals!J22)/ABS(Budget!J22)),"")</f>
        <v/>
      </c>
      <c r="AH16" s="508">
        <f>Budget!K22</f>
        <v/>
      </c>
      <c r="AI16" s="508">
        <f>IF(OR(9&gt;$B$3,ISBLANK(Actuals!K22)),"",Actuals!K22)</f>
        <v/>
      </c>
      <c r="AJ16" s="509">
        <f>IF(OR(9&gt;$B$3,ISBLANK(Actuals!K22)),"",Budget!K22-Actuals!K22)</f>
        <v/>
      </c>
      <c r="AK16" s="509">
        <f>IFERROR(IF(OR(9&gt;$B$3,ISBLANK(Actuals!K22)),"",(Budget!K22-Actuals!K22)/ABS(Budget!K22)),"")</f>
        <v/>
      </c>
      <c r="AL16" s="508">
        <f>Budget!L22</f>
        <v/>
      </c>
      <c r="AM16" s="508">
        <f>IF(OR(10&gt;$B$3,ISBLANK(Actuals!L22)),"",Actuals!L22)</f>
        <v/>
      </c>
      <c r="AN16" s="509">
        <f>IF(OR(10&gt;$B$3,ISBLANK(Actuals!L22)),"",Budget!L22-Actuals!L22)</f>
        <v/>
      </c>
      <c r="AO16" s="509">
        <f>IFERROR(IF(OR(10&gt;$B$3,ISBLANK(Actuals!L22)),"",(Budget!L22-Actuals!L22)/ABS(Budget!L22)),"")</f>
        <v/>
      </c>
      <c r="AP16" s="508">
        <f>Budget!M22</f>
        <v/>
      </c>
      <c r="AQ16" s="508">
        <f>IF(OR(11&gt;$B$3,ISBLANK(Actuals!M22)),"",Actuals!M22)</f>
        <v/>
      </c>
      <c r="AR16" s="509">
        <f>IF(OR(11&gt;$B$3,ISBLANK(Actuals!M22)),"",Budget!M22-Actuals!M22)</f>
        <v/>
      </c>
      <c r="AS16" s="509">
        <f>IFERROR(IF(OR(11&gt;$B$3,ISBLANK(Actuals!M22)),"",(Budget!M22-Actuals!M22)/ABS(Budget!M22)),"")</f>
        <v/>
      </c>
      <c r="AT16" s="508">
        <f>Budget!N22</f>
        <v/>
      </c>
      <c r="AU16" s="508">
        <f>IF(OR(12&gt;$B$3,ISBLANK(Actuals!N22)),"",Actuals!N22)</f>
        <v/>
      </c>
      <c r="AV16" s="509">
        <f>IF(OR(12&gt;$B$3,ISBLANK(Actuals!N22)),"",Budget!N22-Actuals!N22)</f>
        <v/>
      </c>
      <c r="AW16" s="509">
        <f>IFERROR(IF(OR(12&gt;$B$3,ISBLANK(Actuals!N22)),"",(Budget!N22-Actuals!N22)/ABS(Budget!N22)),"")</f>
        <v/>
      </c>
      <c r="AX16" s="510">
        <f>SUMPRODUCT((Actuals!C22:N22&lt;&gt;"")*(Budget!C22:N22))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Budget!C23</f>
        <v/>
      </c>
      <c r="C17" s="508">
        <f>IF(OR(1&gt;$B$3,ISBLANK(Actuals!C23)),"",Actuals!C23)</f>
        <v/>
      </c>
      <c r="D17" s="509">
        <f>IF(OR(1&gt;$B$3,ISBLANK(Actuals!C23)),"",Budget!C23-Actuals!C23)</f>
        <v/>
      </c>
      <c r="E17" s="509">
        <f>IFERROR(IF(OR(1&gt;$B$3,ISBLANK(Actuals!C23)),"",(Budget!C23-Actuals!C23)/ABS(Budget!C23)),"")</f>
        <v/>
      </c>
      <c r="F17" s="508">
        <f>Budget!D23</f>
        <v/>
      </c>
      <c r="G17" s="508">
        <f>IF(OR(2&gt;$B$3,ISBLANK(Actuals!D23)),"",Actuals!D23)</f>
        <v/>
      </c>
      <c r="H17" s="509">
        <f>IF(OR(2&gt;$B$3,ISBLANK(Actuals!D23)),"",Budget!D23-Actuals!D23)</f>
        <v/>
      </c>
      <c r="I17" s="509">
        <f>IFERROR(IF(OR(2&gt;$B$3,ISBLANK(Actuals!D23)),"",(Budget!D23-Actuals!D23)/ABS(Budget!D23)),"")</f>
        <v/>
      </c>
      <c r="J17" s="508">
        <f>Budget!E23</f>
        <v/>
      </c>
      <c r="K17" s="508">
        <f>IF(OR(3&gt;$B$3,ISBLANK(Actuals!E23)),"",Actuals!E23)</f>
        <v/>
      </c>
      <c r="L17" s="509">
        <f>IF(OR(3&gt;$B$3,ISBLANK(Actuals!E23)),"",Budget!E23-Actuals!E23)</f>
        <v/>
      </c>
      <c r="M17" s="509">
        <f>IFERROR(IF(OR(3&gt;$B$3,ISBLANK(Actuals!E23)),"",(Budget!E23-Actuals!E23)/ABS(Budget!E23)),"")</f>
        <v/>
      </c>
      <c r="N17" s="508">
        <f>Budget!F23</f>
        <v/>
      </c>
      <c r="O17" s="508">
        <f>IF(OR(4&gt;$B$3,ISBLANK(Actuals!F23)),"",Actuals!F23)</f>
        <v/>
      </c>
      <c r="P17" s="509">
        <f>IF(OR(4&gt;$B$3,ISBLANK(Actuals!F23)),"",Budget!F23-Actuals!F23)</f>
        <v/>
      </c>
      <c r="Q17" s="509">
        <f>IFERROR(IF(OR(4&gt;$B$3,ISBLANK(Actuals!F23)),"",(Budget!F23-Actuals!F23)/ABS(Budget!F23)),"")</f>
        <v/>
      </c>
      <c r="R17" s="508">
        <f>Budget!G23</f>
        <v/>
      </c>
      <c r="S17" s="508">
        <f>IF(OR(5&gt;$B$3,ISBLANK(Actuals!G23)),"",Actuals!G23)</f>
        <v/>
      </c>
      <c r="T17" s="509">
        <f>IF(OR(5&gt;$B$3,ISBLANK(Actuals!G23)),"",Budget!G23-Actuals!G23)</f>
        <v/>
      </c>
      <c r="U17" s="509">
        <f>IFERROR(IF(OR(5&gt;$B$3,ISBLANK(Actuals!G23)),"",(Budget!G23-Actuals!G23)/ABS(Budget!G23)),"")</f>
        <v/>
      </c>
      <c r="V17" s="508">
        <f>Budget!H23</f>
        <v/>
      </c>
      <c r="W17" s="508">
        <f>IF(OR(6&gt;$B$3,ISBLANK(Actuals!H23)),"",Actuals!H23)</f>
        <v/>
      </c>
      <c r="X17" s="509">
        <f>IF(OR(6&gt;$B$3,ISBLANK(Actuals!H23)),"",Budget!H23-Actuals!H23)</f>
        <v/>
      </c>
      <c r="Y17" s="509">
        <f>IFERROR(IF(OR(6&gt;$B$3,ISBLANK(Actuals!H23)),"",(Budget!H23-Actuals!H23)/ABS(Budget!H23)),"")</f>
        <v/>
      </c>
      <c r="Z17" s="508">
        <f>Budget!I23</f>
        <v/>
      </c>
      <c r="AA17" s="508">
        <f>IF(OR(7&gt;$B$3,ISBLANK(Actuals!I23)),"",Actuals!I23)</f>
        <v/>
      </c>
      <c r="AB17" s="509">
        <f>IF(OR(7&gt;$B$3,ISBLANK(Actuals!I23)),"",Budget!I23-Actuals!I23)</f>
        <v/>
      </c>
      <c r="AC17" s="509">
        <f>IFERROR(IF(OR(7&gt;$B$3,ISBLANK(Actuals!I23)),"",(Budget!I23-Actuals!I23)/ABS(Budget!I23)),"")</f>
        <v/>
      </c>
      <c r="AD17" s="508">
        <f>Budget!J23</f>
        <v/>
      </c>
      <c r="AE17" s="508">
        <f>IF(OR(8&gt;$B$3,ISBLANK(Actuals!J23)),"",Actuals!J23)</f>
        <v/>
      </c>
      <c r="AF17" s="509">
        <f>IF(OR(8&gt;$B$3,ISBLANK(Actuals!J23)),"",Budget!J23-Actuals!J23)</f>
        <v/>
      </c>
      <c r="AG17" s="509">
        <f>IFERROR(IF(OR(8&gt;$B$3,ISBLANK(Actuals!J23)),"",(Budget!J23-Actuals!J23)/ABS(Budget!J23)),"")</f>
        <v/>
      </c>
      <c r="AH17" s="508">
        <f>Budget!K23</f>
        <v/>
      </c>
      <c r="AI17" s="508">
        <f>IF(OR(9&gt;$B$3,ISBLANK(Actuals!K23)),"",Actuals!K23)</f>
        <v/>
      </c>
      <c r="AJ17" s="509">
        <f>IF(OR(9&gt;$B$3,ISBLANK(Actuals!K23)),"",Budget!K23-Actuals!K23)</f>
        <v/>
      </c>
      <c r="AK17" s="509">
        <f>IFERROR(IF(OR(9&gt;$B$3,ISBLANK(Actuals!K23)),"",(Budget!K23-Actuals!K23)/ABS(Budget!K23)),"")</f>
        <v/>
      </c>
      <c r="AL17" s="508">
        <f>Budget!L23</f>
        <v/>
      </c>
      <c r="AM17" s="508">
        <f>IF(OR(10&gt;$B$3,ISBLANK(Actuals!L23)),"",Actuals!L23)</f>
        <v/>
      </c>
      <c r="AN17" s="509">
        <f>IF(OR(10&gt;$B$3,ISBLANK(Actuals!L23)),"",Budget!L23-Actuals!L23)</f>
        <v/>
      </c>
      <c r="AO17" s="509">
        <f>IFERROR(IF(OR(10&gt;$B$3,ISBLANK(Actuals!L23)),"",(Budget!L23-Actuals!L23)/ABS(Budget!L23)),"")</f>
        <v/>
      </c>
      <c r="AP17" s="508">
        <f>Budget!M23</f>
        <v/>
      </c>
      <c r="AQ17" s="508">
        <f>IF(OR(11&gt;$B$3,ISBLANK(Actuals!M23)),"",Actuals!M23)</f>
        <v/>
      </c>
      <c r="AR17" s="509">
        <f>IF(OR(11&gt;$B$3,ISBLANK(Actuals!M23)),"",Budget!M23-Actuals!M23)</f>
        <v/>
      </c>
      <c r="AS17" s="509">
        <f>IFERROR(IF(OR(11&gt;$B$3,ISBLANK(Actuals!M23)),"",(Budget!M23-Actuals!M23)/ABS(Budget!M23)),"")</f>
        <v/>
      </c>
      <c r="AT17" s="508">
        <f>Budget!N23</f>
        <v/>
      </c>
      <c r="AU17" s="508">
        <f>IF(OR(12&gt;$B$3,ISBLANK(Actuals!N23)),"",Actuals!N23)</f>
        <v/>
      </c>
      <c r="AV17" s="509">
        <f>IF(OR(12&gt;$B$3,ISBLANK(Actuals!N23)),"",Budget!N23-Actuals!N23)</f>
        <v/>
      </c>
      <c r="AW17" s="509">
        <f>IFERROR(IF(OR(12&gt;$B$3,ISBLANK(Actuals!N23)),"",(Budget!N23-Actuals!N23)/ABS(Budget!N23)),"")</f>
        <v/>
      </c>
      <c r="AX17" s="510">
        <f>SUMPRODUCT((Actuals!C23:N23&lt;&gt;"")*(Budget!C23:N23))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Budget!C24</f>
        <v/>
      </c>
      <c r="C18" s="508">
        <f>IF(OR(1&gt;$B$3,ISBLANK(Actuals!C24)),"",Actuals!C24)</f>
        <v/>
      </c>
      <c r="D18" s="509">
        <f>IF(OR(1&gt;$B$3,ISBLANK(Actuals!C24)),"",Budget!C24-Actuals!C24)</f>
        <v/>
      </c>
      <c r="E18" s="509">
        <f>IFERROR(IF(OR(1&gt;$B$3,ISBLANK(Actuals!C24)),"",(Budget!C24-Actuals!C24)/ABS(Budget!C24)),"")</f>
        <v/>
      </c>
      <c r="F18" s="508">
        <f>Budget!D24</f>
        <v/>
      </c>
      <c r="G18" s="508">
        <f>IF(OR(2&gt;$B$3,ISBLANK(Actuals!D24)),"",Actuals!D24)</f>
        <v/>
      </c>
      <c r="H18" s="509">
        <f>IF(OR(2&gt;$B$3,ISBLANK(Actuals!D24)),"",Budget!D24-Actuals!D24)</f>
        <v/>
      </c>
      <c r="I18" s="509">
        <f>IFERROR(IF(OR(2&gt;$B$3,ISBLANK(Actuals!D24)),"",(Budget!D24-Actuals!D24)/ABS(Budget!D24)),"")</f>
        <v/>
      </c>
      <c r="J18" s="508">
        <f>Budget!E24</f>
        <v/>
      </c>
      <c r="K18" s="508">
        <f>IF(OR(3&gt;$B$3,ISBLANK(Actuals!E24)),"",Actuals!E24)</f>
        <v/>
      </c>
      <c r="L18" s="509">
        <f>IF(OR(3&gt;$B$3,ISBLANK(Actuals!E24)),"",Budget!E24-Actuals!E24)</f>
        <v/>
      </c>
      <c r="M18" s="509">
        <f>IFERROR(IF(OR(3&gt;$B$3,ISBLANK(Actuals!E24)),"",(Budget!E24-Actuals!E24)/ABS(Budget!E24)),"")</f>
        <v/>
      </c>
      <c r="N18" s="508">
        <f>Budget!F24</f>
        <v/>
      </c>
      <c r="O18" s="508">
        <f>IF(OR(4&gt;$B$3,ISBLANK(Actuals!F24)),"",Actuals!F24)</f>
        <v/>
      </c>
      <c r="P18" s="509">
        <f>IF(OR(4&gt;$B$3,ISBLANK(Actuals!F24)),"",Budget!F24-Actuals!F24)</f>
        <v/>
      </c>
      <c r="Q18" s="509">
        <f>IFERROR(IF(OR(4&gt;$B$3,ISBLANK(Actuals!F24)),"",(Budget!F24-Actuals!F24)/ABS(Budget!F24)),"")</f>
        <v/>
      </c>
      <c r="R18" s="508">
        <f>Budget!G24</f>
        <v/>
      </c>
      <c r="S18" s="508">
        <f>IF(OR(5&gt;$B$3,ISBLANK(Actuals!G24)),"",Actuals!G24)</f>
        <v/>
      </c>
      <c r="T18" s="509">
        <f>IF(OR(5&gt;$B$3,ISBLANK(Actuals!G24)),"",Budget!G24-Actuals!G24)</f>
        <v/>
      </c>
      <c r="U18" s="509">
        <f>IFERROR(IF(OR(5&gt;$B$3,ISBLANK(Actuals!G24)),"",(Budget!G24-Actuals!G24)/ABS(Budget!G24)),"")</f>
        <v/>
      </c>
      <c r="V18" s="508">
        <f>Budget!H24</f>
        <v/>
      </c>
      <c r="W18" s="508">
        <f>IF(OR(6&gt;$B$3,ISBLANK(Actuals!H24)),"",Actuals!H24)</f>
        <v/>
      </c>
      <c r="X18" s="509">
        <f>IF(OR(6&gt;$B$3,ISBLANK(Actuals!H24)),"",Budget!H24-Actuals!H24)</f>
        <v/>
      </c>
      <c r="Y18" s="509">
        <f>IFERROR(IF(OR(6&gt;$B$3,ISBLANK(Actuals!H24)),"",(Budget!H24-Actuals!H24)/ABS(Budget!H24)),"")</f>
        <v/>
      </c>
      <c r="Z18" s="508">
        <f>Budget!I24</f>
        <v/>
      </c>
      <c r="AA18" s="508">
        <f>IF(OR(7&gt;$B$3,ISBLANK(Actuals!I24)),"",Actuals!I24)</f>
        <v/>
      </c>
      <c r="AB18" s="509">
        <f>IF(OR(7&gt;$B$3,ISBLANK(Actuals!I24)),"",Budget!I24-Actuals!I24)</f>
        <v/>
      </c>
      <c r="AC18" s="509">
        <f>IFERROR(IF(OR(7&gt;$B$3,ISBLANK(Actuals!I24)),"",(Budget!I24-Actuals!I24)/ABS(Budget!I24)),"")</f>
        <v/>
      </c>
      <c r="AD18" s="508">
        <f>Budget!J24</f>
        <v/>
      </c>
      <c r="AE18" s="508">
        <f>IF(OR(8&gt;$B$3,ISBLANK(Actuals!J24)),"",Actuals!J24)</f>
        <v/>
      </c>
      <c r="AF18" s="509">
        <f>IF(OR(8&gt;$B$3,ISBLANK(Actuals!J24)),"",Budget!J24-Actuals!J24)</f>
        <v/>
      </c>
      <c r="AG18" s="509">
        <f>IFERROR(IF(OR(8&gt;$B$3,ISBLANK(Actuals!J24)),"",(Budget!J24-Actuals!J24)/ABS(Budget!J24)),"")</f>
        <v/>
      </c>
      <c r="AH18" s="508">
        <f>Budget!K24</f>
        <v/>
      </c>
      <c r="AI18" s="508">
        <f>IF(OR(9&gt;$B$3,ISBLANK(Actuals!K24)),"",Actuals!K24)</f>
        <v/>
      </c>
      <c r="AJ18" s="509">
        <f>IF(OR(9&gt;$B$3,ISBLANK(Actuals!K24)),"",Budget!K24-Actuals!K24)</f>
        <v/>
      </c>
      <c r="AK18" s="509">
        <f>IFERROR(IF(OR(9&gt;$B$3,ISBLANK(Actuals!K24)),"",(Budget!K24-Actuals!K24)/ABS(Budget!K24)),"")</f>
        <v/>
      </c>
      <c r="AL18" s="508">
        <f>Budget!L24</f>
        <v/>
      </c>
      <c r="AM18" s="508">
        <f>IF(OR(10&gt;$B$3,ISBLANK(Actuals!L24)),"",Actuals!L24)</f>
        <v/>
      </c>
      <c r="AN18" s="509">
        <f>IF(OR(10&gt;$B$3,ISBLANK(Actuals!L24)),"",Budget!L24-Actuals!L24)</f>
        <v/>
      </c>
      <c r="AO18" s="509">
        <f>IFERROR(IF(OR(10&gt;$B$3,ISBLANK(Actuals!L24)),"",(Budget!L24-Actuals!L24)/ABS(Budget!L24)),"")</f>
        <v/>
      </c>
      <c r="AP18" s="508">
        <f>Budget!M24</f>
        <v/>
      </c>
      <c r="AQ18" s="508">
        <f>IF(OR(11&gt;$B$3,ISBLANK(Actuals!M24)),"",Actuals!M24)</f>
        <v/>
      </c>
      <c r="AR18" s="509">
        <f>IF(OR(11&gt;$B$3,ISBLANK(Actuals!M24)),"",Budget!M24-Actuals!M24)</f>
        <v/>
      </c>
      <c r="AS18" s="509">
        <f>IFERROR(IF(OR(11&gt;$B$3,ISBLANK(Actuals!M24)),"",(Budget!M24-Actuals!M24)/ABS(Budget!M24)),"")</f>
        <v/>
      </c>
      <c r="AT18" s="508">
        <f>Budget!N24</f>
        <v/>
      </c>
      <c r="AU18" s="508">
        <f>IF(OR(12&gt;$B$3,ISBLANK(Actuals!N24)),"",Actuals!N24)</f>
        <v/>
      </c>
      <c r="AV18" s="509">
        <f>IF(OR(12&gt;$B$3,ISBLANK(Actuals!N24)),"",Budget!N24-Actuals!N24)</f>
        <v/>
      </c>
      <c r="AW18" s="509">
        <f>IFERROR(IF(OR(12&gt;$B$3,ISBLANK(Actuals!N24)),"",(Budget!N24-Actuals!N24)/ABS(Budget!N24)),"")</f>
        <v/>
      </c>
      <c r="AX18" s="510">
        <f>SUMPRODUCT((Actuals!C24:N24&lt;&gt;"")*(Budget!C24:N24))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Budget!C25</f>
        <v/>
      </c>
      <c r="C19" s="508">
        <f>IF(OR(1&gt;$B$3,ISBLANK(Actuals!C25)),"",Actuals!C25)</f>
        <v/>
      </c>
      <c r="D19" s="509">
        <f>IF(OR(1&gt;$B$3,ISBLANK(Actuals!C25)),"",Budget!C25-Actuals!C25)</f>
        <v/>
      </c>
      <c r="E19" s="509">
        <f>IFERROR(IF(OR(1&gt;$B$3,ISBLANK(Actuals!C25)),"",(Budget!C25-Actuals!C25)/ABS(Budget!C25)),"")</f>
        <v/>
      </c>
      <c r="F19" s="508">
        <f>Budget!D25</f>
        <v/>
      </c>
      <c r="G19" s="508">
        <f>IF(OR(2&gt;$B$3,ISBLANK(Actuals!D25)),"",Actuals!D25)</f>
        <v/>
      </c>
      <c r="H19" s="509">
        <f>IF(OR(2&gt;$B$3,ISBLANK(Actuals!D25)),"",Budget!D25-Actuals!D25)</f>
        <v/>
      </c>
      <c r="I19" s="509">
        <f>IFERROR(IF(OR(2&gt;$B$3,ISBLANK(Actuals!D25)),"",(Budget!D25-Actuals!D25)/ABS(Budget!D25)),"")</f>
        <v/>
      </c>
      <c r="J19" s="508">
        <f>Budget!E25</f>
        <v/>
      </c>
      <c r="K19" s="508">
        <f>IF(OR(3&gt;$B$3,ISBLANK(Actuals!E25)),"",Actuals!E25)</f>
        <v/>
      </c>
      <c r="L19" s="509">
        <f>IF(OR(3&gt;$B$3,ISBLANK(Actuals!E25)),"",Budget!E25-Actuals!E25)</f>
        <v/>
      </c>
      <c r="M19" s="509">
        <f>IFERROR(IF(OR(3&gt;$B$3,ISBLANK(Actuals!E25)),"",(Budget!E25-Actuals!E25)/ABS(Budget!E25)),"")</f>
        <v/>
      </c>
      <c r="N19" s="508">
        <f>Budget!F25</f>
        <v/>
      </c>
      <c r="O19" s="508">
        <f>IF(OR(4&gt;$B$3,ISBLANK(Actuals!F25)),"",Actuals!F25)</f>
        <v/>
      </c>
      <c r="P19" s="509">
        <f>IF(OR(4&gt;$B$3,ISBLANK(Actuals!F25)),"",Budget!F25-Actuals!F25)</f>
        <v/>
      </c>
      <c r="Q19" s="509">
        <f>IFERROR(IF(OR(4&gt;$B$3,ISBLANK(Actuals!F25)),"",(Budget!F25-Actuals!F25)/ABS(Budget!F25)),"")</f>
        <v/>
      </c>
      <c r="R19" s="508">
        <f>Budget!G25</f>
        <v/>
      </c>
      <c r="S19" s="508">
        <f>IF(OR(5&gt;$B$3,ISBLANK(Actuals!G25)),"",Actuals!G25)</f>
        <v/>
      </c>
      <c r="T19" s="509">
        <f>IF(OR(5&gt;$B$3,ISBLANK(Actuals!G25)),"",Budget!G25-Actuals!G25)</f>
        <v/>
      </c>
      <c r="U19" s="509">
        <f>IFERROR(IF(OR(5&gt;$B$3,ISBLANK(Actuals!G25)),"",(Budget!G25-Actuals!G25)/ABS(Budget!G25)),"")</f>
        <v/>
      </c>
      <c r="V19" s="508">
        <f>Budget!H25</f>
        <v/>
      </c>
      <c r="W19" s="508">
        <f>IF(OR(6&gt;$B$3,ISBLANK(Actuals!H25)),"",Actuals!H25)</f>
        <v/>
      </c>
      <c r="X19" s="509">
        <f>IF(OR(6&gt;$B$3,ISBLANK(Actuals!H25)),"",Budget!H25-Actuals!H25)</f>
        <v/>
      </c>
      <c r="Y19" s="509">
        <f>IFERROR(IF(OR(6&gt;$B$3,ISBLANK(Actuals!H25)),"",(Budget!H25-Actuals!H25)/ABS(Budget!H25)),"")</f>
        <v/>
      </c>
      <c r="Z19" s="508">
        <f>Budget!I25</f>
        <v/>
      </c>
      <c r="AA19" s="508">
        <f>IF(OR(7&gt;$B$3,ISBLANK(Actuals!I25)),"",Actuals!I25)</f>
        <v/>
      </c>
      <c r="AB19" s="509">
        <f>IF(OR(7&gt;$B$3,ISBLANK(Actuals!I25)),"",Budget!I25-Actuals!I25)</f>
        <v/>
      </c>
      <c r="AC19" s="509">
        <f>IFERROR(IF(OR(7&gt;$B$3,ISBLANK(Actuals!I25)),"",(Budget!I25-Actuals!I25)/ABS(Budget!I25)),"")</f>
        <v/>
      </c>
      <c r="AD19" s="508">
        <f>Budget!J25</f>
        <v/>
      </c>
      <c r="AE19" s="508">
        <f>IF(OR(8&gt;$B$3,ISBLANK(Actuals!J25)),"",Actuals!J25)</f>
        <v/>
      </c>
      <c r="AF19" s="509">
        <f>IF(OR(8&gt;$B$3,ISBLANK(Actuals!J25)),"",Budget!J25-Actuals!J25)</f>
        <v/>
      </c>
      <c r="AG19" s="509">
        <f>IFERROR(IF(OR(8&gt;$B$3,ISBLANK(Actuals!J25)),"",(Budget!J25-Actuals!J25)/ABS(Budget!J25)),"")</f>
        <v/>
      </c>
      <c r="AH19" s="508">
        <f>Budget!K25</f>
        <v/>
      </c>
      <c r="AI19" s="508">
        <f>IF(OR(9&gt;$B$3,ISBLANK(Actuals!K25)),"",Actuals!K25)</f>
        <v/>
      </c>
      <c r="AJ19" s="509">
        <f>IF(OR(9&gt;$B$3,ISBLANK(Actuals!K25)),"",Budget!K25-Actuals!K25)</f>
        <v/>
      </c>
      <c r="AK19" s="509">
        <f>IFERROR(IF(OR(9&gt;$B$3,ISBLANK(Actuals!K25)),"",(Budget!K25-Actuals!K25)/ABS(Budget!K25)),"")</f>
        <v/>
      </c>
      <c r="AL19" s="508">
        <f>Budget!L25</f>
        <v/>
      </c>
      <c r="AM19" s="508">
        <f>IF(OR(10&gt;$B$3,ISBLANK(Actuals!L25)),"",Actuals!L25)</f>
        <v/>
      </c>
      <c r="AN19" s="509">
        <f>IF(OR(10&gt;$B$3,ISBLANK(Actuals!L25)),"",Budget!L25-Actuals!L25)</f>
        <v/>
      </c>
      <c r="AO19" s="509">
        <f>IFERROR(IF(OR(10&gt;$B$3,ISBLANK(Actuals!L25)),"",(Budget!L25-Actuals!L25)/ABS(Budget!L25)),"")</f>
        <v/>
      </c>
      <c r="AP19" s="508">
        <f>Budget!M25</f>
        <v/>
      </c>
      <c r="AQ19" s="508">
        <f>IF(OR(11&gt;$B$3,ISBLANK(Actuals!M25)),"",Actuals!M25)</f>
        <v/>
      </c>
      <c r="AR19" s="509">
        <f>IF(OR(11&gt;$B$3,ISBLANK(Actuals!M25)),"",Budget!M25-Actuals!M25)</f>
        <v/>
      </c>
      <c r="AS19" s="509">
        <f>IFERROR(IF(OR(11&gt;$B$3,ISBLANK(Actuals!M25)),"",(Budget!M25-Actuals!M25)/ABS(Budget!M25)),"")</f>
        <v/>
      </c>
      <c r="AT19" s="508">
        <f>Budget!N25</f>
        <v/>
      </c>
      <c r="AU19" s="508">
        <f>IF(OR(12&gt;$B$3,ISBLANK(Actuals!N25)),"",Actuals!N25)</f>
        <v/>
      </c>
      <c r="AV19" s="509">
        <f>IF(OR(12&gt;$B$3,ISBLANK(Actuals!N25)),"",Budget!N25-Actuals!N25)</f>
        <v/>
      </c>
      <c r="AW19" s="509">
        <f>IFERROR(IF(OR(12&gt;$B$3,ISBLANK(Actuals!N25)),"",(Budget!N25-Actuals!N25)/ABS(Budget!N25)),"")</f>
        <v/>
      </c>
      <c r="AX19" s="510">
        <f>SUMPRODUCT((Actuals!C25:N25&lt;&gt;"")*(Budget!C25:N25))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Budget!C26</f>
        <v/>
      </c>
      <c r="C20" s="508">
        <f>IF(OR(1&gt;$B$3,ISBLANK(Actuals!C26)),"",Actuals!C26)</f>
        <v/>
      </c>
      <c r="D20" s="509">
        <f>IF(OR(1&gt;$B$3,ISBLANK(Actuals!C26)),"",Budget!C26-Actuals!C26)</f>
        <v/>
      </c>
      <c r="E20" s="509">
        <f>IFERROR(IF(OR(1&gt;$B$3,ISBLANK(Actuals!C26)),"",(Budget!C26-Actuals!C26)/ABS(Budget!C26)),"")</f>
        <v/>
      </c>
      <c r="F20" s="508">
        <f>Budget!D26</f>
        <v/>
      </c>
      <c r="G20" s="508">
        <f>IF(OR(2&gt;$B$3,ISBLANK(Actuals!D26)),"",Actuals!D26)</f>
        <v/>
      </c>
      <c r="H20" s="509">
        <f>IF(OR(2&gt;$B$3,ISBLANK(Actuals!D26)),"",Budget!D26-Actuals!D26)</f>
        <v/>
      </c>
      <c r="I20" s="509">
        <f>IFERROR(IF(OR(2&gt;$B$3,ISBLANK(Actuals!D26)),"",(Budget!D26-Actuals!D26)/ABS(Budget!D26)),"")</f>
        <v/>
      </c>
      <c r="J20" s="508">
        <f>Budget!E26</f>
        <v/>
      </c>
      <c r="K20" s="508">
        <f>IF(OR(3&gt;$B$3,ISBLANK(Actuals!E26)),"",Actuals!E26)</f>
        <v/>
      </c>
      <c r="L20" s="509">
        <f>IF(OR(3&gt;$B$3,ISBLANK(Actuals!E26)),"",Budget!E26-Actuals!E26)</f>
        <v/>
      </c>
      <c r="M20" s="509">
        <f>IFERROR(IF(OR(3&gt;$B$3,ISBLANK(Actuals!E26)),"",(Budget!E26-Actuals!E26)/ABS(Budget!E26)),"")</f>
        <v/>
      </c>
      <c r="N20" s="508">
        <f>Budget!F26</f>
        <v/>
      </c>
      <c r="O20" s="508">
        <f>IF(OR(4&gt;$B$3,ISBLANK(Actuals!F26)),"",Actuals!F26)</f>
        <v/>
      </c>
      <c r="P20" s="509">
        <f>IF(OR(4&gt;$B$3,ISBLANK(Actuals!F26)),"",Budget!F26-Actuals!F26)</f>
        <v/>
      </c>
      <c r="Q20" s="509">
        <f>IFERROR(IF(OR(4&gt;$B$3,ISBLANK(Actuals!F26)),"",(Budget!F26-Actuals!F26)/ABS(Budget!F26)),"")</f>
        <v/>
      </c>
      <c r="R20" s="508">
        <f>Budget!G26</f>
        <v/>
      </c>
      <c r="S20" s="508">
        <f>IF(OR(5&gt;$B$3,ISBLANK(Actuals!G26)),"",Actuals!G26)</f>
        <v/>
      </c>
      <c r="T20" s="509">
        <f>IF(OR(5&gt;$B$3,ISBLANK(Actuals!G26)),"",Budget!G26-Actuals!G26)</f>
        <v/>
      </c>
      <c r="U20" s="509">
        <f>IFERROR(IF(OR(5&gt;$B$3,ISBLANK(Actuals!G26)),"",(Budget!G26-Actuals!G26)/ABS(Budget!G26)),"")</f>
        <v/>
      </c>
      <c r="V20" s="508">
        <f>Budget!H26</f>
        <v/>
      </c>
      <c r="W20" s="508">
        <f>IF(OR(6&gt;$B$3,ISBLANK(Actuals!H26)),"",Actuals!H26)</f>
        <v/>
      </c>
      <c r="X20" s="509">
        <f>IF(OR(6&gt;$B$3,ISBLANK(Actuals!H26)),"",Budget!H26-Actuals!H26)</f>
        <v/>
      </c>
      <c r="Y20" s="509">
        <f>IFERROR(IF(OR(6&gt;$B$3,ISBLANK(Actuals!H26)),"",(Budget!H26-Actuals!H26)/ABS(Budget!H26)),"")</f>
        <v/>
      </c>
      <c r="Z20" s="508">
        <f>Budget!I26</f>
        <v/>
      </c>
      <c r="AA20" s="508">
        <f>IF(OR(7&gt;$B$3,ISBLANK(Actuals!I26)),"",Actuals!I26)</f>
        <v/>
      </c>
      <c r="AB20" s="509">
        <f>IF(OR(7&gt;$B$3,ISBLANK(Actuals!I26)),"",Budget!I26-Actuals!I26)</f>
        <v/>
      </c>
      <c r="AC20" s="509">
        <f>IFERROR(IF(OR(7&gt;$B$3,ISBLANK(Actuals!I26)),"",(Budget!I26-Actuals!I26)/ABS(Budget!I26)),"")</f>
        <v/>
      </c>
      <c r="AD20" s="508">
        <f>Budget!J26</f>
        <v/>
      </c>
      <c r="AE20" s="508">
        <f>IF(OR(8&gt;$B$3,ISBLANK(Actuals!J26)),"",Actuals!J26)</f>
        <v/>
      </c>
      <c r="AF20" s="509">
        <f>IF(OR(8&gt;$B$3,ISBLANK(Actuals!J26)),"",Budget!J26-Actuals!J26)</f>
        <v/>
      </c>
      <c r="AG20" s="509">
        <f>IFERROR(IF(OR(8&gt;$B$3,ISBLANK(Actuals!J26)),"",(Budget!J26-Actuals!J26)/ABS(Budget!J26)),"")</f>
        <v/>
      </c>
      <c r="AH20" s="508">
        <f>Budget!K26</f>
        <v/>
      </c>
      <c r="AI20" s="508">
        <f>IF(OR(9&gt;$B$3,ISBLANK(Actuals!K26)),"",Actuals!K26)</f>
        <v/>
      </c>
      <c r="AJ20" s="509">
        <f>IF(OR(9&gt;$B$3,ISBLANK(Actuals!K26)),"",Budget!K26-Actuals!K26)</f>
        <v/>
      </c>
      <c r="AK20" s="509">
        <f>IFERROR(IF(OR(9&gt;$B$3,ISBLANK(Actuals!K26)),"",(Budget!K26-Actuals!K26)/ABS(Budget!K26)),"")</f>
        <v/>
      </c>
      <c r="AL20" s="508">
        <f>Budget!L26</f>
        <v/>
      </c>
      <c r="AM20" s="508">
        <f>IF(OR(10&gt;$B$3,ISBLANK(Actuals!L26)),"",Actuals!L26)</f>
        <v/>
      </c>
      <c r="AN20" s="509">
        <f>IF(OR(10&gt;$B$3,ISBLANK(Actuals!L26)),"",Budget!L26-Actuals!L26)</f>
        <v/>
      </c>
      <c r="AO20" s="509">
        <f>IFERROR(IF(OR(10&gt;$B$3,ISBLANK(Actuals!L26)),"",(Budget!L26-Actuals!L26)/ABS(Budget!L26)),"")</f>
        <v/>
      </c>
      <c r="AP20" s="508">
        <f>Budget!M26</f>
        <v/>
      </c>
      <c r="AQ20" s="508">
        <f>IF(OR(11&gt;$B$3,ISBLANK(Actuals!M26)),"",Actuals!M26)</f>
        <v/>
      </c>
      <c r="AR20" s="509">
        <f>IF(OR(11&gt;$B$3,ISBLANK(Actuals!M26)),"",Budget!M26-Actuals!M26)</f>
        <v/>
      </c>
      <c r="AS20" s="509">
        <f>IFERROR(IF(OR(11&gt;$B$3,ISBLANK(Actuals!M26)),"",(Budget!M26-Actuals!M26)/ABS(Budget!M26)),"")</f>
        <v/>
      </c>
      <c r="AT20" s="508">
        <f>Budget!N26</f>
        <v/>
      </c>
      <c r="AU20" s="508">
        <f>IF(OR(12&gt;$B$3,ISBLANK(Actuals!N26)),"",Actuals!N26)</f>
        <v/>
      </c>
      <c r="AV20" s="509">
        <f>IF(OR(12&gt;$B$3,ISBLANK(Actuals!N26)),"",Budget!N26-Actuals!N26)</f>
        <v/>
      </c>
      <c r="AW20" s="509">
        <f>IFERROR(IF(OR(12&gt;$B$3,ISBLANK(Actuals!N26)),"",(Budget!N26-Actuals!N26)/ABS(Budget!N26)),"")</f>
        <v/>
      </c>
      <c r="AX20" s="510">
        <f>SUMPRODUCT((Actuals!C26:N26&lt;&gt;"")*(Budget!C26:N26))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Budget!C27</f>
        <v/>
      </c>
      <c r="C21" s="508">
        <f>IF(OR(1&gt;$B$3,ISBLANK(Actuals!C27)),"",Actuals!C27)</f>
        <v/>
      </c>
      <c r="D21" s="509">
        <f>IF(OR(1&gt;$B$3,ISBLANK(Actuals!C27)),"",Budget!C27-Actuals!C27)</f>
        <v/>
      </c>
      <c r="E21" s="509">
        <f>IFERROR(IF(OR(1&gt;$B$3,ISBLANK(Actuals!C27)),"",(Budget!C27-Actuals!C27)/ABS(Budget!C27)),"")</f>
        <v/>
      </c>
      <c r="F21" s="508">
        <f>Budget!D27</f>
        <v/>
      </c>
      <c r="G21" s="508">
        <f>IF(OR(2&gt;$B$3,ISBLANK(Actuals!D27)),"",Actuals!D27)</f>
        <v/>
      </c>
      <c r="H21" s="509">
        <f>IF(OR(2&gt;$B$3,ISBLANK(Actuals!D27)),"",Budget!D27-Actuals!D27)</f>
        <v/>
      </c>
      <c r="I21" s="509">
        <f>IFERROR(IF(OR(2&gt;$B$3,ISBLANK(Actuals!D27)),"",(Budget!D27-Actuals!D27)/ABS(Budget!D27)),"")</f>
        <v/>
      </c>
      <c r="J21" s="508">
        <f>Budget!E27</f>
        <v/>
      </c>
      <c r="K21" s="508">
        <f>IF(OR(3&gt;$B$3,ISBLANK(Actuals!E27)),"",Actuals!E27)</f>
        <v/>
      </c>
      <c r="L21" s="509">
        <f>IF(OR(3&gt;$B$3,ISBLANK(Actuals!E27)),"",Budget!E27-Actuals!E27)</f>
        <v/>
      </c>
      <c r="M21" s="509">
        <f>IFERROR(IF(OR(3&gt;$B$3,ISBLANK(Actuals!E27)),"",(Budget!E27-Actuals!E27)/ABS(Budget!E27)),"")</f>
        <v/>
      </c>
      <c r="N21" s="508">
        <f>Budget!F27</f>
        <v/>
      </c>
      <c r="O21" s="508">
        <f>IF(OR(4&gt;$B$3,ISBLANK(Actuals!F27)),"",Actuals!F27)</f>
        <v/>
      </c>
      <c r="P21" s="509">
        <f>IF(OR(4&gt;$B$3,ISBLANK(Actuals!F27)),"",Budget!F27-Actuals!F27)</f>
        <v/>
      </c>
      <c r="Q21" s="509">
        <f>IFERROR(IF(OR(4&gt;$B$3,ISBLANK(Actuals!F27)),"",(Budget!F27-Actuals!F27)/ABS(Budget!F27)),"")</f>
        <v/>
      </c>
      <c r="R21" s="508">
        <f>Budget!G27</f>
        <v/>
      </c>
      <c r="S21" s="508">
        <f>IF(OR(5&gt;$B$3,ISBLANK(Actuals!G27)),"",Actuals!G27)</f>
        <v/>
      </c>
      <c r="T21" s="509">
        <f>IF(OR(5&gt;$B$3,ISBLANK(Actuals!G27)),"",Budget!G27-Actuals!G27)</f>
        <v/>
      </c>
      <c r="U21" s="509">
        <f>IFERROR(IF(OR(5&gt;$B$3,ISBLANK(Actuals!G27)),"",(Budget!G27-Actuals!G27)/ABS(Budget!G27)),"")</f>
        <v/>
      </c>
      <c r="V21" s="508">
        <f>Budget!H27</f>
        <v/>
      </c>
      <c r="W21" s="508">
        <f>IF(OR(6&gt;$B$3,ISBLANK(Actuals!H27)),"",Actuals!H27)</f>
        <v/>
      </c>
      <c r="X21" s="509">
        <f>IF(OR(6&gt;$B$3,ISBLANK(Actuals!H27)),"",Budget!H27-Actuals!H27)</f>
        <v/>
      </c>
      <c r="Y21" s="509">
        <f>IFERROR(IF(OR(6&gt;$B$3,ISBLANK(Actuals!H27)),"",(Budget!H27-Actuals!H27)/ABS(Budget!H27)),"")</f>
        <v/>
      </c>
      <c r="Z21" s="508">
        <f>Budget!I27</f>
        <v/>
      </c>
      <c r="AA21" s="508">
        <f>IF(OR(7&gt;$B$3,ISBLANK(Actuals!I27)),"",Actuals!I27)</f>
        <v/>
      </c>
      <c r="AB21" s="509">
        <f>IF(OR(7&gt;$B$3,ISBLANK(Actuals!I27)),"",Budget!I27-Actuals!I27)</f>
        <v/>
      </c>
      <c r="AC21" s="509">
        <f>IFERROR(IF(OR(7&gt;$B$3,ISBLANK(Actuals!I27)),"",(Budget!I27-Actuals!I27)/ABS(Budget!I27)),"")</f>
        <v/>
      </c>
      <c r="AD21" s="508">
        <f>Budget!J27</f>
        <v/>
      </c>
      <c r="AE21" s="508">
        <f>IF(OR(8&gt;$B$3,ISBLANK(Actuals!J27)),"",Actuals!J27)</f>
        <v/>
      </c>
      <c r="AF21" s="509">
        <f>IF(OR(8&gt;$B$3,ISBLANK(Actuals!J27)),"",Budget!J27-Actuals!J27)</f>
        <v/>
      </c>
      <c r="AG21" s="509">
        <f>IFERROR(IF(OR(8&gt;$B$3,ISBLANK(Actuals!J27)),"",(Budget!J27-Actuals!J27)/ABS(Budget!J27)),"")</f>
        <v/>
      </c>
      <c r="AH21" s="508">
        <f>Budget!K27</f>
        <v/>
      </c>
      <c r="AI21" s="508">
        <f>IF(OR(9&gt;$B$3,ISBLANK(Actuals!K27)),"",Actuals!K27)</f>
        <v/>
      </c>
      <c r="AJ21" s="509">
        <f>IF(OR(9&gt;$B$3,ISBLANK(Actuals!K27)),"",Budget!K27-Actuals!K27)</f>
        <v/>
      </c>
      <c r="AK21" s="509">
        <f>IFERROR(IF(OR(9&gt;$B$3,ISBLANK(Actuals!K27)),"",(Budget!K27-Actuals!K27)/ABS(Budget!K27)),"")</f>
        <v/>
      </c>
      <c r="AL21" s="508">
        <f>Budget!L27</f>
        <v/>
      </c>
      <c r="AM21" s="508">
        <f>IF(OR(10&gt;$B$3,ISBLANK(Actuals!L27)),"",Actuals!L27)</f>
        <v/>
      </c>
      <c r="AN21" s="509">
        <f>IF(OR(10&gt;$B$3,ISBLANK(Actuals!L27)),"",Budget!L27-Actuals!L27)</f>
        <v/>
      </c>
      <c r="AO21" s="509">
        <f>IFERROR(IF(OR(10&gt;$B$3,ISBLANK(Actuals!L27)),"",(Budget!L27-Actuals!L27)/ABS(Budget!L27)),"")</f>
        <v/>
      </c>
      <c r="AP21" s="508">
        <f>Budget!M27</f>
        <v/>
      </c>
      <c r="AQ21" s="508">
        <f>IF(OR(11&gt;$B$3,ISBLANK(Actuals!M27)),"",Actuals!M27)</f>
        <v/>
      </c>
      <c r="AR21" s="509">
        <f>IF(OR(11&gt;$B$3,ISBLANK(Actuals!M27)),"",Budget!M27-Actuals!M27)</f>
        <v/>
      </c>
      <c r="AS21" s="509">
        <f>IFERROR(IF(OR(11&gt;$B$3,ISBLANK(Actuals!M27)),"",(Budget!M27-Actuals!M27)/ABS(Budget!M27)),"")</f>
        <v/>
      </c>
      <c r="AT21" s="508">
        <f>Budget!N27</f>
        <v/>
      </c>
      <c r="AU21" s="508">
        <f>IF(OR(12&gt;$B$3,ISBLANK(Actuals!N27)),"",Actuals!N27)</f>
        <v/>
      </c>
      <c r="AV21" s="509">
        <f>IF(OR(12&gt;$B$3,ISBLANK(Actuals!N27)),"",Budget!N27-Actuals!N27)</f>
        <v/>
      </c>
      <c r="AW21" s="509">
        <f>IFERROR(IF(OR(12&gt;$B$3,ISBLANK(Actuals!N27)),"",(Budget!N27-Actuals!N27)/ABS(Budget!N27)),"")</f>
        <v/>
      </c>
      <c r="AX21" s="510">
        <f>SUMPRODUCT((Actuals!C27:N27&lt;&gt;"")*(Budget!C27:N27))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Budget!C28</f>
        <v/>
      </c>
      <c r="C22" s="508">
        <f>IF(OR(1&gt;$B$3,ISBLANK(Actuals!C28)),"",Actuals!C28)</f>
        <v/>
      </c>
      <c r="D22" s="509">
        <f>IF(OR(1&gt;$B$3,ISBLANK(Actuals!C28)),"",Budget!C28-Actuals!C28)</f>
        <v/>
      </c>
      <c r="E22" s="509">
        <f>IFERROR(IF(OR(1&gt;$B$3,ISBLANK(Actuals!C28)),"",(Budget!C28-Actuals!C28)/ABS(Budget!C28)),"")</f>
        <v/>
      </c>
      <c r="F22" s="508">
        <f>Budget!D28</f>
        <v/>
      </c>
      <c r="G22" s="508">
        <f>IF(OR(2&gt;$B$3,ISBLANK(Actuals!D28)),"",Actuals!D28)</f>
        <v/>
      </c>
      <c r="H22" s="509">
        <f>IF(OR(2&gt;$B$3,ISBLANK(Actuals!D28)),"",Budget!D28-Actuals!D28)</f>
        <v/>
      </c>
      <c r="I22" s="509">
        <f>IFERROR(IF(OR(2&gt;$B$3,ISBLANK(Actuals!D28)),"",(Budget!D28-Actuals!D28)/ABS(Budget!D28)),"")</f>
        <v/>
      </c>
      <c r="J22" s="508">
        <f>Budget!E28</f>
        <v/>
      </c>
      <c r="K22" s="508">
        <f>IF(OR(3&gt;$B$3,ISBLANK(Actuals!E28)),"",Actuals!E28)</f>
        <v/>
      </c>
      <c r="L22" s="509">
        <f>IF(OR(3&gt;$B$3,ISBLANK(Actuals!E28)),"",Budget!E28-Actuals!E28)</f>
        <v/>
      </c>
      <c r="M22" s="509">
        <f>IFERROR(IF(OR(3&gt;$B$3,ISBLANK(Actuals!E28)),"",(Budget!E28-Actuals!E28)/ABS(Budget!E28)),"")</f>
        <v/>
      </c>
      <c r="N22" s="508">
        <f>Budget!F28</f>
        <v/>
      </c>
      <c r="O22" s="508">
        <f>IF(OR(4&gt;$B$3,ISBLANK(Actuals!F28)),"",Actuals!F28)</f>
        <v/>
      </c>
      <c r="P22" s="509">
        <f>IF(OR(4&gt;$B$3,ISBLANK(Actuals!F28)),"",Budget!F28-Actuals!F28)</f>
        <v/>
      </c>
      <c r="Q22" s="509">
        <f>IFERROR(IF(OR(4&gt;$B$3,ISBLANK(Actuals!F28)),"",(Budget!F28-Actuals!F28)/ABS(Budget!F28)),"")</f>
        <v/>
      </c>
      <c r="R22" s="508">
        <f>Budget!G28</f>
        <v/>
      </c>
      <c r="S22" s="508">
        <f>IF(OR(5&gt;$B$3,ISBLANK(Actuals!G28)),"",Actuals!G28)</f>
        <v/>
      </c>
      <c r="T22" s="509">
        <f>IF(OR(5&gt;$B$3,ISBLANK(Actuals!G28)),"",Budget!G28-Actuals!G28)</f>
        <v/>
      </c>
      <c r="U22" s="509">
        <f>IFERROR(IF(OR(5&gt;$B$3,ISBLANK(Actuals!G28)),"",(Budget!G28-Actuals!G28)/ABS(Budget!G28)),"")</f>
        <v/>
      </c>
      <c r="V22" s="508">
        <f>Budget!H28</f>
        <v/>
      </c>
      <c r="W22" s="508">
        <f>IF(OR(6&gt;$B$3,ISBLANK(Actuals!H28)),"",Actuals!H28)</f>
        <v/>
      </c>
      <c r="X22" s="509">
        <f>IF(OR(6&gt;$B$3,ISBLANK(Actuals!H28)),"",Budget!H28-Actuals!H28)</f>
        <v/>
      </c>
      <c r="Y22" s="509">
        <f>IFERROR(IF(OR(6&gt;$B$3,ISBLANK(Actuals!H28)),"",(Budget!H28-Actuals!H28)/ABS(Budget!H28)),"")</f>
        <v/>
      </c>
      <c r="Z22" s="508">
        <f>Budget!I28</f>
        <v/>
      </c>
      <c r="AA22" s="508">
        <f>IF(OR(7&gt;$B$3,ISBLANK(Actuals!I28)),"",Actuals!I28)</f>
        <v/>
      </c>
      <c r="AB22" s="509">
        <f>IF(OR(7&gt;$B$3,ISBLANK(Actuals!I28)),"",Budget!I28-Actuals!I28)</f>
        <v/>
      </c>
      <c r="AC22" s="509">
        <f>IFERROR(IF(OR(7&gt;$B$3,ISBLANK(Actuals!I28)),"",(Budget!I28-Actuals!I28)/ABS(Budget!I28)),"")</f>
        <v/>
      </c>
      <c r="AD22" s="508">
        <f>Budget!J28</f>
        <v/>
      </c>
      <c r="AE22" s="508">
        <f>IF(OR(8&gt;$B$3,ISBLANK(Actuals!J28)),"",Actuals!J28)</f>
        <v/>
      </c>
      <c r="AF22" s="509">
        <f>IF(OR(8&gt;$B$3,ISBLANK(Actuals!J28)),"",Budget!J28-Actuals!J28)</f>
        <v/>
      </c>
      <c r="AG22" s="509">
        <f>IFERROR(IF(OR(8&gt;$B$3,ISBLANK(Actuals!J28)),"",(Budget!J28-Actuals!J28)/ABS(Budget!J28)),"")</f>
        <v/>
      </c>
      <c r="AH22" s="508">
        <f>Budget!K28</f>
        <v/>
      </c>
      <c r="AI22" s="508">
        <f>IF(OR(9&gt;$B$3,ISBLANK(Actuals!K28)),"",Actuals!K28)</f>
        <v/>
      </c>
      <c r="AJ22" s="509">
        <f>IF(OR(9&gt;$B$3,ISBLANK(Actuals!K28)),"",Budget!K28-Actuals!K28)</f>
        <v/>
      </c>
      <c r="AK22" s="509">
        <f>IFERROR(IF(OR(9&gt;$B$3,ISBLANK(Actuals!K28)),"",(Budget!K28-Actuals!K28)/ABS(Budget!K28)),"")</f>
        <v/>
      </c>
      <c r="AL22" s="508">
        <f>Budget!L28</f>
        <v/>
      </c>
      <c r="AM22" s="508">
        <f>IF(OR(10&gt;$B$3,ISBLANK(Actuals!L28)),"",Actuals!L28)</f>
        <v/>
      </c>
      <c r="AN22" s="509">
        <f>IF(OR(10&gt;$B$3,ISBLANK(Actuals!L28)),"",Budget!L28-Actuals!L28)</f>
        <v/>
      </c>
      <c r="AO22" s="509">
        <f>IFERROR(IF(OR(10&gt;$B$3,ISBLANK(Actuals!L28)),"",(Budget!L28-Actuals!L28)/ABS(Budget!L28)),"")</f>
        <v/>
      </c>
      <c r="AP22" s="508">
        <f>Budget!M28</f>
        <v/>
      </c>
      <c r="AQ22" s="508">
        <f>IF(OR(11&gt;$B$3,ISBLANK(Actuals!M28)),"",Actuals!M28)</f>
        <v/>
      </c>
      <c r="AR22" s="509">
        <f>IF(OR(11&gt;$B$3,ISBLANK(Actuals!M28)),"",Budget!M28-Actuals!M28)</f>
        <v/>
      </c>
      <c r="AS22" s="509">
        <f>IFERROR(IF(OR(11&gt;$B$3,ISBLANK(Actuals!M28)),"",(Budget!M28-Actuals!M28)/ABS(Budget!M28)),"")</f>
        <v/>
      </c>
      <c r="AT22" s="508">
        <f>Budget!N28</f>
        <v/>
      </c>
      <c r="AU22" s="508">
        <f>IF(OR(12&gt;$B$3,ISBLANK(Actuals!N28)),"",Actuals!N28)</f>
        <v/>
      </c>
      <c r="AV22" s="509">
        <f>IF(OR(12&gt;$B$3,ISBLANK(Actuals!N28)),"",Budget!N28-Actuals!N28)</f>
        <v/>
      </c>
      <c r="AW22" s="509">
        <f>IFERROR(IF(OR(12&gt;$B$3,ISBLANK(Actuals!N28)),"",(Budget!N28-Actuals!N28)/ABS(Budget!N28)),"")</f>
        <v/>
      </c>
      <c r="AX22" s="510">
        <f>SUMPRODUCT((Actuals!C28:N28&lt;&gt;"")*(Budget!C28:N28))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Budget!C29</f>
        <v/>
      </c>
      <c r="C23" s="508">
        <f>IF(OR(1&gt;$B$3,ISBLANK(Actuals!C29)),"",Actuals!C29)</f>
        <v/>
      </c>
      <c r="D23" s="509">
        <f>IF(OR(1&gt;$B$3,ISBLANK(Actuals!C29)),"",Budget!C29-Actuals!C29)</f>
        <v/>
      </c>
      <c r="E23" s="509">
        <f>IFERROR(IF(OR(1&gt;$B$3,ISBLANK(Actuals!C29)),"",(Budget!C29-Actuals!C29)/ABS(Budget!C29)),"")</f>
        <v/>
      </c>
      <c r="F23" s="508">
        <f>Budget!D29</f>
        <v/>
      </c>
      <c r="G23" s="508">
        <f>IF(OR(2&gt;$B$3,ISBLANK(Actuals!D29)),"",Actuals!D29)</f>
        <v/>
      </c>
      <c r="H23" s="509">
        <f>IF(OR(2&gt;$B$3,ISBLANK(Actuals!D29)),"",Budget!D29-Actuals!D29)</f>
        <v/>
      </c>
      <c r="I23" s="509">
        <f>IFERROR(IF(OR(2&gt;$B$3,ISBLANK(Actuals!D29)),"",(Budget!D29-Actuals!D29)/ABS(Budget!D29)),"")</f>
        <v/>
      </c>
      <c r="J23" s="508">
        <f>Budget!E29</f>
        <v/>
      </c>
      <c r="K23" s="508">
        <f>IF(OR(3&gt;$B$3,ISBLANK(Actuals!E29)),"",Actuals!E29)</f>
        <v/>
      </c>
      <c r="L23" s="509">
        <f>IF(OR(3&gt;$B$3,ISBLANK(Actuals!E29)),"",Budget!E29-Actuals!E29)</f>
        <v/>
      </c>
      <c r="M23" s="509">
        <f>IFERROR(IF(OR(3&gt;$B$3,ISBLANK(Actuals!E29)),"",(Budget!E29-Actuals!E29)/ABS(Budget!E29)),"")</f>
        <v/>
      </c>
      <c r="N23" s="508">
        <f>Budget!F29</f>
        <v/>
      </c>
      <c r="O23" s="508">
        <f>IF(OR(4&gt;$B$3,ISBLANK(Actuals!F29)),"",Actuals!F29)</f>
        <v/>
      </c>
      <c r="P23" s="509">
        <f>IF(OR(4&gt;$B$3,ISBLANK(Actuals!F29)),"",Budget!F29-Actuals!F29)</f>
        <v/>
      </c>
      <c r="Q23" s="509">
        <f>IFERROR(IF(OR(4&gt;$B$3,ISBLANK(Actuals!F29)),"",(Budget!F29-Actuals!F29)/ABS(Budget!F29)),"")</f>
        <v/>
      </c>
      <c r="R23" s="508">
        <f>Budget!G29</f>
        <v/>
      </c>
      <c r="S23" s="508">
        <f>IF(OR(5&gt;$B$3,ISBLANK(Actuals!G29)),"",Actuals!G29)</f>
        <v/>
      </c>
      <c r="T23" s="509">
        <f>IF(OR(5&gt;$B$3,ISBLANK(Actuals!G29)),"",Budget!G29-Actuals!G29)</f>
        <v/>
      </c>
      <c r="U23" s="509">
        <f>IFERROR(IF(OR(5&gt;$B$3,ISBLANK(Actuals!G29)),"",(Budget!G29-Actuals!G29)/ABS(Budget!G29)),"")</f>
        <v/>
      </c>
      <c r="V23" s="508">
        <f>Budget!H29</f>
        <v/>
      </c>
      <c r="W23" s="508">
        <f>IF(OR(6&gt;$B$3,ISBLANK(Actuals!H29)),"",Actuals!H29)</f>
        <v/>
      </c>
      <c r="X23" s="509">
        <f>IF(OR(6&gt;$B$3,ISBLANK(Actuals!H29)),"",Budget!H29-Actuals!H29)</f>
        <v/>
      </c>
      <c r="Y23" s="509">
        <f>IFERROR(IF(OR(6&gt;$B$3,ISBLANK(Actuals!H29)),"",(Budget!H29-Actuals!H29)/ABS(Budget!H29)),"")</f>
        <v/>
      </c>
      <c r="Z23" s="508">
        <f>Budget!I29</f>
        <v/>
      </c>
      <c r="AA23" s="508">
        <f>IF(OR(7&gt;$B$3,ISBLANK(Actuals!I29)),"",Actuals!I29)</f>
        <v/>
      </c>
      <c r="AB23" s="509">
        <f>IF(OR(7&gt;$B$3,ISBLANK(Actuals!I29)),"",Budget!I29-Actuals!I29)</f>
        <v/>
      </c>
      <c r="AC23" s="509">
        <f>IFERROR(IF(OR(7&gt;$B$3,ISBLANK(Actuals!I29)),"",(Budget!I29-Actuals!I29)/ABS(Budget!I29)),"")</f>
        <v/>
      </c>
      <c r="AD23" s="508">
        <f>Budget!J29</f>
        <v/>
      </c>
      <c r="AE23" s="508">
        <f>IF(OR(8&gt;$B$3,ISBLANK(Actuals!J29)),"",Actuals!J29)</f>
        <v/>
      </c>
      <c r="AF23" s="509">
        <f>IF(OR(8&gt;$B$3,ISBLANK(Actuals!J29)),"",Budget!J29-Actuals!J29)</f>
        <v/>
      </c>
      <c r="AG23" s="509">
        <f>IFERROR(IF(OR(8&gt;$B$3,ISBLANK(Actuals!J29)),"",(Budget!J29-Actuals!J29)/ABS(Budget!J29)),"")</f>
        <v/>
      </c>
      <c r="AH23" s="508">
        <f>Budget!K29</f>
        <v/>
      </c>
      <c r="AI23" s="508">
        <f>IF(OR(9&gt;$B$3,ISBLANK(Actuals!K29)),"",Actuals!K29)</f>
        <v/>
      </c>
      <c r="AJ23" s="509">
        <f>IF(OR(9&gt;$B$3,ISBLANK(Actuals!K29)),"",Budget!K29-Actuals!K29)</f>
        <v/>
      </c>
      <c r="AK23" s="509">
        <f>IFERROR(IF(OR(9&gt;$B$3,ISBLANK(Actuals!K29)),"",(Budget!K29-Actuals!K29)/ABS(Budget!K29)),"")</f>
        <v/>
      </c>
      <c r="AL23" s="508">
        <f>Budget!L29</f>
        <v/>
      </c>
      <c r="AM23" s="508">
        <f>IF(OR(10&gt;$B$3,ISBLANK(Actuals!L29)),"",Actuals!L29)</f>
        <v/>
      </c>
      <c r="AN23" s="509">
        <f>IF(OR(10&gt;$B$3,ISBLANK(Actuals!L29)),"",Budget!L29-Actuals!L29)</f>
        <v/>
      </c>
      <c r="AO23" s="509">
        <f>IFERROR(IF(OR(10&gt;$B$3,ISBLANK(Actuals!L29)),"",(Budget!L29-Actuals!L29)/ABS(Budget!L29)),"")</f>
        <v/>
      </c>
      <c r="AP23" s="508">
        <f>Budget!M29</f>
        <v/>
      </c>
      <c r="AQ23" s="508">
        <f>IF(OR(11&gt;$B$3,ISBLANK(Actuals!M29)),"",Actuals!M29)</f>
        <v/>
      </c>
      <c r="AR23" s="509">
        <f>IF(OR(11&gt;$B$3,ISBLANK(Actuals!M29)),"",Budget!M29-Actuals!M29)</f>
        <v/>
      </c>
      <c r="AS23" s="509">
        <f>IFERROR(IF(OR(11&gt;$B$3,ISBLANK(Actuals!M29)),"",(Budget!M29-Actuals!M29)/ABS(Budget!M29)),"")</f>
        <v/>
      </c>
      <c r="AT23" s="508">
        <f>Budget!N29</f>
        <v/>
      </c>
      <c r="AU23" s="508">
        <f>IF(OR(12&gt;$B$3,ISBLANK(Actuals!N29)),"",Actuals!N29)</f>
        <v/>
      </c>
      <c r="AV23" s="509">
        <f>IF(OR(12&gt;$B$3,ISBLANK(Actuals!N29)),"",Budget!N29-Actuals!N29)</f>
        <v/>
      </c>
      <c r="AW23" s="509">
        <f>IFERROR(IF(OR(12&gt;$B$3,ISBLANK(Actuals!N29)),"",(Budget!N29-Actuals!N29)/ABS(Budget!N29)),"")</f>
        <v/>
      </c>
      <c r="AX23" s="510">
        <f>SUMPRODUCT((Actuals!C29:N29&lt;&gt;"")*(Budget!C29:N29))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Budget!C30</f>
        <v/>
      </c>
      <c r="C24" s="508">
        <f>IF(OR(1&gt;$B$3,ISBLANK(Actuals!C30)),"",Actuals!C30)</f>
        <v/>
      </c>
      <c r="D24" s="509">
        <f>IF(OR(1&gt;$B$3,ISBLANK(Actuals!C30)),"",Budget!C30-Actuals!C30)</f>
        <v/>
      </c>
      <c r="E24" s="509">
        <f>IFERROR(IF(OR(1&gt;$B$3,ISBLANK(Actuals!C30)),"",(Budget!C30-Actuals!C30)/ABS(Budget!C30)),"")</f>
        <v/>
      </c>
      <c r="F24" s="508">
        <f>Budget!D30</f>
        <v/>
      </c>
      <c r="G24" s="508">
        <f>IF(OR(2&gt;$B$3,ISBLANK(Actuals!D30)),"",Actuals!D30)</f>
        <v/>
      </c>
      <c r="H24" s="509">
        <f>IF(OR(2&gt;$B$3,ISBLANK(Actuals!D30)),"",Budget!D30-Actuals!D30)</f>
        <v/>
      </c>
      <c r="I24" s="509">
        <f>IFERROR(IF(OR(2&gt;$B$3,ISBLANK(Actuals!D30)),"",(Budget!D30-Actuals!D30)/ABS(Budget!D30)),"")</f>
        <v/>
      </c>
      <c r="J24" s="508">
        <f>Budget!E30</f>
        <v/>
      </c>
      <c r="K24" s="508">
        <f>IF(OR(3&gt;$B$3,ISBLANK(Actuals!E30)),"",Actuals!E30)</f>
        <v/>
      </c>
      <c r="L24" s="509">
        <f>IF(OR(3&gt;$B$3,ISBLANK(Actuals!E30)),"",Budget!E30-Actuals!E30)</f>
        <v/>
      </c>
      <c r="M24" s="509">
        <f>IFERROR(IF(OR(3&gt;$B$3,ISBLANK(Actuals!E30)),"",(Budget!E30-Actuals!E30)/ABS(Budget!E30)),"")</f>
        <v/>
      </c>
      <c r="N24" s="508">
        <f>Budget!F30</f>
        <v/>
      </c>
      <c r="O24" s="508">
        <f>IF(OR(4&gt;$B$3,ISBLANK(Actuals!F30)),"",Actuals!F30)</f>
        <v/>
      </c>
      <c r="P24" s="509">
        <f>IF(OR(4&gt;$B$3,ISBLANK(Actuals!F30)),"",Budget!F30-Actuals!F30)</f>
        <v/>
      </c>
      <c r="Q24" s="509">
        <f>IFERROR(IF(OR(4&gt;$B$3,ISBLANK(Actuals!F30)),"",(Budget!F30-Actuals!F30)/ABS(Budget!F30)),"")</f>
        <v/>
      </c>
      <c r="R24" s="508">
        <f>Budget!G30</f>
        <v/>
      </c>
      <c r="S24" s="508">
        <f>IF(OR(5&gt;$B$3,ISBLANK(Actuals!G30)),"",Actuals!G30)</f>
        <v/>
      </c>
      <c r="T24" s="509">
        <f>IF(OR(5&gt;$B$3,ISBLANK(Actuals!G30)),"",Budget!G30-Actuals!G30)</f>
        <v/>
      </c>
      <c r="U24" s="509">
        <f>IFERROR(IF(OR(5&gt;$B$3,ISBLANK(Actuals!G30)),"",(Budget!G30-Actuals!G30)/ABS(Budget!G30)),"")</f>
        <v/>
      </c>
      <c r="V24" s="508">
        <f>Budget!H30</f>
        <v/>
      </c>
      <c r="W24" s="508">
        <f>IF(OR(6&gt;$B$3,ISBLANK(Actuals!H30)),"",Actuals!H30)</f>
        <v/>
      </c>
      <c r="X24" s="509">
        <f>IF(OR(6&gt;$B$3,ISBLANK(Actuals!H30)),"",Budget!H30-Actuals!H30)</f>
        <v/>
      </c>
      <c r="Y24" s="509">
        <f>IFERROR(IF(OR(6&gt;$B$3,ISBLANK(Actuals!H30)),"",(Budget!H30-Actuals!H30)/ABS(Budget!H30)),"")</f>
        <v/>
      </c>
      <c r="Z24" s="508">
        <f>Budget!I30</f>
        <v/>
      </c>
      <c r="AA24" s="508">
        <f>IF(OR(7&gt;$B$3,ISBLANK(Actuals!I30)),"",Actuals!I30)</f>
        <v/>
      </c>
      <c r="AB24" s="509">
        <f>IF(OR(7&gt;$B$3,ISBLANK(Actuals!I30)),"",Budget!I30-Actuals!I30)</f>
        <v/>
      </c>
      <c r="AC24" s="509">
        <f>IFERROR(IF(OR(7&gt;$B$3,ISBLANK(Actuals!I30)),"",(Budget!I30-Actuals!I30)/ABS(Budget!I30)),"")</f>
        <v/>
      </c>
      <c r="AD24" s="508">
        <f>Budget!J30</f>
        <v/>
      </c>
      <c r="AE24" s="508">
        <f>IF(OR(8&gt;$B$3,ISBLANK(Actuals!J30)),"",Actuals!J30)</f>
        <v/>
      </c>
      <c r="AF24" s="509">
        <f>IF(OR(8&gt;$B$3,ISBLANK(Actuals!J30)),"",Budget!J30-Actuals!J30)</f>
        <v/>
      </c>
      <c r="AG24" s="509">
        <f>IFERROR(IF(OR(8&gt;$B$3,ISBLANK(Actuals!J30)),"",(Budget!J30-Actuals!J30)/ABS(Budget!J30)),"")</f>
        <v/>
      </c>
      <c r="AH24" s="508">
        <f>Budget!K30</f>
        <v/>
      </c>
      <c r="AI24" s="508">
        <f>IF(OR(9&gt;$B$3,ISBLANK(Actuals!K30)),"",Actuals!K30)</f>
        <v/>
      </c>
      <c r="AJ24" s="509">
        <f>IF(OR(9&gt;$B$3,ISBLANK(Actuals!K30)),"",Budget!K30-Actuals!K30)</f>
        <v/>
      </c>
      <c r="AK24" s="509">
        <f>IFERROR(IF(OR(9&gt;$B$3,ISBLANK(Actuals!K30)),"",(Budget!K30-Actuals!K30)/ABS(Budget!K30)),"")</f>
        <v/>
      </c>
      <c r="AL24" s="508">
        <f>Budget!L30</f>
        <v/>
      </c>
      <c r="AM24" s="508">
        <f>IF(OR(10&gt;$B$3,ISBLANK(Actuals!L30)),"",Actuals!L30)</f>
        <v/>
      </c>
      <c r="AN24" s="509">
        <f>IF(OR(10&gt;$B$3,ISBLANK(Actuals!L30)),"",Budget!L30-Actuals!L30)</f>
        <v/>
      </c>
      <c r="AO24" s="509">
        <f>IFERROR(IF(OR(10&gt;$B$3,ISBLANK(Actuals!L30)),"",(Budget!L30-Actuals!L30)/ABS(Budget!L30)),"")</f>
        <v/>
      </c>
      <c r="AP24" s="508">
        <f>Budget!M30</f>
        <v/>
      </c>
      <c r="AQ24" s="508">
        <f>IF(OR(11&gt;$B$3,ISBLANK(Actuals!M30)),"",Actuals!M30)</f>
        <v/>
      </c>
      <c r="AR24" s="509">
        <f>IF(OR(11&gt;$B$3,ISBLANK(Actuals!M30)),"",Budget!M30-Actuals!M30)</f>
        <v/>
      </c>
      <c r="AS24" s="509">
        <f>IFERROR(IF(OR(11&gt;$B$3,ISBLANK(Actuals!M30)),"",(Budget!M30-Actuals!M30)/ABS(Budget!M30)),"")</f>
        <v/>
      </c>
      <c r="AT24" s="508">
        <f>Budget!N30</f>
        <v/>
      </c>
      <c r="AU24" s="508">
        <f>IF(OR(12&gt;$B$3,ISBLANK(Actuals!N30)),"",Actuals!N30)</f>
        <v/>
      </c>
      <c r="AV24" s="509">
        <f>IF(OR(12&gt;$B$3,ISBLANK(Actuals!N30)),"",Budget!N30-Actuals!N30)</f>
        <v/>
      </c>
      <c r="AW24" s="509">
        <f>IFERROR(IF(OR(12&gt;$B$3,ISBLANK(Actuals!N30)),"",(Budget!N30-Actuals!N30)/ABS(Budget!N30)),"")</f>
        <v/>
      </c>
      <c r="AX24" s="510">
        <f>SUMPRODUCT((Actuals!C30:N30&lt;&gt;"")*(Budget!C30:N30))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Budget!C31</f>
        <v/>
      </c>
      <c r="C25" s="508">
        <f>IF(OR(1&gt;$B$3,ISBLANK(Actuals!C31)),"",Actuals!C31)</f>
        <v/>
      </c>
      <c r="D25" s="509">
        <f>IF(OR(1&gt;$B$3,ISBLANK(Actuals!C31)),"",Budget!C31-Actuals!C31)</f>
        <v/>
      </c>
      <c r="E25" s="509">
        <f>IFERROR(IF(OR(1&gt;$B$3,ISBLANK(Actuals!C31)),"",(Budget!C31-Actuals!C31)/ABS(Budget!C31)),"")</f>
        <v/>
      </c>
      <c r="F25" s="508">
        <f>Budget!D31</f>
        <v/>
      </c>
      <c r="G25" s="508">
        <f>IF(OR(2&gt;$B$3,ISBLANK(Actuals!D31)),"",Actuals!D31)</f>
        <v/>
      </c>
      <c r="H25" s="509">
        <f>IF(OR(2&gt;$B$3,ISBLANK(Actuals!D31)),"",Budget!D31-Actuals!D31)</f>
        <v/>
      </c>
      <c r="I25" s="509">
        <f>IFERROR(IF(OR(2&gt;$B$3,ISBLANK(Actuals!D31)),"",(Budget!D31-Actuals!D31)/ABS(Budget!D31)),"")</f>
        <v/>
      </c>
      <c r="J25" s="508">
        <f>Budget!E31</f>
        <v/>
      </c>
      <c r="K25" s="508">
        <f>IF(OR(3&gt;$B$3,ISBLANK(Actuals!E31)),"",Actuals!E31)</f>
        <v/>
      </c>
      <c r="L25" s="509">
        <f>IF(OR(3&gt;$B$3,ISBLANK(Actuals!E31)),"",Budget!E31-Actuals!E31)</f>
        <v/>
      </c>
      <c r="M25" s="509">
        <f>IFERROR(IF(OR(3&gt;$B$3,ISBLANK(Actuals!E31)),"",(Budget!E31-Actuals!E31)/ABS(Budget!E31)),"")</f>
        <v/>
      </c>
      <c r="N25" s="508">
        <f>Budget!F31</f>
        <v/>
      </c>
      <c r="O25" s="508">
        <f>IF(OR(4&gt;$B$3,ISBLANK(Actuals!F31)),"",Actuals!F31)</f>
        <v/>
      </c>
      <c r="P25" s="509">
        <f>IF(OR(4&gt;$B$3,ISBLANK(Actuals!F31)),"",Budget!F31-Actuals!F31)</f>
        <v/>
      </c>
      <c r="Q25" s="509">
        <f>IFERROR(IF(OR(4&gt;$B$3,ISBLANK(Actuals!F31)),"",(Budget!F31-Actuals!F31)/ABS(Budget!F31)),"")</f>
        <v/>
      </c>
      <c r="R25" s="508">
        <f>Budget!G31</f>
        <v/>
      </c>
      <c r="S25" s="508">
        <f>IF(OR(5&gt;$B$3,ISBLANK(Actuals!G31)),"",Actuals!G31)</f>
        <v/>
      </c>
      <c r="T25" s="509">
        <f>IF(OR(5&gt;$B$3,ISBLANK(Actuals!G31)),"",Budget!G31-Actuals!G31)</f>
        <v/>
      </c>
      <c r="U25" s="509">
        <f>IFERROR(IF(OR(5&gt;$B$3,ISBLANK(Actuals!G31)),"",(Budget!G31-Actuals!G31)/ABS(Budget!G31)),"")</f>
        <v/>
      </c>
      <c r="V25" s="508">
        <f>Budget!H31</f>
        <v/>
      </c>
      <c r="W25" s="508">
        <f>IF(OR(6&gt;$B$3,ISBLANK(Actuals!H31)),"",Actuals!H31)</f>
        <v/>
      </c>
      <c r="X25" s="509">
        <f>IF(OR(6&gt;$B$3,ISBLANK(Actuals!H31)),"",Budget!H31-Actuals!H31)</f>
        <v/>
      </c>
      <c r="Y25" s="509">
        <f>IFERROR(IF(OR(6&gt;$B$3,ISBLANK(Actuals!H31)),"",(Budget!H31-Actuals!H31)/ABS(Budget!H31)),"")</f>
        <v/>
      </c>
      <c r="Z25" s="508">
        <f>Budget!I31</f>
        <v/>
      </c>
      <c r="AA25" s="508">
        <f>IF(OR(7&gt;$B$3,ISBLANK(Actuals!I31)),"",Actuals!I31)</f>
        <v/>
      </c>
      <c r="AB25" s="509">
        <f>IF(OR(7&gt;$B$3,ISBLANK(Actuals!I31)),"",Budget!I31-Actuals!I31)</f>
        <v/>
      </c>
      <c r="AC25" s="509">
        <f>IFERROR(IF(OR(7&gt;$B$3,ISBLANK(Actuals!I31)),"",(Budget!I31-Actuals!I31)/ABS(Budget!I31)),"")</f>
        <v/>
      </c>
      <c r="AD25" s="508">
        <f>Budget!J31</f>
        <v/>
      </c>
      <c r="AE25" s="508">
        <f>IF(OR(8&gt;$B$3,ISBLANK(Actuals!J31)),"",Actuals!J31)</f>
        <v/>
      </c>
      <c r="AF25" s="509">
        <f>IF(OR(8&gt;$B$3,ISBLANK(Actuals!J31)),"",Budget!J31-Actuals!J31)</f>
        <v/>
      </c>
      <c r="AG25" s="509">
        <f>IFERROR(IF(OR(8&gt;$B$3,ISBLANK(Actuals!J31)),"",(Budget!J31-Actuals!J31)/ABS(Budget!J31)),"")</f>
        <v/>
      </c>
      <c r="AH25" s="508">
        <f>Budget!K31</f>
        <v/>
      </c>
      <c r="AI25" s="508">
        <f>IF(OR(9&gt;$B$3,ISBLANK(Actuals!K31)),"",Actuals!K31)</f>
        <v/>
      </c>
      <c r="AJ25" s="509">
        <f>IF(OR(9&gt;$B$3,ISBLANK(Actuals!K31)),"",Budget!K31-Actuals!K31)</f>
        <v/>
      </c>
      <c r="AK25" s="509">
        <f>IFERROR(IF(OR(9&gt;$B$3,ISBLANK(Actuals!K31)),"",(Budget!K31-Actuals!K31)/ABS(Budget!K31)),"")</f>
        <v/>
      </c>
      <c r="AL25" s="508">
        <f>Budget!L31</f>
        <v/>
      </c>
      <c r="AM25" s="508">
        <f>IF(OR(10&gt;$B$3,ISBLANK(Actuals!L31)),"",Actuals!L31)</f>
        <v/>
      </c>
      <c r="AN25" s="509">
        <f>IF(OR(10&gt;$B$3,ISBLANK(Actuals!L31)),"",Budget!L31-Actuals!L31)</f>
        <v/>
      </c>
      <c r="AO25" s="509">
        <f>IFERROR(IF(OR(10&gt;$B$3,ISBLANK(Actuals!L31)),"",(Budget!L31-Actuals!L31)/ABS(Budget!L31)),"")</f>
        <v/>
      </c>
      <c r="AP25" s="508">
        <f>Budget!M31</f>
        <v/>
      </c>
      <c r="AQ25" s="508">
        <f>IF(OR(11&gt;$B$3,ISBLANK(Actuals!M31)),"",Actuals!M31)</f>
        <v/>
      </c>
      <c r="AR25" s="509">
        <f>IF(OR(11&gt;$B$3,ISBLANK(Actuals!M31)),"",Budget!M31-Actuals!M31)</f>
        <v/>
      </c>
      <c r="AS25" s="509">
        <f>IFERROR(IF(OR(11&gt;$B$3,ISBLANK(Actuals!M31)),"",(Budget!M31-Actuals!M31)/ABS(Budget!M31)),"")</f>
        <v/>
      </c>
      <c r="AT25" s="508">
        <f>Budget!N31</f>
        <v/>
      </c>
      <c r="AU25" s="508">
        <f>IF(OR(12&gt;$B$3,ISBLANK(Actuals!N31)),"",Actuals!N31)</f>
        <v/>
      </c>
      <c r="AV25" s="509">
        <f>IF(OR(12&gt;$B$3,ISBLANK(Actuals!N31)),"",Budget!N31-Actuals!N31)</f>
        <v/>
      </c>
      <c r="AW25" s="509">
        <f>IFERROR(IF(OR(12&gt;$B$3,ISBLANK(Actuals!N31)),"",(Budget!N31-Actuals!N31)/ABS(Budget!N31)),"")</f>
        <v/>
      </c>
      <c r="AX25" s="510">
        <f>SUMPRODUCT((Actuals!C31:N31&lt;&gt;"")*(Budget!C31:N31))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Budget!C32</f>
        <v/>
      </c>
      <c r="C26" s="508">
        <f>IF(OR(1&gt;$B$3,ISBLANK(Actuals!C32)),"",Actuals!C32)</f>
        <v/>
      </c>
      <c r="D26" s="509">
        <f>IF(OR(1&gt;$B$3,ISBLANK(Actuals!C32)),"",Budget!C32-Actuals!C32)</f>
        <v/>
      </c>
      <c r="E26" s="509">
        <f>IFERROR(IF(OR(1&gt;$B$3,ISBLANK(Actuals!C32)),"",(Budget!C32-Actuals!C32)/ABS(Budget!C32)),"")</f>
        <v/>
      </c>
      <c r="F26" s="508">
        <f>Budget!D32</f>
        <v/>
      </c>
      <c r="G26" s="508">
        <f>IF(OR(2&gt;$B$3,ISBLANK(Actuals!D32)),"",Actuals!D32)</f>
        <v/>
      </c>
      <c r="H26" s="509">
        <f>IF(OR(2&gt;$B$3,ISBLANK(Actuals!D32)),"",Budget!D32-Actuals!D32)</f>
        <v/>
      </c>
      <c r="I26" s="509">
        <f>IFERROR(IF(OR(2&gt;$B$3,ISBLANK(Actuals!D32)),"",(Budget!D32-Actuals!D32)/ABS(Budget!D32)),"")</f>
        <v/>
      </c>
      <c r="J26" s="508">
        <f>Budget!E32</f>
        <v/>
      </c>
      <c r="K26" s="508">
        <f>IF(OR(3&gt;$B$3,ISBLANK(Actuals!E32)),"",Actuals!E32)</f>
        <v/>
      </c>
      <c r="L26" s="509">
        <f>IF(OR(3&gt;$B$3,ISBLANK(Actuals!E32)),"",Budget!E32-Actuals!E32)</f>
        <v/>
      </c>
      <c r="M26" s="509">
        <f>IFERROR(IF(OR(3&gt;$B$3,ISBLANK(Actuals!E32)),"",(Budget!E32-Actuals!E32)/ABS(Budget!E32)),"")</f>
        <v/>
      </c>
      <c r="N26" s="508">
        <f>Budget!F32</f>
        <v/>
      </c>
      <c r="O26" s="508">
        <f>IF(OR(4&gt;$B$3,ISBLANK(Actuals!F32)),"",Actuals!F32)</f>
        <v/>
      </c>
      <c r="P26" s="509">
        <f>IF(OR(4&gt;$B$3,ISBLANK(Actuals!F32)),"",Budget!F32-Actuals!F32)</f>
        <v/>
      </c>
      <c r="Q26" s="509">
        <f>IFERROR(IF(OR(4&gt;$B$3,ISBLANK(Actuals!F32)),"",(Budget!F32-Actuals!F32)/ABS(Budget!F32)),"")</f>
        <v/>
      </c>
      <c r="R26" s="508">
        <f>Budget!G32</f>
        <v/>
      </c>
      <c r="S26" s="508">
        <f>IF(OR(5&gt;$B$3,ISBLANK(Actuals!G32)),"",Actuals!G32)</f>
        <v/>
      </c>
      <c r="T26" s="509">
        <f>IF(OR(5&gt;$B$3,ISBLANK(Actuals!G32)),"",Budget!G32-Actuals!G32)</f>
        <v/>
      </c>
      <c r="U26" s="509">
        <f>IFERROR(IF(OR(5&gt;$B$3,ISBLANK(Actuals!G32)),"",(Budget!G32-Actuals!G32)/ABS(Budget!G32)),"")</f>
        <v/>
      </c>
      <c r="V26" s="508">
        <f>Budget!H32</f>
        <v/>
      </c>
      <c r="W26" s="508">
        <f>IF(OR(6&gt;$B$3,ISBLANK(Actuals!H32)),"",Actuals!H32)</f>
        <v/>
      </c>
      <c r="X26" s="509">
        <f>IF(OR(6&gt;$B$3,ISBLANK(Actuals!H32)),"",Budget!H32-Actuals!H32)</f>
        <v/>
      </c>
      <c r="Y26" s="509">
        <f>IFERROR(IF(OR(6&gt;$B$3,ISBLANK(Actuals!H32)),"",(Budget!H32-Actuals!H32)/ABS(Budget!H32)),"")</f>
        <v/>
      </c>
      <c r="Z26" s="508">
        <f>Budget!I32</f>
        <v/>
      </c>
      <c r="AA26" s="508">
        <f>IF(OR(7&gt;$B$3,ISBLANK(Actuals!I32)),"",Actuals!I32)</f>
        <v/>
      </c>
      <c r="AB26" s="509">
        <f>IF(OR(7&gt;$B$3,ISBLANK(Actuals!I32)),"",Budget!I32-Actuals!I32)</f>
        <v/>
      </c>
      <c r="AC26" s="509">
        <f>IFERROR(IF(OR(7&gt;$B$3,ISBLANK(Actuals!I32)),"",(Budget!I32-Actuals!I32)/ABS(Budget!I32)),"")</f>
        <v/>
      </c>
      <c r="AD26" s="508">
        <f>Budget!J32</f>
        <v/>
      </c>
      <c r="AE26" s="508">
        <f>IF(OR(8&gt;$B$3,ISBLANK(Actuals!J32)),"",Actuals!J32)</f>
        <v/>
      </c>
      <c r="AF26" s="509">
        <f>IF(OR(8&gt;$B$3,ISBLANK(Actuals!J32)),"",Budget!J32-Actuals!J32)</f>
        <v/>
      </c>
      <c r="AG26" s="509">
        <f>IFERROR(IF(OR(8&gt;$B$3,ISBLANK(Actuals!J32)),"",(Budget!J32-Actuals!J32)/ABS(Budget!J32)),"")</f>
        <v/>
      </c>
      <c r="AH26" s="508">
        <f>Budget!K32</f>
        <v/>
      </c>
      <c r="AI26" s="508">
        <f>IF(OR(9&gt;$B$3,ISBLANK(Actuals!K32)),"",Actuals!K32)</f>
        <v/>
      </c>
      <c r="AJ26" s="509">
        <f>IF(OR(9&gt;$B$3,ISBLANK(Actuals!K32)),"",Budget!K32-Actuals!K32)</f>
        <v/>
      </c>
      <c r="AK26" s="509">
        <f>IFERROR(IF(OR(9&gt;$B$3,ISBLANK(Actuals!K32)),"",(Budget!K32-Actuals!K32)/ABS(Budget!K32)),"")</f>
        <v/>
      </c>
      <c r="AL26" s="508">
        <f>Budget!L32</f>
        <v/>
      </c>
      <c r="AM26" s="508">
        <f>IF(OR(10&gt;$B$3,ISBLANK(Actuals!L32)),"",Actuals!L32)</f>
        <v/>
      </c>
      <c r="AN26" s="509">
        <f>IF(OR(10&gt;$B$3,ISBLANK(Actuals!L32)),"",Budget!L32-Actuals!L32)</f>
        <v/>
      </c>
      <c r="AO26" s="509">
        <f>IFERROR(IF(OR(10&gt;$B$3,ISBLANK(Actuals!L32)),"",(Budget!L32-Actuals!L32)/ABS(Budget!L32)),"")</f>
        <v/>
      </c>
      <c r="AP26" s="508">
        <f>Budget!M32</f>
        <v/>
      </c>
      <c r="AQ26" s="508">
        <f>IF(OR(11&gt;$B$3,ISBLANK(Actuals!M32)),"",Actuals!M32)</f>
        <v/>
      </c>
      <c r="AR26" s="509">
        <f>IF(OR(11&gt;$B$3,ISBLANK(Actuals!M32)),"",Budget!M32-Actuals!M32)</f>
        <v/>
      </c>
      <c r="AS26" s="509">
        <f>IFERROR(IF(OR(11&gt;$B$3,ISBLANK(Actuals!M32)),"",(Budget!M32-Actuals!M32)/ABS(Budget!M32)),"")</f>
        <v/>
      </c>
      <c r="AT26" s="508">
        <f>Budget!N32</f>
        <v/>
      </c>
      <c r="AU26" s="508">
        <f>IF(OR(12&gt;$B$3,ISBLANK(Actuals!N32)),"",Actuals!N32)</f>
        <v/>
      </c>
      <c r="AV26" s="509">
        <f>IF(OR(12&gt;$B$3,ISBLANK(Actuals!N32)),"",Budget!N32-Actuals!N32)</f>
        <v/>
      </c>
      <c r="AW26" s="509">
        <f>IFERROR(IF(OR(12&gt;$B$3,ISBLANK(Actuals!N32)),"",(Budget!N32-Actuals!N32)/ABS(Budget!N32)),"")</f>
        <v/>
      </c>
      <c r="AX26" s="510">
        <f>SUMPRODUCT((Actuals!C32:N32&lt;&gt;"")*(Budget!C32:N32))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Budget!C33</f>
        <v/>
      </c>
      <c r="C27" s="508">
        <f>IF(OR(1&gt;$B$3,ISBLANK(Actuals!C33)),"",Actuals!C33)</f>
        <v/>
      </c>
      <c r="D27" s="509">
        <f>IF(OR(1&gt;$B$3,ISBLANK(Actuals!C33)),"",Budget!C33-Actuals!C33)</f>
        <v/>
      </c>
      <c r="E27" s="509">
        <f>IFERROR(IF(OR(1&gt;$B$3,ISBLANK(Actuals!C33)),"",(Budget!C33-Actuals!C33)/ABS(Budget!C33)),"")</f>
        <v/>
      </c>
      <c r="F27" s="508">
        <f>Budget!D33</f>
        <v/>
      </c>
      <c r="G27" s="508">
        <f>IF(OR(2&gt;$B$3,ISBLANK(Actuals!D33)),"",Actuals!D33)</f>
        <v/>
      </c>
      <c r="H27" s="509">
        <f>IF(OR(2&gt;$B$3,ISBLANK(Actuals!D33)),"",Budget!D33-Actuals!D33)</f>
        <v/>
      </c>
      <c r="I27" s="509">
        <f>IFERROR(IF(OR(2&gt;$B$3,ISBLANK(Actuals!D33)),"",(Budget!D33-Actuals!D33)/ABS(Budget!D33)),"")</f>
        <v/>
      </c>
      <c r="J27" s="508">
        <f>Budget!E33</f>
        <v/>
      </c>
      <c r="K27" s="508">
        <f>IF(OR(3&gt;$B$3,ISBLANK(Actuals!E33)),"",Actuals!E33)</f>
        <v/>
      </c>
      <c r="L27" s="509">
        <f>IF(OR(3&gt;$B$3,ISBLANK(Actuals!E33)),"",Budget!E33-Actuals!E33)</f>
        <v/>
      </c>
      <c r="M27" s="509">
        <f>IFERROR(IF(OR(3&gt;$B$3,ISBLANK(Actuals!E33)),"",(Budget!E33-Actuals!E33)/ABS(Budget!E33)),"")</f>
        <v/>
      </c>
      <c r="N27" s="508">
        <f>Budget!F33</f>
        <v/>
      </c>
      <c r="O27" s="508">
        <f>IF(OR(4&gt;$B$3,ISBLANK(Actuals!F33)),"",Actuals!F33)</f>
        <v/>
      </c>
      <c r="P27" s="509">
        <f>IF(OR(4&gt;$B$3,ISBLANK(Actuals!F33)),"",Budget!F33-Actuals!F33)</f>
        <v/>
      </c>
      <c r="Q27" s="509">
        <f>IFERROR(IF(OR(4&gt;$B$3,ISBLANK(Actuals!F33)),"",(Budget!F33-Actuals!F33)/ABS(Budget!F33)),"")</f>
        <v/>
      </c>
      <c r="R27" s="508">
        <f>Budget!G33</f>
        <v/>
      </c>
      <c r="S27" s="508">
        <f>IF(OR(5&gt;$B$3,ISBLANK(Actuals!G33)),"",Actuals!G33)</f>
        <v/>
      </c>
      <c r="T27" s="509">
        <f>IF(OR(5&gt;$B$3,ISBLANK(Actuals!G33)),"",Budget!G33-Actuals!G33)</f>
        <v/>
      </c>
      <c r="U27" s="509">
        <f>IFERROR(IF(OR(5&gt;$B$3,ISBLANK(Actuals!G33)),"",(Budget!G33-Actuals!G33)/ABS(Budget!G33)),"")</f>
        <v/>
      </c>
      <c r="V27" s="508">
        <f>Budget!H33</f>
        <v/>
      </c>
      <c r="W27" s="508">
        <f>IF(OR(6&gt;$B$3,ISBLANK(Actuals!H33)),"",Actuals!H33)</f>
        <v/>
      </c>
      <c r="X27" s="509">
        <f>IF(OR(6&gt;$B$3,ISBLANK(Actuals!H33)),"",Budget!H33-Actuals!H33)</f>
        <v/>
      </c>
      <c r="Y27" s="509">
        <f>IFERROR(IF(OR(6&gt;$B$3,ISBLANK(Actuals!H33)),"",(Budget!H33-Actuals!H33)/ABS(Budget!H33)),"")</f>
        <v/>
      </c>
      <c r="Z27" s="508">
        <f>Budget!I33</f>
        <v/>
      </c>
      <c r="AA27" s="508">
        <f>IF(OR(7&gt;$B$3,ISBLANK(Actuals!I33)),"",Actuals!I33)</f>
        <v/>
      </c>
      <c r="AB27" s="509">
        <f>IF(OR(7&gt;$B$3,ISBLANK(Actuals!I33)),"",Budget!I33-Actuals!I33)</f>
        <v/>
      </c>
      <c r="AC27" s="509">
        <f>IFERROR(IF(OR(7&gt;$B$3,ISBLANK(Actuals!I33)),"",(Budget!I33-Actuals!I33)/ABS(Budget!I33)),"")</f>
        <v/>
      </c>
      <c r="AD27" s="508">
        <f>Budget!J33</f>
        <v/>
      </c>
      <c r="AE27" s="508">
        <f>IF(OR(8&gt;$B$3,ISBLANK(Actuals!J33)),"",Actuals!J33)</f>
        <v/>
      </c>
      <c r="AF27" s="509">
        <f>IF(OR(8&gt;$B$3,ISBLANK(Actuals!J33)),"",Budget!J33-Actuals!J33)</f>
        <v/>
      </c>
      <c r="AG27" s="509">
        <f>IFERROR(IF(OR(8&gt;$B$3,ISBLANK(Actuals!J33)),"",(Budget!J33-Actuals!J33)/ABS(Budget!J33)),"")</f>
        <v/>
      </c>
      <c r="AH27" s="508">
        <f>Budget!K33</f>
        <v/>
      </c>
      <c r="AI27" s="508">
        <f>IF(OR(9&gt;$B$3,ISBLANK(Actuals!K33)),"",Actuals!K33)</f>
        <v/>
      </c>
      <c r="AJ27" s="509">
        <f>IF(OR(9&gt;$B$3,ISBLANK(Actuals!K33)),"",Budget!K33-Actuals!K33)</f>
        <v/>
      </c>
      <c r="AK27" s="509">
        <f>IFERROR(IF(OR(9&gt;$B$3,ISBLANK(Actuals!K33)),"",(Budget!K33-Actuals!K33)/ABS(Budget!K33)),"")</f>
        <v/>
      </c>
      <c r="AL27" s="508">
        <f>Budget!L33</f>
        <v/>
      </c>
      <c r="AM27" s="508">
        <f>IF(OR(10&gt;$B$3,ISBLANK(Actuals!L33)),"",Actuals!L33)</f>
        <v/>
      </c>
      <c r="AN27" s="509">
        <f>IF(OR(10&gt;$B$3,ISBLANK(Actuals!L33)),"",Budget!L33-Actuals!L33)</f>
        <v/>
      </c>
      <c r="AO27" s="509">
        <f>IFERROR(IF(OR(10&gt;$B$3,ISBLANK(Actuals!L33)),"",(Budget!L33-Actuals!L33)/ABS(Budget!L33)),"")</f>
        <v/>
      </c>
      <c r="AP27" s="508">
        <f>Budget!M33</f>
        <v/>
      </c>
      <c r="AQ27" s="508">
        <f>IF(OR(11&gt;$B$3,ISBLANK(Actuals!M33)),"",Actuals!M33)</f>
        <v/>
      </c>
      <c r="AR27" s="509">
        <f>IF(OR(11&gt;$B$3,ISBLANK(Actuals!M33)),"",Budget!M33-Actuals!M33)</f>
        <v/>
      </c>
      <c r="AS27" s="509">
        <f>IFERROR(IF(OR(11&gt;$B$3,ISBLANK(Actuals!M33)),"",(Budget!M33-Actuals!M33)/ABS(Budget!M33)),"")</f>
        <v/>
      </c>
      <c r="AT27" s="508">
        <f>Budget!N33</f>
        <v/>
      </c>
      <c r="AU27" s="508">
        <f>IF(OR(12&gt;$B$3,ISBLANK(Actuals!N33)),"",Actuals!N33)</f>
        <v/>
      </c>
      <c r="AV27" s="509">
        <f>IF(OR(12&gt;$B$3,ISBLANK(Actuals!N33)),"",Budget!N33-Actuals!N33)</f>
        <v/>
      </c>
      <c r="AW27" s="509">
        <f>IFERROR(IF(OR(12&gt;$B$3,ISBLANK(Actuals!N33)),"",(Budget!N33-Actuals!N33)/ABS(Budget!N33)),"")</f>
        <v/>
      </c>
      <c r="AX27" s="510">
        <f>SUMPRODUCT((Actuals!C33:N33&lt;&gt;"")*(Budget!C33:N33))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Budget!C34</f>
        <v/>
      </c>
      <c r="C28" s="508">
        <f>IF(OR(1&gt;$B$3,ISBLANK(Actuals!C34)),"",Actuals!C34)</f>
        <v/>
      </c>
      <c r="D28" s="509">
        <f>IF(OR(1&gt;$B$3,ISBLANK(Actuals!C34)),"",Budget!C34-Actuals!C34)</f>
        <v/>
      </c>
      <c r="E28" s="509">
        <f>IFERROR(IF(OR(1&gt;$B$3,ISBLANK(Actuals!C34)),"",(Budget!C34-Actuals!C34)/ABS(Budget!C34)),"")</f>
        <v/>
      </c>
      <c r="F28" s="508">
        <f>Budget!D34</f>
        <v/>
      </c>
      <c r="G28" s="508">
        <f>IF(OR(2&gt;$B$3,ISBLANK(Actuals!D34)),"",Actuals!D34)</f>
        <v/>
      </c>
      <c r="H28" s="509">
        <f>IF(OR(2&gt;$B$3,ISBLANK(Actuals!D34)),"",Budget!D34-Actuals!D34)</f>
        <v/>
      </c>
      <c r="I28" s="509">
        <f>IFERROR(IF(OR(2&gt;$B$3,ISBLANK(Actuals!D34)),"",(Budget!D34-Actuals!D34)/ABS(Budget!D34)),"")</f>
        <v/>
      </c>
      <c r="J28" s="508">
        <f>Budget!E34</f>
        <v/>
      </c>
      <c r="K28" s="508">
        <f>IF(OR(3&gt;$B$3,ISBLANK(Actuals!E34)),"",Actuals!E34)</f>
        <v/>
      </c>
      <c r="L28" s="509">
        <f>IF(OR(3&gt;$B$3,ISBLANK(Actuals!E34)),"",Budget!E34-Actuals!E34)</f>
        <v/>
      </c>
      <c r="M28" s="509">
        <f>IFERROR(IF(OR(3&gt;$B$3,ISBLANK(Actuals!E34)),"",(Budget!E34-Actuals!E34)/ABS(Budget!E34)),"")</f>
        <v/>
      </c>
      <c r="N28" s="508">
        <f>Budget!F34</f>
        <v/>
      </c>
      <c r="O28" s="508">
        <f>IF(OR(4&gt;$B$3,ISBLANK(Actuals!F34)),"",Actuals!F34)</f>
        <v/>
      </c>
      <c r="P28" s="509">
        <f>IF(OR(4&gt;$B$3,ISBLANK(Actuals!F34)),"",Budget!F34-Actuals!F34)</f>
        <v/>
      </c>
      <c r="Q28" s="509">
        <f>IFERROR(IF(OR(4&gt;$B$3,ISBLANK(Actuals!F34)),"",(Budget!F34-Actuals!F34)/ABS(Budget!F34)),"")</f>
        <v/>
      </c>
      <c r="R28" s="508">
        <f>Budget!G34</f>
        <v/>
      </c>
      <c r="S28" s="508">
        <f>IF(OR(5&gt;$B$3,ISBLANK(Actuals!G34)),"",Actuals!G34)</f>
        <v/>
      </c>
      <c r="T28" s="509">
        <f>IF(OR(5&gt;$B$3,ISBLANK(Actuals!G34)),"",Budget!G34-Actuals!G34)</f>
        <v/>
      </c>
      <c r="U28" s="509">
        <f>IFERROR(IF(OR(5&gt;$B$3,ISBLANK(Actuals!G34)),"",(Budget!G34-Actuals!G34)/ABS(Budget!G34)),"")</f>
        <v/>
      </c>
      <c r="V28" s="508">
        <f>Budget!H34</f>
        <v/>
      </c>
      <c r="W28" s="508">
        <f>IF(OR(6&gt;$B$3,ISBLANK(Actuals!H34)),"",Actuals!H34)</f>
        <v/>
      </c>
      <c r="X28" s="509">
        <f>IF(OR(6&gt;$B$3,ISBLANK(Actuals!H34)),"",Budget!H34-Actuals!H34)</f>
        <v/>
      </c>
      <c r="Y28" s="509">
        <f>IFERROR(IF(OR(6&gt;$B$3,ISBLANK(Actuals!H34)),"",(Budget!H34-Actuals!H34)/ABS(Budget!H34)),"")</f>
        <v/>
      </c>
      <c r="Z28" s="508">
        <f>Budget!I34</f>
        <v/>
      </c>
      <c r="AA28" s="508">
        <f>IF(OR(7&gt;$B$3,ISBLANK(Actuals!I34)),"",Actuals!I34)</f>
        <v/>
      </c>
      <c r="AB28" s="509">
        <f>IF(OR(7&gt;$B$3,ISBLANK(Actuals!I34)),"",Budget!I34-Actuals!I34)</f>
        <v/>
      </c>
      <c r="AC28" s="509">
        <f>IFERROR(IF(OR(7&gt;$B$3,ISBLANK(Actuals!I34)),"",(Budget!I34-Actuals!I34)/ABS(Budget!I34)),"")</f>
        <v/>
      </c>
      <c r="AD28" s="508">
        <f>Budget!J34</f>
        <v/>
      </c>
      <c r="AE28" s="508">
        <f>IF(OR(8&gt;$B$3,ISBLANK(Actuals!J34)),"",Actuals!J34)</f>
        <v/>
      </c>
      <c r="AF28" s="509">
        <f>IF(OR(8&gt;$B$3,ISBLANK(Actuals!J34)),"",Budget!J34-Actuals!J34)</f>
        <v/>
      </c>
      <c r="AG28" s="509">
        <f>IFERROR(IF(OR(8&gt;$B$3,ISBLANK(Actuals!J34)),"",(Budget!J34-Actuals!J34)/ABS(Budget!J34)),"")</f>
        <v/>
      </c>
      <c r="AH28" s="508">
        <f>Budget!K34</f>
        <v/>
      </c>
      <c r="AI28" s="508">
        <f>IF(OR(9&gt;$B$3,ISBLANK(Actuals!K34)),"",Actuals!K34)</f>
        <v/>
      </c>
      <c r="AJ28" s="509">
        <f>IF(OR(9&gt;$B$3,ISBLANK(Actuals!K34)),"",Budget!K34-Actuals!K34)</f>
        <v/>
      </c>
      <c r="AK28" s="509">
        <f>IFERROR(IF(OR(9&gt;$B$3,ISBLANK(Actuals!K34)),"",(Budget!K34-Actuals!K34)/ABS(Budget!K34)),"")</f>
        <v/>
      </c>
      <c r="AL28" s="508">
        <f>Budget!L34</f>
        <v/>
      </c>
      <c r="AM28" s="508">
        <f>IF(OR(10&gt;$B$3,ISBLANK(Actuals!L34)),"",Actuals!L34)</f>
        <v/>
      </c>
      <c r="AN28" s="509">
        <f>IF(OR(10&gt;$B$3,ISBLANK(Actuals!L34)),"",Budget!L34-Actuals!L34)</f>
        <v/>
      </c>
      <c r="AO28" s="509">
        <f>IFERROR(IF(OR(10&gt;$B$3,ISBLANK(Actuals!L34)),"",(Budget!L34-Actuals!L34)/ABS(Budget!L34)),"")</f>
        <v/>
      </c>
      <c r="AP28" s="508">
        <f>Budget!M34</f>
        <v/>
      </c>
      <c r="AQ28" s="508">
        <f>IF(OR(11&gt;$B$3,ISBLANK(Actuals!M34)),"",Actuals!M34)</f>
        <v/>
      </c>
      <c r="AR28" s="509">
        <f>IF(OR(11&gt;$B$3,ISBLANK(Actuals!M34)),"",Budget!M34-Actuals!M34)</f>
        <v/>
      </c>
      <c r="AS28" s="509">
        <f>IFERROR(IF(OR(11&gt;$B$3,ISBLANK(Actuals!M34)),"",(Budget!M34-Actuals!M34)/ABS(Budget!M34)),"")</f>
        <v/>
      </c>
      <c r="AT28" s="508">
        <f>Budget!N34</f>
        <v/>
      </c>
      <c r="AU28" s="508">
        <f>IF(OR(12&gt;$B$3,ISBLANK(Actuals!N34)),"",Actuals!N34)</f>
        <v/>
      </c>
      <c r="AV28" s="509">
        <f>IF(OR(12&gt;$B$3,ISBLANK(Actuals!N34)),"",Budget!N34-Actuals!N34)</f>
        <v/>
      </c>
      <c r="AW28" s="509">
        <f>IFERROR(IF(OR(12&gt;$B$3,ISBLANK(Actuals!N34)),"",(Budget!N34-Actuals!N34)/ABS(Budget!N34)),"")</f>
        <v/>
      </c>
      <c r="AX28" s="510">
        <f>SUMPRODUCT((Actuals!C34:N34&lt;&gt;"")*(Budget!C34:N34))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Budget!C35</f>
        <v/>
      </c>
      <c r="C29" s="508">
        <f>IF(OR(1&gt;$B$3,ISBLANK(Actuals!C35)),"",Actuals!C35)</f>
        <v/>
      </c>
      <c r="D29" s="509">
        <f>IF(OR(1&gt;$B$3,ISBLANK(Actuals!C35)),"",Budget!C35-Actuals!C35)</f>
        <v/>
      </c>
      <c r="E29" s="509">
        <f>IFERROR(IF(OR(1&gt;$B$3,ISBLANK(Actuals!C35)),"",(Budget!C35-Actuals!C35)/ABS(Budget!C35)),"")</f>
        <v/>
      </c>
      <c r="F29" s="508">
        <f>Budget!D35</f>
        <v/>
      </c>
      <c r="G29" s="508">
        <f>IF(OR(2&gt;$B$3,ISBLANK(Actuals!D35)),"",Actuals!D35)</f>
        <v/>
      </c>
      <c r="H29" s="509">
        <f>IF(OR(2&gt;$B$3,ISBLANK(Actuals!D35)),"",Budget!D35-Actuals!D35)</f>
        <v/>
      </c>
      <c r="I29" s="509">
        <f>IFERROR(IF(OR(2&gt;$B$3,ISBLANK(Actuals!D35)),"",(Budget!D35-Actuals!D35)/ABS(Budget!D35)),"")</f>
        <v/>
      </c>
      <c r="J29" s="508">
        <f>Budget!E35</f>
        <v/>
      </c>
      <c r="K29" s="508">
        <f>IF(OR(3&gt;$B$3,ISBLANK(Actuals!E35)),"",Actuals!E35)</f>
        <v/>
      </c>
      <c r="L29" s="509">
        <f>IF(OR(3&gt;$B$3,ISBLANK(Actuals!E35)),"",Budget!E35-Actuals!E35)</f>
        <v/>
      </c>
      <c r="M29" s="509">
        <f>IFERROR(IF(OR(3&gt;$B$3,ISBLANK(Actuals!E35)),"",(Budget!E35-Actuals!E35)/ABS(Budget!E35)),"")</f>
        <v/>
      </c>
      <c r="N29" s="508">
        <f>Budget!F35</f>
        <v/>
      </c>
      <c r="O29" s="508">
        <f>IF(OR(4&gt;$B$3,ISBLANK(Actuals!F35)),"",Actuals!F35)</f>
        <v/>
      </c>
      <c r="P29" s="509">
        <f>IF(OR(4&gt;$B$3,ISBLANK(Actuals!F35)),"",Budget!F35-Actuals!F35)</f>
        <v/>
      </c>
      <c r="Q29" s="509">
        <f>IFERROR(IF(OR(4&gt;$B$3,ISBLANK(Actuals!F35)),"",(Budget!F35-Actuals!F35)/ABS(Budget!F35)),"")</f>
        <v/>
      </c>
      <c r="R29" s="508">
        <f>Budget!G35</f>
        <v/>
      </c>
      <c r="S29" s="508">
        <f>IF(OR(5&gt;$B$3,ISBLANK(Actuals!G35)),"",Actuals!G35)</f>
        <v/>
      </c>
      <c r="T29" s="509">
        <f>IF(OR(5&gt;$B$3,ISBLANK(Actuals!G35)),"",Budget!G35-Actuals!G35)</f>
        <v/>
      </c>
      <c r="U29" s="509">
        <f>IFERROR(IF(OR(5&gt;$B$3,ISBLANK(Actuals!G35)),"",(Budget!G35-Actuals!G35)/ABS(Budget!G35)),"")</f>
        <v/>
      </c>
      <c r="V29" s="508">
        <f>Budget!H35</f>
        <v/>
      </c>
      <c r="W29" s="508">
        <f>IF(OR(6&gt;$B$3,ISBLANK(Actuals!H35)),"",Actuals!H35)</f>
        <v/>
      </c>
      <c r="X29" s="509">
        <f>IF(OR(6&gt;$B$3,ISBLANK(Actuals!H35)),"",Budget!H35-Actuals!H35)</f>
        <v/>
      </c>
      <c r="Y29" s="509">
        <f>IFERROR(IF(OR(6&gt;$B$3,ISBLANK(Actuals!H35)),"",(Budget!H35-Actuals!H35)/ABS(Budget!H35)),"")</f>
        <v/>
      </c>
      <c r="Z29" s="508">
        <f>Budget!I35</f>
        <v/>
      </c>
      <c r="AA29" s="508">
        <f>IF(OR(7&gt;$B$3,ISBLANK(Actuals!I35)),"",Actuals!I35)</f>
        <v/>
      </c>
      <c r="AB29" s="509">
        <f>IF(OR(7&gt;$B$3,ISBLANK(Actuals!I35)),"",Budget!I35-Actuals!I35)</f>
        <v/>
      </c>
      <c r="AC29" s="509">
        <f>IFERROR(IF(OR(7&gt;$B$3,ISBLANK(Actuals!I35)),"",(Budget!I35-Actuals!I35)/ABS(Budget!I35)),"")</f>
        <v/>
      </c>
      <c r="AD29" s="508">
        <f>Budget!J35</f>
        <v/>
      </c>
      <c r="AE29" s="508">
        <f>IF(OR(8&gt;$B$3,ISBLANK(Actuals!J35)),"",Actuals!J35)</f>
        <v/>
      </c>
      <c r="AF29" s="509">
        <f>IF(OR(8&gt;$B$3,ISBLANK(Actuals!J35)),"",Budget!J35-Actuals!J35)</f>
        <v/>
      </c>
      <c r="AG29" s="509">
        <f>IFERROR(IF(OR(8&gt;$B$3,ISBLANK(Actuals!J35)),"",(Budget!J35-Actuals!J35)/ABS(Budget!J35)),"")</f>
        <v/>
      </c>
      <c r="AH29" s="508">
        <f>Budget!K35</f>
        <v/>
      </c>
      <c r="AI29" s="508">
        <f>IF(OR(9&gt;$B$3,ISBLANK(Actuals!K35)),"",Actuals!K35)</f>
        <v/>
      </c>
      <c r="AJ29" s="509">
        <f>IF(OR(9&gt;$B$3,ISBLANK(Actuals!K35)),"",Budget!K35-Actuals!K35)</f>
        <v/>
      </c>
      <c r="AK29" s="509">
        <f>IFERROR(IF(OR(9&gt;$B$3,ISBLANK(Actuals!K35)),"",(Budget!K35-Actuals!K35)/ABS(Budget!K35)),"")</f>
        <v/>
      </c>
      <c r="AL29" s="508">
        <f>Budget!L35</f>
        <v/>
      </c>
      <c r="AM29" s="508">
        <f>IF(OR(10&gt;$B$3,ISBLANK(Actuals!L35)),"",Actuals!L35)</f>
        <v/>
      </c>
      <c r="AN29" s="509">
        <f>IF(OR(10&gt;$B$3,ISBLANK(Actuals!L35)),"",Budget!L35-Actuals!L35)</f>
        <v/>
      </c>
      <c r="AO29" s="509">
        <f>IFERROR(IF(OR(10&gt;$B$3,ISBLANK(Actuals!L35)),"",(Budget!L35-Actuals!L35)/ABS(Budget!L35)),"")</f>
        <v/>
      </c>
      <c r="AP29" s="508">
        <f>Budget!M35</f>
        <v/>
      </c>
      <c r="AQ29" s="508">
        <f>IF(OR(11&gt;$B$3,ISBLANK(Actuals!M35)),"",Actuals!M35)</f>
        <v/>
      </c>
      <c r="AR29" s="509">
        <f>IF(OR(11&gt;$B$3,ISBLANK(Actuals!M35)),"",Budget!M35-Actuals!M35)</f>
        <v/>
      </c>
      <c r="AS29" s="509">
        <f>IFERROR(IF(OR(11&gt;$B$3,ISBLANK(Actuals!M35)),"",(Budget!M35-Actuals!M35)/ABS(Budget!M35)),"")</f>
        <v/>
      </c>
      <c r="AT29" s="508">
        <f>Budget!N35</f>
        <v/>
      </c>
      <c r="AU29" s="508">
        <f>IF(OR(12&gt;$B$3,ISBLANK(Actuals!N35)),"",Actuals!N35)</f>
        <v/>
      </c>
      <c r="AV29" s="509">
        <f>IF(OR(12&gt;$B$3,ISBLANK(Actuals!N35)),"",Budget!N35-Actuals!N35)</f>
        <v/>
      </c>
      <c r="AW29" s="509">
        <f>IFERROR(IF(OR(12&gt;$B$3,ISBLANK(Actuals!N35)),"",(Budget!N35-Actuals!N35)/ABS(Budget!N35)),"")</f>
        <v/>
      </c>
      <c r="AX29" s="510">
        <f>SUMPRODUCT((Actuals!C35:N35&lt;&gt;"")*(Budget!C35:N35))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Budget!C36</f>
        <v/>
      </c>
      <c r="C30" s="508">
        <f>IF(OR(1&gt;$B$3,ISBLANK(Actuals!C36)),"",Actuals!C36)</f>
        <v/>
      </c>
      <c r="D30" s="509">
        <f>IF(OR(1&gt;$B$3,ISBLANK(Actuals!C36)),"",Budget!C36-Actuals!C36)</f>
        <v/>
      </c>
      <c r="E30" s="509">
        <f>IFERROR(IF(OR(1&gt;$B$3,ISBLANK(Actuals!C36)),"",(Budget!C36-Actuals!C36)/ABS(Budget!C36)),"")</f>
        <v/>
      </c>
      <c r="F30" s="508">
        <f>Budget!D36</f>
        <v/>
      </c>
      <c r="G30" s="508">
        <f>IF(OR(2&gt;$B$3,ISBLANK(Actuals!D36)),"",Actuals!D36)</f>
        <v/>
      </c>
      <c r="H30" s="509">
        <f>IF(OR(2&gt;$B$3,ISBLANK(Actuals!D36)),"",Budget!D36-Actuals!D36)</f>
        <v/>
      </c>
      <c r="I30" s="509">
        <f>IFERROR(IF(OR(2&gt;$B$3,ISBLANK(Actuals!D36)),"",(Budget!D36-Actuals!D36)/ABS(Budget!D36)),"")</f>
        <v/>
      </c>
      <c r="J30" s="508">
        <f>Budget!E36</f>
        <v/>
      </c>
      <c r="K30" s="508">
        <f>IF(OR(3&gt;$B$3,ISBLANK(Actuals!E36)),"",Actuals!E36)</f>
        <v/>
      </c>
      <c r="L30" s="509">
        <f>IF(OR(3&gt;$B$3,ISBLANK(Actuals!E36)),"",Budget!E36-Actuals!E36)</f>
        <v/>
      </c>
      <c r="M30" s="509">
        <f>IFERROR(IF(OR(3&gt;$B$3,ISBLANK(Actuals!E36)),"",(Budget!E36-Actuals!E36)/ABS(Budget!E36)),"")</f>
        <v/>
      </c>
      <c r="N30" s="508">
        <f>Budget!F36</f>
        <v/>
      </c>
      <c r="O30" s="508">
        <f>IF(OR(4&gt;$B$3,ISBLANK(Actuals!F36)),"",Actuals!F36)</f>
        <v/>
      </c>
      <c r="P30" s="509">
        <f>IF(OR(4&gt;$B$3,ISBLANK(Actuals!F36)),"",Budget!F36-Actuals!F36)</f>
        <v/>
      </c>
      <c r="Q30" s="509">
        <f>IFERROR(IF(OR(4&gt;$B$3,ISBLANK(Actuals!F36)),"",(Budget!F36-Actuals!F36)/ABS(Budget!F36)),"")</f>
        <v/>
      </c>
      <c r="R30" s="508">
        <f>Budget!G36</f>
        <v/>
      </c>
      <c r="S30" s="508">
        <f>IF(OR(5&gt;$B$3,ISBLANK(Actuals!G36)),"",Actuals!G36)</f>
        <v/>
      </c>
      <c r="T30" s="509">
        <f>IF(OR(5&gt;$B$3,ISBLANK(Actuals!G36)),"",Budget!G36-Actuals!G36)</f>
        <v/>
      </c>
      <c r="U30" s="509">
        <f>IFERROR(IF(OR(5&gt;$B$3,ISBLANK(Actuals!G36)),"",(Budget!G36-Actuals!G36)/ABS(Budget!G36)),"")</f>
        <v/>
      </c>
      <c r="V30" s="508">
        <f>Budget!H36</f>
        <v/>
      </c>
      <c r="W30" s="508">
        <f>IF(OR(6&gt;$B$3,ISBLANK(Actuals!H36)),"",Actuals!H36)</f>
        <v/>
      </c>
      <c r="X30" s="509">
        <f>IF(OR(6&gt;$B$3,ISBLANK(Actuals!H36)),"",Budget!H36-Actuals!H36)</f>
        <v/>
      </c>
      <c r="Y30" s="509">
        <f>IFERROR(IF(OR(6&gt;$B$3,ISBLANK(Actuals!H36)),"",(Budget!H36-Actuals!H36)/ABS(Budget!H36)),"")</f>
        <v/>
      </c>
      <c r="Z30" s="508">
        <f>Budget!I36</f>
        <v/>
      </c>
      <c r="AA30" s="508">
        <f>IF(OR(7&gt;$B$3,ISBLANK(Actuals!I36)),"",Actuals!I36)</f>
        <v/>
      </c>
      <c r="AB30" s="509">
        <f>IF(OR(7&gt;$B$3,ISBLANK(Actuals!I36)),"",Budget!I36-Actuals!I36)</f>
        <v/>
      </c>
      <c r="AC30" s="509">
        <f>IFERROR(IF(OR(7&gt;$B$3,ISBLANK(Actuals!I36)),"",(Budget!I36-Actuals!I36)/ABS(Budget!I36)),"")</f>
        <v/>
      </c>
      <c r="AD30" s="508">
        <f>Budget!J36</f>
        <v/>
      </c>
      <c r="AE30" s="508">
        <f>IF(OR(8&gt;$B$3,ISBLANK(Actuals!J36)),"",Actuals!J36)</f>
        <v/>
      </c>
      <c r="AF30" s="509">
        <f>IF(OR(8&gt;$B$3,ISBLANK(Actuals!J36)),"",Budget!J36-Actuals!J36)</f>
        <v/>
      </c>
      <c r="AG30" s="509">
        <f>IFERROR(IF(OR(8&gt;$B$3,ISBLANK(Actuals!J36)),"",(Budget!J36-Actuals!J36)/ABS(Budget!J36)),"")</f>
        <v/>
      </c>
      <c r="AH30" s="508">
        <f>Budget!K36</f>
        <v/>
      </c>
      <c r="AI30" s="508">
        <f>IF(OR(9&gt;$B$3,ISBLANK(Actuals!K36)),"",Actuals!K36)</f>
        <v/>
      </c>
      <c r="AJ30" s="509">
        <f>IF(OR(9&gt;$B$3,ISBLANK(Actuals!K36)),"",Budget!K36-Actuals!K36)</f>
        <v/>
      </c>
      <c r="AK30" s="509">
        <f>IFERROR(IF(OR(9&gt;$B$3,ISBLANK(Actuals!K36)),"",(Budget!K36-Actuals!K36)/ABS(Budget!K36)),"")</f>
        <v/>
      </c>
      <c r="AL30" s="508">
        <f>Budget!L36</f>
        <v/>
      </c>
      <c r="AM30" s="508">
        <f>IF(OR(10&gt;$B$3,ISBLANK(Actuals!L36)),"",Actuals!L36)</f>
        <v/>
      </c>
      <c r="AN30" s="509">
        <f>IF(OR(10&gt;$B$3,ISBLANK(Actuals!L36)),"",Budget!L36-Actuals!L36)</f>
        <v/>
      </c>
      <c r="AO30" s="509">
        <f>IFERROR(IF(OR(10&gt;$B$3,ISBLANK(Actuals!L36)),"",(Budget!L36-Actuals!L36)/ABS(Budget!L36)),"")</f>
        <v/>
      </c>
      <c r="AP30" s="508">
        <f>Budget!M36</f>
        <v/>
      </c>
      <c r="AQ30" s="508">
        <f>IF(OR(11&gt;$B$3,ISBLANK(Actuals!M36)),"",Actuals!M36)</f>
        <v/>
      </c>
      <c r="AR30" s="509">
        <f>IF(OR(11&gt;$B$3,ISBLANK(Actuals!M36)),"",Budget!M36-Actuals!M36)</f>
        <v/>
      </c>
      <c r="AS30" s="509">
        <f>IFERROR(IF(OR(11&gt;$B$3,ISBLANK(Actuals!M36)),"",(Budget!M36-Actuals!M36)/ABS(Budget!M36)),"")</f>
        <v/>
      </c>
      <c r="AT30" s="508">
        <f>Budget!N36</f>
        <v/>
      </c>
      <c r="AU30" s="508">
        <f>IF(OR(12&gt;$B$3,ISBLANK(Actuals!N36)),"",Actuals!N36)</f>
        <v/>
      </c>
      <c r="AV30" s="509">
        <f>IF(OR(12&gt;$B$3,ISBLANK(Actuals!N36)),"",Budget!N36-Actuals!N36)</f>
        <v/>
      </c>
      <c r="AW30" s="509">
        <f>IFERROR(IF(OR(12&gt;$B$3,ISBLANK(Actuals!N36)),"",(Budget!N36-Actuals!N36)/ABS(Budget!N36)),"")</f>
        <v/>
      </c>
      <c r="AX30" s="510">
        <f>SUMPRODUCT((Actuals!C36:N36&lt;&gt;"")*(Budget!C36:N36))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Budget!C37</f>
        <v/>
      </c>
      <c r="C31" s="508">
        <f>IF(OR(1&gt;$B$3,ISBLANK(Actuals!C37)),"",Actuals!C37)</f>
        <v/>
      </c>
      <c r="D31" s="509">
        <f>IF(OR(1&gt;$B$3,ISBLANK(Actuals!C37)),"",Budget!C37-Actuals!C37)</f>
        <v/>
      </c>
      <c r="E31" s="509">
        <f>IFERROR(IF(OR(1&gt;$B$3,ISBLANK(Actuals!C37)),"",(Budget!C37-Actuals!C37)/ABS(Budget!C37)),"")</f>
        <v/>
      </c>
      <c r="F31" s="508">
        <f>Budget!D37</f>
        <v/>
      </c>
      <c r="G31" s="508">
        <f>IF(OR(2&gt;$B$3,ISBLANK(Actuals!D37)),"",Actuals!D37)</f>
        <v/>
      </c>
      <c r="H31" s="509">
        <f>IF(OR(2&gt;$B$3,ISBLANK(Actuals!D37)),"",Budget!D37-Actuals!D37)</f>
        <v/>
      </c>
      <c r="I31" s="509">
        <f>IFERROR(IF(OR(2&gt;$B$3,ISBLANK(Actuals!D37)),"",(Budget!D37-Actuals!D37)/ABS(Budget!D37)),"")</f>
        <v/>
      </c>
      <c r="J31" s="508">
        <f>Budget!E37</f>
        <v/>
      </c>
      <c r="K31" s="508">
        <f>IF(OR(3&gt;$B$3,ISBLANK(Actuals!E37)),"",Actuals!E37)</f>
        <v/>
      </c>
      <c r="L31" s="509">
        <f>IF(OR(3&gt;$B$3,ISBLANK(Actuals!E37)),"",Budget!E37-Actuals!E37)</f>
        <v/>
      </c>
      <c r="M31" s="509">
        <f>IFERROR(IF(OR(3&gt;$B$3,ISBLANK(Actuals!E37)),"",(Budget!E37-Actuals!E37)/ABS(Budget!E37)),"")</f>
        <v/>
      </c>
      <c r="N31" s="508">
        <f>Budget!F37</f>
        <v/>
      </c>
      <c r="O31" s="508">
        <f>IF(OR(4&gt;$B$3,ISBLANK(Actuals!F37)),"",Actuals!F37)</f>
        <v/>
      </c>
      <c r="P31" s="509">
        <f>IF(OR(4&gt;$B$3,ISBLANK(Actuals!F37)),"",Budget!F37-Actuals!F37)</f>
        <v/>
      </c>
      <c r="Q31" s="509">
        <f>IFERROR(IF(OR(4&gt;$B$3,ISBLANK(Actuals!F37)),"",(Budget!F37-Actuals!F37)/ABS(Budget!F37)),"")</f>
        <v/>
      </c>
      <c r="R31" s="508">
        <f>Budget!G37</f>
        <v/>
      </c>
      <c r="S31" s="508">
        <f>IF(OR(5&gt;$B$3,ISBLANK(Actuals!G37)),"",Actuals!G37)</f>
        <v/>
      </c>
      <c r="T31" s="509">
        <f>IF(OR(5&gt;$B$3,ISBLANK(Actuals!G37)),"",Budget!G37-Actuals!G37)</f>
        <v/>
      </c>
      <c r="U31" s="509">
        <f>IFERROR(IF(OR(5&gt;$B$3,ISBLANK(Actuals!G37)),"",(Budget!G37-Actuals!G37)/ABS(Budget!G37)),"")</f>
        <v/>
      </c>
      <c r="V31" s="508">
        <f>Budget!H37</f>
        <v/>
      </c>
      <c r="W31" s="508">
        <f>IF(OR(6&gt;$B$3,ISBLANK(Actuals!H37)),"",Actuals!H37)</f>
        <v/>
      </c>
      <c r="X31" s="509">
        <f>IF(OR(6&gt;$B$3,ISBLANK(Actuals!H37)),"",Budget!H37-Actuals!H37)</f>
        <v/>
      </c>
      <c r="Y31" s="509">
        <f>IFERROR(IF(OR(6&gt;$B$3,ISBLANK(Actuals!H37)),"",(Budget!H37-Actuals!H37)/ABS(Budget!H37)),"")</f>
        <v/>
      </c>
      <c r="Z31" s="508">
        <f>Budget!I37</f>
        <v/>
      </c>
      <c r="AA31" s="508">
        <f>IF(OR(7&gt;$B$3,ISBLANK(Actuals!I37)),"",Actuals!I37)</f>
        <v/>
      </c>
      <c r="AB31" s="509">
        <f>IF(OR(7&gt;$B$3,ISBLANK(Actuals!I37)),"",Budget!I37-Actuals!I37)</f>
        <v/>
      </c>
      <c r="AC31" s="509">
        <f>IFERROR(IF(OR(7&gt;$B$3,ISBLANK(Actuals!I37)),"",(Budget!I37-Actuals!I37)/ABS(Budget!I37)),"")</f>
        <v/>
      </c>
      <c r="AD31" s="508">
        <f>Budget!J37</f>
        <v/>
      </c>
      <c r="AE31" s="508">
        <f>IF(OR(8&gt;$B$3,ISBLANK(Actuals!J37)),"",Actuals!J37)</f>
        <v/>
      </c>
      <c r="AF31" s="509">
        <f>IF(OR(8&gt;$B$3,ISBLANK(Actuals!J37)),"",Budget!J37-Actuals!J37)</f>
        <v/>
      </c>
      <c r="AG31" s="509">
        <f>IFERROR(IF(OR(8&gt;$B$3,ISBLANK(Actuals!J37)),"",(Budget!J37-Actuals!J37)/ABS(Budget!J37)),"")</f>
        <v/>
      </c>
      <c r="AH31" s="508">
        <f>Budget!K37</f>
        <v/>
      </c>
      <c r="AI31" s="508">
        <f>IF(OR(9&gt;$B$3,ISBLANK(Actuals!K37)),"",Actuals!K37)</f>
        <v/>
      </c>
      <c r="AJ31" s="509">
        <f>IF(OR(9&gt;$B$3,ISBLANK(Actuals!K37)),"",Budget!K37-Actuals!K37)</f>
        <v/>
      </c>
      <c r="AK31" s="509">
        <f>IFERROR(IF(OR(9&gt;$B$3,ISBLANK(Actuals!K37)),"",(Budget!K37-Actuals!K37)/ABS(Budget!K37)),"")</f>
        <v/>
      </c>
      <c r="AL31" s="508">
        <f>Budget!L37</f>
        <v/>
      </c>
      <c r="AM31" s="508">
        <f>IF(OR(10&gt;$B$3,ISBLANK(Actuals!L37)),"",Actuals!L37)</f>
        <v/>
      </c>
      <c r="AN31" s="509">
        <f>IF(OR(10&gt;$B$3,ISBLANK(Actuals!L37)),"",Budget!L37-Actuals!L37)</f>
        <v/>
      </c>
      <c r="AO31" s="509">
        <f>IFERROR(IF(OR(10&gt;$B$3,ISBLANK(Actuals!L37)),"",(Budget!L37-Actuals!L37)/ABS(Budget!L37)),"")</f>
        <v/>
      </c>
      <c r="AP31" s="508">
        <f>Budget!M37</f>
        <v/>
      </c>
      <c r="AQ31" s="508">
        <f>IF(OR(11&gt;$B$3,ISBLANK(Actuals!M37)),"",Actuals!M37)</f>
        <v/>
      </c>
      <c r="AR31" s="509">
        <f>IF(OR(11&gt;$B$3,ISBLANK(Actuals!M37)),"",Budget!M37-Actuals!M37)</f>
        <v/>
      </c>
      <c r="AS31" s="509">
        <f>IFERROR(IF(OR(11&gt;$B$3,ISBLANK(Actuals!M37)),"",(Budget!M37-Actuals!M37)/ABS(Budget!M37)),"")</f>
        <v/>
      </c>
      <c r="AT31" s="508">
        <f>Budget!N37</f>
        <v/>
      </c>
      <c r="AU31" s="508">
        <f>IF(OR(12&gt;$B$3,ISBLANK(Actuals!N37)),"",Actuals!N37)</f>
        <v/>
      </c>
      <c r="AV31" s="509">
        <f>IF(OR(12&gt;$B$3,ISBLANK(Actuals!N37)),"",Budget!N37-Actuals!N37)</f>
        <v/>
      </c>
      <c r="AW31" s="509">
        <f>IFERROR(IF(OR(12&gt;$B$3,ISBLANK(Actuals!N37)),"",(Budget!N37-Actuals!N37)/ABS(Budget!N37)),"")</f>
        <v/>
      </c>
      <c r="AX31" s="510">
        <f>SUMPRODUCT((Actuals!C37:N37&lt;&gt;"")*(Budget!C37:N37))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Budget!C38</f>
        <v/>
      </c>
      <c r="C32" s="508">
        <f>IF(OR(1&gt;$B$3,ISBLANK(Actuals!C38)),"",Actuals!C38)</f>
        <v/>
      </c>
      <c r="D32" s="509">
        <f>IF(OR(1&gt;$B$3,ISBLANK(Actuals!C38)),"",Budget!C38-Actuals!C38)</f>
        <v/>
      </c>
      <c r="E32" s="509">
        <f>IFERROR(IF(OR(1&gt;$B$3,ISBLANK(Actuals!C38)),"",(Budget!C38-Actuals!C38)/ABS(Budget!C38)),"")</f>
        <v/>
      </c>
      <c r="F32" s="508">
        <f>Budget!D38</f>
        <v/>
      </c>
      <c r="G32" s="508">
        <f>IF(OR(2&gt;$B$3,ISBLANK(Actuals!D38)),"",Actuals!D38)</f>
        <v/>
      </c>
      <c r="H32" s="509">
        <f>IF(OR(2&gt;$B$3,ISBLANK(Actuals!D38)),"",Budget!D38-Actuals!D38)</f>
        <v/>
      </c>
      <c r="I32" s="509">
        <f>IFERROR(IF(OR(2&gt;$B$3,ISBLANK(Actuals!D38)),"",(Budget!D38-Actuals!D38)/ABS(Budget!D38)),"")</f>
        <v/>
      </c>
      <c r="J32" s="508">
        <f>Budget!E38</f>
        <v/>
      </c>
      <c r="K32" s="508">
        <f>IF(OR(3&gt;$B$3,ISBLANK(Actuals!E38)),"",Actuals!E38)</f>
        <v/>
      </c>
      <c r="L32" s="509">
        <f>IF(OR(3&gt;$B$3,ISBLANK(Actuals!E38)),"",Budget!E38-Actuals!E38)</f>
        <v/>
      </c>
      <c r="M32" s="509">
        <f>IFERROR(IF(OR(3&gt;$B$3,ISBLANK(Actuals!E38)),"",(Budget!E38-Actuals!E38)/ABS(Budget!E38)),"")</f>
        <v/>
      </c>
      <c r="N32" s="508">
        <f>Budget!F38</f>
        <v/>
      </c>
      <c r="O32" s="508">
        <f>IF(OR(4&gt;$B$3,ISBLANK(Actuals!F38)),"",Actuals!F38)</f>
        <v/>
      </c>
      <c r="P32" s="509">
        <f>IF(OR(4&gt;$B$3,ISBLANK(Actuals!F38)),"",Budget!F38-Actuals!F38)</f>
        <v/>
      </c>
      <c r="Q32" s="509">
        <f>IFERROR(IF(OR(4&gt;$B$3,ISBLANK(Actuals!F38)),"",(Budget!F38-Actuals!F38)/ABS(Budget!F38)),"")</f>
        <v/>
      </c>
      <c r="R32" s="508">
        <f>Budget!G38</f>
        <v/>
      </c>
      <c r="S32" s="508">
        <f>IF(OR(5&gt;$B$3,ISBLANK(Actuals!G38)),"",Actuals!G38)</f>
        <v/>
      </c>
      <c r="T32" s="509">
        <f>IF(OR(5&gt;$B$3,ISBLANK(Actuals!G38)),"",Budget!G38-Actuals!G38)</f>
        <v/>
      </c>
      <c r="U32" s="509">
        <f>IFERROR(IF(OR(5&gt;$B$3,ISBLANK(Actuals!G38)),"",(Budget!G38-Actuals!G38)/ABS(Budget!G38)),"")</f>
        <v/>
      </c>
      <c r="V32" s="508">
        <f>Budget!H38</f>
        <v/>
      </c>
      <c r="W32" s="508">
        <f>IF(OR(6&gt;$B$3,ISBLANK(Actuals!H38)),"",Actuals!H38)</f>
        <v/>
      </c>
      <c r="X32" s="509">
        <f>IF(OR(6&gt;$B$3,ISBLANK(Actuals!H38)),"",Budget!H38-Actuals!H38)</f>
        <v/>
      </c>
      <c r="Y32" s="509">
        <f>IFERROR(IF(OR(6&gt;$B$3,ISBLANK(Actuals!H38)),"",(Budget!H38-Actuals!H38)/ABS(Budget!H38)),"")</f>
        <v/>
      </c>
      <c r="Z32" s="508">
        <f>Budget!I38</f>
        <v/>
      </c>
      <c r="AA32" s="508">
        <f>IF(OR(7&gt;$B$3,ISBLANK(Actuals!I38)),"",Actuals!I38)</f>
        <v/>
      </c>
      <c r="AB32" s="509">
        <f>IF(OR(7&gt;$B$3,ISBLANK(Actuals!I38)),"",Budget!I38-Actuals!I38)</f>
        <v/>
      </c>
      <c r="AC32" s="509">
        <f>IFERROR(IF(OR(7&gt;$B$3,ISBLANK(Actuals!I38)),"",(Budget!I38-Actuals!I38)/ABS(Budget!I38)),"")</f>
        <v/>
      </c>
      <c r="AD32" s="508">
        <f>Budget!J38</f>
        <v/>
      </c>
      <c r="AE32" s="508">
        <f>IF(OR(8&gt;$B$3,ISBLANK(Actuals!J38)),"",Actuals!J38)</f>
        <v/>
      </c>
      <c r="AF32" s="509">
        <f>IF(OR(8&gt;$B$3,ISBLANK(Actuals!J38)),"",Budget!J38-Actuals!J38)</f>
        <v/>
      </c>
      <c r="AG32" s="509">
        <f>IFERROR(IF(OR(8&gt;$B$3,ISBLANK(Actuals!J38)),"",(Budget!J38-Actuals!J38)/ABS(Budget!J38)),"")</f>
        <v/>
      </c>
      <c r="AH32" s="508">
        <f>Budget!K38</f>
        <v/>
      </c>
      <c r="AI32" s="508">
        <f>IF(OR(9&gt;$B$3,ISBLANK(Actuals!K38)),"",Actuals!K38)</f>
        <v/>
      </c>
      <c r="AJ32" s="509">
        <f>IF(OR(9&gt;$B$3,ISBLANK(Actuals!K38)),"",Budget!K38-Actuals!K38)</f>
        <v/>
      </c>
      <c r="AK32" s="509">
        <f>IFERROR(IF(OR(9&gt;$B$3,ISBLANK(Actuals!K38)),"",(Budget!K38-Actuals!K38)/ABS(Budget!K38)),"")</f>
        <v/>
      </c>
      <c r="AL32" s="508">
        <f>Budget!L38</f>
        <v/>
      </c>
      <c r="AM32" s="508">
        <f>IF(OR(10&gt;$B$3,ISBLANK(Actuals!L38)),"",Actuals!L38)</f>
        <v/>
      </c>
      <c r="AN32" s="509">
        <f>IF(OR(10&gt;$B$3,ISBLANK(Actuals!L38)),"",Budget!L38-Actuals!L38)</f>
        <v/>
      </c>
      <c r="AO32" s="509">
        <f>IFERROR(IF(OR(10&gt;$B$3,ISBLANK(Actuals!L38)),"",(Budget!L38-Actuals!L38)/ABS(Budget!L38)),"")</f>
        <v/>
      </c>
      <c r="AP32" s="508">
        <f>Budget!M38</f>
        <v/>
      </c>
      <c r="AQ32" s="508">
        <f>IF(OR(11&gt;$B$3,ISBLANK(Actuals!M38)),"",Actuals!M38)</f>
        <v/>
      </c>
      <c r="AR32" s="509">
        <f>IF(OR(11&gt;$B$3,ISBLANK(Actuals!M38)),"",Budget!M38-Actuals!M38)</f>
        <v/>
      </c>
      <c r="AS32" s="509">
        <f>IFERROR(IF(OR(11&gt;$B$3,ISBLANK(Actuals!M38)),"",(Budget!M38-Actuals!M38)/ABS(Budget!M38)),"")</f>
        <v/>
      </c>
      <c r="AT32" s="508">
        <f>Budget!N38</f>
        <v/>
      </c>
      <c r="AU32" s="508">
        <f>IF(OR(12&gt;$B$3,ISBLANK(Actuals!N38)),"",Actuals!N38)</f>
        <v/>
      </c>
      <c r="AV32" s="509">
        <f>IF(OR(12&gt;$B$3,ISBLANK(Actuals!N38)),"",Budget!N38-Actuals!N38)</f>
        <v/>
      </c>
      <c r="AW32" s="509">
        <f>IFERROR(IF(OR(12&gt;$B$3,ISBLANK(Actuals!N38)),"",(Budget!N38-Actuals!N38)/ABS(Budget!N38)),"")</f>
        <v/>
      </c>
      <c r="AX32" s="510">
        <f>SUMPRODUCT((Actuals!C38:N38&lt;&gt;"")*(Budget!C38:N38))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Budget!C39</f>
        <v/>
      </c>
      <c r="C33" s="508">
        <f>IF(OR(1&gt;$B$3,ISBLANK(Actuals!C39)),"",Actuals!C39)</f>
        <v/>
      </c>
      <c r="D33" s="509">
        <f>IF(OR(1&gt;$B$3,ISBLANK(Actuals!C39)),"",Budget!C39-Actuals!C39)</f>
        <v/>
      </c>
      <c r="E33" s="509">
        <f>IFERROR(IF(OR(1&gt;$B$3,ISBLANK(Actuals!C39)),"",(Budget!C39-Actuals!C39)/ABS(Budget!C39)),"")</f>
        <v/>
      </c>
      <c r="F33" s="508">
        <f>Budget!D39</f>
        <v/>
      </c>
      <c r="G33" s="508">
        <f>IF(OR(2&gt;$B$3,ISBLANK(Actuals!D39)),"",Actuals!D39)</f>
        <v/>
      </c>
      <c r="H33" s="509">
        <f>IF(OR(2&gt;$B$3,ISBLANK(Actuals!D39)),"",Budget!D39-Actuals!D39)</f>
        <v/>
      </c>
      <c r="I33" s="509">
        <f>IFERROR(IF(OR(2&gt;$B$3,ISBLANK(Actuals!D39)),"",(Budget!D39-Actuals!D39)/ABS(Budget!D39)),"")</f>
        <v/>
      </c>
      <c r="J33" s="508">
        <f>Budget!E39</f>
        <v/>
      </c>
      <c r="K33" s="508">
        <f>IF(OR(3&gt;$B$3,ISBLANK(Actuals!E39)),"",Actuals!E39)</f>
        <v/>
      </c>
      <c r="L33" s="509">
        <f>IF(OR(3&gt;$B$3,ISBLANK(Actuals!E39)),"",Budget!E39-Actuals!E39)</f>
        <v/>
      </c>
      <c r="M33" s="509">
        <f>IFERROR(IF(OR(3&gt;$B$3,ISBLANK(Actuals!E39)),"",(Budget!E39-Actuals!E39)/ABS(Budget!E39)),"")</f>
        <v/>
      </c>
      <c r="N33" s="508">
        <f>Budget!F39</f>
        <v/>
      </c>
      <c r="O33" s="508">
        <f>IF(OR(4&gt;$B$3,ISBLANK(Actuals!F39)),"",Actuals!F39)</f>
        <v/>
      </c>
      <c r="P33" s="509">
        <f>IF(OR(4&gt;$B$3,ISBLANK(Actuals!F39)),"",Budget!F39-Actuals!F39)</f>
        <v/>
      </c>
      <c r="Q33" s="509">
        <f>IFERROR(IF(OR(4&gt;$B$3,ISBLANK(Actuals!F39)),"",(Budget!F39-Actuals!F39)/ABS(Budget!F39)),"")</f>
        <v/>
      </c>
      <c r="R33" s="508">
        <f>Budget!G39</f>
        <v/>
      </c>
      <c r="S33" s="508">
        <f>IF(OR(5&gt;$B$3,ISBLANK(Actuals!G39)),"",Actuals!G39)</f>
        <v/>
      </c>
      <c r="T33" s="509">
        <f>IF(OR(5&gt;$B$3,ISBLANK(Actuals!G39)),"",Budget!G39-Actuals!G39)</f>
        <v/>
      </c>
      <c r="U33" s="509">
        <f>IFERROR(IF(OR(5&gt;$B$3,ISBLANK(Actuals!G39)),"",(Budget!G39-Actuals!G39)/ABS(Budget!G39)),"")</f>
        <v/>
      </c>
      <c r="V33" s="508">
        <f>Budget!H39</f>
        <v/>
      </c>
      <c r="W33" s="508">
        <f>IF(OR(6&gt;$B$3,ISBLANK(Actuals!H39)),"",Actuals!H39)</f>
        <v/>
      </c>
      <c r="X33" s="509">
        <f>IF(OR(6&gt;$B$3,ISBLANK(Actuals!H39)),"",Budget!H39-Actuals!H39)</f>
        <v/>
      </c>
      <c r="Y33" s="509">
        <f>IFERROR(IF(OR(6&gt;$B$3,ISBLANK(Actuals!H39)),"",(Budget!H39-Actuals!H39)/ABS(Budget!H39)),"")</f>
        <v/>
      </c>
      <c r="Z33" s="508">
        <f>Budget!I39</f>
        <v/>
      </c>
      <c r="AA33" s="508">
        <f>IF(OR(7&gt;$B$3,ISBLANK(Actuals!I39)),"",Actuals!I39)</f>
        <v/>
      </c>
      <c r="AB33" s="509">
        <f>IF(OR(7&gt;$B$3,ISBLANK(Actuals!I39)),"",Budget!I39-Actuals!I39)</f>
        <v/>
      </c>
      <c r="AC33" s="509">
        <f>IFERROR(IF(OR(7&gt;$B$3,ISBLANK(Actuals!I39)),"",(Budget!I39-Actuals!I39)/ABS(Budget!I39)),"")</f>
        <v/>
      </c>
      <c r="AD33" s="508">
        <f>Budget!J39</f>
        <v/>
      </c>
      <c r="AE33" s="508">
        <f>IF(OR(8&gt;$B$3,ISBLANK(Actuals!J39)),"",Actuals!J39)</f>
        <v/>
      </c>
      <c r="AF33" s="509">
        <f>IF(OR(8&gt;$B$3,ISBLANK(Actuals!J39)),"",Budget!J39-Actuals!J39)</f>
        <v/>
      </c>
      <c r="AG33" s="509">
        <f>IFERROR(IF(OR(8&gt;$B$3,ISBLANK(Actuals!J39)),"",(Budget!J39-Actuals!J39)/ABS(Budget!J39)),"")</f>
        <v/>
      </c>
      <c r="AH33" s="508">
        <f>Budget!K39</f>
        <v/>
      </c>
      <c r="AI33" s="508">
        <f>IF(OR(9&gt;$B$3,ISBLANK(Actuals!K39)),"",Actuals!K39)</f>
        <v/>
      </c>
      <c r="AJ33" s="509">
        <f>IF(OR(9&gt;$B$3,ISBLANK(Actuals!K39)),"",Budget!K39-Actuals!K39)</f>
        <v/>
      </c>
      <c r="AK33" s="509">
        <f>IFERROR(IF(OR(9&gt;$B$3,ISBLANK(Actuals!K39)),"",(Budget!K39-Actuals!K39)/ABS(Budget!K39)),"")</f>
        <v/>
      </c>
      <c r="AL33" s="508">
        <f>Budget!L39</f>
        <v/>
      </c>
      <c r="AM33" s="508">
        <f>IF(OR(10&gt;$B$3,ISBLANK(Actuals!L39)),"",Actuals!L39)</f>
        <v/>
      </c>
      <c r="AN33" s="509">
        <f>IF(OR(10&gt;$B$3,ISBLANK(Actuals!L39)),"",Budget!L39-Actuals!L39)</f>
        <v/>
      </c>
      <c r="AO33" s="509">
        <f>IFERROR(IF(OR(10&gt;$B$3,ISBLANK(Actuals!L39)),"",(Budget!L39-Actuals!L39)/ABS(Budget!L39)),"")</f>
        <v/>
      </c>
      <c r="AP33" s="508">
        <f>Budget!M39</f>
        <v/>
      </c>
      <c r="AQ33" s="508">
        <f>IF(OR(11&gt;$B$3,ISBLANK(Actuals!M39)),"",Actuals!M39)</f>
        <v/>
      </c>
      <c r="AR33" s="509">
        <f>IF(OR(11&gt;$B$3,ISBLANK(Actuals!M39)),"",Budget!M39-Actuals!M39)</f>
        <v/>
      </c>
      <c r="AS33" s="509">
        <f>IFERROR(IF(OR(11&gt;$B$3,ISBLANK(Actuals!M39)),"",(Budget!M39-Actuals!M39)/ABS(Budget!M39)),"")</f>
        <v/>
      </c>
      <c r="AT33" s="508">
        <f>Budget!N39</f>
        <v/>
      </c>
      <c r="AU33" s="508">
        <f>IF(OR(12&gt;$B$3,ISBLANK(Actuals!N39)),"",Actuals!N39)</f>
        <v/>
      </c>
      <c r="AV33" s="509">
        <f>IF(OR(12&gt;$B$3,ISBLANK(Actuals!N39)),"",Budget!N39-Actuals!N39)</f>
        <v/>
      </c>
      <c r="AW33" s="509">
        <f>IFERROR(IF(OR(12&gt;$B$3,ISBLANK(Actuals!N39)),"",(Budget!N39-Actuals!N39)/ABS(Budget!N39)),"")</f>
        <v/>
      </c>
      <c r="AX33" s="510">
        <f>SUMPRODUCT((Actuals!C39:N39&lt;&gt;"")*(Budget!C39:N39))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Budget!C40</f>
        <v/>
      </c>
      <c r="C34" s="508">
        <f>IF(OR(1&gt;$B$3,ISBLANK(Actuals!C40)),"",Actuals!C40)</f>
        <v/>
      </c>
      <c r="D34" s="509">
        <f>IF(OR(1&gt;$B$3,ISBLANK(Actuals!C40)),"",Budget!C40-Actuals!C40)</f>
        <v/>
      </c>
      <c r="E34" s="509">
        <f>IFERROR(IF(OR(1&gt;$B$3,ISBLANK(Actuals!C40)),"",(Budget!C40-Actuals!C40)/ABS(Budget!C40)),"")</f>
        <v/>
      </c>
      <c r="F34" s="508">
        <f>Budget!D40</f>
        <v/>
      </c>
      <c r="G34" s="508">
        <f>IF(OR(2&gt;$B$3,ISBLANK(Actuals!D40)),"",Actuals!D40)</f>
        <v/>
      </c>
      <c r="H34" s="509">
        <f>IF(OR(2&gt;$B$3,ISBLANK(Actuals!D40)),"",Budget!D40-Actuals!D40)</f>
        <v/>
      </c>
      <c r="I34" s="509">
        <f>IFERROR(IF(OR(2&gt;$B$3,ISBLANK(Actuals!D40)),"",(Budget!D40-Actuals!D40)/ABS(Budget!D40)),"")</f>
        <v/>
      </c>
      <c r="J34" s="508">
        <f>Budget!E40</f>
        <v/>
      </c>
      <c r="K34" s="508">
        <f>IF(OR(3&gt;$B$3,ISBLANK(Actuals!E40)),"",Actuals!E40)</f>
        <v/>
      </c>
      <c r="L34" s="509">
        <f>IF(OR(3&gt;$B$3,ISBLANK(Actuals!E40)),"",Budget!E40-Actuals!E40)</f>
        <v/>
      </c>
      <c r="M34" s="509">
        <f>IFERROR(IF(OR(3&gt;$B$3,ISBLANK(Actuals!E40)),"",(Budget!E40-Actuals!E40)/ABS(Budget!E40)),"")</f>
        <v/>
      </c>
      <c r="N34" s="508">
        <f>Budget!F40</f>
        <v/>
      </c>
      <c r="O34" s="508">
        <f>IF(OR(4&gt;$B$3,ISBLANK(Actuals!F40)),"",Actuals!F40)</f>
        <v/>
      </c>
      <c r="P34" s="509">
        <f>IF(OR(4&gt;$B$3,ISBLANK(Actuals!F40)),"",Budget!F40-Actuals!F40)</f>
        <v/>
      </c>
      <c r="Q34" s="509">
        <f>IFERROR(IF(OR(4&gt;$B$3,ISBLANK(Actuals!F40)),"",(Budget!F40-Actuals!F40)/ABS(Budget!F40)),"")</f>
        <v/>
      </c>
      <c r="R34" s="508">
        <f>Budget!G40</f>
        <v/>
      </c>
      <c r="S34" s="508">
        <f>IF(OR(5&gt;$B$3,ISBLANK(Actuals!G40)),"",Actuals!G40)</f>
        <v/>
      </c>
      <c r="T34" s="509">
        <f>IF(OR(5&gt;$B$3,ISBLANK(Actuals!G40)),"",Budget!G40-Actuals!G40)</f>
        <v/>
      </c>
      <c r="U34" s="509">
        <f>IFERROR(IF(OR(5&gt;$B$3,ISBLANK(Actuals!G40)),"",(Budget!G40-Actuals!G40)/ABS(Budget!G40)),"")</f>
        <v/>
      </c>
      <c r="V34" s="508">
        <f>Budget!H40</f>
        <v/>
      </c>
      <c r="W34" s="508">
        <f>IF(OR(6&gt;$B$3,ISBLANK(Actuals!H40)),"",Actuals!H40)</f>
        <v/>
      </c>
      <c r="X34" s="509">
        <f>IF(OR(6&gt;$B$3,ISBLANK(Actuals!H40)),"",Budget!H40-Actuals!H40)</f>
        <v/>
      </c>
      <c r="Y34" s="509">
        <f>IFERROR(IF(OR(6&gt;$B$3,ISBLANK(Actuals!H40)),"",(Budget!H40-Actuals!H40)/ABS(Budget!H40)),"")</f>
        <v/>
      </c>
      <c r="Z34" s="508">
        <f>Budget!I40</f>
        <v/>
      </c>
      <c r="AA34" s="508">
        <f>IF(OR(7&gt;$B$3,ISBLANK(Actuals!I40)),"",Actuals!I40)</f>
        <v/>
      </c>
      <c r="AB34" s="509">
        <f>IF(OR(7&gt;$B$3,ISBLANK(Actuals!I40)),"",Budget!I40-Actuals!I40)</f>
        <v/>
      </c>
      <c r="AC34" s="509">
        <f>IFERROR(IF(OR(7&gt;$B$3,ISBLANK(Actuals!I40)),"",(Budget!I40-Actuals!I40)/ABS(Budget!I40)),"")</f>
        <v/>
      </c>
      <c r="AD34" s="508">
        <f>Budget!J40</f>
        <v/>
      </c>
      <c r="AE34" s="508">
        <f>IF(OR(8&gt;$B$3,ISBLANK(Actuals!J40)),"",Actuals!J40)</f>
        <v/>
      </c>
      <c r="AF34" s="509">
        <f>IF(OR(8&gt;$B$3,ISBLANK(Actuals!J40)),"",Budget!J40-Actuals!J40)</f>
        <v/>
      </c>
      <c r="AG34" s="509">
        <f>IFERROR(IF(OR(8&gt;$B$3,ISBLANK(Actuals!J40)),"",(Budget!J40-Actuals!J40)/ABS(Budget!J40)),"")</f>
        <v/>
      </c>
      <c r="AH34" s="508">
        <f>Budget!K40</f>
        <v/>
      </c>
      <c r="AI34" s="508">
        <f>IF(OR(9&gt;$B$3,ISBLANK(Actuals!K40)),"",Actuals!K40)</f>
        <v/>
      </c>
      <c r="AJ34" s="509">
        <f>IF(OR(9&gt;$B$3,ISBLANK(Actuals!K40)),"",Budget!K40-Actuals!K40)</f>
        <v/>
      </c>
      <c r="AK34" s="509">
        <f>IFERROR(IF(OR(9&gt;$B$3,ISBLANK(Actuals!K40)),"",(Budget!K40-Actuals!K40)/ABS(Budget!K40)),"")</f>
        <v/>
      </c>
      <c r="AL34" s="508">
        <f>Budget!L40</f>
        <v/>
      </c>
      <c r="AM34" s="508">
        <f>IF(OR(10&gt;$B$3,ISBLANK(Actuals!L40)),"",Actuals!L40)</f>
        <v/>
      </c>
      <c r="AN34" s="509">
        <f>IF(OR(10&gt;$B$3,ISBLANK(Actuals!L40)),"",Budget!L40-Actuals!L40)</f>
        <v/>
      </c>
      <c r="AO34" s="509">
        <f>IFERROR(IF(OR(10&gt;$B$3,ISBLANK(Actuals!L40)),"",(Budget!L40-Actuals!L40)/ABS(Budget!L40)),"")</f>
        <v/>
      </c>
      <c r="AP34" s="508">
        <f>Budget!M40</f>
        <v/>
      </c>
      <c r="AQ34" s="508">
        <f>IF(OR(11&gt;$B$3,ISBLANK(Actuals!M40)),"",Actuals!M40)</f>
        <v/>
      </c>
      <c r="AR34" s="509">
        <f>IF(OR(11&gt;$B$3,ISBLANK(Actuals!M40)),"",Budget!M40-Actuals!M40)</f>
        <v/>
      </c>
      <c r="AS34" s="509">
        <f>IFERROR(IF(OR(11&gt;$B$3,ISBLANK(Actuals!M40)),"",(Budget!M40-Actuals!M40)/ABS(Budget!M40)),"")</f>
        <v/>
      </c>
      <c r="AT34" s="508">
        <f>Budget!N40</f>
        <v/>
      </c>
      <c r="AU34" s="508">
        <f>IF(OR(12&gt;$B$3,ISBLANK(Actuals!N40)),"",Actuals!N40)</f>
        <v/>
      </c>
      <c r="AV34" s="509">
        <f>IF(OR(12&gt;$B$3,ISBLANK(Actuals!N40)),"",Budget!N40-Actuals!N40)</f>
        <v/>
      </c>
      <c r="AW34" s="509">
        <f>IFERROR(IF(OR(12&gt;$B$3,ISBLANK(Actuals!N40)),"",(Budget!N40-Actuals!N40)/ABS(Budget!N40)),"")</f>
        <v/>
      </c>
      <c r="AX34" s="510">
        <f>SUMPRODUCT((Actuals!C40:N40&lt;&gt;"")*(Budget!C40:N40))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Budget!C41</f>
        <v/>
      </c>
      <c r="C35" s="508">
        <f>IF(OR(1&gt;$B$3,ISBLANK(Actuals!C41)),"",Actuals!C41)</f>
        <v/>
      </c>
      <c r="D35" s="509">
        <f>IF(OR(1&gt;$B$3,ISBLANK(Actuals!C41)),"",Budget!C41-Actuals!C41)</f>
        <v/>
      </c>
      <c r="E35" s="509">
        <f>IFERROR(IF(OR(1&gt;$B$3,ISBLANK(Actuals!C41)),"",(Budget!C41-Actuals!C41)/ABS(Budget!C41)),"")</f>
        <v/>
      </c>
      <c r="F35" s="508">
        <f>Budget!D41</f>
        <v/>
      </c>
      <c r="G35" s="508">
        <f>IF(OR(2&gt;$B$3,ISBLANK(Actuals!D41)),"",Actuals!D41)</f>
        <v/>
      </c>
      <c r="H35" s="509">
        <f>IF(OR(2&gt;$B$3,ISBLANK(Actuals!D41)),"",Budget!D41-Actuals!D41)</f>
        <v/>
      </c>
      <c r="I35" s="509">
        <f>IFERROR(IF(OR(2&gt;$B$3,ISBLANK(Actuals!D41)),"",(Budget!D41-Actuals!D41)/ABS(Budget!D41)),"")</f>
        <v/>
      </c>
      <c r="J35" s="508">
        <f>Budget!E41</f>
        <v/>
      </c>
      <c r="K35" s="508">
        <f>IF(OR(3&gt;$B$3,ISBLANK(Actuals!E41)),"",Actuals!E41)</f>
        <v/>
      </c>
      <c r="L35" s="509">
        <f>IF(OR(3&gt;$B$3,ISBLANK(Actuals!E41)),"",Budget!E41-Actuals!E41)</f>
        <v/>
      </c>
      <c r="M35" s="509">
        <f>IFERROR(IF(OR(3&gt;$B$3,ISBLANK(Actuals!E41)),"",(Budget!E41-Actuals!E41)/ABS(Budget!E41)),"")</f>
        <v/>
      </c>
      <c r="N35" s="508">
        <f>Budget!F41</f>
        <v/>
      </c>
      <c r="O35" s="508">
        <f>IF(OR(4&gt;$B$3,ISBLANK(Actuals!F41)),"",Actuals!F41)</f>
        <v/>
      </c>
      <c r="P35" s="509">
        <f>IF(OR(4&gt;$B$3,ISBLANK(Actuals!F41)),"",Budget!F41-Actuals!F41)</f>
        <v/>
      </c>
      <c r="Q35" s="509">
        <f>IFERROR(IF(OR(4&gt;$B$3,ISBLANK(Actuals!F41)),"",(Budget!F41-Actuals!F41)/ABS(Budget!F41)),"")</f>
        <v/>
      </c>
      <c r="R35" s="508">
        <f>Budget!G41</f>
        <v/>
      </c>
      <c r="S35" s="508">
        <f>IF(OR(5&gt;$B$3,ISBLANK(Actuals!G41)),"",Actuals!G41)</f>
        <v/>
      </c>
      <c r="T35" s="509">
        <f>IF(OR(5&gt;$B$3,ISBLANK(Actuals!G41)),"",Budget!G41-Actuals!G41)</f>
        <v/>
      </c>
      <c r="U35" s="509">
        <f>IFERROR(IF(OR(5&gt;$B$3,ISBLANK(Actuals!G41)),"",(Budget!G41-Actuals!G41)/ABS(Budget!G41)),"")</f>
        <v/>
      </c>
      <c r="V35" s="508">
        <f>Budget!H41</f>
        <v/>
      </c>
      <c r="W35" s="508">
        <f>IF(OR(6&gt;$B$3,ISBLANK(Actuals!H41)),"",Actuals!H41)</f>
        <v/>
      </c>
      <c r="X35" s="509">
        <f>IF(OR(6&gt;$B$3,ISBLANK(Actuals!H41)),"",Budget!H41-Actuals!H41)</f>
        <v/>
      </c>
      <c r="Y35" s="509">
        <f>IFERROR(IF(OR(6&gt;$B$3,ISBLANK(Actuals!H41)),"",(Budget!H41-Actuals!H41)/ABS(Budget!H41)),"")</f>
        <v/>
      </c>
      <c r="Z35" s="508">
        <f>Budget!I41</f>
        <v/>
      </c>
      <c r="AA35" s="508">
        <f>IF(OR(7&gt;$B$3,ISBLANK(Actuals!I41)),"",Actuals!I41)</f>
        <v/>
      </c>
      <c r="AB35" s="509">
        <f>IF(OR(7&gt;$B$3,ISBLANK(Actuals!I41)),"",Budget!I41-Actuals!I41)</f>
        <v/>
      </c>
      <c r="AC35" s="509">
        <f>IFERROR(IF(OR(7&gt;$B$3,ISBLANK(Actuals!I41)),"",(Budget!I41-Actuals!I41)/ABS(Budget!I41)),"")</f>
        <v/>
      </c>
      <c r="AD35" s="508">
        <f>Budget!J41</f>
        <v/>
      </c>
      <c r="AE35" s="508">
        <f>IF(OR(8&gt;$B$3,ISBLANK(Actuals!J41)),"",Actuals!J41)</f>
        <v/>
      </c>
      <c r="AF35" s="509">
        <f>IF(OR(8&gt;$B$3,ISBLANK(Actuals!J41)),"",Budget!J41-Actuals!J41)</f>
        <v/>
      </c>
      <c r="AG35" s="509">
        <f>IFERROR(IF(OR(8&gt;$B$3,ISBLANK(Actuals!J41)),"",(Budget!J41-Actuals!J41)/ABS(Budget!J41)),"")</f>
        <v/>
      </c>
      <c r="AH35" s="508">
        <f>Budget!K41</f>
        <v/>
      </c>
      <c r="AI35" s="508">
        <f>IF(OR(9&gt;$B$3,ISBLANK(Actuals!K41)),"",Actuals!K41)</f>
        <v/>
      </c>
      <c r="AJ35" s="509">
        <f>IF(OR(9&gt;$B$3,ISBLANK(Actuals!K41)),"",Budget!K41-Actuals!K41)</f>
        <v/>
      </c>
      <c r="AK35" s="509">
        <f>IFERROR(IF(OR(9&gt;$B$3,ISBLANK(Actuals!K41)),"",(Budget!K41-Actuals!K41)/ABS(Budget!K41)),"")</f>
        <v/>
      </c>
      <c r="AL35" s="508">
        <f>Budget!L41</f>
        <v/>
      </c>
      <c r="AM35" s="508">
        <f>IF(OR(10&gt;$B$3,ISBLANK(Actuals!L41)),"",Actuals!L41)</f>
        <v/>
      </c>
      <c r="AN35" s="509">
        <f>IF(OR(10&gt;$B$3,ISBLANK(Actuals!L41)),"",Budget!L41-Actuals!L41)</f>
        <v/>
      </c>
      <c r="AO35" s="509">
        <f>IFERROR(IF(OR(10&gt;$B$3,ISBLANK(Actuals!L41)),"",(Budget!L41-Actuals!L41)/ABS(Budget!L41)),"")</f>
        <v/>
      </c>
      <c r="AP35" s="508">
        <f>Budget!M41</f>
        <v/>
      </c>
      <c r="AQ35" s="508">
        <f>IF(OR(11&gt;$B$3,ISBLANK(Actuals!M41)),"",Actuals!M41)</f>
        <v/>
      </c>
      <c r="AR35" s="509">
        <f>IF(OR(11&gt;$B$3,ISBLANK(Actuals!M41)),"",Budget!M41-Actuals!M41)</f>
        <v/>
      </c>
      <c r="AS35" s="509">
        <f>IFERROR(IF(OR(11&gt;$B$3,ISBLANK(Actuals!M41)),"",(Budget!M41-Actuals!M41)/ABS(Budget!M41)),"")</f>
        <v/>
      </c>
      <c r="AT35" s="508">
        <f>Budget!N41</f>
        <v/>
      </c>
      <c r="AU35" s="508">
        <f>IF(OR(12&gt;$B$3,ISBLANK(Actuals!N41)),"",Actuals!N41)</f>
        <v/>
      </c>
      <c r="AV35" s="509">
        <f>IF(OR(12&gt;$B$3,ISBLANK(Actuals!N41)),"",Budget!N41-Actuals!N41)</f>
        <v/>
      </c>
      <c r="AW35" s="509">
        <f>IFERROR(IF(OR(12&gt;$B$3,ISBLANK(Actuals!N41)),"",(Budget!N41-Actuals!N41)/ABS(Budget!N41)),"")</f>
        <v/>
      </c>
      <c r="AX35" s="510">
        <f>SUMPRODUCT((Actuals!C41:N41&lt;&gt;"")*(Budget!C41:N41))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Budget!C42</f>
        <v/>
      </c>
      <c r="C36" s="508">
        <f>IF(OR(1&gt;$B$3,ISBLANK(Actuals!C42)),"",Actuals!C42)</f>
        <v/>
      </c>
      <c r="D36" s="509">
        <f>IF(OR(1&gt;$B$3,ISBLANK(Actuals!C42)),"",Budget!C42-Actuals!C42)</f>
        <v/>
      </c>
      <c r="E36" s="509">
        <f>IFERROR(IF(OR(1&gt;$B$3,ISBLANK(Actuals!C42)),"",(Budget!C42-Actuals!C42)/ABS(Budget!C42)),"")</f>
        <v/>
      </c>
      <c r="F36" s="508">
        <f>Budget!D42</f>
        <v/>
      </c>
      <c r="G36" s="508">
        <f>IF(OR(2&gt;$B$3,ISBLANK(Actuals!D42)),"",Actuals!D42)</f>
        <v/>
      </c>
      <c r="H36" s="509">
        <f>IF(OR(2&gt;$B$3,ISBLANK(Actuals!D42)),"",Budget!D42-Actuals!D42)</f>
        <v/>
      </c>
      <c r="I36" s="509">
        <f>IFERROR(IF(OR(2&gt;$B$3,ISBLANK(Actuals!D42)),"",(Budget!D42-Actuals!D42)/ABS(Budget!D42)),"")</f>
        <v/>
      </c>
      <c r="J36" s="508">
        <f>Budget!E42</f>
        <v/>
      </c>
      <c r="K36" s="508">
        <f>IF(OR(3&gt;$B$3,ISBLANK(Actuals!E42)),"",Actuals!E42)</f>
        <v/>
      </c>
      <c r="L36" s="509">
        <f>IF(OR(3&gt;$B$3,ISBLANK(Actuals!E42)),"",Budget!E42-Actuals!E42)</f>
        <v/>
      </c>
      <c r="M36" s="509">
        <f>IFERROR(IF(OR(3&gt;$B$3,ISBLANK(Actuals!E42)),"",(Budget!E42-Actuals!E42)/ABS(Budget!E42)),"")</f>
        <v/>
      </c>
      <c r="N36" s="508">
        <f>Budget!F42</f>
        <v/>
      </c>
      <c r="O36" s="508">
        <f>IF(OR(4&gt;$B$3,ISBLANK(Actuals!F42)),"",Actuals!F42)</f>
        <v/>
      </c>
      <c r="P36" s="509">
        <f>IF(OR(4&gt;$B$3,ISBLANK(Actuals!F42)),"",Budget!F42-Actuals!F42)</f>
        <v/>
      </c>
      <c r="Q36" s="509">
        <f>IFERROR(IF(OR(4&gt;$B$3,ISBLANK(Actuals!F42)),"",(Budget!F42-Actuals!F42)/ABS(Budget!F42)),"")</f>
        <v/>
      </c>
      <c r="R36" s="508">
        <f>Budget!G42</f>
        <v/>
      </c>
      <c r="S36" s="508">
        <f>IF(OR(5&gt;$B$3,ISBLANK(Actuals!G42)),"",Actuals!G42)</f>
        <v/>
      </c>
      <c r="T36" s="509">
        <f>IF(OR(5&gt;$B$3,ISBLANK(Actuals!G42)),"",Budget!G42-Actuals!G42)</f>
        <v/>
      </c>
      <c r="U36" s="509">
        <f>IFERROR(IF(OR(5&gt;$B$3,ISBLANK(Actuals!G42)),"",(Budget!G42-Actuals!G42)/ABS(Budget!G42)),"")</f>
        <v/>
      </c>
      <c r="V36" s="508">
        <f>Budget!H42</f>
        <v/>
      </c>
      <c r="W36" s="508">
        <f>IF(OR(6&gt;$B$3,ISBLANK(Actuals!H42)),"",Actuals!H42)</f>
        <v/>
      </c>
      <c r="X36" s="509">
        <f>IF(OR(6&gt;$B$3,ISBLANK(Actuals!H42)),"",Budget!H42-Actuals!H42)</f>
        <v/>
      </c>
      <c r="Y36" s="509">
        <f>IFERROR(IF(OR(6&gt;$B$3,ISBLANK(Actuals!H42)),"",(Budget!H42-Actuals!H42)/ABS(Budget!H42)),"")</f>
        <v/>
      </c>
      <c r="Z36" s="508">
        <f>Budget!I42</f>
        <v/>
      </c>
      <c r="AA36" s="508">
        <f>IF(OR(7&gt;$B$3,ISBLANK(Actuals!I42)),"",Actuals!I42)</f>
        <v/>
      </c>
      <c r="AB36" s="509">
        <f>IF(OR(7&gt;$B$3,ISBLANK(Actuals!I42)),"",Budget!I42-Actuals!I42)</f>
        <v/>
      </c>
      <c r="AC36" s="509">
        <f>IFERROR(IF(OR(7&gt;$B$3,ISBLANK(Actuals!I42)),"",(Budget!I42-Actuals!I42)/ABS(Budget!I42)),"")</f>
        <v/>
      </c>
      <c r="AD36" s="508">
        <f>Budget!J42</f>
        <v/>
      </c>
      <c r="AE36" s="508">
        <f>IF(OR(8&gt;$B$3,ISBLANK(Actuals!J42)),"",Actuals!J42)</f>
        <v/>
      </c>
      <c r="AF36" s="509">
        <f>IF(OR(8&gt;$B$3,ISBLANK(Actuals!J42)),"",Budget!J42-Actuals!J42)</f>
        <v/>
      </c>
      <c r="AG36" s="509">
        <f>IFERROR(IF(OR(8&gt;$B$3,ISBLANK(Actuals!J42)),"",(Budget!J42-Actuals!J42)/ABS(Budget!J42)),"")</f>
        <v/>
      </c>
      <c r="AH36" s="508">
        <f>Budget!K42</f>
        <v/>
      </c>
      <c r="AI36" s="508">
        <f>IF(OR(9&gt;$B$3,ISBLANK(Actuals!K42)),"",Actuals!K42)</f>
        <v/>
      </c>
      <c r="AJ36" s="509">
        <f>IF(OR(9&gt;$B$3,ISBLANK(Actuals!K42)),"",Budget!K42-Actuals!K42)</f>
        <v/>
      </c>
      <c r="AK36" s="509">
        <f>IFERROR(IF(OR(9&gt;$B$3,ISBLANK(Actuals!K42)),"",(Budget!K42-Actuals!K42)/ABS(Budget!K42)),"")</f>
        <v/>
      </c>
      <c r="AL36" s="508">
        <f>Budget!L42</f>
        <v/>
      </c>
      <c r="AM36" s="508">
        <f>IF(OR(10&gt;$B$3,ISBLANK(Actuals!L42)),"",Actuals!L42)</f>
        <v/>
      </c>
      <c r="AN36" s="509">
        <f>IF(OR(10&gt;$B$3,ISBLANK(Actuals!L42)),"",Budget!L42-Actuals!L42)</f>
        <v/>
      </c>
      <c r="AO36" s="509">
        <f>IFERROR(IF(OR(10&gt;$B$3,ISBLANK(Actuals!L42)),"",(Budget!L42-Actuals!L42)/ABS(Budget!L42)),"")</f>
        <v/>
      </c>
      <c r="AP36" s="508">
        <f>Budget!M42</f>
        <v/>
      </c>
      <c r="AQ36" s="508">
        <f>IF(OR(11&gt;$B$3,ISBLANK(Actuals!M42)),"",Actuals!M42)</f>
        <v/>
      </c>
      <c r="AR36" s="509">
        <f>IF(OR(11&gt;$B$3,ISBLANK(Actuals!M42)),"",Budget!M42-Actuals!M42)</f>
        <v/>
      </c>
      <c r="AS36" s="509">
        <f>IFERROR(IF(OR(11&gt;$B$3,ISBLANK(Actuals!M42)),"",(Budget!M42-Actuals!M42)/ABS(Budget!M42)),"")</f>
        <v/>
      </c>
      <c r="AT36" s="508">
        <f>Budget!N42</f>
        <v/>
      </c>
      <c r="AU36" s="508">
        <f>IF(OR(12&gt;$B$3,ISBLANK(Actuals!N42)),"",Actuals!N42)</f>
        <v/>
      </c>
      <c r="AV36" s="509">
        <f>IF(OR(12&gt;$B$3,ISBLANK(Actuals!N42)),"",Budget!N42-Actuals!N42)</f>
        <v/>
      </c>
      <c r="AW36" s="509">
        <f>IFERROR(IF(OR(12&gt;$B$3,ISBLANK(Actuals!N42)),"",(Budget!N42-Actuals!N42)/ABS(Budget!N42)),"")</f>
        <v/>
      </c>
      <c r="AX36" s="510">
        <f>SUMPRODUCT((Actuals!C42:N42&lt;&gt;"")*(Budget!C42:N42))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Budget!C43</f>
        <v/>
      </c>
      <c r="C37" s="508">
        <f>IF(OR(1&gt;$B$3,ISBLANK(Actuals!C43)),"",Actuals!C43)</f>
        <v/>
      </c>
      <c r="D37" s="509">
        <f>IF(OR(1&gt;$B$3,ISBLANK(Actuals!C43)),"",Budget!C43-Actuals!C43)</f>
        <v/>
      </c>
      <c r="E37" s="509">
        <f>IFERROR(IF(OR(1&gt;$B$3,ISBLANK(Actuals!C43)),"",(Budget!C43-Actuals!C43)/ABS(Budget!C43)),"")</f>
        <v/>
      </c>
      <c r="F37" s="508">
        <f>Budget!D43</f>
        <v/>
      </c>
      <c r="G37" s="508">
        <f>IF(OR(2&gt;$B$3,ISBLANK(Actuals!D43)),"",Actuals!D43)</f>
        <v/>
      </c>
      <c r="H37" s="509">
        <f>IF(OR(2&gt;$B$3,ISBLANK(Actuals!D43)),"",Budget!D43-Actuals!D43)</f>
        <v/>
      </c>
      <c r="I37" s="509">
        <f>IFERROR(IF(OR(2&gt;$B$3,ISBLANK(Actuals!D43)),"",(Budget!D43-Actuals!D43)/ABS(Budget!D43)),"")</f>
        <v/>
      </c>
      <c r="J37" s="508">
        <f>Budget!E43</f>
        <v/>
      </c>
      <c r="K37" s="508">
        <f>IF(OR(3&gt;$B$3,ISBLANK(Actuals!E43)),"",Actuals!E43)</f>
        <v/>
      </c>
      <c r="L37" s="509">
        <f>IF(OR(3&gt;$B$3,ISBLANK(Actuals!E43)),"",Budget!E43-Actuals!E43)</f>
        <v/>
      </c>
      <c r="M37" s="509">
        <f>IFERROR(IF(OR(3&gt;$B$3,ISBLANK(Actuals!E43)),"",(Budget!E43-Actuals!E43)/ABS(Budget!E43)),"")</f>
        <v/>
      </c>
      <c r="N37" s="508">
        <f>Budget!F43</f>
        <v/>
      </c>
      <c r="O37" s="508">
        <f>IF(OR(4&gt;$B$3,ISBLANK(Actuals!F43)),"",Actuals!F43)</f>
        <v/>
      </c>
      <c r="P37" s="509">
        <f>IF(OR(4&gt;$B$3,ISBLANK(Actuals!F43)),"",Budget!F43-Actuals!F43)</f>
        <v/>
      </c>
      <c r="Q37" s="509">
        <f>IFERROR(IF(OR(4&gt;$B$3,ISBLANK(Actuals!F43)),"",(Budget!F43-Actuals!F43)/ABS(Budget!F43)),"")</f>
        <v/>
      </c>
      <c r="R37" s="508">
        <f>Budget!G43</f>
        <v/>
      </c>
      <c r="S37" s="508">
        <f>IF(OR(5&gt;$B$3,ISBLANK(Actuals!G43)),"",Actuals!G43)</f>
        <v/>
      </c>
      <c r="T37" s="509">
        <f>IF(OR(5&gt;$B$3,ISBLANK(Actuals!G43)),"",Budget!G43-Actuals!G43)</f>
        <v/>
      </c>
      <c r="U37" s="509">
        <f>IFERROR(IF(OR(5&gt;$B$3,ISBLANK(Actuals!G43)),"",(Budget!G43-Actuals!G43)/ABS(Budget!G43)),"")</f>
        <v/>
      </c>
      <c r="V37" s="508">
        <f>Budget!H43</f>
        <v/>
      </c>
      <c r="W37" s="508">
        <f>IF(OR(6&gt;$B$3,ISBLANK(Actuals!H43)),"",Actuals!H43)</f>
        <v/>
      </c>
      <c r="X37" s="509">
        <f>IF(OR(6&gt;$B$3,ISBLANK(Actuals!H43)),"",Budget!H43-Actuals!H43)</f>
        <v/>
      </c>
      <c r="Y37" s="509">
        <f>IFERROR(IF(OR(6&gt;$B$3,ISBLANK(Actuals!H43)),"",(Budget!H43-Actuals!H43)/ABS(Budget!H43)),"")</f>
        <v/>
      </c>
      <c r="Z37" s="508">
        <f>Budget!I43</f>
        <v/>
      </c>
      <c r="AA37" s="508">
        <f>IF(OR(7&gt;$B$3,ISBLANK(Actuals!I43)),"",Actuals!I43)</f>
        <v/>
      </c>
      <c r="AB37" s="509">
        <f>IF(OR(7&gt;$B$3,ISBLANK(Actuals!I43)),"",Budget!I43-Actuals!I43)</f>
        <v/>
      </c>
      <c r="AC37" s="509">
        <f>IFERROR(IF(OR(7&gt;$B$3,ISBLANK(Actuals!I43)),"",(Budget!I43-Actuals!I43)/ABS(Budget!I43)),"")</f>
        <v/>
      </c>
      <c r="AD37" s="508">
        <f>Budget!J43</f>
        <v/>
      </c>
      <c r="AE37" s="508">
        <f>IF(OR(8&gt;$B$3,ISBLANK(Actuals!J43)),"",Actuals!J43)</f>
        <v/>
      </c>
      <c r="AF37" s="509">
        <f>IF(OR(8&gt;$B$3,ISBLANK(Actuals!J43)),"",Budget!J43-Actuals!J43)</f>
        <v/>
      </c>
      <c r="AG37" s="509">
        <f>IFERROR(IF(OR(8&gt;$B$3,ISBLANK(Actuals!J43)),"",(Budget!J43-Actuals!J43)/ABS(Budget!J43)),"")</f>
        <v/>
      </c>
      <c r="AH37" s="508">
        <f>Budget!K43</f>
        <v/>
      </c>
      <c r="AI37" s="508">
        <f>IF(OR(9&gt;$B$3,ISBLANK(Actuals!K43)),"",Actuals!K43)</f>
        <v/>
      </c>
      <c r="AJ37" s="509">
        <f>IF(OR(9&gt;$B$3,ISBLANK(Actuals!K43)),"",Budget!K43-Actuals!K43)</f>
        <v/>
      </c>
      <c r="AK37" s="509">
        <f>IFERROR(IF(OR(9&gt;$B$3,ISBLANK(Actuals!K43)),"",(Budget!K43-Actuals!K43)/ABS(Budget!K43)),"")</f>
        <v/>
      </c>
      <c r="AL37" s="508">
        <f>Budget!L43</f>
        <v/>
      </c>
      <c r="AM37" s="508">
        <f>IF(OR(10&gt;$B$3,ISBLANK(Actuals!L43)),"",Actuals!L43)</f>
        <v/>
      </c>
      <c r="AN37" s="509">
        <f>IF(OR(10&gt;$B$3,ISBLANK(Actuals!L43)),"",Budget!L43-Actuals!L43)</f>
        <v/>
      </c>
      <c r="AO37" s="509">
        <f>IFERROR(IF(OR(10&gt;$B$3,ISBLANK(Actuals!L43)),"",(Budget!L43-Actuals!L43)/ABS(Budget!L43)),"")</f>
        <v/>
      </c>
      <c r="AP37" s="508">
        <f>Budget!M43</f>
        <v/>
      </c>
      <c r="AQ37" s="508">
        <f>IF(OR(11&gt;$B$3,ISBLANK(Actuals!M43)),"",Actuals!M43)</f>
        <v/>
      </c>
      <c r="AR37" s="509">
        <f>IF(OR(11&gt;$B$3,ISBLANK(Actuals!M43)),"",Budget!M43-Actuals!M43)</f>
        <v/>
      </c>
      <c r="AS37" s="509">
        <f>IFERROR(IF(OR(11&gt;$B$3,ISBLANK(Actuals!M43)),"",(Budget!M43-Actuals!M43)/ABS(Budget!M43)),"")</f>
        <v/>
      </c>
      <c r="AT37" s="508">
        <f>Budget!N43</f>
        <v/>
      </c>
      <c r="AU37" s="508">
        <f>IF(OR(12&gt;$B$3,ISBLANK(Actuals!N43)),"",Actuals!N43)</f>
        <v/>
      </c>
      <c r="AV37" s="509">
        <f>IF(OR(12&gt;$B$3,ISBLANK(Actuals!N43)),"",Budget!N43-Actuals!N43)</f>
        <v/>
      </c>
      <c r="AW37" s="509">
        <f>IFERROR(IF(OR(12&gt;$B$3,ISBLANK(Actuals!N43)),"",(Budget!N43-Actuals!N43)/ABS(Budget!N43)),"")</f>
        <v/>
      </c>
      <c r="AX37" s="510">
        <f>SUMPRODUCT((Actuals!C43:N43&lt;&gt;"")*(Budget!C43:N43))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Budget!C44</f>
        <v/>
      </c>
      <c r="C38" s="508">
        <f>IF(OR(1&gt;$B$3,ISBLANK(Actuals!C44)),"",Actuals!C44)</f>
        <v/>
      </c>
      <c r="D38" s="509">
        <f>IF(OR(1&gt;$B$3,ISBLANK(Actuals!C44)),"",Budget!C44-Actuals!C44)</f>
        <v/>
      </c>
      <c r="E38" s="509">
        <f>IFERROR(IF(OR(1&gt;$B$3,ISBLANK(Actuals!C44)),"",(Budget!C44-Actuals!C44)/ABS(Budget!C44)),"")</f>
        <v/>
      </c>
      <c r="F38" s="508">
        <f>Budget!D44</f>
        <v/>
      </c>
      <c r="G38" s="508">
        <f>IF(OR(2&gt;$B$3,ISBLANK(Actuals!D44)),"",Actuals!D44)</f>
        <v/>
      </c>
      <c r="H38" s="509">
        <f>IF(OR(2&gt;$B$3,ISBLANK(Actuals!D44)),"",Budget!D44-Actuals!D44)</f>
        <v/>
      </c>
      <c r="I38" s="509">
        <f>IFERROR(IF(OR(2&gt;$B$3,ISBLANK(Actuals!D44)),"",(Budget!D44-Actuals!D44)/ABS(Budget!D44)),"")</f>
        <v/>
      </c>
      <c r="J38" s="508">
        <f>Budget!E44</f>
        <v/>
      </c>
      <c r="K38" s="508">
        <f>IF(OR(3&gt;$B$3,ISBLANK(Actuals!E44)),"",Actuals!E44)</f>
        <v/>
      </c>
      <c r="L38" s="509">
        <f>IF(OR(3&gt;$B$3,ISBLANK(Actuals!E44)),"",Budget!E44-Actuals!E44)</f>
        <v/>
      </c>
      <c r="M38" s="509">
        <f>IFERROR(IF(OR(3&gt;$B$3,ISBLANK(Actuals!E44)),"",(Budget!E44-Actuals!E44)/ABS(Budget!E44)),"")</f>
        <v/>
      </c>
      <c r="N38" s="508">
        <f>Budget!F44</f>
        <v/>
      </c>
      <c r="O38" s="508">
        <f>IF(OR(4&gt;$B$3,ISBLANK(Actuals!F44)),"",Actuals!F44)</f>
        <v/>
      </c>
      <c r="P38" s="509">
        <f>IF(OR(4&gt;$B$3,ISBLANK(Actuals!F44)),"",Budget!F44-Actuals!F44)</f>
        <v/>
      </c>
      <c r="Q38" s="509">
        <f>IFERROR(IF(OR(4&gt;$B$3,ISBLANK(Actuals!F44)),"",(Budget!F44-Actuals!F44)/ABS(Budget!F44)),"")</f>
        <v/>
      </c>
      <c r="R38" s="508">
        <f>Budget!G44</f>
        <v/>
      </c>
      <c r="S38" s="508">
        <f>IF(OR(5&gt;$B$3,ISBLANK(Actuals!G44)),"",Actuals!G44)</f>
        <v/>
      </c>
      <c r="T38" s="509">
        <f>IF(OR(5&gt;$B$3,ISBLANK(Actuals!G44)),"",Budget!G44-Actuals!G44)</f>
        <v/>
      </c>
      <c r="U38" s="509">
        <f>IFERROR(IF(OR(5&gt;$B$3,ISBLANK(Actuals!G44)),"",(Budget!G44-Actuals!G44)/ABS(Budget!G44)),"")</f>
        <v/>
      </c>
      <c r="V38" s="508">
        <f>Budget!H44</f>
        <v/>
      </c>
      <c r="W38" s="508">
        <f>IF(OR(6&gt;$B$3,ISBLANK(Actuals!H44)),"",Actuals!H44)</f>
        <v/>
      </c>
      <c r="X38" s="509">
        <f>IF(OR(6&gt;$B$3,ISBLANK(Actuals!H44)),"",Budget!H44-Actuals!H44)</f>
        <v/>
      </c>
      <c r="Y38" s="509">
        <f>IFERROR(IF(OR(6&gt;$B$3,ISBLANK(Actuals!H44)),"",(Budget!H44-Actuals!H44)/ABS(Budget!H44)),"")</f>
        <v/>
      </c>
      <c r="Z38" s="508">
        <f>Budget!I44</f>
        <v/>
      </c>
      <c r="AA38" s="508">
        <f>IF(OR(7&gt;$B$3,ISBLANK(Actuals!I44)),"",Actuals!I44)</f>
        <v/>
      </c>
      <c r="AB38" s="509">
        <f>IF(OR(7&gt;$B$3,ISBLANK(Actuals!I44)),"",Budget!I44-Actuals!I44)</f>
        <v/>
      </c>
      <c r="AC38" s="509">
        <f>IFERROR(IF(OR(7&gt;$B$3,ISBLANK(Actuals!I44)),"",(Budget!I44-Actuals!I44)/ABS(Budget!I44)),"")</f>
        <v/>
      </c>
      <c r="AD38" s="508">
        <f>Budget!J44</f>
        <v/>
      </c>
      <c r="AE38" s="508">
        <f>IF(OR(8&gt;$B$3,ISBLANK(Actuals!J44)),"",Actuals!J44)</f>
        <v/>
      </c>
      <c r="AF38" s="509">
        <f>IF(OR(8&gt;$B$3,ISBLANK(Actuals!J44)),"",Budget!J44-Actuals!J44)</f>
        <v/>
      </c>
      <c r="AG38" s="509">
        <f>IFERROR(IF(OR(8&gt;$B$3,ISBLANK(Actuals!J44)),"",(Budget!J44-Actuals!J44)/ABS(Budget!J44)),"")</f>
        <v/>
      </c>
      <c r="AH38" s="508">
        <f>Budget!K44</f>
        <v/>
      </c>
      <c r="AI38" s="508">
        <f>IF(OR(9&gt;$B$3,ISBLANK(Actuals!K44)),"",Actuals!K44)</f>
        <v/>
      </c>
      <c r="AJ38" s="509">
        <f>IF(OR(9&gt;$B$3,ISBLANK(Actuals!K44)),"",Budget!K44-Actuals!K44)</f>
        <v/>
      </c>
      <c r="AK38" s="509">
        <f>IFERROR(IF(OR(9&gt;$B$3,ISBLANK(Actuals!K44)),"",(Budget!K44-Actuals!K44)/ABS(Budget!K44)),"")</f>
        <v/>
      </c>
      <c r="AL38" s="508">
        <f>Budget!L44</f>
        <v/>
      </c>
      <c r="AM38" s="508">
        <f>IF(OR(10&gt;$B$3,ISBLANK(Actuals!L44)),"",Actuals!L44)</f>
        <v/>
      </c>
      <c r="AN38" s="509">
        <f>IF(OR(10&gt;$B$3,ISBLANK(Actuals!L44)),"",Budget!L44-Actuals!L44)</f>
        <v/>
      </c>
      <c r="AO38" s="509">
        <f>IFERROR(IF(OR(10&gt;$B$3,ISBLANK(Actuals!L44)),"",(Budget!L44-Actuals!L44)/ABS(Budget!L44)),"")</f>
        <v/>
      </c>
      <c r="AP38" s="508">
        <f>Budget!M44</f>
        <v/>
      </c>
      <c r="AQ38" s="508">
        <f>IF(OR(11&gt;$B$3,ISBLANK(Actuals!M44)),"",Actuals!M44)</f>
        <v/>
      </c>
      <c r="AR38" s="509">
        <f>IF(OR(11&gt;$B$3,ISBLANK(Actuals!M44)),"",Budget!M44-Actuals!M44)</f>
        <v/>
      </c>
      <c r="AS38" s="509">
        <f>IFERROR(IF(OR(11&gt;$B$3,ISBLANK(Actuals!M44)),"",(Budget!M44-Actuals!M44)/ABS(Budget!M44)),"")</f>
        <v/>
      </c>
      <c r="AT38" s="508">
        <f>Budget!N44</f>
        <v/>
      </c>
      <c r="AU38" s="508">
        <f>IF(OR(12&gt;$B$3,ISBLANK(Actuals!N44)),"",Actuals!N44)</f>
        <v/>
      </c>
      <c r="AV38" s="509">
        <f>IF(OR(12&gt;$B$3,ISBLANK(Actuals!N44)),"",Budget!N44-Actuals!N44)</f>
        <v/>
      </c>
      <c r="AW38" s="509">
        <f>IFERROR(IF(OR(12&gt;$B$3,ISBLANK(Actuals!N44)),"",(Budget!N44-Actuals!N44)/ABS(Budget!N44)),"")</f>
        <v/>
      </c>
      <c r="AX38" s="510">
        <f>SUMPRODUCT((Actuals!C44:N44&lt;&gt;"")*(Budget!C44:N44))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Budget!C45</f>
        <v/>
      </c>
      <c r="C39" s="508">
        <f>IF(OR(1&gt;$B$3,ISBLANK(Actuals!C45)),"",Actuals!C45)</f>
        <v/>
      </c>
      <c r="D39" s="509">
        <f>IF(OR(1&gt;$B$3,ISBLANK(Actuals!C45)),"",Budget!C45-Actuals!C45)</f>
        <v/>
      </c>
      <c r="E39" s="509">
        <f>IFERROR(IF(OR(1&gt;$B$3,ISBLANK(Actuals!C45)),"",(Budget!C45-Actuals!C45)/ABS(Budget!C45)),"")</f>
        <v/>
      </c>
      <c r="F39" s="508">
        <f>Budget!D45</f>
        <v/>
      </c>
      <c r="G39" s="508">
        <f>IF(OR(2&gt;$B$3,ISBLANK(Actuals!D45)),"",Actuals!D45)</f>
        <v/>
      </c>
      <c r="H39" s="509">
        <f>IF(OR(2&gt;$B$3,ISBLANK(Actuals!D45)),"",Budget!D45-Actuals!D45)</f>
        <v/>
      </c>
      <c r="I39" s="509">
        <f>IFERROR(IF(OR(2&gt;$B$3,ISBLANK(Actuals!D45)),"",(Budget!D45-Actuals!D45)/ABS(Budget!D45)),"")</f>
        <v/>
      </c>
      <c r="J39" s="508">
        <f>Budget!E45</f>
        <v/>
      </c>
      <c r="K39" s="508">
        <f>IF(OR(3&gt;$B$3,ISBLANK(Actuals!E45)),"",Actuals!E45)</f>
        <v/>
      </c>
      <c r="L39" s="509">
        <f>IF(OR(3&gt;$B$3,ISBLANK(Actuals!E45)),"",Budget!E45-Actuals!E45)</f>
        <v/>
      </c>
      <c r="M39" s="509">
        <f>IFERROR(IF(OR(3&gt;$B$3,ISBLANK(Actuals!E45)),"",(Budget!E45-Actuals!E45)/ABS(Budget!E45)),"")</f>
        <v/>
      </c>
      <c r="N39" s="508">
        <f>Budget!F45</f>
        <v/>
      </c>
      <c r="O39" s="508">
        <f>IF(OR(4&gt;$B$3,ISBLANK(Actuals!F45)),"",Actuals!F45)</f>
        <v/>
      </c>
      <c r="P39" s="509">
        <f>IF(OR(4&gt;$B$3,ISBLANK(Actuals!F45)),"",Budget!F45-Actuals!F45)</f>
        <v/>
      </c>
      <c r="Q39" s="509">
        <f>IFERROR(IF(OR(4&gt;$B$3,ISBLANK(Actuals!F45)),"",(Budget!F45-Actuals!F45)/ABS(Budget!F45)),"")</f>
        <v/>
      </c>
      <c r="R39" s="508">
        <f>Budget!G45</f>
        <v/>
      </c>
      <c r="S39" s="508">
        <f>IF(OR(5&gt;$B$3,ISBLANK(Actuals!G45)),"",Actuals!G45)</f>
        <v/>
      </c>
      <c r="T39" s="509">
        <f>IF(OR(5&gt;$B$3,ISBLANK(Actuals!G45)),"",Budget!G45-Actuals!G45)</f>
        <v/>
      </c>
      <c r="U39" s="509">
        <f>IFERROR(IF(OR(5&gt;$B$3,ISBLANK(Actuals!G45)),"",(Budget!G45-Actuals!G45)/ABS(Budget!G45)),"")</f>
        <v/>
      </c>
      <c r="V39" s="508">
        <f>Budget!H45</f>
        <v/>
      </c>
      <c r="W39" s="508">
        <f>IF(OR(6&gt;$B$3,ISBLANK(Actuals!H45)),"",Actuals!H45)</f>
        <v/>
      </c>
      <c r="X39" s="509">
        <f>IF(OR(6&gt;$B$3,ISBLANK(Actuals!H45)),"",Budget!H45-Actuals!H45)</f>
        <v/>
      </c>
      <c r="Y39" s="509">
        <f>IFERROR(IF(OR(6&gt;$B$3,ISBLANK(Actuals!H45)),"",(Budget!H45-Actuals!H45)/ABS(Budget!H45)),"")</f>
        <v/>
      </c>
      <c r="Z39" s="508">
        <f>Budget!I45</f>
        <v/>
      </c>
      <c r="AA39" s="508">
        <f>IF(OR(7&gt;$B$3,ISBLANK(Actuals!I45)),"",Actuals!I45)</f>
        <v/>
      </c>
      <c r="AB39" s="509">
        <f>IF(OR(7&gt;$B$3,ISBLANK(Actuals!I45)),"",Budget!I45-Actuals!I45)</f>
        <v/>
      </c>
      <c r="AC39" s="509">
        <f>IFERROR(IF(OR(7&gt;$B$3,ISBLANK(Actuals!I45)),"",(Budget!I45-Actuals!I45)/ABS(Budget!I45)),"")</f>
        <v/>
      </c>
      <c r="AD39" s="508">
        <f>Budget!J45</f>
        <v/>
      </c>
      <c r="AE39" s="508">
        <f>IF(OR(8&gt;$B$3,ISBLANK(Actuals!J45)),"",Actuals!J45)</f>
        <v/>
      </c>
      <c r="AF39" s="509">
        <f>IF(OR(8&gt;$B$3,ISBLANK(Actuals!J45)),"",Budget!J45-Actuals!J45)</f>
        <v/>
      </c>
      <c r="AG39" s="509">
        <f>IFERROR(IF(OR(8&gt;$B$3,ISBLANK(Actuals!J45)),"",(Budget!J45-Actuals!J45)/ABS(Budget!J45)),"")</f>
        <v/>
      </c>
      <c r="AH39" s="508">
        <f>Budget!K45</f>
        <v/>
      </c>
      <c r="AI39" s="508">
        <f>IF(OR(9&gt;$B$3,ISBLANK(Actuals!K45)),"",Actuals!K45)</f>
        <v/>
      </c>
      <c r="AJ39" s="509">
        <f>IF(OR(9&gt;$B$3,ISBLANK(Actuals!K45)),"",Budget!K45-Actuals!K45)</f>
        <v/>
      </c>
      <c r="AK39" s="509">
        <f>IFERROR(IF(OR(9&gt;$B$3,ISBLANK(Actuals!K45)),"",(Budget!K45-Actuals!K45)/ABS(Budget!K45)),"")</f>
        <v/>
      </c>
      <c r="AL39" s="508">
        <f>Budget!L45</f>
        <v/>
      </c>
      <c r="AM39" s="508">
        <f>IF(OR(10&gt;$B$3,ISBLANK(Actuals!L45)),"",Actuals!L45)</f>
        <v/>
      </c>
      <c r="AN39" s="509">
        <f>IF(OR(10&gt;$B$3,ISBLANK(Actuals!L45)),"",Budget!L45-Actuals!L45)</f>
        <v/>
      </c>
      <c r="AO39" s="509">
        <f>IFERROR(IF(OR(10&gt;$B$3,ISBLANK(Actuals!L45)),"",(Budget!L45-Actuals!L45)/ABS(Budget!L45)),"")</f>
        <v/>
      </c>
      <c r="AP39" s="508">
        <f>Budget!M45</f>
        <v/>
      </c>
      <c r="AQ39" s="508">
        <f>IF(OR(11&gt;$B$3,ISBLANK(Actuals!M45)),"",Actuals!M45)</f>
        <v/>
      </c>
      <c r="AR39" s="509">
        <f>IF(OR(11&gt;$B$3,ISBLANK(Actuals!M45)),"",Budget!M45-Actuals!M45)</f>
        <v/>
      </c>
      <c r="AS39" s="509">
        <f>IFERROR(IF(OR(11&gt;$B$3,ISBLANK(Actuals!M45)),"",(Budget!M45-Actuals!M45)/ABS(Budget!M45)),"")</f>
        <v/>
      </c>
      <c r="AT39" s="508">
        <f>Budget!N45</f>
        <v/>
      </c>
      <c r="AU39" s="508">
        <f>IF(OR(12&gt;$B$3,ISBLANK(Actuals!N45)),"",Actuals!N45)</f>
        <v/>
      </c>
      <c r="AV39" s="509">
        <f>IF(OR(12&gt;$B$3,ISBLANK(Actuals!N45)),"",Budget!N45-Actuals!N45)</f>
        <v/>
      </c>
      <c r="AW39" s="509">
        <f>IFERROR(IF(OR(12&gt;$B$3,ISBLANK(Actuals!N45)),"",(Budget!N45-Actuals!N45)/ABS(Budget!N45)),"")</f>
        <v/>
      </c>
      <c r="AX39" s="510">
        <f>SUMPRODUCT((Actuals!C45:N45&lt;&gt;"")*(Budget!C45:N45))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Budget!C46</f>
        <v/>
      </c>
      <c r="C40" s="508">
        <f>IF(OR(1&gt;$B$3,ISBLANK(Actuals!C46)),"",Actuals!C46)</f>
        <v/>
      </c>
      <c r="D40" s="509">
        <f>IF(OR(1&gt;$B$3,ISBLANK(Actuals!C46)),"",Budget!C46-Actuals!C46)</f>
        <v/>
      </c>
      <c r="E40" s="509">
        <f>IFERROR(IF(OR(1&gt;$B$3,ISBLANK(Actuals!C46)),"",(Budget!C46-Actuals!C46)/ABS(Budget!C46)),"")</f>
        <v/>
      </c>
      <c r="F40" s="508">
        <f>Budget!D46</f>
        <v/>
      </c>
      <c r="G40" s="508">
        <f>IF(OR(2&gt;$B$3,ISBLANK(Actuals!D46)),"",Actuals!D46)</f>
        <v/>
      </c>
      <c r="H40" s="509">
        <f>IF(OR(2&gt;$B$3,ISBLANK(Actuals!D46)),"",Budget!D46-Actuals!D46)</f>
        <v/>
      </c>
      <c r="I40" s="509">
        <f>IFERROR(IF(OR(2&gt;$B$3,ISBLANK(Actuals!D46)),"",(Budget!D46-Actuals!D46)/ABS(Budget!D46)),"")</f>
        <v/>
      </c>
      <c r="J40" s="508">
        <f>Budget!E46</f>
        <v/>
      </c>
      <c r="K40" s="508">
        <f>IF(OR(3&gt;$B$3,ISBLANK(Actuals!E46)),"",Actuals!E46)</f>
        <v/>
      </c>
      <c r="L40" s="509">
        <f>IF(OR(3&gt;$B$3,ISBLANK(Actuals!E46)),"",Budget!E46-Actuals!E46)</f>
        <v/>
      </c>
      <c r="M40" s="509">
        <f>IFERROR(IF(OR(3&gt;$B$3,ISBLANK(Actuals!E46)),"",(Budget!E46-Actuals!E46)/ABS(Budget!E46)),"")</f>
        <v/>
      </c>
      <c r="N40" s="508">
        <f>Budget!F46</f>
        <v/>
      </c>
      <c r="O40" s="508">
        <f>IF(OR(4&gt;$B$3,ISBLANK(Actuals!F46)),"",Actuals!F46)</f>
        <v/>
      </c>
      <c r="P40" s="509">
        <f>IF(OR(4&gt;$B$3,ISBLANK(Actuals!F46)),"",Budget!F46-Actuals!F46)</f>
        <v/>
      </c>
      <c r="Q40" s="509">
        <f>IFERROR(IF(OR(4&gt;$B$3,ISBLANK(Actuals!F46)),"",(Budget!F46-Actuals!F46)/ABS(Budget!F46)),"")</f>
        <v/>
      </c>
      <c r="R40" s="508">
        <f>Budget!G46</f>
        <v/>
      </c>
      <c r="S40" s="508">
        <f>IF(OR(5&gt;$B$3,ISBLANK(Actuals!G46)),"",Actuals!G46)</f>
        <v/>
      </c>
      <c r="T40" s="509">
        <f>IF(OR(5&gt;$B$3,ISBLANK(Actuals!G46)),"",Budget!G46-Actuals!G46)</f>
        <v/>
      </c>
      <c r="U40" s="509">
        <f>IFERROR(IF(OR(5&gt;$B$3,ISBLANK(Actuals!G46)),"",(Budget!G46-Actuals!G46)/ABS(Budget!G46)),"")</f>
        <v/>
      </c>
      <c r="V40" s="508">
        <f>Budget!H46</f>
        <v/>
      </c>
      <c r="W40" s="508">
        <f>IF(OR(6&gt;$B$3,ISBLANK(Actuals!H46)),"",Actuals!H46)</f>
        <v/>
      </c>
      <c r="X40" s="509">
        <f>IF(OR(6&gt;$B$3,ISBLANK(Actuals!H46)),"",Budget!H46-Actuals!H46)</f>
        <v/>
      </c>
      <c r="Y40" s="509">
        <f>IFERROR(IF(OR(6&gt;$B$3,ISBLANK(Actuals!H46)),"",(Budget!H46-Actuals!H46)/ABS(Budget!H46)),"")</f>
        <v/>
      </c>
      <c r="Z40" s="508">
        <f>Budget!I46</f>
        <v/>
      </c>
      <c r="AA40" s="508">
        <f>IF(OR(7&gt;$B$3,ISBLANK(Actuals!I46)),"",Actuals!I46)</f>
        <v/>
      </c>
      <c r="AB40" s="509">
        <f>IF(OR(7&gt;$B$3,ISBLANK(Actuals!I46)),"",Budget!I46-Actuals!I46)</f>
        <v/>
      </c>
      <c r="AC40" s="509">
        <f>IFERROR(IF(OR(7&gt;$B$3,ISBLANK(Actuals!I46)),"",(Budget!I46-Actuals!I46)/ABS(Budget!I46)),"")</f>
        <v/>
      </c>
      <c r="AD40" s="508">
        <f>Budget!J46</f>
        <v/>
      </c>
      <c r="AE40" s="508">
        <f>IF(OR(8&gt;$B$3,ISBLANK(Actuals!J46)),"",Actuals!J46)</f>
        <v/>
      </c>
      <c r="AF40" s="509">
        <f>IF(OR(8&gt;$B$3,ISBLANK(Actuals!J46)),"",Budget!J46-Actuals!J46)</f>
        <v/>
      </c>
      <c r="AG40" s="509">
        <f>IFERROR(IF(OR(8&gt;$B$3,ISBLANK(Actuals!J46)),"",(Budget!J46-Actuals!J46)/ABS(Budget!J46)),"")</f>
        <v/>
      </c>
      <c r="AH40" s="508">
        <f>Budget!K46</f>
        <v/>
      </c>
      <c r="AI40" s="508">
        <f>IF(OR(9&gt;$B$3,ISBLANK(Actuals!K46)),"",Actuals!K46)</f>
        <v/>
      </c>
      <c r="AJ40" s="509">
        <f>IF(OR(9&gt;$B$3,ISBLANK(Actuals!K46)),"",Budget!K46-Actuals!K46)</f>
        <v/>
      </c>
      <c r="AK40" s="509">
        <f>IFERROR(IF(OR(9&gt;$B$3,ISBLANK(Actuals!K46)),"",(Budget!K46-Actuals!K46)/ABS(Budget!K46)),"")</f>
        <v/>
      </c>
      <c r="AL40" s="508">
        <f>Budget!L46</f>
        <v/>
      </c>
      <c r="AM40" s="508">
        <f>IF(OR(10&gt;$B$3,ISBLANK(Actuals!L46)),"",Actuals!L46)</f>
        <v/>
      </c>
      <c r="AN40" s="509">
        <f>IF(OR(10&gt;$B$3,ISBLANK(Actuals!L46)),"",Budget!L46-Actuals!L46)</f>
        <v/>
      </c>
      <c r="AO40" s="509">
        <f>IFERROR(IF(OR(10&gt;$B$3,ISBLANK(Actuals!L46)),"",(Budget!L46-Actuals!L46)/ABS(Budget!L46)),"")</f>
        <v/>
      </c>
      <c r="AP40" s="508">
        <f>Budget!M46</f>
        <v/>
      </c>
      <c r="AQ40" s="508">
        <f>IF(OR(11&gt;$B$3,ISBLANK(Actuals!M46)),"",Actuals!M46)</f>
        <v/>
      </c>
      <c r="AR40" s="509">
        <f>IF(OR(11&gt;$B$3,ISBLANK(Actuals!M46)),"",Budget!M46-Actuals!M46)</f>
        <v/>
      </c>
      <c r="AS40" s="509">
        <f>IFERROR(IF(OR(11&gt;$B$3,ISBLANK(Actuals!M46)),"",(Budget!M46-Actuals!M46)/ABS(Budget!M46)),"")</f>
        <v/>
      </c>
      <c r="AT40" s="508">
        <f>Budget!N46</f>
        <v/>
      </c>
      <c r="AU40" s="508">
        <f>IF(OR(12&gt;$B$3,ISBLANK(Actuals!N46)),"",Actuals!N46)</f>
        <v/>
      </c>
      <c r="AV40" s="509">
        <f>IF(OR(12&gt;$B$3,ISBLANK(Actuals!N46)),"",Budget!N46-Actuals!N46)</f>
        <v/>
      </c>
      <c r="AW40" s="509">
        <f>IFERROR(IF(OR(12&gt;$B$3,ISBLANK(Actuals!N46)),"",(Budget!N46-Actuals!N46)/ABS(Budget!N46)),"")</f>
        <v/>
      </c>
      <c r="AX40" s="510">
        <f>SUMPRODUCT((Actuals!C46:N46&lt;&gt;"")*(Budget!C46:N46))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Budget!C47</f>
        <v/>
      </c>
      <c r="C41" s="508">
        <f>IF(OR(1&gt;$B$3,ISBLANK(Actuals!C47)),"",Actuals!C47)</f>
        <v/>
      </c>
      <c r="D41" s="509">
        <f>IF(OR(1&gt;$B$3,ISBLANK(Actuals!C47)),"",Budget!C47-Actuals!C47)</f>
        <v/>
      </c>
      <c r="E41" s="509">
        <f>IFERROR(IF(OR(1&gt;$B$3,ISBLANK(Actuals!C47)),"",(Budget!C47-Actuals!C47)/ABS(Budget!C47)),"")</f>
        <v/>
      </c>
      <c r="F41" s="508">
        <f>Budget!D47</f>
        <v/>
      </c>
      <c r="G41" s="508">
        <f>IF(OR(2&gt;$B$3,ISBLANK(Actuals!D47)),"",Actuals!D47)</f>
        <v/>
      </c>
      <c r="H41" s="509">
        <f>IF(OR(2&gt;$B$3,ISBLANK(Actuals!D47)),"",Budget!D47-Actuals!D47)</f>
        <v/>
      </c>
      <c r="I41" s="509">
        <f>IFERROR(IF(OR(2&gt;$B$3,ISBLANK(Actuals!D47)),"",(Budget!D47-Actuals!D47)/ABS(Budget!D47)),"")</f>
        <v/>
      </c>
      <c r="J41" s="508">
        <f>Budget!E47</f>
        <v/>
      </c>
      <c r="K41" s="508">
        <f>IF(OR(3&gt;$B$3,ISBLANK(Actuals!E47)),"",Actuals!E47)</f>
        <v/>
      </c>
      <c r="L41" s="509">
        <f>IF(OR(3&gt;$B$3,ISBLANK(Actuals!E47)),"",Budget!E47-Actuals!E47)</f>
        <v/>
      </c>
      <c r="M41" s="509">
        <f>IFERROR(IF(OR(3&gt;$B$3,ISBLANK(Actuals!E47)),"",(Budget!E47-Actuals!E47)/ABS(Budget!E47)),"")</f>
        <v/>
      </c>
      <c r="N41" s="508">
        <f>Budget!F47</f>
        <v/>
      </c>
      <c r="O41" s="508">
        <f>IF(OR(4&gt;$B$3,ISBLANK(Actuals!F47)),"",Actuals!F47)</f>
        <v/>
      </c>
      <c r="P41" s="509">
        <f>IF(OR(4&gt;$B$3,ISBLANK(Actuals!F47)),"",Budget!F47-Actuals!F47)</f>
        <v/>
      </c>
      <c r="Q41" s="509">
        <f>IFERROR(IF(OR(4&gt;$B$3,ISBLANK(Actuals!F47)),"",(Budget!F47-Actuals!F47)/ABS(Budget!F47)),"")</f>
        <v/>
      </c>
      <c r="R41" s="508">
        <f>Budget!G47</f>
        <v/>
      </c>
      <c r="S41" s="508">
        <f>IF(OR(5&gt;$B$3,ISBLANK(Actuals!G47)),"",Actuals!G47)</f>
        <v/>
      </c>
      <c r="T41" s="509">
        <f>IF(OR(5&gt;$B$3,ISBLANK(Actuals!G47)),"",Budget!G47-Actuals!G47)</f>
        <v/>
      </c>
      <c r="U41" s="509">
        <f>IFERROR(IF(OR(5&gt;$B$3,ISBLANK(Actuals!G47)),"",(Budget!G47-Actuals!G47)/ABS(Budget!G47)),"")</f>
        <v/>
      </c>
      <c r="V41" s="508">
        <f>Budget!H47</f>
        <v/>
      </c>
      <c r="W41" s="508">
        <f>IF(OR(6&gt;$B$3,ISBLANK(Actuals!H47)),"",Actuals!H47)</f>
        <v/>
      </c>
      <c r="X41" s="509">
        <f>IF(OR(6&gt;$B$3,ISBLANK(Actuals!H47)),"",Budget!H47-Actuals!H47)</f>
        <v/>
      </c>
      <c r="Y41" s="509">
        <f>IFERROR(IF(OR(6&gt;$B$3,ISBLANK(Actuals!H47)),"",(Budget!H47-Actuals!H47)/ABS(Budget!H47)),"")</f>
        <v/>
      </c>
      <c r="Z41" s="508">
        <f>Budget!I47</f>
        <v/>
      </c>
      <c r="AA41" s="508">
        <f>IF(OR(7&gt;$B$3,ISBLANK(Actuals!I47)),"",Actuals!I47)</f>
        <v/>
      </c>
      <c r="AB41" s="509">
        <f>IF(OR(7&gt;$B$3,ISBLANK(Actuals!I47)),"",Budget!I47-Actuals!I47)</f>
        <v/>
      </c>
      <c r="AC41" s="509">
        <f>IFERROR(IF(OR(7&gt;$B$3,ISBLANK(Actuals!I47)),"",(Budget!I47-Actuals!I47)/ABS(Budget!I47)),"")</f>
        <v/>
      </c>
      <c r="AD41" s="508">
        <f>Budget!J47</f>
        <v/>
      </c>
      <c r="AE41" s="508">
        <f>IF(OR(8&gt;$B$3,ISBLANK(Actuals!J47)),"",Actuals!J47)</f>
        <v/>
      </c>
      <c r="AF41" s="509">
        <f>IF(OR(8&gt;$B$3,ISBLANK(Actuals!J47)),"",Budget!J47-Actuals!J47)</f>
        <v/>
      </c>
      <c r="AG41" s="509">
        <f>IFERROR(IF(OR(8&gt;$B$3,ISBLANK(Actuals!J47)),"",(Budget!J47-Actuals!J47)/ABS(Budget!J47)),"")</f>
        <v/>
      </c>
      <c r="AH41" s="508">
        <f>Budget!K47</f>
        <v/>
      </c>
      <c r="AI41" s="508">
        <f>IF(OR(9&gt;$B$3,ISBLANK(Actuals!K47)),"",Actuals!K47)</f>
        <v/>
      </c>
      <c r="AJ41" s="509">
        <f>IF(OR(9&gt;$B$3,ISBLANK(Actuals!K47)),"",Budget!K47-Actuals!K47)</f>
        <v/>
      </c>
      <c r="AK41" s="509">
        <f>IFERROR(IF(OR(9&gt;$B$3,ISBLANK(Actuals!K47)),"",(Budget!K47-Actuals!K47)/ABS(Budget!K47)),"")</f>
        <v/>
      </c>
      <c r="AL41" s="508">
        <f>Budget!L47</f>
        <v/>
      </c>
      <c r="AM41" s="508">
        <f>IF(OR(10&gt;$B$3,ISBLANK(Actuals!L47)),"",Actuals!L47)</f>
        <v/>
      </c>
      <c r="AN41" s="509">
        <f>IF(OR(10&gt;$B$3,ISBLANK(Actuals!L47)),"",Budget!L47-Actuals!L47)</f>
        <v/>
      </c>
      <c r="AO41" s="509">
        <f>IFERROR(IF(OR(10&gt;$B$3,ISBLANK(Actuals!L47)),"",(Budget!L47-Actuals!L47)/ABS(Budget!L47)),"")</f>
        <v/>
      </c>
      <c r="AP41" s="508">
        <f>Budget!M47</f>
        <v/>
      </c>
      <c r="AQ41" s="508">
        <f>IF(OR(11&gt;$B$3,ISBLANK(Actuals!M47)),"",Actuals!M47)</f>
        <v/>
      </c>
      <c r="AR41" s="509">
        <f>IF(OR(11&gt;$B$3,ISBLANK(Actuals!M47)),"",Budget!M47-Actuals!M47)</f>
        <v/>
      </c>
      <c r="AS41" s="509">
        <f>IFERROR(IF(OR(11&gt;$B$3,ISBLANK(Actuals!M47)),"",(Budget!M47-Actuals!M47)/ABS(Budget!M47)),"")</f>
        <v/>
      </c>
      <c r="AT41" s="508">
        <f>Budget!N47</f>
        <v/>
      </c>
      <c r="AU41" s="508">
        <f>IF(OR(12&gt;$B$3,ISBLANK(Actuals!N47)),"",Actuals!N47)</f>
        <v/>
      </c>
      <c r="AV41" s="509">
        <f>IF(OR(12&gt;$B$3,ISBLANK(Actuals!N47)),"",Budget!N47-Actuals!N47)</f>
        <v/>
      </c>
      <c r="AW41" s="509">
        <f>IFERROR(IF(OR(12&gt;$B$3,ISBLANK(Actuals!N47)),"",(Budget!N47-Actuals!N47)/ABS(Budget!N47)),"")</f>
        <v/>
      </c>
      <c r="AX41" s="510">
        <f>SUMPRODUCT((Actuals!C47:N47&lt;&gt;"")*(Budget!C47:N47))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Budget!C48</f>
        <v/>
      </c>
      <c r="C42" s="508">
        <f>IF(OR(1&gt;$B$3,ISBLANK(Actuals!C48)),"",Actuals!C48)</f>
        <v/>
      </c>
      <c r="D42" s="509">
        <f>IF(OR(1&gt;$B$3,ISBLANK(Actuals!C48)),"",Budget!C48-Actuals!C48)</f>
        <v/>
      </c>
      <c r="E42" s="509">
        <f>IFERROR(IF(OR(1&gt;$B$3,ISBLANK(Actuals!C48)),"",(Budget!C48-Actuals!C48)/ABS(Budget!C48)),"")</f>
        <v/>
      </c>
      <c r="F42" s="508">
        <f>Budget!D48</f>
        <v/>
      </c>
      <c r="G42" s="508">
        <f>IF(OR(2&gt;$B$3,ISBLANK(Actuals!D48)),"",Actuals!D48)</f>
        <v/>
      </c>
      <c r="H42" s="509">
        <f>IF(OR(2&gt;$B$3,ISBLANK(Actuals!D48)),"",Budget!D48-Actuals!D48)</f>
        <v/>
      </c>
      <c r="I42" s="509">
        <f>IFERROR(IF(OR(2&gt;$B$3,ISBLANK(Actuals!D48)),"",(Budget!D48-Actuals!D48)/ABS(Budget!D48)),"")</f>
        <v/>
      </c>
      <c r="J42" s="508">
        <f>Budget!E48</f>
        <v/>
      </c>
      <c r="K42" s="508">
        <f>IF(OR(3&gt;$B$3,ISBLANK(Actuals!E48)),"",Actuals!E48)</f>
        <v/>
      </c>
      <c r="L42" s="509">
        <f>IF(OR(3&gt;$B$3,ISBLANK(Actuals!E48)),"",Budget!E48-Actuals!E48)</f>
        <v/>
      </c>
      <c r="M42" s="509">
        <f>IFERROR(IF(OR(3&gt;$B$3,ISBLANK(Actuals!E48)),"",(Budget!E48-Actuals!E48)/ABS(Budget!E48)),"")</f>
        <v/>
      </c>
      <c r="N42" s="508">
        <f>Budget!F48</f>
        <v/>
      </c>
      <c r="O42" s="508">
        <f>IF(OR(4&gt;$B$3,ISBLANK(Actuals!F48)),"",Actuals!F48)</f>
        <v/>
      </c>
      <c r="P42" s="509">
        <f>IF(OR(4&gt;$B$3,ISBLANK(Actuals!F48)),"",Budget!F48-Actuals!F48)</f>
        <v/>
      </c>
      <c r="Q42" s="509">
        <f>IFERROR(IF(OR(4&gt;$B$3,ISBLANK(Actuals!F48)),"",(Budget!F48-Actuals!F48)/ABS(Budget!F48)),"")</f>
        <v/>
      </c>
      <c r="R42" s="508">
        <f>Budget!G48</f>
        <v/>
      </c>
      <c r="S42" s="508">
        <f>IF(OR(5&gt;$B$3,ISBLANK(Actuals!G48)),"",Actuals!G48)</f>
        <v/>
      </c>
      <c r="T42" s="509">
        <f>IF(OR(5&gt;$B$3,ISBLANK(Actuals!G48)),"",Budget!G48-Actuals!G48)</f>
        <v/>
      </c>
      <c r="U42" s="509">
        <f>IFERROR(IF(OR(5&gt;$B$3,ISBLANK(Actuals!G48)),"",(Budget!G48-Actuals!G48)/ABS(Budget!G48)),"")</f>
        <v/>
      </c>
      <c r="V42" s="508">
        <f>Budget!H48</f>
        <v/>
      </c>
      <c r="W42" s="508">
        <f>IF(OR(6&gt;$B$3,ISBLANK(Actuals!H48)),"",Actuals!H48)</f>
        <v/>
      </c>
      <c r="X42" s="509">
        <f>IF(OR(6&gt;$B$3,ISBLANK(Actuals!H48)),"",Budget!H48-Actuals!H48)</f>
        <v/>
      </c>
      <c r="Y42" s="509">
        <f>IFERROR(IF(OR(6&gt;$B$3,ISBLANK(Actuals!H48)),"",(Budget!H48-Actuals!H48)/ABS(Budget!H48)),"")</f>
        <v/>
      </c>
      <c r="Z42" s="508">
        <f>Budget!I48</f>
        <v/>
      </c>
      <c r="AA42" s="508">
        <f>IF(OR(7&gt;$B$3,ISBLANK(Actuals!I48)),"",Actuals!I48)</f>
        <v/>
      </c>
      <c r="AB42" s="509">
        <f>IF(OR(7&gt;$B$3,ISBLANK(Actuals!I48)),"",Budget!I48-Actuals!I48)</f>
        <v/>
      </c>
      <c r="AC42" s="509">
        <f>IFERROR(IF(OR(7&gt;$B$3,ISBLANK(Actuals!I48)),"",(Budget!I48-Actuals!I48)/ABS(Budget!I48)),"")</f>
        <v/>
      </c>
      <c r="AD42" s="508">
        <f>Budget!J48</f>
        <v/>
      </c>
      <c r="AE42" s="508">
        <f>IF(OR(8&gt;$B$3,ISBLANK(Actuals!J48)),"",Actuals!J48)</f>
        <v/>
      </c>
      <c r="AF42" s="509">
        <f>IF(OR(8&gt;$B$3,ISBLANK(Actuals!J48)),"",Budget!J48-Actuals!J48)</f>
        <v/>
      </c>
      <c r="AG42" s="509">
        <f>IFERROR(IF(OR(8&gt;$B$3,ISBLANK(Actuals!J48)),"",(Budget!J48-Actuals!J48)/ABS(Budget!J48)),"")</f>
        <v/>
      </c>
      <c r="AH42" s="508">
        <f>Budget!K48</f>
        <v/>
      </c>
      <c r="AI42" s="508">
        <f>IF(OR(9&gt;$B$3,ISBLANK(Actuals!K48)),"",Actuals!K48)</f>
        <v/>
      </c>
      <c r="AJ42" s="509">
        <f>IF(OR(9&gt;$B$3,ISBLANK(Actuals!K48)),"",Budget!K48-Actuals!K48)</f>
        <v/>
      </c>
      <c r="AK42" s="509">
        <f>IFERROR(IF(OR(9&gt;$B$3,ISBLANK(Actuals!K48)),"",(Budget!K48-Actuals!K48)/ABS(Budget!K48)),"")</f>
        <v/>
      </c>
      <c r="AL42" s="508">
        <f>Budget!L48</f>
        <v/>
      </c>
      <c r="AM42" s="508">
        <f>IF(OR(10&gt;$B$3,ISBLANK(Actuals!L48)),"",Actuals!L48)</f>
        <v/>
      </c>
      <c r="AN42" s="509">
        <f>IF(OR(10&gt;$B$3,ISBLANK(Actuals!L48)),"",Budget!L48-Actuals!L48)</f>
        <v/>
      </c>
      <c r="AO42" s="509">
        <f>IFERROR(IF(OR(10&gt;$B$3,ISBLANK(Actuals!L48)),"",(Budget!L48-Actuals!L48)/ABS(Budget!L48)),"")</f>
        <v/>
      </c>
      <c r="AP42" s="508">
        <f>Budget!M48</f>
        <v/>
      </c>
      <c r="AQ42" s="508">
        <f>IF(OR(11&gt;$B$3,ISBLANK(Actuals!M48)),"",Actuals!M48)</f>
        <v/>
      </c>
      <c r="AR42" s="509">
        <f>IF(OR(11&gt;$B$3,ISBLANK(Actuals!M48)),"",Budget!M48-Actuals!M48)</f>
        <v/>
      </c>
      <c r="AS42" s="509">
        <f>IFERROR(IF(OR(11&gt;$B$3,ISBLANK(Actuals!M48)),"",(Budget!M48-Actuals!M48)/ABS(Budget!M48)),"")</f>
        <v/>
      </c>
      <c r="AT42" s="508">
        <f>Budget!N48</f>
        <v/>
      </c>
      <c r="AU42" s="508">
        <f>IF(OR(12&gt;$B$3,ISBLANK(Actuals!N48)),"",Actuals!N48)</f>
        <v/>
      </c>
      <c r="AV42" s="509">
        <f>IF(OR(12&gt;$B$3,ISBLANK(Actuals!N48)),"",Budget!N48-Actuals!N48)</f>
        <v/>
      </c>
      <c r="AW42" s="509">
        <f>IFERROR(IF(OR(12&gt;$B$3,ISBLANK(Actuals!N48)),"",(Budget!N48-Actuals!N48)/ABS(Budget!N48)),"")</f>
        <v/>
      </c>
      <c r="AX42" s="510">
        <f>SUMPRODUCT((Actuals!C48:N48&lt;&gt;"")*(Budget!C48:N48))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Budget!C49</f>
        <v/>
      </c>
      <c r="C43" s="508">
        <f>IF(OR(1&gt;$B$3,ISBLANK(Actuals!C49)),"",Actuals!C49)</f>
        <v/>
      </c>
      <c r="D43" s="509">
        <f>IF(OR(1&gt;$B$3,ISBLANK(Actuals!C49)),"",Budget!C49-Actuals!C49)</f>
        <v/>
      </c>
      <c r="E43" s="509">
        <f>IFERROR(IF(OR(1&gt;$B$3,ISBLANK(Actuals!C49)),"",(Budget!C49-Actuals!C49)/ABS(Budget!C49)),"")</f>
        <v/>
      </c>
      <c r="F43" s="508">
        <f>Budget!D49</f>
        <v/>
      </c>
      <c r="G43" s="508">
        <f>IF(OR(2&gt;$B$3,ISBLANK(Actuals!D49)),"",Actuals!D49)</f>
        <v/>
      </c>
      <c r="H43" s="509">
        <f>IF(OR(2&gt;$B$3,ISBLANK(Actuals!D49)),"",Budget!D49-Actuals!D49)</f>
        <v/>
      </c>
      <c r="I43" s="509">
        <f>IFERROR(IF(OR(2&gt;$B$3,ISBLANK(Actuals!D49)),"",(Budget!D49-Actuals!D49)/ABS(Budget!D49)),"")</f>
        <v/>
      </c>
      <c r="J43" s="508">
        <f>Budget!E49</f>
        <v/>
      </c>
      <c r="K43" s="508">
        <f>IF(OR(3&gt;$B$3,ISBLANK(Actuals!E49)),"",Actuals!E49)</f>
        <v/>
      </c>
      <c r="L43" s="509">
        <f>IF(OR(3&gt;$B$3,ISBLANK(Actuals!E49)),"",Budget!E49-Actuals!E49)</f>
        <v/>
      </c>
      <c r="M43" s="509">
        <f>IFERROR(IF(OR(3&gt;$B$3,ISBLANK(Actuals!E49)),"",(Budget!E49-Actuals!E49)/ABS(Budget!E49)),"")</f>
        <v/>
      </c>
      <c r="N43" s="508">
        <f>Budget!F49</f>
        <v/>
      </c>
      <c r="O43" s="508">
        <f>IF(OR(4&gt;$B$3,ISBLANK(Actuals!F49)),"",Actuals!F49)</f>
        <v/>
      </c>
      <c r="P43" s="509">
        <f>IF(OR(4&gt;$B$3,ISBLANK(Actuals!F49)),"",Budget!F49-Actuals!F49)</f>
        <v/>
      </c>
      <c r="Q43" s="509">
        <f>IFERROR(IF(OR(4&gt;$B$3,ISBLANK(Actuals!F49)),"",(Budget!F49-Actuals!F49)/ABS(Budget!F49)),"")</f>
        <v/>
      </c>
      <c r="R43" s="508">
        <f>Budget!G49</f>
        <v/>
      </c>
      <c r="S43" s="508">
        <f>IF(OR(5&gt;$B$3,ISBLANK(Actuals!G49)),"",Actuals!G49)</f>
        <v/>
      </c>
      <c r="T43" s="509">
        <f>IF(OR(5&gt;$B$3,ISBLANK(Actuals!G49)),"",Budget!G49-Actuals!G49)</f>
        <v/>
      </c>
      <c r="U43" s="509">
        <f>IFERROR(IF(OR(5&gt;$B$3,ISBLANK(Actuals!G49)),"",(Budget!G49-Actuals!G49)/ABS(Budget!G49)),"")</f>
        <v/>
      </c>
      <c r="V43" s="508">
        <f>Budget!H49</f>
        <v/>
      </c>
      <c r="W43" s="508">
        <f>IF(OR(6&gt;$B$3,ISBLANK(Actuals!H49)),"",Actuals!H49)</f>
        <v/>
      </c>
      <c r="X43" s="509">
        <f>IF(OR(6&gt;$B$3,ISBLANK(Actuals!H49)),"",Budget!H49-Actuals!H49)</f>
        <v/>
      </c>
      <c r="Y43" s="509">
        <f>IFERROR(IF(OR(6&gt;$B$3,ISBLANK(Actuals!H49)),"",(Budget!H49-Actuals!H49)/ABS(Budget!H49)),"")</f>
        <v/>
      </c>
      <c r="Z43" s="508">
        <f>Budget!I49</f>
        <v/>
      </c>
      <c r="AA43" s="508">
        <f>IF(OR(7&gt;$B$3,ISBLANK(Actuals!I49)),"",Actuals!I49)</f>
        <v/>
      </c>
      <c r="AB43" s="509">
        <f>IF(OR(7&gt;$B$3,ISBLANK(Actuals!I49)),"",Budget!I49-Actuals!I49)</f>
        <v/>
      </c>
      <c r="AC43" s="509">
        <f>IFERROR(IF(OR(7&gt;$B$3,ISBLANK(Actuals!I49)),"",(Budget!I49-Actuals!I49)/ABS(Budget!I49)),"")</f>
        <v/>
      </c>
      <c r="AD43" s="508">
        <f>Budget!J49</f>
        <v/>
      </c>
      <c r="AE43" s="508">
        <f>IF(OR(8&gt;$B$3,ISBLANK(Actuals!J49)),"",Actuals!J49)</f>
        <v/>
      </c>
      <c r="AF43" s="509">
        <f>IF(OR(8&gt;$B$3,ISBLANK(Actuals!J49)),"",Budget!J49-Actuals!J49)</f>
        <v/>
      </c>
      <c r="AG43" s="509">
        <f>IFERROR(IF(OR(8&gt;$B$3,ISBLANK(Actuals!J49)),"",(Budget!J49-Actuals!J49)/ABS(Budget!J49)),"")</f>
        <v/>
      </c>
      <c r="AH43" s="508">
        <f>Budget!K49</f>
        <v/>
      </c>
      <c r="AI43" s="508">
        <f>IF(OR(9&gt;$B$3,ISBLANK(Actuals!K49)),"",Actuals!K49)</f>
        <v/>
      </c>
      <c r="AJ43" s="509">
        <f>IF(OR(9&gt;$B$3,ISBLANK(Actuals!K49)),"",Budget!K49-Actuals!K49)</f>
        <v/>
      </c>
      <c r="AK43" s="509">
        <f>IFERROR(IF(OR(9&gt;$B$3,ISBLANK(Actuals!K49)),"",(Budget!K49-Actuals!K49)/ABS(Budget!K49)),"")</f>
        <v/>
      </c>
      <c r="AL43" s="508">
        <f>Budget!L49</f>
        <v/>
      </c>
      <c r="AM43" s="508">
        <f>IF(OR(10&gt;$B$3,ISBLANK(Actuals!L49)),"",Actuals!L49)</f>
        <v/>
      </c>
      <c r="AN43" s="509">
        <f>IF(OR(10&gt;$B$3,ISBLANK(Actuals!L49)),"",Budget!L49-Actuals!L49)</f>
        <v/>
      </c>
      <c r="AO43" s="509">
        <f>IFERROR(IF(OR(10&gt;$B$3,ISBLANK(Actuals!L49)),"",(Budget!L49-Actuals!L49)/ABS(Budget!L49)),"")</f>
        <v/>
      </c>
      <c r="AP43" s="508">
        <f>Budget!M49</f>
        <v/>
      </c>
      <c r="AQ43" s="508">
        <f>IF(OR(11&gt;$B$3,ISBLANK(Actuals!M49)),"",Actuals!M49)</f>
        <v/>
      </c>
      <c r="AR43" s="509">
        <f>IF(OR(11&gt;$B$3,ISBLANK(Actuals!M49)),"",Budget!M49-Actuals!M49)</f>
        <v/>
      </c>
      <c r="AS43" s="509">
        <f>IFERROR(IF(OR(11&gt;$B$3,ISBLANK(Actuals!M49)),"",(Budget!M49-Actuals!M49)/ABS(Budget!M49)),"")</f>
        <v/>
      </c>
      <c r="AT43" s="508">
        <f>Budget!N49</f>
        <v/>
      </c>
      <c r="AU43" s="508">
        <f>IF(OR(12&gt;$B$3,ISBLANK(Actuals!N49)),"",Actuals!N49)</f>
        <v/>
      </c>
      <c r="AV43" s="509">
        <f>IF(OR(12&gt;$B$3,ISBLANK(Actuals!N49)),"",Budget!N49-Actuals!N49)</f>
        <v/>
      </c>
      <c r="AW43" s="509">
        <f>IFERROR(IF(OR(12&gt;$B$3,ISBLANK(Actuals!N49)),"",(Budget!N49-Actuals!N49)/ABS(Budget!N49)),"")</f>
        <v/>
      </c>
      <c r="AX43" s="510">
        <f>SUMPRODUCT((Actuals!C49:N49&lt;&gt;"")*(Budget!C49:N49))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Budget!C50</f>
        <v/>
      </c>
      <c r="C44" s="508">
        <f>IF(OR(1&gt;$B$3,ISBLANK(Actuals!C50)),"",Actuals!C50)</f>
        <v/>
      </c>
      <c r="D44" s="509">
        <f>IF(OR(1&gt;$B$3,ISBLANK(Actuals!C50)),"",Budget!C50-Actuals!C50)</f>
        <v/>
      </c>
      <c r="E44" s="509">
        <f>IFERROR(IF(OR(1&gt;$B$3,ISBLANK(Actuals!C50)),"",(Budget!C50-Actuals!C50)/ABS(Budget!C50)),"")</f>
        <v/>
      </c>
      <c r="F44" s="508">
        <f>Budget!D50</f>
        <v/>
      </c>
      <c r="G44" s="508">
        <f>IF(OR(2&gt;$B$3,ISBLANK(Actuals!D50)),"",Actuals!D50)</f>
        <v/>
      </c>
      <c r="H44" s="509">
        <f>IF(OR(2&gt;$B$3,ISBLANK(Actuals!D50)),"",Budget!D50-Actuals!D50)</f>
        <v/>
      </c>
      <c r="I44" s="509">
        <f>IFERROR(IF(OR(2&gt;$B$3,ISBLANK(Actuals!D50)),"",(Budget!D50-Actuals!D50)/ABS(Budget!D50)),"")</f>
        <v/>
      </c>
      <c r="J44" s="508">
        <f>Budget!E50</f>
        <v/>
      </c>
      <c r="K44" s="508">
        <f>IF(OR(3&gt;$B$3,ISBLANK(Actuals!E50)),"",Actuals!E50)</f>
        <v/>
      </c>
      <c r="L44" s="509">
        <f>IF(OR(3&gt;$B$3,ISBLANK(Actuals!E50)),"",Budget!E50-Actuals!E50)</f>
        <v/>
      </c>
      <c r="M44" s="509">
        <f>IFERROR(IF(OR(3&gt;$B$3,ISBLANK(Actuals!E50)),"",(Budget!E50-Actuals!E50)/ABS(Budget!E50)),"")</f>
        <v/>
      </c>
      <c r="N44" s="508">
        <f>Budget!F50</f>
        <v/>
      </c>
      <c r="O44" s="508">
        <f>IF(OR(4&gt;$B$3,ISBLANK(Actuals!F50)),"",Actuals!F50)</f>
        <v/>
      </c>
      <c r="P44" s="509">
        <f>IF(OR(4&gt;$B$3,ISBLANK(Actuals!F50)),"",Budget!F50-Actuals!F50)</f>
        <v/>
      </c>
      <c r="Q44" s="509">
        <f>IFERROR(IF(OR(4&gt;$B$3,ISBLANK(Actuals!F50)),"",(Budget!F50-Actuals!F50)/ABS(Budget!F50)),"")</f>
        <v/>
      </c>
      <c r="R44" s="508">
        <f>Budget!G50</f>
        <v/>
      </c>
      <c r="S44" s="508">
        <f>IF(OR(5&gt;$B$3,ISBLANK(Actuals!G50)),"",Actuals!G50)</f>
        <v/>
      </c>
      <c r="T44" s="509">
        <f>IF(OR(5&gt;$B$3,ISBLANK(Actuals!G50)),"",Budget!G50-Actuals!G50)</f>
        <v/>
      </c>
      <c r="U44" s="509">
        <f>IFERROR(IF(OR(5&gt;$B$3,ISBLANK(Actuals!G50)),"",(Budget!G50-Actuals!G50)/ABS(Budget!G50)),"")</f>
        <v/>
      </c>
      <c r="V44" s="508">
        <f>Budget!H50</f>
        <v/>
      </c>
      <c r="W44" s="508">
        <f>IF(OR(6&gt;$B$3,ISBLANK(Actuals!H50)),"",Actuals!H50)</f>
        <v/>
      </c>
      <c r="X44" s="509">
        <f>IF(OR(6&gt;$B$3,ISBLANK(Actuals!H50)),"",Budget!H50-Actuals!H50)</f>
        <v/>
      </c>
      <c r="Y44" s="509">
        <f>IFERROR(IF(OR(6&gt;$B$3,ISBLANK(Actuals!H50)),"",(Budget!H50-Actuals!H50)/ABS(Budget!H50)),"")</f>
        <v/>
      </c>
      <c r="Z44" s="508">
        <f>Budget!I50</f>
        <v/>
      </c>
      <c r="AA44" s="508">
        <f>IF(OR(7&gt;$B$3,ISBLANK(Actuals!I50)),"",Actuals!I50)</f>
        <v/>
      </c>
      <c r="AB44" s="509">
        <f>IF(OR(7&gt;$B$3,ISBLANK(Actuals!I50)),"",Budget!I50-Actuals!I50)</f>
        <v/>
      </c>
      <c r="AC44" s="509">
        <f>IFERROR(IF(OR(7&gt;$B$3,ISBLANK(Actuals!I50)),"",(Budget!I50-Actuals!I50)/ABS(Budget!I50)),"")</f>
        <v/>
      </c>
      <c r="AD44" s="508">
        <f>Budget!J50</f>
        <v/>
      </c>
      <c r="AE44" s="508">
        <f>IF(OR(8&gt;$B$3,ISBLANK(Actuals!J50)),"",Actuals!J50)</f>
        <v/>
      </c>
      <c r="AF44" s="509">
        <f>IF(OR(8&gt;$B$3,ISBLANK(Actuals!J50)),"",Budget!J50-Actuals!J50)</f>
        <v/>
      </c>
      <c r="AG44" s="509">
        <f>IFERROR(IF(OR(8&gt;$B$3,ISBLANK(Actuals!J50)),"",(Budget!J50-Actuals!J50)/ABS(Budget!J50)),"")</f>
        <v/>
      </c>
      <c r="AH44" s="508">
        <f>Budget!K50</f>
        <v/>
      </c>
      <c r="AI44" s="508">
        <f>IF(OR(9&gt;$B$3,ISBLANK(Actuals!K50)),"",Actuals!K50)</f>
        <v/>
      </c>
      <c r="AJ44" s="509">
        <f>IF(OR(9&gt;$B$3,ISBLANK(Actuals!K50)),"",Budget!K50-Actuals!K50)</f>
        <v/>
      </c>
      <c r="AK44" s="509">
        <f>IFERROR(IF(OR(9&gt;$B$3,ISBLANK(Actuals!K50)),"",(Budget!K50-Actuals!K50)/ABS(Budget!K50)),"")</f>
        <v/>
      </c>
      <c r="AL44" s="508">
        <f>Budget!L50</f>
        <v/>
      </c>
      <c r="AM44" s="508">
        <f>IF(OR(10&gt;$B$3,ISBLANK(Actuals!L50)),"",Actuals!L50)</f>
        <v/>
      </c>
      <c r="AN44" s="509">
        <f>IF(OR(10&gt;$B$3,ISBLANK(Actuals!L50)),"",Budget!L50-Actuals!L50)</f>
        <v/>
      </c>
      <c r="AO44" s="509">
        <f>IFERROR(IF(OR(10&gt;$B$3,ISBLANK(Actuals!L50)),"",(Budget!L50-Actuals!L50)/ABS(Budget!L50)),"")</f>
        <v/>
      </c>
      <c r="AP44" s="508">
        <f>Budget!M50</f>
        <v/>
      </c>
      <c r="AQ44" s="508">
        <f>IF(OR(11&gt;$B$3,ISBLANK(Actuals!M50)),"",Actuals!M50)</f>
        <v/>
      </c>
      <c r="AR44" s="509">
        <f>IF(OR(11&gt;$B$3,ISBLANK(Actuals!M50)),"",Budget!M50-Actuals!M50)</f>
        <v/>
      </c>
      <c r="AS44" s="509">
        <f>IFERROR(IF(OR(11&gt;$B$3,ISBLANK(Actuals!M50)),"",(Budget!M50-Actuals!M50)/ABS(Budget!M50)),"")</f>
        <v/>
      </c>
      <c r="AT44" s="508">
        <f>Budget!N50</f>
        <v/>
      </c>
      <c r="AU44" s="508">
        <f>IF(OR(12&gt;$B$3,ISBLANK(Actuals!N50)),"",Actuals!N50)</f>
        <v/>
      </c>
      <c r="AV44" s="509">
        <f>IF(OR(12&gt;$B$3,ISBLANK(Actuals!N50)),"",Budget!N50-Actuals!N50)</f>
        <v/>
      </c>
      <c r="AW44" s="509">
        <f>IFERROR(IF(OR(12&gt;$B$3,ISBLANK(Actuals!N50)),"",(Budget!N50-Actuals!N50)/ABS(Budget!N50)),"")</f>
        <v/>
      </c>
      <c r="AX44" s="510">
        <f>SUMPRODUCT((Actuals!C50:N50&lt;&gt;"")*(Budget!C50:N50))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Budget!C51</f>
        <v/>
      </c>
      <c r="C45" s="508">
        <f>IF(OR(1&gt;$B$3,ISBLANK(Actuals!C51)),"",Actuals!C51)</f>
        <v/>
      </c>
      <c r="D45" s="509">
        <f>IF(OR(1&gt;$B$3,ISBLANK(Actuals!C51)),"",Budget!C51-Actuals!C51)</f>
        <v/>
      </c>
      <c r="E45" s="509">
        <f>IFERROR(IF(OR(1&gt;$B$3,ISBLANK(Actuals!C51)),"",(Budget!C51-Actuals!C51)/ABS(Budget!C51)),"")</f>
        <v/>
      </c>
      <c r="F45" s="508">
        <f>Budget!D51</f>
        <v/>
      </c>
      <c r="G45" s="508">
        <f>IF(OR(2&gt;$B$3,ISBLANK(Actuals!D51)),"",Actuals!D51)</f>
        <v/>
      </c>
      <c r="H45" s="509">
        <f>IF(OR(2&gt;$B$3,ISBLANK(Actuals!D51)),"",Budget!D51-Actuals!D51)</f>
        <v/>
      </c>
      <c r="I45" s="509">
        <f>IFERROR(IF(OR(2&gt;$B$3,ISBLANK(Actuals!D51)),"",(Budget!D51-Actuals!D51)/ABS(Budget!D51)),"")</f>
        <v/>
      </c>
      <c r="J45" s="508">
        <f>Budget!E51</f>
        <v/>
      </c>
      <c r="K45" s="508">
        <f>IF(OR(3&gt;$B$3,ISBLANK(Actuals!E51)),"",Actuals!E51)</f>
        <v/>
      </c>
      <c r="L45" s="509">
        <f>IF(OR(3&gt;$B$3,ISBLANK(Actuals!E51)),"",Budget!E51-Actuals!E51)</f>
        <v/>
      </c>
      <c r="M45" s="509">
        <f>IFERROR(IF(OR(3&gt;$B$3,ISBLANK(Actuals!E51)),"",(Budget!E51-Actuals!E51)/ABS(Budget!E51)),"")</f>
        <v/>
      </c>
      <c r="N45" s="508">
        <f>Budget!F51</f>
        <v/>
      </c>
      <c r="O45" s="508">
        <f>IF(OR(4&gt;$B$3,ISBLANK(Actuals!F51)),"",Actuals!F51)</f>
        <v/>
      </c>
      <c r="P45" s="509">
        <f>IF(OR(4&gt;$B$3,ISBLANK(Actuals!F51)),"",Budget!F51-Actuals!F51)</f>
        <v/>
      </c>
      <c r="Q45" s="509">
        <f>IFERROR(IF(OR(4&gt;$B$3,ISBLANK(Actuals!F51)),"",(Budget!F51-Actuals!F51)/ABS(Budget!F51)),"")</f>
        <v/>
      </c>
      <c r="R45" s="508">
        <f>Budget!G51</f>
        <v/>
      </c>
      <c r="S45" s="508">
        <f>IF(OR(5&gt;$B$3,ISBLANK(Actuals!G51)),"",Actuals!G51)</f>
        <v/>
      </c>
      <c r="T45" s="509">
        <f>IF(OR(5&gt;$B$3,ISBLANK(Actuals!G51)),"",Budget!G51-Actuals!G51)</f>
        <v/>
      </c>
      <c r="U45" s="509">
        <f>IFERROR(IF(OR(5&gt;$B$3,ISBLANK(Actuals!G51)),"",(Budget!G51-Actuals!G51)/ABS(Budget!G51)),"")</f>
        <v/>
      </c>
      <c r="V45" s="508">
        <f>Budget!H51</f>
        <v/>
      </c>
      <c r="W45" s="508">
        <f>IF(OR(6&gt;$B$3,ISBLANK(Actuals!H51)),"",Actuals!H51)</f>
        <v/>
      </c>
      <c r="X45" s="509">
        <f>IF(OR(6&gt;$B$3,ISBLANK(Actuals!H51)),"",Budget!H51-Actuals!H51)</f>
        <v/>
      </c>
      <c r="Y45" s="509">
        <f>IFERROR(IF(OR(6&gt;$B$3,ISBLANK(Actuals!H51)),"",(Budget!H51-Actuals!H51)/ABS(Budget!H51)),"")</f>
        <v/>
      </c>
      <c r="Z45" s="508">
        <f>Budget!I51</f>
        <v/>
      </c>
      <c r="AA45" s="508">
        <f>IF(OR(7&gt;$B$3,ISBLANK(Actuals!I51)),"",Actuals!I51)</f>
        <v/>
      </c>
      <c r="AB45" s="509">
        <f>IF(OR(7&gt;$B$3,ISBLANK(Actuals!I51)),"",Budget!I51-Actuals!I51)</f>
        <v/>
      </c>
      <c r="AC45" s="509">
        <f>IFERROR(IF(OR(7&gt;$B$3,ISBLANK(Actuals!I51)),"",(Budget!I51-Actuals!I51)/ABS(Budget!I51)),"")</f>
        <v/>
      </c>
      <c r="AD45" s="508">
        <f>Budget!J51</f>
        <v/>
      </c>
      <c r="AE45" s="508">
        <f>IF(OR(8&gt;$B$3,ISBLANK(Actuals!J51)),"",Actuals!J51)</f>
        <v/>
      </c>
      <c r="AF45" s="509">
        <f>IF(OR(8&gt;$B$3,ISBLANK(Actuals!J51)),"",Budget!J51-Actuals!J51)</f>
        <v/>
      </c>
      <c r="AG45" s="509">
        <f>IFERROR(IF(OR(8&gt;$B$3,ISBLANK(Actuals!J51)),"",(Budget!J51-Actuals!J51)/ABS(Budget!J51)),"")</f>
        <v/>
      </c>
      <c r="AH45" s="508">
        <f>Budget!K51</f>
        <v/>
      </c>
      <c r="AI45" s="508">
        <f>IF(OR(9&gt;$B$3,ISBLANK(Actuals!K51)),"",Actuals!K51)</f>
        <v/>
      </c>
      <c r="AJ45" s="509">
        <f>IF(OR(9&gt;$B$3,ISBLANK(Actuals!K51)),"",Budget!K51-Actuals!K51)</f>
        <v/>
      </c>
      <c r="AK45" s="509">
        <f>IFERROR(IF(OR(9&gt;$B$3,ISBLANK(Actuals!K51)),"",(Budget!K51-Actuals!K51)/ABS(Budget!K51)),"")</f>
        <v/>
      </c>
      <c r="AL45" s="508">
        <f>Budget!L51</f>
        <v/>
      </c>
      <c r="AM45" s="508">
        <f>IF(OR(10&gt;$B$3,ISBLANK(Actuals!L51)),"",Actuals!L51)</f>
        <v/>
      </c>
      <c r="AN45" s="509">
        <f>IF(OR(10&gt;$B$3,ISBLANK(Actuals!L51)),"",Budget!L51-Actuals!L51)</f>
        <v/>
      </c>
      <c r="AO45" s="509">
        <f>IFERROR(IF(OR(10&gt;$B$3,ISBLANK(Actuals!L51)),"",(Budget!L51-Actuals!L51)/ABS(Budget!L51)),"")</f>
        <v/>
      </c>
      <c r="AP45" s="508">
        <f>Budget!M51</f>
        <v/>
      </c>
      <c r="AQ45" s="508">
        <f>IF(OR(11&gt;$B$3,ISBLANK(Actuals!M51)),"",Actuals!M51)</f>
        <v/>
      </c>
      <c r="AR45" s="509">
        <f>IF(OR(11&gt;$B$3,ISBLANK(Actuals!M51)),"",Budget!M51-Actuals!M51)</f>
        <v/>
      </c>
      <c r="AS45" s="509">
        <f>IFERROR(IF(OR(11&gt;$B$3,ISBLANK(Actuals!M51)),"",(Budget!M51-Actuals!M51)/ABS(Budget!M51)),"")</f>
        <v/>
      </c>
      <c r="AT45" s="508">
        <f>Budget!N51</f>
        <v/>
      </c>
      <c r="AU45" s="508">
        <f>IF(OR(12&gt;$B$3,ISBLANK(Actuals!N51)),"",Actuals!N51)</f>
        <v/>
      </c>
      <c r="AV45" s="509">
        <f>IF(OR(12&gt;$B$3,ISBLANK(Actuals!N51)),"",Budget!N51-Actuals!N51)</f>
        <v/>
      </c>
      <c r="AW45" s="509">
        <f>IFERROR(IF(OR(12&gt;$B$3,ISBLANK(Actuals!N51)),"",(Budget!N51-Actuals!N51)/ABS(Budget!N51)),"")</f>
        <v/>
      </c>
      <c r="AX45" s="510">
        <f>SUMPRODUCT((Actuals!C51:N51&lt;&gt;"")*(Budget!C51:N51))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Budget!C52</f>
        <v/>
      </c>
      <c r="C46" s="508">
        <f>IF(OR(1&gt;$B$3,ISBLANK(Actuals!C52)),"",Actuals!C52)</f>
        <v/>
      </c>
      <c r="D46" s="509">
        <f>IF(OR(1&gt;$B$3,ISBLANK(Actuals!C52)),"",Budget!C52-Actuals!C52)</f>
        <v/>
      </c>
      <c r="E46" s="509">
        <f>IFERROR(IF(OR(1&gt;$B$3,ISBLANK(Actuals!C52)),"",(Budget!C52-Actuals!C52)/ABS(Budget!C52)),"")</f>
        <v/>
      </c>
      <c r="F46" s="508">
        <f>Budget!D52</f>
        <v/>
      </c>
      <c r="G46" s="508">
        <f>IF(OR(2&gt;$B$3,ISBLANK(Actuals!D52)),"",Actuals!D52)</f>
        <v/>
      </c>
      <c r="H46" s="509">
        <f>IF(OR(2&gt;$B$3,ISBLANK(Actuals!D52)),"",Budget!D52-Actuals!D52)</f>
        <v/>
      </c>
      <c r="I46" s="509">
        <f>IFERROR(IF(OR(2&gt;$B$3,ISBLANK(Actuals!D52)),"",(Budget!D52-Actuals!D52)/ABS(Budget!D52)),"")</f>
        <v/>
      </c>
      <c r="J46" s="508">
        <f>Budget!E52</f>
        <v/>
      </c>
      <c r="K46" s="508">
        <f>IF(OR(3&gt;$B$3,ISBLANK(Actuals!E52)),"",Actuals!E52)</f>
        <v/>
      </c>
      <c r="L46" s="509">
        <f>IF(OR(3&gt;$B$3,ISBLANK(Actuals!E52)),"",Budget!E52-Actuals!E52)</f>
        <v/>
      </c>
      <c r="M46" s="509">
        <f>IFERROR(IF(OR(3&gt;$B$3,ISBLANK(Actuals!E52)),"",(Budget!E52-Actuals!E52)/ABS(Budget!E52)),"")</f>
        <v/>
      </c>
      <c r="N46" s="508">
        <f>Budget!F52</f>
        <v/>
      </c>
      <c r="O46" s="508">
        <f>IF(OR(4&gt;$B$3,ISBLANK(Actuals!F52)),"",Actuals!F52)</f>
        <v/>
      </c>
      <c r="P46" s="509">
        <f>IF(OR(4&gt;$B$3,ISBLANK(Actuals!F52)),"",Budget!F52-Actuals!F52)</f>
        <v/>
      </c>
      <c r="Q46" s="509">
        <f>IFERROR(IF(OR(4&gt;$B$3,ISBLANK(Actuals!F52)),"",(Budget!F52-Actuals!F52)/ABS(Budget!F52)),"")</f>
        <v/>
      </c>
      <c r="R46" s="508">
        <f>Budget!G52</f>
        <v/>
      </c>
      <c r="S46" s="508">
        <f>IF(OR(5&gt;$B$3,ISBLANK(Actuals!G52)),"",Actuals!G52)</f>
        <v/>
      </c>
      <c r="T46" s="509">
        <f>IF(OR(5&gt;$B$3,ISBLANK(Actuals!G52)),"",Budget!G52-Actuals!G52)</f>
        <v/>
      </c>
      <c r="U46" s="509">
        <f>IFERROR(IF(OR(5&gt;$B$3,ISBLANK(Actuals!G52)),"",(Budget!G52-Actuals!G52)/ABS(Budget!G52)),"")</f>
        <v/>
      </c>
      <c r="V46" s="508">
        <f>Budget!H52</f>
        <v/>
      </c>
      <c r="W46" s="508">
        <f>IF(OR(6&gt;$B$3,ISBLANK(Actuals!H52)),"",Actuals!H52)</f>
        <v/>
      </c>
      <c r="X46" s="509">
        <f>IF(OR(6&gt;$B$3,ISBLANK(Actuals!H52)),"",Budget!H52-Actuals!H52)</f>
        <v/>
      </c>
      <c r="Y46" s="509">
        <f>IFERROR(IF(OR(6&gt;$B$3,ISBLANK(Actuals!H52)),"",(Budget!H52-Actuals!H52)/ABS(Budget!H52)),"")</f>
        <v/>
      </c>
      <c r="Z46" s="508">
        <f>Budget!I52</f>
        <v/>
      </c>
      <c r="AA46" s="508">
        <f>IF(OR(7&gt;$B$3,ISBLANK(Actuals!I52)),"",Actuals!I52)</f>
        <v/>
      </c>
      <c r="AB46" s="509">
        <f>IF(OR(7&gt;$B$3,ISBLANK(Actuals!I52)),"",Budget!I52-Actuals!I52)</f>
        <v/>
      </c>
      <c r="AC46" s="509">
        <f>IFERROR(IF(OR(7&gt;$B$3,ISBLANK(Actuals!I52)),"",(Budget!I52-Actuals!I52)/ABS(Budget!I52)),"")</f>
        <v/>
      </c>
      <c r="AD46" s="508">
        <f>Budget!J52</f>
        <v/>
      </c>
      <c r="AE46" s="508">
        <f>IF(OR(8&gt;$B$3,ISBLANK(Actuals!J52)),"",Actuals!J52)</f>
        <v/>
      </c>
      <c r="AF46" s="509">
        <f>IF(OR(8&gt;$B$3,ISBLANK(Actuals!J52)),"",Budget!J52-Actuals!J52)</f>
        <v/>
      </c>
      <c r="AG46" s="509">
        <f>IFERROR(IF(OR(8&gt;$B$3,ISBLANK(Actuals!J52)),"",(Budget!J52-Actuals!J52)/ABS(Budget!J52)),"")</f>
        <v/>
      </c>
      <c r="AH46" s="508">
        <f>Budget!K52</f>
        <v/>
      </c>
      <c r="AI46" s="508">
        <f>IF(OR(9&gt;$B$3,ISBLANK(Actuals!K52)),"",Actuals!K52)</f>
        <v/>
      </c>
      <c r="AJ46" s="509">
        <f>IF(OR(9&gt;$B$3,ISBLANK(Actuals!K52)),"",Budget!K52-Actuals!K52)</f>
        <v/>
      </c>
      <c r="AK46" s="509">
        <f>IFERROR(IF(OR(9&gt;$B$3,ISBLANK(Actuals!K52)),"",(Budget!K52-Actuals!K52)/ABS(Budget!K52)),"")</f>
        <v/>
      </c>
      <c r="AL46" s="508">
        <f>Budget!L52</f>
        <v/>
      </c>
      <c r="AM46" s="508">
        <f>IF(OR(10&gt;$B$3,ISBLANK(Actuals!L52)),"",Actuals!L52)</f>
        <v/>
      </c>
      <c r="AN46" s="509">
        <f>IF(OR(10&gt;$B$3,ISBLANK(Actuals!L52)),"",Budget!L52-Actuals!L52)</f>
        <v/>
      </c>
      <c r="AO46" s="509">
        <f>IFERROR(IF(OR(10&gt;$B$3,ISBLANK(Actuals!L52)),"",(Budget!L52-Actuals!L52)/ABS(Budget!L52)),"")</f>
        <v/>
      </c>
      <c r="AP46" s="508">
        <f>Budget!M52</f>
        <v/>
      </c>
      <c r="AQ46" s="508">
        <f>IF(OR(11&gt;$B$3,ISBLANK(Actuals!M52)),"",Actuals!M52)</f>
        <v/>
      </c>
      <c r="AR46" s="509">
        <f>IF(OR(11&gt;$B$3,ISBLANK(Actuals!M52)),"",Budget!M52-Actuals!M52)</f>
        <v/>
      </c>
      <c r="AS46" s="509">
        <f>IFERROR(IF(OR(11&gt;$B$3,ISBLANK(Actuals!M52)),"",(Budget!M52-Actuals!M52)/ABS(Budget!M52)),"")</f>
        <v/>
      </c>
      <c r="AT46" s="508">
        <f>Budget!N52</f>
        <v/>
      </c>
      <c r="AU46" s="508">
        <f>IF(OR(12&gt;$B$3,ISBLANK(Actuals!N52)),"",Actuals!N52)</f>
        <v/>
      </c>
      <c r="AV46" s="509">
        <f>IF(OR(12&gt;$B$3,ISBLANK(Actuals!N52)),"",Budget!N52-Actuals!N52)</f>
        <v/>
      </c>
      <c r="AW46" s="509">
        <f>IFERROR(IF(OR(12&gt;$B$3,ISBLANK(Actuals!N52)),"",(Budget!N52-Actuals!N52)/ABS(Budget!N52)),"")</f>
        <v/>
      </c>
      <c r="AX46" s="510">
        <f>SUMPRODUCT((Actuals!C52:N52&lt;&gt;"")*(Budget!C52:N52))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Budget!C53</f>
        <v/>
      </c>
      <c r="C47" s="508">
        <f>IF(OR(1&gt;$B$3,ISBLANK(Actuals!C53)),"",Actuals!C53)</f>
        <v/>
      </c>
      <c r="D47" s="509">
        <f>IF(OR(1&gt;$B$3,ISBLANK(Actuals!C53)),"",Budget!C53-Actuals!C53)</f>
        <v/>
      </c>
      <c r="E47" s="509">
        <f>IFERROR(IF(OR(1&gt;$B$3,ISBLANK(Actuals!C53)),"",(Budget!C53-Actuals!C53)/ABS(Budget!C53)),"")</f>
        <v/>
      </c>
      <c r="F47" s="508">
        <f>Budget!D53</f>
        <v/>
      </c>
      <c r="G47" s="508">
        <f>IF(OR(2&gt;$B$3,ISBLANK(Actuals!D53)),"",Actuals!D53)</f>
        <v/>
      </c>
      <c r="H47" s="509">
        <f>IF(OR(2&gt;$B$3,ISBLANK(Actuals!D53)),"",Budget!D53-Actuals!D53)</f>
        <v/>
      </c>
      <c r="I47" s="509">
        <f>IFERROR(IF(OR(2&gt;$B$3,ISBLANK(Actuals!D53)),"",(Budget!D53-Actuals!D53)/ABS(Budget!D53)),"")</f>
        <v/>
      </c>
      <c r="J47" s="508">
        <f>Budget!E53</f>
        <v/>
      </c>
      <c r="K47" s="508">
        <f>IF(OR(3&gt;$B$3,ISBLANK(Actuals!E53)),"",Actuals!E53)</f>
        <v/>
      </c>
      <c r="L47" s="509">
        <f>IF(OR(3&gt;$B$3,ISBLANK(Actuals!E53)),"",Budget!E53-Actuals!E53)</f>
        <v/>
      </c>
      <c r="M47" s="509">
        <f>IFERROR(IF(OR(3&gt;$B$3,ISBLANK(Actuals!E53)),"",(Budget!E53-Actuals!E53)/ABS(Budget!E53)),"")</f>
        <v/>
      </c>
      <c r="N47" s="508">
        <f>Budget!F53</f>
        <v/>
      </c>
      <c r="O47" s="508">
        <f>IF(OR(4&gt;$B$3,ISBLANK(Actuals!F53)),"",Actuals!F53)</f>
        <v/>
      </c>
      <c r="P47" s="509">
        <f>IF(OR(4&gt;$B$3,ISBLANK(Actuals!F53)),"",Budget!F53-Actuals!F53)</f>
        <v/>
      </c>
      <c r="Q47" s="509">
        <f>IFERROR(IF(OR(4&gt;$B$3,ISBLANK(Actuals!F53)),"",(Budget!F53-Actuals!F53)/ABS(Budget!F53)),"")</f>
        <v/>
      </c>
      <c r="R47" s="508">
        <f>Budget!G53</f>
        <v/>
      </c>
      <c r="S47" s="508">
        <f>IF(OR(5&gt;$B$3,ISBLANK(Actuals!G53)),"",Actuals!G53)</f>
        <v/>
      </c>
      <c r="T47" s="509">
        <f>IF(OR(5&gt;$B$3,ISBLANK(Actuals!G53)),"",Budget!G53-Actuals!G53)</f>
        <v/>
      </c>
      <c r="U47" s="509">
        <f>IFERROR(IF(OR(5&gt;$B$3,ISBLANK(Actuals!G53)),"",(Budget!G53-Actuals!G53)/ABS(Budget!G53)),"")</f>
        <v/>
      </c>
      <c r="V47" s="508">
        <f>Budget!H53</f>
        <v/>
      </c>
      <c r="W47" s="508">
        <f>IF(OR(6&gt;$B$3,ISBLANK(Actuals!H53)),"",Actuals!H53)</f>
        <v/>
      </c>
      <c r="X47" s="509">
        <f>IF(OR(6&gt;$B$3,ISBLANK(Actuals!H53)),"",Budget!H53-Actuals!H53)</f>
        <v/>
      </c>
      <c r="Y47" s="509">
        <f>IFERROR(IF(OR(6&gt;$B$3,ISBLANK(Actuals!H53)),"",(Budget!H53-Actuals!H53)/ABS(Budget!H53)),"")</f>
        <v/>
      </c>
      <c r="Z47" s="508">
        <f>Budget!I53</f>
        <v/>
      </c>
      <c r="AA47" s="508">
        <f>IF(OR(7&gt;$B$3,ISBLANK(Actuals!I53)),"",Actuals!I53)</f>
        <v/>
      </c>
      <c r="AB47" s="509">
        <f>IF(OR(7&gt;$B$3,ISBLANK(Actuals!I53)),"",Budget!I53-Actuals!I53)</f>
        <v/>
      </c>
      <c r="AC47" s="509">
        <f>IFERROR(IF(OR(7&gt;$B$3,ISBLANK(Actuals!I53)),"",(Budget!I53-Actuals!I53)/ABS(Budget!I53)),"")</f>
        <v/>
      </c>
      <c r="AD47" s="508">
        <f>Budget!J53</f>
        <v/>
      </c>
      <c r="AE47" s="508">
        <f>IF(OR(8&gt;$B$3,ISBLANK(Actuals!J53)),"",Actuals!J53)</f>
        <v/>
      </c>
      <c r="AF47" s="509">
        <f>IF(OR(8&gt;$B$3,ISBLANK(Actuals!J53)),"",Budget!J53-Actuals!J53)</f>
        <v/>
      </c>
      <c r="AG47" s="509">
        <f>IFERROR(IF(OR(8&gt;$B$3,ISBLANK(Actuals!J53)),"",(Budget!J53-Actuals!J53)/ABS(Budget!J53)),"")</f>
        <v/>
      </c>
      <c r="AH47" s="508">
        <f>Budget!K53</f>
        <v/>
      </c>
      <c r="AI47" s="508">
        <f>IF(OR(9&gt;$B$3,ISBLANK(Actuals!K53)),"",Actuals!K53)</f>
        <v/>
      </c>
      <c r="AJ47" s="509">
        <f>IF(OR(9&gt;$B$3,ISBLANK(Actuals!K53)),"",Budget!K53-Actuals!K53)</f>
        <v/>
      </c>
      <c r="AK47" s="509">
        <f>IFERROR(IF(OR(9&gt;$B$3,ISBLANK(Actuals!K53)),"",(Budget!K53-Actuals!K53)/ABS(Budget!K53)),"")</f>
        <v/>
      </c>
      <c r="AL47" s="508">
        <f>Budget!L53</f>
        <v/>
      </c>
      <c r="AM47" s="508">
        <f>IF(OR(10&gt;$B$3,ISBLANK(Actuals!L53)),"",Actuals!L53)</f>
        <v/>
      </c>
      <c r="AN47" s="509">
        <f>IF(OR(10&gt;$B$3,ISBLANK(Actuals!L53)),"",Budget!L53-Actuals!L53)</f>
        <v/>
      </c>
      <c r="AO47" s="509">
        <f>IFERROR(IF(OR(10&gt;$B$3,ISBLANK(Actuals!L53)),"",(Budget!L53-Actuals!L53)/ABS(Budget!L53)),"")</f>
        <v/>
      </c>
      <c r="AP47" s="508">
        <f>Budget!M53</f>
        <v/>
      </c>
      <c r="AQ47" s="508">
        <f>IF(OR(11&gt;$B$3,ISBLANK(Actuals!M53)),"",Actuals!M53)</f>
        <v/>
      </c>
      <c r="AR47" s="509">
        <f>IF(OR(11&gt;$B$3,ISBLANK(Actuals!M53)),"",Budget!M53-Actuals!M53)</f>
        <v/>
      </c>
      <c r="AS47" s="509">
        <f>IFERROR(IF(OR(11&gt;$B$3,ISBLANK(Actuals!M53)),"",(Budget!M53-Actuals!M53)/ABS(Budget!M53)),"")</f>
        <v/>
      </c>
      <c r="AT47" s="508">
        <f>Budget!N53</f>
        <v/>
      </c>
      <c r="AU47" s="508">
        <f>IF(OR(12&gt;$B$3,ISBLANK(Actuals!N53)),"",Actuals!N53)</f>
        <v/>
      </c>
      <c r="AV47" s="509">
        <f>IF(OR(12&gt;$B$3,ISBLANK(Actuals!N53)),"",Budget!N53-Actuals!N53)</f>
        <v/>
      </c>
      <c r="AW47" s="509">
        <f>IFERROR(IF(OR(12&gt;$B$3,ISBLANK(Actuals!N53)),"",(Budget!N53-Actuals!N53)/ABS(Budget!N53)),"")</f>
        <v/>
      </c>
      <c r="AX47" s="510">
        <f>SUMPRODUCT((Actuals!C53:N53&lt;&gt;"")*(Budget!C53:N53))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Budget!C54</f>
        <v/>
      </c>
      <c r="C48" s="508">
        <f>IF(OR(1&gt;$B$3,ISBLANK(Actuals!C54)),"",Actuals!C54)</f>
        <v/>
      </c>
      <c r="D48" s="509">
        <f>IF(OR(1&gt;$B$3,ISBLANK(Actuals!C54)),"",Budget!C54-Actuals!C54)</f>
        <v/>
      </c>
      <c r="E48" s="509">
        <f>IFERROR(IF(OR(1&gt;$B$3,ISBLANK(Actuals!C54)),"",(Budget!C54-Actuals!C54)/ABS(Budget!C54)),"")</f>
        <v/>
      </c>
      <c r="F48" s="508">
        <f>Budget!D54</f>
        <v/>
      </c>
      <c r="G48" s="508">
        <f>IF(OR(2&gt;$B$3,ISBLANK(Actuals!D54)),"",Actuals!D54)</f>
        <v/>
      </c>
      <c r="H48" s="509">
        <f>IF(OR(2&gt;$B$3,ISBLANK(Actuals!D54)),"",Budget!D54-Actuals!D54)</f>
        <v/>
      </c>
      <c r="I48" s="509">
        <f>IFERROR(IF(OR(2&gt;$B$3,ISBLANK(Actuals!D54)),"",(Budget!D54-Actuals!D54)/ABS(Budget!D54)),"")</f>
        <v/>
      </c>
      <c r="J48" s="508">
        <f>Budget!E54</f>
        <v/>
      </c>
      <c r="K48" s="508">
        <f>IF(OR(3&gt;$B$3,ISBLANK(Actuals!E54)),"",Actuals!E54)</f>
        <v/>
      </c>
      <c r="L48" s="509">
        <f>IF(OR(3&gt;$B$3,ISBLANK(Actuals!E54)),"",Budget!E54-Actuals!E54)</f>
        <v/>
      </c>
      <c r="M48" s="509">
        <f>IFERROR(IF(OR(3&gt;$B$3,ISBLANK(Actuals!E54)),"",(Budget!E54-Actuals!E54)/ABS(Budget!E54)),"")</f>
        <v/>
      </c>
      <c r="N48" s="508">
        <f>Budget!F54</f>
        <v/>
      </c>
      <c r="O48" s="508">
        <f>IF(OR(4&gt;$B$3,ISBLANK(Actuals!F54)),"",Actuals!F54)</f>
        <v/>
      </c>
      <c r="P48" s="509">
        <f>IF(OR(4&gt;$B$3,ISBLANK(Actuals!F54)),"",Budget!F54-Actuals!F54)</f>
        <v/>
      </c>
      <c r="Q48" s="509">
        <f>IFERROR(IF(OR(4&gt;$B$3,ISBLANK(Actuals!F54)),"",(Budget!F54-Actuals!F54)/ABS(Budget!F54)),"")</f>
        <v/>
      </c>
      <c r="R48" s="508">
        <f>Budget!G54</f>
        <v/>
      </c>
      <c r="S48" s="508">
        <f>IF(OR(5&gt;$B$3,ISBLANK(Actuals!G54)),"",Actuals!G54)</f>
        <v/>
      </c>
      <c r="T48" s="509">
        <f>IF(OR(5&gt;$B$3,ISBLANK(Actuals!G54)),"",Budget!G54-Actuals!G54)</f>
        <v/>
      </c>
      <c r="U48" s="509">
        <f>IFERROR(IF(OR(5&gt;$B$3,ISBLANK(Actuals!G54)),"",(Budget!G54-Actuals!G54)/ABS(Budget!G54)),"")</f>
        <v/>
      </c>
      <c r="V48" s="508">
        <f>Budget!H54</f>
        <v/>
      </c>
      <c r="W48" s="508">
        <f>IF(OR(6&gt;$B$3,ISBLANK(Actuals!H54)),"",Actuals!H54)</f>
        <v/>
      </c>
      <c r="X48" s="509">
        <f>IF(OR(6&gt;$B$3,ISBLANK(Actuals!H54)),"",Budget!H54-Actuals!H54)</f>
        <v/>
      </c>
      <c r="Y48" s="509">
        <f>IFERROR(IF(OR(6&gt;$B$3,ISBLANK(Actuals!H54)),"",(Budget!H54-Actuals!H54)/ABS(Budget!H54)),"")</f>
        <v/>
      </c>
      <c r="Z48" s="508">
        <f>Budget!I54</f>
        <v/>
      </c>
      <c r="AA48" s="508">
        <f>IF(OR(7&gt;$B$3,ISBLANK(Actuals!I54)),"",Actuals!I54)</f>
        <v/>
      </c>
      <c r="AB48" s="509">
        <f>IF(OR(7&gt;$B$3,ISBLANK(Actuals!I54)),"",Budget!I54-Actuals!I54)</f>
        <v/>
      </c>
      <c r="AC48" s="509">
        <f>IFERROR(IF(OR(7&gt;$B$3,ISBLANK(Actuals!I54)),"",(Budget!I54-Actuals!I54)/ABS(Budget!I54)),"")</f>
        <v/>
      </c>
      <c r="AD48" s="508">
        <f>Budget!J54</f>
        <v/>
      </c>
      <c r="AE48" s="508">
        <f>IF(OR(8&gt;$B$3,ISBLANK(Actuals!J54)),"",Actuals!J54)</f>
        <v/>
      </c>
      <c r="AF48" s="509">
        <f>IF(OR(8&gt;$B$3,ISBLANK(Actuals!J54)),"",Budget!J54-Actuals!J54)</f>
        <v/>
      </c>
      <c r="AG48" s="509">
        <f>IFERROR(IF(OR(8&gt;$B$3,ISBLANK(Actuals!J54)),"",(Budget!J54-Actuals!J54)/ABS(Budget!J54)),"")</f>
        <v/>
      </c>
      <c r="AH48" s="508">
        <f>Budget!K54</f>
        <v/>
      </c>
      <c r="AI48" s="508">
        <f>IF(OR(9&gt;$B$3,ISBLANK(Actuals!K54)),"",Actuals!K54)</f>
        <v/>
      </c>
      <c r="AJ48" s="509">
        <f>IF(OR(9&gt;$B$3,ISBLANK(Actuals!K54)),"",Budget!K54-Actuals!K54)</f>
        <v/>
      </c>
      <c r="AK48" s="509">
        <f>IFERROR(IF(OR(9&gt;$B$3,ISBLANK(Actuals!K54)),"",(Budget!K54-Actuals!K54)/ABS(Budget!K54)),"")</f>
        <v/>
      </c>
      <c r="AL48" s="508">
        <f>Budget!L54</f>
        <v/>
      </c>
      <c r="AM48" s="508">
        <f>IF(OR(10&gt;$B$3,ISBLANK(Actuals!L54)),"",Actuals!L54)</f>
        <v/>
      </c>
      <c r="AN48" s="509">
        <f>IF(OR(10&gt;$B$3,ISBLANK(Actuals!L54)),"",Budget!L54-Actuals!L54)</f>
        <v/>
      </c>
      <c r="AO48" s="509">
        <f>IFERROR(IF(OR(10&gt;$B$3,ISBLANK(Actuals!L54)),"",(Budget!L54-Actuals!L54)/ABS(Budget!L54)),"")</f>
        <v/>
      </c>
      <c r="AP48" s="508">
        <f>Budget!M54</f>
        <v/>
      </c>
      <c r="AQ48" s="508">
        <f>IF(OR(11&gt;$B$3,ISBLANK(Actuals!M54)),"",Actuals!M54)</f>
        <v/>
      </c>
      <c r="AR48" s="509">
        <f>IF(OR(11&gt;$B$3,ISBLANK(Actuals!M54)),"",Budget!M54-Actuals!M54)</f>
        <v/>
      </c>
      <c r="AS48" s="509">
        <f>IFERROR(IF(OR(11&gt;$B$3,ISBLANK(Actuals!M54)),"",(Budget!M54-Actuals!M54)/ABS(Budget!M54)),"")</f>
        <v/>
      </c>
      <c r="AT48" s="508">
        <f>Budget!N54</f>
        <v/>
      </c>
      <c r="AU48" s="508">
        <f>IF(OR(12&gt;$B$3,ISBLANK(Actuals!N54)),"",Actuals!N54)</f>
        <v/>
      </c>
      <c r="AV48" s="509">
        <f>IF(OR(12&gt;$B$3,ISBLANK(Actuals!N54)),"",Budget!N54-Actuals!N54)</f>
        <v/>
      </c>
      <c r="AW48" s="509">
        <f>IFERROR(IF(OR(12&gt;$B$3,ISBLANK(Actuals!N54)),"",(Budget!N54-Actuals!N54)/ABS(Budget!N54)),"")</f>
        <v/>
      </c>
      <c r="AX48" s="510">
        <f>SUMPRODUCT((Actuals!C54:N54&lt;&gt;"")*(Budget!C54:N54))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Budget!C64</f>
        <v/>
      </c>
      <c r="C49" s="508">
        <f>IF(OR(1&gt;$B$3,ISBLANK(Actuals!C64)),"",Actuals!C64)</f>
        <v/>
      </c>
      <c r="D49" s="509">
        <f>IF(OR(1&gt;$B$3,ISBLANK(Actuals!C64)),"",Budget!C64-Actuals!C64)</f>
        <v/>
      </c>
      <c r="E49" s="509">
        <f>IFERROR(IF(OR(1&gt;$B$3,ISBLANK(Actuals!C64)),"",(Budget!C64-Actuals!C64)/ABS(Budget!C64)),"")</f>
        <v/>
      </c>
      <c r="F49" s="508">
        <f>Budget!D64</f>
        <v/>
      </c>
      <c r="G49" s="508">
        <f>IF(OR(2&gt;$B$3,ISBLANK(Actuals!D64)),"",Actuals!D64)</f>
        <v/>
      </c>
      <c r="H49" s="509">
        <f>IF(OR(2&gt;$B$3,ISBLANK(Actuals!D64)),"",Budget!D64-Actuals!D64)</f>
        <v/>
      </c>
      <c r="I49" s="509">
        <f>IFERROR(IF(OR(2&gt;$B$3,ISBLANK(Actuals!D64)),"",(Budget!D64-Actuals!D64)/ABS(Budget!D64)),"")</f>
        <v/>
      </c>
      <c r="J49" s="508">
        <f>Budget!E64</f>
        <v/>
      </c>
      <c r="K49" s="508">
        <f>IF(OR(3&gt;$B$3,ISBLANK(Actuals!E64)),"",Actuals!E64)</f>
        <v/>
      </c>
      <c r="L49" s="509">
        <f>IF(OR(3&gt;$B$3,ISBLANK(Actuals!E64)),"",Budget!E64-Actuals!E64)</f>
        <v/>
      </c>
      <c r="M49" s="509">
        <f>IFERROR(IF(OR(3&gt;$B$3,ISBLANK(Actuals!E64)),"",(Budget!E64-Actuals!E64)/ABS(Budget!E64)),"")</f>
        <v/>
      </c>
      <c r="N49" s="508">
        <f>Budget!F64</f>
        <v/>
      </c>
      <c r="O49" s="508">
        <f>IF(OR(4&gt;$B$3,ISBLANK(Actuals!F64)),"",Actuals!F64)</f>
        <v/>
      </c>
      <c r="P49" s="509">
        <f>IF(OR(4&gt;$B$3,ISBLANK(Actuals!F64)),"",Budget!F64-Actuals!F64)</f>
        <v/>
      </c>
      <c r="Q49" s="509">
        <f>IFERROR(IF(OR(4&gt;$B$3,ISBLANK(Actuals!F64)),"",(Budget!F64-Actuals!F64)/ABS(Budget!F64)),"")</f>
        <v/>
      </c>
      <c r="R49" s="508">
        <f>Budget!G64</f>
        <v/>
      </c>
      <c r="S49" s="508">
        <f>IF(OR(5&gt;$B$3,ISBLANK(Actuals!G64)),"",Actuals!G64)</f>
        <v/>
      </c>
      <c r="T49" s="509">
        <f>IF(OR(5&gt;$B$3,ISBLANK(Actuals!G64)),"",Budget!G64-Actuals!G64)</f>
        <v/>
      </c>
      <c r="U49" s="509">
        <f>IFERROR(IF(OR(5&gt;$B$3,ISBLANK(Actuals!G64)),"",(Budget!G64-Actuals!G64)/ABS(Budget!G64)),"")</f>
        <v/>
      </c>
      <c r="V49" s="508">
        <f>Budget!H64</f>
        <v/>
      </c>
      <c r="W49" s="508">
        <f>IF(OR(6&gt;$B$3,ISBLANK(Actuals!H64)),"",Actuals!H64)</f>
        <v/>
      </c>
      <c r="X49" s="509">
        <f>IF(OR(6&gt;$B$3,ISBLANK(Actuals!H64)),"",Budget!H64-Actuals!H64)</f>
        <v/>
      </c>
      <c r="Y49" s="509">
        <f>IFERROR(IF(OR(6&gt;$B$3,ISBLANK(Actuals!H64)),"",(Budget!H64-Actuals!H64)/ABS(Budget!H64)),"")</f>
        <v/>
      </c>
      <c r="Z49" s="508">
        <f>Budget!I64</f>
        <v/>
      </c>
      <c r="AA49" s="508">
        <f>IF(OR(7&gt;$B$3,ISBLANK(Actuals!I64)),"",Actuals!I64)</f>
        <v/>
      </c>
      <c r="AB49" s="509">
        <f>IF(OR(7&gt;$B$3,ISBLANK(Actuals!I64)),"",Budget!I64-Actuals!I64)</f>
        <v/>
      </c>
      <c r="AC49" s="509">
        <f>IFERROR(IF(OR(7&gt;$B$3,ISBLANK(Actuals!I64)),"",(Budget!I64-Actuals!I64)/ABS(Budget!I64)),"")</f>
        <v/>
      </c>
      <c r="AD49" s="508">
        <f>Budget!J64</f>
        <v/>
      </c>
      <c r="AE49" s="508">
        <f>IF(OR(8&gt;$B$3,ISBLANK(Actuals!J64)),"",Actuals!J64)</f>
        <v/>
      </c>
      <c r="AF49" s="509">
        <f>IF(OR(8&gt;$B$3,ISBLANK(Actuals!J64)),"",Budget!J64-Actuals!J64)</f>
        <v/>
      </c>
      <c r="AG49" s="509">
        <f>IFERROR(IF(OR(8&gt;$B$3,ISBLANK(Actuals!J64)),"",(Budget!J64-Actuals!J64)/ABS(Budget!J64)),"")</f>
        <v/>
      </c>
      <c r="AH49" s="508">
        <f>Budget!K64</f>
        <v/>
      </c>
      <c r="AI49" s="508">
        <f>IF(OR(9&gt;$B$3,ISBLANK(Actuals!K64)),"",Actuals!K64)</f>
        <v/>
      </c>
      <c r="AJ49" s="509">
        <f>IF(OR(9&gt;$B$3,ISBLANK(Actuals!K64)),"",Budget!K64-Actuals!K64)</f>
        <v/>
      </c>
      <c r="AK49" s="509">
        <f>IFERROR(IF(OR(9&gt;$B$3,ISBLANK(Actuals!K64)),"",(Budget!K64-Actuals!K64)/ABS(Budget!K64)),"")</f>
        <v/>
      </c>
      <c r="AL49" s="508">
        <f>Budget!L64</f>
        <v/>
      </c>
      <c r="AM49" s="508">
        <f>IF(OR(10&gt;$B$3,ISBLANK(Actuals!L64)),"",Actuals!L64)</f>
        <v/>
      </c>
      <c r="AN49" s="509">
        <f>IF(OR(10&gt;$B$3,ISBLANK(Actuals!L64)),"",Budget!L64-Actuals!L64)</f>
        <v/>
      </c>
      <c r="AO49" s="509">
        <f>IFERROR(IF(OR(10&gt;$B$3,ISBLANK(Actuals!L64)),"",(Budget!L64-Actuals!L64)/ABS(Budget!L64)),"")</f>
        <v/>
      </c>
      <c r="AP49" s="508">
        <f>Budget!M64</f>
        <v/>
      </c>
      <c r="AQ49" s="508">
        <f>IF(OR(11&gt;$B$3,ISBLANK(Actuals!M64)),"",Actuals!M64)</f>
        <v/>
      </c>
      <c r="AR49" s="509">
        <f>IF(OR(11&gt;$B$3,ISBLANK(Actuals!M64)),"",Budget!M64-Actuals!M64)</f>
        <v/>
      </c>
      <c r="AS49" s="509">
        <f>IFERROR(IF(OR(11&gt;$B$3,ISBLANK(Actuals!M64)),"",(Budget!M64-Actuals!M64)/ABS(Budget!M64)),"")</f>
        <v/>
      </c>
      <c r="AT49" s="508">
        <f>Budget!N64</f>
        <v/>
      </c>
      <c r="AU49" s="508">
        <f>IF(OR(12&gt;$B$3,ISBLANK(Actuals!N64)),"",Actuals!N64)</f>
        <v/>
      </c>
      <c r="AV49" s="509">
        <f>IF(OR(12&gt;$B$3,ISBLANK(Actuals!N64)),"",Budget!N64-Actuals!N64)</f>
        <v/>
      </c>
      <c r="AW49" s="509">
        <f>IFERROR(IF(OR(12&gt;$B$3,ISBLANK(Actuals!N64)),"",(Budget!N64-Actuals!N64)/ABS(Budget!N64)),"")</f>
        <v/>
      </c>
      <c r="AX49" s="510">
        <f>SUMPRODUCT((Actuals!C64:N64&lt;&gt;"")*(Budget!C64:N64))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Budget!C65</f>
        <v/>
      </c>
      <c r="C50" s="508">
        <f>IF(OR(1&gt;$B$3,ISBLANK(Actuals!C65)),"",Actuals!C65)</f>
        <v/>
      </c>
      <c r="D50" s="509">
        <f>IF(OR(1&gt;$B$3,ISBLANK(Actuals!C65)),"",Budget!C65-Actuals!C65)</f>
        <v/>
      </c>
      <c r="E50" s="509">
        <f>IFERROR(IF(OR(1&gt;$B$3,ISBLANK(Actuals!C65)),"",(Budget!C65-Actuals!C65)/ABS(Budget!C65)),"")</f>
        <v/>
      </c>
      <c r="F50" s="508">
        <f>Budget!D65</f>
        <v/>
      </c>
      <c r="G50" s="508">
        <f>IF(OR(2&gt;$B$3,ISBLANK(Actuals!D65)),"",Actuals!D65)</f>
        <v/>
      </c>
      <c r="H50" s="509">
        <f>IF(OR(2&gt;$B$3,ISBLANK(Actuals!D65)),"",Budget!D65-Actuals!D65)</f>
        <v/>
      </c>
      <c r="I50" s="509">
        <f>IFERROR(IF(OR(2&gt;$B$3,ISBLANK(Actuals!D65)),"",(Budget!D65-Actuals!D65)/ABS(Budget!D65)),"")</f>
        <v/>
      </c>
      <c r="J50" s="508">
        <f>Budget!E65</f>
        <v/>
      </c>
      <c r="K50" s="508">
        <f>IF(OR(3&gt;$B$3,ISBLANK(Actuals!E65)),"",Actuals!E65)</f>
        <v/>
      </c>
      <c r="L50" s="509">
        <f>IF(OR(3&gt;$B$3,ISBLANK(Actuals!E65)),"",Budget!E65-Actuals!E65)</f>
        <v/>
      </c>
      <c r="M50" s="509">
        <f>IFERROR(IF(OR(3&gt;$B$3,ISBLANK(Actuals!E65)),"",(Budget!E65-Actuals!E65)/ABS(Budget!E65)),"")</f>
        <v/>
      </c>
      <c r="N50" s="508">
        <f>Budget!F65</f>
        <v/>
      </c>
      <c r="O50" s="508">
        <f>IF(OR(4&gt;$B$3,ISBLANK(Actuals!F65)),"",Actuals!F65)</f>
        <v/>
      </c>
      <c r="P50" s="509">
        <f>IF(OR(4&gt;$B$3,ISBLANK(Actuals!F65)),"",Budget!F65-Actuals!F65)</f>
        <v/>
      </c>
      <c r="Q50" s="509">
        <f>IFERROR(IF(OR(4&gt;$B$3,ISBLANK(Actuals!F65)),"",(Budget!F65-Actuals!F65)/ABS(Budget!F65)),"")</f>
        <v/>
      </c>
      <c r="R50" s="508">
        <f>Budget!G65</f>
        <v/>
      </c>
      <c r="S50" s="508">
        <f>IF(OR(5&gt;$B$3,ISBLANK(Actuals!G65)),"",Actuals!G65)</f>
        <v/>
      </c>
      <c r="T50" s="509">
        <f>IF(OR(5&gt;$B$3,ISBLANK(Actuals!G65)),"",Budget!G65-Actuals!G65)</f>
        <v/>
      </c>
      <c r="U50" s="509">
        <f>IFERROR(IF(OR(5&gt;$B$3,ISBLANK(Actuals!G65)),"",(Budget!G65-Actuals!G65)/ABS(Budget!G65)),"")</f>
        <v/>
      </c>
      <c r="V50" s="508">
        <f>Budget!H65</f>
        <v/>
      </c>
      <c r="W50" s="508">
        <f>IF(OR(6&gt;$B$3,ISBLANK(Actuals!H65)),"",Actuals!H65)</f>
        <v/>
      </c>
      <c r="X50" s="509">
        <f>IF(OR(6&gt;$B$3,ISBLANK(Actuals!H65)),"",Budget!H65-Actuals!H65)</f>
        <v/>
      </c>
      <c r="Y50" s="509">
        <f>IFERROR(IF(OR(6&gt;$B$3,ISBLANK(Actuals!H65)),"",(Budget!H65-Actuals!H65)/ABS(Budget!H65)),"")</f>
        <v/>
      </c>
      <c r="Z50" s="508">
        <f>Budget!I65</f>
        <v/>
      </c>
      <c r="AA50" s="508">
        <f>IF(OR(7&gt;$B$3,ISBLANK(Actuals!I65)),"",Actuals!I65)</f>
        <v/>
      </c>
      <c r="AB50" s="509">
        <f>IF(OR(7&gt;$B$3,ISBLANK(Actuals!I65)),"",Budget!I65-Actuals!I65)</f>
        <v/>
      </c>
      <c r="AC50" s="509">
        <f>IFERROR(IF(OR(7&gt;$B$3,ISBLANK(Actuals!I65)),"",(Budget!I65-Actuals!I65)/ABS(Budget!I65)),"")</f>
        <v/>
      </c>
      <c r="AD50" s="508">
        <f>Budget!J65</f>
        <v/>
      </c>
      <c r="AE50" s="508">
        <f>IF(OR(8&gt;$B$3,ISBLANK(Actuals!J65)),"",Actuals!J65)</f>
        <v/>
      </c>
      <c r="AF50" s="509">
        <f>IF(OR(8&gt;$B$3,ISBLANK(Actuals!J65)),"",Budget!J65-Actuals!J65)</f>
        <v/>
      </c>
      <c r="AG50" s="509">
        <f>IFERROR(IF(OR(8&gt;$B$3,ISBLANK(Actuals!J65)),"",(Budget!J65-Actuals!J65)/ABS(Budget!J65)),"")</f>
        <v/>
      </c>
      <c r="AH50" s="508">
        <f>Budget!K65</f>
        <v/>
      </c>
      <c r="AI50" s="508">
        <f>IF(OR(9&gt;$B$3,ISBLANK(Actuals!K65)),"",Actuals!K65)</f>
        <v/>
      </c>
      <c r="AJ50" s="509">
        <f>IF(OR(9&gt;$B$3,ISBLANK(Actuals!K65)),"",Budget!K65-Actuals!K65)</f>
        <v/>
      </c>
      <c r="AK50" s="509">
        <f>IFERROR(IF(OR(9&gt;$B$3,ISBLANK(Actuals!K65)),"",(Budget!K65-Actuals!K65)/ABS(Budget!K65)),"")</f>
        <v/>
      </c>
      <c r="AL50" s="508">
        <f>Budget!L65</f>
        <v/>
      </c>
      <c r="AM50" s="508">
        <f>IF(OR(10&gt;$B$3,ISBLANK(Actuals!L65)),"",Actuals!L65)</f>
        <v/>
      </c>
      <c r="AN50" s="509">
        <f>IF(OR(10&gt;$B$3,ISBLANK(Actuals!L65)),"",Budget!L65-Actuals!L65)</f>
        <v/>
      </c>
      <c r="AO50" s="509">
        <f>IFERROR(IF(OR(10&gt;$B$3,ISBLANK(Actuals!L65)),"",(Budget!L65-Actuals!L65)/ABS(Budget!L65)),"")</f>
        <v/>
      </c>
      <c r="AP50" s="508">
        <f>Budget!M65</f>
        <v/>
      </c>
      <c r="AQ50" s="508">
        <f>IF(OR(11&gt;$B$3,ISBLANK(Actuals!M65)),"",Actuals!M65)</f>
        <v/>
      </c>
      <c r="AR50" s="509">
        <f>IF(OR(11&gt;$B$3,ISBLANK(Actuals!M65)),"",Budget!M65-Actuals!M65)</f>
        <v/>
      </c>
      <c r="AS50" s="509">
        <f>IFERROR(IF(OR(11&gt;$B$3,ISBLANK(Actuals!M65)),"",(Budget!M65-Actuals!M65)/ABS(Budget!M65)),"")</f>
        <v/>
      </c>
      <c r="AT50" s="508">
        <f>Budget!N65</f>
        <v/>
      </c>
      <c r="AU50" s="508">
        <f>IF(OR(12&gt;$B$3,ISBLANK(Actuals!N65)),"",Actuals!N65)</f>
        <v/>
      </c>
      <c r="AV50" s="509">
        <f>IF(OR(12&gt;$B$3,ISBLANK(Actuals!N65)),"",Budget!N65-Actuals!N65)</f>
        <v/>
      </c>
      <c r="AW50" s="509">
        <f>IFERROR(IF(OR(12&gt;$B$3,ISBLANK(Actuals!N65)),"",(Budget!N65-Actuals!N65)/ABS(Budget!N65)),"")</f>
        <v/>
      </c>
      <c r="AX50" s="510">
        <f>SUMPRODUCT((Actuals!C65:N65&lt;&gt;"")*(Budget!C65:N65))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Budget!C66</f>
        <v/>
      </c>
      <c r="C51" s="508">
        <f>IF(OR(1&gt;$B$3,ISBLANK(Actuals!C66)),"",Actuals!C66)</f>
        <v/>
      </c>
      <c r="D51" s="509">
        <f>IF(OR(1&gt;$B$3,ISBLANK(Actuals!C66)),"",Budget!C66-Actuals!C66)</f>
        <v/>
      </c>
      <c r="E51" s="509">
        <f>IFERROR(IF(OR(1&gt;$B$3,ISBLANK(Actuals!C66)),"",(Budget!C66-Actuals!C66)/ABS(Budget!C66)),"")</f>
        <v/>
      </c>
      <c r="F51" s="508">
        <f>Budget!D66</f>
        <v/>
      </c>
      <c r="G51" s="508">
        <f>IF(OR(2&gt;$B$3,ISBLANK(Actuals!D66)),"",Actuals!D66)</f>
        <v/>
      </c>
      <c r="H51" s="509">
        <f>IF(OR(2&gt;$B$3,ISBLANK(Actuals!D66)),"",Budget!D66-Actuals!D66)</f>
        <v/>
      </c>
      <c r="I51" s="509">
        <f>IFERROR(IF(OR(2&gt;$B$3,ISBLANK(Actuals!D66)),"",(Budget!D66-Actuals!D66)/ABS(Budget!D66)),"")</f>
        <v/>
      </c>
      <c r="J51" s="508">
        <f>Budget!E66</f>
        <v/>
      </c>
      <c r="K51" s="508">
        <f>IF(OR(3&gt;$B$3,ISBLANK(Actuals!E66)),"",Actuals!E66)</f>
        <v/>
      </c>
      <c r="L51" s="509">
        <f>IF(OR(3&gt;$B$3,ISBLANK(Actuals!E66)),"",Budget!E66-Actuals!E66)</f>
        <v/>
      </c>
      <c r="M51" s="509">
        <f>IFERROR(IF(OR(3&gt;$B$3,ISBLANK(Actuals!E66)),"",(Budget!E66-Actuals!E66)/ABS(Budget!E66)),"")</f>
        <v/>
      </c>
      <c r="N51" s="508">
        <f>Budget!F66</f>
        <v/>
      </c>
      <c r="O51" s="508">
        <f>IF(OR(4&gt;$B$3,ISBLANK(Actuals!F66)),"",Actuals!F66)</f>
        <v/>
      </c>
      <c r="P51" s="509">
        <f>IF(OR(4&gt;$B$3,ISBLANK(Actuals!F66)),"",Budget!F66-Actuals!F66)</f>
        <v/>
      </c>
      <c r="Q51" s="509">
        <f>IFERROR(IF(OR(4&gt;$B$3,ISBLANK(Actuals!F66)),"",(Budget!F66-Actuals!F66)/ABS(Budget!F66)),"")</f>
        <v/>
      </c>
      <c r="R51" s="508">
        <f>Budget!G66</f>
        <v/>
      </c>
      <c r="S51" s="508">
        <f>IF(OR(5&gt;$B$3,ISBLANK(Actuals!G66)),"",Actuals!G66)</f>
        <v/>
      </c>
      <c r="T51" s="509">
        <f>IF(OR(5&gt;$B$3,ISBLANK(Actuals!G66)),"",Budget!G66-Actuals!G66)</f>
        <v/>
      </c>
      <c r="U51" s="509">
        <f>IFERROR(IF(OR(5&gt;$B$3,ISBLANK(Actuals!G66)),"",(Budget!G66-Actuals!G66)/ABS(Budget!G66)),"")</f>
        <v/>
      </c>
      <c r="V51" s="508">
        <f>Budget!H66</f>
        <v/>
      </c>
      <c r="W51" s="508">
        <f>IF(OR(6&gt;$B$3,ISBLANK(Actuals!H66)),"",Actuals!H66)</f>
        <v/>
      </c>
      <c r="X51" s="509">
        <f>IF(OR(6&gt;$B$3,ISBLANK(Actuals!H66)),"",Budget!H66-Actuals!H66)</f>
        <v/>
      </c>
      <c r="Y51" s="509">
        <f>IFERROR(IF(OR(6&gt;$B$3,ISBLANK(Actuals!H66)),"",(Budget!H66-Actuals!H66)/ABS(Budget!H66)),"")</f>
        <v/>
      </c>
      <c r="Z51" s="508">
        <f>Budget!I66</f>
        <v/>
      </c>
      <c r="AA51" s="508">
        <f>IF(OR(7&gt;$B$3,ISBLANK(Actuals!I66)),"",Actuals!I66)</f>
        <v/>
      </c>
      <c r="AB51" s="509">
        <f>IF(OR(7&gt;$B$3,ISBLANK(Actuals!I66)),"",Budget!I66-Actuals!I66)</f>
        <v/>
      </c>
      <c r="AC51" s="509">
        <f>IFERROR(IF(OR(7&gt;$B$3,ISBLANK(Actuals!I66)),"",(Budget!I66-Actuals!I66)/ABS(Budget!I66)),"")</f>
        <v/>
      </c>
      <c r="AD51" s="508">
        <f>Budget!J66</f>
        <v/>
      </c>
      <c r="AE51" s="508">
        <f>IF(OR(8&gt;$B$3,ISBLANK(Actuals!J66)),"",Actuals!J66)</f>
        <v/>
      </c>
      <c r="AF51" s="509">
        <f>IF(OR(8&gt;$B$3,ISBLANK(Actuals!J66)),"",Budget!J66-Actuals!J66)</f>
        <v/>
      </c>
      <c r="AG51" s="509">
        <f>IFERROR(IF(OR(8&gt;$B$3,ISBLANK(Actuals!J66)),"",(Budget!J66-Actuals!J66)/ABS(Budget!J66)),"")</f>
        <v/>
      </c>
      <c r="AH51" s="508">
        <f>Budget!K66</f>
        <v/>
      </c>
      <c r="AI51" s="508">
        <f>IF(OR(9&gt;$B$3,ISBLANK(Actuals!K66)),"",Actuals!K66)</f>
        <v/>
      </c>
      <c r="AJ51" s="509">
        <f>IF(OR(9&gt;$B$3,ISBLANK(Actuals!K66)),"",Budget!K66-Actuals!K66)</f>
        <v/>
      </c>
      <c r="AK51" s="509">
        <f>IFERROR(IF(OR(9&gt;$B$3,ISBLANK(Actuals!K66)),"",(Budget!K66-Actuals!K66)/ABS(Budget!K66)),"")</f>
        <v/>
      </c>
      <c r="AL51" s="508">
        <f>Budget!L66</f>
        <v/>
      </c>
      <c r="AM51" s="508">
        <f>IF(OR(10&gt;$B$3,ISBLANK(Actuals!L66)),"",Actuals!L66)</f>
        <v/>
      </c>
      <c r="AN51" s="509">
        <f>IF(OR(10&gt;$B$3,ISBLANK(Actuals!L66)),"",Budget!L66-Actuals!L66)</f>
        <v/>
      </c>
      <c r="AO51" s="509">
        <f>IFERROR(IF(OR(10&gt;$B$3,ISBLANK(Actuals!L66)),"",(Budget!L66-Actuals!L66)/ABS(Budget!L66)),"")</f>
        <v/>
      </c>
      <c r="AP51" s="508">
        <f>Budget!M66</f>
        <v/>
      </c>
      <c r="AQ51" s="508">
        <f>IF(OR(11&gt;$B$3,ISBLANK(Actuals!M66)),"",Actuals!M66)</f>
        <v/>
      </c>
      <c r="AR51" s="509">
        <f>IF(OR(11&gt;$B$3,ISBLANK(Actuals!M66)),"",Budget!M66-Actuals!M66)</f>
        <v/>
      </c>
      <c r="AS51" s="509">
        <f>IFERROR(IF(OR(11&gt;$B$3,ISBLANK(Actuals!M66)),"",(Budget!M66-Actuals!M66)/ABS(Budget!M66)),"")</f>
        <v/>
      </c>
      <c r="AT51" s="508">
        <f>Budget!N66</f>
        <v/>
      </c>
      <c r="AU51" s="508">
        <f>IF(OR(12&gt;$B$3,ISBLANK(Actuals!N66)),"",Actuals!N66)</f>
        <v/>
      </c>
      <c r="AV51" s="509">
        <f>IF(OR(12&gt;$B$3,ISBLANK(Actuals!N66)),"",Budget!N66-Actuals!N66)</f>
        <v/>
      </c>
      <c r="AW51" s="509">
        <f>IFERROR(IF(OR(12&gt;$B$3,ISBLANK(Actuals!N66)),"",(Budget!N66-Actuals!N66)/ABS(Budget!N66)),"")</f>
        <v/>
      </c>
      <c r="AX51" s="510">
        <f>SUMPRODUCT((Actuals!C66:N66&lt;&gt;"")*(Budget!C66:N66))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Budget!C67</f>
        <v/>
      </c>
      <c r="C52" s="508">
        <f>IF(OR(1&gt;$B$3,ISBLANK(Actuals!C67)),"",Actuals!C67)</f>
        <v/>
      </c>
      <c r="D52" s="509">
        <f>IF(OR(1&gt;$B$3,ISBLANK(Actuals!C67)),"",Budget!C67-Actuals!C67)</f>
        <v/>
      </c>
      <c r="E52" s="509">
        <f>IFERROR(IF(OR(1&gt;$B$3,ISBLANK(Actuals!C67)),"",(Budget!C67-Actuals!C67)/ABS(Budget!C67)),"")</f>
        <v/>
      </c>
      <c r="F52" s="508">
        <f>Budget!D67</f>
        <v/>
      </c>
      <c r="G52" s="508">
        <f>IF(OR(2&gt;$B$3,ISBLANK(Actuals!D67)),"",Actuals!D67)</f>
        <v/>
      </c>
      <c r="H52" s="509">
        <f>IF(OR(2&gt;$B$3,ISBLANK(Actuals!D67)),"",Budget!D67-Actuals!D67)</f>
        <v/>
      </c>
      <c r="I52" s="509">
        <f>IFERROR(IF(OR(2&gt;$B$3,ISBLANK(Actuals!D67)),"",(Budget!D67-Actuals!D67)/ABS(Budget!D67)),"")</f>
        <v/>
      </c>
      <c r="J52" s="508">
        <f>Budget!E67</f>
        <v/>
      </c>
      <c r="K52" s="508">
        <f>IF(OR(3&gt;$B$3,ISBLANK(Actuals!E67)),"",Actuals!E67)</f>
        <v/>
      </c>
      <c r="L52" s="509">
        <f>IF(OR(3&gt;$B$3,ISBLANK(Actuals!E67)),"",Budget!E67-Actuals!E67)</f>
        <v/>
      </c>
      <c r="M52" s="509">
        <f>IFERROR(IF(OR(3&gt;$B$3,ISBLANK(Actuals!E67)),"",(Budget!E67-Actuals!E67)/ABS(Budget!E67)),"")</f>
        <v/>
      </c>
      <c r="N52" s="508">
        <f>Budget!F67</f>
        <v/>
      </c>
      <c r="O52" s="508">
        <f>IF(OR(4&gt;$B$3,ISBLANK(Actuals!F67)),"",Actuals!F67)</f>
        <v/>
      </c>
      <c r="P52" s="509">
        <f>IF(OR(4&gt;$B$3,ISBLANK(Actuals!F67)),"",Budget!F67-Actuals!F67)</f>
        <v/>
      </c>
      <c r="Q52" s="509">
        <f>IFERROR(IF(OR(4&gt;$B$3,ISBLANK(Actuals!F67)),"",(Budget!F67-Actuals!F67)/ABS(Budget!F67)),"")</f>
        <v/>
      </c>
      <c r="R52" s="508">
        <f>Budget!G67</f>
        <v/>
      </c>
      <c r="S52" s="508">
        <f>IF(OR(5&gt;$B$3,ISBLANK(Actuals!G67)),"",Actuals!G67)</f>
        <v/>
      </c>
      <c r="T52" s="509">
        <f>IF(OR(5&gt;$B$3,ISBLANK(Actuals!G67)),"",Budget!G67-Actuals!G67)</f>
        <v/>
      </c>
      <c r="U52" s="509">
        <f>IFERROR(IF(OR(5&gt;$B$3,ISBLANK(Actuals!G67)),"",(Budget!G67-Actuals!G67)/ABS(Budget!G67)),"")</f>
        <v/>
      </c>
      <c r="V52" s="508">
        <f>Budget!H67</f>
        <v/>
      </c>
      <c r="W52" s="508">
        <f>IF(OR(6&gt;$B$3,ISBLANK(Actuals!H67)),"",Actuals!H67)</f>
        <v/>
      </c>
      <c r="X52" s="509">
        <f>IF(OR(6&gt;$B$3,ISBLANK(Actuals!H67)),"",Budget!H67-Actuals!H67)</f>
        <v/>
      </c>
      <c r="Y52" s="509">
        <f>IFERROR(IF(OR(6&gt;$B$3,ISBLANK(Actuals!H67)),"",(Budget!H67-Actuals!H67)/ABS(Budget!H67)),"")</f>
        <v/>
      </c>
      <c r="Z52" s="508">
        <f>Budget!I67</f>
        <v/>
      </c>
      <c r="AA52" s="508">
        <f>IF(OR(7&gt;$B$3,ISBLANK(Actuals!I67)),"",Actuals!I67)</f>
        <v/>
      </c>
      <c r="AB52" s="509">
        <f>IF(OR(7&gt;$B$3,ISBLANK(Actuals!I67)),"",Budget!I67-Actuals!I67)</f>
        <v/>
      </c>
      <c r="AC52" s="509">
        <f>IFERROR(IF(OR(7&gt;$B$3,ISBLANK(Actuals!I67)),"",(Budget!I67-Actuals!I67)/ABS(Budget!I67)),"")</f>
        <v/>
      </c>
      <c r="AD52" s="508">
        <f>Budget!J67</f>
        <v/>
      </c>
      <c r="AE52" s="508">
        <f>IF(OR(8&gt;$B$3,ISBLANK(Actuals!J67)),"",Actuals!J67)</f>
        <v/>
      </c>
      <c r="AF52" s="509">
        <f>IF(OR(8&gt;$B$3,ISBLANK(Actuals!J67)),"",Budget!J67-Actuals!J67)</f>
        <v/>
      </c>
      <c r="AG52" s="509">
        <f>IFERROR(IF(OR(8&gt;$B$3,ISBLANK(Actuals!J67)),"",(Budget!J67-Actuals!J67)/ABS(Budget!J67)),"")</f>
        <v/>
      </c>
      <c r="AH52" s="508">
        <f>Budget!K67</f>
        <v/>
      </c>
      <c r="AI52" s="508">
        <f>IF(OR(9&gt;$B$3,ISBLANK(Actuals!K67)),"",Actuals!K67)</f>
        <v/>
      </c>
      <c r="AJ52" s="509">
        <f>IF(OR(9&gt;$B$3,ISBLANK(Actuals!K67)),"",Budget!K67-Actuals!K67)</f>
        <v/>
      </c>
      <c r="AK52" s="509">
        <f>IFERROR(IF(OR(9&gt;$B$3,ISBLANK(Actuals!K67)),"",(Budget!K67-Actuals!K67)/ABS(Budget!K67)),"")</f>
        <v/>
      </c>
      <c r="AL52" s="508">
        <f>Budget!L67</f>
        <v/>
      </c>
      <c r="AM52" s="508">
        <f>IF(OR(10&gt;$B$3,ISBLANK(Actuals!L67)),"",Actuals!L67)</f>
        <v/>
      </c>
      <c r="AN52" s="509">
        <f>IF(OR(10&gt;$B$3,ISBLANK(Actuals!L67)),"",Budget!L67-Actuals!L67)</f>
        <v/>
      </c>
      <c r="AO52" s="509">
        <f>IFERROR(IF(OR(10&gt;$B$3,ISBLANK(Actuals!L67)),"",(Budget!L67-Actuals!L67)/ABS(Budget!L67)),"")</f>
        <v/>
      </c>
      <c r="AP52" s="508">
        <f>Budget!M67</f>
        <v/>
      </c>
      <c r="AQ52" s="508">
        <f>IF(OR(11&gt;$B$3,ISBLANK(Actuals!M67)),"",Actuals!M67)</f>
        <v/>
      </c>
      <c r="AR52" s="509">
        <f>IF(OR(11&gt;$B$3,ISBLANK(Actuals!M67)),"",Budget!M67-Actuals!M67)</f>
        <v/>
      </c>
      <c r="AS52" s="509">
        <f>IFERROR(IF(OR(11&gt;$B$3,ISBLANK(Actuals!M67)),"",(Budget!M67-Actuals!M67)/ABS(Budget!M67)),"")</f>
        <v/>
      </c>
      <c r="AT52" s="508">
        <f>Budget!N67</f>
        <v/>
      </c>
      <c r="AU52" s="508">
        <f>IF(OR(12&gt;$B$3,ISBLANK(Actuals!N67)),"",Actuals!N67)</f>
        <v/>
      </c>
      <c r="AV52" s="509">
        <f>IF(OR(12&gt;$B$3,ISBLANK(Actuals!N67)),"",Budget!N67-Actuals!N67)</f>
        <v/>
      </c>
      <c r="AW52" s="509">
        <f>IFERROR(IF(OR(12&gt;$B$3,ISBLANK(Actuals!N67)),"",(Budget!N67-Actuals!N67)/ABS(Budget!N67)),"")</f>
        <v/>
      </c>
      <c r="AX52" s="510">
        <f>SUMPRODUCT((Actuals!C67:N67&lt;&gt;"")*(Budget!C67:N67))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Budget!C68</f>
        <v/>
      </c>
      <c r="C53" s="508">
        <f>IF(OR(1&gt;$B$3,ISBLANK(Actuals!C68)),"",Actuals!C68)</f>
        <v/>
      </c>
      <c r="D53" s="509">
        <f>IF(OR(1&gt;$B$3,ISBLANK(Actuals!C68)),"",Budget!C68-Actuals!C68)</f>
        <v/>
      </c>
      <c r="E53" s="509">
        <f>IFERROR(IF(OR(1&gt;$B$3,ISBLANK(Actuals!C68)),"",(Budget!C68-Actuals!C68)/ABS(Budget!C68)),"")</f>
        <v/>
      </c>
      <c r="F53" s="508">
        <f>Budget!D68</f>
        <v/>
      </c>
      <c r="G53" s="508">
        <f>IF(OR(2&gt;$B$3,ISBLANK(Actuals!D68)),"",Actuals!D68)</f>
        <v/>
      </c>
      <c r="H53" s="509">
        <f>IF(OR(2&gt;$B$3,ISBLANK(Actuals!D68)),"",Budget!D68-Actuals!D68)</f>
        <v/>
      </c>
      <c r="I53" s="509">
        <f>IFERROR(IF(OR(2&gt;$B$3,ISBLANK(Actuals!D68)),"",(Budget!D68-Actuals!D68)/ABS(Budget!D68)),"")</f>
        <v/>
      </c>
      <c r="J53" s="508">
        <f>Budget!E68</f>
        <v/>
      </c>
      <c r="K53" s="508">
        <f>IF(OR(3&gt;$B$3,ISBLANK(Actuals!E68)),"",Actuals!E68)</f>
        <v/>
      </c>
      <c r="L53" s="509">
        <f>IF(OR(3&gt;$B$3,ISBLANK(Actuals!E68)),"",Budget!E68-Actuals!E68)</f>
        <v/>
      </c>
      <c r="M53" s="509">
        <f>IFERROR(IF(OR(3&gt;$B$3,ISBLANK(Actuals!E68)),"",(Budget!E68-Actuals!E68)/ABS(Budget!E68)),"")</f>
        <v/>
      </c>
      <c r="N53" s="508">
        <f>Budget!F68</f>
        <v/>
      </c>
      <c r="O53" s="508">
        <f>IF(OR(4&gt;$B$3,ISBLANK(Actuals!F68)),"",Actuals!F68)</f>
        <v/>
      </c>
      <c r="P53" s="509">
        <f>IF(OR(4&gt;$B$3,ISBLANK(Actuals!F68)),"",Budget!F68-Actuals!F68)</f>
        <v/>
      </c>
      <c r="Q53" s="509">
        <f>IFERROR(IF(OR(4&gt;$B$3,ISBLANK(Actuals!F68)),"",(Budget!F68-Actuals!F68)/ABS(Budget!F68)),"")</f>
        <v/>
      </c>
      <c r="R53" s="508">
        <f>Budget!G68</f>
        <v/>
      </c>
      <c r="S53" s="508">
        <f>IF(OR(5&gt;$B$3,ISBLANK(Actuals!G68)),"",Actuals!G68)</f>
        <v/>
      </c>
      <c r="T53" s="509">
        <f>IF(OR(5&gt;$B$3,ISBLANK(Actuals!G68)),"",Budget!G68-Actuals!G68)</f>
        <v/>
      </c>
      <c r="U53" s="509">
        <f>IFERROR(IF(OR(5&gt;$B$3,ISBLANK(Actuals!G68)),"",(Budget!G68-Actuals!G68)/ABS(Budget!G68)),"")</f>
        <v/>
      </c>
      <c r="V53" s="508">
        <f>Budget!H68</f>
        <v/>
      </c>
      <c r="W53" s="508">
        <f>IF(OR(6&gt;$B$3,ISBLANK(Actuals!H68)),"",Actuals!H68)</f>
        <v/>
      </c>
      <c r="X53" s="509">
        <f>IF(OR(6&gt;$B$3,ISBLANK(Actuals!H68)),"",Budget!H68-Actuals!H68)</f>
        <v/>
      </c>
      <c r="Y53" s="509">
        <f>IFERROR(IF(OR(6&gt;$B$3,ISBLANK(Actuals!H68)),"",(Budget!H68-Actuals!H68)/ABS(Budget!H68)),"")</f>
        <v/>
      </c>
      <c r="Z53" s="508">
        <f>Budget!I68</f>
        <v/>
      </c>
      <c r="AA53" s="508">
        <f>IF(OR(7&gt;$B$3,ISBLANK(Actuals!I68)),"",Actuals!I68)</f>
        <v/>
      </c>
      <c r="AB53" s="509">
        <f>IF(OR(7&gt;$B$3,ISBLANK(Actuals!I68)),"",Budget!I68-Actuals!I68)</f>
        <v/>
      </c>
      <c r="AC53" s="509">
        <f>IFERROR(IF(OR(7&gt;$B$3,ISBLANK(Actuals!I68)),"",(Budget!I68-Actuals!I68)/ABS(Budget!I68)),"")</f>
        <v/>
      </c>
      <c r="AD53" s="508">
        <f>Budget!J68</f>
        <v/>
      </c>
      <c r="AE53" s="508">
        <f>IF(OR(8&gt;$B$3,ISBLANK(Actuals!J68)),"",Actuals!J68)</f>
        <v/>
      </c>
      <c r="AF53" s="509">
        <f>IF(OR(8&gt;$B$3,ISBLANK(Actuals!J68)),"",Budget!J68-Actuals!J68)</f>
        <v/>
      </c>
      <c r="AG53" s="509">
        <f>IFERROR(IF(OR(8&gt;$B$3,ISBLANK(Actuals!J68)),"",(Budget!J68-Actuals!J68)/ABS(Budget!J68)),"")</f>
        <v/>
      </c>
      <c r="AH53" s="508">
        <f>Budget!K68</f>
        <v/>
      </c>
      <c r="AI53" s="508">
        <f>IF(OR(9&gt;$B$3,ISBLANK(Actuals!K68)),"",Actuals!K68)</f>
        <v/>
      </c>
      <c r="AJ53" s="509">
        <f>IF(OR(9&gt;$B$3,ISBLANK(Actuals!K68)),"",Budget!K68-Actuals!K68)</f>
        <v/>
      </c>
      <c r="AK53" s="509">
        <f>IFERROR(IF(OR(9&gt;$B$3,ISBLANK(Actuals!K68)),"",(Budget!K68-Actuals!K68)/ABS(Budget!K68)),"")</f>
        <v/>
      </c>
      <c r="AL53" s="508">
        <f>Budget!L68</f>
        <v/>
      </c>
      <c r="AM53" s="508">
        <f>IF(OR(10&gt;$B$3,ISBLANK(Actuals!L68)),"",Actuals!L68)</f>
        <v/>
      </c>
      <c r="AN53" s="509">
        <f>IF(OR(10&gt;$B$3,ISBLANK(Actuals!L68)),"",Budget!L68-Actuals!L68)</f>
        <v/>
      </c>
      <c r="AO53" s="509">
        <f>IFERROR(IF(OR(10&gt;$B$3,ISBLANK(Actuals!L68)),"",(Budget!L68-Actuals!L68)/ABS(Budget!L68)),"")</f>
        <v/>
      </c>
      <c r="AP53" s="508">
        <f>Budget!M68</f>
        <v/>
      </c>
      <c r="AQ53" s="508">
        <f>IF(OR(11&gt;$B$3,ISBLANK(Actuals!M68)),"",Actuals!M68)</f>
        <v/>
      </c>
      <c r="AR53" s="509">
        <f>IF(OR(11&gt;$B$3,ISBLANK(Actuals!M68)),"",Budget!M68-Actuals!M68)</f>
        <v/>
      </c>
      <c r="AS53" s="509">
        <f>IFERROR(IF(OR(11&gt;$B$3,ISBLANK(Actuals!M68)),"",(Budget!M68-Actuals!M68)/ABS(Budget!M68)),"")</f>
        <v/>
      </c>
      <c r="AT53" s="508">
        <f>Budget!N68</f>
        <v/>
      </c>
      <c r="AU53" s="508">
        <f>IF(OR(12&gt;$B$3,ISBLANK(Actuals!N68)),"",Actuals!N68)</f>
        <v/>
      </c>
      <c r="AV53" s="509">
        <f>IF(OR(12&gt;$B$3,ISBLANK(Actuals!N68)),"",Budget!N68-Actuals!N68)</f>
        <v/>
      </c>
      <c r="AW53" s="509">
        <f>IFERROR(IF(OR(12&gt;$B$3,ISBLANK(Actuals!N68)),"",(Budget!N68-Actuals!N68)/ABS(Budget!N68)),"")</f>
        <v/>
      </c>
      <c r="AX53" s="510">
        <f>SUMPRODUCT((Actuals!C68:N68&lt;&gt;"")*(Budget!C68:N68))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Budget!C69</f>
        <v/>
      </c>
      <c r="C54" s="508">
        <f>IF(OR(1&gt;$B$3,ISBLANK(Actuals!C69)),"",Actuals!C69)</f>
        <v/>
      </c>
      <c r="D54" s="509">
        <f>IF(OR(1&gt;$B$3,ISBLANK(Actuals!C69)),"",Budget!C69-Actuals!C69)</f>
        <v/>
      </c>
      <c r="E54" s="509">
        <f>IFERROR(IF(OR(1&gt;$B$3,ISBLANK(Actuals!C69)),"",(Budget!C69-Actuals!C69)/ABS(Budget!C69)),"")</f>
        <v/>
      </c>
      <c r="F54" s="508">
        <f>Budget!D69</f>
        <v/>
      </c>
      <c r="G54" s="508">
        <f>IF(OR(2&gt;$B$3,ISBLANK(Actuals!D69)),"",Actuals!D69)</f>
        <v/>
      </c>
      <c r="H54" s="509">
        <f>IF(OR(2&gt;$B$3,ISBLANK(Actuals!D69)),"",Budget!D69-Actuals!D69)</f>
        <v/>
      </c>
      <c r="I54" s="509">
        <f>IFERROR(IF(OR(2&gt;$B$3,ISBLANK(Actuals!D69)),"",(Budget!D69-Actuals!D69)/ABS(Budget!D69)),"")</f>
        <v/>
      </c>
      <c r="J54" s="508">
        <f>Budget!E69</f>
        <v/>
      </c>
      <c r="K54" s="508">
        <f>IF(OR(3&gt;$B$3,ISBLANK(Actuals!E69)),"",Actuals!E69)</f>
        <v/>
      </c>
      <c r="L54" s="509">
        <f>IF(OR(3&gt;$B$3,ISBLANK(Actuals!E69)),"",Budget!E69-Actuals!E69)</f>
        <v/>
      </c>
      <c r="M54" s="509">
        <f>IFERROR(IF(OR(3&gt;$B$3,ISBLANK(Actuals!E69)),"",(Budget!E69-Actuals!E69)/ABS(Budget!E69)),"")</f>
        <v/>
      </c>
      <c r="N54" s="508">
        <f>Budget!F69</f>
        <v/>
      </c>
      <c r="O54" s="508">
        <f>IF(OR(4&gt;$B$3,ISBLANK(Actuals!F69)),"",Actuals!F69)</f>
        <v/>
      </c>
      <c r="P54" s="509">
        <f>IF(OR(4&gt;$B$3,ISBLANK(Actuals!F69)),"",Budget!F69-Actuals!F69)</f>
        <v/>
      </c>
      <c r="Q54" s="509">
        <f>IFERROR(IF(OR(4&gt;$B$3,ISBLANK(Actuals!F69)),"",(Budget!F69-Actuals!F69)/ABS(Budget!F69)),"")</f>
        <v/>
      </c>
      <c r="R54" s="508">
        <f>Budget!G69</f>
        <v/>
      </c>
      <c r="S54" s="508">
        <f>IF(OR(5&gt;$B$3,ISBLANK(Actuals!G69)),"",Actuals!G69)</f>
        <v/>
      </c>
      <c r="T54" s="509">
        <f>IF(OR(5&gt;$B$3,ISBLANK(Actuals!G69)),"",Budget!G69-Actuals!G69)</f>
        <v/>
      </c>
      <c r="U54" s="509">
        <f>IFERROR(IF(OR(5&gt;$B$3,ISBLANK(Actuals!G69)),"",(Budget!G69-Actuals!G69)/ABS(Budget!G69)),"")</f>
        <v/>
      </c>
      <c r="V54" s="508">
        <f>Budget!H69</f>
        <v/>
      </c>
      <c r="W54" s="508">
        <f>IF(OR(6&gt;$B$3,ISBLANK(Actuals!H69)),"",Actuals!H69)</f>
        <v/>
      </c>
      <c r="X54" s="509">
        <f>IF(OR(6&gt;$B$3,ISBLANK(Actuals!H69)),"",Budget!H69-Actuals!H69)</f>
        <v/>
      </c>
      <c r="Y54" s="509">
        <f>IFERROR(IF(OR(6&gt;$B$3,ISBLANK(Actuals!H69)),"",(Budget!H69-Actuals!H69)/ABS(Budget!H69)),"")</f>
        <v/>
      </c>
      <c r="Z54" s="508">
        <f>Budget!I69</f>
        <v/>
      </c>
      <c r="AA54" s="508">
        <f>IF(OR(7&gt;$B$3,ISBLANK(Actuals!I69)),"",Actuals!I69)</f>
        <v/>
      </c>
      <c r="AB54" s="509">
        <f>IF(OR(7&gt;$B$3,ISBLANK(Actuals!I69)),"",Budget!I69-Actuals!I69)</f>
        <v/>
      </c>
      <c r="AC54" s="509">
        <f>IFERROR(IF(OR(7&gt;$B$3,ISBLANK(Actuals!I69)),"",(Budget!I69-Actuals!I69)/ABS(Budget!I69)),"")</f>
        <v/>
      </c>
      <c r="AD54" s="508">
        <f>Budget!J69</f>
        <v/>
      </c>
      <c r="AE54" s="508">
        <f>IF(OR(8&gt;$B$3,ISBLANK(Actuals!J69)),"",Actuals!J69)</f>
        <v/>
      </c>
      <c r="AF54" s="509">
        <f>IF(OR(8&gt;$B$3,ISBLANK(Actuals!J69)),"",Budget!J69-Actuals!J69)</f>
        <v/>
      </c>
      <c r="AG54" s="509">
        <f>IFERROR(IF(OR(8&gt;$B$3,ISBLANK(Actuals!J69)),"",(Budget!J69-Actuals!J69)/ABS(Budget!J69)),"")</f>
        <v/>
      </c>
      <c r="AH54" s="508">
        <f>Budget!K69</f>
        <v/>
      </c>
      <c r="AI54" s="508">
        <f>IF(OR(9&gt;$B$3,ISBLANK(Actuals!K69)),"",Actuals!K69)</f>
        <v/>
      </c>
      <c r="AJ54" s="509">
        <f>IF(OR(9&gt;$B$3,ISBLANK(Actuals!K69)),"",Budget!K69-Actuals!K69)</f>
        <v/>
      </c>
      <c r="AK54" s="509">
        <f>IFERROR(IF(OR(9&gt;$B$3,ISBLANK(Actuals!K69)),"",(Budget!K69-Actuals!K69)/ABS(Budget!K69)),"")</f>
        <v/>
      </c>
      <c r="AL54" s="508">
        <f>Budget!L69</f>
        <v/>
      </c>
      <c r="AM54" s="508">
        <f>IF(OR(10&gt;$B$3,ISBLANK(Actuals!L69)),"",Actuals!L69)</f>
        <v/>
      </c>
      <c r="AN54" s="509">
        <f>IF(OR(10&gt;$B$3,ISBLANK(Actuals!L69)),"",Budget!L69-Actuals!L69)</f>
        <v/>
      </c>
      <c r="AO54" s="509">
        <f>IFERROR(IF(OR(10&gt;$B$3,ISBLANK(Actuals!L69)),"",(Budget!L69-Actuals!L69)/ABS(Budget!L69)),"")</f>
        <v/>
      </c>
      <c r="AP54" s="508">
        <f>Budget!M69</f>
        <v/>
      </c>
      <c r="AQ54" s="508">
        <f>IF(OR(11&gt;$B$3,ISBLANK(Actuals!M69)),"",Actuals!M69)</f>
        <v/>
      </c>
      <c r="AR54" s="509">
        <f>IF(OR(11&gt;$B$3,ISBLANK(Actuals!M69)),"",Budget!M69-Actuals!M69)</f>
        <v/>
      </c>
      <c r="AS54" s="509">
        <f>IFERROR(IF(OR(11&gt;$B$3,ISBLANK(Actuals!M69)),"",(Budget!M69-Actuals!M69)/ABS(Budget!M69)),"")</f>
        <v/>
      </c>
      <c r="AT54" s="508">
        <f>Budget!N69</f>
        <v/>
      </c>
      <c r="AU54" s="508">
        <f>IF(OR(12&gt;$B$3,ISBLANK(Actuals!N69)),"",Actuals!N69)</f>
        <v/>
      </c>
      <c r="AV54" s="509">
        <f>IF(OR(12&gt;$B$3,ISBLANK(Actuals!N69)),"",Budget!N69-Actuals!N69)</f>
        <v/>
      </c>
      <c r="AW54" s="509">
        <f>IFERROR(IF(OR(12&gt;$B$3,ISBLANK(Actuals!N69)),"",(Budget!N69-Actuals!N69)/ABS(Budget!N69)),"")</f>
        <v/>
      </c>
      <c r="AX54" s="510">
        <f>SUMPRODUCT((Actuals!C69:N69&lt;&gt;"")*(Budget!C69:N69))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Budget!C70</f>
        <v/>
      </c>
      <c r="C55" s="508">
        <f>IF(OR(1&gt;$B$3,ISBLANK(Actuals!C70)),"",Actuals!C70)</f>
        <v/>
      </c>
      <c r="D55" s="509">
        <f>IF(OR(1&gt;$B$3,ISBLANK(Actuals!C70)),"",Budget!C70-Actuals!C70)</f>
        <v/>
      </c>
      <c r="E55" s="509">
        <f>IFERROR(IF(OR(1&gt;$B$3,ISBLANK(Actuals!C70)),"",(Budget!C70-Actuals!C70)/ABS(Budget!C70)),"")</f>
        <v/>
      </c>
      <c r="F55" s="508">
        <f>Budget!D70</f>
        <v/>
      </c>
      <c r="G55" s="508">
        <f>IF(OR(2&gt;$B$3,ISBLANK(Actuals!D70)),"",Actuals!D70)</f>
        <v/>
      </c>
      <c r="H55" s="509">
        <f>IF(OR(2&gt;$B$3,ISBLANK(Actuals!D70)),"",Budget!D70-Actuals!D70)</f>
        <v/>
      </c>
      <c r="I55" s="509">
        <f>IFERROR(IF(OR(2&gt;$B$3,ISBLANK(Actuals!D70)),"",(Budget!D70-Actuals!D70)/ABS(Budget!D70)),"")</f>
        <v/>
      </c>
      <c r="J55" s="508">
        <f>Budget!E70</f>
        <v/>
      </c>
      <c r="K55" s="508">
        <f>IF(OR(3&gt;$B$3,ISBLANK(Actuals!E70)),"",Actuals!E70)</f>
        <v/>
      </c>
      <c r="L55" s="509">
        <f>IF(OR(3&gt;$B$3,ISBLANK(Actuals!E70)),"",Budget!E70-Actuals!E70)</f>
        <v/>
      </c>
      <c r="M55" s="509">
        <f>IFERROR(IF(OR(3&gt;$B$3,ISBLANK(Actuals!E70)),"",(Budget!E70-Actuals!E70)/ABS(Budget!E70)),"")</f>
        <v/>
      </c>
      <c r="N55" s="508">
        <f>Budget!F70</f>
        <v/>
      </c>
      <c r="O55" s="508">
        <f>IF(OR(4&gt;$B$3,ISBLANK(Actuals!F70)),"",Actuals!F70)</f>
        <v/>
      </c>
      <c r="P55" s="509">
        <f>IF(OR(4&gt;$B$3,ISBLANK(Actuals!F70)),"",Budget!F70-Actuals!F70)</f>
        <v/>
      </c>
      <c r="Q55" s="509">
        <f>IFERROR(IF(OR(4&gt;$B$3,ISBLANK(Actuals!F70)),"",(Budget!F70-Actuals!F70)/ABS(Budget!F70)),"")</f>
        <v/>
      </c>
      <c r="R55" s="508">
        <f>Budget!G70</f>
        <v/>
      </c>
      <c r="S55" s="508">
        <f>IF(OR(5&gt;$B$3,ISBLANK(Actuals!G70)),"",Actuals!G70)</f>
        <v/>
      </c>
      <c r="T55" s="509">
        <f>IF(OR(5&gt;$B$3,ISBLANK(Actuals!G70)),"",Budget!G70-Actuals!G70)</f>
        <v/>
      </c>
      <c r="U55" s="509">
        <f>IFERROR(IF(OR(5&gt;$B$3,ISBLANK(Actuals!G70)),"",(Budget!G70-Actuals!G70)/ABS(Budget!G70)),"")</f>
        <v/>
      </c>
      <c r="V55" s="508">
        <f>Budget!H70</f>
        <v/>
      </c>
      <c r="W55" s="508">
        <f>IF(OR(6&gt;$B$3,ISBLANK(Actuals!H70)),"",Actuals!H70)</f>
        <v/>
      </c>
      <c r="X55" s="509">
        <f>IF(OR(6&gt;$B$3,ISBLANK(Actuals!H70)),"",Budget!H70-Actuals!H70)</f>
        <v/>
      </c>
      <c r="Y55" s="509">
        <f>IFERROR(IF(OR(6&gt;$B$3,ISBLANK(Actuals!H70)),"",(Budget!H70-Actuals!H70)/ABS(Budget!H70)),"")</f>
        <v/>
      </c>
      <c r="Z55" s="508">
        <f>Budget!I70</f>
        <v/>
      </c>
      <c r="AA55" s="508">
        <f>IF(OR(7&gt;$B$3,ISBLANK(Actuals!I70)),"",Actuals!I70)</f>
        <v/>
      </c>
      <c r="AB55" s="509">
        <f>IF(OR(7&gt;$B$3,ISBLANK(Actuals!I70)),"",Budget!I70-Actuals!I70)</f>
        <v/>
      </c>
      <c r="AC55" s="509">
        <f>IFERROR(IF(OR(7&gt;$B$3,ISBLANK(Actuals!I70)),"",(Budget!I70-Actuals!I70)/ABS(Budget!I70)),"")</f>
        <v/>
      </c>
      <c r="AD55" s="508">
        <f>Budget!J70</f>
        <v/>
      </c>
      <c r="AE55" s="508">
        <f>IF(OR(8&gt;$B$3,ISBLANK(Actuals!J70)),"",Actuals!J70)</f>
        <v/>
      </c>
      <c r="AF55" s="509">
        <f>IF(OR(8&gt;$B$3,ISBLANK(Actuals!J70)),"",Budget!J70-Actuals!J70)</f>
        <v/>
      </c>
      <c r="AG55" s="509">
        <f>IFERROR(IF(OR(8&gt;$B$3,ISBLANK(Actuals!J70)),"",(Budget!J70-Actuals!J70)/ABS(Budget!J70)),"")</f>
        <v/>
      </c>
      <c r="AH55" s="508">
        <f>Budget!K70</f>
        <v/>
      </c>
      <c r="AI55" s="508">
        <f>IF(OR(9&gt;$B$3,ISBLANK(Actuals!K70)),"",Actuals!K70)</f>
        <v/>
      </c>
      <c r="AJ55" s="509">
        <f>IF(OR(9&gt;$B$3,ISBLANK(Actuals!K70)),"",Budget!K70-Actuals!K70)</f>
        <v/>
      </c>
      <c r="AK55" s="509">
        <f>IFERROR(IF(OR(9&gt;$B$3,ISBLANK(Actuals!K70)),"",(Budget!K70-Actuals!K70)/ABS(Budget!K70)),"")</f>
        <v/>
      </c>
      <c r="AL55" s="508">
        <f>Budget!L70</f>
        <v/>
      </c>
      <c r="AM55" s="508">
        <f>IF(OR(10&gt;$B$3,ISBLANK(Actuals!L70)),"",Actuals!L70)</f>
        <v/>
      </c>
      <c r="AN55" s="509">
        <f>IF(OR(10&gt;$B$3,ISBLANK(Actuals!L70)),"",Budget!L70-Actuals!L70)</f>
        <v/>
      </c>
      <c r="AO55" s="509">
        <f>IFERROR(IF(OR(10&gt;$B$3,ISBLANK(Actuals!L70)),"",(Budget!L70-Actuals!L70)/ABS(Budget!L70)),"")</f>
        <v/>
      </c>
      <c r="AP55" s="508">
        <f>Budget!M70</f>
        <v/>
      </c>
      <c r="AQ55" s="508">
        <f>IF(OR(11&gt;$B$3,ISBLANK(Actuals!M70)),"",Actuals!M70)</f>
        <v/>
      </c>
      <c r="AR55" s="509">
        <f>IF(OR(11&gt;$B$3,ISBLANK(Actuals!M70)),"",Budget!M70-Actuals!M70)</f>
        <v/>
      </c>
      <c r="AS55" s="509">
        <f>IFERROR(IF(OR(11&gt;$B$3,ISBLANK(Actuals!M70)),"",(Budget!M70-Actuals!M70)/ABS(Budget!M70)),"")</f>
        <v/>
      </c>
      <c r="AT55" s="508">
        <f>Budget!N70</f>
        <v/>
      </c>
      <c r="AU55" s="508">
        <f>IF(OR(12&gt;$B$3,ISBLANK(Actuals!N70)),"",Actuals!N70)</f>
        <v/>
      </c>
      <c r="AV55" s="509">
        <f>IF(OR(12&gt;$B$3,ISBLANK(Actuals!N70)),"",Budget!N70-Actuals!N70)</f>
        <v/>
      </c>
      <c r="AW55" s="509">
        <f>IFERROR(IF(OR(12&gt;$B$3,ISBLANK(Actuals!N70)),"",(Budget!N70-Actuals!N70)/ABS(Budget!N70)),"")</f>
        <v/>
      </c>
      <c r="AX55" s="510">
        <f>SUMPRODUCT((Actuals!C70:N70&lt;&gt;"")*(Budget!C70:N70))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Budget!C71</f>
        <v/>
      </c>
      <c r="C56" s="508">
        <f>IF(OR(1&gt;$B$3,ISBLANK(Actuals!C71)),"",Actuals!C71)</f>
        <v/>
      </c>
      <c r="D56" s="509">
        <f>IF(OR(1&gt;$B$3,ISBLANK(Actuals!C71)),"",Budget!C71-Actuals!C71)</f>
        <v/>
      </c>
      <c r="E56" s="509">
        <f>IFERROR(IF(OR(1&gt;$B$3,ISBLANK(Actuals!C71)),"",(Budget!C71-Actuals!C71)/ABS(Budget!C71)),"")</f>
        <v/>
      </c>
      <c r="F56" s="508">
        <f>Budget!D71</f>
        <v/>
      </c>
      <c r="G56" s="508">
        <f>IF(OR(2&gt;$B$3,ISBLANK(Actuals!D71)),"",Actuals!D71)</f>
        <v/>
      </c>
      <c r="H56" s="509">
        <f>IF(OR(2&gt;$B$3,ISBLANK(Actuals!D71)),"",Budget!D71-Actuals!D71)</f>
        <v/>
      </c>
      <c r="I56" s="509">
        <f>IFERROR(IF(OR(2&gt;$B$3,ISBLANK(Actuals!D71)),"",(Budget!D71-Actuals!D71)/ABS(Budget!D71)),"")</f>
        <v/>
      </c>
      <c r="J56" s="508">
        <f>Budget!E71</f>
        <v/>
      </c>
      <c r="K56" s="508">
        <f>IF(OR(3&gt;$B$3,ISBLANK(Actuals!E71)),"",Actuals!E71)</f>
        <v/>
      </c>
      <c r="L56" s="509">
        <f>IF(OR(3&gt;$B$3,ISBLANK(Actuals!E71)),"",Budget!E71-Actuals!E71)</f>
        <v/>
      </c>
      <c r="M56" s="509">
        <f>IFERROR(IF(OR(3&gt;$B$3,ISBLANK(Actuals!E71)),"",(Budget!E71-Actuals!E71)/ABS(Budget!E71)),"")</f>
        <v/>
      </c>
      <c r="N56" s="508">
        <f>Budget!F71</f>
        <v/>
      </c>
      <c r="O56" s="508">
        <f>IF(OR(4&gt;$B$3,ISBLANK(Actuals!F71)),"",Actuals!F71)</f>
        <v/>
      </c>
      <c r="P56" s="509">
        <f>IF(OR(4&gt;$B$3,ISBLANK(Actuals!F71)),"",Budget!F71-Actuals!F71)</f>
        <v/>
      </c>
      <c r="Q56" s="509">
        <f>IFERROR(IF(OR(4&gt;$B$3,ISBLANK(Actuals!F71)),"",(Budget!F71-Actuals!F71)/ABS(Budget!F71)),"")</f>
        <v/>
      </c>
      <c r="R56" s="508">
        <f>Budget!G71</f>
        <v/>
      </c>
      <c r="S56" s="508">
        <f>IF(OR(5&gt;$B$3,ISBLANK(Actuals!G71)),"",Actuals!G71)</f>
        <v/>
      </c>
      <c r="T56" s="509">
        <f>IF(OR(5&gt;$B$3,ISBLANK(Actuals!G71)),"",Budget!G71-Actuals!G71)</f>
        <v/>
      </c>
      <c r="U56" s="509">
        <f>IFERROR(IF(OR(5&gt;$B$3,ISBLANK(Actuals!G71)),"",(Budget!G71-Actuals!G71)/ABS(Budget!G71)),"")</f>
        <v/>
      </c>
      <c r="V56" s="508">
        <f>Budget!H71</f>
        <v/>
      </c>
      <c r="W56" s="508">
        <f>IF(OR(6&gt;$B$3,ISBLANK(Actuals!H71)),"",Actuals!H71)</f>
        <v/>
      </c>
      <c r="X56" s="509">
        <f>IF(OR(6&gt;$B$3,ISBLANK(Actuals!H71)),"",Budget!H71-Actuals!H71)</f>
        <v/>
      </c>
      <c r="Y56" s="509">
        <f>IFERROR(IF(OR(6&gt;$B$3,ISBLANK(Actuals!H71)),"",(Budget!H71-Actuals!H71)/ABS(Budget!H71)),"")</f>
        <v/>
      </c>
      <c r="Z56" s="508">
        <f>Budget!I71</f>
        <v/>
      </c>
      <c r="AA56" s="508">
        <f>IF(OR(7&gt;$B$3,ISBLANK(Actuals!I71)),"",Actuals!I71)</f>
        <v/>
      </c>
      <c r="AB56" s="509">
        <f>IF(OR(7&gt;$B$3,ISBLANK(Actuals!I71)),"",Budget!I71-Actuals!I71)</f>
        <v/>
      </c>
      <c r="AC56" s="509">
        <f>IFERROR(IF(OR(7&gt;$B$3,ISBLANK(Actuals!I71)),"",(Budget!I71-Actuals!I71)/ABS(Budget!I71)),"")</f>
        <v/>
      </c>
      <c r="AD56" s="508">
        <f>Budget!J71</f>
        <v/>
      </c>
      <c r="AE56" s="508">
        <f>IF(OR(8&gt;$B$3,ISBLANK(Actuals!J71)),"",Actuals!J71)</f>
        <v/>
      </c>
      <c r="AF56" s="509">
        <f>IF(OR(8&gt;$B$3,ISBLANK(Actuals!J71)),"",Budget!J71-Actuals!J71)</f>
        <v/>
      </c>
      <c r="AG56" s="509">
        <f>IFERROR(IF(OR(8&gt;$B$3,ISBLANK(Actuals!J71)),"",(Budget!J71-Actuals!J71)/ABS(Budget!J71)),"")</f>
        <v/>
      </c>
      <c r="AH56" s="508">
        <f>Budget!K71</f>
        <v/>
      </c>
      <c r="AI56" s="508">
        <f>IF(OR(9&gt;$B$3,ISBLANK(Actuals!K71)),"",Actuals!K71)</f>
        <v/>
      </c>
      <c r="AJ56" s="509">
        <f>IF(OR(9&gt;$B$3,ISBLANK(Actuals!K71)),"",Budget!K71-Actuals!K71)</f>
        <v/>
      </c>
      <c r="AK56" s="509">
        <f>IFERROR(IF(OR(9&gt;$B$3,ISBLANK(Actuals!K71)),"",(Budget!K71-Actuals!K71)/ABS(Budget!K71)),"")</f>
        <v/>
      </c>
      <c r="AL56" s="508">
        <f>Budget!L71</f>
        <v/>
      </c>
      <c r="AM56" s="508">
        <f>IF(OR(10&gt;$B$3,ISBLANK(Actuals!L71)),"",Actuals!L71)</f>
        <v/>
      </c>
      <c r="AN56" s="509">
        <f>IF(OR(10&gt;$B$3,ISBLANK(Actuals!L71)),"",Budget!L71-Actuals!L71)</f>
        <v/>
      </c>
      <c r="AO56" s="509">
        <f>IFERROR(IF(OR(10&gt;$B$3,ISBLANK(Actuals!L71)),"",(Budget!L71-Actuals!L71)/ABS(Budget!L71)),"")</f>
        <v/>
      </c>
      <c r="AP56" s="508">
        <f>Budget!M71</f>
        <v/>
      </c>
      <c r="AQ56" s="508">
        <f>IF(OR(11&gt;$B$3,ISBLANK(Actuals!M71)),"",Actuals!M71)</f>
        <v/>
      </c>
      <c r="AR56" s="509">
        <f>IF(OR(11&gt;$B$3,ISBLANK(Actuals!M71)),"",Budget!M71-Actuals!M71)</f>
        <v/>
      </c>
      <c r="AS56" s="509">
        <f>IFERROR(IF(OR(11&gt;$B$3,ISBLANK(Actuals!M71)),"",(Budget!M71-Actuals!M71)/ABS(Budget!M71)),"")</f>
        <v/>
      </c>
      <c r="AT56" s="508">
        <f>Budget!N71</f>
        <v/>
      </c>
      <c r="AU56" s="508">
        <f>IF(OR(12&gt;$B$3,ISBLANK(Actuals!N71)),"",Actuals!N71)</f>
        <v/>
      </c>
      <c r="AV56" s="509">
        <f>IF(OR(12&gt;$B$3,ISBLANK(Actuals!N71)),"",Budget!N71-Actuals!N71)</f>
        <v/>
      </c>
      <c r="AW56" s="509">
        <f>IFERROR(IF(OR(12&gt;$B$3,ISBLANK(Actuals!N71)),"",(Budget!N71-Actuals!N71)/ABS(Budget!N71)),"")</f>
        <v/>
      </c>
      <c r="AX56" s="510">
        <f>SUMPRODUCT((Actuals!C71:N71&lt;&gt;"")*(Budget!C71:N71))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Budget!C72</f>
        <v/>
      </c>
      <c r="C57" s="508">
        <f>IF(OR(1&gt;$B$3,ISBLANK(Actuals!C72)),"",Actuals!C72)</f>
        <v/>
      </c>
      <c r="D57" s="509">
        <f>IF(OR(1&gt;$B$3,ISBLANK(Actuals!C72)),"",Budget!C72-Actuals!C72)</f>
        <v/>
      </c>
      <c r="E57" s="509">
        <f>IFERROR(IF(OR(1&gt;$B$3,ISBLANK(Actuals!C72)),"",(Budget!C72-Actuals!C72)/ABS(Budget!C72)),"")</f>
        <v/>
      </c>
      <c r="F57" s="508">
        <f>Budget!D72</f>
        <v/>
      </c>
      <c r="G57" s="508">
        <f>IF(OR(2&gt;$B$3,ISBLANK(Actuals!D72)),"",Actuals!D72)</f>
        <v/>
      </c>
      <c r="H57" s="509">
        <f>IF(OR(2&gt;$B$3,ISBLANK(Actuals!D72)),"",Budget!D72-Actuals!D72)</f>
        <v/>
      </c>
      <c r="I57" s="509">
        <f>IFERROR(IF(OR(2&gt;$B$3,ISBLANK(Actuals!D72)),"",(Budget!D72-Actuals!D72)/ABS(Budget!D72)),"")</f>
        <v/>
      </c>
      <c r="J57" s="508">
        <f>Budget!E72</f>
        <v/>
      </c>
      <c r="K57" s="508">
        <f>IF(OR(3&gt;$B$3,ISBLANK(Actuals!E72)),"",Actuals!E72)</f>
        <v/>
      </c>
      <c r="L57" s="509">
        <f>IF(OR(3&gt;$B$3,ISBLANK(Actuals!E72)),"",Budget!E72-Actuals!E72)</f>
        <v/>
      </c>
      <c r="M57" s="509">
        <f>IFERROR(IF(OR(3&gt;$B$3,ISBLANK(Actuals!E72)),"",(Budget!E72-Actuals!E72)/ABS(Budget!E72)),"")</f>
        <v/>
      </c>
      <c r="N57" s="508">
        <f>Budget!F72</f>
        <v/>
      </c>
      <c r="O57" s="508">
        <f>IF(OR(4&gt;$B$3,ISBLANK(Actuals!F72)),"",Actuals!F72)</f>
        <v/>
      </c>
      <c r="P57" s="509">
        <f>IF(OR(4&gt;$B$3,ISBLANK(Actuals!F72)),"",Budget!F72-Actuals!F72)</f>
        <v/>
      </c>
      <c r="Q57" s="509">
        <f>IFERROR(IF(OR(4&gt;$B$3,ISBLANK(Actuals!F72)),"",(Budget!F72-Actuals!F72)/ABS(Budget!F72)),"")</f>
        <v/>
      </c>
      <c r="R57" s="508">
        <f>Budget!G72</f>
        <v/>
      </c>
      <c r="S57" s="508">
        <f>IF(OR(5&gt;$B$3,ISBLANK(Actuals!G72)),"",Actuals!G72)</f>
        <v/>
      </c>
      <c r="T57" s="509">
        <f>IF(OR(5&gt;$B$3,ISBLANK(Actuals!G72)),"",Budget!G72-Actuals!G72)</f>
        <v/>
      </c>
      <c r="U57" s="509">
        <f>IFERROR(IF(OR(5&gt;$B$3,ISBLANK(Actuals!G72)),"",(Budget!G72-Actuals!G72)/ABS(Budget!G72)),"")</f>
        <v/>
      </c>
      <c r="V57" s="508">
        <f>Budget!H72</f>
        <v/>
      </c>
      <c r="W57" s="508">
        <f>IF(OR(6&gt;$B$3,ISBLANK(Actuals!H72)),"",Actuals!H72)</f>
        <v/>
      </c>
      <c r="X57" s="509">
        <f>IF(OR(6&gt;$B$3,ISBLANK(Actuals!H72)),"",Budget!H72-Actuals!H72)</f>
        <v/>
      </c>
      <c r="Y57" s="509">
        <f>IFERROR(IF(OR(6&gt;$B$3,ISBLANK(Actuals!H72)),"",(Budget!H72-Actuals!H72)/ABS(Budget!H72)),"")</f>
        <v/>
      </c>
      <c r="Z57" s="508">
        <f>Budget!I72</f>
        <v/>
      </c>
      <c r="AA57" s="508">
        <f>IF(OR(7&gt;$B$3,ISBLANK(Actuals!I72)),"",Actuals!I72)</f>
        <v/>
      </c>
      <c r="AB57" s="509">
        <f>IF(OR(7&gt;$B$3,ISBLANK(Actuals!I72)),"",Budget!I72-Actuals!I72)</f>
        <v/>
      </c>
      <c r="AC57" s="509">
        <f>IFERROR(IF(OR(7&gt;$B$3,ISBLANK(Actuals!I72)),"",(Budget!I72-Actuals!I72)/ABS(Budget!I72)),"")</f>
        <v/>
      </c>
      <c r="AD57" s="508">
        <f>Budget!J72</f>
        <v/>
      </c>
      <c r="AE57" s="508">
        <f>IF(OR(8&gt;$B$3,ISBLANK(Actuals!J72)),"",Actuals!J72)</f>
        <v/>
      </c>
      <c r="AF57" s="509">
        <f>IF(OR(8&gt;$B$3,ISBLANK(Actuals!J72)),"",Budget!J72-Actuals!J72)</f>
        <v/>
      </c>
      <c r="AG57" s="509">
        <f>IFERROR(IF(OR(8&gt;$B$3,ISBLANK(Actuals!J72)),"",(Budget!J72-Actuals!J72)/ABS(Budget!J72)),"")</f>
        <v/>
      </c>
      <c r="AH57" s="508">
        <f>Budget!K72</f>
        <v/>
      </c>
      <c r="AI57" s="508">
        <f>IF(OR(9&gt;$B$3,ISBLANK(Actuals!K72)),"",Actuals!K72)</f>
        <v/>
      </c>
      <c r="AJ57" s="509">
        <f>IF(OR(9&gt;$B$3,ISBLANK(Actuals!K72)),"",Budget!K72-Actuals!K72)</f>
        <v/>
      </c>
      <c r="AK57" s="509">
        <f>IFERROR(IF(OR(9&gt;$B$3,ISBLANK(Actuals!K72)),"",(Budget!K72-Actuals!K72)/ABS(Budget!K72)),"")</f>
        <v/>
      </c>
      <c r="AL57" s="508">
        <f>Budget!L72</f>
        <v/>
      </c>
      <c r="AM57" s="508">
        <f>IF(OR(10&gt;$B$3,ISBLANK(Actuals!L72)),"",Actuals!L72)</f>
        <v/>
      </c>
      <c r="AN57" s="509">
        <f>IF(OR(10&gt;$B$3,ISBLANK(Actuals!L72)),"",Budget!L72-Actuals!L72)</f>
        <v/>
      </c>
      <c r="AO57" s="509">
        <f>IFERROR(IF(OR(10&gt;$B$3,ISBLANK(Actuals!L72)),"",(Budget!L72-Actuals!L72)/ABS(Budget!L72)),"")</f>
        <v/>
      </c>
      <c r="AP57" s="508">
        <f>Budget!M72</f>
        <v/>
      </c>
      <c r="AQ57" s="508">
        <f>IF(OR(11&gt;$B$3,ISBLANK(Actuals!M72)),"",Actuals!M72)</f>
        <v/>
      </c>
      <c r="AR57" s="509">
        <f>IF(OR(11&gt;$B$3,ISBLANK(Actuals!M72)),"",Budget!M72-Actuals!M72)</f>
        <v/>
      </c>
      <c r="AS57" s="509">
        <f>IFERROR(IF(OR(11&gt;$B$3,ISBLANK(Actuals!M72)),"",(Budget!M72-Actuals!M72)/ABS(Budget!M72)),"")</f>
        <v/>
      </c>
      <c r="AT57" s="508">
        <f>Budget!N72</f>
        <v/>
      </c>
      <c r="AU57" s="508">
        <f>IF(OR(12&gt;$B$3,ISBLANK(Actuals!N72)),"",Actuals!N72)</f>
        <v/>
      </c>
      <c r="AV57" s="509">
        <f>IF(OR(12&gt;$B$3,ISBLANK(Actuals!N72)),"",Budget!N72-Actuals!N72)</f>
        <v/>
      </c>
      <c r="AW57" s="509">
        <f>IFERROR(IF(OR(12&gt;$B$3,ISBLANK(Actuals!N72)),"",(Budget!N72-Actuals!N72)/ABS(Budget!N72)),"")</f>
        <v/>
      </c>
      <c r="AX57" s="510">
        <f>SUMPRODUCT((Actuals!C72:N72&lt;&gt;"")*(Budget!C72:N72))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Budget!C73</f>
        <v/>
      </c>
      <c r="C58" s="508">
        <f>IF(OR(1&gt;$B$3,ISBLANK(Actuals!C73)),"",Actuals!C73)</f>
        <v/>
      </c>
      <c r="D58" s="509">
        <f>IF(OR(1&gt;$B$3,ISBLANK(Actuals!C73)),"",Budget!C73-Actuals!C73)</f>
        <v/>
      </c>
      <c r="E58" s="509">
        <f>IFERROR(IF(OR(1&gt;$B$3,ISBLANK(Actuals!C73)),"",(Budget!C73-Actuals!C73)/ABS(Budget!C73)),"")</f>
        <v/>
      </c>
      <c r="F58" s="508">
        <f>Budget!D73</f>
        <v/>
      </c>
      <c r="G58" s="508">
        <f>IF(OR(2&gt;$B$3,ISBLANK(Actuals!D73)),"",Actuals!D73)</f>
        <v/>
      </c>
      <c r="H58" s="509">
        <f>IF(OR(2&gt;$B$3,ISBLANK(Actuals!D73)),"",Budget!D73-Actuals!D73)</f>
        <v/>
      </c>
      <c r="I58" s="509">
        <f>IFERROR(IF(OR(2&gt;$B$3,ISBLANK(Actuals!D73)),"",(Budget!D73-Actuals!D73)/ABS(Budget!D73)),"")</f>
        <v/>
      </c>
      <c r="J58" s="508">
        <f>Budget!E73</f>
        <v/>
      </c>
      <c r="K58" s="508">
        <f>IF(OR(3&gt;$B$3,ISBLANK(Actuals!E73)),"",Actuals!E73)</f>
        <v/>
      </c>
      <c r="L58" s="509">
        <f>IF(OR(3&gt;$B$3,ISBLANK(Actuals!E73)),"",Budget!E73-Actuals!E73)</f>
        <v/>
      </c>
      <c r="M58" s="509">
        <f>IFERROR(IF(OR(3&gt;$B$3,ISBLANK(Actuals!E73)),"",(Budget!E73-Actuals!E73)/ABS(Budget!E73)),"")</f>
        <v/>
      </c>
      <c r="N58" s="508">
        <f>Budget!F73</f>
        <v/>
      </c>
      <c r="O58" s="508">
        <f>IF(OR(4&gt;$B$3,ISBLANK(Actuals!F73)),"",Actuals!F73)</f>
        <v/>
      </c>
      <c r="P58" s="509">
        <f>IF(OR(4&gt;$B$3,ISBLANK(Actuals!F73)),"",Budget!F73-Actuals!F73)</f>
        <v/>
      </c>
      <c r="Q58" s="509">
        <f>IFERROR(IF(OR(4&gt;$B$3,ISBLANK(Actuals!F73)),"",(Budget!F73-Actuals!F73)/ABS(Budget!F73)),"")</f>
        <v/>
      </c>
      <c r="R58" s="508">
        <f>Budget!G73</f>
        <v/>
      </c>
      <c r="S58" s="508">
        <f>IF(OR(5&gt;$B$3,ISBLANK(Actuals!G73)),"",Actuals!G73)</f>
        <v/>
      </c>
      <c r="T58" s="509">
        <f>IF(OR(5&gt;$B$3,ISBLANK(Actuals!G73)),"",Budget!G73-Actuals!G73)</f>
        <v/>
      </c>
      <c r="U58" s="509">
        <f>IFERROR(IF(OR(5&gt;$B$3,ISBLANK(Actuals!G73)),"",(Budget!G73-Actuals!G73)/ABS(Budget!G73)),"")</f>
        <v/>
      </c>
      <c r="V58" s="508">
        <f>Budget!H73</f>
        <v/>
      </c>
      <c r="W58" s="508">
        <f>IF(OR(6&gt;$B$3,ISBLANK(Actuals!H73)),"",Actuals!H73)</f>
        <v/>
      </c>
      <c r="X58" s="509">
        <f>IF(OR(6&gt;$B$3,ISBLANK(Actuals!H73)),"",Budget!H73-Actuals!H73)</f>
        <v/>
      </c>
      <c r="Y58" s="509">
        <f>IFERROR(IF(OR(6&gt;$B$3,ISBLANK(Actuals!H73)),"",(Budget!H73-Actuals!H73)/ABS(Budget!H73)),"")</f>
        <v/>
      </c>
      <c r="Z58" s="508">
        <f>Budget!I73</f>
        <v/>
      </c>
      <c r="AA58" s="508">
        <f>IF(OR(7&gt;$B$3,ISBLANK(Actuals!I73)),"",Actuals!I73)</f>
        <v/>
      </c>
      <c r="AB58" s="509">
        <f>IF(OR(7&gt;$B$3,ISBLANK(Actuals!I73)),"",Budget!I73-Actuals!I73)</f>
        <v/>
      </c>
      <c r="AC58" s="509">
        <f>IFERROR(IF(OR(7&gt;$B$3,ISBLANK(Actuals!I73)),"",(Budget!I73-Actuals!I73)/ABS(Budget!I73)),"")</f>
        <v/>
      </c>
      <c r="AD58" s="508">
        <f>Budget!J73</f>
        <v/>
      </c>
      <c r="AE58" s="508">
        <f>IF(OR(8&gt;$B$3,ISBLANK(Actuals!J73)),"",Actuals!J73)</f>
        <v/>
      </c>
      <c r="AF58" s="509">
        <f>IF(OR(8&gt;$B$3,ISBLANK(Actuals!J73)),"",Budget!J73-Actuals!J73)</f>
        <v/>
      </c>
      <c r="AG58" s="509">
        <f>IFERROR(IF(OR(8&gt;$B$3,ISBLANK(Actuals!J73)),"",(Budget!J73-Actuals!J73)/ABS(Budget!J73)),"")</f>
        <v/>
      </c>
      <c r="AH58" s="508">
        <f>Budget!K73</f>
        <v/>
      </c>
      <c r="AI58" s="508">
        <f>IF(OR(9&gt;$B$3,ISBLANK(Actuals!K73)),"",Actuals!K73)</f>
        <v/>
      </c>
      <c r="AJ58" s="509">
        <f>IF(OR(9&gt;$B$3,ISBLANK(Actuals!K73)),"",Budget!K73-Actuals!K73)</f>
        <v/>
      </c>
      <c r="AK58" s="509">
        <f>IFERROR(IF(OR(9&gt;$B$3,ISBLANK(Actuals!K73)),"",(Budget!K73-Actuals!K73)/ABS(Budget!K73)),"")</f>
        <v/>
      </c>
      <c r="AL58" s="508">
        <f>Budget!L73</f>
        <v/>
      </c>
      <c r="AM58" s="508">
        <f>IF(OR(10&gt;$B$3,ISBLANK(Actuals!L73)),"",Actuals!L73)</f>
        <v/>
      </c>
      <c r="AN58" s="509">
        <f>IF(OR(10&gt;$B$3,ISBLANK(Actuals!L73)),"",Budget!L73-Actuals!L73)</f>
        <v/>
      </c>
      <c r="AO58" s="509">
        <f>IFERROR(IF(OR(10&gt;$B$3,ISBLANK(Actuals!L73)),"",(Budget!L73-Actuals!L73)/ABS(Budget!L73)),"")</f>
        <v/>
      </c>
      <c r="AP58" s="508">
        <f>Budget!M73</f>
        <v/>
      </c>
      <c r="AQ58" s="508">
        <f>IF(OR(11&gt;$B$3,ISBLANK(Actuals!M73)),"",Actuals!M73)</f>
        <v/>
      </c>
      <c r="AR58" s="509">
        <f>IF(OR(11&gt;$B$3,ISBLANK(Actuals!M73)),"",Budget!M73-Actuals!M73)</f>
        <v/>
      </c>
      <c r="AS58" s="509">
        <f>IFERROR(IF(OR(11&gt;$B$3,ISBLANK(Actuals!M73)),"",(Budget!M73-Actuals!M73)/ABS(Budget!M73)),"")</f>
        <v/>
      </c>
      <c r="AT58" s="508">
        <f>Budget!N73</f>
        <v/>
      </c>
      <c r="AU58" s="508">
        <f>IF(OR(12&gt;$B$3,ISBLANK(Actuals!N73)),"",Actuals!N73)</f>
        <v/>
      </c>
      <c r="AV58" s="509">
        <f>IF(OR(12&gt;$B$3,ISBLANK(Actuals!N73)),"",Budget!N73-Actuals!N73)</f>
        <v/>
      </c>
      <c r="AW58" s="509">
        <f>IFERROR(IF(OR(12&gt;$B$3,ISBLANK(Actuals!N73)),"",(Budget!N73-Actuals!N73)/ABS(Budget!N73)),"")</f>
        <v/>
      </c>
      <c r="AX58" s="510">
        <f>SUMPRODUCT((Actuals!C73:N73&lt;&gt;"")*(Budget!C73:N73))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Budget!C74</f>
        <v/>
      </c>
      <c r="C59" s="508">
        <f>IF(OR(1&gt;$B$3,ISBLANK(Actuals!C74)),"",Actuals!C74)</f>
        <v/>
      </c>
      <c r="D59" s="509">
        <f>IF(OR(1&gt;$B$3,ISBLANK(Actuals!C74)),"",Budget!C74-Actuals!C74)</f>
        <v/>
      </c>
      <c r="E59" s="509">
        <f>IFERROR(IF(OR(1&gt;$B$3,ISBLANK(Actuals!C74)),"",(Budget!C74-Actuals!C74)/ABS(Budget!C74)),"")</f>
        <v/>
      </c>
      <c r="F59" s="508">
        <f>Budget!D74</f>
        <v/>
      </c>
      <c r="G59" s="508">
        <f>IF(OR(2&gt;$B$3,ISBLANK(Actuals!D74)),"",Actuals!D74)</f>
        <v/>
      </c>
      <c r="H59" s="509">
        <f>IF(OR(2&gt;$B$3,ISBLANK(Actuals!D74)),"",Budget!D74-Actuals!D74)</f>
        <v/>
      </c>
      <c r="I59" s="509">
        <f>IFERROR(IF(OR(2&gt;$B$3,ISBLANK(Actuals!D74)),"",(Budget!D74-Actuals!D74)/ABS(Budget!D74)),"")</f>
        <v/>
      </c>
      <c r="J59" s="508">
        <f>Budget!E74</f>
        <v/>
      </c>
      <c r="K59" s="508">
        <f>IF(OR(3&gt;$B$3,ISBLANK(Actuals!E74)),"",Actuals!E74)</f>
        <v/>
      </c>
      <c r="L59" s="509">
        <f>IF(OR(3&gt;$B$3,ISBLANK(Actuals!E74)),"",Budget!E74-Actuals!E74)</f>
        <v/>
      </c>
      <c r="M59" s="509">
        <f>IFERROR(IF(OR(3&gt;$B$3,ISBLANK(Actuals!E74)),"",(Budget!E74-Actuals!E74)/ABS(Budget!E74)),"")</f>
        <v/>
      </c>
      <c r="N59" s="508">
        <f>Budget!F74</f>
        <v/>
      </c>
      <c r="O59" s="508">
        <f>IF(OR(4&gt;$B$3,ISBLANK(Actuals!F74)),"",Actuals!F74)</f>
        <v/>
      </c>
      <c r="P59" s="509">
        <f>IF(OR(4&gt;$B$3,ISBLANK(Actuals!F74)),"",Budget!F74-Actuals!F74)</f>
        <v/>
      </c>
      <c r="Q59" s="509">
        <f>IFERROR(IF(OR(4&gt;$B$3,ISBLANK(Actuals!F74)),"",(Budget!F74-Actuals!F74)/ABS(Budget!F74)),"")</f>
        <v/>
      </c>
      <c r="R59" s="508">
        <f>Budget!G74</f>
        <v/>
      </c>
      <c r="S59" s="508">
        <f>IF(OR(5&gt;$B$3,ISBLANK(Actuals!G74)),"",Actuals!G74)</f>
        <v/>
      </c>
      <c r="T59" s="509">
        <f>IF(OR(5&gt;$B$3,ISBLANK(Actuals!G74)),"",Budget!G74-Actuals!G74)</f>
        <v/>
      </c>
      <c r="U59" s="509">
        <f>IFERROR(IF(OR(5&gt;$B$3,ISBLANK(Actuals!G74)),"",(Budget!G74-Actuals!G74)/ABS(Budget!G74)),"")</f>
        <v/>
      </c>
      <c r="V59" s="508">
        <f>Budget!H74</f>
        <v/>
      </c>
      <c r="W59" s="508">
        <f>IF(OR(6&gt;$B$3,ISBLANK(Actuals!H74)),"",Actuals!H74)</f>
        <v/>
      </c>
      <c r="X59" s="509">
        <f>IF(OR(6&gt;$B$3,ISBLANK(Actuals!H74)),"",Budget!H74-Actuals!H74)</f>
        <v/>
      </c>
      <c r="Y59" s="509">
        <f>IFERROR(IF(OR(6&gt;$B$3,ISBLANK(Actuals!H74)),"",(Budget!H74-Actuals!H74)/ABS(Budget!H74)),"")</f>
        <v/>
      </c>
      <c r="Z59" s="508">
        <f>Budget!I74</f>
        <v/>
      </c>
      <c r="AA59" s="508">
        <f>IF(OR(7&gt;$B$3,ISBLANK(Actuals!I74)),"",Actuals!I74)</f>
        <v/>
      </c>
      <c r="AB59" s="509">
        <f>IF(OR(7&gt;$B$3,ISBLANK(Actuals!I74)),"",Budget!I74-Actuals!I74)</f>
        <v/>
      </c>
      <c r="AC59" s="509">
        <f>IFERROR(IF(OR(7&gt;$B$3,ISBLANK(Actuals!I74)),"",(Budget!I74-Actuals!I74)/ABS(Budget!I74)),"")</f>
        <v/>
      </c>
      <c r="AD59" s="508">
        <f>Budget!J74</f>
        <v/>
      </c>
      <c r="AE59" s="508">
        <f>IF(OR(8&gt;$B$3,ISBLANK(Actuals!J74)),"",Actuals!J74)</f>
        <v/>
      </c>
      <c r="AF59" s="509">
        <f>IF(OR(8&gt;$B$3,ISBLANK(Actuals!J74)),"",Budget!J74-Actuals!J74)</f>
        <v/>
      </c>
      <c r="AG59" s="509">
        <f>IFERROR(IF(OR(8&gt;$B$3,ISBLANK(Actuals!J74)),"",(Budget!J74-Actuals!J74)/ABS(Budget!J74)),"")</f>
        <v/>
      </c>
      <c r="AH59" s="508">
        <f>Budget!K74</f>
        <v/>
      </c>
      <c r="AI59" s="508">
        <f>IF(OR(9&gt;$B$3,ISBLANK(Actuals!K74)),"",Actuals!K74)</f>
        <v/>
      </c>
      <c r="AJ59" s="509">
        <f>IF(OR(9&gt;$B$3,ISBLANK(Actuals!K74)),"",Budget!K74-Actuals!K74)</f>
        <v/>
      </c>
      <c r="AK59" s="509">
        <f>IFERROR(IF(OR(9&gt;$B$3,ISBLANK(Actuals!K74)),"",(Budget!K74-Actuals!K74)/ABS(Budget!K74)),"")</f>
        <v/>
      </c>
      <c r="AL59" s="508">
        <f>Budget!L74</f>
        <v/>
      </c>
      <c r="AM59" s="508">
        <f>IF(OR(10&gt;$B$3,ISBLANK(Actuals!L74)),"",Actuals!L74)</f>
        <v/>
      </c>
      <c r="AN59" s="509">
        <f>IF(OR(10&gt;$B$3,ISBLANK(Actuals!L74)),"",Budget!L74-Actuals!L74)</f>
        <v/>
      </c>
      <c r="AO59" s="509">
        <f>IFERROR(IF(OR(10&gt;$B$3,ISBLANK(Actuals!L74)),"",(Budget!L74-Actuals!L74)/ABS(Budget!L74)),"")</f>
        <v/>
      </c>
      <c r="AP59" s="508">
        <f>Budget!M74</f>
        <v/>
      </c>
      <c r="AQ59" s="508">
        <f>IF(OR(11&gt;$B$3,ISBLANK(Actuals!M74)),"",Actuals!M74)</f>
        <v/>
      </c>
      <c r="AR59" s="509">
        <f>IF(OR(11&gt;$B$3,ISBLANK(Actuals!M74)),"",Budget!M74-Actuals!M74)</f>
        <v/>
      </c>
      <c r="AS59" s="509">
        <f>IFERROR(IF(OR(11&gt;$B$3,ISBLANK(Actuals!M74)),"",(Budget!M74-Actuals!M74)/ABS(Budget!M74)),"")</f>
        <v/>
      </c>
      <c r="AT59" s="508">
        <f>Budget!N74</f>
        <v/>
      </c>
      <c r="AU59" s="508">
        <f>IF(OR(12&gt;$B$3,ISBLANK(Actuals!N74)),"",Actuals!N74)</f>
        <v/>
      </c>
      <c r="AV59" s="509">
        <f>IF(OR(12&gt;$B$3,ISBLANK(Actuals!N74)),"",Budget!N74-Actuals!N74)</f>
        <v/>
      </c>
      <c r="AW59" s="509">
        <f>IFERROR(IF(OR(12&gt;$B$3,ISBLANK(Actuals!N74)),"",(Budget!N74-Actuals!N74)/ABS(Budget!N74)),"")</f>
        <v/>
      </c>
      <c r="AX59" s="510">
        <f>SUMPRODUCT((Actuals!C74:N74&lt;&gt;"")*(Budget!C74:N74))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Budget!C75</f>
        <v/>
      </c>
      <c r="C60" s="508">
        <f>IF(OR(1&gt;$B$3,ISBLANK(Actuals!C75)),"",Actuals!C75)</f>
        <v/>
      </c>
      <c r="D60" s="509">
        <f>IF(OR(1&gt;$B$3,ISBLANK(Actuals!C75)),"",Budget!C75-Actuals!C75)</f>
        <v/>
      </c>
      <c r="E60" s="509">
        <f>IFERROR(IF(OR(1&gt;$B$3,ISBLANK(Actuals!C75)),"",(Budget!C75-Actuals!C75)/ABS(Budget!C75)),"")</f>
        <v/>
      </c>
      <c r="F60" s="508">
        <f>Budget!D75</f>
        <v/>
      </c>
      <c r="G60" s="508">
        <f>IF(OR(2&gt;$B$3,ISBLANK(Actuals!D75)),"",Actuals!D75)</f>
        <v/>
      </c>
      <c r="H60" s="509">
        <f>IF(OR(2&gt;$B$3,ISBLANK(Actuals!D75)),"",Budget!D75-Actuals!D75)</f>
        <v/>
      </c>
      <c r="I60" s="509">
        <f>IFERROR(IF(OR(2&gt;$B$3,ISBLANK(Actuals!D75)),"",(Budget!D75-Actuals!D75)/ABS(Budget!D75)),"")</f>
        <v/>
      </c>
      <c r="J60" s="508">
        <f>Budget!E75</f>
        <v/>
      </c>
      <c r="K60" s="508">
        <f>IF(OR(3&gt;$B$3,ISBLANK(Actuals!E75)),"",Actuals!E75)</f>
        <v/>
      </c>
      <c r="L60" s="509">
        <f>IF(OR(3&gt;$B$3,ISBLANK(Actuals!E75)),"",Budget!E75-Actuals!E75)</f>
        <v/>
      </c>
      <c r="M60" s="509">
        <f>IFERROR(IF(OR(3&gt;$B$3,ISBLANK(Actuals!E75)),"",(Budget!E75-Actuals!E75)/ABS(Budget!E75)),"")</f>
        <v/>
      </c>
      <c r="N60" s="508">
        <f>Budget!F75</f>
        <v/>
      </c>
      <c r="O60" s="508">
        <f>IF(OR(4&gt;$B$3,ISBLANK(Actuals!F75)),"",Actuals!F75)</f>
        <v/>
      </c>
      <c r="P60" s="509">
        <f>IF(OR(4&gt;$B$3,ISBLANK(Actuals!F75)),"",Budget!F75-Actuals!F75)</f>
        <v/>
      </c>
      <c r="Q60" s="509">
        <f>IFERROR(IF(OR(4&gt;$B$3,ISBLANK(Actuals!F75)),"",(Budget!F75-Actuals!F75)/ABS(Budget!F75)),"")</f>
        <v/>
      </c>
      <c r="R60" s="508">
        <f>Budget!G75</f>
        <v/>
      </c>
      <c r="S60" s="508">
        <f>IF(OR(5&gt;$B$3,ISBLANK(Actuals!G75)),"",Actuals!G75)</f>
        <v/>
      </c>
      <c r="T60" s="509">
        <f>IF(OR(5&gt;$B$3,ISBLANK(Actuals!G75)),"",Budget!G75-Actuals!G75)</f>
        <v/>
      </c>
      <c r="U60" s="509">
        <f>IFERROR(IF(OR(5&gt;$B$3,ISBLANK(Actuals!G75)),"",(Budget!G75-Actuals!G75)/ABS(Budget!G75)),"")</f>
        <v/>
      </c>
      <c r="V60" s="508">
        <f>Budget!H75</f>
        <v/>
      </c>
      <c r="W60" s="508">
        <f>IF(OR(6&gt;$B$3,ISBLANK(Actuals!H75)),"",Actuals!H75)</f>
        <v/>
      </c>
      <c r="X60" s="509">
        <f>IF(OR(6&gt;$B$3,ISBLANK(Actuals!H75)),"",Budget!H75-Actuals!H75)</f>
        <v/>
      </c>
      <c r="Y60" s="509">
        <f>IFERROR(IF(OR(6&gt;$B$3,ISBLANK(Actuals!H75)),"",(Budget!H75-Actuals!H75)/ABS(Budget!H75)),"")</f>
        <v/>
      </c>
      <c r="Z60" s="508">
        <f>Budget!I75</f>
        <v/>
      </c>
      <c r="AA60" s="508">
        <f>IF(OR(7&gt;$B$3,ISBLANK(Actuals!I75)),"",Actuals!I75)</f>
        <v/>
      </c>
      <c r="AB60" s="509">
        <f>IF(OR(7&gt;$B$3,ISBLANK(Actuals!I75)),"",Budget!I75-Actuals!I75)</f>
        <v/>
      </c>
      <c r="AC60" s="509">
        <f>IFERROR(IF(OR(7&gt;$B$3,ISBLANK(Actuals!I75)),"",(Budget!I75-Actuals!I75)/ABS(Budget!I75)),"")</f>
        <v/>
      </c>
      <c r="AD60" s="508">
        <f>Budget!J75</f>
        <v/>
      </c>
      <c r="AE60" s="508">
        <f>IF(OR(8&gt;$B$3,ISBLANK(Actuals!J75)),"",Actuals!J75)</f>
        <v/>
      </c>
      <c r="AF60" s="509">
        <f>IF(OR(8&gt;$B$3,ISBLANK(Actuals!J75)),"",Budget!J75-Actuals!J75)</f>
        <v/>
      </c>
      <c r="AG60" s="509">
        <f>IFERROR(IF(OR(8&gt;$B$3,ISBLANK(Actuals!J75)),"",(Budget!J75-Actuals!J75)/ABS(Budget!J75)),"")</f>
        <v/>
      </c>
      <c r="AH60" s="508">
        <f>Budget!K75</f>
        <v/>
      </c>
      <c r="AI60" s="508">
        <f>IF(OR(9&gt;$B$3,ISBLANK(Actuals!K75)),"",Actuals!K75)</f>
        <v/>
      </c>
      <c r="AJ60" s="509">
        <f>IF(OR(9&gt;$B$3,ISBLANK(Actuals!K75)),"",Budget!K75-Actuals!K75)</f>
        <v/>
      </c>
      <c r="AK60" s="509">
        <f>IFERROR(IF(OR(9&gt;$B$3,ISBLANK(Actuals!K75)),"",(Budget!K75-Actuals!K75)/ABS(Budget!K75)),"")</f>
        <v/>
      </c>
      <c r="AL60" s="508">
        <f>Budget!L75</f>
        <v/>
      </c>
      <c r="AM60" s="508">
        <f>IF(OR(10&gt;$B$3,ISBLANK(Actuals!L75)),"",Actuals!L75)</f>
        <v/>
      </c>
      <c r="AN60" s="509">
        <f>IF(OR(10&gt;$B$3,ISBLANK(Actuals!L75)),"",Budget!L75-Actuals!L75)</f>
        <v/>
      </c>
      <c r="AO60" s="509">
        <f>IFERROR(IF(OR(10&gt;$B$3,ISBLANK(Actuals!L75)),"",(Budget!L75-Actuals!L75)/ABS(Budget!L75)),"")</f>
        <v/>
      </c>
      <c r="AP60" s="508">
        <f>Budget!M75</f>
        <v/>
      </c>
      <c r="AQ60" s="508">
        <f>IF(OR(11&gt;$B$3,ISBLANK(Actuals!M75)),"",Actuals!M75)</f>
        <v/>
      </c>
      <c r="AR60" s="509">
        <f>IF(OR(11&gt;$B$3,ISBLANK(Actuals!M75)),"",Budget!M75-Actuals!M75)</f>
        <v/>
      </c>
      <c r="AS60" s="509">
        <f>IFERROR(IF(OR(11&gt;$B$3,ISBLANK(Actuals!M75)),"",(Budget!M75-Actuals!M75)/ABS(Budget!M75)),"")</f>
        <v/>
      </c>
      <c r="AT60" s="508">
        <f>Budget!N75</f>
        <v/>
      </c>
      <c r="AU60" s="508">
        <f>IF(OR(12&gt;$B$3,ISBLANK(Actuals!N75)),"",Actuals!N75)</f>
        <v/>
      </c>
      <c r="AV60" s="509">
        <f>IF(OR(12&gt;$B$3,ISBLANK(Actuals!N75)),"",Budget!N75-Actuals!N75)</f>
        <v/>
      </c>
      <c r="AW60" s="509">
        <f>IFERROR(IF(OR(12&gt;$B$3,ISBLANK(Actuals!N75)),"",(Budget!N75-Actuals!N75)/ABS(Budget!N75)),"")</f>
        <v/>
      </c>
      <c r="AX60" s="510">
        <f>SUMPRODUCT((Actuals!C75:N75&lt;&gt;"")*(Budget!C75:N75))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Budget!C76</f>
        <v/>
      </c>
      <c r="C61" s="508">
        <f>IF(OR(1&gt;$B$3,ISBLANK(Actuals!C76)),"",Actuals!C76)</f>
        <v/>
      </c>
      <c r="D61" s="509">
        <f>IF(OR(1&gt;$B$3,ISBLANK(Actuals!C76)),"",Budget!C76-Actuals!C76)</f>
        <v/>
      </c>
      <c r="E61" s="509">
        <f>IFERROR(IF(OR(1&gt;$B$3,ISBLANK(Actuals!C76)),"",(Budget!C76-Actuals!C76)/ABS(Budget!C76)),"")</f>
        <v/>
      </c>
      <c r="F61" s="508">
        <f>Budget!D76</f>
        <v/>
      </c>
      <c r="G61" s="508">
        <f>IF(OR(2&gt;$B$3,ISBLANK(Actuals!D76)),"",Actuals!D76)</f>
        <v/>
      </c>
      <c r="H61" s="509">
        <f>IF(OR(2&gt;$B$3,ISBLANK(Actuals!D76)),"",Budget!D76-Actuals!D76)</f>
        <v/>
      </c>
      <c r="I61" s="509">
        <f>IFERROR(IF(OR(2&gt;$B$3,ISBLANK(Actuals!D76)),"",(Budget!D76-Actuals!D76)/ABS(Budget!D76)),"")</f>
        <v/>
      </c>
      <c r="J61" s="508">
        <f>Budget!E76</f>
        <v/>
      </c>
      <c r="K61" s="508">
        <f>IF(OR(3&gt;$B$3,ISBLANK(Actuals!E76)),"",Actuals!E76)</f>
        <v/>
      </c>
      <c r="L61" s="509">
        <f>IF(OR(3&gt;$B$3,ISBLANK(Actuals!E76)),"",Budget!E76-Actuals!E76)</f>
        <v/>
      </c>
      <c r="M61" s="509">
        <f>IFERROR(IF(OR(3&gt;$B$3,ISBLANK(Actuals!E76)),"",(Budget!E76-Actuals!E76)/ABS(Budget!E76)),"")</f>
        <v/>
      </c>
      <c r="N61" s="508">
        <f>Budget!F76</f>
        <v/>
      </c>
      <c r="O61" s="508">
        <f>IF(OR(4&gt;$B$3,ISBLANK(Actuals!F76)),"",Actuals!F76)</f>
        <v/>
      </c>
      <c r="P61" s="509">
        <f>IF(OR(4&gt;$B$3,ISBLANK(Actuals!F76)),"",Budget!F76-Actuals!F76)</f>
        <v/>
      </c>
      <c r="Q61" s="509">
        <f>IFERROR(IF(OR(4&gt;$B$3,ISBLANK(Actuals!F76)),"",(Budget!F76-Actuals!F76)/ABS(Budget!F76)),"")</f>
        <v/>
      </c>
      <c r="R61" s="508">
        <f>Budget!G76</f>
        <v/>
      </c>
      <c r="S61" s="508">
        <f>IF(OR(5&gt;$B$3,ISBLANK(Actuals!G76)),"",Actuals!G76)</f>
        <v/>
      </c>
      <c r="T61" s="509">
        <f>IF(OR(5&gt;$B$3,ISBLANK(Actuals!G76)),"",Budget!G76-Actuals!G76)</f>
        <v/>
      </c>
      <c r="U61" s="509">
        <f>IFERROR(IF(OR(5&gt;$B$3,ISBLANK(Actuals!G76)),"",(Budget!G76-Actuals!G76)/ABS(Budget!G76)),"")</f>
        <v/>
      </c>
      <c r="V61" s="508">
        <f>Budget!H76</f>
        <v/>
      </c>
      <c r="W61" s="508">
        <f>IF(OR(6&gt;$B$3,ISBLANK(Actuals!H76)),"",Actuals!H76)</f>
        <v/>
      </c>
      <c r="X61" s="509">
        <f>IF(OR(6&gt;$B$3,ISBLANK(Actuals!H76)),"",Budget!H76-Actuals!H76)</f>
        <v/>
      </c>
      <c r="Y61" s="509">
        <f>IFERROR(IF(OR(6&gt;$B$3,ISBLANK(Actuals!H76)),"",(Budget!H76-Actuals!H76)/ABS(Budget!H76)),"")</f>
        <v/>
      </c>
      <c r="Z61" s="508">
        <f>Budget!I76</f>
        <v/>
      </c>
      <c r="AA61" s="508">
        <f>IF(OR(7&gt;$B$3,ISBLANK(Actuals!I76)),"",Actuals!I76)</f>
        <v/>
      </c>
      <c r="AB61" s="509">
        <f>IF(OR(7&gt;$B$3,ISBLANK(Actuals!I76)),"",Budget!I76-Actuals!I76)</f>
        <v/>
      </c>
      <c r="AC61" s="509">
        <f>IFERROR(IF(OR(7&gt;$B$3,ISBLANK(Actuals!I76)),"",(Budget!I76-Actuals!I76)/ABS(Budget!I76)),"")</f>
        <v/>
      </c>
      <c r="AD61" s="508">
        <f>Budget!J76</f>
        <v/>
      </c>
      <c r="AE61" s="508">
        <f>IF(OR(8&gt;$B$3,ISBLANK(Actuals!J76)),"",Actuals!J76)</f>
        <v/>
      </c>
      <c r="AF61" s="509">
        <f>IF(OR(8&gt;$B$3,ISBLANK(Actuals!J76)),"",Budget!J76-Actuals!J76)</f>
        <v/>
      </c>
      <c r="AG61" s="509">
        <f>IFERROR(IF(OR(8&gt;$B$3,ISBLANK(Actuals!J76)),"",(Budget!J76-Actuals!J76)/ABS(Budget!J76)),"")</f>
        <v/>
      </c>
      <c r="AH61" s="508">
        <f>Budget!K76</f>
        <v/>
      </c>
      <c r="AI61" s="508">
        <f>IF(OR(9&gt;$B$3,ISBLANK(Actuals!K76)),"",Actuals!K76)</f>
        <v/>
      </c>
      <c r="AJ61" s="509">
        <f>IF(OR(9&gt;$B$3,ISBLANK(Actuals!K76)),"",Budget!K76-Actuals!K76)</f>
        <v/>
      </c>
      <c r="AK61" s="509">
        <f>IFERROR(IF(OR(9&gt;$B$3,ISBLANK(Actuals!K76)),"",(Budget!K76-Actuals!K76)/ABS(Budget!K76)),"")</f>
        <v/>
      </c>
      <c r="AL61" s="508">
        <f>Budget!L76</f>
        <v/>
      </c>
      <c r="AM61" s="508">
        <f>IF(OR(10&gt;$B$3,ISBLANK(Actuals!L76)),"",Actuals!L76)</f>
        <v/>
      </c>
      <c r="AN61" s="509">
        <f>IF(OR(10&gt;$B$3,ISBLANK(Actuals!L76)),"",Budget!L76-Actuals!L76)</f>
        <v/>
      </c>
      <c r="AO61" s="509">
        <f>IFERROR(IF(OR(10&gt;$B$3,ISBLANK(Actuals!L76)),"",(Budget!L76-Actuals!L76)/ABS(Budget!L76)),"")</f>
        <v/>
      </c>
      <c r="AP61" s="508">
        <f>Budget!M76</f>
        <v/>
      </c>
      <c r="AQ61" s="508">
        <f>IF(OR(11&gt;$B$3,ISBLANK(Actuals!M76)),"",Actuals!M76)</f>
        <v/>
      </c>
      <c r="AR61" s="509">
        <f>IF(OR(11&gt;$B$3,ISBLANK(Actuals!M76)),"",Budget!M76-Actuals!M76)</f>
        <v/>
      </c>
      <c r="AS61" s="509">
        <f>IFERROR(IF(OR(11&gt;$B$3,ISBLANK(Actuals!M76)),"",(Budget!M76-Actuals!M76)/ABS(Budget!M76)),"")</f>
        <v/>
      </c>
      <c r="AT61" s="508">
        <f>Budget!N76</f>
        <v/>
      </c>
      <c r="AU61" s="508">
        <f>IF(OR(12&gt;$B$3,ISBLANK(Actuals!N76)),"",Actuals!N76)</f>
        <v/>
      </c>
      <c r="AV61" s="509">
        <f>IF(OR(12&gt;$B$3,ISBLANK(Actuals!N76)),"",Budget!N76-Actuals!N76)</f>
        <v/>
      </c>
      <c r="AW61" s="509">
        <f>IFERROR(IF(OR(12&gt;$B$3,ISBLANK(Actuals!N76)),"",(Budget!N76-Actuals!N76)/ABS(Budget!N76)),"")</f>
        <v/>
      </c>
      <c r="AX61" s="510">
        <f>SUMPRODUCT((Actuals!C76:N76&lt;&gt;"")*(Budget!C76:N76))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Budget!C77</f>
        <v/>
      </c>
      <c r="C62" s="508">
        <f>IF(OR(1&gt;$B$3,ISBLANK(Actuals!C77)),"",Actuals!C77)</f>
        <v/>
      </c>
      <c r="D62" s="509">
        <f>IF(OR(1&gt;$B$3,ISBLANK(Actuals!C77)),"",Budget!C77-Actuals!C77)</f>
        <v/>
      </c>
      <c r="E62" s="509">
        <f>IFERROR(IF(OR(1&gt;$B$3,ISBLANK(Actuals!C77)),"",(Budget!C77-Actuals!C77)/ABS(Budget!C77)),"")</f>
        <v/>
      </c>
      <c r="F62" s="508">
        <f>Budget!D77</f>
        <v/>
      </c>
      <c r="G62" s="508">
        <f>IF(OR(2&gt;$B$3,ISBLANK(Actuals!D77)),"",Actuals!D77)</f>
        <v/>
      </c>
      <c r="H62" s="509">
        <f>IF(OR(2&gt;$B$3,ISBLANK(Actuals!D77)),"",Budget!D77-Actuals!D77)</f>
        <v/>
      </c>
      <c r="I62" s="509">
        <f>IFERROR(IF(OR(2&gt;$B$3,ISBLANK(Actuals!D77)),"",(Budget!D77-Actuals!D77)/ABS(Budget!D77)),"")</f>
        <v/>
      </c>
      <c r="J62" s="508">
        <f>Budget!E77</f>
        <v/>
      </c>
      <c r="K62" s="508">
        <f>IF(OR(3&gt;$B$3,ISBLANK(Actuals!E77)),"",Actuals!E77)</f>
        <v/>
      </c>
      <c r="L62" s="509">
        <f>IF(OR(3&gt;$B$3,ISBLANK(Actuals!E77)),"",Budget!E77-Actuals!E77)</f>
        <v/>
      </c>
      <c r="M62" s="509">
        <f>IFERROR(IF(OR(3&gt;$B$3,ISBLANK(Actuals!E77)),"",(Budget!E77-Actuals!E77)/ABS(Budget!E77)),"")</f>
        <v/>
      </c>
      <c r="N62" s="508">
        <f>Budget!F77</f>
        <v/>
      </c>
      <c r="O62" s="508">
        <f>IF(OR(4&gt;$B$3,ISBLANK(Actuals!F77)),"",Actuals!F77)</f>
        <v/>
      </c>
      <c r="P62" s="509">
        <f>IF(OR(4&gt;$B$3,ISBLANK(Actuals!F77)),"",Budget!F77-Actuals!F77)</f>
        <v/>
      </c>
      <c r="Q62" s="509">
        <f>IFERROR(IF(OR(4&gt;$B$3,ISBLANK(Actuals!F77)),"",(Budget!F77-Actuals!F77)/ABS(Budget!F77)),"")</f>
        <v/>
      </c>
      <c r="R62" s="508">
        <f>Budget!G77</f>
        <v/>
      </c>
      <c r="S62" s="508">
        <f>IF(OR(5&gt;$B$3,ISBLANK(Actuals!G77)),"",Actuals!G77)</f>
        <v/>
      </c>
      <c r="T62" s="509">
        <f>IF(OR(5&gt;$B$3,ISBLANK(Actuals!G77)),"",Budget!G77-Actuals!G77)</f>
        <v/>
      </c>
      <c r="U62" s="509">
        <f>IFERROR(IF(OR(5&gt;$B$3,ISBLANK(Actuals!G77)),"",(Budget!G77-Actuals!G77)/ABS(Budget!G77)),"")</f>
        <v/>
      </c>
      <c r="V62" s="508">
        <f>Budget!H77</f>
        <v/>
      </c>
      <c r="W62" s="508">
        <f>IF(OR(6&gt;$B$3,ISBLANK(Actuals!H77)),"",Actuals!H77)</f>
        <v/>
      </c>
      <c r="X62" s="509">
        <f>IF(OR(6&gt;$B$3,ISBLANK(Actuals!H77)),"",Budget!H77-Actuals!H77)</f>
        <v/>
      </c>
      <c r="Y62" s="509">
        <f>IFERROR(IF(OR(6&gt;$B$3,ISBLANK(Actuals!H77)),"",(Budget!H77-Actuals!H77)/ABS(Budget!H77)),"")</f>
        <v/>
      </c>
      <c r="Z62" s="508">
        <f>Budget!I77</f>
        <v/>
      </c>
      <c r="AA62" s="508">
        <f>IF(OR(7&gt;$B$3,ISBLANK(Actuals!I77)),"",Actuals!I77)</f>
        <v/>
      </c>
      <c r="AB62" s="509">
        <f>IF(OR(7&gt;$B$3,ISBLANK(Actuals!I77)),"",Budget!I77-Actuals!I77)</f>
        <v/>
      </c>
      <c r="AC62" s="509">
        <f>IFERROR(IF(OR(7&gt;$B$3,ISBLANK(Actuals!I77)),"",(Budget!I77-Actuals!I77)/ABS(Budget!I77)),"")</f>
        <v/>
      </c>
      <c r="AD62" s="508">
        <f>Budget!J77</f>
        <v/>
      </c>
      <c r="AE62" s="508">
        <f>IF(OR(8&gt;$B$3,ISBLANK(Actuals!J77)),"",Actuals!J77)</f>
        <v/>
      </c>
      <c r="AF62" s="509">
        <f>IF(OR(8&gt;$B$3,ISBLANK(Actuals!J77)),"",Budget!J77-Actuals!J77)</f>
        <v/>
      </c>
      <c r="AG62" s="509">
        <f>IFERROR(IF(OR(8&gt;$B$3,ISBLANK(Actuals!J77)),"",(Budget!J77-Actuals!J77)/ABS(Budget!J77)),"")</f>
        <v/>
      </c>
      <c r="AH62" s="508">
        <f>Budget!K77</f>
        <v/>
      </c>
      <c r="AI62" s="508">
        <f>IF(OR(9&gt;$B$3,ISBLANK(Actuals!K77)),"",Actuals!K77)</f>
        <v/>
      </c>
      <c r="AJ62" s="509">
        <f>IF(OR(9&gt;$B$3,ISBLANK(Actuals!K77)),"",Budget!K77-Actuals!K77)</f>
        <v/>
      </c>
      <c r="AK62" s="509">
        <f>IFERROR(IF(OR(9&gt;$B$3,ISBLANK(Actuals!K77)),"",(Budget!K77-Actuals!K77)/ABS(Budget!K77)),"")</f>
        <v/>
      </c>
      <c r="AL62" s="508">
        <f>Budget!L77</f>
        <v/>
      </c>
      <c r="AM62" s="508">
        <f>IF(OR(10&gt;$B$3,ISBLANK(Actuals!L77)),"",Actuals!L77)</f>
        <v/>
      </c>
      <c r="AN62" s="509">
        <f>IF(OR(10&gt;$B$3,ISBLANK(Actuals!L77)),"",Budget!L77-Actuals!L77)</f>
        <v/>
      </c>
      <c r="AO62" s="509">
        <f>IFERROR(IF(OR(10&gt;$B$3,ISBLANK(Actuals!L77)),"",(Budget!L77-Actuals!L77)/ABS(Budget!L77)),"")</f>
        <v/>
      </c>
      <c r="AP62" s="508">
        <f>Budget!M77</f>
        <v/>
      </c>
      <c r="AQ62" s="508">
        <f>IF(OR(11&gt;$B$3,ISBLANK(Actuals!M77)),"",Actuals!M77)</f>
        <v/>
      </c>
      <c r="AR62" s="509">
        <f>IF(OR(11&gt;$B$3,ISBLANK(Actuals!M77)),"",Budget!M77-Actuals!M77)</f>
        <v/>
      </c>
      <c r="AS62" s="509">
        <f>IFERROR(IF(OR(11&gt;$B$3,ISBLANK(Actuals!M77)),"",(Budget!M77-Actuals!M77)/ABS(Budget!M77)),"")</f>
        <v/>
      </c>
      <c r="AT62" s="508">
        <f>Budget!N77</f>
        <v/>
      </c>
      <c r="AU62" s="508">
        <f>IF(OR(12&gt;$B$3,ISBLANK(Actuals!N77)),"",Actuals!N77)</f>
        <v/>
      </c>
      <c r="AV62" s="509">
        <f>IF(OR(12&gt;$B$3,ISBLANK(Actuals!N77)),"",Budget!N77-Actuals!N77)</f>
        <v/>
      </c>
      <c r="AW62" s="509">
        <f>IFERROR(IF(OR(12&gt;$B$3,ISBLANK(Actuals!N77)),"",(Budget!N77-Actuals!N77)/ABS(Budget!N77)),"")</f>
        <v/>
      </c>
      <c r="AX62" s="510">
        <f>SUMPRODUCT((Actuals!C77:N77&lt;&gt;"")*(Budget!C77:N77))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Budget!C78</f>
        <v/>
      </c>
      <c r="C63" s="508">
        <f>IF(OR(1&gt;$B$3,ISBLANK(Actuals!C78)),"",Actuals!C78)</f>
        <v/>
      </c>
      <c r="D63" s="509">
        <f>IF(OR(1&gt;$B$3,ISBLANK(Actuals!C78)),"",Budget!C78-Actuals!C78)</f>
        <v/>
      </c>
      <c r="E63" s="509">
        <f>IFERROR(IF(OR(1&gt;$B$3,ISBLANK(Actuals!C78)),"",(Budget!C78-Actuals!C78)/ABS(Budget!C78)),"")</f>
        <v/>
      </c>
      <c r="F63" s="508">
        <f>Budget!D78</f>
        <v/>
      </c>
      <c r="G63" s="508">
        <f>IF(OR(2&gt;$B$3,ISBLANK(Actuals!D78)),"",Actuals!D78)</f>
        <v/>
      </c>
      <c r="H63" s="509">
        <f>IF(OR(2&gt;$B$3,ISBLANK(Actuals!D78)),"",Budget!D78-Actuals!D78)</f>
        <v/>
      </c>
      <c r="I63" s="509">
        <f>IFERROR(IF(OR(2&gt;$B$3,ISBLANK(Actuals!D78)),"",(Budget!D78-Actuals!D78)/ABS(Budget!D78)),"")</f>
        <v/>
      </c>
      <c r="J63" s="508">
        <f>Budget!E78</f>
        <v/>
      </c>
      <c r="K63" s="508">
        <f>IF(OR(3&gt;$B$3,ISBLANK(Actuals!E78)),"",Actuals!E78)</f>
        <v/>
      </c>
      <c r="L63" s="509">
        <f>IF(OR(3&gt;$B$3,ISBLANK(Actuals!E78)),"",Budget!E78-Actuals!E78)</f>
        <v/>
      </c>
      <c r="M63" s="509">
        <f>IFERROR(IF(OR(3&gt;$B$3,ISBLANK(Actuals!E78)),"",(Budget!E78-Actuals!E78)/ABS(Budget!E78)),"")</f>
        <v/>
      </c>
      <c r="N63" s="508">
        <f>Budget!F78</f>
        <v/>
      </c>
      <c r="O63" s="508">
        <f>IF(OR(4&gt;$B$3,ISBLANK(Actuals!F78)),"",Actuals!F78)</f>
        <v/>
      </c>
      <c r="P63" s="509">
        <f>IF(OR(4&gt;$B$3,ISBLANK(Actuals!F78)),"",Budget!F78-Actuals!F78)</f>
        <v/>
      </c>
      <c r="Q63" s="509">
        <f>IFERROR(IF(OR(4&gt;$B$3,ISBLANK(Actuals!F78)),"",(Budget!F78-Actuals!F78)/ABS(Budget!F78)),"")</f>
        <v/>
      </c>
      <c r="R63" s="508">
        <f>Budget!G78</f>
        <v/>
      </c>
      <c r="S63" s="508">
        <f>IF(OR(5&gt;$B$3,ISBLANK(Actuals!G78)),"",Actuals!G78)</f>
        <v/>
      </c>
      <c r="T63" s="509">
        <f>IF(OR(5&gt;$B$3,ISBLANK(Actuals!G78)),"",Budget!G78-Actuals!G78)</f>
        <v/>
      </c>
      <c r="U63" s="509">
        <f>IFERROR(IF(OR(5&gt;$B$3,ISBLANK(Actuals!G78)),"",(Budget!G78-Actuals!G78)/ABS(Budget!G78)),"")</f>
        <v/>
      </c>
      <c r="V63" s="508">
        <f>Budget!H78</f>
        <v/>
      </c>
      <c r="W63" s="508">
        <f>IF(OR(6&gt;$B$3,ISBLANK(Actuals!H78)),"",Actuals!H78)</f>
        <v/>
      </c>
      <c r="X63" s="509">
        <f>IF(OR(6&gt;$B$3,ISBLANK(Actuals!H78)),"",Budget!H78-Actuals!H78)</f>
        <v/>
      </c>
      <c r="Y63" s="509">
        <f>IFERROR(IF(OR(6&gt;$B$3,ISBLANK(Actuals!H78)),"",(Budget!H78-Actuals!H78)/ABS(Budget!H78)),"")</f>
        <v/>
      </c>
      <c r="Z63" s="508">
        <f>Budget!I78</f>
        <v/>
      </c>
      <c r="AA63" s="508">
        <f>IF(OR(7&gt;$B$3,ISBLANK(Actuals!I78)),"",Actuals!I78)</f>
        <v/>
      </c>
      <c r="AB63" s="509">
        <f>IF(OR(7&gt;$B$3,ISBLANK(Actuals!I78)),"",Budget!I78-Actuals!I78)</f>
        <v/>
      </c>
      <c r="AC63" s="509">
        <f>IFERROR(IF(OR(7&gt;$B$3,ISBLANK(Actuals!I78)),"",(Budget!I78-Actuals!I78)/ABS(Budget!I78)),"")</f>
        <v/>
      </c>
      <c r="AD63" s="508">
        <f>Budget!J78</f>
        <v/>
      </c>
      <c r="AE63" s="508">
        <f>IF(OR(8&gt;$B$3,ISBLANK(Actuals!J78)),"",Actuals!J78)</f>
        <v/>
      </c>
      <c r="AF63" s="509">
        <f>IF(OR(8&gt;$B$3,ISBLANK(Actuals!J78)),"",Budget!J78-Actuals!J78)</f>
        <v/>
      </c>
      <c r="AG63" s="509">
        <f>IFERROR(IF(OR(8&gt;$B$3,ISBLANK(Actuals!J78)),"",(Budget!J78-Actuals!J78)/ABS(Budget!J78)),"")</f>
        <v/>
      </c>
      <c r="AH63" s="508">
        <f>Budget!K78</f>
        <v/>
      </c>
      <c r="AI63" s="508">
        <f>IF(OR(9&gt;$B$3,ISBLANK(Actuals!K78)),"",Actuals!K78)</f>
        <v/>
      </c>
      <c r="AJ63" s="509">
        <f>IF(OR(9&gt;$B$3,ISBLANK(Actuals!K78)),"",Budget!K78-Actuals!K78)</f>
        <v/>
      </c>
      <c r="AK63" s="509">
        <f>IFERROR(IF(OR(9&gt;$B$3,ISBLANK(Actuals!K78)),"",(Budget!K78-Actuals!K78)/ABS(Budget!K78)),"")</f>
        <v/>
      </c>
      <c r="AL63" s="508">
        <f>Budget!L78</f>
        <v/>
      </c>
      <c r="AM63" s="508">
        <f>IF(OR(10&gt;$B$3,ISBLANK(Actuals!L78)),"",Actuals!L78)</f>
        <v/>
      </c>
      <c r="AN63" s="509">
        <f>IF(OR(10&gt;$B$3,ISBLANK(Actuals!L78)),"",Budget!L78-Actuals!L78)</f>
        <v/>
      </c>
      <c r="AO63" s="509">
        <f>IFERROR(IF(OR(10&gt;$B$3,ISBLANK(Actuals!L78)),"",(Budget!L78-Actuals!L78)/ABS(Budget!L78)),"")</f>
        <v/>
      </c>
      <c r="AP63" s="508">
        <f>Budget!M78</f>
        <v/>
      </c>
      <c r="AQ63" s="508">
        <f>IF(OR(11&gt;$B$3,ISBLANK(Actuals!M78)),"",Actuals!M78)</f>
        <v/>
      </c>
      <c r="AR63" s="509">
        <f>IF(OR(11&gt;$B$3,ISBLANK(Actuals!M78)),"",Budget!M78-Actuals!M78)</f>
        <v/>
      </c>
      <c r="AS63" s="509">
        <f>IFERROR(IF(OR(11&gt;$B$3,ISBLANK(Actuals!M78)),"",(Budget!M78-Actuals!M78)/ABS(Budget!M78)),"")</f>
        <v/>
      </c>
      <c r="AT63" s="508">
        <f>Budget!N78</f>
        <v/>
      </c>
      <c r="AU63" s="508">
        <f>IF(OR(12&gt;$B$3,ISBLANK(Actuals!N78)),"",Actuals!N78)</f>
        <v/>
      </c>
      <c r="AV63" s="509">
        <f>IF(OR(12&gt;$B$3,ISBLANK(Actuals!N78)),"",Budget!N78-Actuals!N78)</f>
        <v/>
      </c>
      <c r="AW63" s="509">
        <f>IFERROR(IF(OR(12&gt;$B$3,ISBLANK(Actuals!N78)),"",(Budget!N78-Actuals!N78)/ABS(Budget!N78)),"")</f>
        <v/>
      </c>
      <c r="AX63" s="510">
        <f>SUMPRODUCT((Actuals!C78:N78&lt;&gt;"")*(Budget!C78:N78))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Budget!C79</f>
        <v/>
      </c>
      <c r="C64" s="508">
        <f>IF(OR(1&gt;$B$3,ISBLANK(Actuals!C79)),"",Actuals!C79)</f>
        <v/>
      </c>
      <c r="D64" s="509">
        <f>IF(OR(1&gt;$B$3,ISBLANK(Actuals!C79)),"",Budget!C79-Actuals!C79)</f>
        <v/>
      </c>
      <c r="E64" s="509">
        <f>IFERROR(IF(OR(1&gt;$B$3,ISBLANK(Actuals!C79)),"",(Budget!C79-Actuals!C79)/ABS(Budget!C79)),"")</f>
        <v/>
      </c>
      <c r="F64" s="508">
        <f>Budget!D79</f>
        <v/>
      </c>
      <c r="G64" s="508">
        <f>IF(OR(2&gt;$B$3,ISBLANK(Actuals!D79)),"",Actuals!D79)</f>
        <v/>
      </c>
      <c r="H64" s="509">
        <f>IF(OR(2&gt;$B$3,ISBLANK(Actuals!D79)),"",Budget!D79-Actuals!D79)</f>
        <v/>
      </c>
      <c r="I64" s="509">
        <f>IFERROR(IF(OR(2&gt;$B$3,ISBLANK(Actuals!D79)),"",(Budget!D79-Actuals!D79)/ABS(Budget!D79)),"")</f>
        <v/>
      </c>
      <c r="J64" s="508">
        <f>Budget!E79</f>
        <v/>
      </c>
      <c r="K64" s="508">
        <f>IF(OR(3&gt;$B$3,ISBLANK(Actuals!E79)),"",Actuals!E79)</f>
        <v/>
      </c>
      <c r="L64" s="509">
        <f>IF(OR(3&gt;$B$3,ISBLANK(Actuals!E79)),"",Budget!E79-Actuals!E79)</f>
        <v/>
      </c>
      <c r="M64" s="509">
        <f>IFERROR(IF(OR(3&gt;$B$3,ISBLANK(Actuals!E79)),"",(Budget!E79-Actuals!E79)/ABS(Budget!E79)),"")</f>
        <v/>
      </c>
      <c r="N64" s="508">
        <f>Budget!F79</f>
        <v/>
      </c>
      <c r="O64" s="508">
        <f>IF(OR(4&gt;$B$3,ISBLANK(Actuals!F79)),"",Actuals!F79)</f>
        <v/>
      </c>
      <c r="P64" s="509">
        <f>IF(OR(4&gt;$B$3,ISBLANK(Actuals!F79)),"",Budget!F79-Actuals!F79)</f>
        <v/>
      </c>
      <c r="Q64" s="509">
        <f>IFERROR(IF(OR(4&gt;$B$3,ISBLANK(Actuals!F79)),"",(Budget!F79-Actuals!F79)/ABS(Budget!F79)),"")</f>
        <v/>
      </c>
      <c r="R64" s="508">
        <f>Budget!G79</f>
        <v/>
      </c>
      <c r="S64" s="508">
        <f>IF(OR(5&gt;$B$3,ISBLANK(Actuals!G79)),"",Actuals!G79)</f>
        <v/>
      </c>
      <c r="T64" s="509">
        <f>IF(OR(5&gt;$B$3,ISBLANK(Actuals!G79)),"",Budget!G79-Actuals!G79)</f>
        <v/>
      </c>
      <c r="U64" s="509">
        <f>IFERROR(IF(OR(5&gt;$B$3,ISBLANK(Actuals!G79)),"",(Budget!G79-Actuals!G79)/ABS(Budget!G79)),"")</f>
        <v/>
      </c>
      <c r="V64" s="508">
        <f>Budget!H79</f>
        <v/>
      </c>
      <c r="W64" s="508">
        <f>IF(OR(6&gt;$B$3,ISBLANK(Actuals!H79)),"",Actuals!H79)</f>
        <v/>
      </c>
      <c r="X64" s="509">
        <f>IF(OR(6&gt;$B$3,ISBLANK(Actuals!H79)),"",Budget!H79-Actuals!H79)</f>
        <v/>
      </c>
      <c r="Y64" s="509">
        <f>IFERROR(IF(OR(6&gt;$B$3,ISBLANK(Actuals!H79)),"",(Budget!H79-Actuals!H79)/ABS(Budget!H79)),"")</f>
        <v/>
      </c>
      <c r="Z64" s="508">
        <f>Budget!I79</f>
        <v/>
      </c>
      <c r="AA64" s="508">
        <f>IF(OR(7&gt;$B$3,ISBLANK(Actuals!I79)),"",Actuals!I79)</f>
        <v/>
      </c>
      <c r="AB64" s="509">
        <f>IF(OR(7&gt;$B$3,ISBLANK(Actuals!I79)),"",Budget!I79-Actuals!I79)</f>
        <v/>
      </c>
      <c r="AC64" s="509">
        <f>IFERROR(IF(OR(7&gt;$B$3,ISBLANK(Actuals!I79)),"",(Budget!I79-Actuals!I79)/ABS(Budget!I79)),"")</f>
        <v/>
      </c>
      <c r="AD64" s="508">
        <f>Budget!J79</f>
        <v/>
      </c>
      <c r="AE64" s="508">
        <f>IF(OR(8&gt;$B$3,ISBLANK(Actuals!J79)),"",Actuals!J79)</f>
        <v/>
      </c>
      <c r="AF64" s="509">
        <f>IF(OR(8&gt;$B$3,ISBLANK(Actuals!J79)),"",Budget!J79-Actuals!J79)</f>
        <v/>
      </c>
      <c r="AG64" s="509">
        <f>IFERROR(IF(OR(8&gt;$B$3,ISBLANK(Actuals!J79)),"",(Budget!J79-Actuals!J79)/ABS(Budget!J79)),"")</f>
        <v/>
      </c>
      <c r="AH64" s="508">
        <f>Budget!K79</f>
        <v/>
      </c>
      <c r="AI64" s="508">
        <f>IF(OR(9&gt;$B$3,ISBLANK(Actuals!K79)),"",Actuals!K79)</f>
        <v/>
      </c>
      <c r="AJ64" s="509">
        <f>IF(OR(9&gt;$B$3,ISBLANK(Actuals!K79)),"",Budget!K79-Actuals!K79)</f>
        <v/>
      </c>
      <c r="AK64" s="509">
        <f>IFERROR(IF(OR(9&gt;$B$3,ISBLANK(Actuals!K79)),"",(Budget!K79-Actuals!K79)/ABS(Budget!K79)),"")</f>
        <v/>
      </c>
      <c r="AL64" s="508">
        <f>Budget!L79</f>
        <v/>
      </c>
      <c r="AM64" s="508">
        <f>IF(OR(10&gt;$B$3,ISBLANK(Actuals!L79)),"",Actuals!L79)</f>
        <v/>
      </c>
      <c r="AN64" s="509">
        <f>IF(OR(10&gt;$B$3,ISBLANK(Actuals!L79)),"",Budget!L79-Actuals!L79)</f>
        <v/>
      </c>
      <c r="AO64" s="509">
        <f>IFERROR(IF(OR(10&gt;$B$3,ISBLANK(Actuals!L79)),"",(Budget!L79-Actuals!L79)/ABS(Budget!L79)),"")</f>
        <v/>
      </c>
      <c r="AP64" s="508">
        <f>Budget!M79</f>
        <v/>
      </c>
      <c r="AQ64" s="508">
        <f>IF(OR(11&gt;$B$3,ISBLANK(Actuals!M79)),"",Actuals!M79)</f>
        <v/>
      </c>
      <c r="AR64" s="509">
        <f>IF(OR(11&gt;$B$3,ISBLANK(Actuals!M79)),"",Budget!M79-Actuals!M79)</f>
        <v/>
      </c>
      <c r="AS64" s="509">
        <f>IFERROR(IF(OR(11&gt;$B$3,ISBLANK(Actuals!M79)),"",(Budget!M79-Actuals!M79)/ABS(Budget!M79)),"")</f>
        <v/>
      </c>
      <c r="AT64" s="508">
        <f>Budget!N79</f>
        <v/>
      </c>
      <c r="AU64" s="508">
        <f>IF(OR(12&gt;$B$3,ISBLANK(Actuals!N79)),"",Actuals!N79)</f>
        <v/>
      </c>
      <c r="AV64" s="509">
        <f>IF(OR(12&gt;$B$3,ISBLANK(Actuals!N79)),"",Budget!N79-Actuals!N79)</f>
        <v/>
      </c>
      <c r="AW64" s="509">
        <f>IFERROR(IF(OR(12&gt;$B$3,ISBLANK(Actuals!N79)),"",(Budget!N79-Actuals!N79)/ABS(Budget!N79)),"")</f>
        <v/>
      </c>
      <c r="AX64" s="510">
        <f>SUMPRODUCT((Actuals!C79:N79&lt;&gt;"")*(Budget!C79:N79))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Budget!C80</f>
        <v/>
      </c>
      <c r="C65" s="508">
        <f>IF(OR(1&gt;$B$3,ISBLANK(Actuals!C80)),"",Actuals!C80)</f>
        <v/>
      </c>
      <c r="D65" s="509">
        <f>IF(OR(1&gt;$B$3,ISBLANK(Actuals!C80)),"",Budget!C80-Actuals!C80)</f>
        <v/>
      </c>
      <c r="E65" s="509">
        <f>IFERROR(IF(OR(1&gt;$B$3,ISBLANK(Actuals!C80)),"",(Budget!C80-Actuals!C80)/ABS(Budget!C80)),"")</f>
        <v/>
      </c>
      <c r="F65" s="508">
        <f>Budget!D80</f>
        <v/>
      </c>
      <c r="G65" s="508">
        <f>IF(OR(2&gt;$B$3,ISBLANK(Actuals!D80)),"",Actuals!D80)</f>
        <v/>
      </c>
      <c r="H65" s="509">
        <f>IF(OR(2&gt;$B$3,ISBLANK(Actuals!D80)),"",Budget!D80-Actuals!D80)</f>
        <v/>
      </c>
      <c r="I65" s="509">
        <f>IFERROR(IF(OR(2&gt;$B$3,ISBLANK(Actuals!D80)),"",(Budget!D80-Actuals!D80)/ABS(Budget!D80)),"")</f>
        <v/>
      </c>
      <c r="J65" s="508">
        <f>Budget!E80</f>
        <v/>
      </c>
      <c r="K65" s="508">
        <f>IF(OR(3&gt;$B$3,ISBLANK(Actuals!E80)),"",Actuals!E80)</f>
        <v/>
      </c>
      <c r="L65" s="509">
        <f>IF(OR(3&gt;$B$3,ISBLANK(Actuals!E80)),"",Budget!E80-Actuals!E80)</f>
        <v/>
      </c>
      <c r="M65" s="509">
        <f>IFERROR(IF(OR(3&gt;$B$3,ISBLANK(Actuals!E80)),"",(Budget!E80-Actuals!E80)/ABS(Budget!E80)),"")</f>
        <v/>
      </c>
      <c r="N65" s="508">
        <f>Budget!F80</f>
        <v/>
      </c>
      <c r="O65" s="508">
        <f>IF(OR(4&gt;$B$3,ISBLANK(Actuals!F80)),"",Actuals!F80)</f>
        <v/>
      </c>
      <c r="P65" s="509">
        <f>IF(OR(4&gt;$B$3,ISBLANK(Actuals!F80)),"",Budget!F80-Actuals!F80)</f>
        <v/>
      </c>
      <c r="Q65" s="509">
        <f>IFERROR(IF(OR(4&gt;$B$3,ISBLANK(Actuals!F80)),"",(Budget!F80-Actuals!F80)/ABS(Budget!F80)),"")</f>
        <v/>
      </c>
      <c r="R65" s="508">
        <f>Budget!G80</f>
        <v/>
      </c>
      <c r="S65" s="508">
        <f>IF(OR(5&gt;$B$3,ISBLANK(Actuals!G80)),"",Actuals!G80)</f>
        <v/>
      </c>
      <c r="T65" s="509">
        <f>IF(OR(5&gt;$B$3,ISBLANK(Actuals!G80)),"",Budget!G80-Actuals!G80)</f>
        <v/>
      </c>
      <c r="U65" s="509">
        <f>IFERROR(IF(OR(5&gt;$B$3,ISBLANK(Actuals!G80)),"",(Budget!G80-Actuals!G80)/ABS(Budget!G80)),"")</f>
        <v/>
      </c>
      <c r="V65" s="508">
        <f>Budget!H80</f>
        <v/>
      </c>
      <c r="W65" s="508">
        <f>IF(OR(6&gt;$B$3,ISBLANK(Actuals!H80)),"",Actuals!H80)</f>
        <v/>
      </c>
      <c r="X65" s="509">
        <f>IF(OR(6&gt;$B$3,ISBLANK(Actuals!H80)),"",Budget!H80-Actuals!H80)</f>
        <v/>
      </c>
      <c r="Y65" s="509">
        <f>IFERROR(IF(OR(6&gt;$B$3,ISBLANK(Actuals!H80)),"",(Budget!H80-Actuals!H80)/ABS(Budget!H80)),"")</f>
        <v/>
      </c>
      <c r="Z65" s="508">
        <f>Budget!I80</f>
        <v/>
      </c>
      <c r="AA65" s="508">
        <f>IF(OR(7&gt;$B$3,ISBLANK(Actuals!I80)),"",Actuals!I80)</f>
        <v/>
      </c>
      <c r="AB65" s="509">
        <f>IF(OR(7&gt;$B$3,ISBLANK(Actuals!I80)),"",Budget!I80-Actuals!I80)</f>
        <v/>
      </c>
      <c r="AC65" s="509">
        <f>IFERROR(IF(OR(7&gt;$B$3,ISBLANK(Actuals!I80)),"",(Budget!I80-Actuals!I80)/ABS(Budget!I80)),"")</f>
        <v/>
      </c>
      <c r="AD65" s="508">
        <f>Budget!J80</f>
        <v/>
      </c>
      <c r="AE65" s="508">
        <f>IF(OR(8&gt;$B$3,ISBLANK(Actuals!J80)),"",Actuals!J80)</f>
        <v/>
      </c>
      <c r="AF65" s="509">
        <f>IF(OR(8&gt;$B$3,ISBLANK(Actuals!J80)),"",Budget!J80-Actuals!J80)</f>
        <v/>
      </c>
      <c r="AG65" s="509">
        <f>IFERROR(IF(OR(8&gt;$B$3,ISBLANK(Actuals!J80)),"",(Budget!J80-Actuals!J80)/ABS(Budget!J80)),"")</f>
        <v/>
      </c>
      <c r="AH65" s="508">
        <f>Budget!K80</f>
        <v/>
      </c>
      <c r="AI65" s="508">
        <f>IF(OR(9&gt;$B$3,ISBLANK(Actuals!K80)),"",Actuals!K80)</f>
        <v/>
      </c>
      <c r="AJ65" s="509">
        <f>IF(OR(9&gt;$B$3,ISBLANK(Actuals!K80)),"",Budget!K80-Actuals!K80)</f>
        <v/>
      </c>
      <c r="AK65" s="509">
        <f>IFERROR(IF(OR(9&gt;$B$3,ISBLANK(Actuals!K80)),"",(Budget!K80-Actuals!K80)/ABS(Budget!K80)),"")</f>
        <v/>
      </c>
      <c r="AL65" s="508">
        <f>Budget!L80</f>
        <v/>
      </c>
      <c r="AM65" s="508">
        <f>IF(OR(10&gt;$B$3,ISBLANK(Actuals!L80)),"",Actuals!L80)</f>
        <v/>
      </c>
      <c r="AN65" s="509">
        <f>IF(OR(10&gt;$B$3,ISBLANK(Actuals!L80)),"",Budget!L80-Actuals!L80)</f>
        <v/>
      </c>
      <c r="AO65" s="509">
        <f>IFERROR(IF(OR(10&gt;$B$3,ISBLANK(Actuals!L80)),"",(Budget!L80-Actuals!L80)/ABS(Budget!L80)),"")</f>
        <v/>
      </c>
      <c r="AP65" s="508">
        <f>Budget!M80</f>
        <v/>
      </c>
      <c r="AQ65" s="508">
        <f>IF(OR(11&gt;$B$3,ISBLANK(Actuals!M80)),"",Actuals!M80)</f>
        <v/>
      </c>
      <c r="AR65" s="509">
        <f>IF(OR(11&gt;$B$3,ISBLANK(Actuals!M80)),"",Budget!M80-Actuals!M80)</f>
        <v/>
      </c>
      <c r="AS65" s="509">
        <f>IFERROR(IF(OR(11&gt;$B$3,ISBLANK(Actuals!M80)),"",(Budget!M80-Actuals!M80)/ABS(Budget!M80)),"")</f>
        <v/>
      </c>
      <c r="AT65" s="508">
        <f>Budget!N80</f>
        <v/>
      </c>
      <c r="AU65" s="508">
        <f>IF(OR(12&gt;$B$3,ISBLANK(Actuals!N80)),"",Actuals!N80)</f>
        <v/>
      </c>
      <c r="AV65" s="509">
        <f>IF(OR(12&gt;$B$3,ISBLANK(Actuals!N80)),"",Budget!N80-Actuals!N80)</f>
        <v/>
      </c>
      <c r="AW65" s="509">
        <f>IFERROR(IF(OR(12&gt;$B$3,ISBLANK(Actuals!N80)),"",(Budget!N80-Actuals!N80)/ABS(Budget!N80)),"")</f>
        <v/>
      </c>
      <c r="AX65" s="510">
        <f>SUMPRODUCT((Actuals!C80:N80&lt;&gt;"")*(Budget!C80:N80))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Budget!C63</f>
        <v/>
      </c>
      <c r="C66" s="508">
        <f>IF(OR(1&gt;$B$3,ISBLANK(Actuals!C63)),"",Actuals!C63)</f>
        <v/>
      </c>
      <c r="D66" s="509">
        <f>IF(OR(1&gt;$B$3,ISBLANK(Actuals!C63)),"",Budget!C63-Actuals!C63)</f>
        <v/>
      </c>
      <c r="E66" s="509">
        <f>IFERROR(IF(OR(1&gt;$B$3,ISBLANK(Actuals!C63)),"",(Budget!C63-Actuals!C63)/ABS(Budget!C63)),"")</f>
        <v/>
      </c>
      <c r="F66" s="508">
        <f>Budget!D63</f>
        <v/>
      </c>
      <c r="G66" s="508">
        <f>IF(OR(2&gt;$B$3,ISBLANK(Actuals!D63)),"",Actuals!D63)</f>
        <v/>
      </c>
      <c r="H66" s="509">
        <f>IF(OR(2&gt;$B$3,ISBLANK(Actuals!D63)),"",Budget!D63-Actuals!D63)</f>
        <v/>
      </c>
      <c r="I66" s="509">
        <f>IFERROR(IF(OR(2&gt;$B$3,ISBLANK(Actuals!D63)),"",(Budget!D63-Actuals!D63)/ABS(Budget!D63)),"")</f>
        <v/>
      </c>
      <c r="J66" s="508">
        <f>Budget!E63</f>
        <v/>
      </c>
      <c r="K66" s="508">
        <f>IF(OR(3&gt;$B$3,ISBLANK(Actuals!E63)),"",Actuals!E63)</f>
        <v/>
      </c>
      <c r="L66" s="509">
        <f>IF(OR(3&gt;$B$3,ISBLANK(Actuals!E63)),"",Budget!E63-Actuals!E63)</f>
        <v/>
      </c>
      <c r="M66" s="509">
        <f>IFERROR(IF(OR(3&gt;$B$3,ISBLANK(Actuals!E63)),"",(Budget!E63-Actuals!E63)/ABS(Budget!E63)),"")</f>
        <v/>
      </c>
      <c r="N66" s="508">
        <f>Budget!F63</f>
        <v/>
      </c>
      <c r="O66" s="508">
        <f>IF(OR(4&gt;$B$3,ISBLANK(Actuals!F63)),"",Actuals!F63)</f>
        <v/>
      </c>
      <c r="P66" s="509">
        <f>IF(OR(4&gt;$B$3,ISBLANK(Actuals!F63)),"",Budget!F63-Actuals!F63)</f>
        <v/>
      </c>
      <c r="Q66" s="509">
        <f>IFERROR(IF(OR(4&gt;$B$3,ISBLANK(Actuals!F63)),"",(Budget!F63-Actuals!F63)/ABS(Budget!F63)),"")</f>
        <v/>
      </c>
      <c r="R66" s="508">
        <f>Budget!G63</f>
        <v/>
      </c>
      <c r="S66" s="508">
        <f>IF(OR(5&gt;$B$3,ISBLANK(Actuals!G63)),"",Actuals!G63)</f>
        <v/>
      </c>
      <c r="T66" s="509">
        <f>IF(OR(5&gt;$B$3,ISBLANK(Actuals!G63)),"",Budget!G63-Actuals!G63)</f>
        <v/>
      </c>
      <c r="U66" s="509">
        <f>IFERROR(IF(OR(5&gt;$B$3,ISBLANK(Actuals!G63)),"",(Budget!G63-Actuals!G63)/ABS(Budget!G63)),"")</f>
        <v/>
      </c>
      <c r="V66" s="508">
        <f>Budget!H63</f>
        <v/>
      </c>
      <c r="W66" s="508">
        <f>IF(OR(6&gt;$B$3,ISBLANK(Actuals!H63)),"",Actuals!H63)</f>
        <v/>
      </c>
      <c r="X66" s="509">
        <f>IF(OR(6&gt;$B$3,ISBLANK(Actuals!H63)),"",Budget!H63-Actuals!H63)</f>
        <v/>
      </c>
      <c r="Y66" s="509">
        <f>IFERROR(IF(OR(6&gt;$B$3,ISBLANK(Actuals!H63)),"",(Budget!H63-Actuals!H63)/ABS(Budget!H63)),"")</f>
        <v/>
      </c>
      <c r="Z66" s="508">
        <f>Budget!I63</f>
        <v/>
      </c>
      <c r="AA66" s="508">
        <f>IF(OR(7&gt;$B$3,ISBLANK(Actuals!I63)),"",Actuals!I63)</f>
        <v/>
      </c>
      <c r="AB66" s="509">
        <f>IF(OR(7&gt;$B$3,ISBLANK(Actuals!I63)),"",Budget!I63-Actuals!I63)</f>
        <v/>
      </c>
      <c r="AC66" s="509">
        <f>IFERROR(IF(OR(7&gt;$B$3,ISBLANK(Actuals!I63)),"",(Budget!I63-Actuals!I63)/ABS(Budget!I63)),"")</f>
        <v/>
      </c>
      <c r="AD66" s="508">
        <f>Budget!J63</f>
        <v/>
      </c>
      <c r="AE66" s="508">
        <f>IF(OR(8&gt;$B$3,ISBLANK(Actuals!J63)),"",Actuals!J63)</f>
        <v/>
      </c>
      <c r="AF66" s="509">
        <f>IF(OR(8&gt;$B$3,ISBLANK(Actuals!J63)),"",Budget!J63-Actuals!J63)</f>
        <v/>
      </c>
      <c r="AG66" s="509">
        <f>IFERROR(IF(OR(8&gt;$B$3,ISBLANK(Actuals!J63)),"",(Budget!J63-Actuals!J63)/ABS(Budget!J63)),"")</f>
        <v/>
      </c>
      <c r="AH66" s="508">
        <f>Budget!K63</f>
        <v/>
      </c>
      <c r="AI66" s="508">
        <f>IF(OR(9&gt;$B$3,ISBLANK(Actuals!K63)),"",Actuals!K63)</f>
        <v/>
      </c>
      <c r="AJ66" s="509">
        <f>IF(OR(9&gt;$B$3,ISBLANK(Actuals!K63)),"",Budget!K63-Actuals!K63)</f>
        <v/>
      </c>
      <c r="AK66" s="509">
        <f>IFERROR(IF(OR(9&gt;$B$3,ISBLANK(Actuals!K63)),"",(Budget!K63-Actuals!K63)/ABS(Budget!K63)),"")</f>
        <v/>
      </c>
      <c r="AL66" s="508">
        <f>Budget!L63</f>
        <v/>
      </c>
      <c r="AM66" s="508">
        <f>IF(OR(10&gt;$B$3,ISBLANK(Actuals!L63)),"",Actuals!L63)</f>
        <v/>
      </c>
      <c r="AN66" s="509">
        <f>IF(OR(10&gt;$B$3,ISBLANK(Actuals!L63)),"",Budget!L63-Actuals!L63)</f>
        <v/>
      </c>
      <c r="AO66" s="509">
        <f>IFERROR(IF(OR(10&gt;$B$3,ISBLANK(Actuals!L63)),"",(Budget!L63-Actuals!L63)/ABS(Budget!L63)),"")</f>
        <v/>
      </c>
      <c r="AP66" s="508">
        <f>Budget!M63</f>
        <v/>
      </c>
      <c r="AQ66" s="508">
        <f>IF(OR(11&gt;$B$3,ISBLANK(Actuals!M63)),"",Actuals!M63)</f>
        <v/>
      </c>
      <c r="AR66" s="509">
        <f>IF(OR(11&gt;$B$3,ISBLANK(Actuals!M63)),"",Budget!M63-Actuals!M63)</f>
        <v/>
      </c>
      <c r="AS66" s="509">
        <f>IFERROR(IF(OR(11&gt;$B$3,ISBLANK(Actuals!M63)),"",(Budget!M63-Actuals!M63)/ABS(Budget!M63)),"")</f>
        <v/>
      </c>
      <c r="AT66" s="508">
        <f>Budget!N63</f>
        <v/>
      </c>
      <c r="AU66" s="508">
        <f>IF(OR(12&gt;$B$3,ISBLANK(Actuals!N63)),"",Actuals!N63)</f>
        <v/>
      </c>
      <c r="AV66" s="509">
        <f>IF(OR(12&gt;$B$3,ISBLANK(Actuals!N63)),"",Budget!N63-Actuals!N63)</f>
        <v/>
      </c>
      <c r="AW66" s="509">
        <f>IFERROR(IF(OR(12&gt;$B$3,ISBLANK(Actuals!N63)),"",(Budget!N63-Actuals!N63)/ABS(Budget!N63)),"")</f>
        <v/>
      </c>
      <c r="AX66" s="510">
        <f>SUMPRODUCT((Actuals!C63:N66&lt;&gt;"")*(Budget!C63:N66))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Budget!C83</f>
        <v/>
      </c>
      <c r="C67" s="508">
        <f>IF(OR(1&gt;$B$3,ISBLANK(Actuals!C83)),"",Actuals!C83)</f>
        <v/>
      </c>
      <c r="D67" s="509">
        <f>IF(OR(1&gt;$B$3,ISBLANK(Actuals!C83)),"",Budget!C83-Actuals!C83)</f>
        <v/>
      </c>
      <c r="E67" s="509">
        <f>IFERROR(IF(OR(1&gt;$B$3,ISBLANK(Actuals!C83)),"",(Budget!C83-Actuals!C83)/ABS(Budget!C83)),"")</f>
        <v/>
      </c>
      <c r="F67" s="508">
        <f>Budget!D83</f>
        <v/>
      </c>
      <c r="G67" s="508">
        <f>IF(OR(2&gt;$B$3,ISBLANK(Actuals!D83)),"",Actuals!D83)</f>
        <v/>
      </c>
      <c r="H67" s="509">
        <f>IF(OR(2&gt;$B$3,ISBLANK(Actuals!D83)),"",Budget!D83-Actuals!D83)</f>
        <v/>
      </c>
      <c r="I67" s="509">
        <f>IFERROR(IF(OR(2&gt;$B$3,ISBLANK(Actuals!D83)),"",(Budget!D83-Actuals!D83)/ABS(Budget!D83)),"")</f>
        <v/>
      </c>
      <c r="J67" s="508">
        <f>Budget!E83</f>
        <v/>
      </c>
      <c r="K67" s="508">
        <f>IF(OR(3&gt;$B$3,ISBLANK(Actuals!E83)),"",Actuals!E83)</f>
        <v/>
      </c>
      <c r="L67" s="509">
        <f>IF(OR(3&gt;$B$3,ISBLANK(Actuals!E83)),"",Budget!E83-Actuals!E83)</f>
        <v/>
      </c>
      <c r="M67" s="509">
        <f>IFERROR(IF(OR(3&gt;$B$3,ISBLANK(Actuals!E83)),"",(Budget!E83-Actuals!E83)/ABS(Budget!E83)),"")</f>
        <v/>
      </c>
      <c r="N67" s="508">
        <f>Budget!F83</f>
        <v/>
      </c>
      <c r="O67" s="508">
        <f>IF(OR(4&gt;$B$3,ISBLANK(Actuals!F83)),"",Actuals!F83)</f>
        <v/>
      </c>
      <c r="P67" s="509">
        <f>IF(OR(4&gt;$B$3,ISBLANK(Actuals!F83)),"",Budget!F83-Actuals!F83)</f>
        <v/>
      </c>
      <c r="Q67" s="509">
        <f>IFERROR(IF(OR(4&gt;$B$3,ISBLANK(Actuals!F83)),"",(Budget!F83-Actuals!F83)/ABS(Budget!F83)),"")</f>
        <v/>
      </c>
      <c r="R67" s="508">
        <f>Budget!G83</f>
        <v/>
      </c>
      <c r="S67" s="508">
        <f>IF(OR(5&gt;$B$3,ISBLANK(Actuals!G83)),"",Actuals!G83)</f>
        <v/>
      </c>
      <c r="T67" s="509">
        <f>IF(OR(5&gt;$B$3,ISBLANK(Actuals!G83)),"",Budget!G83-Actuals!G83)</f>
        <v/>
      </c>
      <c r="U67" s="509">
        <f>IFERROR(IF(OR(5&gt;$B$3,ISBLANK(Actuals!G83)),"",(Budget!G83-Actuals!G83)/ABS(Budget!G83)),"")</f>
        <v/>
      </c>
      <c r="V67" s="508">
        <f>Budget!H83</f>
        <v/>
      </c>
      <c r="W67" s="508">
        <f>IF(OR(6&gt;$B$3,ISBLANK(Actuals!H83)),"",Actuals!H83)</f>
        <v/>
      </c>
      <c r="X67" s="509">
        <f>IF(OR(6&gt;$B$3,ISBLANK(Actuals!H83)),"",Budget!H83-Actuals!H83)</f>
        <v/>
      </c>
      <c r="Y67" s="509">
        <f>IFERROR(IF(OR(6&gt;$B$3,ISBLANK(Actuals!H83)),"",(Budget!H83-Actuals!H83)/ABS(Budget!H83)),"")</f>
        <v/>
      </c>
      <c r="Z67" s="508">
        <f>Budget!I83</f>
        <v/>
      </c>
      <c r="AA67" s="508">
        <f>IF(OR(7&gt;$B$3,ISBLANK(Actuals!I83)),"",Actuals!I83)</f>
        <v/>
      </c>
      <c r="AB67" s="509">
        <f>IF(OR(7&gt;$B$3,ISBLANK(Actuals!I83)),"",Budget!I83-Actuals!I83)</f>
        <v/>
      </c>
      <c r="AC67" s="509">
        <f>IFERROR(IF(OR(7&gt;$B$3,ISBLANK(Actuals!I83)),"",(Budget!I83-Actuals!I83)/ABS(Budget!I83)),"")</f>
        <v/>
      </c>
      <c r="AD67" s="508">
        <f>Budget!J83</f>
        <v/>
      </c>
      <c r="AE67" s="508">
        <f>IF(OR(8&gt;$B$3,ISBLANK(Actuals!J83)),"",Actuals!J83)</f>
        <v/>
      </c>
      <c r="AF67" s="509">
        <f>IF(OR(8&gt;$B$3,ISBLANK(Actuals!J83)),"",Budget!J83-Actuals!J83)</f>
        <v/>
      </c>
      <c r="AG67" s="509">
        <f>IFERROR(IF(OR(8&gt;$B$3,ISBLANK(Actuals!J83)),"",(Budget!J83-Actuals!J83)/ABS(Budget!J83)),"")</f>
        <v/>
      </c>
      <c r="AH67" s="508">
        <f>Budget!K83</f>
        <v/>
      </c>
      <c r="AI67" s="508">
        <f>IF(OR(9&gt;$B$3,ISBLANK(Actuals!K83)),"",Actuals!K83)</f>
        <v/>
      </c>
      <c r="AJ67" s="509">
        <f>IF(OR(9&gt;$B$3,ISBLANK(Actuals!K83)),"",Budget!K83-Actuals!K83)</f>
        <v/>
      </c>
      <c r="AK67" s="509">
        <f>IFERROR(IF(OR(9&gt;$B$3,ISBLANK(Actuals!K83)),"",(Budget!K83-Actuals!K83)/ABS(Budget!K83)),"")</f>
        <v/>
      </c>
      <c r="AL67" s="508">
        <f>Budget!L83</f>
        <v/>
      </c>
      <c r="AM67" s="508">
        <f>IF(OR(10&gt;$B$3,ISBLANK(Actuals!L83)),"",Actuals!L83)</f>
        <v/>
      </c>
      <c r="AN67" s="509">
        <f>IF(OR(10&gt;$B$3,ISBLANK(Actuals!L83)),"",Budget!L83-Actuals!L83)</f>
        <v/>
      </c>
      <c r="AO67" s="509">
        <f>IFERROR(IF(OR(10&gt;$B$3,ISBLANK(Actuals!L83)),"",(Budget!L83-Actuals!L83)/ABS(Budget!L83)),"")</f>
        <v/>
      </c>
      <c r="AP67" s="508">
        <f>Budget!M83</f>
        <v/>
      </c>
      <c r="AQ67" s="508">
        <f>IF(OR(11&gt;$B$3,ISBLANK(Actuals!M83)),"",Actuals!M83)</f>
        <v/>
      </c>
      <c r="AR67" s="509">
        <f>IF(OR(11&gt;$B$3,ISBLANK(Actuals!M83)),"",Budget!M83-Actuals!M83)</f>
        <v/>
      </c>
      <c r="AS67" s="509">
        <f>IFERROR(IF(OR(11&gt;$B$3,ISBLANK(Actuals!M83)),"",(Budget!M83-Actuals!M83)/ABS(Budget!M83)),"")</f>
        <v/>
      </c>
      <c r="AT67" s="508">
        <f>Budget!N83</f>
        <v/>
      </c>
      <c r="AU67" s="508">
        <f>IF(OR(12&gt;$B$3,ISBLANK(Actuals!N83)),"",Actuals!N83)</f>
        <v/>
      </c>
      <c r="AV67" s="509">
        <f>IF(OR(12&gt;$B$3,ISBLANK(Actuals!N83)),"",Budget!N83-Actuals!N83)</f>
        <v/>
      </c>
      <c r="AW67" s="509">
        <f>IFERROR(IF(OR(12&gt;$B$3,ISBLANK(Actuals!N83)),"",(Budget!N83-Actuals!N83)/ABS(Budget!N83)),"")</f>
        <v/>
      </c>
      <c r="AX67" s="510">
        <f>SUMPRODUCT((Actuals!C83:N83&lt;&gt;"")*(Budget!C83:N83))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Budget!C84</f>
        <v/>
      </c>
      <c r="C68" s="508">
        <f>IF(OR(1&gt;$B$3,ISBLANK(Actuals!C84)),"",Actuals!C84)</f>
        <v/>
      </c>
      <c r="D68" s="509">
        <f>IF(OR(1&gt;$B$3,ISBLANK(Actuals!C84)),"",Budget!C84-Actuals!C84)</f>
        <v/>
      </c>
      <c r="E68" s="509">
        <f>IFERROR(IF(OR(1&gt;$B$3,ISBLANK(Actuals!C84)),"",(Budget!C84-Actuals!C84)/ABS(Budget!C84)),"")</f>
        <v/>
      </c>
      <c r="F68" s="508">
        <f>Budget!D84</f>
        <v/>
      </c>
      <c r="G68" s="508">
        <f>IF(OR(2&gt;$B$3,ISBLANK(Actuals!D84)),"",Actuals!D84)</f>
        <v/>
      </c>
      <c r="H68" s="509">
        <f>IF(OR(2&gt;$B$3,ISBLANK(Actuals!D84)),"",Budget!D84-Actuals!D84)</f>
        <v/>
      </c>
      <c r="I68" s="509">
        <f>IFERROR(IF(OR(2&gt;$B$3,ISBLANK(Actuals!D84)),"",(Budget!D84-Actuals!D84)/ABS(Budget!D84)),"")</f>
        <v/>
      </c>
      <c r="J68" s="508">
        <f>Budget!E84</f>
        <v/>
      </c>
      <c r="K68" s="508">
        <f>IF(OR(3&gt;$B$3,ISBLANK(Actuals!E84)),"",Actuals!E84)</f>
        <v/>
      </c>
      <c r="L68" s="509">
        <f>IF(OR(3&gt;$B$3,ISBLANK(Actuals!E84)),"",Budget!E84-Actuals!E84)</f>
        <v/>
      </c>
      <c r="M68" s="509">
        <f>IFERROR(IF(OR(3&gt;$B$3,ISBLANK(Actuals!E84)),"",(Budget!E84-Actuals!E84)/ABS(Budget!E84)),"")</f>
        <v/>
      </c>
      <c r="N68" s="508">
        <f>Budget!F84</f>
        <v/>
      </c>
      <c r="O68" s="508">
        <f>IF(OR(4&gt;$B$3,ISBLANK(Actuals!F84)),"",Actuals!F84)</f>
        <v/>
      </c>
      <c r="P68" s="509">
        <f>IF(OR(4&gt;$B$3,ISBLANK(Actuals!F84)),"",Budget!F84-Actuals!F84)</f>
        <v/>
      </c>
      <c r="Q68" s="509">
        <f>IFERROR(IF(OR(4&gt;$B$3,ISBLANK(Actuals!F84)),"",(Budget!F84-Actuals!F84)/ABS(Budget!F84)),"")</f>
        <v/>
      </c>
      <c r="R68" s="508">
        <f>Budget!G84</f>
        <v/>
      </c>
      <c r="S68" s="508">
        <f>IF(OR(5&gt;$B$3,ISBLANK(Actuals!G84)),"",Actuals!G84)</f>
        <v/>
      </c>
      <c r="T68" s="509">
        <f>IF(OR(5&gt;$B$3,ISBLANK(Actuals!G84)),"",Budget!G84-Actuals!G84)</f>
        <v/>
      </c>
      <c r="U68" s="509">
        <f>IFERROR(IF(OR(5&gt;$B$3,ISBLANK(Actuals!G84)),"",(Budget!G84-Actuals!G84)/ABS(Budget!G84)),"")</f>
        <v/>
      </c>
      <c r="V68" s="508">
        <f>Budget!H84</f>
        <v/>
      </c>
      <c r="W68" s="508">
        <f>IF(OR(6&gt;$B$3,ISBLANK(Actuals!H84)),"",Actuals!H84)</f>
        <v/>
      </c>
      <c r="X68" s="509">
        <f>IF(OR(6&gt;$B$3,ISBLANK(Actuals!H84)),"",Budget!H84-Actuals!H84)</f>
        <v/>
      </c>
      <c r="Y68" s="509">
        <f>IFERROR(IF(OR(6&gt;$B$3,ISBLANK(Actuals!H84)),"",(Budget!H84-Actuals!H84)/ABS(Budget!H84)),"")</f>
        <v/>
      </c>
      <c r="Z68" s="508">
        <f>Budget!I84</f>
        <v/>
      </c>
      <c r="AA68" s="508">
        <f>IF(OR(7&gt;$B$3,ISBLANK(Actuals!I84)),"",Actuals!I84)</f>
        <v/>
      </c>
      <c r="AB68" s="509">
        <f>IF(OR(7&gt;$B$3,ISBLANK(Actuals!I84)),"",Budget!I84-Actuals!I84)</f>
        <v/>
      </c>
      <c r="AC68" s="509">
        <f>IFERROR(IF(OR(7&gt;$B$3,ISBLANK(Actuals!I84)),"",(Budget!I84-Actuals!I84)/ABS(Budget!I84)),"")</f>
        <v/>
      </c>
      <c r="AD68" s="508">
        <f>Budget!J84</f>
        <v/>
      </c>
      <c r="AE68" s="508">
        <f>IF(OR(8&gt;$B$3,ISBLANK(Actuals!J84)),"",Actuals!J84)</f>
        <v/>
      </c>
      <c r="AF68" s="509">
        <f>IF(OR(8&gt;$B$3,ISBLANK(Actuals!J84)),"",Budget!J84-Actuals!J84)</f>
        <v/>
      </c>
      <c r="AG68" s="509">
        <f>IFERROR(IF(OR(8&gt;$B$3,ISBLANK(Actuals!J84)),"",(Budget!J84-Actuals!J84)/ABS(Budget!J84)),"")</f>
        <v/>
      </c>
      <c r="AH68" s="508">
        <f>Budget!K84</f>
        <v/>
      </c>
      <c r="AI68" s="508">
        <f>IF(OR(9&gt;$B$3,ISBLANK(Actuals!K84)),"",Actuals!K84)</f>
        <v/>
      </c>
      <c r="AJ68" s="509">
        <f>IF(OR(9&gt;$B$3,ISBLANK(Actuals!K84)),"",Budget!K84-Actuals!K84)</f>
        <v/>
      </c>
      <c r="AK68" s="509">
        <f>IFERROR(IF(OR(9&gt;$B$3,ISBLANK(Actuals!K84)),"",(Budget!K84-Actuals!K84)/ABS(Budget!K84)),"")</f>
        <v/>
      </c>
      <c r="AL68" s="508">
        <f>Budget!L84</f>
        <v/>
      </c>
      <c r="AM68" s="508">
        <f>IF(OR(10&gt;$B$3,ISBLANK(Actuals!L84)),"",Actuals!L84)</f>
        <v/>
      </c>
      <c r="AN68" s="509">
        <f>IF(OR(10&gt;$B$3,ISBLANK(Actuals!L84)),"",Budget!L84-Actuals!L84)</f>
        <v/>
      </c>
      <c r="AO68" s="509">
        <f>IFERROR(IF(OR(10&gt;$B$3,ISBLANK(Actuals!L84)),"",(Budget!L84-Actuals!L84)/ABS(Budget!L84)),"")</f>
        <v/>
      </c>
      <c r="AP68" s="508">
        <f>Budget!M84</f>
        <v/>
      </c>
      <c r="AQ68" s="508">
        <f>IF(OR(11&gt;$B$3,ISBLANK(Actuals!M84)),"",Actuals!M84)</f>
        <v/>
      </c>
      <c r="AR68" s="509">
        <f>IF(OR(11&gt;$B$3,ISBLANK(Actuals!M84)),"",Budget!M84-Actuals!M84)</f>
        <v/>
      </c>
      <c r="AS68" s="509">
        <f>IFERROR(IF(OR(11&gt;$B$3,ISBLANK(Actuals!M84)),"",(Budget!M84-Actuals!M84)/ABS(Budget!M84)),"")</f>
        <v/>
      </c>
      <c r="AT68" s="508">
        <f>Budget!N84</f>
        <v/>
      </c>
      <c r="AU68" s="508">
        <f>IF(OR(12&gt;$B$3,ISBLANK(Actuals!N84)),"",Actuals!N84)</f>
        <v/>
      </c>
      <c r="AV68" s="509">
        <f>IF(OR(12&gt;$B$3,ISBLANK(Actuals!N84)),"",Budget!N84-Actuals!N84)</f>
        <v/>
      </c>
      <c r="AW68" s="509">
        <f>IFERROR(IF(OR(12&gt;$B$3,ISBLANK(Actuals!N84)),"",(Budget!N84-Actuals!N84)/ABS(Budget!N84)),"")</f>
        <v/>
      </c>
      <c r="AX68" s="510">
        <f>SUMPRODUCT((Actuals!C84:N84&lt;&gt;"")*(Budget!C84:N84))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Budget!C85</f>
        <v/>
      </c>
      <c r="C69" s="508">
        <f>IF(OR(1&gt;$B$3,ISBLANK(Actuals!C85)),"",Actuals!C85)</f>
        <v/>
      </c>
      <c r="D69" s="509">
        <f>IF(OR(1&gt;$B$3,ISBLANK(Actuals!C85)),"",Budget!C85-Actuals!C85)</f>
        <v/>
      </c>
      <c r="E69" s="509">
        <f>IFERROR(IF(OR(1&gt;$B$3,ISBLANK(Actuals!C85)),"",(Budget!C85-Actuals!C85)/ABS(Budget!C85)),"")</f>
        <v/>
      </c>
      <c r="F69" s="508">
        <f>Budget!D85</f>
        <v/>
      </c>
      <c r="G69" s="508">
        <f>IF(OR(2&gt;$B$3,ISBLANK(Actuals!D85)),"",Actuals!D85)</f>
        <v/>
      </c>
      <c r="H69" s="509">
        <f>IF(OR(2&gt;$B$3,ISBLANK(Actuals!D85)),"",Budget!D85-Actuals!D85)</f>
        <v/>
      </c>
      <c r="I69" s="509">
        <f>IFERROR(IF(OR(2&gt;$B$3,ISBLANK(Actuals!D85)),"",(Budget!D85-Actuals!D85)/ABS(Budget!D85)),"")</f>
        <v/>
      </c>
      <c r="J69" s="508">
        <f>Budget!E85</f>
        <v/>
      </c>
      <c r="K69" s="508">
        <f>IF(OR(3&gt;$B$3,ISBLANK(Actuals!E85)),"",Actuals!E85)</f>
        <v/>
      </c>
      <c r="L69" s="509">
        <f>IF(OR(3&gt;$B$3,ISBLANK(Actuals!E85)),"",Budget!E85-Actuals!E85)</f>
        <v/>
      </c>
      <c r="M69" s="509">
        <f>IFERROR(IF(OR(3&gt;$B$3,ISBLANK(Actuals!E85)),"",(Budget!E85-Actuals!E85)/ABS(Budget!E85)),"")</f>
        <v/>
      </c>
      <c r="N69" s="508">
        <f>Budget!F85</f>
        <v/>
      </c>
      <c r="O69" s="508">
        <f>IF(OR(4&gt;$B$3,ISBLANK(Actuals!F85)),"",Actuals!F85)</f>
        <v/>
      </c>
      <c r="P69" s="509">
        <f>IF(OR(4&gt;$B$3,ISBLANK(Actuals!F85)),"",Budget!F85-Actuals!F85)</f>
        <v/>
      </c>
      <c r="Q69" s="509">
        <f>IFERROR(IF(OR(4&gt;$B$3,ISBLANK(Actuals!F85)),"",(Budget!F85-Actuals!F85)/ABS(Budget!F85)),"")</f>
        <v/>
      </c>
      <c r="R69" s="508">
        <f>Budget!G85</f>
        <v/>
      </c>
      <c r="S69" s="508">
        <f>IF(OR(5&gt;$B$3,ISBLANK(Actuals!G85)),"",Actuals!G85)</f>
        <v/>
      </c>
      <c r="T69" s="509">
        <f>IF(OR(5&gt;$B$3,ISBLANK(Actuals!G85)),"",Budget!G85-Actuals!G85)</f>
        <v/>
      </c>
      <c r="U69" s="509">
        <f>IFERROR(IF(OR(5&gt;$B$3,ISBLANK(Actuals!G85)),"",(Budget!G85-Actuals!G85)/ABS(Budget!G85)),"")</f>
        <v/>
      </c>
      <c r="V69" s="508">
        <f>Budget!H85</f>
        <v/>
      </c>
      <c r="W69" s="508">
        <f>IF(OR(6&gt;$B$3,ISBLANK(Actuals!H85)),"",Actuals!H85)</f>
        <v/>
      </c>
      <c r="X69" s="509">
        <f>IF(OR(6&gt;$B$3,ISBLANK(Actuals!H85)),"",Budget!H85-Actuals!H85)</f>
        <v/>
      </c>
      <c r="Y69" s="509">
        <f>IFERROR(IF(OR(6&gt;$B$3,ISBLANK(Actuals!H85)),"",(Budget!H85-Actuals!H85)/ABS(Budget!H85)),"")</f>
        <v/>
      </c>
      <c r="Z69" s="508">
        <f>Budget!I85</f>
        <v/>
      </c>
      <c r="AA69" s="508">
        <f>IF(OR(7&gt;$B$3,ISBLANK(Actuals!I85)),"",Actuals!I85)</f>
        <v/>
      </c>
      <c r="AB69" s="509">
        <f>IF(OR(7&gt;$B$3,ISBLANK(Actuals!I85)),"",Budget!I85-Actuals!I85)</f>
        <v/>
      </c>
      <c r="AC69" s="509">
        <f>IFERROR(IF(OR(7&gt;$B$3,ISBLANK(Actuals!I85)),"",(Budget!I85-Actuals!I85)/ABS(Budget!I85)),"")</f>
        <v/>
      </c>
      <c r="AD69" s="508">
        <f>Budget!J85</f>
        <v/>
      </c>
      <c r="AE69" s="508">
        <f>IF(OR(8&gt;$B$3,ISBLANK(Actuals!J85)),"",Actuals!J85)</f>
        <v/>
      </c>
      <c r="AF69" s="509">
        <f>IF(OR(8&gt;$B$3,ISBLANK(Actuals!J85)),"",Budget!J85-Actuals!J85)</f>
        <v/>
      </c>
      <c r="AG69" s="509">
        <f>IFERROR(IF(OR(8&gt;$B$3,ISBLANK(Actuals!J85)),"",(Budget!J85-Actuals!J85)/ABS(Budget!J85)),"")</f>
        <v/>
      </c>
      <c r="AH69" s="508">
        <f>Budget!K85</f>
        <v/>
      </c>
      <c r="AI69" s="508">
        <f>IF(OR(9&gt;$B$3,ISBLANK(Actuals!K85)),"",Actuals!K85)</f>
        <v/>
      </c>
      <c r="AJ69" s="509">
        <f>IF(OR(9&gt;$B$3,ISBLANK(Actuals!K85)),"",Budget!K85-Actuals!K85)</f>
        <v/>
      </c>
      <c r="AK69" s="509">
        <f>IFERROR(IF(OR(9&gt;$B$3,ISBLANK(Actuals!K85)),"",(Budget!K85-Actuals!K85)/ABS(Budget!K85)),"")</f>
        <v/>
      </c>
      <c r="AL69" s="508">
        <f>Budget!L85</f>
        <v/>
      </c>
      <c r="AM69" s="508">
        <f>IF(OR(10&gt;$B$3,ISBLANK(Actuals!L85)),"",Actuals!L85)</f>
        <v/>
      </c>
      <c r="AN69" s="509">
        <f>IF(OR(10&gt;$B$3,ISBLANK(Actuals!L85)),"",Budget!L85-Actuals!L85)</f>
        <v/>
      </c>
      <c r="AO69" s="509">
        <f>IFERROR(IF(OR(10&gt;$B$3,ISBLANK(Actuals!L85)),"",(Budget!L85-Actuals!L85)/ABS(Budget!L85)),"")</f>
        <v/>
      </c>
      <c r="AP69" s="508">
        <f>Budget!M85</f>
        <v/>
      </c>
      <c r="AQ69" s="508">
        <f>IF(OR(11&gt;$B$3,ISBLANK(Actuals!M85)),"",Actuals!M85)</f>
        <v/>
      </c>
      <c r="AR69" s="509">
        <f>IF(OR(11&gt;$B$3,ISBLANK(Actuals!M85)),"",Budget!M85-Actuals!M85)</f>
        <v/>
      </c>
      <c r="AS69" s="509">
        <f>IFERROR(IF(OR(11&gt;$B$3,ISBLANK(Actuals!M85)),"",(Budget!M85-Actuals!M85)/ABS(Budget!M85)),"")</f>
        <v/>
      </c>
      <c r="AT69" s="508">
        <f>Budget!N85</f>
        <v/>
      </c>
      <c r="AU69" s="508">
        <f>IF(OR(12&gt;$B$3,ISBLANK(Actuals!N85)),"",Actuals!N85)</f>
        <v/>
      </c>
      <c r="AV69" s="509">
        <f>IF(OR(12&gt;$B$3,ISBLANK(Actuals!N85)),"",Budget!N85-Actuals!N85)</f>
        <v/>
      </c>
      <c r="AW69" s="509">
        <f>IFERROR(IF(OR(12&gt;$B$3,ISBLANK(Actuals!N85)),"",(Budget!N85-Actuals!N85)/ABS(Budget!N85)),"")</f>
        <v/>
      </c>
      <c r="AX69" s="510">
        <f>SUMPRODUCT((Actuals!C85:N85&lt;&gt;"")*(Budget!C85:N85))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Budget!C86</f>
        <v/>
      </c>
      <c r="C70" s="508">
        <f>IF(OR(1&gt;$B$3,ISBLANK(Actuals!C86)),"",Actuals!C86)</f>
        <v/>
      </c>
      <c r="D70" s="509">
        <f>IF(OR(1&gt;$B$3,ISBLANK(Actuals!C86)),"",Budget!C86-Actuals!C86)</f>
        <v/>
      </c>
      <c r="E70" s="509">
        <f>IFERROR(IF(OR(1&gt;$B$3,ISBLANK(Actuals!C86)),"",(Budget!C86-Actuals!C86)/ABS(Budget!C86)),"")</f>
        <v/>
      </c>
      <c r="F70" s="508">
        <f>Budget!D86</f>
        <v/>
      </c>
      <c r="G70" s="508">
        <f>IF(OR(2&gt;$B$3,ISBLANK(Actuals!D86)),"",Actuals!D86)</f>
        <v/>
      </c>
      <c r="H70" s="509">
        <f>IF(OR(2&gt;$B$3,ISBLANK(Actuals!D86)),"",Budget!D86-Actuals!D86)</f>
        <v/>
      </c>
      <c r="I70" s="509">
        <f>IFERROR(IF(OR(2&gt;$B$3,ISBLANK(Actuals!D86)),"",(Budget!D86-Actuals!D86)/ABS(Budget!D86)),"")</f>
        <v/>
      </c>
      <c r="J70" s="508">
        <f>Budget!E86</f>
        <v/>
      </c>
      <c r="K70" s="508">
        <f>IF(OR(3&gt;$B$3,ISBLANK(Actuals!E86)),"",Actuals!E86)</f>
        <v/>
      </c>
      <c r="L70" s="509">
        <f>IF(OR(3&gt;$B$3,ISBLANK(Actuals!E86)),"",Budget!E86-Actuals!E86)</f>
        <v/>
      </c>
      <c r="M70" s="509">
        <f>IFERROR(IF(OR(3&gt;$B$3,ISBLANK(Actuals!E86)),"",(Budget!E86-Actuals!E86)/ABS(Budget!E86)),"")</f>
        <v/>
      </c>
      <c r="N70" s="508">
        <f>Budget!F86</f>
        <v/>
      </c>
      <c r="O70" s="508">
        <f>IF(OR(4&gt;$B$3,ISBLANK(Actuals!F86)),"",Actuals!F86)</f>
        <v/>
      </c>
      <c r="P70" s="509">
        <f>IF(OR(4&gt;$B$3,ISBLANK(Actuals!F86)),"",Budget!F86-Actuals!F86)</f>
        <v/>
      </c>
      <c r="Q70" s="509">
        <f>IFERROR(IF(OR(4&gt;$B$3,ISBLANK(Actuals!F86)),"",(Budget!F86-Actuals!F86)/ABS(Budget!F86)),"")</f>
        <v/>
      </c>
      <c r="R70" s="508">
        <f>Budget!G86</f>
        <v/>
      </c>
      <c r="S70" s="508">
        <f>IF(OR(5&gt;$B$3,ISBLANK(Actuals!G86)),"",Actuals!G86)</f>
        <v/>
      </c>
      <c r="T70" s="509">
        <f>IF(OR(5&gt;$B$3,ISBLANK(Actuals!G86)),"",Budget!G86-Actuals!G86)</f>
        <v/>
      </c>
      <c r="U70" s="509">
        <f>IFERROR(IF(OR(5&gt;$B$3,ISBLANK(Actuals!G86)),"",(Budget!G86-Actuals!G86)/ABS(Budget!G86)),"")</f>
        <v/>
      </c>
      <c r="V70" s="508">
        <f>Budget!H86</f>
        <v/>
      </c>
      <c r="W70" s="508">
        <f>IF(OR(6&gt;$B$3,ISBLANK(Actuals!H86)),"",Actuals!H86)</f>
        <v/>
      </c>
      <c r="X70" s="509">
        <f>IF(OR(6&gt;$B$3,ISBLANK(Actuals!H86)),"",Budget!H86-Actuals!H86)</f>
        <v/>
      </c>
      <c r="Y70" s="509">
        <f>IFERROR(IF(OR(6&gt;$B$3,ISBLANK(Actuals!H86)),"",(Budget!H86-Actuals!H86)/ABS(Budget!H86)),"")</f>
        <v/>
      </c>
      <c r="Z70" s="508">
        <f>Budget!I86</f>
        <v/>
      </c>
      <c r="AA70" s="508">
        <f>IF(OR(7&gt;$B$3,ISBLANK(Actuals!I86)),"",Actuals!I86)</f>
        <v/>
      </c>
      <c r="AB70" s="509">
        <f>IF(OR(7&gt;$B$3,ISBLANK(Actuals!I86)),"",Budget!I86-Actuals!I86)</f>
        <v/>
      </c>
      <c r="AC70" s="509">
        <f>IFERROR(IF(OR(7&gt;$B$3,ISBLANK(Actuals!I86)),"",(Budget!I86-Actuals!I86)/ABS(Budget!I86)),"")</f>
        <v/>
      </c>
      <c r="AD70" s="508">
        <f>Budget!J86</f>
        <v/>
      </c>
      <c r="AE70" s="508">
        <f>IF(OR(8&gt;$B$3,ISBLANK(Actuals!J86)),"",Actuals!J86)</f>
        <v/>
      </c>
      <c r="AF70" s="509">
        <f>IF(OR(8&gt;$B$3,ISBLANK(Actuals!J86)),"",Budget!J86-Actuals!J86)</f>
        <v/>
      </c>
      <c r="AG70" s="509">
        <f>IFERROR(IF(OR(8&gt;$B$3,ISBLANK(Actuals!J86)),"",(Budget!J86-Actuals!J86)/ABS(Budget!J86)),"")</f>
        <v/>
      </c>
      <c r="AH70" s="508">
        <f>Budget!K86</f>
        <v/>
      </c>
      <c r="AI70" s="508">
        <f>IF(OR(9&gt;$B$3,ISBLANK(Actuals!K86)),"",Actuals!K86)</f>
        <v/>
      </c>
      <c r="AJ70" s="509">
        <f>IF(OR(9&gt;$B$3,ISBLANK(Actuals!K86)),"",Budget!K86-Actuals!K86)</f>
        <v/>
      </c>
      <c r="AK70" s="509">
        <f>IFERROR(IF(OR(9&gt;$B$3,ISBLANK(Actuals!K86)),"",(Budget!K86-Actuals!K86)/ABS(Budget!K86)),"")</f>
        <v/>
      </c>
      <c r="AL70" s="508">
        <f>Budget!L86</f>
        <v/>
      </c>
      <c r="AM70" s="508">
        <f>IF(OR(10&gt;$B$3,ISBLANK(Actuals!L86)),"",Actuals!L86)</f>
        <v/>
      </c>
      <c r="AN70" s="509">
        <f>IF(OR(10&gt;$B$3,ISBLANK(Actuals!L86)),"",Budget!L86-Actuals!L86)</f>
        <v/>
      </c>
      <c r="AO70" s="509">
        <f>IFERROR(IF(OR(10&gt;$B$3,ISBLANK(Actuals!L86)),"",(Budget!L86-Actuals!L86)/ABS(Budget!L86)),"")</f>
        <v/>
      </c>
      <c r="AP70" s="508">
        <f>Budget!M86</f>
        <v/>
      </c>
      <c r="AQ70" s="508">
        <f>IF(OR(11&gt;$B$3,ISBLANK(Actuals!M86)),"",Actuals!M86)</f>
        <v/>
      </c>
      <c r="AR70" s="509">
        <f>IF(OR(11&gt;$B$3,ISBLANK(Actuals!M86)),"",Budget!M86-Actuals!M86)</f>
        <v/>
      </c>
      <c r="AS70" s="509">
        <f>IFERROR(IF(OR(11&gt;$B$3,ISBLANK(Actuals!M86)),"",(Budget!M86-Actuals!M86)/ABS(Budget!M86)),"")</f>
        <v/>
      </c>
      <c r="AT70" s="508">
        <f>Budget!N86</f>
        <v/>
      </c>
      <c r="AU70" s="508">
        <f>IF(OR(12&gt;$B$3,ISBLANK(Actuals!N86)),"",Actuals!N86)</f>
        <v/>
      </c>
      <c r="AV70" s="509">
        <f>IF(OR(12&gt;$B$3,ISBLANK(Actuals!N86)),"",Budget!N86-Actuals!N86)</f>
        <v/>
      </c>
      <c r="AW70" s="509">
        <f>IFERROR(IF(OR(12&gt;$B$3,ISBLANK(Actuals!N86)),"",(Budget!N86-Actuals!N86)/ABS(Budget!N86)),"")</f>
        <v/>
      </c>
      <c r="AX70" s="510">
        <f>SUMPRODUCT((Actuals!C86:N86&lt;&gt;"")*(Budget!C86:N86))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Budget!C87</f>
        <v/>
      </c>
      <c r="C71" s="508">
        <f>IF(OR(1&gt;$B$3,ISBLANK(Actuals!C87)),"",Actuals!C87)</f>
        <v/>
      </c>
      <c r="D71" s="509">
        <f>IF(OR(1&gt;$B$3,ISBLANK(Actuals!C87)),"",Budget!C87-Actuals!C87)</f>
        <v/>
      </c>
      <c r="E71" s="509">
        <f>IFERROR(IF(OR(1&gt;$B$3,ISBLANK(Actuals!C87)),"",(Budget!C87-Actuals!C87)/ABS(Budget!C87)),"")</f>
        <v/>
      </c>
      <c r="F71" s="508">
        <f>Budget!D87</f>
        <v/>
      </c>
      <c r="G71" s="508">
        <f>IF(OR(2&gt;$B$3,ISBLANK(Actuals!D87)),"",Actuals!D87)</f>
        <v/>
      </c>
      <c r="H71" s="509">
        <f>IF(OR(2&gt;$B$3,ISBLANK(Actuals!D87)),"",Budget!D87-Actuals!D87)</f>
        <v/>
      </c>
      <c r="I71" s="509">
        <f>IFERROR(IF(OR(2&gt;$B$3,ISBLANK(Actuals!D87)),"",(Budget!D87-Actuals!D87)/ABS(Budget!D87)),"")</f>
        <v/>
      </c>
      <c r="J71" s="508">
        <f>Budget!E87</f>
        <v/>
      </c>
      <c r="K71" s="508">
        <f>IF(OR(3&gt;$B$3,ISBLANK(Actuals!E87)),"",Actuals!E87)</f>
        <v/>
      </c>
      <c r="L71" s="509">
        <f>IF(OR(3&gt;$B$3,ISBLANK(Actuals!E87)),"",Budget!E87-Actuals!E87)</f>
        <v/>
      </c>
      <c r="M71" s="509">
        <f>IFERROR(IF(OR(3&gt;$B$3,ISBLANK(Actuals!E87)),"",(Budget!E87-Actuals!E87)/ABS(Budget!E87)),"")</f>
        <v/>
      </c>
      <c r="N71" s="508">
        <f>Budget!F87</f>
        <v/>
      </c>
      <c r="O71" s="508">
        <f>IF(OR(4&gt;$B$3,ISBLANK(Actuals!F87)),"",Actuals!F87)</f>
        <v/>
      </c>
      <c r="P71" s="509">
        <f>IF(OR(4&gt;$B$3,ISBLANK(Actuals!F87)),"",Budget!F87-Actuals!F87)</f>
        <v/>
      </c>
      <c r="Q71" s="509">
        <f>IFERROR(IF(OR(4&gt;$B$3,ISBLANK(Actuals!F87)),"",(Budget!F87-Actuals!F87)/ABS(Budget!F87)),"")</f>
        <v/>
      </c>
      <c r="R71" s="508">
        <f>Budget!G87</f>
        <v/>
      </c>
      <c r="S71" s="508">
        <f>IF(OR(5&gt;$B$3,ISBLANK(Actuals!G87)),"",Actuals!G87)</f>
        <v/>
      </c>
      <c r="T71" s="509">
        <f>IF(OR(5&gt;$B$3,ISBLANK(Actuals!G87)),"",Budget!G87-Actuals!G87)</f>
        <v/>
      </c>
      <c r="U71" s="509">
        <f>IFERROR(IF(OR(5&gt;$B$3,ISBLANK(Actuals!G87)),"",(Budget!G87-Actuals!G87)/ABS(Budget!G87)),"")</f>
        <v/>
      </c>
      <c r="V71" s="508">
        <f>Budget!H87</f>
        <v/>
      </c>
      <c r="W71" s="508">
        <f>IF(OR(6&gt;$B$3,ISBLANK(Actuals!H87)),"",Actuals!H87)</f>
        <v/>
      </c>
      <c r="X71" s="509">
        <f>IF(OR(6&gt;$B$3,ISBLANK(Actuals!H87)),"",Budget!H87-Actuals!H87)</f>
        <v/>
      </c>
      <c r="Y71" s="509">
        <f>IFERROR(IF(OR(6&gt;$B$3,ISBLANK(Actuals!H87)),"",(Budget!H87-Actuals!H87)/ABS(Budget!H87)),"")</f>
        <v/>
      </c>
      <c r="Z71" s="508">
        <f>Budget!I87</f>
        <v/>
      </c>
      <c r="AA71" s="508">
        <f>IF(OR(7&gt;$B$3,ISBLANK(Actuals!I87)),"",Actuals!I87)</f>
        <v/>
      </c>
      <c r="AB71" s="509">
        <f>IF(OR(7&gt;$B$3,ISBLANK(Actuals!I87)),"",Budget!I87-Actuals!I87)</f>
        <v/>
      </c>
      <c r="AC71" s="509">
        <f>IFERROR(IF(OR(7&gt;$B$3,ISBLANK(Actuals!I87)),"",(Budget!I87-Actuals!I87)/ABS(Budget!I87)),"")</f>
        <v/>
      </c>
      <c r="AD71" s="508">
        <f>Budget!J87</f>
        <v/>
      </c>
      <c r="AE71" s="508">
        <f>IF(OR(8&gt;$B$3,ISBLANK(Actuals!J87)),"",Actuals!J87)</f>
        <v/>
      </c>
      <c r="AF71" s="509">
        <f>IF(OR(8&gt;$B$3,ISBLANK(Actuals!J87)),"",Budget!J87-Actuals!J87)</f>
        <v/>
      </c>
      <c r="AG71" s="509">
        <f>IFERROR(IF(OR(8&gt;$B$3,ISBLANK(Actuals!J87)),"",(Budget!J87-Actuals!J87)/ABS(Budget!J87)),"")</f>
        <v/>
      </c>
      <c r="AH71" s="508">
        <f>Budget!K87</f>
        <v/>
      </c>
      <c r="AI71" s="508">
        <f>IF(OR(9&gt;$B$3,ISBLANK(Actuals!K87)),"",Actuals!K87)</f>
        <v/>
      </c>
      <c r="AJ71" s="509">
        <f>IF(OR(9&gt;$B$3,ISBLANK(Actuals!K87)),"",Budget!K87-Actuals!K87)</f>
        <v/>
      </c>
      <c r="AK71" s="509">
        <f>IFERROR(IF(OR(9&gt;$B$3,ISBLANK(Actuals!K87)),"",(Budget!K87-Actuals!K87)/ABS(Budget!K87)),"")</f>
        <v/>
      </c>
      <c r="AL71" s="508">
        <f>Budget!L87</f>
        <v/>
      </c>
      <c r="AM71" s="508">
        <f>IF(OR(10&gt;$B$3,ISBLANK(Actuals!L87)),"",Actuals!L87)</f>
        <v/>
      </c>
      <c r="AN71" s="509">
        <f>IF(OR(10&gt;$B$3,ISBLANK(Actuals!L87)),"",Budget!L87-Actuals!L87)</f>
        <v/>
      </c>
      <c r="AO71" s="509">
        <f>IFERROR(IF(OR(10&gt;$B$3,ISBLANK(Actuals!L87)),"",(Budget!L87-Actuals!L87)/ABS(Budget!L87)),"")</f>
        <v/>
      </c>
      <c r="AP71" s="508">
        <f>Budget!M87</f>
        <v/>
      </c>
      <c r="AQ71" s="508">
        <f>IF(OR(11&gt;$B$3,ISBLANK(Actuals!M87)),"",Actuals!M87)</f>
        <v/>
      </c>
      <c r="AR71" s="509">
        <f>IF(OR(11&gt;$B$3,ISBLANK(Actuals!M87)),"",Budget!M87-Actuals!M87)</f>
        <v/>
      </c>
      <c r="AS71" s="509">
        <f>IFERROR(IF(OR(11&gt;$B$3,ISBLANK(Actuals!M87)),"",(Budget!M87-Actuals!M87)/ABS(Budget!M87)),"")</f>
        <v/>
      </c>
      <c r="AT71" s="508">
        <f>Budget!N87</f>
        <v/>
      </c>
      <c r="AU71" s="508">
        <f>IF(OR(12&gt;$B$3,ISBLANK(Actuals!N87)),"",Actuals!N87)</f>
        <v/>
      </c>
      <c r="AV71" s="509">
        <f>IF(OR(12&gt;$B$3,ISBLANK(Actuals!N87)),"",Budget!N87-Actuals!N87)</f>
        <v/>
      </c>
      <c r="AW71" s="509">
        <f>IFERROR(IF(OR(12&gt;$B$3,ISBLANK(Actuals!N87)),"",(Budget!N87-Actuals!N87)/ABS(Budget!N87)),"")</f>
        <v/>
      </c>
      <c r="AX71" s="510">
        <f>SUMPRODUCT((Actuals!C87:N87&lt;&gt;"")*(Budget!C87:N87))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Budget!C88</f>
        <v/>
      </c>
      <c r="C72" s="508">
        <f>IF(OR(1&gt;$B$3,ISBLANK(Actuals!C88)),"",Actuals!C88)</f>
        <v/>
      </c>
      <c r="D72" s="509">
        <f>IF(OR(1&gt;$B$3,ISBLANK(Actuals!C88)),"",Budget!C88-Actuals!C88)</f>
        <v/>
      </c>
      <c r="E72" s="509">
        <f>IFERROR(IF(OR(1&gt;$B$3,ISBLANK(Actuals!C88)),"",(Budget!C88-Actuals!C88)/ABS(Budget!C88)),"")</f>
        <v/>
      </c>
      <c r="F72" s="508">
        <f>Budget!D88</f>
        <v/>
      </c>
      <c r="G72" s="508">
        <f>IF(OR(2&gt;$B$3,ISBLANK(Actuals!D88)),"",Actuals!D88)</f>
        <v/>
      </c>
      <c r="H72" s="509">
        <f>IF(OR(2&gt;$B$3,ISBLANK(Actuals!D88)),"",Budget!D88-Actuals!D88)</f>
        <v/>
      </c>
      <c r="I72" s="509">
        <f>IFERROR(IF(OR(2&gt;$B$3,ISBLANK(Actuals!D88)),"",(Budget!D88-Actuals!D88)/ABS(Budget!D88)),"")</f>
        <v/>
      </c>
      <c r="J72" s="508">
        <f>Budget!E88</f>
        <v/>
      </c>
      <c r="K72" s="508">
        <f>IF(OR(3&gt;$B$3,ISBLANK(Actuals!E88)),"",Actuals!E88)</f>
        <v/>
      </c>
      <c r="L72" s="509">
        <f>IF(OR(3&gt;$B$3,ISBLANK(Actuals!E88)),"",Budget!E88-Actuals!E88)</f>
        <v/>
      </c>
      <c r="M72" s="509">
        <f>IFERROR(IF(OR(3&gt;$B$3,ISBLANK(Actuals!E88)),"",(Budget!E88-Actuals!E88)/ABS(Budget!E88)),"")</f>
        <v/>
      </c>
      <c r="N72" s="508">
        <f>Budget!F88</f>
        <v/>
      </c>
      <c r="O72" s="508">
        <f>IF(OR(4&gt;$B$3,ISBLANK(Actuals!F88)),"",Actuals!F88)</f>
        <v/>
      </c>
      <c r="P72" s="509">
        <f>IF(OR(4&gt;$B$3,ISBLANK(Actuals!F88)),"",Budget!F88-Actuals!F88)</f>
        <v/>
      </c>
      <c r="Q72" s="509">
        <f>IFERROR(IF(OR(4&gt;$B$3,ISBLANK(Actuals!F88)),"",(Budget!F88-Actuals!F88)/ABS(Budget!F88)),"")</f>
        <v/>
      </c>
      <c r="R72" s="508">
        <f>Budget!G88</f>
        <v/>
      </c>
      <c r="S72" s="508">
        <f>IF(OR(5&gt;$B$3,ISBLANK(Actuals!G88)),"",Actuals!G88)</f>
        <v/>
      </c>
      <c r="T72" s="509">
        <f>IF(OR(5&gt;$B$3,ISBLANK(Actuals!G88)),"",Budget!G88-Actuals!G88)</f>
        <v/>
      </c>
      <c r="U72" s="509">
        <f>IFERROR(IF(OR(5&gt;$B$3,ISBLANK(Actuals!G88)),"",(Budget!G88-Actuals!G88)/ABS(Budget!G88)),"")</f>
        <v/>
      </c>
      <c r="V72" s="508">
        <f>Budget!H88</f>
        <v/>
      </c>
      <c r="W72" s="508">
        <f>IF(OR(6&gt;$B$3,ISBLANK(Actuals!H88)),"",Actuals!H88)</f>
        <v/>
      </c>
      <c r="X72" s="509">
        <f>IF(OR(6&gt;$B$3,ISBLANK(Actuals!H88)),"",Budget!H88-Actuals!H88)</f>
        <v/>
      </c>
      <c r="Y72" s="509">
        <f>IFERROR(IF(OR(6&gt;$B$3,ISBLANK(Actuals!H88)),"",(Budget!H88-Actuals!H88)/ABS(Budget!H88)),"")</f>
        <v/>
      </c>
      <c r="Z72" s="508">
        <f>Budget!I88</f>
        <v/>
      </c>
      <c r="AA72" s="508">
        <f>IF(OR(7&gt;$B$3,ISBLANK(Actuals!I88)),"",Actuals!I88)</f>
        <v/>
      </c>
      <c r="AB72" s="509">
        <f>IF(OR(7&gt;$B$3,ISBLANK(Actuals!I88)),"",Budget!I88-Actuals!I88)</f>
        <v/>
      </c>
      <c r="AC72" s="509">
        <f>IFERROR(IF(OR(7&gt;$B$3,ISBLANK(Actuals!I88)),"",(Budget!I88-Actuals!I88)/ABS(Budget!I88)),"")</f>
        <v/>
      </c>
      <c r="AD72" s="508">
        <f>Budget!J88</f>
        <v/>
      </c>
      <c r="AE72" s="508">
        <f>IF(OR(8&gt;$B$3,ISBLANK(Actuals!J88)),"",Actuals!J88)</f>
        <v/>
      </c>
      <c r="AF72" s="509">
        <f>IF(OR(8&gt;$B$3,ISBLANK(Actuals!J88)),"",Budget!J88-Actuals!J88)</f>
        <v/>
      </c>
      <c r="AG72" s="509">
        <f>IFERROR(IF(OR(8&gt;$B$3,ISBLANK(Actuals!J88)),"",(Budget!J88-Actuals!J88)/ABS(Budget!J88)),"")</f>
        <v/>
      </c>
      <c r="AH72" s="508">
        <f>Budget!K88</f>
        <v/>
      </c>
      <c r="AI72" s="508">
        <f>IF(OR(9&gt;$B$3,ISBLANK(Actuals!K88)),"",Actuals!K88)</f>
        <v/>
      </c>
      <c r="AJ72" s="509">
        <f>IF(OR(9&gt;$B$3,ISBLANK(Actuals!K88)),"",Budget!K88-Actuals!K88)</f>
        <v/>
      </c>
      <c r="AK72" s="509">
        <f>IFERROR(IF(OR(9&gt;$B$3,ISBLANK(Actuals!K88)),"",(Budget!K88-Actuals!K88)/ABS(Budget!K88)),"")</f>
        <v/>
      </c>
      <c r="AL72" s="508">
        <f>Budget!L88</f>
        <v/>
      </c>
      <c r="AM72" s="508">
        <f>IF(OR(10&gt;$B$3,ISBLANK(Actuals!L88)),"",Actuals!L88)</f>
        <v/>
      </c>
      <c r="AN72" s="509">
        <f>IF(OR(10&gt;$B$3,ISBLANK(Actuals!L88)),"",Budget!L88-Actuals!L88)</f>
        <v/>
      </c>
      <c r="AO72" s="509">
        <f>IFERROR(IF(OR(10&gt;$B$3,ISBLANK(Actuals!L88)),"",(Budget!L88-Actuals!L88)/ABS(Budget!L88)),"")</f>
        <v/>
      </c>
      <c r="AP72" s="508">
        <f>Budget!M88</f>
        <v/>
      </c>
      <c r="AQ72" s="508">
        <f>IF(OR(11&gt;$B$3,ISBLANK(Actuals!M88)),"",Actuals!M88)</f>
        <v/>
      </c>
      <c r="AR72" s="509">
        <f>IF(OR(11&gt;$B$3,ISBLANK(Actuals!M88)),"",Budget!M88-Actuals!M88)</f>
        <v/>
      </c>
      <c r="AS72" s="509">
        <f>IFERROR(IF(OR(11&gt;$B$3,ISBLANK(Actuals!M88)),"",(Budget!M88-Actuals!M88)/ABS(Budget!M88)),"")</f>
        <v/>
      </c>
      <c r="AT72" s="508">
        <f>Budget!N88</f>
        <v/>
      </c>
      <c r="AU72" s="508">
        <f>IF(OR(12&gt;$B$3,ISBLANK(Actuals!N88)),"",Actuals!N88)</f>
        <v/>
      </c>
      <c r="AV72" s="509">
        <f>IF(OR(12&gt;$B$3,ISBLANK(Actuals!N88)),"",Budget!N88-Actuals!N88)</f>
        <v/>
      </c>
      <c r="AW72" s="509">
        <f>IFERROR(IF(OR(12&gt;$B$3,ISBLANK(Actuals!N88)),"",(Budget!N88-Actuals!N88)/ABS(Budget!N88)),"")</f>
        <v/>
      </c>
      <c r="AX72" s="510">
        <f>SUMPRODUCT((Actuals!C88:N88&lt;&gt;"")*(Budget!C88:N88))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Budget!C89</f>
        <v/>
      </c>
      <c r="C73" s="508">
        <f>IF(OR(1&gt;$B$3,ISBLANK(Actuals!C89)),"",Actuals!C89)</f>
        <v/>
      </c>
      <c r="D73" s="509">
        <f>IF(OR(1&gt;$B$3,ISBLANK(Actuals!C89)),"",Budget!C89-Actuals!C89)</f>
        <v/>
      </c>
      <c r="E73" s="509">
        <f>IFERROR(IF(OR(1&gt;$B$3,ISBLANK(Actuals!C89)),"",(Budget!C89-Actuals!C89)/ABS(Budget!C89)),"")</f>
        <v/>
      </c>
      <c r="F73" s="508">
        <f>Budget!D89</f>
        <v/>
      </c>
      <c r="G73" s="508">
        <f>IF(OR(2&gt;$B$3,ISBLANK(Actuals!D89)),"",Actuals!D89)</f>
        <v/>
      </c>
      <c r="H73" s="509">
        <f>IF(OR(2&gt;$B$3,ISBLANK(Actuals!D89)),"",Budget!D89-Actuals!D89)</f>
        <v/>
      </c>
      <c r="I73" s="509">
        <f>IFERROR(IF(OR(2&gt;$B$3,ISBLANK(Actuals!D89)),"",(Budget!D89-Actuals!D89)/ABS(Budget!D89)),"")</f>
        <v/>
      </c>
      <c r="J73" s="508">
        <f>Budget!E89</f>
        <v/>
      </c>
      <c r="K73" s="508">
        <f>IF(OR(3&gt;$B$3,ISBLANK(Actuals!E89)),"",Actuals!E89)</f>
        <v/>
      </c>
      <c r="L73" s="509">
        <f>IF(OR(3&gt;$B$3,ISBLANK(Actuals!E89)),"",Budget!E89-Actuals!E89)</f>
        <v/>
      </c>
      <c r="M73" s="509">
        <f>IFERROR(IF(OR(3&gt;$B$3,ISBLANK(Actuals!E89)),"",(Budget!E89-Actuals!E89)/ABS(Budget!E89)),"")</f>
        <v/>
      </c>
      <c r="N73" s="508">
        <f>Budget!F89</f>
        <v/>
      </c>
      <c r="O73" s="508">
        <f>IF(OR(4&gt;$B$3,ISBLANK(Actuals!F89)),"",Actuals!F89)</f>
        <v/>
      </c>
      <c r="P73" s="509">
        <f>IF(OR(4&gt;$B$3,ISBLANK(Actuals!F89)),"",Budget!F89-Actuals!F89)</f>
        <v/>
      </c>
      <c r="Q73" s="509">
        <f>IFERROR(IF(OR(4&gt;$B$3,ISBLANK(Actuals!F89)),"",(Budget!F89-Actuals!F89)/ABS(Budget!F89)),"")</f>
        <v/>
      </c>
      <c r="R73" s="508">
        <f>Budget!G89</f>
        <v/>
      </c>
      <c r="S73" s="508">
        <f>IF(OR(5&gt;$B$3,ISBLANK(Actuals!G89)),"",Actuals!G89)</f>
        <v/>
      </c>
      <c r="T73" s="509">
        <f>IF(OR(5&gt;$B$3,ISBLANK(Actuals!G89)),"",Budget!G89-Actuals!G89)</f>
        <v/>
      </c>
      <c r="U73" s="509">
        <f>IFERROR(IF(OR(5&gt;$B$3,ISBLANK(Actuals!G89)),"",(Budget!G89-Actuals!G89)/ABS(Budget!G89)),"")</f>
        <v/>
      </c>
      <c r="V73" s="508">
        <f>Budget!H89</f>
        <v/>
      </c>
      <c r="W73" s="508">
        <f>IF(OR(6&gt;$B$3,ISBLANK(Actuals!H89)),"",Actuals!H89)</f>
        <v/>
      </c>
      <c r="X73" s="509">
        <f>IF(OR(6&gt;$B$3,ISBLANK(Actuals!H89)),"",Budget!H89-Actuals!H89)</f>
        <v/>
      </c>
      <c r="Y73" s="509">
        <f>IFERROR(IF(OR(6&gt;$B$3,ISBLANK(Actuals!H89)),"",(Budget!H89-Actuals!H89)/ABS(Budget!H89)),"")</f>
        <v/>
      </c>
      <c r="Z73" s="508">
        <f>Budget!I89</f>
        <v/>
      </c>
      <c r="AA73" s="508">
        <f>IF(OR(7&gt;$B$3,ISBLANK(Actuals!I89)),"",Actuals!I89)</f>
        <v/>
      </c>
      <c r="AB73" s="509">
        <f>IF(OR(7&gt;$B$3,ISBLANK(Actuals!I89)),"",Budget!I89-Actuals!I89)</f>
        <v/>
      </c>
      <c r="AC73" s="509">
        <f>IFERROR(IF(OR(7&gt;$B$3,ISBLANK(Actuals!I89)),"",(Budget!I89-Actuals!I89)/ABS(Budget!I89)),"")</f>
        <v/>
      </c>
      <c r="AD73" s="508">
        <f>Budget!J89</f>
        <v/>
      </c>
      <c r="AE73" s="508">
        <f>IF(OR(8&gt;$B$3,ISBLANK(Actuals!J89)),"",Actuals!J89)</f>
        <v/>
      </c>
      <c r="AF73" s="509">
        <f>IF(OR(8&gt;$B$3,ISBLANK(Actuals!J89)),"",Budget!J89-Actuals!J89)</f>
        <v/>
      </c>
      <c r="AG73" s="509">
        <f>IFERROR(IF(OR(8&gt;$B$3,ISBLANK(Actuals!J89)),"",(Budget!J89-Actuals!J89)/ABS(Budget!J89)),"")</f>
        <v/>
      </c>
      <c r="AH73" s="508">
        <f>Budget!K89</f>
        <v/>
      </c>
      <c r="AI73" s="508">
        <f>IF(OR(9&gt;$B$3,ISBLANK(Actuals!K89)),"",Actuals!K89)</f>
        <v/>
      </c>
      <c r="AJ73" s="509">
        <f>IF(OR(9&gt;$B$3,ISBLANK(Actuals!K89)),"",Budget!K89-Actuals!K89)</f>
        <v/>
      </c>
      <c r="AK73" s="509">
        <f>IFERROR(IF(OR(9&gt;$B$3,ISBLANK(Actuals!K89)),"",(Budget!K89-Actuals!K89)/ABS(Budget!K89)),"")</f>
        <v/>
      </c>
      <c r="AL73" s="508">
        <f>Budget!L89</f>
        <v/>
      </c>
      <c r="AM73" s="508">
        <f>IF(OR(10&gt;$B$3,ISBLANK(Actuals!L89)),"",Actuals!L89)</f>
        <v/>
      </c>
      <c r="AN73" s="509">
        <f>IF(OR(10&gt;$B$3,ISBLANK(Actuals!L89)),"",Budget!L89-Actuals!L89)</f>
        <v/>
      </c>
      <c r="AO73" s="509">
        <f>IFERROR(IF(OR(10&gt;$B$3,ISBLANK(Actuals!L89)),"",(Budget!L89-Actuals!L89)/ABS(Budget!L89)),"")</f>
        <v/>
      </c>
      <c r="AP73" s="508">
        <f>Budget!M89</f>
        <v/>
      </c>
      <c r="AQ73" s="508">
        <f>IF(OR(11&gt;$B$3,ISBLANK(Actuals!M89)),"",Actuals!M89)</f>
        <v/>
      </c>
      <c r="AR73" s="509">
        <f>IF(OR(11&gt;$B$3,ISBLANK(Actuals!M89)),"",Budget!M89-Actuals!M89)</f>
        <v/>
      </c>
      <c r="AS73" s="509">
        <f>IFERROR(IF(OR(11&gt;$B$3,ISBLANK(Actuals!M89)),"",(Budget!M89-Actuals!M89)/ABS(Budget!M89)),"")</f>
        <v/>
      </c>
      <c r="AT73" s="508">
        <f>Budget!N89</f>
        <v/>
      </c>
      <c r="AU73" s="508">
        <f>IF(OR(12&gt;$B$3,ISBLANK(Actuals!N89)),"",Actuals!N89)</f>
        <v/>
      </c>
      <c r="AV73" s="509">
        <f>IF(OR(12&gt;$B$3,ISBLANK(Actuals!N89)),"",Budget!N89-Actuals!N89)</f>
        <v/>
      </c>
      <c r="AW73" s="509">
        <f>IFERROR(IF(OR(12&gt;$B$3,ISBLANK(Actuals!N89)),"",(Budget!N89-Actuals!N89)/ABS(Budget!N89)),"")</f>
        <v/>
      </c>
      <c r="AX73" s="510">
        <f>SUMPRODUCT((Actuals!C89:N89&lt;&gt;"")*(Budget!C89:N89))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Budget!C90</f>
        <v/>
      </c>
      <c r="C74" s="508">
        <f>IF(OR(1&gt;$B$3,ISBLANK(Actuals!C90)),"",Actuals!C90)</f>
        <v/>
      </c>
      <c r="D74" s="509">
        <f>IF(OR(1&gt;$B$3,ISBLANK(Actuals!C90)),"",Budget!C90-Actuals!C90)</f>
        <v/>
      </c>
      <c r="E74" s="509">
        <f>IFERROR(IF(OR(1&gt;$B$3,ISBLANK(Actuals!C90)),"",(Budget!C90-Actuals!C90)/ABS(Budget!C90)),"")</f>
        <v/>
      </c>
      <c r="F74" s="508">
        <f>Budget!D90</f>
        <v/>
      </c>
      <c r="G74" s="508">
        <f>IF(OR(2&gt;$B$3,ISBLANK(Actuals!D90)),"",Actuals!D90)</f>
        <v/>
      </c>
      <c r="H74" s="509">
        <f>IF(OR(2&gt;$B$3,ISBLANK(Actuals!D90)),"",Budget!D90-Actuals!D90)</f>
        <v/>
      </c>
      <c r="I74" s="509">
        <f>IFERROR(IF(OR(2&gt;$B$3,ISBLANK(Actuals!D90)),"",(Budget!D90-Actuals!D90)/ABS(Budget!D90)),"")</f>
        <v/>
      </c>
      <c r="J74" s="508">
        <f>Budget!E90</f>
        <v/>
      </c>
      <c r="K74" s="508">
        <f>IF(OR(3&gt;$B$3,ISBLANK(Actuals!E90)),"",Actuals!E90)</f>
        <v/>
      </c>
      <c r="L74" s="509">
        <f>IF(OR(3&gt;$B$3,ISBLANK(Actuals!E90)),"",Budget!E90-Actuals!E90)</f>
        <v/>
      </c>
      <c r="M74" s="509">
        <f>IFERROR(IF(OR(3&gt;$B$3,ISBLANK(Actuals!E90)),"",(Budget!E90-Actuals!E90)/ABS(Budget!E90)),"")</f>
        <v/>
      </c>
      <c r="N74" s="508">
        <f>Budget!F90</f>
        <v/>
      </c>
      <c r="O74" s="508">
        <f>IF(OR(4&gt;$B$3,ISBLANK(Actuals!F90)),"",Actuals!F90)</f>
        <v/>
      </c>
      <c r="P74" s="509">
        <f>IF(OR(4&gt;$B$3,ISBLANK(Actuals!F90)),"",Budget!F90-Actuals!F90)</f>
        <v/>
      </c>
      <c r="Q74" s="509">
        <f>IFERROR(IF(OR(4&gt;$B$3,ISBLANK(Actuals!F90)),"",(Budget!F90-Actuals!F90)/ABS(Budget!F90)),"")</f>
        <v/>
      </c>
      <c r="R74" s="508">
        <f>Budget!G90</f>
        <v/>
      </c>
      <c r="S74" s="508">
        <f>IF(OR(5&gt;$B$3,ISBLANK(Actuals!G90)),"",Actuals!G90)</f>
        <v/>
      </c>
      <c r="T74" s="509">
        <f>IF(OR(5&gt;$B$3,ISBLANK(Actuals!G90)),"",Budget!G90-Actuals!G90)</f>
        <v/>
      </c>
      <c r="U74" s="509">
        <f>IFERROR(IF(OR(5&gt;$B$3,ISBLANK(Actuals!G90)),"",(Budget!G90-Actuals!G90)/ABS(Budget!G90)),"")</f>
        <v/>
      </c>
      <c r="V74" s="508">
        <f>Budget!H90</f>
        <v/>
      </c>
      <c r="W74" s="508">
        <f>IF(OR(6&gt;$B$3,ISBLANK(Actuals!H90)),"",Actuals!H90)</f>
        <v/>
      </c>
      <c r="X74" s="509">
        <f>IF(OR(6&gt;$B$3,ISBLANK(Actuals!H90)),"",Budget!H90-Actuals!H90)</f>
        <v/>
      </c>
      <c r="Y74" s="509">
        <f>IFERROR(IF(OR(6&gt;$B$3,ISBLANK(Actuals!H90)),"",(Budget!H90-Actuals!H90)/ABS(Budget!H90)),"")</f>
        <v/>
      </c>
      <c r="Z74" s="508">
        <f>Budget!I90</f>
        <v/>
      </c>
      <c r="AA74" s="508">
        <f>IF(OR(7&gt;$B$3,ISBLANK(Actuals!I90)),"",Actuals!I90)</f>
        <v/>
      </c>
      <c r="AB74" s="509">
        <f>IF(OR(7&gt;$B$3,ISBLANK(Actuals!I90)),"",Budget!I90-Actuals!I90)</f>
        <v/>
      </c>
      <c r="AC74" s="509">
        <f>IFERROR(IF(OR(7&gt;$B$3,ISBLANK(Actuals!I90)),"",(Budget!I90-Actuals!I90)/ABS(Budget!I90)),"")</f>
        <v/>
      </c>
      <c r="AD74" s="508">
        <f>Budget!J90</f>
        <v/>
      </c>
      <c r="AE74" s="508">
        <f>IF(OR(8&gt;$B$3,ISBLANK(Actuals!J90)),"",Actuals!J90)</f>
        <v/>
      </c>
      <c r="AF74" s="509">
        <f>IF(OR(8&gt;$B$3,ISBLANK(Actuals!J90)),"",Budget!J90-Actuals!J90)</f>
        <v/>
      </c>
      <c r="AG74" s="509">
        <f>IFERROR(IF(OR(8&gt;$B$3,ISBLANK(Actuals!J90)),"",(Budget!J90-Actuals!J90)/ABS(Budget!J90)),"")</f>
        <v/>
      </c>
      <c r="AH74" s="508">
        <f>Budget!K90</f>
        <v/>
      </c>
      <c r="AI74" s="508">
        <f>IF(OR(9&gt;$B$3,ISBLANK(Actuals!K90)),"",Actuals!K90)</f>
        <v/>
      </c>
      <c r="AJ74" s="509">
        <f>IF(OR(9&gt;$B$3,ISBLANK(Actuals!K90)),"",Budget!K90-Actuals!K90)</f>
        <v/>
      </c>
      <c r="AK74" s="509">
        <f>IFERROR(IF(OR(9&gt;$B$3,ISBLANK(Actuals!K90)),"",(Budget!K90-Actuals!K90)/ABS(Budget!K90)),"")</f>
        <v/>
      </c>
      <c r="AL74" s="508">
        <f>Budget!L90</f>
        <v/>
      </c>
      <c r="AM74" s="508">
        <f>IF(OR(10&gt;$B$3,ISBLANK(Actuals!L90)),"",Actuals!L90)</f>
        <v/>
      </c>
      <c r="AN74" s="509">
        <f>IF(OR(10&gt;$B$3,ISBLANK(Actuals!L90)),"",Budget!L90-Actuals!L90)</f>
        <v/>
      </c>
      <c r="AO74" s="509">
        <f>IFERROR(IF(OR(10&gt;$B$3,ISBLANK(Actuals!L90)),"",(Budget!L90-Actuals!L90)/ABS(Budget!L90)),"")</f>
        <v/>
      </c>
      <c r="AP74" s="508">
        <f>Budget!M90</f>
        <v/>
      </c>
      <c r="AQ74" s="508">
        <f>IF(OR(11&gt;$B$3,ISBLANK(Actuals!M90)),"",Actuals!M90)</f>
        <v/>
      </c>
      <c r="AR74" s="509">
        <f>IF(OR(11&gt;$B$3,ISBLANK(Actuals!M90)),"",Budget!M90-Actuals!M90)</f>
        <v/>
      </c>
      <c r="AS74" s="509">
        <f>IFERROR(IF(OR(11&gt;$B$3,ISBLANK(Actuals!M90)),"",(Budget!M90-Actuals!M90)/ABS(Budget!M90)),"")</f>
        <v/>
      </c>
      <c r="AT74" s="508">
        <f>Budget!N90</f>
        <v/>
      </c>
      <c r="AU74" s="508">
        <f>IF(OR(12&gt;$B$3,ISBLANK(Actuals!N90)),"",Actuals!N90)</f>
        <v/>
      </c>
      <c r="AV74" s="509">
        <f>IF(OR(12&gt;$B$3,ISBLANK(Actuals!N90)),"",Budget!N90-Actuals!N90)</f>
        <v/>
      </c>
      <c r="AW74" s="509">
        <f>IFERROR(IF(OR(12&gt;$B$3,ISBLANK(Actuals!N90)),"",(Budget!N90-Actuals!N90)/ABS(Budget!N90)),"")</f>
        <v/>
      </c>
      <c r="AX74" s="510">
        <f>SUMPRODUCT((Actuals!C90:N90&lt;&gt;"")*(Budget!C90:N90))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Budget!C91</f>
        <v/>
      </c>
      <c r="C75" s="508">
        <f>IF(OR(1&gt;$B$3,ISBLANK(Actuals!C91)),"",Actuals!C91)</f>
        <v/>
      </c>
      <c r="D75" s="509">
        <f>IF(OR(1&gt;$B$3,ISBLANK(Actuals!C91)),"",Budget!C91-Actuals!C91)</f>
        <v/>
      </c>
      <c r="E75" s="509">
        <f>IFERROR(IF(OR(1&gt;$B$3,ISBLANK(Actuals!C91)),"",(Budget!C91-Actuals!C91)/ABS(Budget!C91)),"")</f>
        <v/>
      </c>
      <c r="F75" s="508">
        <f>Budget!D91</f>
        <v/>
      </c>
      <c r="G75" s="508">
        <f>IF(OR(2&gt;$B$3,ISBLANK(Actuals!D91)),"",Actuals!D91)</f>
        <v/>
      </c>
      <c r="H75" s="509">
        <f>IF(OR(2&gt;$B$3,ISBLANK(Actuals!D91)),"",Budget!D91-Actuals!D91)</f>
        <v/>
      </c>
      <c r="I75" s="509">
        <f>IFERROR(IF(OR(2&gt;$B$3,ISBLANK(Actuals!D91)),"",(Budget!D91-Actuals!D91)/ABS(Budget!D91)),"")</f>
        <v/>
      </c>
      <c r="J75" s="508">
        <f>Budget!E91</f>
        <v/>
      </c>
      <c r="K75" s="508">
        <f>IF(OR(3&gt;$B$3,ISBLANK(Actuals!E91)),"",Actuals!E91)</f>
        <v/>
      </c>
      <c r="L75" s="509">
        <f>IF(OR(3&gt;$B$3,ISBLANK(Actuals!E91)),"",Budget!E91-Actuals!E91)</f>
        <v/>
      </c>
      <c r="M75" s="509">
        <f>IFERROR(IF(OR(3&gt;$B$3,ISBLANK(Actuals!E91)),"",(Budget!E91-Actuals!E91)/ABS(Budget!E91)),"")</f>
        <v/>
      </c>
      <c r="N75" s="508">
        <f>Budget!F91</f>
        <v/>
      </c>
      <c r="O75" s="508">
        <f>IF(OR(4&gt;$B$3,ISBLANK(Actuals!F91)),"",Actuals!F91)</f>
        <v/>
      </c>
      <c r="P75" s="509">
        <f>IF(OR(4&gt;$B$3,ISBLANK(Actuals!F91)),"",Budget!F91-Actuals!F91)</f>
        <v/>
      </c>
      <c r="Q75" s="509">
        <f>IFERROR(IF(OR(4&gt;$B$3,ISBLANK(Actuals!F91)),"",(Budget!F91-Actuals!F91)/ABS(Budget!F91)),"")</f>
        <v/>
      </c>
      <c r="R75" s="508">
        <f>Budget!G91</f>
        <v/>
      </c>
      <c r="S75" s="508">
        <f>IF(OR(5&gt;$B$3,ISBLANK(Actuals!G91)),"",Actuals!G91)</f>
        <v/>
      </c>
      <c r="T75" s="509">
        <f>IF(OR(5&gt;$B$3,ISBLANK(Actuals!G91)),"",Budget!G91-Actuals!G91)</f>
        <v/>
      </c>
      <c r="U75" s="509">
        <f>IFERROR(IF(OR(5&gt;$B$3,ISBLANK(Actuals!G91)),"",(Budget!G91-Actuals!G91)/ABS(Budget!G91)),"")</f>
        <v/>
      </c>
      <c r="V75" s="508">
        <f>Budget!H91</f>
        <v/>
      </c>
      <c r="W75" s="508">
        <f>IF(OR(6&gt;$B$3,ISBLANK(Actuals!H91)),"",Actuals!H91)</f>
        <v/>
      </c>
      <c r="X75" s="509">
        <f>IF(OR(6&gt;$B$3,ISBLANK(Actuals!H91)),"",Budget!H91-Actuals!H91)</f>
        <v/>
      </c>
      <c r="Y75" s="509">
        <f>IFERROR(IF(OR(6&gt;$B$3,ISBLANK(Actuals!H91)),"",(Budget!H91-Actuals!H91)/ABS(Budget!H91)),"")</f>
        <v/>
      </c>
      <c r="Z75" s="508">
        <f>Budget!I91</f>
        <v/>
      </c>
      <c r="AA75" s="508">
        <f>IF(OR(7&gt;$B$3,ISBLANK(Actuals!I91)),"",Actuals!I91)</f>
        <v/>
      </c>
      <c r="AB75" s="509">
        <f>IF(OR(7&gt;$B$3,ISBLANK(Actuals!I91)),"",Budget!I91-Actuals!I91)</f>
        <v/>
      </c>
      <c r="AC75" s="509">
        <f>IFERROR(IF(OR(7&gt;$B$3,ISBLANK(Actuals!I91)),"",(Budget!I91-Actuals!I91)/ABS(Budget!I91)),"")</f>
        <v/>
      </c>
      <c r="AD75" s="508">
        <f>Budget!J91</f>
        <v/>
      </c>
      <c r="AE75" s="508">
        <f>IF(OR(8&gt;$B$3,ISBLANK(Actuals!J91)),"",Actuals!J91)</f>
        <v/>
      </c>
      <c r="AF75" s="509">
        <f>IF(OR(8&gt;$B$3,ISBLANK(Actuals!J91)),"",Budget!J91-Actuals!J91)</f>
        <v/>
      </c>
      <c r="AG75" s="509">
        <f>IFERROR(IF(OR(8&gt;$B$3,ISBLANK(Actuals!J91)),"",(Budget!J91-Actuals!J91)/ABS(Budget!J91)),"")</f>
        <v/>
      </c>
      <c r="AH75" s="508">
        <f>Budget!K91</f>
        <v/>
      </c>
      <c r="AI75" s="508">
        <f>IF(OR(9&gt;$B$3,ISBLANK(Actuals!K91)),"",Actuals!K91)</f>
        <v/>
      </c>
      <c r="AJ75" s="509">
        <f>IF(OR(9&gt;$B$3,ISBLANK(Actuals!K91)),"",Budget!K91-Actuals!K91)</f>
        <v/>
      </c>
      <c r="AK75" s="509">
        <f>IFERROR(IF(OR(9&gt;$B$3,ISBLANK(Actuals!K91)),"",(Budget!K91-Actuals!K91)/ABS(Budget!K91)),"")</f>
        <v/>
      </c>
      <c r="AL75" s="508">
        <f>Budget!L91</f>
        <v/>
      </c>
      <c r="AM75" s="508">
        <f>IF(OR(10&gt;$B$3,ISBLANK(Actuals!L91)),"",Actuals!L91)</f>
        <v/>
      </c>
      <c r="AN75" s="509">
        <f>IF(OR(10&gt;$B$3,ISBLANK(Actuals!L91)),"",Budget!L91-Actuals!L91)</f>
        <v/>
      </c>
      <c r="AO75" s="509">
        <f>IFERROR(IF(OR(10&gt;$B$3,ISBLANK(Actuals!L91)),"",(Budget!L91-Actuals!L91)/ABS(Budget!L91)),"")</f>
        <v/>
      </c>
      <c r="AP75" s="508">
        <f>Budget!M91</f>
        <v/>
      </c>
      <c r="AQ75" s="508">
        <f>IF(OR(11&gt;$B$3,ISBLANK(Actuals!M91)),"",Actuals!M91)</f>
        <v/>
      </c>
      <c r="AR75" s="509">
        <f>IF(OR(11&gt;$B$3,ISBLANK(Actuals!M91)),"",Budget!M91-Actuals!M91)</f>
        <v/>
      </c>
      <c r="AS75" s="509">
        <f>IFERROR(IF(OR(11&gt;$B$3,ISBLANK(Actuals!M91)),"",(Budget!M91-Actuals!M91)/ABS(Budget!M91)),"")</f>
        <v/>
      </c>
      <c r="AT75" s="508">
        <f>Budget!N91</f>
        <v/>
      </c>
      <c r="AU75" s="508">
        <f>IF(OR(12&gt;$B$3,ISBLANK(Actuals!N91)),"",Actuals!N91)</f>
        <v/>
      </c>
      <c r="AV75" s="509">
        <f>IF(OR(12&gt;$B$3,ISBLANK(Actuals!N91)),"",Budget!N91-Actuals!N91)</f>
        <v/>
      </c>
      <c r="AW75" s="509">
        <f>IFERROR(IF(OR(12&gt;$B$3,ISBLANK(Actuals!N91)),"",(Budget!N91-Actuals!N91)/ABS(Budget!N91)),"")</f>
        <v/>
      </c>
      <c r="AX75" s="510">
        <f>SUMPRODUCT((Actuals!C91:N91&lt;&gt;"")*(Budget!C91:N91))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Budget!C92</f>
        <v/>
      </c>
      <c r="C76" s="508">
        <f>IF(OR(1&gt;$B$3,ISBLANK(Actuals!C92)),"",Actuals!C92)</f>
        <v/>
      </c>
      <c r="D76" s="509">
        <f>IF(OR(1&gt;$B$3,ISBLANK(Actuals!C92)),"",Budget!C92-Actuals!C92)</f>
        <v/>
      </c>
      <c r="E76" s="509">
        <f>IFERROR(IF(OR(1&gt;$B$3,ISBLANK(Actuals!C92)),"",(Budget!C92-Actuals!C92)/ABS(Budget!C92)),"")</f>
        <v/>
      </c>
      <c r="F76" s="508">
        <f>Budget!D92</f>
        <v/>
      </c>
      <c r="G76" s="508">
        <f>IF(OR(2&gt;$B$3,ISBLANK(Actuals!D92)),"",Actuals!D92)</f>
        <v/>
      </c>
      <c r="H76" s="509">
        <f>IF(OR(2&gt;$B$3,ISBLANK(Actuals!D92)),"",Budget!D92-Actuals!D92)</f>
        <v/>
      </c>
      <c r="I76" s="509">
        <f>IFERROR(IF(OR(2&gt;$B$3,ISBLANK(Actuals!D92)),"",(Budget!D92-Actuals!D92)/ABS(Budget!D92)),"")</f>
        <v/>
      </c>
      <c r="J76" s="508">
        <f>Budget!E92</f>
        <v/>
      </c>
      <c r="K76" s="508">
        <f>IF(OR(3&gt;$B$3,ISBLANK(Actuals!E92)),"",Actuals!E92)</f>
        <v/>
      </c>
      <c r="L76" s="509">
        <f>IF(OR(3&gt;$B$3,ISBLANK(Actuals!E92)),"",Budget!E92-Actuals!E92)</f>
        <v/>
      </c>
      <c r="M76" s="509">
        <f>IFERROR(IF(OR(3&gt;$B$3,ISBLANK(Actuals!E92)),"",(Budget!E92-Actuals!E92)/ABS(Budget!E92)),"")</f>
        <v/>
      </c>
      <c r="N76" s="508">
        <f>Budget!F92</f>
        <v/>
      </c>
      <c r="O76" s="508">
        <f>IF(OR(4&gt;$B$3,ISBLANK(Actuals!F92)),"",Actuals!F92)</f>
        <v/>
      </c>
      <c r="P76" s="509">
        <f>IF(OR(4&gt;$B$3,ISBLANK(Actuals!F92)),"",Budget!F92-Actuals!F92)</f>
        <v/>
      </c>
      <c r="Q76" s="509">
        <f>IFERROR(IF(OR(4&gt;$B$3,ISBLANK(Actuals!F92)),"",(Budget!F92-Actuals!F92)/ABS(Budget!F92)),"")</f>
        <v/>
      </c>
      <c r="R76" s="508">
        <f>Budget!G92</f>
        <v/>
      </c>
      <c r="S76" s="508">
        <f>IF(OR(5&gt;$B$3,ISBLANK(Actuals!G92)),"",Actuals!G92)</f>
        <v/>
      </c>
      <c r="T76" s="509">
        <f>IF(OR(5&gt;$B$3,ISBLANK(Actuals!G92)),"",Budget!G92-Actuals!G92)</f>
        <v/>
      </c>
      <c r="U76" s="509">
        <f>IFERROR(IF(OR(5&gt;$B$3,ISBLANK(Actuals!G92)),"",(Budget!G92-Actuals!G92)/ABS(Budget!G92)),"")</f>
        <v/>
      </c>
      <c r="V76" s="508">
        <f>Budget!H92</f>
        <v/>
      </c>
      <c r="W76" s="508">
        <f>IF(OR(6&gt;$B$3,ISBLANK(Actuals!H92)),"",Actuals!H92)</f>
        <v/>
      </c>
      <c r="X76" s="509">
        <f>IF(OR(6&gt;$B$3,ISBLANK(Actuals!H92)),"",Budget!H92-Actuals!H92)</f>
        <v/>
      </c>
      <c r="Y76" s="509">
        <f>IFERROR(IF(OR(6&gt;$B$3,ISBLANK(Actuals!H92)),"",(Budget!H92-Actuals!H92)/ABS(Budget!H92)),"")</f>
        <v/>
      </c>
      <c r="Z76" s="508">
        <f>Budget!I92</f>
        <v/>
      </c>
      <c r="AA76" s="508">
        <f>IF(OR(7&gt;$B$3,ISBLANK(Actuals!I92)),"",Actuals!I92)</f>
        <v/>
      </c>
      <c r="AB76" s="509">
        <f>IF(OR(7&gt;$B$3,ISBLANK(Actuals!I92)),"",Budget!I92-Actuals!I92)</f>
        <v/>
      </c>
      <c r="AC76" s="509">
        <f>IFERROR(IF(OR(7&gt;$B$3,ISBLANK(Actuals!I92)),"",(Budget!I92-Actuals!I92)/ABS(Budget!I92)),"")</f>
        <v/>
      </c>
      <c r="AD76" s="508">
        <f>Budget!J92</f>
        <v/>
      </c>
      <c r="AE76" s="508">
        <f>IF(OR(8&gt;$B$3,ISBLANK(Actuals!J92)),"",Actuals!J92)</f>
        <v/>
      </c>
      <c r="AF76" s="509">
        <f>IF(OR(8&gt;$B$3,ISBLANK(Actuals!J92)),"",Budget!J92-Actuals!J92)</f>
        <v/>
      </c>
      <c r="AG76" s="509">
        <f>IFERROR(IF(OR(8&gt;$B$3,ISBLANK(Actuals!J92)),"",(Budget!J92-Actuals!J92)/ABS(Budget!J92)),"")</f>
        <v/>
      </c>
      <c r="AH76" s="508">
        <f>Budget!K92</f>
        <v/>
      </c>
      <c r="AI76" s="508">
        <f>IF(OR(9&gt;$B$3,ISBLANK(Actuals!K92)),"",Actuals!K92)</f>
        <v/>
      </c>
      <c r="AJ76" s="509">
        <f>IF(OR(9&gt;$B$3,ISBLANK(Actuals!K92)),"",Budget!K92-Actuals!K92)</f>
        <v/>
      </c>
      <c r="AK76" s="509">
        <f>IFERROR(IF(OR(9&gt;$B$3,ISBLANK(Actuals!K92)),"",(Budget!K92-Actuals!K92)/ABS(Budget!K92)),"")</f>
        <v/>
      </c>
      <c r="AL76" s="508">
        <f>Budget!L92</f>
        <v/>
      </c>
      <c r="AM76" s="508">
        <f>IF(OR(10&gt;$B$3,ISBLANK(Actuals!L92)),"",Actuals!L92)</f>
        <v/>
      </c>
      <c r="AN76" s="509">
        <f>IF(OR(10&gt;$B$3,ISBLANK(Actuals!L92)),"",Budget!L92-Actuals!L92)</f>
        <v/>
      </c>
      <c r="AO76" s="509">
        <f>IFERROR(IF(OR(10&gt;$B$3,ISBLANK(Actuals!L92)),"",(Budget!L92-Actuals!L92)/ABS(Budget!L92)),"")</f>
        <v/>
      </c>
      <c r="AP76" s="508">
        <f>Budget!M92</f>
        <v/>
      </c>
      <c r="AQ76" s="508">
        <f>IF(OR(11&gt;$B$3,ISBLANK(Actuals!M92)),"",Actuals!M92)</f>
        <v/>
      </c>
      <c r="AR76" s="509">
        <f>IF(OR(11&gt;$B$3,ISBLANK(Actuals!M92)),"",Budget!M92-Actuals!M92)</f>
        <v/>
      </c>
      <c r="AS76" s="509">
        <f>IFERROR(IF(OR(11&gt;$B$3,ISBLANK(Actuals!M92)),"",(Budget!M92-Actuals!M92)/ABS(Budget!M92)),"")</f>
        <v/>
      </c>
      <c r="AT76" s="508">
        <f>Budget!N92</f>
        <v/>
      </c>
      <c r="AU76" s="508">
        <f>IF(OR(12&gt;$B$3,ISBLANK(Actuals!N92)),"",Actuals!N92)</f>
        <v/>
      </c>
      <c r="AV76" s="509">
        <f>IF(OR(12&gt;$B$3,ISBLANK(Actuals!N92)),"",Budget!N92-Actuals!N92)</f>
        <v/>
      </c>
      <c r="AW76" s="509">
        <f>IFERROR(IF(OR(12&gt;$B$3,ISBLANK(Actuals!N92)),"",(Budget!N92-Actuals!N92)/ABS(Budget!N92)),"")</f>
        <v/>
      </c>
      <c r="AX76" s="510">
        <f>SUMPRODUCT((Actuals!C92:N92&lt;&gt;"")*(Budget!C92:N92))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Budget!C93</f>
        <v/>
      </c>
      <c r="C77" s="508">
        <f>IF(OR(1&gt;$B$3,ISBLANK(Actuals!C93)),"",Actuals!C93)</f>
        <v/>
      </c>
      <c r="D77" s="509">
        <f>IF(OR(1&gt;$B$3,ISBLANK(Actuals!C93)),"",Budget!C93-Actuals!C93)</f>
        <v/>
      </c>
      <c r="E77" s="509">
        <f>IFERROR(IF(OR(1&gt;$B$3,ISBLANK(Actuals!C93)),"",(Budget!C93-Actuals!C93)/ABS(Budget!C93)),"")</f>
        <v/>
      </c>
      <c r="F77" s="508">
        <f>Budget!D93</f>
        <v/>
      </c>
      <c r="G77" s="508">
        <f>IF(OR(2&gt;$B$3,ISBLANK(Actuals!D93)),"",Actuals!D93)</f>
        <v/>
      </c>
      <c r="H77" s="509">
        <f>IF(OR(2&gt;$B$3,ISBLANK(Actuals!D93)),"",Budget!D93-Actuals!D93)</f>
        <v/>
      </c>
      <c r="I77" s="509">
        <f>IFERROR(IF(OR(2&gt;$B$3,ISBLANK(Actuals!D93)),"",(Budget!D93-Actuals!D93)/ABS(Budget!D93)),"")</f>
        <v/>
      </c>
      <c r="J77" s="508">
        <f>Budget!E93</f>
        <v/>
      </c>
      <c r="K77" s="508">
        <f>IF(OR(3&gt;$B$3,ISBLANK(Actuals!E93)),"",Actuals!E93)</f>
        <v/>
      </c>
      <c r="L77" s="509">
        <f>IF(OR(3&gt;$B$3,ISBLANK(Actuals!E93)),"",Budget!E93-Actuals!E93)</f>
        <v/>
      </c>
      <c r="M77" s="509">
        <f>IFERROR(IF(OR(3&gt;$B$3,ISBLANK(Actuals!E93)),"",(Budget!E93-Actuals!E93)/ABS(Budget!E93)),"")</f>
        <v/>
      </c>
      <c r="N77" s="508">
        <f>Budget!F93</f>
        <v/>
      </c>
      <c r="O77" s="508">
        <f>IF(OR(4&gt;$B$3,ISBLANK(Actuals!F93)),"",Actuals!F93)</f>
        <v/>
      </c>
      <c r="P77" s="509">
        <f>IF(OR(4&gt;$B$3,ISBLANK(Actuals!F93)),"",Budget!F93-Actuals!F93)</f>
        <v/>
      </c>
      <c r="Q77" s="509">
        <f>IFERROR(IF(OR(4&gt;$B$3,ISBLANK(Actuals!F93)),"",(Budget!F93-Actuals!F93)/ABS(Budget!F93)),"")</f>
        <v/>
      </c>
      <c r="R77" s="508">
        <f>Budget!G93</f>
        <v/>
      </c>
      <c r="S77" s="508">
        <f>IF(OR(5&gt;$B$3,ISBLANK(Actuals!G93)),"",Actuals!G93)</f>
        <v/>
      </c>
      <c r="T77" s="509">
        <f>IF(OR(5&gt;$B$3,ISBLANK(Actuals!G93)),"",Budget!G93-Actuals!G93)</f>
        <v/>
      </c>
      <c r="U77" s="509">
        <f>IFERROR(IF(OR(5&gt;$B$3,ISBLANK(Actuals!G93)),"",(Budget!G93-Actuals!G93)/ABS(Budget!G93)),"")</f>
        <v/>
      </c>
      <c r="V77" s="508">
        <f>Budget!H93</f>
        <v/>
      </c>
      <c r="W77" s="508">
        <f>IF(OR(6&gt;$B$3,ISBLANK(Actuals!H93)),"",Actuals!H93)</f>
        <v/>
      </c>
      <c r="X77" s="509">
        <f>IF(OR(6&gt;$B$3,ISBLANK(Actuals!H93)),"",Budget!H93-Actuals!H93)</f>
        <v/>
      </c>
      <c r="Y77" s="509">
        <f>IFERROR(IF(OR(6&gt;$B$3,ISBLANK(Actuals!H93)),"",(Budget!H93-Actuals!H93)/ABS(Budget!H93)),"")</f>
        <v/>
      </c>
      <c r="Z77" s="508">
        <f>Budget!I93</f>
        <v/>
      </c>
      <c r="AA77" s="508">
        <f>IF(OR(7&gt;$B$3,ISBLANK(Actuals!I93)),"",Actuals!I93)</f>
        <v/>
      </c>
      <c r="AB77" s="509">
        <f>IF(OR(7&gt;$B$3,ISBLANK(Actuals!I93)),"",Budget!I93-Actuals!I93)</f>
        <v/>
      </c>
      <c r="AC77" s="509">
        <f>IFERROR(IF(OR(7&gt;$B$3,ISBLANK(Actuals!I93)),"",(Budget!I93-Actuals!I93)/ABS(Budget!I93)),"")</f>
        <v/>
      </c>
      <c r="AD77" s="508">
        <f>Budget!J93</f>
        <v/>
      </c>
      <c r="AE77" s="508">
        <f>IF(OR(8&gt;$B$3,ISBLANK(Actuals!J93)),"",Actuals!J93)</f>
        <v/>
      </c>
      <c r="AF77" s="509">
        <f>IF(OR(8&gt;$B$3,ISBLANK(Actuals!J93)),"",Budget!J93-Actuals!J93)</f>
        <v/>
      </c>
      <c r="AG77" s="509">
        <f>IFERROR(IF(OR(8&gt;$B$3,ISBLANK(Actuals!J93)),"",(Budget!J93-Actuals!J93)/ABS(Budget!J93)),"")</f>
        <v/>
      </c>
      <c r="AH77" s="508">
        <f>Budget!K93</f>
        <v/>
      </c>
      <c r="AI77" s="508">
        <f>IF(OR(9&gt;$B$3,ISBLANK(Actuals!K93)),"",Actuals!K93)</f>
        <v/>
      </c>
      <c r="AJ77" s="509">
        <f>IF(OR(9&gt;$B$3,ISBLANK(Actuals!K93)),"",Budget!K93-Actuals!K93)</f>
        <v/>
      </c>
      <c r="AK77" s="509">
        <f>IFERROR(IF(OR(9&gt;$B$3,ISBLANK(Actuals!K93)),"",(Budget!K93-Actuals!K93)/ABS(Budget!K93)),"")</f>
        <v/>
      </c>
      <c r="AL77" s="508">
        <f>Budget!L93</f>
        <v/>
      </c>
      <c r="AM77" s="508">
        <f>IF(OR(10&gt;$B$3,ISBLANK(Actuals!L93)),"",Actuals!L93)</f>
        <v/>
      </c>
      <c r="AN77" s="509">
        <f>IF(OR(10&gt;$B$3,ISBLANK(Actuals!L93)),"",Budget!L93-Actuals!L93)</f>
        <v/>
      </c>
      <c r="AO77" s="509">
        <f>IFERROR(IF(OR(10&gt;$B$3,ISBLANK(Actuals!L93)),"",(Budget!L93-Actuals!L93)/ABS(Budget!L93)),"")</f>
        <v/>
      </c>
      <c r="AP77" s="508">
        <f>Budget!M93</f>
        <v/>
      </c>
      <c r="AQ77" s="508">
        <f>IF(OR(11&gt;$B$3,ISBLANK(Actuals!M93)),"",Actuals!M93)</f>
        <v/>
      </c>
      <c r="AR77" s="509">
        <f>IF(OR(11&gt;$B$3,ISBLANK(Actuals!M93)),"",Budget!M93-Actuals!M93)</f>
        <v/>
      </c>
      <c r="AS77" s="509">
        <f>IFERROR(IF(OR(11&gt;$B$3,ISBLANK(Actuals!M93)),"",(Budget!M93-Actuals!M93)/ABS(Budget!M93)),"")</f>
        <v/>
      </c>
      <c r="AT77" s="508">
        <f>Budget!N93</f>
        <v/>
      </c>
      <c r="AU77" s="508">
        <f>IF(OR(12&gt;$B$3,ISBLANK(Actuals!N93)),"",Actuals!N93)</f>
        <v/>
      </c>
      <c r="AV77" s="509">
        <f>IF(OR(12&gt;$B$3,ISBLANK(Actuals!N93)),"",Budget!N93-Actuals!N93)</f>
        <v/>
      </c>
      <c r="AW77" s="509">
        <f>IFERROR(IF(OR(12&gt;$B$3,ISBLANK(Actuals!N93)),"",(Budget!N93-Actuals!N93)/ABS(Budget!N93)),"")</f>
        <v/>
      </c>
      <c r="AX77" s="510">
        <f>SUMPRODUCT((Actuals!C93:N93&lt;&gt;"")*(Budget!C93:N93))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Budget!C94</f>
        <v/>
      </c>
      <c r="C78" s="508">
        <f>IF(OR(1&gt;$B$3,ISBLANK(Actuals!C94)),"",Actuals!C94)</f>
        <v/>
      </c>
      <c r="D78" s="509">
        <f>IF(OR(1&gt;$B$3,ISBLANK(Actuals!C94)),"",Budget!C94-Actuals!C94)</f>
        <v/>
      </c>
      <c r="E78" s="509">
        <f>IFERROR(IF(OR(1&gt;$B$3,ISBLANK(Actuals!C94)),"",(Budget!C94-Actuals!C94)/ABS(Budget!C94)),"")</f>
        <v/>
      </c>
      <c r="F78" s="508">
        <f>Budget!D94</f>
        <v/>
      </c>
      <c r="G78" s="508">
        <f>IF(OR(2&gt;$B$3,ISBLANK(Actuals!D94)),"",Actuals!D94)</f>
        <v/>
      </c>
      <c r="H78" s="509">
        <f>IF(OR(2&gt;$B$3,ISBLANK(Actuals!D94)),"",Budget!D94-Actuals!D94)</f>
        <v/>
      </c>
      <c r="I78" s="509">
        <f>IFERROR(IF(OR(2&gt;$B$3,ISBLANK(Actuals!D94)),"",(Budget!D94-Actuals!D94)/ABS(Budget!D94)),"")</f>
        <v/>
      </c>
      <c r="J78" s="508">
        <f>Budget!E94</f>
        <v/>
      </c>
      <c r="K78" s="508">
        <f>IF(OR(3&gt;$B$3,ISBLANK(Actuals!E94)),"",Actuals!E94)</f>
        <v/>
      </c>
      <c r="L78" s="509">
        <f>IF(OR(3&gt;$B$3,ISBLANK(Actuals!E94)),"",Budget!E94-Actuals!E94)</f>
        <v/>
      </c>
      <c r="M78" s="509">
        <f>IFERROR(IF(OR(3&gt;$B$3,ISBLANK(Actuals!E94)),"",(Budget!E94-Actuals!E94)/ABS(Budget!E94)),"")</f>
        <v/>
      </c>
      <c r="N78" s="508">
        <f>Budget!F94</f>
        <v/>
      </c>
      <c r="O78" s="508">
        <f>IF(OR(4&gt;$B$3,ISBLANK(Actuals!F94)),"",Actuals!F94)</f>
        <v/>
      </c>
      <c r="P78" s="509">
        <f>IF(OR(4&gt;$B$3,ISBLANK(Actuals!F94)),"",Budget!F94-Actuals!F94)</f>
        <v/>
      </c>
      <c r="Q78" s="509">
        <f>IFERROR(IF(OR(4&gt;$B$3,ISBLANK(Actuals!F94)),"",(Budget!F94-Actuals!F94)/ABS(Budget!F94)),"")</f>
        <v/>
      </c>
      <c r="R78" s="508">
        <f>Budget!G94</f>
        <v/>
      </c>
      <c r="S78" s="508">
        <f>IF(OR(5&gt;$B$3,ISBLANK(Actuals!G94)),"",Actuals!G94)</f>
        <v/>
      </c>
      <c r="T78" s="509">
        <f>IF(OR(5&gt;$B$3,ISBLANK(Actuals!G94)),"",Budget!G94-Actuals!G94)</f>
        <v/>
      </c>
      <c r="U78" s="509">
        <f>IFERROR(IF(OR(5&gt;$B$3,ISBLANK(Actuals!G94)),"",(Budget!G94-Actuals!G94)/ABS(Budget!G94)),"")</f>
        <v/>
      </c>
      <c r="V78" s="508">
        <f>Budget!H94</f>
        <v/>
      </c>
      <c r="W78" s="508">
        <f>IF(OR(6&gt;$B$3,ISBLANK(Actuals!H94)),"",Actuals!H94)</f>
        <v/>
      </c>
      <c r="X78" s="509">
        <f>IF(OR(6&gt;$B$3,ISBLANK(Actuals!H94)),"",Budget!H94-Actuals!H94)</f>
        <v/>
      </c>
      <c r="Y78" s="509">
        <f>IFERROR(IF(OR(6&gt;$B$3,ISBLANK(Actuals!H94)),"",(Budget!H94-Actuals!H94)/ABS(Budget!H94)),"")</f>
        <v/>
      </c>
      <c r="Z78" s="508">
        <f>Budget!I94</f>
        <v/>
      </c>
      <c r="AA78" s="508">
        <f>IF(OR(7&gt;$B$3,ISBLANK(Actuals!I94)),"",Actuals!I94)</f>
        <v/>
      </c>
      <c r="AB78" s="509">
        <f>IF(OR(7&gt;$B$3,ISBLANK(Actuals!I94)),"",Budget!I94-Actuals!I94)</f>
        <v/>
      </c>
      <c r="AC78" s="509">
        <f>IFERROR(IF(OR(7&gt;$B$3,ISBLANK(Actuals!I94)),"",(Budget!I94-Actuals!I94)/ABS(Budget!I94)),"")</f>
        <v/>
      </c>
      <c r="AD78" s="508">
        <f>Budget!J94</f>
        <v/>
      </c>
      <c r="AE78" s="508">
        <f>IF(OR(8&gt;$B$3,ISBLANK(Actuals!J94)),"",Actuals!J94)</f>
        <v/>
      </c>
      <c r="AF78" s="509">
        <f>IF(OR(8&gt;$B$3,ISBLANK(Actuals!J94)),"",Budget!J94-Actuals!J94)</f>
        <v/>
      </c>
      <c r="AG78" s="509">
        <f>IFERROR(IF(OR(8&gt;$B$3,ISBLANK(Actuals!J94)),"",(Budget!J94-Actuals!J94)/ABS(Budget!J94)),"")</f>
        <v/>
      </c>
      <c r="AH78" s="508">
        <f>Budget!K94</f>
        <v/>
      </c>
      <c r="AI78" s="508">
        <f>IF(OR(9&gt;$B$3,ISBLANK(Actuals!K94)),"",Actuals!K94)</f>
        <v/>
      </c>
      <c r="AJ78" s="509">
        <f>IF(OR(9&gt;$B$3,ISBLANK(Actuals!K94)),"",Budget!K94-Actuals!K94)</f>
        <v/>
      </c>
      <c r="AK78" s="509">
        <f>IFERROR(IF(OR(9&gt;$B$3,ISBLANK(Actuals!K94)),"",(Budget!K94-Actuals!K94)/ABS(Budget!K94)),"")</f>
        <v/>
      </c>
      <c r="AL78" s="508">
        <f>Budget!L94</f>
        <v/>
      </c>
      <c r="AM78" s="508">
        <f>IF(OR(10&gt;$B$3,ISBLANK(Actuals!L94)),"",Actuals!L94)</f>
        <v/>
      </c>
      <c r="AN78" s="509">
        <f>IF(OR(10&gt;$B$3,ISBLANK(Actuals!L94)),"",Budget!L94-Actuals!L94)</f>
        <v/>
      </c>
      <c r="AO78" s="509">
        <f>IFERROR(IF(OR(10&gt;$B$3,ISBLANK(Actuals!L94)),"",(Budget!L94-Actuals!L94)/ABS(Budget!L94)),"")</f>
        <v/>
      </c>
      <c r="AP78" s="508">
        <f>Budget!M94</f>
        <v/>
      </c>
      <c r="AQ78" s="508">
        <f>IF(OR(11&gt;$B$3,ISBLANK(Actuals!M94)),"",Actuals!M94)</f>
        <v/>
      </c>
      <c r="AR78" s="509">
        <f>IF(OR(11&gt;$B$3,ISBLANK(Actuals!M94)),"",Budget!M94-Actuals!M94)</f>
        <v/>
      </c>
      <c r="AS78" s="509">
        <f>IFERROR(IF(OR(11&gt;$B$3,ISBLANK(Actuals!M94)),"",(Budget!M94-Actuals!M94)/ABS(Budget!M94)),"")</f>
        <v/>
      </c>
      <c r="AT78" s="508">
        <f>Budget!N94</f>
        <v/>
      </c>
      <c r="AU78" s="508">
        <f>IF(OR(12&gt;$B$3,ISBLANK(Actuals!N94)),"",Actuals!N94)</f>
        <v/>
      </c>
      <c r="AV78" s="509">
        <f>IF(OR(12&gt;$B$3,ISBLANK(Actuals!N94)),"",Budget!N94-Actuals!N94)</f>
        <v/>
      </c>
      <c r="AW78" s="509">
        <f>IFERROR(IF(OR(12&gt;$B$3,ISBLANK(Actuals!N94)),"",(Budget!N94-Actuals!N94)/ABS(Budget!N94)),"")</f>
        <v/>
      </c>
      <c r="AX78" s="510">
        <f>SUMPRODUCT((Actuals!C94:N94&lt;&gt;"")*(Budget!C94:N94))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Budget!C95</f>
        <v/>
      </c>
      <c r="C79" s="508">
        <f>IF(OR(1&gt;$B$3,ISBLANK(Actuals!C95)),"",Actuals!C95)</f>
        <v/>
      </c>
      <c r="D79" s="509">
        <f>IF(OR(1&gt;$B$3,ISBLANK(Actuals!C95)),"",Budget!C95-Actuals!C95)</f>
        <v/>
      </c>
      <c r="E79" s="509">
        <f>IFERROR(IF(OR(1&gt;$B$3,ISBLANK(Actuals!C95)),"",(Budget!C95-Actuals!C95)/ABS(Budget!C95)),"")</f>
        <v/>
      </c>
      <c r="F79" s="508">
        <f>Budget!D95</f>
        <v/>
      </c>
      <c r="G79" s="508">
        <f>IF(OR(2&gt;$B$3,ISBLANK(Actuals!D95)),"",Actuals!D95)</f>
        <v/>
      </c>
      <c r="H79" s="509">
        <f>IF(OR(2&gt;$B$3,ISBLANK(Actuals!D95)),"",Budget!D95-Actuals!D95)</f>
        <v/>
      </c>
      <c r="I79" s="509">
        <f>IFERROR(IF(OR(2&gt;$B$3,ISBLANK(Actuals!D95)),"",(Budget!D95-Actuals!D95)/ABS(Budget!D95)),"")</f>
        <v/>
      </c>
      <c r="J79" s="508">
        <f>Budget!E95</f>
        <v/>
      </c>
      <c r="K79" s="508">
        <f>IF(OR(3&gt;$B$3,ISBLANK(Actuals!E95)),"",Actuals!E95)</f>
        <v/>
      </c>
      <c r="L79" s="509">
        <f>IF(OR(3&gt;$B$3,ISBLANK(Actuals!E95)),"",Budget!E95-Actuals!E95)</f>
        <v/>
      </c>
      <c r="M79" s="509">
        <f>IFERROR(IF(OR(3&gt;$B$3,ISBLANK(Actuals!E95)),"",(Budget!E95-Actuals!E95)/ABS(Budget!E95)),"")</f>
        <v/>
      </c>
      <c r="N79" s="508">
        <f>Budget!F95</f>
        <v/>
      </c>
      <c r="O79" s="508">
        <f>IF(OR(4&gt;$B$3,ISBLANK(Actuals!F95)),"",Actuals!F95)</f>
        <v/>
      </c>
      <c r="P79" s="509">
        <f>IF(OR(4&gt;$B$3,ISBLANK(Actuals!F95)),"",Budget!F95-Actuals!F95)</f>
        <v/>
      </c>
      <c r="Q79" s="509">
        <f>IFERROR(IF(OR(4&gt;$B$3,ISBLANK(Actuals!F95)),"",(Budget!F95-Actuals!F95)/ABS(Budget!F95)),"")</f>
        <v/>
      </c>
      <c r="R79" s="508">
        <f>Budget!G95</f>
        <v/>
      </c>
      <c r="S79" s="508">
        <f>IF(OR(5&gt;$B$3,ISBLANK(Actuals!G95)),"",Actuals!G95)</f>
        <v/>
      </c>
      <c r="T79" s="509">
        <f>IF(OR(5&gt;$B$3,ISBLANK(Actuals!G95)),"",Budget!G95-Actuals!G95)</f>
        <v/>
      </c>
      <c r="U79" s="509">
        <f>IFERROR(IF(OR(5&gt;$B$3,ISBLANK(Actuals!G95)),"",(Budget!G95-Actuals!G95)/ABS(Budget!G95)),"")</f>
        <v/>
      </c>
      <c r="V79" s="508">
        <f>Budget!H95</f>
        <v/>
      </c>
      <c r="W79" s="508">
        <f>IF(OR(6&gt;$B$3,ISBLANK(Actuals!H95)),"",Actuals!H95)</f>
        <v/>
      </c>
      <c r="X79" s="509">
        <f>IF(OR(6&gt;$B$3,ISBLANK(Actuals!H95)),"",Budget!H95-Actuals!H95)</f>
        <v/>
      </c>
      <c r="Y79" s="509">
        <f>IFERROR(IF(OR(6&gt;$B$3,ISBLANK(Actuals!H95)),"",(Budget!H95-Actuals!H95)/ABS(Budget!H95)),"")</f>
        <v/>
      </c>
      <c r="Z79" s="508">
        <f>Budget!I95</f>
        <v/>
      </c>
      <c r="AA79" s="508">
        <f>IF(OR(7&gt;$B$3,ISBLANK(Actuals!I95)),"",Actuals!I95)</f>
        <v/>
      </c>
      <c r="AB79" s="509">
        <f>IF(OR(7&gt;$B$3,ISBLANK(Actuals!I95)),"",Budget!I95-Actuals!I95)</f>
        <v/>
      </c>
      <c r="AC79" s="509">
        <f>IFERROR(IF(OR(7&gt;$B$3,ISBLANK(Actuals!I95)),"",(Budget!I95-Actuals!I95)/ABS(Budget!I95)),"")</f>
        <v/>
      </c>
      <c r="AD79" s="508">
        <f>Budget!J95</f>
        <v/>
      </c>
      <c r="AE79" s="508">
        <f>IF(OR(8&gt;$B$3,ISBLANK(Actuals!J95)),"",Actuals!J95)</f>
        <v/>
      </c>
      <c r="AF79" s="509">
        <f>IF(OR(8&gt;$B$3,ISBLANK(Actuals!J95)),"",Budget!J95-Actuals!J95)</f>
        <v/>
      </c>
      <c r="AG79" s="509">
        <f>IFERROR(IF(OR(8&gt;$B$3,ISBLANK(Actuals!J95)),"",(Budget!J95-Actuals!J95)/ABS(Budget!J95)),"")</f>
        <v/>
      </c>
      <c r="AH79" s="508">
        <f>Budget!K95</f>
        <v/>
      </c>
      <c r="AI79" s="508">
        <f>IF(OR(9&gt;$B$3,ISBLANK(Actuals!K95)),"",Actuals!K95)</f>
        <v/>
      </c>
      <c r="AJ79" s="509">
        <f>IF(OR(9&gt;$B$3,ISBLANK(Actuals!K95)),"",Budget!K95-Actuals!K95)</f>
        <v/>
      </c>
      <c r="AK79" s="509">
        <f>IFERROR(IF(OR(9&gt;$B$3,ISBLANK(Actuals!K95)),"",(Budget!K95-Actuals!K95)/ABS(Budget!K95)),"")</f>
        <v/>
      </c>
      <c r="AL79" s="508">
        <f>Budget!L95</f>
        <v/>
      </c>
      <c r="AM79" s="508">
        <f>IF(OR(10&gt;$B$3,ISBLANK(Actuals!L95)),"",Actuals!L95)</f>
        <v/>
      </c>
      <c r="AN79" s="509">
        <f>IF(OR(10&gt;$B$3,ISBLANK(Actuals!L95)),"",Budget!L95-Actuals!L95)</f>
        <v/>
      </c>
      <c r="AO79" s="509">
        <f>IFERROR(IF(OR(10&gt;$B$3,ISBLANK(Actuals!L95)),"",(Budget!L95-Actuals!L95)/ABS(Budget!L95)),"")</f>
        <v/>
      </c>
      <c r="AP79" s="508">
        <f>Budget!M95</f>
        <v/>
      </c>
      <c r="AQ79" s="508">
        <f>IF(OR(11&gt;$B$3,ISBLANK(Actuals!M95)),"",Actuals!M95)</f>
        <v/>
      </c>
      <c r="AR79" s="509">
        <f>IF(OR(11&gt;$B$3,ISBLANK(Actuals!M95)),"",Budget!M95-Actuals!M95)</f>
        <v/>
      </c>
      <c r="AS79" s="509">
        <f>IFERROR(IF(OR(11&gt;$B$3,ISBLANK(Actuals!M95)),"",(Budget!M95-Actuals!M95)/ABS(Budget!M95)),"")</f>
        <v/>
      </c>
      <c r="AT79" s="508">
        <f>Budget!N95</f>
        <v/>
      </c>
      <c r="AU79" s="508">
        <f>IF(OR(12&gt;$B$3,ISBLANK(Actuals!N95)),"",Actuals!N95)</f>
        <v/>
      </c>
      <c r="AV79" s="509">
        <f>IF(OR(12&gt;$B$3,ISBLANK(Actuals!N95)),"",Budget!N95-Actuals!N95)</f>
        <v/>
      </c>
      <c r="AW79" s="509">
        <f>IFERROR(IF(OR(12&gt;$B$3,ISBLANK(Actuals!N95)),"",(Budget!N95-Actuals!N95)/ABS(Budget!N95)),"")</f>
        <v/>
      </c>
      <c r="AX79" s="510">
        <f>SUMPRODUCT((Actuals!C95:N95&lt;&gt;"")*(Budget!C95:N95))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Budget!C96</f>
        <v/>
      </c>
      <c r="C80" s="508">
        <f>IF(OR(1&gt;$B$3,ISBLANK(Actuals!C96)),"",Actuals!C96)</f>
        <v/>
      </c>
      <c r="D80" s="509">
        <f>IF(OR(1&gt;$B$3,ISBLANK(Actuals!C96)),"",Budget!C96-Actuals!C96)</f>
        <v/>
      </c>
      <c r="E80" s="509">
        <f>IFERROR(IF(OR(1&gt;$B$3,ISBLANK(Actuals!C96)),"",(Budget!C96-Actuals!C96)/ABS(Budget!C96)),"")</f>
        <v/>
      </c>
      <c r="F80" s="508">
        <f>Budget!D96</f>
        <v/>
      </c>
      <c r="G80" s="508">
        <f>IF(OR(2&gt;$B$3,ISBLANK(Actuals!D96)),"",Actuals!D96)</f>
        <v/>
      </c>
      <c r="H80" s="509">
        <f>IF(OR(2&gt;$B$3,ISBLANK(Actuals!D96)),"",Budget!D96-Actuals!D96)</f>
        <v/>
      </c>
      <c r="I80" s="509">
        <f>IFERROR(IF(OR(2&gt;$B$3,ISBLANK(Actuals!D96)),"",(Budget!D96-Actuals!D96)/ABS(Budget!D96)),"")</f>
        <v/>
      </c>
      <c r="J80" s="508">
        <f>Budget!E96</f>
        <v/>
      </c>
      <c r="K80" s="508">
        <f>IF(OR(3&gt;$B$3,ISBLANK(Actuals!E96)),"",Actuals!E96)</f>
        <v/>
      </c>
      <c r="L80" s="509">
        <f>IF(OR(3&gt;$B$3,ISBLANK(Actuals!E96)),"",Budget!E96-Actuals!E96)</f>
        <v/>
      </c>
      <c r="M80" s="509">
        <f>IFERROR(IF(OR(3&gt;$B$3,ISBLANK(Actuals!E96)),"",(Budget!E96-Actuals!E96)/ABS(Budget!E96)),"")</f>
        <v/>
      </c>
      <c r="N80" s="508">
        <f>Budget!F96</f>
        <v/>
      </c>
      <c r="O80" s="508">
        <f>IF(OR(4&gt;$B$3,ISBLANK(Actuals!F96)),"",Actuals!F96)</f>
        <v/>
      </c>
      <c r="P80" s="509">
        <f>IF(OR(4&gt;$B$3,ISBLANK(Actuals!F96)),"",Budget!F96-Actuals!F96)</f>
        <v/>
      </c>
      <c r="Q80" s="509">
        <f>IFERROR(IF(OR(4&gt;$B$3,ISBLANK(Actuals!F96)),"",(Budget!F96-Actuals!F96)/ABS(Budget!F96)),"")</f>
        <v/>
      </c>
      <c r="R80" s="508">
        <f>Budget!G96</f>
        <v/>
      </c>
      <c r="S80" s="508">
        <f>IF(OR(5&gt;$B$3,ISBLANK(Actuals!G96)),"",Actuals!G96)</f>
        <v/>
      </c>
      <c r="T80" s="509">
        <f>IF(OR(5&gt;$B$3,ISBLANK(Actuals!G96)),"",Budget!G96-Actuals!G96)</f>
        <v/>
      </c>
      <c r="U80" s="509">
        <f>IFERROR(IF(OR(5&gt;$B$3,ISBLANK(Actuals!G96)),"",(Budget!G96-Actuals!G96)/ABS(Budget!G96)),"")</f>
        <v/>
      </c>
      <c r="V80" s="508">
        <f>Budget!H96</f>
        <v/>
      </c>
      <c r="W80" s="508">
        <f>IF(OR(6&gt;$B$3,ISBLANK(Actuals!H96)),"",Actuals!H96)</f>
        <v/>
      </c>
      <c r="X80" s="509">
        <f>IF(OR(6&gt;$B$3,ISBLANK(Actuals!H96)),"",Budget!H96-Actuals!H96)</f>
        <v/>
      </c>
      <c r="Y80" s="509">
        <f>IFERROR(IF(OR(6&gt;$B$3,ISBLANK(Actuals!H96)),"",(Budget!H96-Actuals!H96)/ABS(Budget!H96)),"")</f>
        <v/>
      </c>
      <c r="Z80" s="508">
        <f>Budget!I96</f>
        <v/>
      </c>
      <c r="AA80" s="508">
        <f>IF(OR(7&gt;$B$3,ISBLANK(Actuals!I96)),"",Actuals!I96)</f>
        <v/>
      </c>
      <c r="AB80" s="509">
        <f>IF(OR(7&gt;$B$3,ISBLANK(Actuals!I96)),"",Budget!I96-Actuals!I96)</f>
        <v/>
      </c>
      <c r="AC80" s="509">
        <f>IFERROR(IF(OR(7&gt;$B$3,ISBLANK(Actuals!I96)),"",(Budget!I96-Actuals!I96)/ABS(Budget!I96)),"")</f>
        <v/>
      </c>
      <c r="AD80" s="508">
        <f>Budget!J96</f>
        <v/>
      </c>
      <c r="AE80" s="508">
        <f>IF(OR(8&gt;$B$3,ISBLANK(Actuals!J96)),"",Actuals!J96)</f>
        <v/>
      </c>
      <c r="AF80" s="509">
        <f>IF(OR(8&gt;$B$3,ISBLANK(Actuals!J96)),"",Budget!J96-Actuals!J96)</f>
        <v/>
      </c>
      <c r="AG80" s="509">
        <f>IFERROR(IF(OR(8&gt;$B$3,ISBLANK(Actuals!J96)),"",(Budget!J96-Actuals!J96)/ABS(Budget!J96)),"")</f>
        <v/>
      </c>
      <c r="AH80" s="508">
        <f>Budget!K96</f>
        <v/>
      </c>
      <c r="AI80" s="508">
        <f>IF(OR(9&gt;$B$3,ISBLANK(Actuals!K96)),"",Actuals!K96)</f>
        <v/>
      </c>
      <c r="AJ80" s="509">
        <f>IF(OR(9&gt;$B$3,ISBLANK(Actuals!K96)),"",Budget!K96-Actuals!K96)</f>
        <v/>
      </c>
      <c r="AK80" s="509">
        <f>IFERROR(IF(OR(9&gt;$B$3,ISBLANK(Actuals!K96)),"",(Budget!K96-Actuals!K96)/ABS(Budget!K96)),"")</f>
        <v/>
      </c>
      <c r="AL80" s="508">
        <f>Budget!L96</f>
        <v/>
      </c>
      <c r="AM80" s="508">
        <f>IF(OR(10&gt;$B$3,ISBLANK(Actuals!L96)),"",Actuals!L96)</f>
        <v/>
      </c>
      <c r="AN80" s="509">
        <f>IF(OR(10&gt;$B$3,ISBLANK(Actuals!L96)),"",Budget!L96-Actuals!L96)</f>
        <v/>
      </c>
      <c r="AO80" s="509">
        <f>IFERROR(IF(OR(10&gt;$B$3,ISBLANK(Actuals!L96)),"",(Budget!L96-Actuals!L96)/ABS(Budget!L96)),"")</f>
        <v/>
      </c>
      <c r="AP80" s="508">
        <f>Budget!M96</f>
        <v/>
      </c>
      <c r="AQ80" s="508">
        <f>IF(OR(11&gt;$B$3,ISBLANK(Actuals!M96)),"",Actuals!M96)</f>
        <v/>
      </c>
      <c r="AR80" s="509">
        <f>IF(OR(11&gt;$B$3,ISBLANK(Actuals!M96)),"",Budget!M96-Actuals!M96)</f>
        <v/>
      </c>
      <c r="AS80" s="509">
        <f>IFERROR(IF(OR(11&gt;$B$3,ISBLANK(Actuals!M96)),"",(Budget!M96-Actuals!M96)/ABS(Budget!M96)),"")</f>
        <v/>
      </c>
      <c r="AT80" s="508">
        <f>Budget!N96</f>
        <v/>
      </c>
      <c r="AU80" s="508">
        <f>IF(OR(12&gt;$B$3,ISBLANK(Actuals!N96)),"",Actuals!N96)</f>
        <v/>
      </c>
      <c r="AV80" s="509">
        <f>IF(OR(12&gt;$B$3,ISBLANK(Actuals!N96)),"",Budget!N96-Actuals!N96)</f>
        <v/>
      </c>
      <c r="AW80" s="509">
        <f>IFERROR(IF(OR(12&gt;$B$3,ISBLANK(Actuals!N96)),"",(Budget!N96-Actuals!N96)/ABS(Budget!N96)),"")</f>
        <v/>
      </c>
      <c r="AX80" s="510">
        <f>SUMPRODUCT((Actuals!C96:N96&lt;&gt;"")*(Budget!C96:N96))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Budget!C97</f>
        <v/>
      </c>
      <c r="C81" s="508">
        <f>IF(OR(1&gt;$B$3,ISBLANK(Actuals!C97)),"",Actuals!C97)</f>
        <v/>
      </c>
      <c r="D81" s="509">
        <f>IF(OR(1&gt;$B$3,ISBLANK(Actuals!C97)),"",Budget!C97-Actuals!C97)</f>
        <v/>
      </c>
      <c r="E81" s="509">
        <f>IFERROR(IF(OR(1&gt;$B$3,ISBLANK(Actuals!C97)),"",(Budget!C97-Actuals!C97)/ABS(Budget!C97)),"")</f>
        <v/>
      </c>
      <c r="F81" s="508">
        <f>Budget!D97</f>
        <v/>
      </c>
      <c r="G81" s="508">
        <f>IF(OR(2&gt;$B$3,ISBLANK(Actuals!D97)),"",Actuals!D97)</f>
        <v/>
      </c>
      <c r="H81" s="509">
        <f>IF(OR(2&gt;$B$3,ISBLANK(Actuals!D97)),"",Budget!D97-Actuals!D97)</f>
        <v/>
      </c>
      <c r="I81" s="509">
        <f>IFERROR(IF(OR(2&gt;$B$3,ISBLANK(Actuals!D97)),"",(Budget!D97-Actuals!D97)/ABS(Budget!D97)),"")</f>
        <v/>
      </c>
      <c r="J81" s="508">
        <f>Budget!E97</f>
        <v/>
      </c>
      <c r="K81" s="508">
        <f>IF(OR(3&gt;$B$3,ISBLANK(Actuals!E97)),"",Actuals!E97)</f>
        <v/>
      </c>
      <c r="L81" s="509">
        <f>IF(OR(3&gt;$B$3,ISBLANK(Actuals!E97)),"",Budget!E97-Actuals!E97)</f>
        <v/>
      </c>
      <c r="M81" s="509">
        <f>IFERROR(IF(OR(3&gt;$B$3,ISBLANK(Actuals!E97)),"",(Budget!E97-Actuals!E97)/ABS(Budget!E97)),"")</f>
        <v/>
      </c>
      <c r="N81" s="508">
        <f>Budget!F97</f>
        <v/>
      </c>
      <c r="O81" s="508">
        <f>IF(OR(4&gt;$B$3,ISBLANK(Actuals!F97)),"",Actuals!F97)</f>
        <v/>
      </c>
      <c r="P81" s="509">
        <f>IF(OR(4&gt;$B$3,ISBLANK(Actuals!F97)),"",Budget!F97-Actuals!F97)</f>
        <v/>
      </c>
      <c r="Q81" s="509">
        <f>IFERROR(IF(OR(4&gt;$B$3,ISBLANK(Actuals!F97)),"",(Budget!F97-Actuals!F97)/ABS(Budget!F97)),"")</f>
        <v/>
      </c>
      <c r="R81" s="508">
        <f>Budget!G97</f>
        <v/>
      </c>
      <c r="S81" s="508">
        <f>IF(OR(5&gt;$B$3,ISBLANK(Actuals!G97)),"",Actuals!G97)</f>
        <v/>
      </c>
      <c r="T81" s="509">
        <f>IF(OR(5&gt;$B$3,ISBLANK(Actuals!G97)),"",Budget!G97-Actuals!G97)</f>
        <v/>
      </c>
      <c r="U81" s="509">
        <f>IFERROR(IF(OR(5&gt;$B$3,ISBLANK(Actuals!G97)),"",(Budget!G97-Actuals!G97)/ABS(Budget!G97)),"")</f>
        <v/>
      </c>
      <c r="V81" s="508">
        <f>Budget!H97</f>
        <v/>
      </c>
      <c r="W81" s="508">
        <f>IF(OR(6&gt;$B$3,ISBLANK(Actuals!H97)),"",Actuals!H97)</f>
        <v/>
      </c>
      <c r="X81" s="509">
        <f>IF(OR(6&gt;$B$3,ISBLANK(Actuals!H97)),"",Budget!H97-Actuals!H97)</f>
        <v/>
      </c>
      <c r="Y81" s="509">
        <f>IFERROR(IF(OR(6&gt;$B$3,ISBLANK(Actuals!H97)),"",(Budget!H97-Actuals!H97)/ABS(Budget!H97)),"")</f>
        <v/>
      </c>
      <c r="Z81" s="508">
        <f>Budget!I97</f>
        <v/>
      </c>
      <c r="AA81" s="508">
        <f>IF(OR(7&gt;$B$3,ISBLANK(Actuals!I97)),"",Actuals!I97)</f>
        <v/>
      </c>
      <c r="AB81" s="509">
        <f>IF(OR(7&gt;$B$3,ISBLANK(Actuals!I97)),"",Budget!I97-Actuals!I97)</f>
        <v/>
      </c>
      <c r="AC81" s="509">
        <f>IFERROR(IF(OR(7&gt;$B$3,ISBLANK(Actuals!I97)),"",(Budget!I97-Actuals!I97)/ABS(Budget!I97)),"")</f>
        <v/>
      </c>
      <c r="AD81" s="508">
        <f>Budget!J97</f>
        <v/>
      </c>
      <c r="AE81" s="508">
        <f>IF(OR(8&gt;$B$3,ISBLANK(Actuals!J97)),"",Actuals!J97)</f>
        <v/>
      </c>
      <c r="AF81" s="509">
        <f>IF(OR(8&gt;$B$3,ISBLANK(Actuals!J97)),"",Budget!J97-Actuals!J97)</f>
        <v/>
      </c>
      <c r="AG81" s="509">
        <f>IFERROR(IF(OR(8&gt;$B$3,ISBLANK(Actuals!J97)),"",(Budget!J97-Actuals!J97)/ABS(Budget!J97)),"")</f>
        <v/>
      </c>
      <c r="AH81" s="508">
        <f>Budget!K97</f>
        <v/>
      </c>
      <c r="AI81" s="508">
        <f>IF(OR(9&gt;$B$3,ISBLANK(Actuals!K97)),"",Actuals!K97)</f>
        <v/>
      </c>
      <c r="AJ81" s="509">
        <f>IF(OR(9&gt;$B$3,ISBLANK(Actuals!K97)),"",Budget!K97-Actuals!K97)</f>
        <v/>
      </c>
      <c r="AK81" s="509">
        <f>IFERROR(IF(OR(9&gt;$B$3,ISBLANK(Actuals!K97)),"",(Budget!K97-Actuals!K97)/ABS(Budget!K97)),"")</f>
        <v/>
      </c>
      <c r="AL81" s="508">
        <f>Budget!L97</f>
        <v/>
      </c>
      <c r="AM81" s="508">
        <f>IF(OR(10&gt;$B$3,ISBLANK(Actuals!L97)),"",Actuals!L97)</f>
        <v/>
      </c>
      <c r="AN81" s="509">
        <f>IF(OR(10&gt;$B$3,ISBLANK(Actuals!L97)),"",Budget!L97-Actuals!L97)</f>
        <v/>
      </c>
      <c r="AO81" s="509">
        <f>IFERROR(IF(OR(10&gt;$B$3,ISBLANK(Actuals!L97)),"",(Budget!L97-Actuals!L97)/ABS(Budget!L97)),"")</f>
        <v/>
      </c>
      <c r="AP81" s="508">
        <f>Budget!M97</f>
        <v/>
      </c>
      <c r="AQ81" s="508">
        <f>IF(OR(11&gt;$B$3,ISBLANK(Actuals!M97)),"",Actuals!M97)</f>
        <v/>
      </c>
      <c r="AR81" s="509">
        <f>IF(OR(11&gt;$B$3,ISBLANK(Actuals!M97)),"",Budget!M97-Actuals!M97)</f>
        <v/>
      </c>
      <c r="AS81" s="509">
        <f>IFERROR(IF(OR(11&gt;$B$3,ISBLANK(Actuals!M97)),"",(Budget!M97-Actuals!M97)/ABS(Budget!M97)),"")</f>
        <v/>
      </c>
      <c r="AT81" s="508">
        <f>Budget!N97</f>
        <v/>
      </c>
      <c r="AU81" s="508">
        <f>IF(OR(12&gt;$B$3,ISBLANK(Actuals!N97)),"",Actuals!N97)</f>
        <v/>
      </c>
      <c r="AV81" s="509">
        <f>IF(OR(12&gt;$B$3,ISBLANK(Actuals!N97)),"",Budget!N97-Actuals!N97)</f>
        <v/>
      </c>
      <c r="AW81" s="509">
        <f>IFERROR(IF(OR(12&gt;$B$3,ISBLANK(Actuals!N97)),"",(Budget!N97-Actuals!N97)/ABS(Budget!N97)),"")</f>
        <v/>
      </c>
      <c r="AX81" s="510">
        <f>SUMPRODUCT((Actuals!C97:N97&lt;&gt;"")*(Budget!C97:N97))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Budget!C98</f>
        <v/>
      </c>
      <c r="C82" s="508">
        <f>IF(OR(1&gt;$B$3,ISBLANK(Actuals!C98)),"",Actuals!C98)</f>
        <v/>
      </c>
      <c r="D82" s="509">
        <f>IF(OR(1&gt;$B$3,ISBLANK(Actuals!C98)),"",Budget!C98-Actuals!C98)</f>
        <v/>
      </c>
      <c r="E82" s="509">
        <f>IFERROR(IF(OR(1&gt;$B$3,ISBLANK(Actuals!C98)),"",(Budget!C98-Actuals!C98)/ABS(Budget!C98)),"")</f>
        <v/>
      </c>
      <c r="F82" s="508">
        <f>Budget!D98</f>
        <v/>
      </c>
      <c r="G82" s="508">
        <f>IF(OR(2&gt;$B$3,ISBLANK(Actuals!D98)),"",Actuals!D98)</f>
        <v/>
      </c>
      <c r="H82" s="509">
        <f>IF(OR(2&gt;$B$3,ISBLANK(Actuals!D98)),"",Budget!D98-Actuals!D98)</f>
        <v/>
      </c>
      <c r="I82" s="509">
        <f>IFERROR(IF(OR(2&gt;$B$3,ISBLANK(Actuals!D98)),"",(Budget!D98-Actuals!D98)/ABS(Budget!D98)),"")</f>
        <v/>
      </c>
      <c r="J82" s="508">
        <f>Budget!E98</f>
        <v/>
      </c>
      <c r="K82" s="508">
        <f>IF(OR(3&gt;$B$3,ISBLANK(Actuals!E98)),"",Actuals!E98)</f>
        <v/>
      </c>
      <c r="L82" s="509">
        <f>IF(OR(3&gt;$B$3,ISBLANK(Actuals!E98)),"",Budget!E98-Actuals!E98)</f>
        <v/>
      </c>
      <c r="M82" s="509">
        <f>IFERROR(IF(OR(3&gt;$B$3,ISBLANK(Actuals!E98)),"",(Budget!E98-Actuals!E98)/ABS(Budget!E98)),"")</f>
        <v/>
      </c>
      <c r="N82" s="508">
        <f>Budget!F98</f>
        <v/>
      </c>
      <c r="O82" s="508">
        <f>IF(OR(4&gt;$B$3,ISBLANK(Actuals!F98)),"",Actuals!F98)</f>
        <v/>
      </c>
      <c r="P82" s="509">
        <f>IF(OR(4&gt;$B$3,ISBLANK(Actuals!F98)),"",Budget!F98-Actuals!F98)</f>
        <v/>
      </c>
      <c r="Q82" s="509">
        <f>IFERROR(IF(OR(4&gt;$B$3,ISBLANK(Actuals!F98)),"",(Budget!F98-Actuals!F98)/ABS(Budget!F98)),"")</f>
        <v/>
      </c>
      <c r="R82" s="508">
        <f>Budget!G98</f>
        <v/>
      </c>
      <c r="S82" s="508">
        <f>IF(OR(5&gt;$B$3,ISBLANK(Actuals!G98)),"",Actuals!G98)</f>
        <v/>
      </c>
      <c r="T82" s="509">
        <f>IF(OR(5&gt;$B$3,ISBLANK(Actuals!G98)),"",Budget!G98-Actuals!G98)</f>
        <v/>
      </c>
      <c r="U82" s="509">
        <f>IFERROR(IF(OR(5&gt;$B$3,ISBLANK(Actuals!G98)),"",(Budget!G98-Actuals!G98)/ABS(Budget!G98)),"")</f>
        <v/>
      </c>
      <c r="V82" s="508">
        <f>Budget!H98</f>
        <v/>
      </c>
      <c r="W82" s="508">
        <f>IF(OR(6&gt;$B$3,ISBLANK(Actuals!H98)),"",Actuals!H98)</f>
        <v/>
      </c>
      <c r="X82" s="509">
        <f>IF(OR(6&gt;$B$3,ISBLANK(Actuals!H98)),"",Budget!H98-Actuals!H98)</f>
        <v/>
      </c>
      <c r="Y82" s="509">
        <f>IFERROR(IF(OR(6&gt;$B$3,ISBLANK(Actuals!H98)),"",(Budget!H98-Actuals!H98)/ABS(Budget!H98)),"")</f>
        <v/>
      </c>
      <c r="Z82" s="508">
        <f>Budget!I98</f>
        <v/>
      </c>
      <c r="AA82" s="508">
        <f>IF(OR(7&gt;$B$3,ISBLANK(Actuals!I98)),"",Actuals!I98)</f>
        <v/>
      </c>
      <c r="AB82" s="509">
        <f>IF(OR(7&gt;$B$3,ISBLANK(Actuals!I98)),"",Budget!I98-Actuals!I98)</f>
        <v/>
      </c>
      <c r="AC82" s="509">
        <f>IFERROR(IF(OR(7&gt;$B$3,ISBLANK(Actuals!I98)),"",(Budget!I98-Actuals!I98)/ABS(Budget!I98)),"")</f>
        <v/>
      </c>
      <c r="AD82" s="508">
        <f>Budget!J98</f>
        <v/>
      </c>
      <c r="AE82" s="508">
        <f>IF(OR(8&gt;$B$3,ISBLANK(Actuals!J98)),"",Actuals!J98)</f>
        <v/>
      </c>
      <c r="AF82" s="509">
        <f>IF(OR(8&gt;$B$3,ISBLANK(Actuals!J98)),"",Budget!J98-Actuals!J98)</f>
        <v/>
      </c>
      <c r="AG82" s="509">
        <f>IFERROR(IF(OR(8&gt;$B$3,ISBLANK(Actuals!J98)),"",(Budget!J98-Actuals!J98)/ABS(Budget!J98)),"")</f>
        <v/>
      </c>
      <c r="AH82" s="508">
        <f>Budget!K98</f>
        <v/>
      </c>
      <c r="AI82" s="508">
        <f>IF(OR(9&gt;$B$3,ISBLANK(Actuals!K98)),"",Actuals!K98)</f>
        <v/>
      </c>
      <c r="AJ82" s="509">
        <f>IF(OR(9&gt;$B$3,ISBLANK(Actuals!K98)),"",Budget!K98-Actuals!K98)</f>
        <v/>
      </c>
      <c r="AK82" s="509">
        <f>IFERROR(IF(OR(9&gt;$B$3,ISBLANK(Actuals!K98)),"",(Budget!K98-Actuals!K98)/ABS(Budget!K98)),"")</f>
        <v/>
      </c>
      <c r="AL82" s="508">
        <f>Budget!L98</f>
        <v/>
      </c>
      <c r="AM82" s="508">
        <f>IF(OR(10&gt;$B$3,ISBLANK(Actuals!L98)),"",Actuals!L98)</f>
        <v/>
      </c>
      <c r="AN82" s="509">
        <f>IF(OR(10&gt;$B$3,ISBLANK(Actuals!L98)),"",Budget!L98-Actuals!L98)</f>
        <v/>
      </c>
      <c r="AO82" s="509">
        <f>IFERROR(IF(OR(10&gt;$B$3,ISBLANK(Actuals!L98)),"",(Budget!L98-Actuals!L98)/ABS(Budget!L98)),"")</f>
        <v/>
      </c>
      <c r="AP82" s="508">
        <f>Budget!M98</f>
        <v/>
      </c>
      <c r="AQ82" s="508">
        <f>IF(OR(11&gt;$B$3,ISBLANK(Actuals!M98)),"",Actuals!M98)</f>
        <v/>
      </c>
      <c r="AR82" s="509">
        <f>IF(OR(11&gt;$B$3,ISBLANK(Actuals!M98)),"",Budget!M98-Actuals!M98)</f>
        <v/>
      </c>
      <c r="AS82" s="509">
        <f>IFERROR(IF(OR(11&gt;$B$3,ISBLANK(Actuals!M98)),"",(Budget!M98-Actuals!M98)/ABS(Budget!M98)),"")</f>
        <v/>
      </c>
      <c r="AT82" s="508">
        <f>Budget!N98</f>
        <v/>
      </c>
      <c r="AU82" s="508">
        <f>IF(OR(12&gt;$B$3,ISBLANK(Actuals!N98)),"",Actuals!N98)</f>
        <v/>
      </c>
      <c r="AV82" s="509">
        <f>IF(OR(12&gt;$B$3,ISBLANK(Actuals!N98)),"",Budget!N98-Actuals!N98)</f>
        <v/>
      </c>
      <c r="AW82" s="509">
        <f>IFERROR(IF(OR(12&gt;$B$3,ISBLANK(Actuals!N98)),"",(Budget!N98-Actuals!N98)/ABS(Budget!N98)),"")</f>
        <v/>
      </c>
      <c r="AX82" s="510">
        <f>SUMPRODUCT((Actuals!C98:N98&lt;&gt;"")*(Budget!C98:N98))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Budget!C99</f>
        <v/>
      </c>
      <c r="C83" s="508">
        <f>IF(OR(1&gt;$B$3,ISBLANK(Actuals!C99)),"",Actuals!C99)</f>
        <v/>
      </c>
      <c r="D83" s="509">
        <f>IF(OR(1&gt;$B$3,ISBLANK(Actuals!C99)),"",Budget!C99-Actuals!C99)</f>
        <v/>
      </c>
      <c r="E83" s="509">
        <f>IFERROR(IF(OR(1&gt;$B$3,ISBLANK(Actuals!C99)),"",(Budget!C99-Actuals!C99)/ABS(Budget!C99)),"")</f>
        <v/>
      </c>
      <c r="F83" s="508">
        <f>Budget!D99</f>
        <v/>
      </c>
      <c r="G83" s="508">
        <f>IF(OR(2&gt;$B$3,ISBLANK(Actuals!D99)),"",Actuals!D99)</f>
        <v/>
      </c>
      <c r="H83" s="509">
        <f>IF(OR(2&gt;$B$3,ISBLANK(Actuals!D99)),"",Budget!D99-Actuals!D99)</f>
        <v/>
      </c>
      <c r="I83" s="509">
        <f>IFERROR(IF(OR(2&gt;$B$3,ISBLANK(Actuals!D99)),"",(Budget!D99-Actuals!D99)/ABS(Budget!D99)),"")</f>
        <v/>
      </c>
      <c r="J83" s="508">
        <f>Budget!E99</f>
        <v/>
      </c>
      <c r="K83" s="508">
        <f>IF(OR(3&gt;$B$3,ISBLANK(Actuals!E99)),"",Actuals!E99)</f>
        <v/>
      </c>
      <c r="L83" s="509">
        <f>IF(OR(3&gt;$B$3,ISBLANK(Actuals!E99)),"",Budget!E99-Actuals!E99)</f>
        <v/>
      </c>
      <c r="M83" s="509">
        <f>IFERROR(IF(OR(3&gt;$B$3,ISBLANK(Actuals!E99)),"",(Budget!E99-Actuals!E99)/ABS(Budget!E99)),"")</f>
        <v/>
      </c>
      <c r="N83" s="508">
        <f>Budget!F99</f>
        <v/>
      </c>
      <c r="O83" s="508">
        <f>IF(OR(4&gt;$B$3,ISBLANK(Actuals!F99)),"",Actuals!F99)</f>
        <v/>
      </c>
      <c r="P83" s="509">
        <f>IF(OR(4&gt;$B$3,ISBLANK(Actuals!F99)),"",Budget!F99-Actuals!F99)</f>
        <v/>
      </c>
      <c r="Q83" s="509">
        <f>IFERROR(IF(OR(4&gt;$B$3,ISBLANK(Actuals!F99)),"",(Budget!F99-Actuals!F99)/ABS(Budget!F99)),"")</f>
        <v/>
      </c>
      <c r="R83" s="508">
        <f>Budget!G99</f>
        <v/>
      </c>
      <c r="S83" s="508">
        <f>IF(OR(5&gt;$B$3,ISBLANK(Actuals!G99)),"",Actuals!G99)</f>
        <v/>
      </c>
      <c r="T83" s="509">
        <f>IF(OR(5&gt;$B$3,ISBLANK(Actuals!G99)),"",Budget!G99-Actuals!G99)</f>
        <v/>
      </c>
      <c r="U83" s="509">
        <f>IFERROR(IF(OR(5&gt;$B$3,ISBLANK(Actuals!G99)),"",(Budget!G99-Actuals!G99)/ABS(Budget!G99)),"")</f>
        <v/>
      </c>
      <c r="V83" s="508">
        <f>Budget!H99</f>
        <v/>
      </c>
      <c r="W83" s="508">
        <f>IF(OR(6&gt;$B$3,ISBLANK(Actuals!H99)),"",Actuals!H99)</f>
        <v/>
      </c>
      <c r="X83" s="509">
        <f>IF(OR(6&gt;$B$3,ISBLANK(Actuals!H99)),"",Budget!H99-Actuals!H99)</f>
        <v/>
      </c>
      <c r="Y83" s="509">
        <f>IFERROR(IF(OR(6&gt;$B$3,ISBLANK(Actuals!H99)),"",(Budget!H99-Actuals!H99)/ABS(Budget!H99)),"")</f>
        <v/>
      </c>
      <c r="Z83" s="508">
        <f>Budget!I99</f>
        <v/>
      </c>
      <c r="AA83" s="508">
        <f>IF(OR(7&gt;$B$3,ISBLANK(Actuals!I99)),"",Actuals!I99)</f>
        <v/>
      </c>
      <c r="AB83" s="509">
        <f>IF(OR(7&gt;$B$3,ISBLANK(Actuals!I99)),"",Budget!I99-Actuals!I99)</f>
        <v/>
      </c>
      <c r="AC83" s="509">
        <f>IFERROR(IF(OR(7&gt;$B$3,ISBLANK(Actuals!I99)),"",(Budget!I99-Actuals!I99)/ABS(Budget!I99)),"")</f>
        <v/>
      </c>
      <c r="AD83" s="508">
        <f>Budget!J99</f>
        <v/>
      </c>
      <c r="AE83" s="508">
        <f>IF(OR(8&gt;$B$3,ISBLANK(Actuals!J99)),"",Actuals!J99)</f>
        <v/>
      </c>
      <c r="AF83" s="509">
        <f>IF(OR(8&gt;$B$3,ISBLANK(Actuals!J99)),"",Budget!J99-Actuals!J99)</f>
        <v/>
      </c>
      <c r="AG83" s="509">
        <f>IFERROR(IF(OR(8&gt;$B$3,ISBLANK(Actuals!J99)),"",(Budget!J99-Actuals!J99)/ABS(Budget!J99)),"")</f>
        <v/>
      </c>
      <c r="AH83" s="508">
        <f>Budget!K99</f>
        <v/>
      </c>
      <c r="AI83" s="508">
        <f>IF(OR(9&gt;$B$3,ISBLANK(Actuals!K99)),"",Actuals!K99)</f>
        <v/>
      </c>
      <c r="AJ83" s="509">
        <f>IF(OR(9&gt;$B$3,ISBLANK(Actuals!K99)),"",Budget!K99-Actuals!K99)</f>
        <v/>
      </c>
      <c r="AK83" s="509">
        <f>IFERROR(IF(OR(9&gt;$B$3,ISBLANK(Actuals!K99)),"",(Budget!K99-Actuals!K99)/ABS(Budget!K99)),"")</f>
        <v/>
      </c>
      <c r="AL83" s="508">
        <f>Budget!L99</f>
        <v/>
      </c>
      <c r="AM83" s="508">
        <f>IF(OR(10&gt;$B$3,ISBLANK(Actuals!L99)),"",Actuals!L99)</f>
        <v/>
      </c>
      <c r="AN83" s="509">
        <f>IF(OR(10&gt;$B$3,ISBLANK(Actuals!L99)),"",Budget!L99-Actuals!L99)</f>
        <v/>
      </c>
      <c r="AO83" s="509">
        <f>IFERROR(IF(OR(10&gt;$B$3,ISBLANK(Actuals!L99)),"",(Budget!L99-Actuals!L99)/ABS(Budget!L99)),"")</f>
        <v/>
      </c>
      <c r="AP83" s="508">
        <f>Budget!M99</f>
        <v/>
      </c>
      <c r="AQ83" s="508">
        <f>IF(OR(11&gt;$B$3,ISBLANK(Actuals!M99)),"",Actuals!M99)</f>
        <v/>
      </c>
      <c r="AR83" s="509">
        <f>IF(OR(11&gt;$B$3,ISBLANK(Actuals!M99)),"",Budget!M99-Actuals!M99)</f>
        <v/>
      </c>
      <c r="AS83" s="509">
        <f>IFERROR(IF(OR(11&gt;$B$3,ISBLANK(Actuals!M99)),"",(Budget!M99-Actuals!M99)/ABS(Budget!M99)),"")</f>
        <v/>
      </c>
      <c r="AT83" s="508">
        <f>Budget!N99</f>
        <v/>
      </c>
      <c r="AU83" s="508">
        <f>IF(OR(12&gt;$B$3,ISBLANK(Actuals!N99)),"",Actuals!N99)</f>
        <v/>
      </c>
      <c r="AV83" s="509">
        <f>IF(OR(12&gt;$B$3,ISBLANK(Actuals!N99)),"",Budget!N99-Actuals!N99)</f>
        <v/>
      </c>
      <c r="AW83" s="509">
        <f>IFERROR(IF(OR(12&gt;$B$3,ISBLANK(Actuals!N99)),"",(Budget!N99-Actuals!N99)/ABS(Budget!N99)),"")</f>
        <v/>
      </c>
      <c r="AX83" s="510">
        <f>SUMPRODUCT((Actuals!C99:N99&lt;&gt;"")*(Budget!C99:N99))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Budget!C100</f>
        <v/>
      </c>
      <c r="C84" s="508">
        <f>IF(OR(1&gt;$B$3,ISBLANK(Actuals!C100)),"",Actuals!C100)</f>
        <v/>
      </c>
      <c r="D84" s="509">
        <f>IF(OR(1&gt;$B$3,ISBLANK(Actuals!C100)),"",Budget!C100-Actuals!C100)</f>
        <v/>
      </c>
      <c r="E84" s="509">
        <f>IFERROR(IF(OR(1&gt;$B$3,ISBLANK(Actuals!C100)),"",(Budget!C100-Actuals!C100)/ABS(Budget!C100)),"")</f>
        <v/>
      </c>
      <c r="F84" s="508">
        <f>Budget!D100</f>
        <v/>
      </c>
      <c r="G84" s="508">
        <f>IF(OR(2&gt;$B$3,ISBLANK(Actuals!D100)),"",Actuals!D100)</f>
        <v/>
      </c>
      <c r="H84" s="509">
        <f>IF(OR(2&gt;$B$3,ISBLANK(Actuals!D100)),"",Budget!D100-Actuals!D100)</f>
        <v/>
      </c>
      <c r="I84" s="509">
        <f>IFERROR(IF(OR(2&gt;$B$3,ISBLANK(Actuals!D100)),"",(Budget!D100-Actuals!D100)/ABS(Budget!D100)),"")</f>
        <v/>
      </c>
      <c r="J84" s="508">
        <f>Budget!E100</f>
        <v/>
      </c>
      <c r="K84" s="508">
        <f>IF(OR(3&gt;$B$3,ISBLANK(Actuals!E100)),"",Actuals!E100)</f>
        <v/>
      </c>
      <c r="L84" s="509">
        <f>IF(OR(3&gt;$B$3,ISBLANK(Actuals!E100)),"",Budget!E100-Actuals!E100)</f>
        <v/>
      </c>
      <c r="M84" s="509">
        <f>IFERROR(IF(OR(3&gt;$B$3,ISBLANK(Actuals!E100)),"",(Budget!E100-Actuals!E100)/ABS(Budget!E100)),"")</f>
        <v/>
      </c>
      <c r="N84" s="508">
        <f>Budget!F100</f>
        <v/>
      </c>
      <c r="O84" s="508">
        <f>IF(OR(4&gt;$B$3,ISBLANK(Actuals!F100)),"",Actuals!F100)</f>
        <v/>
      </c>
      <c r="P84" s="509">
        <f>IF(OR(4&gt;$B$3,ISBLANK(Actuals!F100)),"",Budget!F100-Actuals!F100)</f>
        <v/>
      </c>
      <c r="Q84" s="509">
        <f>IFERROR(IF(OR(4&gt;$B$3,ISBLANK(Actuals!F100)),"",(Budget!F100-Actuals!F100)/ABS(Budget!F100)),"")</f>
        <v/>
      </c>
      <c r="R84" s="508">
        <f>Budget!G100</f>
        <v/>
      </c>
      <c r="S84" s="508">
        <f>IF(OR(5&gt;$B$3,ISBLANK(Actuals!G100)),"",Actuals!G100)</f>
        <v/>
      </c>
      <c r="T84" s="509">
        <f>IF(OR(5&gt;$B$3,ISBLANK(Actuals!G100)),"",Budget!G100-Actuals!G100)</f>
        <v/>
      </c>
      <c r="U84" s="509">
        <f>IFERROR(IF(OR(5&gt;$B$3,ISBLANK(Actuals!G100)),"",(Budget!G100-Actuals!G100)/ABS(Budget!G100)),"")</f>
        <v/>
      </c>
      <c r="V84" s="508">
        <f>Budget!H100</f>
        <v/>
      </c>
      <c r="W84" s="508">
        <f>IF(OR(6&gt;$B$3,ISBLANK(Actuals!H100)),"",Actuals!H100)</f>
        <v/>
      </c>
      <c r="X84" s="509">
        <f>IF(OR(6&gt;$B$3,ISBLANK(Actuals!H100)),"",Budget!H100-Actuals!H100)</f>
        <v/>
      </c>
      <c r="Y84" s="509">
        <f>IFERROR(IF(OR(6&gt;$B$3,ISBLANK(Actuals!H100)),"",(Budget!H100-Actuals!H100)/ABS(Budget!H100)),"")</f>
        <v/>
      </c>
      <c r="Z84" s="508">
        <f>Budget!I100</f>
        <v/>
      </c>
      <c r="AA84" s="508">
        <f>IF(OR(7&gt;$B$3,ISBLANK(Actuals!I100)),"",Actuals!I100)</f>
        <v/>
      </c>
      <c r="AB84" s="509">
        <f>IF(OR(7&gt;$B$3,ISBLANK(Actuals!I100)),"",Budget!I100-Actuals!I100)</f>
        <v/>
      </c>
      <c r="AC84" s="509">
        <f>IFERROR(IF(OR(7&gt;$B$3,ISBLANK(Actuals!I100)),"",(Budget!I100-Actuals!I100)/ABS(Budget!I100)),"")</f>
        <v/>
      </c>
      <c r="AD84" s="508">
        <f>Budget!J100</f>
        <v/>
      </c>
      <c r="AE84" s="508">
        <f>IF(OR(8&gt;$B$3,ISBLANK(Actuals!J100)),"",Actuals!J100)</f>
        <v/>
      </c>
      <c r="AF84" s="509">
        <f>IF(OR(8&gt;$B$3,ISBLANK(Actuals!J100)),"",Budget!J100-Actuals!J100)</f>
        <v/>
      </c>
      <c r="AG84" s="509">
        <f>IFERROR(IF(OR(8&gt;$B$3,ISBLANK(Actuals!J100)),"",(Budget!J100-Actuals!J100)/ABS(Budget!J100)),"")</f>
        <v/>
      </c>
      <c r="AH84" s="508">
        <f>Budget!K100</f>
        <v/>
      </c>
      <c r="AI84" s="508">
        <f>IF(OR(9&gt;$B$3,ISBLANK(Actuals!K100)),"",Actuals!K100)</f>
        <v/>
      </c>
      <c r="AJ84" s="509">
        <f>IF(OR(9&gt;$B$3,ISBLANK(Actuals!K100)),"",Budget!K100-Actuals!K100)</f>
        <v/>
      </c>
      <c r="AK84" s="509">
        <f>IFERROR(IF(OR(9&gt;$B$3,ISBLANK(Actuals!K100)),"",(Budget!K100-Actuals!K100)/ABS(Budget!K100)),"")</f>
        <v/>
      </c>
      <c r="AL84" s="508">
        <f>Budget!L100</f>
        <v/>
      </c>
      <c r="AM84" s="508">
        <f>IF(OR(10&gt;$B$3,ISBLANK(Actuals!L100)),"",Actuals!L100)</f>
        <v/>
      </c>
      <c r="AN84" s="509">
        <f>IF(OR(10&gt;$B$3,ISBLANK(Actuals!L100)),"",Budget!L100-Actuals!L100)</f>
        <v/>
      </c>
      <c r="AO84" s="509">
        <f>IFERROR(IF(OR(10&gt;$B$3,ISBLANK(Actuals!L100)),"",(Budget!L100-Actuals!L100)/ABS(Budget!L100)),"")</f>
        <v/>
      </c>
      <c r="AP84" s="508">
        <f>Budget!M100</f>
        <v/>
      </c>
      <c r="AQ84" s="508">
        <f>IF(OR(11&gt;$B$3,ISBLANK(Actuals!M100)),"",Actuals!M100)</f>
        <v/>
      </c>
      <c r="AR84" s="509">
        <f>IF(OR(11&gt;$B$3,ISBLANK(Actuals!M100)),"",Budget!M100-Actuals!M100)</f>
        <v/>
      </c>
      <c r="AS84" s="509">
        <f>IFERROR(IF(OR(11&gt;$B$3,ISBLANK(Actuals!M100)),"",(Budget!M100-Actuals!M100)/ABS(Budget!M100)),"")</f>
        <v/>
      </c>
      <c r="AT84" s="508">
        <f>Budget!N100</f>
        <v/>
      </c>
      <c r="AU84" s="508">
        <f>IF(OR(12&gt;$B$3,ISBLANK(Actuals!N100)),"",Actuals!N100)</f>
        <v/>
      </c>
      <c r="AV84" s="509">
        <f>IF(OR(12&gt;$B$3,ISBLANK(Actuals!N100)),"",Budget!N100-Actuals!N100)</f>
        <v/>
      </c>
      <c r="AW84" s="509">
        <f>IFERROR(IF(OR(12&gt;$B$3,ISBLANK(Actuals!N100)),"",(Budget!N100-Actuals!N100)/ABS(Budget!N100)),"")</f>
        <v/>
      </c>
      <c r="AX84" s="510">
        <f>SUMPRODUCT((Actuals!C100:N100&lt;&gt;"")*(Budget!C100:N100))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Budget!C101</f>
        <v/>
      </c>
      <c r="C85" s="508">
        <f>IF(OR(1&gt;$B$3,ISBLANK(Actuals!C101)),"",Actuals!C101)</f>
        <v/>
      </c>
      <c r="D85" s="509">
        <f>IF(OR(1&gt;$B$3,ISBLANK(Actuals!C101)),"",Budget!C101-Actuals!C101)</f>
        <v/>
      </c>
      <c r="E85" s="509">
        <f>IFERROR(IF(OR(1&gt;$B$3,ISBLANK(Actuals!C101)),"",(Budget!C101-Actuals!C101)/ABS(Budget!C101)),"")</f>
        <v/>
      </c>
      <c r="F85" s="508">
        <f>Budget!D101</f>
        <v/>
      </c>
      <c r="G85" s="508">
        <f>IF(OR(2&gt;$B$3,ISBLANK(Actuals!D101)),"",Actuals!D101)</f>
        <v/>
      </c>
      <c r="H85" s="509">
        <f>IF(OR(2&gt;$B$3,ISBLANK(Actuals!D101)),"",Budget!D101-Actuals!D101)</f>
        <v/>
      </c>
      <c r="I85" s="509">
        <f>IFERROR(IF(OR(2&gt;$B$3,ISBLANK(Actuals!D101)),"",(Budget!D101-Actuals!D101)/ABS(Budget!D101)),"")</f>
        <v/>
      </c>
      <c r="J85" s="508">
        <f>Budget!E101</f>
        <v/>
      </c>
      <c r="K85" s="508">
        <f>IF(OR(3&gt;$B$3,ISBLANK(Actuals!E101)),"",Actuals!E101)</f>
        <v/>
      </c>
      <c r="L85" s="509">
        <f>IF(OR(3&gt;$B$3,ISBLANK(Actuals!E101)),"",Budget!E101-Actuals!E101)</f>
        <v/>
      </c>
      <c r="M85" s="509">
        <f>IFERROR(IF(OR(3&gt;$B$3,ISBLANK(Actuals!E101)),"",(Budget!E101-Actuals!E101)/ABS(Budget!E101)),"")</f>
        <v/>
      </c>
      <c r="N85" s="508">
        <f>Budget!F101</f>
        <v/>
      </c>
      <c r="O85" s="508">
        <f>IF(OR(4&gt;$B$3,ISBLANK(Actuals!F101)),"",Actuals!F101)</f>
        <v/>
      </c>
      <c r="P85" s="509">
        <f>IF(OR(4&gt;$B$3,ISBLANK(Actuals!F101)),"",Budget!F101-Actuals!F101)</f>
        <v/>
      </c>
      <c r="Q85" s="509">
        <f>IFERROR(IF(OR(4&gt;$B$3,ISBLANK(Actuals!F101)),"",(Budget!F101-Actuals!F101)/ABS(Budget!F101)),"")</f>
        <v/>
      </c>
      <c r="R85" s="508">
        <f>Budget!G101</f>
        <v/>
      </c>
      <c r="S85" s="508">
        <f>IF(OR(5&gt;$B$3,ISBLANK(Actuals!G101)),"",Actuals!G101)</f>
        <v/>
      </c>
      <c r="T85" s="509">
        <f>IF(OR(5&gt;$B$3,ISBLANK(Actuals!G101)),"",Budget!G101-Actuals!G101)</f>
        <v/>
      </c>
      <c r="U85" s="509">
        <f>IFERROR(IF(OR(5&gt;$B$3,ISBLANK(Actuals!G101)),"",(Budget!G101-Actuals!G101)/ABS(Budget!G101)),"")</f>
        <v/>
      </c>
      <c r="V85" s="508">
        <f>Budget!H101</f>
        <v/>
      </c>
      <c r="W85" s="508">
        <f>IF(OR(6&gt;$B$3,ISBLANK(Actuals!H101)),"",Actuals!H101)</f>
        <v/>
      </c>
      <c r="X85" s="509">
        <f>IF(OR(6&gt;$B$3,ISBLANK(Actuals!H101)),"",Budget!H101-Actuals!H101)</f>
        <v/>
      </c>
      <c r="Y85" s="509">
        <f>IFERROR(IF(OR(6&gt;$B$3,ISBLANK(Actuals!H101)),"",(Budget!H101-Actuals!H101)/ABS(Budget!H101)),"")</f>
        <v/>
      </c>
      <c r="Z85" s="508">
        <f>Budget!I101</f>
        <v/>
      </c>
      <c r="AA85" s="508">
        <f>IF(OR(7&gt;$B$3,ISBLANK(Actuals!I101)),"",Actuals!I101)</f>
        <v/>
      </c>
      <c r="AB85" s="509">
        <f>IF(OR(7&gt;$B$3,ISBLANK(Actuals!I101)),"",Budget!I101-Actuals!I101)</f>
        <v/>
      </c>
      <c r="AC85" s="509">
        <f>IFERROR(IF(OR(7&gt;$B$3,ISBLANK(Actuals!I101)),"",(Budget!I101-Actuals!I101)/ABS(Budget!I101)),"")</f>
        <v/>
      </c>
      <c r="AD85" s="508">
        <f>Budget!J101</f>
        <v/>
      </c>
      <c r="AE85" s="508">
        <f>IF(OR(8&gt;$B$3,ISBLANK(Actuals!J101)),"",Actuals!J101)</f>
        <v/>
      </c>
      <c r="AF85" s="509">
        <f>IF(OR(8&gt;$B$3,ISBLANK(Actuals!J101)),"",Budget!J101-Actuals!J101)</f>
        <v/>
      </c>
      <c r="AG85" s="509">
        <f>IFERROR(IF(OR(8&gt;$B$3,ISBLANK(Actuals!J101)),"",(Budget!J101-Actuals!J101)/ABS(Budget!J101)),"")</f>
        <v/>
      </c>
      <c r="AH85" s="508">
        <f>Budget!K101</f>
        <v/>
      </c>
      <c r="AI85" s="508">
        <f>IF(OR(9&gt;$B$3,ISBLANK(Actuals!K101)),"",Actuals!K101)</f>
        <v/>
      </c>
      <c r="AJ85" s="509">
        <f>IF(OR(9&gt;$B$3,ISBLANK(Actuals!K101)),"",Budget!K101-Actuals!K101)</f>
        <v/>
      </c>
      <c r="AK85" s="509">
        <f>IFERROR(IF(OR(9&gt;$B$3,ISBLANK(Actuals!K101)),"",(Budget!K101-Actuals!K101)/ABS(Budget!K101)),"")</f>
        <v/>
      </c>
      <c r="AL85" s="508">
        <f>Budget!L101</f>
        <v/>
      </c>
      <c r="AM85" s="508">
        <f>IF(OR(10&gt;$B$3,ISBLANK(Actuals!L101)),"",Actuals!L101)</f>
        <v/>
      </c>
      <c r="AN85" s="509">
        <f>IF(OR(10&gt;$B$3,ISBLANK(Actuals!L101)),"",Budget!L101-Actuals!L101)</f>
        <v/>
      </c>
      <c r="AO85" s="509">
        <f>IFERROR(IF(OR(10&gt;$B$3,ISBLANK(Actuals!L101)),"",(Budget!L101-Actuals!L101)/ABS(Budget!L101)),"")</f>
        <v/>
      </c>
      <c r="AP85" s="508">
        <f>Budget!M101</f>
        <v/>
      </c>
      <c r="AQ85" s="508">
        <f>IF(OR(11&gt;$B$3,ISBLANK(Actuals!M101)),"",Actuals!M101)</f>
        <v/>
      </c>
      <c r="AR85" s="509">
        <f>IF(OR(11&gt;$B$3,ISBLANK(Actuals!M101)),"",Budget!M101-Actuals!M101)</f>
        <v/>
      </c>
      <c r="AS85" s="509">
        <f>IFERROR(IF(OR(11&gt;$B$3,ISBLANK(Actuals!M101)),"",(Budget!M101-Actuals!M101)/ABS(Budget!M101)),"")</f>
        <v/>
      </c>
      <c r="AT85" s="508">
        <f>Budget!N101</f>
        <v/>
      </c>
      <c r="AU85" s="508">
        <f>IF(OR(12&gt;$B$3,ISBLANK(Actuals!N101)),"",Actuals!N101)</f>
        <v/>
      </c>
      <c r="AV85" s="509">
        <f>IF(OR(12&gt;$B$3,ISBLANK(Actuals!N101)),"",Budget!N101-Actuals!N101)</f>
        <v/>
      </c>
      <c r="AW85" s="509">
        <f>IFERROR(IF(OR(12&gt;$B$3,ISBLANK(Actuals!N101)),"",(Budget!N101-Actuals!N101)/ABS(Budget!N101)),"")</f>
        <v/>
      </c>
      <c r="AX85" s="510">
        <f>SUMPRODUCT((Actuals!C101:N101&lt;&gt;"")*(Budget!C101:N101))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Budget!C102</f>
        <v/>
      </c>
      <c r="C86" s="508">
        <f>IF(OR(1&gt;$B$3,ISBLANK(Actuals!C102)),"",Actuals!C102)</f>
        <v/>
      </c>
      <c r="D86" s="509">
        <f>IF(OR(1&gt;$B$3,ISBLANK(Actuals!C102)),"",Budget!C102-Actuals!C102)</f>
        <v/>
      </c>
      <c r="E86" s="509">
        <f>IFERROR(IF(OR(1&gt;$B$3,ISBLANK(Actuals!C102)),"",(Budget!C102-Actuals!C102)/ABS(Budget!C102)),"")</f>
        <v/>
      </c>
      <c r="F86" s="508">
        <f>Budget!D102</f>
        <v/>
      </c>
      <c r="G86" s="508">
        <f>IF(OR(2&gt;$B$3,ISBLANK(Actuals!D102)),"",Actuals!D102)</f>
        <v/>
      </c>
      <c r="H86" s="509">
        <f>IF(OR(2&gt;$B$3,ISBLANK(Actuals!D102)),"",Budget!D102-Actuals!D102)</f>
        <v/>
      </c>
      <c r="I86" s="509">
        <f>IFERROR(IF(OR(2&gt;$B$3,ISBLANK(Actuals!D102)),"",(Budget!D102-Actuals!D102)/ABS(Budget!D102)),"")</f>
        <v/>
      </c>
      <c r="J86" s="508">
        <f>Budget!E102</f>
        <v/>
      </c>
      <c r="K86" s="508">
        <f>IF(OR(3&gt;$B$3,ISBLANK(Actuals!E102)),"",Actuals!E102)</f>
        <v/>
      </c>
      <c r="L86" s="509">
        <f>IF(OR(3&gt;$B$3,ISBLANK(Actuals!E102)),"",Budget!E102-Actuals!E102)</f>
        <v/>
      </c>
      <c r="M86" s="509">
        <f>IFERROR(IF(OR(3&gt;$B$3,ISBLANK(Actuals!E102)),"",(Budget!E102-Actuals!E102)/ABS(Budget!E102)),"")</f>
        <v/>
      </c>
      <c r="N86" s="508">
        <f>Budget!F102</f>
        <v/>
      </c>
      <c r="O86" s="508">
        <f>IF(OR(4&gt;$B$3,ISBLANK(Actuals!F102)),"",Actuals!F102)</f>
        <v/>
      </c>
      <c r="P86" s="509">
        <f>IF(OR(4&gt;$B$3,ISBLANK(Actuals!F102)),"",Budget!F102-Actuals!F102)</f>
        <v/>
      </c>
      <c r="Q86" s="509">
        <f>IFERROR(IF(OR(4&gt;$B$3,ISBLANK(Actuals!F102)),"",(Budget!F102-Actuals!F102)/ABS(Budget!F102)),"")</f>
        <v/>
      </c>
      <c r="R86" s="508">
        <f>Budget!G102</f>
        <v/>
      </c>
      <c r="S86" s="508">
        <f>IF(OR(5&gt;$B$3,ISBLANK(Actuals!G102)),"",Actuals!G102)</f>
        <v/>
      </c>
      <c r="T86" s="509">
        <f>IF(OR(5&gt;$B$3,ISBLANK(Actuals!G102)),"",Budget!G102-Actuals!G102)</f>
        <v/>
      </c>
      <c r="U86" s="509">
        <f>IFERROR(IF(OR(5&gt;$B$3,ISBLANK(Actuals!G102)),"",(Budget!G102-Actuals!G102)/ABS(Budget!G102)),"")</f>
        <v/>
      </c>
      <c r="V86" s="508">
        <f>Budget!H102</f>
        <v/>
      </c>
      <c r="W86" s="508">
        <f>IF(OR(6&gt;$B$3,ISBLANK(Actuals!H102)),"",Actuals!H102)</f>
        <v/>
      </c>
      <c r="X86" s="509">
        <f>IF(OR(6&gt;$B$3,ISBLANK(Actuals!H102)),"",Budget!H102-Actuals!H102)</f>
        <v/>
      </c>
      <c r="Y86" s="509">
        <f>IFERROR(IF(OR(6&gt;$B$3,ISBLANK(Actuals!H102)),"",(Budget!H102-Actuals!H102)/ABS(Budget!H102)),"")</f>
        <v/>
      </c>
      <c r="Z86" s="508">
        <f>Budget!I102</f>
        <v/>
      </c>
      <c r="AA86" s="508">
        <f>IF(OR(7&gt;$B$3,ISBLANK(Actuals!I102)),"",Actuals!I102)</f>
        <v/>
      </c>
      <c r="AB86" s="509">
        <f>IF(OR(7&gt;$B$3,ISBLANK(Actuals!I102)),"",Budget!I102-Actuals!I102)</f>
        <v/>
      </c>
      <c r="AC86" s="509">
        <f>IFERROR(IF(OR(7&gt;$B$3,ISBLANK(Actuals!I102)),"",(Budget!I102-Actuals!I102)/ABS(Budget!I102)),"")</f>
        <v/>
      </c>
      <c r="AD86" s="508">
        <f>Budget!J102</f>
        <v/>
      </c>
      <c r="AE86" s="508">
        <f>IF(OR(8&gt;$B$3,ISBLANK(Actuals!J102)),"",Actuals!J102)</f>
        <v/>
      </c>
      <c r="AF86" s="509">
        <f>IF(OR(8&gt;$B$3,ISBLANK(Actuals!J102)),"",Budget!J102-Actuals!J102)</f>
        <v/>
      </c>
      <c r="AG86" s="509">
        <f>IFERROR(IF(OR(8&gt;$B$3,ISBLANK(Actuals!J102)),"",(Budget!J102-Actuals!J102)/ABS(Budget!J102)),"")</f>
        <v/>
      </c>
      <c r="AH86" s="508">
        <f>Budget!K102</f>
        <v/>
      </c>
      <c r="AI86" s="508">
        <f>IF(OR(9&gt;$B$3,ISBLANK(Actuals!K102)),"",Actuals!K102)</f>
        <v/>
      </c>
      <c r="AJ86" s="509">
        <f>IF(OR(9&gt;$B$3,ISBLANK(Actuals!K102)),"",Budget!K102-Actuals!K102)</f>
        <v/>
      </c>
      <c r="AK86" s="509">
        <f>IFERROR(IF(OR(9&gt;$B$3,ISBLANK(Actuals!K102)),"",(Budget!K102-Actuals!K102)/ABS(Budget!K102)),"")</f>
        <v/>
      </c>
      <c r="AL86" s="508">
        <f>Budget!L102</f>
        <v/>
      </c>
      <c r="AM86" s="508">
        <f>IF(OR(10&gt;$B$3,ISBLANK(Actuals!L102)),"",Actuals!L102)</f>
        <v/>
      </c>
      <c r="AN86" s="509">
        <f>IF(OR(10&gt;$B$3,ISBLANK(Actuals!L102)),"",Budget!L102-Actuals!L102)</f>
        <v/>
      </c>
      <c r="AO86" s="509">
        <f>IFERROR(IF(OR(10&gt;$B$3,ISBLANK(Actuals!L102)),"",(Budget!L102-Actuals!L102)/ABS(Budget!L102)),"")</f>
        <v/>
      </c>
      <c r="AP86" s="508">
        <f>Budget!M102</f>
        <v/>
      </c>
      <c r="AQ86" s="508">
        <f>IF(OR(11&gt;$B$3,ISBLANK(Actuals!M102)),"",Actuals!M102)</f>
        <v/>
      </c>
      <c r="AR86" s="509">
        <f>IF(OR(11&gt;$B$3,ISBLANK(Actuals!M102)),"",Budget!M102-Actuals!M102)</f>
        <v/>
      </c>
      <c r="AS86" s="509">
        <f>IFERROR(IF(OR(11&gt;$B$3,ISBLANK(Actuals!M102)),"",(Budget!M102-Actuals!M102)/ABS(Budget!M102)),"")</f>
        <v/>
      </c>
      <c r="AT86" s="508">
        <f>Budget!N102</f>
        <v/>
      </c>
      <c r="AU86" s="508">
        <f>IF(OR(12&gt;$B$3,ISBLANK(Actuals!N102)),"",Actuals!N102)</f>
        <v/>
      </c>
      <c r="AV86" s="509">
        <f>IF(OR(12&gt;$B$3,ISBLANK(Actuals!N102)),"",Budget!N102-Actuals!N102)</f>
        <v/>
      </c>
      <c r="AW86" s="509">
        <f>IFERROR(IF(OR(12&gt;$B$3,ISBLANK(Actuals!N102)),"",(Budget!N102-Actuals!N102)/ABS(Budget!N102)),"")</f>
        <v/>
      </c>
      <c r="AX86" s="510">
        <f>SUMPRODUCT((Actuals!C102:N102&lt;&gt;"")*(Budget!C102:N102))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Budget!C103</f>
        <v/>
      </c>
      <c r="C87" s="508">
        <f>IF(OR(1&gt;$B$3,ISBLANK(Actuals!C103)),"",Actuals!C103)</f>
        <v/>
      </c>
      <c r="D87" s="509">
        <f>IF(OR(1&gt;$B$3,ISBLANK(Actuals!C103)),"",Budget!C103-Actuals!C103)</f>
        <v/>
      </c>
      <c r="E87" s="509">
        <f>IFERROR(IF(OR(1&gt;$B$3,ISBLANK(Actuals!C103)),"",(Budget!C103-Actuals!C103)/ABS(Budget!C103)),"")</f>
        <v/>
      </c>
      <c r="F87" s="508">
        <f>Budget!D103</f>
        <v/>
      </c>
      <c r="G87" s="508">
        <f>IF(OR(2&gt;$B$3,ISBLANK(Actuals!D103)),"",Actuals!D103)</f>
        <v/>
      </c>
      <c r="H87" s="509">
        <f>IF(OR(2&gt;$B$3,ISBLANK(Actuals!D103)),"",Budget!D103-Actuals!D103)</f>
        <v/>
      </c>
      <c r="I87" s="509">
        <f>IFERROR(IF(OR(2&gt;$B$3,ISBLANK(Actuals!D103)),"",(Budget!D103-Actuals!D103)/ABS(Budget!D103)),"")</f>
        <v/>
      </c>
      <c r="J87" s="508">
        <f>Budget!E103</f>
        <v/>
      </c>
      <c r="K87" s="508">
        <f>IF(OR(3&gt;$B$3,ISBLANK(Actuals!E103)),"",Actuals!E103)</f>
        <v/>
      </c>
      <c r="L87" s="509">
        <f>IF(OR(3&gt;$B$3,ISBLANK(Actuals!E103)),"",Budget!E103-Actuals!E103)</f>
        <v/>
      </c>
      <c r="M87" s="509">
        <f>IFERROR(IF(OR(3&gt;$B$3,ISBLANK(Actuals!E103)),"",(Budget!E103-Actuals!E103)/ABS(Budget!E103)),"")</f>
        <v/>
      </c>
      <c r="N87" s="508">
        <f>Budget!F103</f>
        <v/>
      </c>
      <c r="O87" s="508">
        <f>IF(OR(4&gt;$B$3,ISBLANK(Actuals!F103)),"",Actuals!F103)</f>
        <v/>
      </c>
      <c r="P87" s="509">
        <f>IF(OR(4&gt;$B$3,ISBLANK(Actuals!F103)),"",Budget!F103-Actuals!F103)</f>
        <v/>
      </c>
      <c r="Q87" s="509">
        <f>IFERROR(IF(OR(4&gt;$B$3,ISBLANK(Actuals!F103)),"",(Budget!F103-Actuals!F103)/ABS(Budget!F103)),"")</f>
        <v/>
      </c>
      <c r="R87" s="508">
        <f>Budget!G103</f>
        <v/>
      </c>
      <c r="S87" s="508">
        <f>IF(OR(5&gt;$B$3,ISBLANK(Actuals!G103)),"",Actuals!G103)</f>
        <v/>
      </c>
      <c r="T87" s="509">
        <f>IF(OR(5&gt;$B$3,ISBLANK(Actuals!G103)),"",Budget!G103-Actuals!G103)</f>
        <v/>
      </c>
      <c r="U87" s="509">
        <f>IFERROR(IF(OR(5&gt;$B$3,ISBLANK(Actuals!G103)),"",(Budget!G103-Actuals!G103)/ABS(Budget!G103)),"")</f>
        <v/>
      </c>
      <c r="V87" s="508">
        <f>Budget!H103</f>
        <v/>
      </c>
      <c r="W87" s="508">
        <f>IF(OR(6&gt;$B$3,ISBLANK(Actuals!H103)),"",Actuals!H103)</f>
        <v/>
      </c>
      <c r="X87" s="509">
        <f>IF(OR(6&gt;$B$3,ISBLANK(Actuals!H103)),"",Budget!H103-Actuals!H103)</f>
        <v/>
      </c>
      <c r="Y87" s="509">
        <f>IFERROR(IF(OR(6&gt;$B$3,ISBLANK(Actuals!H103)),"",(Budget!H103-Actuals!H103)/ABS(Budget!H103)),"")</f>
        <v/>
      </c>
      <c r="Z87" s="508">
        <f>Budget!I103</f>
        <v/>
      </c>
      <c r="AA87" s="508">
        <f>IF(OR(7&gt;$B$3,ISBLANK(Actuals!I103)),"",Actuals!I103)</f>
        <v/>
      </c>
      <c r="AB87" s="509">
        <f>IF(OR(7&gt;$B$3,ISBLANK(Actuals!I103)),"",Budget!I103-Actuals!I103)</f>
        <v/>
      </c>
      <c r="AC87" s="509">
        <f>IFERROR(IF(OR(7&gt;$B$3,ISBLANK(Actuals!I103)),"",(Budget!I103-Actuals!I103)/ABS(Budget!I103)),"")</f>
        <v/>
      </c>
      <c r="AD87" s="508">
        <f>Budget!J103</f>
        <v/>
      </c>
      <c r="AE87" s="508">
        <f>IF(OR(8&gt;$B$3,ISBLANK(Actuals!J103)),"",Actuals!J103)</f>
        <v/>
      </c>
      <c r="AF87" s="509">
        <f>IF(OR(8&gt;$B$3,ISBLANK(Actuals!J103)),"",Budget!J103-Actuals!J103)</f>
        <v/>
      </c>
      <c r="AG87" s="509">
        <f>IFERROR(IF(OR(8&gt;$B$3,ISBLANK(Actuals!J103)),"",(Budget!J103-Actuals!J103)/ABS(Budget!J103)),"")</f>
        <v/>
      </c>
      <c r="AH87" s="508">
        <f>Budget!K103</f>
        <v/>
      </c>
      <c r="AI87" s="508">
        <f>IF(OR(9&gt;$B$3,ISBLANK(Actuals!K103)),"",Actuals!K103)</f>
        <v/>
      </c>
      <c r="AJ87" s="509">
        <f>IF(OR(9&gt;$B$3,ISBLANK(Actuals!K103)),"",Budget!K103-Actuals!K103)</f>
        <v/>
      </c>
      <c r="AK87" s="509">
        <f>IFERROR(IF(OR(9&gt;$B$3,ISBLANK(Actuals!K103)),"",(Budget!K103-Actuals!K103)/ABS(Budget!K103)),"")</f>
        <v/>
      </c>
      <c r="AL87" s="508">
        <f>Budget!L103</f>
        <v/>
      </c>
      <c r="AM87" s="508">
        <f>IF(OR(10&gt;$B$3,ISBLANK(Actuals!L103)),"",Actuals!L103)</f>
        <v/>
      </c>
      <c r="AN87" s="509">
        <f>IF(OR(10&gt;$B$3,ISBLANK(Actuals!L103)),"",Budget!L103-Actuals!L103)</f>
        <v/>
      </c>
      <c r="AO87" s="509">
        <f>IFERROR(IF(OR(10&gt;$B$3,ISBLANK(Actuals!L103)),"",(Budget!L103-Actuals!L103)/ABS(Budget!L103)),"")</f>
        <v/>
      </c>
      <c r="AP87" s="508">
        <f>Budget!M103</f>
        <v/>
      </c>
      <c r="AQ87" s="508">
        <f>IF(OR(11&gt;$B$3,ISBLANK(Actuals!M103)),"",Actuals!M103)</f>
        <v/>
      </c>
      <c r="AR87" s="509">
        <f>IF(OR(11&gt;$B$3,ISBLANK(Actuals!M103)),"",Budget!M103-Actuals!M103)</f>
        <v/>
      </c>
      <c r="AS87" s="509">
        <f>IFERROR(IF(OR(11&gt;$B$3,ISBLANK(Actuals!M103)),"",(Budget!M103-Actuals!M103)/ABS(Budget!M103)),"")</f>
        <v/>
      </c>
      <c r="AT87" s="508">
        <f>Budget!N103</f>
        <v/>
      </c>
      <c r="AU87" s="508">
        <f>IF(OR(12&gt;$B$3,ISBLANK(Actuals!N103)),"",Actuals!N103)</f>
        <v/>
      </c>
      <c r="AV87" s="509">
        <f>IF(OR(12&gt;$B$3,ISBLANK(Actuals!N103)),"",Budget!N103-Actuals!N103)</f>
        <v/>
      </c>
      <c r="AW87" s="509">
        <f>IFERROR(IF(OR(12&gt;$B$3,ISBLANK(Actuals!N103)),"",(Budget!N103-Actuals!N103)/ABS(Budget!N103)),"")</f>
        <v/>
      </c>
      <c r="AX87" s="510">
        <f>SUMPRODUCT((Actuals!C103:N103&lt;&gt;"")*(Budget!C103:N103))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Budget!C104</f>
        <v/>
      </c>
      <c r="C88" s="508">
        <f>IF(OR(1&gt;$B$3,ISBLANK(Actuals!C104)),"",Actuals!C104)</f>
        <v/>
      </c>
      <c r="D88" s="509">
        <f>IF(OR(1&gt;$B$3,ISBLANK(Actuals!C104)),"",Budget!C104-Actuals!C104)</f>
        <v/>
      </c>
      <c r="E88" s="509">
        <f>IFERROR(IF(OR(1&gt;$B$3,ISBLANK(Actuals!C104)),"",(Budget!C104-Actuals!C104)/ABS(Budget!C104)),"")</f>
        <v/>
      </c>
      <c r="F88" s="508">
        <f>Budget!D104</f>
        <v/>
      </c>
      <c r="G88" s="508">
        <f>IF(OR(2&gt;$B$3,ISBLANK(Actuals!D104)),"",Actuals!D104)</f>
        <v/>
      </c>
      <c r="H88" s="509">
        <f>IF(OR(2&gt;$B$3,ISBLANK(Actuals!D104)),"",Budget!D104-Actuals!D104)</f>
        <v/>
      </c>
      <c r="I88" s="509">
        <f>IFERROR(IF(OR(2&gt;$B$3,ISBLANK(Actuals!D104)),"",(Budget!D104-Actuals!D104)/ABS(Budget!D104)),"")</f>
        <v/>
      </c>
      <c r="J88" s="508">
        <f>Budget!E104</f>
        <v/>
      </c>
      <c r="K88" s="508">
        <f>IF(OR(3&gt;$B$3,ISBLANK(Actuals!E104)),"",Actuals!E104)</f>
        <v/>
      </c>
      <c r="L88" s="509">
        <f>IF(OR(3&gt;$B$3,ISBLANK(Actuals!E104)),"",Budget!E104-Actuals!E104)</f>
        <v/>
      </c>
      <c r="M88" s="509">
        <f>IFERROR(IF(OR(3&gt;$B$3,ISBLANK(Actuals!E104)),"",(Budget!E104-Actuals!E104)/ABS(Budget!E104)),"")</f>
        <v/>
      </c>
      <c r="N88" s="508">
        <f>Budget!F104</f>
        <v/>
      </c>
      <c r="O88" s="508">
        <f>IF(OR(4&gt;$B$3,ISBLANK(Actuals!F104)),"",Actuals!F104)</f>
        <v/>
      </c>
      <c r="P88" s="509">
        <f>IF(OR(4&gt;$B$3,ISBLANK(Actuals!F104)),"",Budget!F104-Actuals!F104)</f>
        <v/>
      </c>
      <c r="Q88" s="509">
        <f>IFERROR(IF(OR(4&gt;$B$3,ISBLANK(Actuals!F104)),"",(Budget!F104-Actuals!F104)/ABS(Budget!F104)),"")</f>
        <v/>
      </c>
      <c r="R88" s="508">
        <f>Budget!G104</f>
        <v/>
      </c>
      <c r="S88" s="508">
        <f>IF(OR(5&gt;$B$3,ISBLANK(Actuals!G104)),"",Actuals!G104)</f>
        <v/>
      </c>
      <c r="T88" s="509">
        <f>IF(OR(5&gt;$B$3,ISBLANK(Actuals!G104)),"",Budget!G104-Actuals!G104)</f>
        <v/>
      </c>
      <c r="U88" s="509">
        <f>IFERROR(IF(OR(5&gt;$B$3,ISBLANK(Actuals!G104)),"",(Budget!G104-Actuals!G104)/ABS(Budget!G104)),"")</f>
        <v/>
      </c>
      <c r="V88" s="508">
        <f>Budget!H104</f>
        <v/>
      </c>
      <c r="W88" s="508">
        <f>IF(OR(6&gt;$B$3,ISBLANK(Actuals!H104)),"",Actuals!H104)</f>
        <v/>
      </c>
      <c r="X88" s="509">
        <f>IF(OR(6&gt;$B$3,ISBLANK(Actuals!H104)),"",Budget!H104-Actuals!H104)</f>
        <v/>
      </c>
      <c r="Y88" s="509">
        <f>IFERROR(IF(OR(6&gt;$B$3,ISBLANK(Actuals!H104)),"",(Budget!H104-Actuals!H104)/ABS(Budget!H104)),"")</f>
        <v/>
      </c>
      <c r="Z88" s="508">
        <f>Budget!I104</f>
        <v/>
      </c>
      <c r="AA88" s="508">
        <f>IF(OR(7&gt;$B$3,ISBLANK(Actuals!I104)),"",Actuals!I104)</f>
        <v/>
      </c>
      <c r="AB88" s="509">
        <f>IF(OR(7&gt;$B$3,ISBLANK(Actuals!I104)),"",Budget!I104-Actuals!I104)</f>
        <v/>
      </c>
      <c r="AC88" s="509">
        <f>IFERROR(IF(OR(7&gt;$B$3,ISBLANK(Actuals!I104)),"",(Budget!I104-Actuals!I104)/ABS(Budget!I104)),"")</f>
        <v/>
      </c>
      <c r="AD88" s="508">
        <f>Budget!J104</f>
        <v/>
      </c>
      <c r="AE88" s="508">
        <f>IF(OR(8&gt;$B$3,ISBLANK(Actuals!J104)),"",Actuals!J104)</f>
        <v/>
      </c>
      <c r="AF88" s="509">
        <f>IF(OR(8&gt;$B$3,ISBLANK(Actuals!J104)),"",Budget!J104-Actuals!J104)</f>
        <v/>
      </c>
      <c r="AG88" s="509">
        <f>IFERROR(IF(OR(8&gt;$B$3,ISBLANK(Actuals!J104)),"",(Budget!J104-Actuals!J104)/ABS(Budget!J104)),"")</f>
        <v/>
      </c>
      <c r="AH88" s="508">
        <f>Budget!K104</f>
        <v/>
      </c>
      <c r="AI88" s="508">
        <f>IF(OR(9&gt;$B$3,ISBLANK(Actuals!K104)),"",Actuals!K104)</f>
        <v/>
      </c>
      <c r="AJ88" s="509">
        <f>IF(OR(9&gt;$B$3,ISBLANK(Actuals!K104)),"",Budget!K104-Actuals!K104)</f>
        <v/>
      </c>
      <c r="AK88" s="509">
        <f>IFERROR(IF(OR(9&gt;$B$3,ISBLANK(Actuals!K104)),"",(Budget!K104-Actuals!K104)/ABS(Budget!K104)),"")</f>
        <v/>
      </c>
      <c r="AL88" s="508">
        <f>Budget!L104</f>
        <v/>
      </c>
      <c r="AM88" s="508">
        <f>IF(OR(10&gt;$B$3,ISBLANK(Actuals!L104)),"",Actuals!L104)</f>
        <v/>
      </c>
      <c r="AN88" s="509">
        <f>IF(OR(10&gt;$B$3,ISBLANK(Actuals!L104)),"",Budget!L104-Actuals!L104)</f>
        <v/>
      </c>
      <c r="AO88" s="509">
        <f>IFERROR(IF(OR(10&gt;$B$3,ISBLANK(Actuals!L104)),"",(Budget!L104-Actuals!L104)/ABS(Budget!L104)),"")</f>
        <v/>
      </c>
      <c r="AP88" s="508">
        <f>Budget!M104</f>
        <v/>
      </c>
      <c r="AQ88" s="508">
        <f>IF(OR(11&gt;$B$3,ISBLANK(Actuals!M104)),"",Actuals!M104)</f>
        <v/>
      </c>
      <c r="AR88" s="509">
        <f>IF(OR(11&gt;$B$3,ISBLANK(Actuals!M104)),"",Budget!M104-Actuals!M104)</f>
        <v/>
      </c>
      <c r="AS88" s="509">
        <f>IFERROR(IF(OR(11&gt;$B$3,ISBLANK(Actuals!M104)),"",(Budget!M104-Actuals!M104)/ABS(Budget!M104)),"")</f>
        <v/>
      </c>
      <c r="AT88" s="508">
        <f>Budget!N104</f>
        <v/>
      </c>
      <c r="AU88" s="508">
        <f>IF(OR(12&gt;$B$3,ISBLANK(Actuals!N104)),"",Actuals!N104)</f>
        <v/>
      </c>
      <c r="AV88" s="509">
        <f>IF(OR(12&gt;$B$3,ISBLANK(Actuals!N104)),"",Budget!N104-Actuals!N104)</f>
        <v/>
      </c>
      <c r="AW88" s="509">
        <f>IFERROR(IF(OR(12&gt;$B$3,ISBLANK(Actuals!N104)),"",(Budget!N104-Actuals!N104)/ABS(Budget!N104)),"")</f>
        <v/>
      </c>
      <c r="AX88" s="510">
        <f>SUMPRODUCT((Actuals!C104:N104&lt;&gt;"")*(Budget!C104:N104))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Budget!C105</f>
        <v/>
      </c>
      <c r="C89" s="508">
        <f>IF(OR(1&gt;$B$3,ISBLANK(Actuals!C105)),"",Actuals!C105)</f>
        <v/>
      </c>
      <c r="D89" s="509">
        <f>IF(OR(1&gt;$B$3,ISBLANK(Actuals!C105)),"",Budget!C105-Actuals!C105)</f>
        <v/>
      </c>
      <c r="E89" s="509">
        <f>IFERROR(IF(OR(1&gt;$B$3,ISBLANK(Actuals!C105)),"",(Budget!C105-Actuals!C105)/ABS(Budget!C105)),"")</f>
        <v/>
      </c>
      <c r="F89" s="508">
        <f>Budget!D105</f>
        <v/>
      </c>
      <c r="G89" s="508">
        <f>IF(OR(2&gt;$B$3,ISBLANK(Actuals!D105)),"",Actuals!D105)</f>
        <v/>
      </c>
      <c r="H89" s="509">
        <f>IF(OR(2&gt;$B$3,ISBLANK(Actuals!D105)),"",Budget!D105-Actuals!D105)</f>
        <v/>
      </c>
      <c r="I89" s="509">
        <f>IFERROR(IF(OR(2&gt;$B$3,ISBLANK(Actuals!D105)),"",(Budget!D105-Actuals!D105)/ABS(Budget!D105)),"")</f>
        <v/>
      </c>
      <c r="J89" s="508">
        <f>Budget!E105</f>
        <v/>
      </c>
      <c r="K89" s="508">
        <f>IF(OR(3&gt;$B$3,ISBLANK(Actuals!E105)),"",Actuals!E105)</f>
        <v/>
      </c>
      <c r="L89" s="509">
        <f>IF(OR(3&gt;$B$3,ISBLANK(Actuals!E105)),"",Budget!E105-Actuals!E105)</f>
        <v/>
      </c>
      <c r="M89" s="509">
        <f>IFERROR(IF(OR(3&gt;$B$3,ISBLANK(Actuals!E105)),"",(Budget!E105-Actuals!E105)/ABS(Budget!E105)),"")</f>
        <v/>
      </c>
      <c r="N89" s="508">
        <f>Budget!F105</f>
        <v/>
      </c>
      <c r="O89" s="508">
        <f>IF(OR(4&gt;$B$3,ISBLANK(Actuals!F105)),"",Actuals!F105)</f>
        <v/>
      </c>
      <c r="P89" s="509">
        <f>IF(OR(4&gt;$B$3,ISBLANK(Actuals!F105)),"",Budget!F105-Actuals!F105)</f>
        <v/>
      </c>
      <c r="Q89" s="509">
        <f>IFERROR(IF(OR(4&gt;$B$3,ISBLANK(Actuals!F105)),"",(Budget!F105-Actuals!F105)/ABS(Budget!F105)),"")</f>
        <v/>
      </c>
      <c r="R89" s="508">
        <f>Budget!G105</f>
        <v/>
      </c>
      <c r="S89" s="508">
        <f>IF(OR(5&gt;$B$3,ISBLANK(Actuals!G105)),"",Actuals!G105)</f>
        <v/>
      </c>
      <c r="T89" s="509">
        <f>IF(OR(5&gt;$B$3,ISBLANK(Actuals!G105)),"",Budget!G105-Actuals!G105)</f>
        <v/>
      </c>
      <c r="U89" s="509">
        <f>IFERROR(IF(OR(5&gt;$B$3,ISBLANK(Actuals!G105)),"",(Budget!G105-Actuals!G105)/ABS(Budget!G105)),"")</f>
        <v/>
      </c>
      <c r="V89" s="508">
        <f>Budget!H105</f>
        <v/>
      </c>
      <c r="W89" s="508">
        <f>IF(OR(6&gt;$B$3,ISBLANK(Actuals!H105)),"",Actuals!H105)</f>
        <v/>
      </c>
      <c r="X89" s="509">
        <f>IF(OR(6&gt;$B$3,ISBLANK(Actuals!H105)),"",Budget!H105-Actuals!H105)</f>
        <v/>
      </c>
      <c r="Y89" s="509">
        <f>IFERROR(IF(OR(6&gt;$B$3,ISBLANK(Actuals!H105)),"",(Budget!H105-Actuals!H105)/ABS(Budget!H105)),"")</f>
        <v/>
      </c>
      <c r="Z89" s="508">
        <f>Budget!I105</f>
        <v/>
      </c>
      <c r="AA89" s="508">
        <f>IF(OR(7&gt;$B$3,ISBLANK(Actuals!I105)),"",Actuals!I105)</f>
        <v/>
      </c>
      <c r="AB89" s="509">
        <f>IF(OR(7&gt;$B$3,ISBLANK(Actuals!I105)),"",Budget!I105-Actuals!I105)</f>
        <v/>
      </c>
      <c r="AC89" s="509">
        <f>IFERROR(IF(OR(7&gt;$B$3,ISBLANK(Actuals!I105)),"",(Budget!I105-Actuals!I105)/ABS(Budget!I105)),"")</f>
        <v/>
      </c>
      <c r="AD89" s="508">
        <f>Budget!J105</f>
        <v/>
      </c>
      <c r="AE89" s="508">
        <f>IF(OR(8&gt;$B$3,ISBLANK(Actuals!J105)),"",Actuals!J105)</f>
        <v/>
      </c>
      <c r="AF89" s="509">
        <f>IF(OR(8&gt;$B$3,ISBLANK(Actuals!J105)),"",Budget!J105-Actuals!J105)</f>
        <v/>
      </c>
      <c r="AG89" s="509">
        <f>IFERROR(IF(OR(8&gt;$B$3,ISBLANK(Actuals!J105)),"",(Budget!J105-Actuals!J105)/ABS(Budget!J105)),"")</f>
        <v/>
      </c>
      <c r="AH89" s="508">
        <f>Budget!K105</f>
        <v/>
      </c>
      <c r="AI89" s="508">
        <f>IF(OR(9&gt;$B$3,ISBLANK(Actuals!K105)),"",Actuals!K105)</f>
        <v/>
      </c>
      <c r="AJ89" s="509">
        <f>IF(OR(9&gt;$B$3,ISBLANK(Actuals!K105)),"",Budget!K105-Actuals!K105)</f>
        <v/>
      </c>
      <c r="AK89" s="509">
        <f>IFERROR(IF(OR(9&gt;$B$3,ISBLANK(Actuals!K105)),"",(Budget!K105-Actuals!K105)/ABS(Budget!K105)),"")</f>
        <v/>
      </c>
      <c r="AL89" s="508">
        <f>Budget!L105</f>
        <v/>
      </c>
      <c r="AM89" s="508">
        <f>IF(OR(10&gt;$B$3,ISBLANK(Actuals!L105)),"",Actuals!L105)</f>
        <v/>
      </c>
      <c r="AN89" s="509">
        <f>IF(OR(10&gt;$B$3,ISBLANK(Actuals!L105)),"",Budget!L105-Actuals!L105)</f>
        <v/>
      </c>
      <c r="AO89" s="509">
        <f>IFERROR(IF(OR(10&gt;$B$3,ISBLANK(Actuals!L105)),"",(Budget!L105-Actuals!L105)/ABS(Budget!L105)),"")</f>
        <v/>
      </c>
      <c r="AP89" s="508">
        <f>Budget!M105</f>
        <v/>
      </c>
      <c r="AQ89" s="508">
        <f>IF(OR(11&gt;$B$3,ISBLANK(Actuals!M105)),"",Actuals!M105)</f>
        <v/>
      </c>
      <c r="AR89" s="509">
        <f>IF(OR(11&gt;$B$3,ISBLANK(Actuals!M105)),"",Budget!M105-Actuals!M105)</f>
        <v/>
      </c>
      <c r="AS89" s="509">
        <f>IFERROR(IF(OR(11&gt;$B$3,ISBLANK(Actuals!M105)),"",(Budget!M105-Actuals!M105)/ABS(Budget!M105)),"")</f>
        <v/>
      </c>
      <c r="AT89" s="508">
        <f>Budget!N105</f>
        <v/>
      </c>
      <c r="AU89" s="508">
        <f>IF(OR(12&gt;$B$3,ISBLANK(Actuals!N105)),"",Actuals!N105)</f>
        <v/>
      </c>
      <c r="AV89" s="509">
        <f>IF(OR(12&gt;$B$3,ISBLANK(Actuals!N105)),"",Budget!N105-Actuals!N105)</f>
        <v/>
      </c>
      <c r="AW89" s="509">
        <f>IFERROR(IF(OR(12&gt;$B$3,ISBLANK(Actuals!N105)),"",(Budget!N105-Actuals!N105)/ABS(Budget!N105)),"")</f>
        <v/>
      </c>
      <c r="AX89" s="510">
        <f>SUMPRODUCT((Actuals!C105:N105&lt;&gt;"")*(Budget!C105:N105))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Budget!C106</f>
        <v/>
      </c>
      <c r="C90" s="508">
        <f>IF(OR(1&gt;$B$3,ISBLANK(Actuals!C106)),"",Actuals!C106)</f>
        <v/>
      </c>
      <c r="D90" s="509">
        <f>IF(OR(1&gt;$B$3,ISBLANK(Actuals!C106)),"",Budget!C106-Actuals!C106)</f>
        <v/>
      </c>
      <c r="E90" s="509">
        <f>IFERROR(IF(OR(1&gt;$B$3,ISBLANK(Actuals!C106)),"",(Budget!C106-Actuals!C106)/ABS(Budget!C106)),"")</f>
        <v/>
      </c>
      <c r="F90" s="508">
        <f>Budget!D106</f>
        <v/>
      </c>
      <c r="G90" s="508">
        <f>IF(OR(2&gt;$B$3,ISBLANK(Actuals!D106)),"",Actuals!D106)</f>
        <v/>
      </c>
      <c r="H90" s="509">
        <f>IF(OR(2&gt;$B$3,ISBLANK(Actuals!D106)),"",Budget!D106-Actuals!D106)</f>
        <v/>
      </c>
      <c r="I90" s="509">
        <f>IFERROR(IF(OR(2&gt;$B$3,ISBLANK(Actuals!D106)),"",(Budget!D106-Actuals!D106)/ABS(Budget!D106)),"")</f>
        <v/>
      </c>
      <c r="J90" s="508">
        <f>Budget!E106</f>
        <v/>
      </c>
      <c r="K90" s="508">
        <f>IF(OR(3&gt;$B$3,ISBLANK(Actuals!E106)),"",Actuals!E106)</f>
        <v/>
      </c>
      <c r="L90" s="509">
        <f>IF(OR(3&gt;$B$3,ISBLANK(Actuals!E106)),"",Budget!E106-Actuals!E106)</f>
        <v/>
      </c>
      <c r="M90" s="509">
        <f>IFERROR(IF(OR(3&gt;$B$3,ISBLANK(Actuals!E106)),"",(Budget!E106-Actuals!E106)/ABS(Budget!E106)),"")</f>
        <v/>
      </c>
      <c r="N90" s="508">
        <f>Budget!F106</f>
        <v/>
      </c>
      <c r="O90" s="508">
        <f>IF(OR(4&gt;$B$3,ISBLANK(Actuals!F106)),"",Actuals!F106)</f>
        <v/>
      </c>
      <c r="P90" s="509">
        <f>IF(OR(4&gt;$B$3,ISBLANK(Actuals!F106)),"",Budget!F106-Actuals!F106)</f>
        <v/>
      </c>
      <c r="Q90" s="509">
        <f>IFERROR(IF(OR(4&gt;$B$3,ISBLANK(Actuals!F106)),"",(Budget!F106-Actuals!F106)/ABS(Budget!F106)),"")</f>
        <v/>
      </c>
      <c r="R90" s="508">
        <f>Budget!G106</f>
        <v/>
      </c>
      <c r="S90" s="508">
        <f>IF(OR(5&gt;$B$3,ISBLANK(Actuals!G106)),"",Actuals!G106)</f>
        <v/>
      </c>
      <c r="T90" s="509">
        <f>IF(OR(5&gt;$B$3,ISBLANK(Actuals!G106)),"",Budget!G106-Actuals!G106)</f>
        <v/>
      </c>
      <c r="U90" s="509">
        <f>IFERROR(IF(OR(5&gt;$B$3,ISBLANK(Actuals!G106)),"",(Budget!G106-Actuals!G106)/ABS(Budget!G106)),"")</f>
        <v/>
      </c>
      <c r="V90" s="508">
        <f>Budget!H106</f>
        <v/>
      </c>
      <c r="W90" s="508">
        <f>IF(OR(6&gt;$B$3,ISBLANK(Actuals!H106)),"",Actuals!H106)</f>
        <v/>
      </c>
      <c r="X90" s="509">
        <f>IF(OR(6&gt;$B$3,ISBLANK(Actuals!H106)),"",Budget!H106-Actuals!H106)</f>
        <v/>
      </c>
      <c r="Y90" s="509">
        <f>IFERROR(IF(OR(6&gt;$B$3,ISBLANK(Actuals!H106)),"",(Budget!H106-Actuals!H106)/ABS(Budget!H106)),"")</f>
        <v/>
      </c>
      <c r="Z90" s="508">
        <f>Budget!I106</f>
        <v/>
      </c>
      <c r="AA90" s="508">
        <f>IF(OR(7&gt;$B$3,ISBLANK(Actuals!I106)),"",Actuals!I106)</f>
        <v/>
      </c>
      <c r="AB90" s="509">
        <f>IF(OR(7&gt;$B$3,ISBLANK(Actuals!I106)),"",Budget!I106-Actuals!I106)</f>
        <v/>
      </c>
      <c r="AC90" s="509">
        <f>IFERROR(IF(OR(7&gt;$B$3,ISBLANK(Actuals!I106)),"",(Budget!I106-Actuals!I106)/ABS(Budget!I106)),"")</f>
        <v/>
      </c>
      <c r="AD90" s="508">
        <f>Budget!J106</f>
        <v/>
      </c>
      <c r="AE90" s="508">
        <f>IF(OR(8&gt;$B$3,ISBLANK(Actuals!J106)),"",Actuals!J106)</f>
        <v/>
      </c>
      <c r="AF90" s="509">
        <f>IF(OR(8&gt;$B$3,ISBLANK(Actuals!J106)),"",Budget!J106-Actuals!J106)</f>
        <v/>
      </c>
      <c r="AG90" s="509">
        <f>IFERROR(IF(OR(8&gt;$B$3,ISBLANK(Actuals!J106)),"",(Budget!J106-Actuals!J106)/ABS(Budget!J106)),"")</f>
        <v/>
      </c>
      <c r="AH90" s="508">
        <f>Budget!K106</f>
        <v/>
      </c>
      <c r="AI90" s="508">
        <f>IF(OR(9&gt;$B$3,ISBLANK(Actuals!K106)),"",Actuals!K106)</f>
        <v/>
      </c>
      <c r="AJ90" s="509">
        <f>IF(OR(9&gt;$B$3,ISBLANK(Actuals!K106)),"",Budget!K106-Actuals!K106)</f>
        <v/>
      </c>
      <c r="AK90" s="509">
        <f>IFERROR(IF(OR(9&gt;$B$3,ISBLANK(Actuals!K106)),"",(Budget!K106-Actuals!K106)/ABS(Budget!K106)),"")</f>
        <v/>
      </c>
      <c r="AL90" s="508">
        <f>Budget!L106</f>
        <v/>
      </c>
      <c r="AM90" s="508">
        <f>IF(OR(10&gt;$B$3,ISBLANK(Actuals!L106)),"",Actuals!L106)</f>
        <v/>
      </c>
      <c r="AN90" s="509">
        <f>IF(OR(10&gt;$B$3,ISBLANK(Actuals!L106)),"",Budget!L106-Actuals!L106)</f>
        <v/>
      </c>
      <c r="AO90" s="509">
        <f>IFERROR(IF(OR(10&gt;$B$3,ISBLANK(Actuals!L106)),"",(Budget!L106-Actuals!L106)/ABS(Budget!L106)),"")</f>
        <v/>
      </c>
      <c r="AP90" s="508">
        <f>Budget!M106</f>
        <v/>
      </c>
      <c r="AQ90" s="508">
        <f>IF(OR(11&gt;$B$3,ISBLANK(Actuals!M106)),"",Actuals!M106)</f>
        <v/>
      </c>
      <c r="AR90" s="509">
        <f>IF(OR(11&gt;$B$3,ISBLANK(Actuals!M106)),"",Budget!M106-Actuals!M106)</f>
        <v/>
      </c>
      <c r="AS90" s="509">
        <f>IFERROR(IF(OR(11&gt;$B$3,ISBLANK(Actuals!M106)),"",(Budget!M106-Actuals!M106)/ABS(Budget!M106)),"")</f>
        <v/>
      </c>
      <c r="AT90" s="508">
        <f>Budget!N106</f>
        <v/>
      </c>
      <c r="AU90" s="508">
        <f>IF(OR(12&gt;$B$3,ISBLANK(Actuals!N106)),"",Actuals!N106)</f>
        <v/>
      </c>
      <c r="AV90" s="509">
        <f>IF(OR(12&gt;$B$3,ISBLANK(Actuals!N106)),"",Budget!N106-Actuals!N106)</f>
        <v/>
      </c>
      <c r="AW90" s="509">
        <f>IFERROR(IF(OR(12&gt;$B$3,ISBLANK(Actuals!N106)),"",(Budget!N106-Actuals!N106)/ABS(Budget!N106)),"")</f>
        <v/>
      </c>
      <c r="AX90" s="510">
        <f>SUMPRODUCT((Actuals!C106:N106&lt;&gt;"")*(Budget!C106:N106))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Budget!C107</f>
        <v/>
      </c>
      <c r="C91" s="508">
        <f>IF(OR(1&gt;$B$3,ISBLANK(Actuals!C107)),"",Actuals!C107)</f>
        <v/>
      </c>
      <c r="D91" s="509">
        <f>IF(OR(1&gt;$B$3,ISBLANK(Actuals!C107)),"",Budget!C107-Actuals!C107)</f>
        <v/>
      </c>
      <c r="E91" s="509">
        <f>IFERROR(IF(OR(1&gt;$B$3,ISBLANK(Actuals!C107)),"",(Budget!C107-Actuals!C107)/ABS(Budget!C107)),"")</f>
        <v/>
      </c>
      <c r="F91" s="508">
        <f>Budget!D107</f>
        <v/>
      </c>
      <c r="G91" s="508">
        <f>IF(OR(2&gt;$B$3,ISBLANK(Actuals!D107)),"",Actuals!D107)</f>
        <v/>
      </c>
      <c r="H91" s="509">
        <f>IF(OR(2&gt;$B$3,ISBLANK(Actuals!D107)),"",Budget!D107-Actuals!D107)</f>
        <v/>
      </c>
      <c r="I91" s="509">
        <f>IFERROR(IF(OR(2&gt;$B$3,ISBLANK(Actuals!D107)),"",(Budget!D107-Actuals!D107)/ABS(Budget!D107)),"")</f>
        <v/>
      </c>
      <c r="J91" s="508">
        <f>Budget!E107</f>
        <v/>
      </c>
      <c r="K91" s="508">
        <f>IF(OR(3&gt;$B$3,ISBLANK(Actuals!E107)),"",Actuals!E107)</f>
        <v/>
      </c>
      <c r="L91" s="509">
        <f>IF(OR(3&gt;$B$3,ISBLANK(Actuals!E107)),"",Budget!E107-Actuals!E107)</f>
        <v/>
      </c>
      <c r="M91" s="509">
        <f>IFERROR(IF(OR(3&gt;$B$3,ISBLANK(Actuals!E107)),"",(Budget!E107-Actuals!E107)/ABS(Budget!E107)),"")</f>
        <v/>
      </c>
      <c r="N91" s="508">
        <f>Budget!F107</f>
        <v/>
      </c>
      <c r="O91" s="508">
        <f>IF(OR(4&gt;$B$3,ISBLANK(Actuals!F107)),"",Actuals!F107)</f>
        <v/>
      </c>
      <c r="P91" s="509">
        <f>IF(OR(4&gt;$B$3,ISBLANK(Actuals!F107)),"",Budget!F107-Actuals!F107)</f>
        <v/>
      </c>
      <c r="Q91" s="509">
        <f>IFERROR(IF(OR(4&gt;$B$3,ISBLANK(Actuals!F107)),"",(Budget!F107-Actuals!F107)/ABS(Budget!F107)),"")</f>
        <v/>
      </c>
      <c r="R91" s="508">
        <f>Budget!G107</f>
        <v/>
      </c>
      <c r="S91" s="508">
        <f>IF(OR(5&gt;$B$3,ISBLANK(Actuals!G107)),"",Actuals!G107)</f>
        <v/>
      </c>
      <c r="T91" s="509">
        <f>IF(OR(5&gt;$B$3,ISBLANK(Actuals!G107)),"",Budget!G107-Actuals!G107)</f>
        <v/>
      </c>
      <c r="U91" s="509">
        <f>IFERROR(IF(OR(5&gt;$B$3,ISBLANK(Actuals!G107)),"",(Budget!G107-Actuals!G107)/ABS(Budget!G107)),"")</f>
        <v/>
      </c>
      <c r="V91" s="508">
        <f>Budget!H107</f>
        <v/>
      </c>
      <c r="W91" s="508">
        <f>IF(OR(6&gt;$B$3,ISBLANK(Actuals!H107)),"",Actuals!H107)</f>
        <v/>
      </c>
      <c r="X91" s="509">
        <f>IF(OR(6&gt;$B$3,ISBLANK(Actuals!H107)),"",Budget!H107-Actuals!H107)</f>
        <v/>
      </c>
      <c r="Y91" s="509">
        <f>IFERROR(IF(OR(6&gt;$B$3,ISBLANK(Actuals!H107)),"",(Budget!H107-Actuals!H107)/ABS(Budget!H107)),"")</f>
        <v/>
      </c>
      <c r="Z91" s="508">
        <f>Budget!I107</f>
        <v/>
      </c>
      <c r="AA91" s="508">
        <f>IF(OR(7&gt;$B$3,ISBLANK(Actuals!I107)),"",Actuals!I107)</f>
        <v/>
      </c>
      <c r="AB91" s="509">
        <f>IF(OR(7&gt;$B$3,ISBLANK(Actuals!I107)),"",Budget!I107-Actuals!I107)</f>
        <v/>
      </c>
      <c r="AC91" s="509">
        <f>IFERROR(IF(OR(7&gt;$B$3,ISBLANK(Actuals!I107)),"",(Budget!I107-Actuals!I107)/ABS(Budget!I107)),"")</f>
        <v/>
      </c>
      <c r="AD91" s="508">
        <f>Budget!J107</f>
        <v/>
      </c>
      <c r="AE91" s="508">
        <f>IF(OR(8&gt;$B$3,ISBLANK(Actuals!J107)),"",Actuals!J107)</f>
        <v/>
      </c>
      <c r="AF91" s="509">
        <f>IF(OR(8&gt;$B$3,ISBLANK(Actuals!J107)),"",Budget!J107-Actuals!J107)</f>
        <v/>
      </c>
      <c r="AG91" s="509">
        <f>IFERROR(IF(OR(8&gt;$B$3,ISBLANK(Actuals!J107)),"",(Budget!J107-Actuals!J107)/ABS(Budget!J107)),"")</f>
        <v/>
      </c>
      <c r="AH91" s="508">
        <f>Budget!K107</f>
        <v/>
      </c>
      <c r="AI91" s="508">
        <f>IF(OR(9&gt;$B$3,ISBLANK(Actuals!K107)),"",Actuals!K107)</f>
        <v/>
      </c>
      <c r="AJ91" s="509">
        <f>IF(OR(9&gt;$B$3,ISBLANK(Actuals!K107)),"",Budget!K107-Actuals!K107)</f>
        <v/>
      </c>
      <c r="AK91" s="509">
        <f>IFERROR(IF(OR(9&gt;$B$3,ISBLANK(Actuals!K107)),"",(Budget!K107-Actuals!K107)/ABS(Budget!K107)),"")</f>
        <v/>
      </c>
      <c r="AL91" s="508">
        <f>Budget!L107</f>
        <v/>
      </c>
      <c r="AM91" s="508">
        <f>IF(OR(10&gt;$B$3,ISBLANK(Actuals!L107)),"",Actuals!L107)</f>
        <v/>
      </c>
      <c r="AN91" s="509">
        <f>IF(OR(10&gt;$B$3,ISBLANK(Actuals!L107)),"",Budget!L107-Actuals!L107)</f>
        <v/>
      </c>
      <c r="AO91" s="509">
        <f>IFERROR(IF(OR(10&gt;$B$3,ISBLANK(Actuals!L107)),"",(Budget!L107-Actuals!L107)/ABS(Budget!L107)),"")</f>
        <v/>
      </c>
      <c r="AP91" s="508">
        <f>Budget!M107</f>
        <v/>
      </c>
      <c r="AQ91" s="508">
        <f>IF(OR(11&gt;$B$3,ISBLANK(Actuals!M107)),"",Actuals!M107)</f>
        <v/>
      </c>
      <c r="AR91" s="509">
        <f>IF(OR(11&gt;$B$3,ISBLANK(Actuals!M107)),"",Budget!M107-Actuals!M107)</f>
        <v/>
      </c>
      <c r="AS91" s="509">
        <f>IFERROR(IF(OR(11&gt;$B$3,ISBLANK(Actuals!M107)),"",(Budget!M107-Actuals!M107)/ABS(Budget!M107)),"")</f>
        <v/>
      </c>
      <c r="AT91" s="508">
        <f>Budget!N107</f>
        <v/>
      </c>
      <c r="AU91" s="508">
        <f>IF(OR(12&gt;$B$3,ISBLANK(Actuals!N107)),"",Actuals!N107)</f>
        <v/>
      </c>
      <c r="AV91" s="509">
        <f>IF(OR(12&gt;$B$3,ISBLANK(Actuals!N107)),"",Budget!N107-Actuals!N107)</f>
        <v/>
      </c>
      <c r="AW91" s="509">
        <f>IFERROR(IF(OR(12&gt;$B$3,ISBLANK(Actuals!N107)),"",(Budget!N107-Actuals!N107)/ABS(Budget!N107)),"")</f>
        <v/>
      </c>
      <c r="AX91" s="510">
        <f>SUMPRODUCT((Actuals!C107:N107&lt;&gt;"")*(Budget!C107:N107))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Budget!C108</f>
        <v/>
      </c>
      <c r="C92" s="508">
        <f>IF(OR(1&gt;$B$3,ISBLANK(Actuals!C108)),"",Actuals!C108)</f>
        <v/>
      </c>
      <c r="D92" s="509">
        <f>IF(OR(1&gt;$B$3,ISBLANK(Actuals!C108)),"",Budget!C108-Actuals!C108)</f>
        <v/>
      </c>
      <c r="E92" s="509">
        <f>IFERROR(IF(OR(1&gt;$B$3,ISBLANK(Actuals!C108)),"",(Budget!C108-Actuals!C108)/ABS(Budget!C108)),"")</f>
        <v/>
      </c>
      <c r="F92" s="508">
        <f>Budget!D108</f>
        <v/>
      </c>
      <c r="G92" s="508">
        <f>IF(OR(2&gt;$B$3,ISBLANK(Actuals!D108)),"",Actuals!D108)</f>
        <v/>
      </c>
      <c r="H92" s="509">
        <f>IF(OR(2&gt;$B$3,ISBLANK(Actuals!D108)),"",Budget!D108-Actuals!D108)</f>
        <v/>
      </c>
      <c r="I92" s="509">
        <f>IFERROR(IF(OR(2&gt;$B$3,ISBLANK(Actuals!D108)),"",(Budget!D108-Actuals!D108)/ABS(Budget!D108)),"")</f>
        <v/>
      </c>
      <c r="J92" s="508">
        <f>Budget!E108</f>
        <v/>
      </c>
      <c r="K92" s="508">
        <f>IF(OR(3&gt;$B$3,ISBLANK(Actuals!E108)),"",Actuals!E108)</f>
        <v/>
      </c>
      <c r="L92" s="509">
        <f>IF(OR(3&gt;$B$3,ISBLANK(Actuals!E108)),"",Budget!E108-Actuals!E108)</f>
        <v/>
      </c>
      <c r="M92" s="509">
        <f>IFERROR(IF(OR(3&gt;$B$3,ISBLANK(Actuals!E108)),"",(Budget!E108-Actuals!E108)/ABS(Budget!E108)),"")</f>
        <v/>
      </c>
      <c r="N92" s="508">
        <f>Budget!F108</f>
        <v/>
      </c>
      <c r="O92" s="508">
        <f>IF(OR(4&gt;$B$3,ISBLANK(Actuals!F108)),"",Actuals!F108)</f>
        <v/>
      </c>
      <c r="P92" s="509">
        <f>IF(OR(4&gt;$B$3,ISBLANK(Actuals!F108)),"",Budget!F108-Actuals!F108)</f>
        <v/>
      </c>
      <c r="Q92" s="509">
        <f>IFERROR(IF(OR(4&gt;$B$3,ISBLANK(Actuals!F108)),"",(Budget!F108-Actuals!F108)/ABS(Budget!F108)),"")</f>
        <v/>
      </c>
      <c r="R92" s="508">
        <f>Budget!G108</f>
        <v/>
      </c>
      <c r="S92" s="508">
        <f>IF(OR(5&gt;$B$3,ISBLANK(Actuals!G108)),"",Actuals!G108)</f>
        <v/>
      </c>
      <c r="T92" s="509">
        <f>IF(OR(5&gt;$B$3,ISBLANK(Actuals!G108)),"",Budget!G108-Actuals!G108)</f>
        <v/>
      </c>
      <c r="U92" s="509">
        <f>IFERROR(IF(OR(5&gt;$B$3,ISBLANK(Actuals!G108)),"",(Budget!G108-Actuals!G108)/ABS(Budget!G108)),"")</f>
        <v/>
      </c>
      <c r="V92" s="508">
        <f>Budget!H108</f>
        <v/>
      </c>
      <c r="W92" s="508">
        <f>IF(OR(6&gt;$B$3,ISBLANK(Actuals!H108)),"",Actuals!H108)</f>
        <v/>
      </c>
      <c r="X92" s="509">
        <f>IF(OR(6&gt;$B$3,ISBLANK(Actuals!H108)),"",Budget!H108-Actuals!H108)</f>
        <v/>
      </c>
      <c r="Y92" s="509">
        <f>IFERROR(IF(OR(6&gt;$B$3,ISBLANK(Actuals!H108)),"",(Budget!H108-Actuals!H108)/ABS(Budget!H108)),"")</f>
        <v/>
      </c>
      <c r="Z92" s="508">
        <f>Budget!I108</f>
        <v/>
      </c>
      <c r="AA92" s="508">
        <f>IF(OR(7&gt;$B$3,ISBLANK(Actuals!I108)),"",Actuals!I108)</f>
        <v/>
      </c>
      <c r="AB92" s="509">
        <f>IF(OR(7&gt;$B$3,ISBLANK(Actuals!I108)),"",Budget!I108-Actuals!I108)</f>
        <v/>
      </c>
      <c r="AC92" s="509">
        <f>IFERROR(IF(OR(7&gt;$B$3,ISBLANK(Actuals!I108)),"",(Budget!I108-Actuals!I108)/ABS(Budget!I108)),"")</f>
        <v/>
      </c>
      <c r="AD92" s="508">
        <f>Budget!J108</f>
        <v/>
      </c>
      <c r="AE92" s="508">
        <f>IF(OR(8&gt;$B$3,ISBLANK(Actuals!J108)),"",Actuals!J108)</f>
        <v/>
      </c>
      <c r="AF92" s="509">
        <f>IF(OR(8&gt;$B$3,ISBLANK(Actuals!J108)),"",Budget!J108-Actuals!J108)</f>
        <v/>
      </c>
      <c r="AG92" s="509">
        <f>IFERROR(IF(OR(8&gt;$B$3,ISBLANK(Actuals!J108)),"",(Budget!J108-Actuals!J108)/ABS(Budget!J108)),"")</f>
        <v/>
      </c>
      <c r="AH92" s="508">
        <f>Budget!K108</f>
        <v/>
      </c>
      <c r="AI92" s="508">
        <f>IF(OR(9&gt;$B$3,ISBLANK(Actuals!K108)),"",Actuals!K108)</f>
        <v/>
      </c>
      <c r="AJ92" s="509">
        <f>IF(OR(9&gt;$B$3,ISBLANK(Actuals!K108)),"",Budget!K108-Actuals!K108)</f>
        <v/>
      </c>
      <c r="AK92" s="509">
        <f>IFERROR(IF(OR(9&gt;$B$3,ISBLANK(Actuals!K108)),"",(Budget!K108-Actuals!K108)/ABS(Budget!K108)),"")</f>
        <v/>
      </c>
      <c r="AL92" s="508">
        <f>Budget!L108</f>
        <v/>
      </c>
      <c r="AM92" s="508">
        <f>IF(OR(10&gt;$B$3,ISBLANK(Actuals!L108)),"",Actuals!L108)</f>
        <v/>
      </c>
      <c r="AN92" s="509">
        <f>IF(OR(10&gt;$B$3,ISBLANK(Actuals!L108)),"",Budget!L108-Actuals!L108)</f>
        <v/>
      </c>
      <c r="AO92" s="509">
        <f>IFERROR(IF(OR(10&gt;$B$3,ISBLANK(Actuals!L108)),"",(Budget!L108-Actuals!L108)/ABS(Budget!L108)),"")</f>
        <v/>
      </c>
      <c r="AP92" s="508">
        <f>Budget!M108</f>
        <v/>
      </c>
      <c r="AQ92" s="508">
        <f>IF(OR(11&gt;$B$3,ISBLANK(Actuals!M108)),"",Actuals!M108)</f>
        <v/>
      </c>
      <c r="AR92" s="509">
        <f>IF(OR(11&gt;$B$3,ISBLANK(Actuals!M108)),"",Budget!M108-Actuals!M108)</f>
        <v/>
      </c>
      <c r="AS92" s="509">
        <f>IFERROR(IF(OR(11&gt;$B$3,ISBLANK(Actuals!M108)),"",(Budget!M108-Actuals!M108)/ABS(Budget!M108)),"")</f>
        <v/>
      </c>
      <c r="AT92" s="508">
        <f>Budget!N108</f>
        <v/>
      </c>
      <c r="AU92" s="508">
        <f>IF(OR(12&gt;$B$3,ISBLANK(Actuals!N108)),"",Actuals!N108)</f>
        <v/>
      </c>
      <c r="AV92" s="509">
        <f>IF(OR(12&gt;$B$3,ISBLANK(Actuals!N108)),"",Budget!N108-Actuals!N108)</f>
        <v/>
      </c>
      <c r="AW92" s="509">
        <f>IFERROR(IF(OR(12&gt;$B$3,ISBLANK(Actuals!N108)),"",(Budget!N108-Actuals!N108)/ABS(Budget!N108)),"")</f>
        <v/>
      </c>
      <c r="AX92" s="510">
        <f>SUMPRODUCT((Actuals!C108:N108&lt;&gt;"")*(Budget!C108:N108))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Budget!C109</f>
        <v/>
      </c>
      <c r="C93" s="508">
        <f>IF(OR(1&gt;$B$3,ISBLANK(Actuals!C109)),"",Actuals!C109)</f>
        <v/>
      </c>
      <c r="D93" s="509">
        <f>IF(OR(1&gt;$B$3,ISBLANK(Actuals!C109)),"",Budget!C109-Actuals!C109)</f>
        <v/>
      </c>
      <c r="E93" s="509">
        <f>IFERROR(IF(OR(1&gt;$B$3,ISBLANK(Actuals!C109)),"",(Budget!C109-Actuals!C109)/ABS(Budget!C109)),"")</f>
        <v/>
      </c>
      <c r="F93" s="508">
        <f>Budget!D109</f>
        <v/>
      </c>
      <c r="G93" s="508">
        <f>IF(OR(2&gt;$B$3,ISBLANK(Actuals!D109)),"",Actuals!D109)</f>
        <v/>
      </c>
      <c r="H93" s="509">
        <f>IF(OR(2&gt;$B$3,ISBLANK(Actuals!D109)),"",Budget!D109-Actuals!D109)</f>
        <v/>
      </c>
      <c r="I93" s="509">
        <f>IFERROR(IF(OR(2&gt;$B$3,ISBLANK(Actuals!D109)),"",(Budget!D109-Actuals!D109)/ABS(Budget!D109)),"")</f>
        <v/>
      </c>
      <c r="J93" s="508">
        <f>Budget!E109</f>
        <v/>
      </c>
      <c r="K93" s="508">
        <f>IF(OR(3&gt;$B$3,ISBLANK(Actuals!E109)),"",Actuals!E109)</f>
        <v/>
      </c>
      <c r="L93" s="509">
        <f>IF(OR(3&gt;$B$3,ISBLANK(Actuals!E109)),"",Budget!E109-Actuals!E109)</f>
        <v/>
      </c>
      <c r="M93" s="509">
        <f>IFERROR(IF(OR(3&gt;$B$3,ISBLANK(Actuals!E109)),"",(Budget!E109-Actuals!E109)/ABS(Budget!E109)),"")</f>
        <v/>
      </c>
      <c r="N93" s="508">
        <f>Budget!F109</f>
        <v/>
      </c>
      <c r="O93" s="508">
        <f>IF(OR(4&gt;$B$3,ISBLANK(Actuals!F109)),"",Actuals!F109)</f>
        <v/>
      </c>
      <c r="P93" s="509">
        <f>IF(OR(4&gt;$B$3,ISBLANK(Actuals!F109)),"",Budget!F109-Actuals!F109)</f>
        <v/>
      </c>
      <c r="Q93" s="509">
        <f>IFERROR(IF(OR(4&gt;$B$3,ISBLANK(Actuals!F109)),"",(Budget!F109-Actuals!F109)/ABS(Budget!F109)),"")</f>
        <v/>
      </c>
      <c r="R93" s="508">
        <f>Budget!G109</f>
        <v/>
      </c>
      <c r="S93" s="508">
        <f>IF(OR(5&gt;$B$3,ISBLANK(Actuals!G109)),"",Actuals!G109)</f>
        <v/>
      </c>
      <c r="T93" s="509">
        <f>IF(OR(5&gt;$B$3,ISBLANK(Actuals!G109)),"",Budget!G109-Actuals!G109)</f>
        <v/>
      </c>
      <c r="U93" s="509">
        <f>IFERROR(IF(OR(5&gt;$B$3,ISBLANK(Actuals!G109)),"",(Budget!G109-Actuals!G109)/ABS(Budget!G109)),"")</f>
        <v/>
      </c>
      <c r="V93" s="508">
        <f>Budget!H109</f>
        <v/>
      </c>
      <c r="W93" s="508">
        <f>IF(OR(6&gt;$B$3,ISBLANK(Actuals!H109)),"",Actuals!H109)</f>
        <v/>
      </c>
      <c r="X93" s="509">
        <f>IF(OR(6&gt;$B$3,ISBLANK(Actuals!H109)),"",Budget!H109-Actuals!H109)</f>
        <v/>
      </c>
      <c r="Y93" s="509">
        <f>IFERROR(IF(OR(6&gt;$B$3,ISBLANK(Actuals!H109)),"",(Budget!H109-Actuals!H109)/ABS(Budget!H109)),"")</f>
        <v/>
      </c>
      <c r="Z93" s="508">
        <f>Budget!I109</f>
        <v/>
      </c>
      <c r="AA93" s="508">
        <f>IF(OR(7&gt;$B$3,ISBLANK(Actuals!I109)),"",Actuals!I109)</f>
        <v/>
      </c>
      <c r="AB93" s="509">
        <f>IF(OR(7&gt;$B$3,ISBLANK(Actuals!I109)),"",Budget!I109-Actuals!I109)</f>
        <v/>
      </c>
      <c r="AC93" s="509">
        <f>IFERROR(IF(OR(7&gt;$B$3,ISBLANK(Actuals!I109)),"",(Budget!I109-Actuals!I109)/ABS(Budget!I109)),"")</f>
        <v/>
      </c>
      <c r="AD93" s="508">
        <f>Budget!J109</f>
        <v/>
      </c>
      <c r="AE93" s="508">
        <f>IF(OR(8&gt;$B$3,ISBLANK(Actuals!J109)),"",Actuals!J109)</f>
        <v/>
      </c>
      <c r="AF93" s="509">
        <f>IF(OR(8&gt;$B$3,ISBLANK(Actuals!J109)),"",Budget!J109-Actuals!J109)</f>
        <v/>
      </c>
      <c r="AG93" s="509">
        <f>IFERROR(IF(OR(8&gt;$B$3,ISBLANK(Actuals!J109)),"",(Budget!J109-Actuals!J109)/ABS(Budget!J109)),"")</f>
        <v/>
      </c>
      <c r="AH93" s="508">
        <f>Budget!K109</f>
        <v/>
      </c>
      <c r="AI93" s="508">
        <f>IF(OR(9&gt;$B$3,ISBLANK(Actuals!K109)),"",Actuals!K109)</f>
        <v/>
      </c>
      <c r="AJ93" s="509">
        <f>IF(OR(9&gt;$B$3,ISBLANK(Actuals!K109)),"",Budget!K109-Actuals!K109)</f>
        <v/>
      </c>
      <c r="AK93" s="509">
        <f>IFERROR(IF(OR(9&gt;$B$3,ISBLANK(Actuals!K109)),"",(Budget!K109-Actuals!K109)/ABS(Budget!K109)),"")</f>
        <v/>
      </c>
      <c r="AL93" s="508">
        <f>Budget!L109</f>
        <v/>
      </c>
      <c r="AM93" s="508">
        <f>IF(OR(10&gt;$B$3,ISBLANK(Actuals!L109)),"",Actuals!L109)</f>
        <v/>
      </c>
      <c r="AN93" s="509">
        <f>IF(OR(10&gt;$B$3,ISBLANK(Actuals!L109)),"",Budget!L109-Actuals!L109)</f>
        <v/>
      </c>
      <c r="AO93" s="509">
        <f>IFERROR(IF(OR(10&gt;$B$3,ISBLANK(Actuals!L109)),"",(Budget!L109-Actuals!L109)/ABS(Budget!L109)),"")</f>
        <v/>
      </c>
      <c r="AP93" s="508">
        <f>Budget!M109</f>
        <v/>
      </c>
      <c r="AQ93" s="508">
        <f>IF(OR(11&gt;$B$3,ISBLANK(Actuals!M109)),"",Actuals!M109)</f>
        <v/>
      </c>
      <c r="AR93" s="509">
        <f>IF(OR(11&gt;$B$3,ISBLANK(Actuals!M109)),"",Budget!M109-Actuals!M109)</f>
        <v/>
      </c>
      <c r="AS93" s="509">
        <f>IFERROR(IF(OR(11&gt;$B$3,ISBLANK(Actuals!M109)),"",(Budget!M109-Actuals!M109)/ABS(Budget!M109)),"")</f>
        <v/>
      </c>
      <c r="AT93" s="508">
        <f>Budget!N109</f>
        <v/>
      </c>
      <c r="AU93" s="508">
        <f>IF(OR(12&gt;$B$3,ISBLANK(Actuals!N109)),"",Actuals!N109)</f>
        <v/>
      </c>
      <c r="AV93" s="509">
        <f>IF(OR(12&gt;$B$3,ISBLANK(Actuals!N109)),"",Budget!N109-Actuals!N109)</f>
        <v/>
      </c>
      <c r="AW93" s="509">
        <f>IFERROR(IF(OR(12&gt;$B$3,ISBLANK(Actuals!N109)),"",(Budget!N109-Actuals!N109)/ABS(Budget!N109)),"")</f>
        <v/>
      </c>
      <c r="AX93" s="510">
        <f>SUMPRODUCT((Actuals!C109:N109&lt;&gt;"")*(Budget!C109:N109))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Budget!C110</f>
        <v/>
      </c>
      <c r="C94" s="508">
        <f>IF(OR(1&gt;$B$3,ISBLANK(Actuals!C110)),"",Actuals!C110)</f>
        <v/>
      </c>
      <c r="D94" s="509">
        <f>IF(OR(1&gt;$B$3,ISBLANK(Actuals!C110)),"",Budget!C110-Actuals!C110)</f>
        <v/>
      </c>
      <c r="E94" s="509">
        <f>IFERROR(IF(OR(1&gt;$B$3,ISBLANK(Actuals!C110)),"",(Budget!C110-Actuals!C110)/ABS(Budget!C110)),"")</f>
        <v/>
      </c>
      <c r="F94" s="508">
        <f>Budget!D110</f>
        <v/>
      </c>
      <c r="G94" s="508">
        <f>IF(OR(2&gt;$B$3,ISBLANK(Actuals!D110)),"",Actuals!D110)</f>
        <v/>
      </c>
      <c r="H94" s="509">
        <f>IF(OR(2&gt;$B$3,ISBLANK(Actuals!D110)),"",Budget!D110-Actuals!D110)</f>
        <v/>
      </c>
      <c r="I94" s="509">
        <f>IFERROR(IF(OR(2&gt;$B$3,ISBLANK(Actuals!D110)),"",(Budget!D110-Actuals!D110)/ABS(Budget!D110)),"")</f>
        <v/>
      </c>
      <c r="J94" s="508">
        <f>Budget!E110</f>
        <v/>
      </c>
      <c r="K94" s="508">
        <f>IF(OR(3&gt;$B$3,ISBLANK(Actuals!E110)),"",Actuals!E110)</f>
        <v/>
      </c>
      <c r="L94" s="509">
        <f>IF(OR(3&gt;$B$3,ISBLANK(Actuals!E110)),"",Budget!E110-Actuals!E110)</f>
        <v/>
      </c>
      <c r="M94" s="509">
        <f>IFERROR(IF(OR(3&gt;$B$3,ISBLANK(Actuals!E110)),"",(Budget!E110-Actuals!E110)/ABS(Budget!E110)),"")</f>
        <v/>
      </c>
      <c r="N94" s="508">
        <f>Budget!F110</f>
        <v/>
      </c>
      <c r="O94" s="508">
        <f>IF(OR(4&gt;$B$3,ISBLANK(Actuals!F110)),"",Actuals!F110)</f>
        <v/>
      </c>
      <c r="P94" s="509">
        <f>IF(OR(4&gt;$B$3,ISBLANK(Actuals!F110)),"",Budget!F110-Actuals!F110)</f>
        <v/>
      </c>
      <c r="Q94" s="509">
        <f>IFERROR(IF(OR(4&gt;$B$3,ISBLANK(Actuals!F110)),"",(Budget!F110-Actuals!F110)/ABS(Budget!F110)),"")</f>
        <v/>
      </c>
      <c r="R94" s="508">
        <f>Budget!G110</f>
        <v/>
      </c>
      <c r="S94" s="508">
        <f>IF(OR(5&gt;$B$3,ISBLANK(Actuals!G110)),"",Actuals!G110)</f>
        <v/>
      </c>
      <c r="T94" s="509">
        <f>IF(OR(5&gt;$B$3,ISBLANK(Actuals!G110)),"",Budget!G110-Actuals!G110)</f>
        <v/>
      </c>
      <c r="U94" s="509">
        <f>IFERROR(IF(OR(5&gt;$B$3,ISBLANK(Actuals!G110)),"",(Budget!G110-Actuals!G110)/ABS(Budget!G110)),"")</f>
        <v/>
      </c>
      <c r="V94" s="508">
        <f>Budget!H110</f>
        <v/>
      </c>
      <c r="W94" s="508">
        <f>IF(OR(6&gt;$B$3,ISBLANK(Actuals!H110)),"",Actuals!H110)</f>
        <v/>
      </c>
      <c r="X94" s="509">
        <f>IF(OR(6&gt;$B$3,ISBLANK(Actuals!H110)),"",Budget!H110-Actuals!H110)</f>
        <v/>
      </c>
      <c r="Y94" s="509">
        <f>IFERROR(IF(OR(6&gt;$B$3,ISBLANK(Actuals!H110)),"",(Budget!H110-Actuals!H110)/ABS(Budget!H110)),"")</f>
        <v/>
      </c>
      <c r="Z94" s="508">
        <f>Budget!I110</f>
        <v/>
      </c>
      <c r="AA94" s="508">
        <f>IF(OR(7&gt;$B$3,ISBLANK(Actuals!I110)),"",Actuals!I110)</f>
        <v/>
      </c>
      <c r="AB94" s="509">
        <f>IF(OR(7&gt;$B$3,ISBLANK(Actuals!I110)),"",Budget!I110-Actuals!I110)</f>
        <v/>
      </c>
      <c r="AC94" s="509">
        <f>IFERROR(IF(OR(7&gt;$B$3,ISBLANK(Actuals!I110)),"",(Budget!I110-Actuals!I110)/ABS(Budget!I110)),"")</f>
        <v/>
      </c>
      <c r="AD94" s="508">
        <f>Budget!J110</f>
        <v/>
      </c>
      <c r="AE94" s="508">
        <f>IF(OR(8&gt;$B$3,ISBLANK(Actuals!J110)),"",Actuals!J110)</f>
        <v/>
      </c>
      <c r="AF94" s="509">
        <f>IF(OR(8&gt;$B$3,ISBLANK(Actuals!J110)),"",Budget!J110-Actuals!J110)</f>
        <v/>
      </c>
      <c r="AG94" s="509">
        <f>IFERROR(IF(OR(8&gt;$B$3,ISBLANK(Actuals!J110)),"",(Budget!J110-Actuals!J110)/ABS(Budget!J110)),"")</f>
        <v/>
      </c>
      <c r="AH94" s="508">
        <f>Budget!K110</f>
        <v/>
      </c>
      <c r="AI94" s="508">
        <f>IF(OR(9&gt;$B$3,ISBLANK(Actuals!K110)),"",Actuals!K110)</f>
        <v/>
      </c>
      <c r="AJ94" s="509">
        <f>IF(OR(9&gt;$B$3,ISBLANK(Actuals!K110)),"",Budget!K110-Actuals!K110)</f>
        <v/>
      </c>
      <c r="AK94" s="509">
        <f>IFERROR(IF(OR(9&gt;$B$3,ISBLANK(Actuals!K110)),"",(Budget!K110-Actuals!K110)/ABS(Budget!K110)),"")</f>
        <v/>
      </c>
      <c r="AL94" s="508">
        <f>Budget!L110</f>
        <v/>
      </c>
      <c r="AM94" s="508">
        <f>IF(OR(10&gt;$B$3,ISBLANK(Actuals!L110)),"",Actuals!L110)</f>
        <v/>
      </c>
      <c r="AN94" s="509">
        <f>IF(OR(10&gt;$B$3,ISBLANK(Actuals!L110)),"",Budget!L110-Actuals!L110)</f>
        <v/>
      </c>
      <c r="AO94" s="509">
        <f>IFERROR(IF(OR(10&gt;$B$3,ISBLANK(Actuals!L110)),"",(Budget!L110-Actuals!L110)/ABS(Budget!L110)),"")</f>
        <v/>
      </c>
      <c r="AP94" s="508">
        <f>Budget!M110</f>
        <v/>
      </c>
      <c r="AQ94" s="508">
        <f>IF(OR(11&gt;$B$3,ISBLANK(Actuals!M110)),"",Actuals!M110)</f>
        <v/>
      </c>
      <c r="AR94" s="509">
        <f>IF(OR(11&gt;$B$3,ISBLANK(Actuals!M110)),"",Budget!M110-Actuals!M110)</f>
        <v/>
      </c>
      <c r="AS94" s="509">
        <f>IFERROR(IF(OR(11&gt;$B$3,ISBLANK(Actuals!M110)),"",(Budget!M110-Actuals!M110)/ABS(Budget!M110)),"")</f>
        <v/>
      </c>
      <c r="AT94" s="508">
        <f>Budget!N110</f>
        <v/>
      </c>
      <c r="AU94" s="508">
        <f>IF(OR(12&gt;$B$3,ISBLANK(Actuals!N110)),"",Actuals!N110)</f>
        <v/>
      </c>
      <c r="AV94" s="509">
        <f>IF(OR(12&gt;$B$3,ISBLANK(Actuals!N110)),"",Budget!N110-Actuals!N110)</f>
        <v/>
      </c>
      <c r="AW94" s="509">
        <f>IFERROR(IF(OR(12&gt;$B$3,ISBLANK(Actuals!N110)),"",(Budget!N110-Actuals!N110)/ABS(Budget!N110)),"")</f>
        <v/>
      </c>
      <c r="AX94" s="510">
        <f>SUMPRODUCT((Actuals!C110:N110&lt;&gt;"")*(Budget!C110:N110))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Budget!C111</f>
        <v/>
      </c>
      <c r="C95" s="508">
        <f>IF(OR(1&gt;$B$3,ISBLANK(Actuals!C111)),"",Actuals!C111)</f>
        <v/>
      </c>
      <c r="D95" s="509">
        <f>IF(OR(1&gt;$B$3,ISBLANK(Actuals!C111)),"",Budget!C111-Actuals!C111)</f>
        <v/>
      </c>
      <c r="E95" s="509">
        <f>IFERROR(IF(OR(1&gt;$B$3,ISBLANK(Actuals!C111)),"",(Budget!C111-Actuals!C111)/ABS(Budget!C111)),"")</f>
        <v/>
      </c>
      <c r="F95" s="508">
        <f>Budget!D111</f>
        <v/>
      </c>
      <c r="G95" s="508">
        <f>IF(OR(2&gt;$B$3,ISBLANK(Actuals!D111)),"",Actuals!D111)</f>
        <v/>
      </c>
      <c r="H95" s="509">
        <f>IF(OR(2&gt;$B$3,ISBLANK(Actuals!D111)),"",Budget!D111-Actuals!D111)</f>
        <v/>
      </c>
      <c r="I95" s="509">
        <f>IFERROR(IF(OR(2&gt;$B$3,ISBLANK(Actuals!D111)),"",(Budget!D111-Actuals!D111)/ABS(Budget!D111)),"")</f>
        <v/>
      </c>
      <c r="J95" s="508">
        <f>Budget!E111</f>
        <v/>
      </c>
      <c r="K95" s="508">
        <f>IF(OR(3&gt;$B$3,ISBLANK(Actuals!E111)),"",Actuals!E111)</f>
        <v/>
      </c>
      <c r="L95" s="509">
        <f>IF(OR(3&gt;$B$3,ISBLANK(Actuals!E111)),"",Budget!E111-Actuals!E111)</f>
        <v/>
      </c>
      <c r="M95" s="509">
        <f>IFERROR(IF(OR(3&gt;$B$3,ISBLANK(Actuals!E111)),"",(Budget!E111-Actuals!E111)/ABS(Budget!E111)),"")</f>
        <v/>
      </c>
      <c r="N95" s="508">
        <f>Budget!F111</f>
        <v/>
      </c>
      <c r="O95" s="508">
        <f>IF(OR(4&gt;$B$3,ISBLANK(Actuals!F111)),"",Actuals!F111)</f>
        <v/>
      </c>
      <c r="P95" s="509">
        <f>IF(OR(4&gt;$B$3,ISBLANK(Actuals!F111)),"",Budget!F111-Actuals!F111)</f>
        <v/>
      </c>
      <c r="Q95" s="509">
        <f>IFERROR(IF(OR(4&gt;$B$3,ISBLANK(Actuals!F111)),"",(Budget!F111-Actuals!F111)/ABS(Budget!F111)),"")</f>
        <v/>
      </c>
      <c r="R95" s="508">
        <f>Budget!G111</f>
        <v/>
      </c>
      <c r="S95" s="508">
        <f>IF(OR(5&gt;$B$3,ISBLANK(Actuals!G111)),"",Actuals!G111)</f>
        <v/>
      </c>
      <c r="T95" s="509">
        <f>IF(OR(5&gt;$B$3,ISBLANK(Actuals!G111)),"",Budget!G111-Actuals!G111)</f>
        <v/>
      </c>
      <c r="U95" s="509">
        <f>IFERROR(IF(OR(5&gt;$B$3,ISBLANK(Actuals!G111)),"",(Budget!G111-Actuals!G111)/ABS(Budget!G111)),"")</f>
        <v/>
      </c>
      <c r="V95" s="508">
        <f>Budget!H111</f>
        <v/>
      </c>
      <c r="W95" s="508">
        <f>IF(OR(6&gt;$B$3,ISBLANK(Actuals!H111)),"",Actuals!H111)</f>
        <v/>
      </c>
      <c r="X95" s="509">
        <f>IF(OR(6&gt;$B$3,ISBLANK(Actuals!H111)),"",Budget!H111-Actuals!H111)</f>
        <v/>
      </c>
      <c r="Y95" s="509">
        <f>IFERROR(IF(OR(6&gt;$B$3,ISBLANK(Actuals!H111)),"",(Budget!H111-Actuals!H111)/ABS(Budget!H111)),"")</f>
        <v/>
      </c>
      <c r="Z95" s="508">
        <f>Budget!I111</f>
        <v/>
      </c>
      <c r="AA95" s="508">
        <f>IF(OR(7&gt;$B$3,ISBLANK(Actuals!I111)),"",Actuals!I111)</f>
        <v/>
      </c>
      <c r="AB95" s="509">
        <f>IF(OR(7&gt;$B$3,ISBLANK(Actuals!I111)),"",Budget!I111-Actuals!I111)</f>
        <v/>
      </c>
      <c r="AC95" s="509">
        <f>IFERROR(IF(OR(7&gt;$B$3,ISBLANK(Actuals!I111)),"",(Budget!I111-Actuals!I111)/ABS(Budget!I111)),"")</f>
        <v/>
      </c>
      <c r="AD95" s="508">
        <f>Budget!J111</f>
        <v/>
      </c>
      <c r="AE95" s="508">
        <f>IF(OR(8&gt;$B$3,ISBLANK(Actuals!J111)),"",Actuals!J111)</f>
        <v/>
      </c>
      <c r="AF95" s="509">
        <f>IF(OR(8&gt;$B$3,ISBLANK(Actuals!J111)),"",Budget!J111-Actuals!J111)</f>
        <v/>
      </c>
      <c r="AG95" s="509">
        <f>IFERROR(IF(OR(8&gt;$B$3,ISBLANK(Actuals!J111)),"",(Budget!J111-Actuals!J111)/ABS(Budget!J111)),"")</f>
        <v/>
      </c>
      <c r="AH95" s="508">
        <f>Budget!K111</f>
        <v/>
      </c>
      <c r="AI95" s="508">
        <f>IF(OR(9&gt;$B$3,ISBLANK(Actuals!K111)),"",Actuals!K111)</f>
        <v/>
      </c>
      <c r="AJ95" s="509">
        <f>IF(OR(9&gt;$B$3,ISBLANK(Actuals!K111)),"",Budget!K111-Actuals!K111)</f>
        <v/>
      </c>
      <c r="AK95" s="509">
        <f>IFERROR(IF(OR(9&gt;$B$3,ISBLANK(Actuals!K111)),"",(Budget!K111-Actuals!K111)/ABS(Budget!K111)),"")</f>
        <v/>
      </c>
      <c r="AL95" s="508">
        <f>Budget!L111</f>
        <v/>
      </c>
      <c r="AM95" s="508">
        <f>IF(OR(10&gt;$B$3,ISBLANK(Actuals!L111)),"",Actuals!L111)</f>
        <v/>
      </c>
      <c r="AN95" s="509">
        <f>IF(OR(10&gt;$B$3,ISBLANK(Actuals!L111)),"",Budget!L111-Actuals!L111)</f>
        <v/>
      </c>
      <c r="AO95" s="509">
        <f>IFERROR(IF(OR(10&gt;$B$3,ISBLANK(Actuals!L111)),"",(Budget!L111-Actuals!L111)/ABS(Budget!L111)),"")</f>
        <v/>
      </c>
      <c r="AP95" s="508">
        <f>Budget!M111</f>
        <v/>
      </c>
      <c r="AQ95" s="508">
        <f>IF(OR(11&gt;$B$3,ISBLANK(Actuals!M111)),"",Actuals!M111)</f>
        <v/>
      </c>
      <c r="AR95" s="509">
        <f>IF(OR(11&gt;$B$3,ISBLANK(Actuals!M111)),"",Budget!M111-Actuals!M111)</f>
        <v/>
      </c>
      <c r="AS95" s="509">
        <f>IFERROR(IF(OR(11&gt;$B$3,ISBLANK(Actuals!M111)),"",(Budget!M111-Actuals!M111)/ABS(Budget!M111)),"")</f>
        <v/>
      </c>
      <c r="AT95" s="508">
        <f>Budget!N111</f>
        <v/>
      </c>
      <c r="AU95" s="508">
        <f>IF(OR(12&gt;$B$3,ISBLANK(Actuals!N111)),"",Actuals!N111)</f>
        <v/>
      </c>
      <c r="AV95" s="509">
        <f>IF(OR(12&gt;$B$3,ISBLANK(Actuals!N111)),"",Budget!N111-Actuals!N111)</f>
        <v/>
      </c>
      <c r="AW95" s="509">
        <f>IFERROR(IF(OR(12&gt;$B$3,ISBLANK(Actuals!N111)),"",(Budget!N111-Actuals!N111)/ABS(Budget!N111)),"")</f>
        <v/>
      </c>
      <c r="AX95" s="510">
        <f>SUMPRODUCT((Actuals!C111:N111&lt;&gt;"")*(Budget!C111:N111))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P96" activeCellId="0" sqref="P96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Reforecast Q1 2026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Height="1" s="41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Reforecast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Reforecast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Reforecast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Reforecast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Reforecast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Reforecast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Reforecast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Reforecast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Reforecast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Reforecast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Reforecast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Reforecast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'Reforecast Q1 2026'!C8</f>
        <v/>
      </c>
      <c r="C6" s="508">
        <f>IF(OR(1&gt;$B$3,ISBLANK(Actuals!C8)),"",Actuals!C8)</f>
        <v/>
      </c>
      <c r="D6" s="509">
        <f>IF(OR(1&gt;$B$3,ISBLANK(Actuals!C8)),"",'Reforecast Q1 2026'!C8-Actuals!C8)</f>
        <v/>
      </c>
      <c r="E6" s="509">
        <f>IFERROR(IF(OR(1&gt;$B$3,ISBLANK(Actuals!C8)),"",('Reforecast Q1 2026'!C8-Actuals!C8)/ABS('Reforecast Q1 2026'!C8)),"")</f>
        <v/>
      </c>
      <c r="F6" s="508">
        <f>'Reforecast Q1 2026'!D8</f>
        <v/>
      </c>
      <c r="G6" s="508">
        <f>IF(OR(2&gt;$B$3,ISBLANK(Actuals!D8)),"",Actuals!D8)</f>
        <v/>
      </c>
      <c r="H6" s="509">
        <f>IF(OR(2&gt;$B$3,ISBLANK(Actuals!D8)),"",'Reforecast Q1 2026'!D8-Actuals!D8)</f>
        <v/>
      </c>
      <c r="I6" s="509">
        <f>IFERROR(IF(OR(2&gt;$B$3,ISBLANK(Actuals!D8)),"",('Reforecast Q1 2026'!D8-Actuals!D8)/ABS('Reforecast Q1 2026'!D8)),"")</f>
        <v/>
      </c>
      <c r="J6" s="508">
        <f>'Reforecast Q1 2026'!E8</f>
        <v/>
      </c>
      <c r="K6" s="508">
        <f>IF(OR(3&gt;$B$3,ISBLANK(Actuals!E8)),"",Actuals!E8)</f>
        <v/>
      </c>
      <c r="L6" s="509">
        <f>IF(OR(3&gt;$B$3,ISBLANK(Actuals!E8)),"",'Reforecast Q1 2026'!E8-Actuals!E8)</f>
        <v/>
      </c>
      <c r="M6" s="509">
        <f>IFERROR(IF(OR(3&gt;$B$3,ISBLANK(Actuals!E8)),"",('Reforecast Q1 2026'!E8-Actuals!E8)/ABS('Reforecast Q1 2026'!E8)),"")</f>
        <v/>
      </c>
      <c r="N6" s="508">
        <f>'Reforecast Q1 2026'!F8</f>
        <v/>
      </c>
      <c r="O6" s="508">
        <f>IF(OR(4&gt;$B$3,ISBLANK(Actuals!F8)),"",Actuals!F8)</f>
        <v/>
      </c>
      <c r="P6" s="509">
        <f>IF(OR(4&gt;$B$3,ISBLANK(Actuals!F8)),"",'Reforecast Q1 2026'!F8-Actuals!F8)</f>
        <v/>
      </c>
      <c r="Q6" s="509">
        <f>IFERROR(IF(OR(4&gt;$B$3,ISBLANK(Actuals!F8)),"",('Reforecast Q1 2026'!F8-Actuals!F8)/ABS('Reforecast Q1 2026'!F8)),"")</f>
        <v/>
      </c>
      <c r="R6" s="508">
        <f>'Reforecast Q1 2026'!G8</f>
        <v/>
      </c>
      <c r="S6" s="508">
        <f>IF(OR(5&gt;$B$3,ISBLANK(Actuals!G8)),"",Actuals!G8)</f>
        <v/>
      </c>
      <c r="T6" s="509">
        <f>IF(OR(5&gt;$B$3,ISBLANK(Actuals!G8)),"",'Reforecast Q1 2026'!G8-Actuals!G8)</f>
        <v/>
      </c>
      <c r="U6" s="509">
        <f>IFERROR(IF(OR(5&gt;$B$3,ISBLANK(Actuals!G8)),"",('Reforecast Q1 2026'!G8-Actuals!G8)/ABS('Reforecast Q1 2026'!G8)),"")</f>
        <v/>
      </c>
      <c r="V6" s="508">
        <f>'Reforecast Q1 2026'!H8</f>
        <v/>
      </c>
      <c r="W6" s="508">
        <f>IF(OR(6&gt;$B$3,ISBLANK(Actuals!H8)),"",Actuals!H8)</f>
        <v/>
      </c>
      <c r="X6" s="509">
        <f>IF(OR(6&gt;$B$3,ISBLANK(Actuals!H8)),"",'Reforecast Q1 2026'!H8-Actuals!H8)</f>
        <v/>
      </c>
      <c r="Y6" s="509">
        <f>IFERROR(IF(OR(6&gt;$B$3,ISBLANK(Actuals!H8)),"",('Reforecast Q1 2026'!H8-Actuals!H8)/ABS('Reforecast Q1 2026'!H8)),"")</f>
        <v/>
      </c>
      <c r="Z6" s="508">
        <f>'Reforecast Q1 2026'!I8</f>
        <v/>
      </c>
      <c r="AA6" s="508">
        <f>IF(OR(7&gt;$B$3,ISBLANK(Actuals!I8)),"",Actuals!I8)</f>
        <v/>
      </c>
      <c r="AB6" s="509">
        <f>IF(OR(7&gt;$B$3,ISBLANK(Actuals!I8)),"",'Reforecast Q1 2026'!I8-Actuals!I8)</f>
        <v/>
      </c>
      <c r="AC6" s="509">
        <f>IFERROR(IF(OR(7&gt;$B$3,ISBLANK(Actuals!I8)),"",('Reforecast Q1 2026'!I8-Actuals!I8)/ABS('Reforecast Q1 2026'!I8)),"")</f>
        <v/>
      </c>
      <c r="AD6" s="508">
        <f>'Reforecast Q1 2026'!J8</f>
        <v/>
      </c>
      <c r="AE6" s="508">
        <f>IF(OR(8&gt;$B$3,ISBLANK(Actuals!J8)),"",Actuals!J8)</f>
        <v/>
      </c>
      <c r="AF6" s="509">
        <f>IF(OR(8&gt;$B$3,ISBLANK(Actuals!J8)),"",'Reforecast Q1 2026'!J8-Actuals!J8)</f>
        <v/>
      </c>
      <c r="AG6" s="509">
        <f>IFERROR(IF(OR(8&gt;$B$3,ISBLANK(Actuals!J8)),"",('Reforecast Q1 2026'!J8-Actuals!J8)/ABS('Reforecast Q1 2026'!J8)),"")</f>
        <v/>
      </c>
      <c r="AH6" s="508">
        <f>'Reforecast Q1 2026'!K8</f>
        <v/>
      </c>
      <c r="AI6" s="508">
        <f>IF(OR(9&gt;$B$3,ISBLANK(Actuals!K8)),"",Actuals!K8)</f>
        <v/>
      </c>
      <c r="AJ6" s="509">
        <f>IF(OR(9&gt;$B$3,ISBLANK(Actuals!K8)),"",'Reforecast Q1 2026'!K8-Actuals!K8)</f>
        <v/>
      </c>
      <c r="AK6" s="509">
        <f>IFERROR(IF(OR(9&gt;$B$3,ISBLANK(Actuals!K8)),"",('Reforecast Q1 2026'!K8-Actuals!K8)/ABS('Reforecast Q1 2026'!K8)),"")</f>
        <v/>
      </c>
      <c r="AL6" s="508">
        <f>'Reforecast Q1 2026'!L8</f>
        <v/>
      </c>
      <c r="AM6" s="508">
        <f>IF(OR(10&gt;$B$3,ISBLANK(Actuals!L8)),"",Actuals!L8)</f>
        <v/>
      </c>
      <c r="AN6" s="509">
        <f>IF(OR(10&gt;$B$3,ISBLANK(Actuals!L8)),"",'Reforecast Q1 2026'!L8-Actuals!L8)</f>
        <v/>
      </c>
      <c r="AO6" s="509">
        <f>IFERROR(IF(OR(10&gt;$B$3,ISBLANK(Actuals!L8)),"",('Reforecast Q1 2026'!L8-Actuals!L8)/ABS('Reforecast Q1 2026'!L8)),"")</f>
        <v/>
      </c>
      <c r="AP6" s="508">
        <f>'Reforecast Q1 2026'!M8</f>
        <v/>
      </c>
      <c r="AQ6" s="508">
        <f>IF(OR(11&gt;$B$3,ISBLANK(Actuals!M8)),"",Actuals!M8)</f>
        <v/>
      </c>
      <c r="AR6" s="509">
        <f>IF(OR(11&gt;$B$3,ISBLANK(Actuals!M8)),"",'Reforecast Q1 2026'!M8-Actuals!M8)</f>
        <v/>
      </c>
      <c r="AS6" s="509">
        <f>IFERROR(IF(OR(11&gt;$B$3,ISBLANK(Actuals!M8)),"",('Reforecast Q1 2026'!M8-Actuals!M8)/ABS('Reforecast Q1 2026'!M8)),"")</f>
        <v/>
      </c>
      <c r="AT6" s="508">
        <f>'Reforecast Q1 2026'!N8</f>
        <v/>
      </c>
      <c r="AU6" s="508">
        <f>IF(OR(12&gt;$B$3,ISBLANK(Actuals!N8)),"",Actuals!N8)</f>
        <v/>
      </c>
      <c r="AV6" s="509">
        <f>IF(OR(12&gt;$B$3,ISBLANK(Actuals!N8)),"",'Reforecast Q1 2026'!N8-Actuals!N8)</f>
        <v/>
      </c>
      <c r="AW6" s="509">
        <f>IFERROR(IF(OR(12&gt;$B$3,ISBLANK(Actuals!N8)),"",('Reforecast Q1 2026'!N8-Actuals!N8)/ABS('Reforecast Q1 2026'!N8)),"")</f>
        <v/>
      </c>
      <c r="AX6" s="510">
        <f>SUMPRODUCT((Actuals!C8:N8&lt;&gt;"")*('Reforecast Q1 2026'!C8:N8))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'Reforecast Q1 2026'!C9</f>
        <v/>
      </c>
      <c r="C7" s="508">
        <f>IF(OR(1&gt;$B$3,ISBLANK(Actuals!C9)),"",Actuals!C9)</f>
        <v/>
      </c>
      <c r="D7" s="509">
        <f>IF(OR(1&gt;$B$3,ISBLANK(Actuals!C9)),"",'Reforecast Q1 2026'!C9-Actuals!C9)</f>
        <v/>
      </c>
      <c r="E7" s="509">
        <f>IFERROR(IF(OR(1&gt;$B$3,ISBLANK(Actuals!C9)),"",('Reforecast Q1 2026'!C9-Actuals!C9)/ABS('Reforecast Q1 2026'!C9)),"")</f>
        <v/>
      </c>
      <c r="F7" s="508">
        <f>'Reforecast Q1 2026'!D9</f>
        <v/>
      </c>
      <c r="G7" s="508">
        <f>IF(OR(2&gt;$B$3,ISBLANK(Actuals!D9)),"",Actuals!D9)</f>
        <v/>
      </c>
      <c r="H7" s="509">
        <f>IF(OR(2&gt;$B$3,ISBLANK(Actuals!D9)),"",'Reforecast Q1 2026'!D9-Actuals!D9)</f>
        <v/>
      </c>
      <c r="I7" s="509">
        <f>IFERROR(IF(OR(2&gt;$B$3,ISBLANK(Actuals!D9)),"",('Reforecast Q1 2026'!D9-Actuals!D9)/ABS('Reforecast Q1 2026'!D9)),"")</f>
        <v/>
      </c>
      <c r="J7" s="508">
        <f>'Reforecast Q1 2026'!E9</f>
        <v/>
      </c>
      <c r="K7" s="508">
        <f>IF(OR(3&gt;$B$3,ISBLANK(Actuals!E9)),"",Actuals!E9)</f>
        <v/>
      </c>
      <c r="L7" s="509">
        <f>IF(OR(3&gt;$B$3,ISBLANK(Actuals!E9)),"",'Reforecast Q1 2026'!E9-Actuals!E9)</f>
        <v/>
      </c>
      <c r="M7" s="509">
        <f>IFERROR(IF(OR(3&gt;$B$3,ISBLANK(Actuals!E9)),"",('Reforecast Q1 2026'!E9-Actuals!E9)/ABS('Reforecast Q1 2026'!E9)),"")</f>
        <v/>
      </c>
      <c r="N7" s="508">
        <f>'Reforecast Q1 2026'!F9</f>
        <v/>
      </c>
      <c r="O7" s="508">
        <f>IF(OR(4&gt;$B$3,ISBLANK(Actuals!F9)),"",Actuals!F9)</f>
        <v/>
      </c>
      <c r="P7" s="509">
        <f>IF(OR(4&gt;$B$3,ISBLANK(Actuals!F9)),"",'Reforecast Q1 2026'!F9-Actuals!F9)</f>
        <v/>
      </c>
      <c r="Q7" s="509">
        <f>IFERROR(IF(OR(4&gt;$B$3,ISBLANK(Actuals!F9)),"",('Reforecast Q1 2026'!F9-Actuals!F9)/ABS('Reforecast Q1 2026'!F9)),"")</f>
        <v/>
      </c>
      <c r="R7" s="508">
        <f>'Reforecast Q1 2026'!G9</f>
        <v/>
      </c>
      <c r="S7" s="508">
        <f>IF(OR(5&gt;$B$3,ISBLANK(Actuals!G9)),"",Actuals!G9)</f>
        <v/>
      </c>
      <c r="T7" s="509">
        <f>IF(OR(5&gt;$B$3,ISBLANK(Actuals!G9)),"",'Reforecast Q1 2026'!G9-Actuals!G9)</f>
        <v/>
      </c>
      <c r="U7" s="509">
        <f>IFERROR(IF(OR(5&gt;$B$3,ISBLANK(Actuals!G9)),"",('Reforecast Q1 2026'!G9-Actuals!G9)/ABS('Reforecast Q1 2026'!G9)),"")</f>
        <v/>
      </c>
      <c r="V7" s="508">
        <f>'Reforecast Q1 2026'!H9</f>
        <v/>
      </c>
      <c r="W7" s="508">
        <f>IF(OR(6&gt;$B$3,ISBLANK(Actuals!H9)),"",Actuals!H9)</f>
        <v/>
      </c>
      <c r="X7" s="509">
        <f>IF(OR(6&gt;$B$3,ISBLANK(Actuals!H9)),"",'Reforecast Q1 2026'!H9-Actuals!H9)</f>
        <v/>
      </c>
      <c r="Y7" s="509">
        <f>IFERROR(IF(OR(6&gt;$B$3,ISBLANK(Actuals!H9)),"",('Reforecast Q1 2026'!H9-Actuals!H9)/ABS('Reforecast Q1 2026'!H9)),"")</f>
        <v/>
      </c>
      <c r="Z7" s="508">
        <f>'Reforecast Q1 2026'!I9</f>
        <v/>
      </c>
      <c r="AA7" s="508">
        <f>IF(OR(7&gt;$B$3,ISBLANK(Actuals!I9)),"",Actuals!I9)</f>
        <v/>
      </c>
      <c r="AB7" s="509">
        <f>IF(OR(7&gt;$B$3,ISBLANK(Actuals!I9)),"",'Reforecast Q1 2026'!I9-Actuals!I9)</f>
        <v/>
      </c>
      <c r="AC7" s="509">
        <f>IFERROR(IF(OR(7&gt;$B$3,ISBLANK(Actuals!I9)),"",('Reforecast Q1 2026'!I9-Actuals!I9)/ABS('Reforecast Q1 2026'!I9)),"")</f>
        <v/>
      </c>
      <c r="AD7" s="508">
        <f>'Reforecast Q1 2026'!J9</f>
        <v/>
      </c>
      <c r="AE7" s="508">
        <f>IF(OR(8&gt;$B$3,ISBLANK(Actuals!J9)),"",Actuals!J9)</f>
        <v/>
      </c>
      <c r="AF7" s="509">
        <f>IF(OR(8&gt;$B$3,ISBLANK(Actuals!J9)),"",'Reforecast Q1 2026'!J9-Actuals!J9)</f>
        <v/>
      </c>
      <c r="AG7" s="509">
        <f>IFERROR(IF(OR(8&gt;$B$3,ISBLANK(Actuals!J9)),"",('Reforecast Q1 2026'!J9-Actuals!J9)/ABS('Reforecast Q1 2026'!J9)),"")</f>
        <v/>
      </c>
      <c r="AH7" s="508">
        <f>'Reforecast Q1 2026'!K9</f>
        <v/>
      </c>
      <c r="AI7" s="508">
        <f>IF(OR(9&gt;$B$3,ISBLANK(Actuals!K9)),"",Actuals!K9)</f>
        <v/>
      </c>
      <c r="AJ7" s="509">
        <f>IF(OR(9&gt;$B$3,ISBLANK(Actuals!K9)),"",'Reforecast Q1 2026'!K9-Actuals!K9)</f>
        <v/>
      </c>
      <c r="AK7" s="509">
        <f>IFERROR(IF(OR(9&gt;$B$3,ISBLANK(Actuals!K9)),"",('Reforecast Q1 2026'!K9-Actuals!K9)/ABS('Reforecast Q1 2026'!K9)),"")</f>
        <v/>
      </c>
      <c r="AL7" s="508">
        <f>'Reforecast Q1 2026'!L9</f>
        <v/>
      </c>
      <c r="AM7" s="508">
        <f>IF(OR(10&gt;$B$3,ISBLANK(Actuals!L9)),"",Actuals!L9)</f>
        <v/>
      </c>
      <c r="AN7" s="509">
        <f>IF(OR(10&gt;$B$3,ISBLANK(Actuals!L9)),"",'Reforecast Q1 2026'!L9-Actuals!L9)</f>
        <v/>
      </c>
      <c r="AO7" s="509">
        <f>IFERROR(IF(OR(10&gt;$B$3,ISBLANK(Actuals!L9)),"",('Reforecast Q1 2026'!L9-Actuals!L9)/ABS('Reforecast Q1 2026'!L9)),"")</f>
        <v/>
      </c>
      <c r="AP7" s="508">
        <f>'Reforecast Q1 2026'!M9</f>
        <v/>
      </c>
      <c r="AQ7" s="508">
        <f>IF(OR(11&gt;$B$3,ISBLANK(Actuals!M9)),"",Actuals!M9)</f>
        <v/>
      </c>
      <c r="AR7" s="509">
        <f>IF(OR(11&gt;$B$3,ISBLANK(Actuals!M9)),"",'Reforecast Q1 2026'!M9-Actuals!M9)</f>
        <v/>
      </c>
      <c r="AS7" s="509">
        <f>IFERROR(IF(OR(11&gt;$B$3,ISBLANK(Actuals!M9)),"",('Reforecast Q1 2026'!M9-Actuals!M9)/ABS('Reforecast Q1 2026'!M9)),"")</f>
        <v/>
      </c>
      <c r="AT7" s="508">
        <f>'Reforecast Q1 2026'!N9</f>
        <v/>
      </c>
      <c r="AU7" s="508">
        <f>IF(OR(12&gt;$B$3,ISBLANK(Actuals!N9)),"",Actuals!N9)</f>
        <v/>
      </c>
      <c r="AV7" s="509">
        <f>IF(OR(12&gt;$B$3,ISBLANK(Actuals!N9)),"",'Reforecast Q1 2026'!N9-Actuals!N9)</f>
        <v/>
      </c>
      <c r="AW7" s="509">
        <f>IFERROR(IF(OR(12&gt;$B$3,ISBLANK(Actuals!N9)),"",('Reforecast Q1 2026'!N9-Actuals!N9)/ABS('Reforecast Q1 2026'!N9)),"")</f>
        <v/>
      </c>
      <c r="AX7" s="510">
        <f>SUMPRODUCT((Actuals!C9:N9&lt;&gt;"")*('Reforecast Q1 2026'!C9:N9))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'Reforecast Q1 2026'!C10</f>
        <v/>
      </c>
      <c r="C8" s="508">
        <f>IF(OR(1&gt;$B$3,ISBLANK(Actuals!C10)),"",Actuals!C10)</f>
        <v/>
      </c>
      <c r="D8" s="509">
        <f>IF(OR(1&gt;$B$3,ISBLANK(Actuals!C10)),"",'Reforecast Q1 2026'!C10-Actuals!C10)</f>
        <v/>
      </c>
      <c r="E8" s="509">
        <f>IFERROR(IF(OR(1&gt;$B$3,ISBLANK(Actuals!C10)),"",('Reforecast Q1 2026'!C10-Actuals!C10)/ABS('Reforecast Q1 2026'!C10)),"")</f>
        <v/>
      </c>
      <c r="F8" s="508">
        <f>'Reforecast Q1 2026'!D10</f>
        <v/>
      </c>
      <c r="G8" s="508">
        <f>IF(OR(2&gt;$B$3,ISBLANK(Actuals!D10)),"",Actuals!D10)</f>
        <v/>
      </c>
      <c r="H8" s="509">
        <f>IF(OR(2&gt;$B$3,ISBLANK(Actuals!D10)),"",'Reforecast Q1 2026'!D10-Actuals!D10)</f>
        <v/>
      </c>
      <c r="I8" s="509">
        <f>IFERROR(IF(OR(2&gt;$B$3,ISBLANK(Actuals!D10)),"",('Reforecast Q1 2026'!D10-Actuals!D10)/ABS('Reforecast Q1 2026'!D10)),"")</f>
        <v/>
      </c>
      <c r="J8" s="508">
        <f>'Reforecast Q1 2026'!E10</f>
        <v/>
      </c>
      <c r="K8" s="508">
        <f>IF(OR(3&gt;$B$3,ISBLANK(Actuals!E10)),"",Actuals!E10)</f>
        <v/>
      </c>
      <c r="L8" s="509">
        <f>IF(OR(3&gt;$B$3,ISBLANK(Actuals!E10)),"",'Reforecast Q1 2026'!E10-Actuals!E10)</f>
        <v/>
      </c>
      <c r="M8" s="509">
        <f>IFERROR(IF(OR(3&gt;$B$3,ISBLANK(Actuals!E10)),"",('Reforecast Q1 2026'!E10-Actuals!E10)/ABS('Reforecast Q1 2026'!E10)),"")</f>
        <v/>
      </c>
      <c r="N8" s="508">
        <f>'Reforecast Q1 2026'!F10</f>
        <v/>
      </c>
      <c r="O8" s="508">
        <f>IF(OR(4&gt;$B$3,ISBLANK(Actuals!F10)),"",Actuals!F10)</f>
        <v/>
      </c>
      <c r="P8" s="509">
        <f>IF(OR(4&gt;$B$3,ISBLANK(Actuals!F10)),"",'Reforecast Q1 2026'!F10-Actuals!F10)</f>
        <v/>
      </c>
      <c r="Q8" s="509">
        <f>IFERROR(IF(OR(4&gt;$B$3,ISBLANK(Actuals!F10)),"",('Reforecast Q1 2026'!F10-Actuals!F10)/ABS('Reforecast Q1 2026'!F10)),"")</f>
        <v/>
      </c>
      <c r="R8" s="508">
        <f>'Reforecast Q1 2026'!G10</f>
        <v/>
      </c>
      <c r="S8" s="508">
        <f>IF(OR(5&gt;$B$3,ISBLANK(Actuals!G10)),"",Actuals!G10)</f>
        <v/>
      </c>
      <c r="T8" s="509">
        <f>IF(OR(5&gt;$B$3,ISBLANK(Actuals!G10)),"",'Reforecast Q1 2026'!G10-Actuals!G10)</f>
        <v/>
      </c>
      <c r="U8" s="509">
        <f>IFERROR(IF(OR(5&gt;$B$3,ISBLANK(Actuals!G10)),"",('Reforecast Q1 2026'!G10-Actuals!G10)/ABS('Reforecast Q1 2026'!G10)),"")</f>
        <v/>
      </c>
      <c r="V8" s="508">
        <f>'Reforecast Q1 2026'!H10</f>
        <v/>
      </c>
      <c r="W8" s="508">
        <f>IF(OR(6&gt;$B$3,ISBLANK(Actuals!H10)),"",Actuals!H10)</f>
        <v/>
      </c>
      <c r="X8" s="509">
        <f>IF(OR(6&gt;$B$3,ISBLANK(Actuals!H10)),"",'Reforecast Q1 2026'!H10-Actuals!H10)</f>
        <v/>
      </c>
      <c r="Y8" s="509">
        <f>IFERROR(IF(OR(6&gt;$B$3,ISBLANK(Actuals!H10)),"",('Reforecast Q1 2026'!H10-Actuals!H10)/ABS('Reforecast Q1 2026'!H10)),"")</f>
        <v/>
      </c>
      <c r="Z8" s="508">
        <f>'Reforecast Q1 2026'!I10</f>
        <v/>
      </c>
      <c r="AA8" s="508">
        <f>IF(OR(7&gt;$B$3,ISBLANK(Actuals!I10)),"",Actuals!I10)</f>
        <v/>
      </c>
      <c r="AB8" s="509">
        <f>IF(OR(7&gt;$B$3,ISBLANK(Actuals!I10)),"",'Reforecast Q1 2026'!I10-Actuals!I10)</f>
        <v/>
      </c>
      <c r="AC8" s="509">
        <f>IFERROR(IF(OR(7&gt;$B$3,ISBLANK(Actuals!I10)),"",('Reforecast Q1 2026'!I10-Actuals!I10)/ABS('Reforecast Q1 2026'!I10)),"")</f>
        <v/>
      </c>
      <c r="AD8" s="508">
        <f>'Reforecast Q1 2026'!J10</f>
        <v/>
      </c>
      <c r="AE8" s="508">
        <f>IF(OR(8&gt;$B$3,ISBLANK(Actuals!J10)),"",Actuals!J10)</f>
        <v/>
      </c>
      <c r="AF8" s="509">
        <f>IF(OR(8&gt;$B$3,ISBLANK(Actuals!J10)),"",'Reforecast Q1 2026'!J10-Actuals!J10)</f>
        <v/>
      </c>
      <c r="AG8" s="509">
        <f>IFERROR(IF(OR(8&gt;$B$3,ISBLANK(Actuals!J10)),"",('Reforecast Q1 2026'!J10-Actuals!J10)/ABS('Reforecast Q1 2026'!J10)),"")</f>
        <v/>
      </c>
      <c r="AH8" s="508">
        <f>'Reforecast Q1 2026'!K10</f>
        <v/>
      </c>
      <c r="AI8" s="508">
        <f>IF(OR(9&gt;$B$3,ISBLANK(Actuals!K10)),"",Actuals!K10)</f>
        <v/>
      </c>
      <c r="AJ8" s="509">
        <f>IF(OR(9&gt;$B$3,ISBLANK(Actuals!K10)),"",'Reforecast Q1 2026'!K10-Actuals!K10)</f>
        <v/>
      </c>
      <c r="AK8" s="509">
        <f>IFERROR(IF(OR(9&gt;$B$3,ISBLANK(Actuals!K10)),"",('Reforecast Q1 2026'!K10-Actuals!K10)/ABS('Reforecast Q1 2026'!K10)),"")</f>
        <v/>
      </c>
      <c r="AL8" s="508">
        <f>'Reforecast Q1 2026'!L10</f>
        <v/>
      </c>
      <c r="AM8" s="508">
        <f>IF(OR(10&gt;$B$3,ISBLANK(Actuals!L10)),"",Actuals!L10)</f>
        <v/>
      </c>
      <c r="AN8" s="509">
        <f>IF(OR(10&gt;$B$3,ISBLANK(Actuals!L10)),"",'Reforecast Q1 2026'!L10-Actuals!L10)</f>
        <v/>
      </c>
      <c r="AO8" s="509">
        <f>IFERROR(IF(OR(10&gt;$B$3,ISBLANK(Actuals!L10)),"",('Reforecast Q1 2026'!L10-Actuals!L10)/ABS('Reforecast Q1 2026'!L10)),"")</f>
        <v/>
      </c>
      <c r="AP8" s="508">
        <f>'Reforecast Q1 2026'!M10</f>
        <v/>
      </c>
      <c r="AQ8" s="508">
        <f>IF(OR(11&gt;$B$3,ISBLANK(Actuals!M10)),"",Actuals!M10)</f>
        <v/>
      </c>
      <c r="AR8" s="509">
        <f>IF(OR(11&gt;$B$3,ISBLANK(Actuals!M10)),"",'Reforecast Q1 2026'!M10-Actuals!M10)</f>
        <v/>
      </c>
      <c r="AS8" s="509">
        <f>IFERROR(IF(OR(11&gt;$B$3,ISBLANK(Actuals!M10)),"",('Reforecast Q1 2026'!M10-Actuals!M10)/ABS('Reforecast Q1 2026'!M10)),"")</f>
        <v/>
      </c>
      <c r="AT8" s="508">
        <f>'Reforecast Q1 2026'!N10</f>
        <v/>
      </c>
      <c r="AU8" s="508">
        <f>IF(OR(12&gt;$B$3,ISBLANK(Actuals!N10)),"",Actuals!N10)</f>
        <v/>
      </c>
      <c r="AV8" s="509">
        <f>IF(OR(12&gt;$B$3,ISBLANK(Actuals!N10)),"",'Reforecast Q1 2026'!N10-Actuals!N10)</f>
        <v/>
      </c>
      <c r="AW8" s="509">
        <f>IFERROR(IF(OR(12&gt;$B$3,ISBLANK(Actuals!N10)),"",('Reforecast Q1 2026'!N10-Actuals!N10)/ABS('Reforecast Q1 2026'!N10)),"")</f>
        <v/>
      </c>
      <c r="AX8" s="510">
        <f>SUMPRODUCT((Actuals!C10:N10&lt;&gt;"")*('Reforecast Q1 2026'!C10:N10))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'Reforecast Q1 2026'!C11</f>
        <v/>
      </c>
      <c r="C9" s="508">
        <f>IF(OR(1&gt;$B$3,ISBLANK(Actuals!C11)),"",Actuals!C11)</f>
        <v/>
      </c>
      <c r="D9" s="509">
        <f>IF(OR(1&gt;$B$3,ISBLANK(Actuals!C11)),"",'Reforecast Q1 2026'!C11-Actuals!C11)</f>
        <v/>
      </c>
      <c r="E9" s="509">
        <f>IFERROR(IF(OR(1&gt;$B$3,ISBLANK(Actuals!C11)),"",('Reforecast Q1 2026'!C11-Actuals!C11)/ABS('Reforecast Q1 2026'!C11)),"")</f>
        <v/>
      </c>
      <c r="F9" s="508">
        <f>'Reforecast Q1 2026'!D11</f>
        <v/>
      </c>
      <c r="G9" s="508">
        <f>IF(OR(2&gt;$B$3,ISBLANK(Actuals!D11)),"",Actuals!D11)</f>
        <v/>
      </c>
      <c r="H9" s="509">
        <f>IF(OR(2&gt;$B$3,ISBLANK(Actuals!D11)),"",'Reforecast Q1 2026'!D11-Actuals!D11)</f>
        <v/>
      </c>
      <c r="I9" s="509">
        <f>IFERROR(IF(OR(2&gt;$B$3,ISBLANK(Actuals!D11)),"",('Reforecast Q1 2026'!D11-Actuals!D11)/ABS('Reforecast Q1 2026'!D11)),"")</f>
        <v/>
      </c>
      <c r="J9" s="508">
        <f>'Reforecast Q1 2026'!E11</f>
        <v/>
      </c>
      <c r="K9" s="508">
        <f>IF(OR(3&gt;$B$3,ISBLANK(Actuals!E11)),"",Actuals!E11)</f>
        <v/>
      </c>
      <c r="L9" s="509">
        <f>IF(OR(3&gt;$B$3,ISBLANK(Actuals!E11)),"",'Reforecast Q1 2026'!E11-Actuals!E11)</f>
        <v/>
      </c>
      <c r="M9" s="509">
        <f>IFERROR(IF(OR(3&gt;$B$3,ISBLANK(Actuals!E11)),"",('Reforecast Q1 2026'!E11-Actuals!E11)/ABS('Reforecast Q1 2026'!E11)),"")</f>
        <v/>
      </c>
      <c r="N9" s="508">
        <f>'Reforecast Q1 2026'!F11</f>
        <v/>
      </c>
      <c r="O9" s="508">
        <f>IF(OR(4&gt;$B$3,ISBLANK(Actuals!F11)),"",Actuals!F11)</f>
        <v/>
      </c>
      <c r="P9" s="509">
        <f>IF(OR(4&gt;$B$3,ISBLANK(Actuals!F11)),"",'Reforecast Q1 2026'!F11-Actuals!F11)</f>
        <v/>
      </c>
      <c r="Q9" s="509">
        <f>IFERROR(IF(OR(4&gt;$B$3,ISBLANK(Actuals!F11)),"",('Reforecast Q1 2026'!F11-Actuals!F11)/ABS('Reforecast Q1 2026'!F11)),"")</f>
        <v/>
      </c>
      <c r="R9" s="508">
        <f>'Reforecast Q1 2026'!G11</f>
        <v/>
      </c>
      <c r="S9" s="508">
        <f>IF(OR(5&gt;$B$3,ISBLANK(Actuals!G11)),"",Actuals!G11)</f>
        <v/>
      </c>
      <c r="T9" s="509">
        <f>IF(OR(5&gt;$B$3,ISBLANK(Actuals!G11)),"",'Reforecast Q1 2026'!G11-Actuals!G11)</f>
        <v/>
      </c>
      <c r="U9" s="509">
        <f>IFERROR(IF(OR(5&gt;$B$3,ISBLANK(Actuals!G11)),"",('Reforecast Q1 2026'!G11-Actuals!G11)/ABS('Reforecast Q1 2026'!G11)),"")</f>
        <v/>
      </c>
      <c r="V9" s="508">
        <f>'Reforecast Q1 2026'!H11</f>
        <v/>
      </c>
      <c r="W9" s="508">
        <f>IF(OR(6&gt;$B$3,ISBLANK(Actuals!H11)),"",Actuals!H11)</f>
        <v/>
      </c>
      <c r="X9" s="509">
        <f>IF(OR(6&gt;$B$3,ISBLANK(Actuals!H11)),"",'Reforecast Q1 2026'!H11-Actuals!H11)</f>
        <v/>
      </c>
      <c r="Y9" s="509">
        <f>IFERROR(IF(OR(6&gt;$B$3,ISBLANK(Actuals!H11)),"",('Reforecast Q1 2026'!H11-Actuals!H11)/ABS('Reforecast Q1 2026'!H11)),"")</f>
        <v/>
      </c>
      <c r="Z9" s="508">
        <f>'Reforecast Q1 2026'!I11</f>
        <v/>
      </c>
      <c r="AA9" s="508">
        <f>IF(OR(7&gt;$B$3,ISBLANK(Actuals!I11)),"",Actuals!I11)</f>
        <v/>
      </c>
      <c r="AB9" s="509">
        <f>IF(OR(7&gt;$B$3,ISBLANK(Actuals!I11)),"",'Reforecast Q1 2026'!I11-Actuals!I11)</f>
        <v/>
      </c>
      <c r="AC9" s="509">
        <f>IFERROR(IF(OR(7&gt;$B$3,ISBLANK(Actuals!I11)),"",('Reforecast Q1 2026'!I11-Actuals!I11)/ABS('Reforecast Q1 2026'!I11)),"")</f>
        <v/>
      </c>
      <c r="AD9" s="508">
        <f>'Reforecast Q1 2026'!J11</f>
        <v/>
      </c>
      <c r="AE9" s="508">
        <f>IF(OR(8&gt;$B$3,ISBLANK(Actuals!J11)),"",Actuals!J11)</f>
        <v/>
      </c>
      <c r="AF9" s="509">
        <f>IF(OR(8&gt;$B$3,ISBLANK(Actuals!J11)),"",'Reforecast Q1 2026'!J11-Actuals!J11)</f>
        <v/>
      </c>
      <c r="AG9" s="509">
        <f>IFERROR(IF(OR(8&gt;$B$3,ISBLANK(Actuals!J11)),"",('Reforecast Q1 2026'!J11-Actuals!J11)/ABS('Reforecast Q1 2026'!J11)),"")</f>
        <v/>
      </c>
      <c r="AH9" s="508">
        <f>'Reforecast Q1 2026'!K11</f>
        <v/>
      </c>
      <c r="AI9" s="508">
        <f>IF(OR(9&gt;$B$3,ISBLANK(Actuals!K11)),"",Actuals!K11)</f>
        <v/>
      </c>
      <c r="AJ9" s="509">
        <f>IF(OR(9&gt;$B$3,ISBLANK(Actuals!K11)),"",'Reforecast Q1 2026'!K11-Actuals!K11)</f>
        <v/>
      </c>
      <c r="AK9" s="509">
        <f>IFERROR(IF(OR(9&gt;$B$3,ISBLANK(Actuals!K11)),"",('Reforecast Q1 2026'!K11-Actuals!K11)/ABS('Reforecast Q1 2026'!K11)),"")</f>
        <v/>
      </c>
      <c r="AL9" s="508">
        <f>'Reforecast Q1 2026'!L11</f>
        <v/>
      </c>
      <c r="AM9" s="508">
        <f>IF(OR(10&gt;$B$3,ISBLANK(Actuals!L11)),"",Actuals!L11)</f>
        <v/>
      </c>
      <c r="AN9" s="509">
        <f>IF(OR(10&gt;$B$3,ISBLANK(Actuals!L11)),"",'Reforecast Q1 2026'!L11-Actuals!L11)</f>
        <v/>
      </c>
      <c r="AO9" s="509">
        <f>IFERROR(IF(OR(10&gt;$B$3,ISBLANK(Actuals!L11)),"",('Reforecast Q1 2026'!L11-Actuals!L11)/ABS('Reforecast Q1 2026'!L11)),"")</f>
        <v/>
      </c>
      <c r="AP9" s="508">
        <f>'Reforecast Q1 2026'!M11</f>
        <v/>
      </c>
      <c r="AQ9" s="508">
        <f>IF(OR(11&gt;$B$3,ISBLANK(Actuals!M11)),"",Actuals!M11)</f>
        <v/>
      </c>
      <c r="AR9" s="509">
        <f>IF(OR(11&gt;$B$3,ISBLANK(Actuals!M11)),"",'Reforecast Q1 2026'!M11-Actuals!M11)</f>
        <v/>
      </c>
      <c r="AS9" s="509">
        <f>IFERROR(IF(OR(11&gt;$B$3,ISBLANK(Actuals!M11)),"",('Reforecast Q1 2026'!M11-Actuals!M11)/ABS('Reforecast Q1 2026'!M11)),"")</f>
        <v/>
      </c>
      <c r="AT9" s="508">
        <f>'Reforecast Q1 2026'!N11</f>
        <v/>
      </c>
      <c r="AU9" s="508">
        <f>IF(OR(12&gt;$B$3,ISBLANK(Actuals!N11)),"",Actuals!N11)</f>
        <v/>
      </c>
      <c r="AV9" s="509">
        <f>IF(OR(12&gt;$B$3,ISBLANK(Actuals!N11)),"",'Reforecast Q1 2026'!N11-Actuals!N11)</f>
        <v/>
      </c>
      <c r="AW9" s="509">
        <f>IFERROR(IF(OR(12&gt;$B$3,ISBLANK(Actuals!N11)),"",('Reforecast Q1 2026'!N11-Actuals!N11)/ABS('Reforecast Q1 2026'!N11)),"")</f>
        <v/>
      </c>
      <c r="AX9" s="510">
        <f>SUMPRODUCT((Actuals!C11:N11&lt;&gt;"")*('Reforecast Q1 2026'!C11:N11))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'Reforecast Q1 2026'!C12</f>
        <v/>
      </c>
      <c r="C10" s="508">
        <f>IF(OR(1&gt;$B$3,ISBLANK(Actuals!C12)),"",Actuals!C12)</f>
        <v/>
      </c>
      <c r="D10" s="509">
        <f>IF(OR(1&gt;$B$3,ISBLANK(Actuals!C12)),"",'Reforecast Q1 2026'!C12-Actuals!C12)</f>
        <v/>
      </c>
      <c r="E10" s="509">
        <f>IFERROR(IF(OR(1&gt;$B$3,ISBLANK(Actuals!C12)),"",('Reforecast Q1 2026'!C12-Actuals!C12)/ABS('Reforecast Q1 2026'!C12)),"")</f>
        <v/>
      </c>
      <c r="F10" s="508">
        <f>'Reforecast Q1 2026'!D12</f>
        <v/>
      </c>
      <c r="G10" s="508">
        <f>IF(OR(2&gt;$B$3,ISBLANK(Actuals!D12)),"",Actuals!D12)</f>
        <v/>
      </c>
      <c r="H10" s="509">
        <f>IF(OR(2&gt;$B$3,ISBLANK(Actuals!D12)),"",'Reforecast Q1 2026'!D12-Actuals!D12)</f>
        <v/>
      </c>
      <c r="I10" s="509">
        <f>IFERROR(IF(OR(2&gt;$B$3,ISBLANK(Actuals!D12)),"",('Reforecast Q1 2026'!D12-Actuals!D12)/ABS('Reforecast Q1 2026'!D12)),"")</f>
        <v/>
      </c>
      <c r="J10" s="508">
        <f>'Reforecast Q1 2026'!E12</f>
        <v/>
      </c>
      <c r="K10" s="508">
        <f>IF(OR(3&gt;$B$3,ISBLANK(Actuals!E12)),"",Actuals!E12)</f>
        <v/>
      </c>
      <c r="L10" s="509">
        <f>IF(OR(3&gt;$B$3,ISBLANK(Actuals!E12)),"",'Reforecast Q1 2026'!E12-Actuals!E12)</f>
        <v/>
      </c>
      <c r="M10" s="509">
        <f>IFERROR(IF(OR(3&gt;$B$3,ISBLANK(Actuals!E12)),"",('Reforecast Q1 2026'!E12-Actuals!E12)/ABS('Reforecast Q1 2026'!E12)),"")</f>
        <v/>
      </c>
      <c r="N10" s="508">
        <f>'Reforecast Q1 2026'!F12</f>
        <v/>
      </c>
      <c r="O10" s="508">
        <f>IF(OR(4&gt;$B$3,ISBLANK(Actuals!F12)),"",Actuals!F12)</f>
        <v/>
      </c>
      <c r="P10" s="509">
        <f>IF(OR(4&gt;$B$3,ISBLANK(Actuals!F12)),"",'Reforecast Q1 2026'!F12-Actuals!F12)</f>
        <v/>
      </c>
      <c r="Q10" s="509">
        <f>IFERROR(IF(OR(4&gt;$B$3,ISBLANK(Actuals!F12)),"",('Reforecast Q1 2026'!F12-Actuals!F12)/ABS('Reforecast Q1 2026'!F12)),"")</f>
        <v/>
      </c>
      <c r="R10" s="508">
        <f>'Reforecast Q1 2026'!G12</f>
        <v/>
      </c>
      <c r="S10" s="508">
        <f>IF(OR(5&gt;$B$3,ISBLANK(Actuals!G12)),"",Actuals!G12)</f>
        <v/>
      </c>
      <c r="T10" s="509">
        <f>IF(OR(5&gt;$B$3,ISBLANK(Actuals!G12)),"",'Reforecast Q1 2026'!G12-Actuals!G12)</f>
        <v/>
      </c>
      <c r="U10" s="509">
        <f>IFERROR(IF(OR(5&gt;$B$3,ISBLANK(Actuals!G12)),"",('Reforecast Q1 2026'!G12-Actuals!G12)/ABS('Reforecast Q1 2026'!G12)),"")</f>
        <v/>
      </c>
      <c r="V10" s="508">
        <f>'Reforecast Q1 2026'!H12</f>
        <v/>
      </c>
      <c r="W10" s="508">
        <f>IF(OR(6&gt;$B$3,ISBLANK(Actuals!H12)),"",Actuals!H12)</f>
        <v/>
      </c>
      <c r="X10" s="509">
        <f>IF(OR(6&gt;$B$3,ISBLANK(Actuals!H12)),"",'Reforecast Q1 2026'!H12-Actuals!H12)</f>
        <v/>
      </c>
      <c r="Y10" s="509">
        <f>IFERROR(IF(OR(6&gt;$B$3,ISBLANK(Actuals!H12)),"",('Reforecast Q1 2026'!H12-Actuals!H12)/ABS('Reforecast Q1 2026'!H12)),"")</f>
        <v/>
      </c>
      <c r="Z10" s="508">
        <f>'Reforecast Q1 2026'!I12</f>
        <v/>
      </c>
      <c r="AA10" s="508">
        <f>IF(OR(7&gt;$B$3,ISBLANK(Actuals!I12)),"",Actuals!I12)</f>
        <v/>
      </c>
      <c r="AB10" s="509">
        <f>IF(OR(7&gt;$B$3,ISBLANK(Actuals!I12)),"",'Reforecast Q1 2026'!I12-Actuals!I12)</f>
        <v/>
      </c>
      <c r="AC10" s="509">
        <f>IFERROR(IF(OR(7&gt;$B$3,ISBLANK(Actuals!I12)),"",('Reforecast Q1 2026'!I12-Actuals!I12)/ABS('Reforecast Q1 2026'!I12)),"")</f>
        <v/>
      </c>
      <c r="AD10" s="508">
        <f>'Reforecast Q1 2026'!J12</f>
        <v/>
      </c>
      <c r="AE10" s="508">
        <f>IF(OR(8&gt;$B$3,ISBLANK(Actuals!J12)),"",Actuals!J12)</f>
        <v/>
      </c>
      <c r="AF10" s="509">
        <f>IF(OR(8&gt;$B$3,ISBLANK(Actuals!J12)),"",'Reforecast Q1 2026'!J12-Actuals!J12)</f>
        <v/>
      </c>
      <c r="AG10" s="509">
        <f>IFERROR(IF(OR(8&gt;$B$3,ISBLANK(Actuals!J12)),"",('Reforecast Q1 2026'!J12-Actuals!J12)/ABS('Reforecast Q1 2026'!J12)),"")</f>
        <v/>
      </c>
      <c r="AH10" s="508">
        <f>'Reforecast Q1 2026'!K12</f>
        <v/>
      </c>
      <c r="AI10" s="508">
        <f>IF(OR(9&gt;$B$3,ISBLANK(Actuals!K12)),"",Actuals!K12)</f>
        <v/>
      </c>
      <c r="AJ10" s="509">
        <f>IF(OR(9&gt;$B$3,ISBLANK(Actuals!K12)),"",'Reforecast Q1 2026'!K12-Actuals!K12)</f>
        <v/>
      </c>
      <c r="AK10" s="509">
        <f>IFERROR(IF(OR(9&gt;$B$3,ISBLANK(Actuals!K12)),"",('Reforecast Q1 2026'!K12-Actuals!K12)/ABS('Reforecast Q1 2026'!K12)),"")</f>
        <v/>
      </c>
      <c r="AL10" s="508">
        <f>'Reforecast Q1 2026'!L12</f>
        <v/>
      </c>
      <c r="AM10" s="508">
        <f>IF(OR(10&gt;$B$3,ISBLANK(Actuals!L12)),"",Actuals!L12)</f>
        <v/>
      </c>
      <c r="AN10" s="509">
        <f>IF(OR(10&gt;$B$3,ISBLANK(Actuals!L12)),"",'Reforecast Q1 2026'!L12-Actuals!L12)</f>
        <v/>
      </c>
      <c r="AO10" s="509">
        <f>IFERROR(IF(OR(10&gt;$B$3,ISBLANK(Actuals!L12)),"",('Reforecast Q1 2026'!L12-Actuals!L12)/ABS('Reforecast Q1 2026'!L12)),"")</f>
        <v/>
      </c>
      <c r="AP10" s="508">
        <f>'Reforecast Q1 2026'!M12</f>
        <v/>
      </c>
      <c r="AQ10" s="508">
        <f>IF(OR(11&gt;$B$3,ISBLANK(Actuals!M12)),"",Actuals!M12)</f>
        <v/>
      </c>
      <c r="AR10" s="509">
        <f>IF(OR(11&gt;$B$3,ISBLANK(Actuals!M12)),"",'Reforecast Q1 2026'!M12-Actuals!M12)</f>
        <v/>
      </c>
      <c r="AS10" s="509">
        <f>IFERROR(IF(OR(11&gt;$B$3,ISBLANK(Actuals!M12)),"",('Reforecast Q1 2026'!M12-Actuals!M12)/ABS('Reforecast Q1 2026'!M12)),"")</f>
        <v/>
      </c>
      <c r="AT10" s="508">
        <f>'Reforecast Q1 2026'!N12</f>
        <v/>
      </c>
      <c r="AU10" s="508">
        <f>IF(OR(12&gt;$B$3,ISBLANK(Actuals!N12)),"",Actuals!N12)</f>
        <v/>
      </c>
      <c r="AV10" s="509">
        <f>IF(OR(12&gt;$B$3,ISBLANK(Actuals!N12)),"",'Reforecast Q1 2026'!N12-Actuals!N12)</f>
        <v/>
      </c>
      <c r="AW10" s="509">
        <f>IFERROR(IF(OR(12&gt;$B$3,ISBLANK(Actuals!N12)),"",('Reforecast Q1 2026'!N12-Actuals!N12)/ABS('Reforecast Q1 2026'!N12)),"")</f>
        <v/>
      </c>
      <c r="AX10" s="510">
        <f>SUMPRODUCT((Actuals!C12:N12&lt;&gt;"")*('Reforecast Q1 2026'!C12:N12))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'Reforecast Q1 2026'!C14</f>
        <v/>
      </c>
      <c r="C11" s="508">
        <f>IF(OR(1&gt;$B$3,ISBLANK(Actuals!C14)),"",Actuals!C14)</f>
        <v/>
      </c>
      <c r="D11" s="509">
        <f>IF(OR(1&gt;$B$3,ISBLANK(Actuals!C14)),"",'Reforecast Q1 2026'!C14-Actuals!C14)</f>
        <v/>
      </c>
      <c r="E11" s="509">
        <f>IFERROR(IF(OR(1&gt;$B$3,ISBLANK(Actuals!C14)),"",('Reforecast Q1 2026'!C14-Actuals!C14)/ABS('Reforecast Q1 2026'!C14)),"")</f>
        <v/>
      </c>
      <c r="F11" s="508">
        <f>'Reforecast Q1 2026'!D14</f>
        <v/>
      </c>
      <c r="G11" s="508">
        <f>IF(OR(2&gt;$B$3,ISBLANK(Actuals!D14)),"",Actuals!D14)</f>
        <v/>
      </c>
      <c r="H11" s="509">
        <f>IF(OR(2&gt;$B$3,ISBLANK(Actuals!D14)),"",'Reforecast Q1 2026'!D14-Actuals!D14)</f>
        <v/>
      </c>
      <c r="I11" s="509">
        <f>IFERROR(IF(OR(2&gt;$B$3,ISBLANK(Actuals!D14)),"",('Reforecast Q1 2026'!D14-Actuals!D14)/ABS('Reforecast Q1 2026'!D14)),"")</f>
        <v/>
      </c>
      <c r="J11" s="508">
        <f>'Reforecast Q1 2026'!E14</f>
        <v/>
      </c>
      <c r="K11" s="508">
        <f>IF(OR(3&gt;$B$3,ISBLANK(Actuals!E14)),"",Actuals!E14)</f>
        <v/>
      </c>
      <c r="L11" s="509">
        <f>IF(OR(3&gt;$B$3,ISBLANK(Actuals!E14)),"",'Reforecast Q1 2026'!E14-Actuals!E14)</f>
        <v/>
      </c>
      <c r="M11" s="509">
        <f>IFERROR(IF(OR(3&gt;$B$3,ISBLANK(Actuals!E14)),"",('Reforecast Q1 2026'!E14-Actuals!E14)/ABS('Reforecast Q1 2026'!E14)),"")</f>
        <v/>
      </c>
      <c r="N11" s="508">
        <f>'Reforecast Q1 2026'!F14</f>
        <v/>
      </c>
      <c r="O11" s="508">
        <f>IF(OR(4&gt;$B$3,ISBLANK(Actuals!F14)),"",Actuals!F14)</f>
        <v/>
      </c>
      <c r="P11" s="509">
        <f>IF(OR(4&gt;$B$3,ISBLANK(Actuals!F14)),"",'Reforecast Q1 2026'!F14-Actuals!F14)</f>
        <v/>
      </c>
      <c r="Q11" s="509">
        <f>IFERROR(IF(OR(4&gt;$B$3,ISBLANK(Actuals!F14)),"",('Reforecast Q1 2026'!F14-Actuals!F14)/ABS('Reforecast Q1 2026'!F14)),"")</f>
        <v/>
      </c>
      <c r="R11" s="508">
        <f>'Reforecast Q1 2026'!G14</f>
        <v/>
      </c>
      <c r="S11" s="508">
        <f>IF(OR(5&gt;$B$3,ISBLANK(Actuals!G14)),"",Actuals!G14)</f>
        <v/>
      </c>
      <c r="T11" s="509">
        <f>IF(OR(5&gt;$B$3,ISBLANK(Actuals!G14)),"",'Reforecast Q1 2026'!G14-Actuals!G14)</f>
        <v/>
      </c>
      <c r="U11" s="509">
        <f>IFERROR(IF(OR(5&gt;$B$3,ISBLANK(Actuals!G14)),"",('Reforecast Q1 2026'!G14-Actuals!G14)/ABS('Reforecast Q1 2026'!G14)),"")</f>
        <v/>
      </c>
      <c r="V11" s="508">
        <f>'Reforecast Q1 2026'!H14</f>
        <v/>
      </c>
      <c r="W11" s="508">
        <f>IF(OR(6&gt;$B$3,ISBLANK(Actuals!H14)),"",Actuals!H14)</f>
        <v/>
      </c>
      <c r="X11" s="509">
        <f>IF(OR(6&gt;$B$3,ISBLANK(Actuals!H14)),"",'Reforecast Q1 2026'!H14-Actuals!H14)</f>
        <v/>
      </c>
      <c r="Y11" s="509">
        <f>IFERROR(IF(OR(6&gt;$B$3,ISBLANK(Actuals!H14)),"",('Reforecast Q1 2026'!H14-Actuals!H14)/ABS('Reforecast Q1 2026'!H14)),"")</f>
        <v/>
      </c>
      <c r="Z11" s="508">
        <f>'Reforecast Q1 2026'!I14</f>
        <v/>
      </c>
      <c r="AA11" s="508">
        <f>IF(OR(7&gt;$B$3,ISBLANK(Actuals!I14)),"",Actuals!I14)</f>
        <v/>
      </c>
      <c r="AB11" s="509">
        <f>IF(OR(7&gt;$B$3,ISBLANK(Actuals!I14)),"",'Reforecast Q1 2026'!I14-Actuals!I14)</f>
        <v/>
      </c>
      <c r="AC11" s="509">
        <f>IFERROR(IF(OR(7&gt;$B$3,ISBLANK(Actuals!I14)),"",('Reforecast Q1 2026'!I14-Actuals!I14)/ABS('Reforecast Q1 2026'!I14)),"")</f>
        <v/>
      </c>
      <c r="AD11" s="508">
        <f>'Reforecast Q1 2026'!J14</f>
        <v/>
      </c>
      <c r="AE11" s="508">
        <f>IF(OR(8&gt;$B$3,ISBLANK(Actuals!J14)),"",Actuals!J14)</f>
        <v/>
      </c>
      <c r="AF11" s="509">
        <f>IF(OR(8&gt;$B$3,ISBLANK(Actuals!J14)),"",'Reforecast Q1 2026'!J14-Actuals!J14)</f>
        <v/>
      </c>
      <c r="AG11" s="509">
        <f>IFERROR(IF(OR(8&gt;$B$3,ISBLANK(Actuals!J14)),"",('Reforecast Q1 2026'!J14-Actuals!J14)/ABS('Reforecast Q1 2026'!J14)),"")</f>
        <v/>
      </c>
      <c r="AH11" s="508">
        <f>'Reforecast Q1 2026'!K14</f>
        <v/>
      </c>
      <c r="AI11" s="508">
        <f>IF(OR(9&gt;$B$3,ISBLANK(Actuals!K14)),"",Actuals!K14)</f>
        <v/>
      </c>
      <c r="AJ11" s="509">
        <f>IF(OR(9&gt;$B$3,ISBLANK(Actuals!K14)),"",'Reforecast Q1 2026'!K14-Actuals!K14)</f>
        <v/>
      </c>
      <c r="AK11" s="509">
        <f>IFERROR(IF(OR(9&gt;$B$3,ISBLANK(Actuals!K14)),"",('Reforecast Q1 2026'!K14-Actuals!K14)/ABS('Reforecast Q1 2026'!K14)),"")</f>
        <v/>
      </c>
      <c r="AL11" s="508">
        <f>'Reforecast Q1 2026'!L14</f>
        <v/>
      </c>
      <c r="AM11" s="508">
        <f>IF(OR(10&gt;$B$3,ISBLANK(Actuals!L14)),"",Actuals!L14)</f>
        <v/>
      </c>
      <c r="AN11" s="509">
        <f>IF(OR(10&gt;$B$3,ISBLANK(Actuals!L14)),"",'Reforecast Q1 2026'!L14-Actuals!L14)</f>
        <v/>
      </c>
      <c r="AO11" s="509">
        <f>IFERROR(IF(OR(10&gt;$B$3,ISBLANK(Actuals!L14)),"",('Reforecast Q1 2026'!L14-Actuals!L14)/ABS('Reforecast Q1 2026'!L14)),"")</f>
        <v/>
      </c>
      <c r="AP11" s="508">
        <f>'Reforecast Q1 2026'!M14</f>
        <v/>
      </c>
      <c r="AQ11" s="508">
        <f>IF(OR(11&gt;$B$3,ISBLANK(Actuals!M14)),"",Actuals!M14)</f>
        <v/>
      </c>
      <c r="AR11" s="509">
        <f>IF(OR(11&gt;$B$3,ISBLANK(Actuals!M14)),"",'Reforecast Q1 2026'!M14-Actuals!M14)</f>
        <v/>
      </c>
      <c r="AS11" s="509">
        <f>IFERROR(IF(OR(11&gt;$B$3,ISBLANK(Actuals!M14)),"",('Reforecast Q1 2026'!M14-Actuals!M14)/ABS('Reforecast Q1 2026'!M14)),"")</f>
        <v/>
      </c>
      <c r="AT11" s="508">
        <f>'Reforecast Q1 2026'!N14</f>
        <v/>
      </c>
      <c r="AU11" s="508">
        <f>IF(OR(12&gt;$B$3,ISBLANK(Actuals!N14)),"",Actuals!N14)</f>
        <v/>
      </c>
      <c r="AV11" s="509">
        <f>IF(OR(12&gt;$B$3,ISBLANK(Actuals!N14)),"",'Reforecast Q1 2026'!N14-Actuals!N14)</f>
        <v/>
      </c>
      <c r="AW11" s="509">
        <f>IFERROR(IF(OR(12&gt;$B$3,ISBLANK(Actuals!N14)),"",('Reforecast Q1 2026'!N14-Actuals!N14)/ABS('Reforecast Q1 2026'!N14)),"")</f>
        <v/>
      </c>
      <c r="AX11" s="510">
        <f>SUMPRODUCT((Actuals!C14:N14&lt;&gt;"")*('Reforecast Q1 2026'!C14:N14))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'Reforecast Q1 2026'!C15</f>
        <v/>
      </c>
      <c r="C12" s="508">
        <f>IF(OR(1&gt;$B$3,ISBLANK(Actuals!C15)),"",Actuals!C15)</f>
        <v/>
      </c>
      <c r="D12" s="509">
        <f>IF(OR(1&gt;$B$3,ISBLANK(Actuals!C15)),"",'Reforecast Q1 2026'!C15-Actuals!C15)</f>
        <v/>
      </c>
      <c r="E12" s="509">
        <f>IFERROR(IF(OR(1&gt;$B$3,ISBLANK(Actuals!C15)),"",('Reforecast Q1 2026'!C15-Actuals!C15)/ABS('Reforecast Q1 2026'!C15)),"")</f>
        <v/>
      </c>
      <c r="F12" s="508">
        <f>'Reforecast Q1 2026'!D15</f>
        <v/>
      </c>
      <c r="G12" s="508">
        <f>IF(OR(2&gt;$B$3,ISBLANK(Actuals!D15)),"",Actuals!D15)</f>
        <v/>
      </c>
      <c r="H12" s="509">
        <f>IF(OR(2&gt;$B$3,ISBLANK(Actuals!D15)),"",'Reforecast Q1 2026'!D15-Actuals!D15)</f>
        <v/>
      </c>
      <c r="I12" s="509">
        <f>IFERROR(IF(OR(2&gt;$B$3,ISBLANK(Actuals!D15)),"",('Reforecast Q1 2026'!D15-Actuals!D15)/ABS('Reforecast Q1 2026'!D15)),"")</f>
        <v/>
      </c>
      <c r="J12" s="508">
        <f>'Reforecast Q1 2026'!E15</f>
        <v/>
      </c>
      <c r="K12" s="508">
        <f>IF(OR(3&gt;$B$3,ISBLANK(Actuals!E15)),"",Actuals!E15)</f>
        <v/>
      </c>
      <c r="L12" s="509">
        <f>IF(OR(3&gt;$B$3,ISBLANK(Actuals!E15)),"",'Reforecast Q1 2026'!E15-Actuals!E15)</f>
        <v/>
      </c>
      <c r="M12" s="509">
        <f>IFERROR(IF(OR(3&gt;$B$3,ISBLANK(Actuals!E15)),"",('Reforecast Q1 2026'!E15-Actuals!E15)/ABS('Reforecast Q1 2026'!E15)),"")</f>
        <v/>
      </c>
      <c r="N12" s="508">
        <f>'Reforecast Q1 2026'!F15</f>
        <v/>
      </c>
      <c r="O12" s="508">
        <f>IF(OR(4&gt;$B$3,ISBLANK(Actuals!F15)),"",Actuals!F15)</f>
        <v/>
      </c>
      <c r="P12" s="509">
        <f>IF(OR(4&gt;$B$3,ISBLANK(Actuals!F15)),"",'Reforecast Q1 2026'!F15-Actuals!F15)</f>
        <v/>
      </c>
      <c r="Q12" s="509">
        <f>IFERROR(IF(OR(4&gt;$B$3,ISBLANK(Actuals!F15)),"",('Reforecast Q1 2026'!F15-Actuals!F15)/ABS('Reforecast Q1 2026'!F15)),"")</f>
        <v/>
      </c>
      <c r="R12" s="508">
        <f>'Reforecast Q1 2026'!G15</f>
        <v/>
      </c>
      <c r="S12" s="508">
        <f>IF(OR(5&gt;$B$3,ISBLANK(Actuals!G15)),"",Actuals!G15)</f>
        <v/>
      </c>
      <c r="T12" s="509">
        <f>IF(OR(5&gt;$B$3,ISBLANK(Actuals!G15)),"",'Reforecast Q1 2026'!G15-Actuals!G15)</f>
        <v/>
      </c>
      <c r="U12" s="509">
        <f>IFERROR(IF(OR(5&gt;$B$3,ISBLANK(Actuals!G15)),"",('Reforecast Q1 2026'!G15-Actuals!G15)/ABS('Reforecast Q1 2026'!G15)),"")</f>
        <v/>
      </c>
      <c r="V12" s="508">
        <f>'Reforecast Q1 2026'!H15</f>
        <v/>
      </c>
      <c r="W12" s="508">
        <f>IF(OR(6&gt;$B$3,ISBLANK(Actuals!H15)),"",Actuals!H15)</f>
        <v/>
      </c>
      <c r="X12" s="509">
        <f>IF(OR(6&gt;$B$3,ISBLANK(Actuals!H15)),"",'Reforecast Q1 2026'!H15-Actuals!H15)</f>
        <v/>
      </c>
      <c r="Y12" s="509">
        <f>IFERROR(IF(OR(6&gt;$B$3,ISBLANK(Actuals!H15)),"",('Reforecast Q1 2026'!H15-Actuals!H15)/ABS('Reforecast Q1 2026'!H15)),"")</f>
        <v/>
      </c>
      <c r="Z12" s="508">
        <f>'Reforecast Q1 2026'!I15</f>
        <v/>
      </c>
      <c r="AA12" s="508">
        <f>IF(OR(7&gt;$B$3,ISBLANK(Actuals!I15)),"",Actuals!I15)</f>
        <v/>
      </c>
      <c r="AB12" s="509">
        <f>IF(OR(7&gt;$B$3,ISBLANK(Actuals!I15)),"",'Reforecast Q1 2026'!I15-Actuals!I15)</f>
        <v/>
      </c>
      <c r="AC12" s="509">
        <f>IFERROR(IF(OR(7&gt;$B$3,ISBLANK(Actuals!I15)),"",('Reforecast Q1 2026'!I15-Actuals!I15)/ABS('Reforecast Q1 2026'!I15)),"")</f>
        <v/>
      </c>
      <c r="AD12" s="508">
        <f>'Reforecast Q1 2026'!J15</f>
        <v/>
      </c>
      <c r="AE12" s="508">
        <f>IF(OR(8&gt;$B$3,ISBLANK(Actuals!J15)),"",Actuals!J15)</f>
        <v/>
      </c>
      <c r="AF12" s="509">
        <f>IF(OR(8&gt;$B$3,ISBLANK(Actuals!J15)),"",'Reforecast Q1 2026'!J15-Actuals!J15)</f>
        <v/>
      </c>
      <c r="AG12" s="509">
        <f>IFERROR(IF(OR(8&gt;$B$3,ISBLANK(Actuals!J15)),"",('Reforecast Q1 2026'!J15-Actuals!J15)/ABS('Reforecast Q1 2026'!J15)),"")</f>
        <v/>
      </c>
      <c r="AH12" s="508">
        <f>'Reforecast Q1 2026'!K15</f>
        <v/>
      </c>
      <c r="AI12" s="508">
        <f>IF(OR(9&gt;$B$3,ISBLANK(Actuals!K15)),"",Actuals!K15)</f>
        <v/>
      </c>
      <c r="AJ12" s="509">
        <f>IF(OR(9&gt;$B$3,ISBLANK(Actuals!K15)),"",'Reforecast Q1 2026'!K15-Actuals!K15)</f>
        <v/>
      </c>
      <c r="AK12" s="509">
        <f>IFERROR(IF(OR(9&gt;$B$3,ISBLANK(Actuals!K15)),"",('Reforecast Q1 2026'!K15-Actuals!K15)/ABS('Reforecast Q1 2026'!K15)),"")</f>
        <v/>
      </c>
      <c r="AL12" s="508">
        <f>'Reforecast Q1 2026'!L15</f>
        <v/>
      </c>
      <c r="AM12" s="508">
        <f>IF(OR(10&gt;$B$3,ISBLANK(Actuals!L15)),"",Actuals!L15)</f>
        <v/>
      </c>
      <c r="AN12" s="509">
        <f>IF(OR(10&gt;$B$3,ISBLANK(Actuals!L15)),"",'Reforecast Q1 2026'!L15-Actuals!L15)</f>
        <v/>
      </c>
      <c r="AO12" s="509">
        <f>IFERROR(IF(OR(10&gt;$B$3,ISBLANK(Actuals!L15)),"",('Reforecast Q1 2026'!L15-Actuals!L15)/ABS('Reforecast Q1 2026'!L15)),"")</f>
        <v/>
      </c>
      <c r="AP12" s="508">
        <f>'Reforecast Q1 2026'!M15</f>
        <v/>
      </c>
      <c r="AQ12" s="508">
        <f>IF(OR(11&gt;$B$3,ISBLANK(Actuals!M15)),"",Actuals!M15)</f>
        <v/>
      </c>
      <c r="AR12" s="509">
        <f>IF(OR(11&gt;$B$3,ISBLANK(Actuals!M15)),"",'Reforecast Q1 2026'!M15-Actuals!M15)</f>
        <v/>
      </c>
      <c r="AS12" s="509">
        <f>IFERROR(IF(OR(11&gt;$B$3,ISBLANK(Actuals!M15)),"",('Reforecast Q1 2026'!M15-Actuals!M15)/ABS('Reforecast Q1 2026'!M15)),"")</f>
        <v/>
      </c>
      <c r="AT12" s="508">
        <f>'Reforecast Q1 2026'!N15</f>
        <v/>
      </c>
      <c r="AU12" s="508">
        <f>IF(OR(12&gt;$B$3,ISBLANK(Actuals!N15)),"",Actuals!N15)</f>
        <v/>
      </c>
      <c r="AV12" s="509">
        <f>IF(OR(12&gt;$B$3,ISBLANK(Actuals!N15)),"",'Reforecast Q1 2026'!N15-Actuals!N15)</f>
        <v/>
      </c>
      <c r="AW12" s="509">
        <f>IFERROR(IF(OR(12&gt;$B$3,ISBLANK(Actuals!N15)),"",('Reforecast Q1 2026'!N15-Actuals!N15)/ABS('Reforecast Q1 2026'!N15)),"")</f>
        <v/>
      </c>
      <c r="AX12" s="510">
        <f>SUMPRODUCT((Actuals!C15:N15&lt;&gt;"")*('Reforecast Q1 2026'!C15:N15))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'Reforecast Q1 2026'!C16</f>
        <v/>
      </c>
      <c r="C13" s="508">
        <f>IF(OR(1&gt;$B$3,ISBLANK(Actuals!C16)),"",Actuals!C16)</f>
        <v/>
      </c>
      <c r="D13" s="509">
        <f>IF(OR(1&gt;$B$3,ISBLANK(Actuals!C16)),"",'Reforecast Q1 2026'!C16-Actuals!C16)</f>
        <v/>
      </c>
      <c r="E13" s="509">
        <f>IFERROR(IF(OR(1&gt;$B$3,ISBLANK(Actuals!C16)),"",('Reforecast Q1 2026'!C16-Actuals!C16)/ABS('Reforecast Q1 2026'!C16)),"")</f>
        <v/>
      </c>
      <c r="F13" s="508">
        <f>'Reforecast Q1 2026'!D16</f>
        <v/>
      </c>
      <c r="G13" s="508">
        <f>IF(OR(2&gt;$B$3,ISBLANK(Actuals!D16)),"",Actuals!D16)</f>
        <v/>
      </c>
      <c r="H13" s="509">
        <f>IF(OR(2&gt;$B$3,ISBLANK(Actuals!D16)),"",'Reforecast Q1 2026'!D16-Actuals!D16)</f>
        <v/>
      </c>
      <c r="I13" s="509">
        <f>IFERROR(IF(OR(2&gt;$B$3,ISBLANK(Actuals!D16)),"",('Reforecast Q1 2026'!D16-Actuals!D16)/ABS('Reforecast Q1 2026'!D16)),"")</f>
        <v/>
      </c>
      <c r="J13" s="508">
        <f>'Reforecast Q1 2026'!E16</f>
        <v/>
      </c>
      <c r="K13" s="508">
        <f>IF(OR(3&gt;$B$3,ISBLANK(Actuals!E16)),"",Actuals!E16)</f>
        <v/>
      </c>
      <c r="L13" s="509">
        <f>IF(OR(3&gt;$B$3,ISBLANK(Actuals!E16)),"",'Reforecast Q1 2026'!E16-Actuals!E16)</f>
        <v/>
      </c>
      <c r="M13" s="509">
        <f>IFERROR(IF(OR(3&gt;$B$3,ISBLANK(Actuals!E16)),"",('Reforecast Q1 2026'!E16-Actuals!E16)/ABS('Reforecast Q1 2026'!E16)),"")</f>
        <v/>
      </c>
      <c r="N13" s="508">
        <f>'Reforecast Q1 2026'!F16</f>
        <v/>
      </c>
      <c r="O13" s="508">
        <f>IF(OR(4&gt;$B$3,ISBLANK(Actuals!F16)),"",Actuals!F16)</f>
        <v/>
      </c>
      <c r="P13" s="509">
        <f>IF(OR(4&gt;$B$3,ISBLANK(Actuals!F16)),"",'Reforecast Q1 2026'!F16-Actuals!F16)</f>
        <v/>
      </c>
      <c r="Q13" s="509">
        <f>IFERROR(IF(OR(4&gt;$B$3,ISBLANK(Actuals!F16)),"",('Reforecast Q1 2026'!F16-Actuals!F16)/ABS('Reforecast Q1 2026'!F16)),"")</f>
        <v/>
      </c>
      <c r="R13" s="508">
        <f>'Reforecast Q1 2026'!G16</f>
        <v/>
      </c>
      <c r="S13" s="508">
        <f>IF(OR(5&gt;$B$3,ISBLANK(Actuals!G16)),"",Actuals!G16)</f>
        <v/>
      </c>
      <c r="T13" s="509">
        <f>IF(OR(5&gt;$B$3,ISBLANK(Actuals!G16)),"",'Reforecast Q1 2026'!G16-Actuals!G16)</f>
        <v/>
      </c>
      <c r="U13" s="509">
        <f>IFERROR(IF(OR(5&gt;$B$3,ISBLANK(Actuals!G16)),"",('Reforecast Q1 2026'!G16-Actuals!G16)/ABS('Reforecast Q1 2026'!G16)),"")</f>
        <v/>
      </c>
      <c r="V13" s="508">
        <f>'Reforecast Q1 2026'!H16</f>
        <v/>
      </c>
      <c r="W13" s="508">
        <f>IF(OR(6&gt;$B$3,ISBLANK(Actuals!H16)),"",Actuals!H16)</f>
        <v/>
      </c>
      <c r="X13" s="509">
        <f>IF(OR(6&gt;$B$3,ISBLANK(Actuals!H16)),"",'Reforecast Q1 2026'!H16-Actuals!H16)</f>
        <v/>
      </c>
      <c r="Y13" s="509">
        <f>IFERROR(IF(OR(6&gt;$B$3,ISBLANK(Actuals!H16)),"",('Reforecast Q1 2026'!H16-Actuals!H16)/ABS('Reforecast Q1 2026'!H16)),"")</f>
        <v/>
      </c>
      <c r="Z13" s="508">
        <f>'Reforecast Q1 2026'!I16</f>
        <v/>
      </c>
      <c r="AA13" s="508">
        <f>IF(OR(7&gt;$B$3,ISBLANK(Actuals!I16)),"",Actuals!I16)</f>
        <v/>
      </c>
      <c r="AB13" s="509">
        <f>IF(OR(7&gt;$B$3,ISBLANK(Actuals!I16)),"",'Reforecast Q1 2026'!I16-Actuals!I16)</f>
        <v/>
      </c>
      <c r="AC13" s="509">
        <f>IFERROR(IF(OR(7&gt;$B$3,ISBLANK(Actuals!I16)),"",('Reforecast Q1 2026'!I16-Actuals!I16)/ABS('Reforecast Q1 2026'!I16)),"")</f>
        <v/>
      </c>
      <c r="AD13" s="508">
        <f>'Reforecast Q1 2026'!J16</f>
        <v/>
      </c>
      <c r="AE13" s="508">
        <f>IF(OR(8&gt;$B$3,ISBLANK(Actuals!J16)),"",Actuals!J16)</f>
        <v/>
      </c>
      <c r="AF13" s="509">
        <f>IF(OR(8&gt;$B$3,ISBLANK(Actuals!J16)),"",'Reforecast Q1 2026'!J16-Actuals!J16)</f>
        <v/>
      </c>
      <c r="AG13" s="509">
        <f>IFERROR(IF(OR(8&gt;$B$3,ISBLANK(Actuals!J16)),"",('Reforecast Q1 2026'!J16-Actuals!J16)/ABS('Reforecast Q1 2026'!J16)),"")</f>
        <v/>
      </c>
      <c r="AH13" s="508">
        <f>'Reforecast Q1 2026'!K16</f>
        <v/>
      </c>
      <c r="AI13" s="508">
        <f>IF(OR(9&gt;$B$3,ISBLANK(Actuals!K16)),"",Actuals!K16)</f>
        <v/>
      </c>
      <c r="AJ13" s="509">
        <f>IF(OR(9&gt;$B$3,ISBLANK(Actuals!K16)),"",'Reforecast Q1 2026'!K16-Actuals!K16)</f>
        <v/>
      </c>
      <c r="AK13" s="509">
        <f>IFERROR(IF(OR(9&gt;$B$3,ISBLANK(Actuals!K16)),"",('Reforecast Q1 2026'!K16-Actuals!K16)/ABS('Reforecast Q1 2026'!K16)),"")</f>
        <v/>
      </c>
      <c r="AL13" s="508">
        <f>'Reforecast Q1 2026'!L16</f>
        <v/>
      </c>
      <c r="AM13" s="508">
        <f>IF(OR(10&gt;$B$3,ISBLANK(Actuals!L16)),"",Actuals!L16)</f>
        <v/>
      </c>
      <c r="AN13" s="509">
        <f>IF(OR(10&gt;$B$3,ISBLANK(Actuals!L16)),"",'Reforecast Q1 2026'!L16-Actuals!L16)</f>
        <v/>
      </c>
      <c r="AO13" s="509">
        <f>IFERROR(IF(OR(10&gt;$B$3,ISBLANK(Actuals!L16)),"",('Reforecast Q1 2026'!L16-Actuals!L16)/ABS('Reforecast Q1 2026'!L16)),"")</f>
        <v/>
      </c>
      <c r="AP13" s="508">
        <f>'Reforecast Q1 2026'!M16</f>
        <v/>
      </c>
      <c r="AQ13" s="508">
        <f>IF(OR(11&gt;$B$3,ISBLANK(Actuals!M16)),"",Actuals!M16)</f>
        <v/>
      </c>
      <c r="AR13" s="509">
        <f>IF(OR(11&gt;$B$3,ISBLANK(Actuals!M16)),"",'Reforecast Q1 2026'!M16-Actuals!M16)</f>
        <v/>
      </c>
      <c r="AS13" s="509">
        <f>IFERROR(IF(OR(11&gt;$B$3,ISBLANK(Actuals!M16)),"",('Reforecast Q1 2026'!M16-Actuals!M16)/ABS('Reforecast Q1 2026'!M16)),"")</f>
        <v/>
      </c>
      <c r="AT13" s="508">
        <f>'Reforecast Q1 2026'!N16</f>
        <v/>
      </c>
      <c r="AU13" s="508">
        <f>IF(OR(12&gt;$B$3,ISBLANK(Actuals!N16)),"",Actuals!N16)</f>
        <v/>
      </c>
      <c r="AV13" s="509">
        <f>IF(OR(12&gt;$B$3,ISBLANK(Actuals!N16)),"",'Reforecast Q1 2026'!N16-Actuals!N16)</f>
        <v/>
      </c>
      <c r="AW13" s="509">
        <f>IFERROR(IF(OR(12&gt;$B$3,ISBLANK(Actuals!N16)),"",('Reforecast Q1 2026'!N16-Actuals!N16)/ABS('Reforecast Q1 2026'!N16)),"")</f>
        <v/>
      </c>
      <c r="AX13" s="510">
        <f>SUMPRODUCT((Actuals!C16:N16&lt;&gt;"")*('Reforecast Q1 2026'!C16:N16))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'Reforecast Q1 2026'!C17</f>
        <v/>
      </c>
      <c r="C14" s="508">
        <f>IF(OR(1&gt;$B$3,ISBLANK(Actuals!C17)),"",Actuals!C17)</f>
        <v/>
      </c>
      <c r="D14" s="509">
        <f>IF(OR(1&gt;$B$3,ISBLANK(Actuals!C17)),"",'Reforecast Q1 2026'!C17-Actuals!C17)</f>
        <v/>
      </c>
      <c r="E14" s="509">
        <f>IFERROR(IF(OR(1&gt;$B$3,ISBLANK(Actuals!C17)),"",('Reforecast Q1 2026'!C17-Actuals!C17)/ABS('Reforecast Q1 2026'!C17)),"")</f>
        <v/>
      </c>
      <c r="F14" s="508">
        <f>'Reforecast Q1 2026'!D17</f>
        <v/>
      </c>
      <c r="G14" s="508">
        <f>IF(OR(2&gt;$B$3,ISBLANK(Actuals!D17)),"",Actuals!D17)</f>
        <v/>
      </c>
      <c r="H14" s="509">
        <f>IF(OR(2&gt;$B$3,ISBLANK(Actuals!D17)),"",'Reforecast Q1 2026'!D17-Actuals!D17)</f>
        <v/>
      </c>
      <c r="I14" s="509">
        <f>IFERROR(IF(OR(2&gt;$B$3,ISBLANK(Actuals!D17)),"",('Reforecast Q1 2026'!D17-Actuals!D17)/ABS('Reforecast Q1 2026'!D17)),"")</f>
        <v/>
      </c>
      <c r="J14" s="508">
        <f>'Reforecast Q1 2026'!E17</f>
        <v/>
      </c>
      <c r="K14" s="508">
        <f>IF(OR(3&gt;$B$3,ISBLANK(Actuals!E17)),"",Actuals!E17)</f>
        <v/>
      </c>
      <c r="L14" s="509">
        <f>IF(OR(3&gt;$B$3,ISBLANK(Actuals!E17)),"",'Reforecast Q1 2026'!E17-Actuals!E17)</f>
        <v/>
      </c>
      <c r="M14" s="509">
        <f>IFERROR(IF(OR(3&gt;$B$3,ISBLANK(Actuals!E17)),"",('Reforecast Q1 2026'!E17-Actuals!E17)/ABS('Reforecast Q1 2026'!E17)),"")</f>
        <v/>
      </c>
      <c r="N14" s="508">
        <f>'Reforecast Q1 2026'!F17</f>
        <v/>
      </c>
      <c r="O14" s="508">
        <f>IF(OR(4&gt;$B$3,ISBLANK(Actuals!F17)),"",Actuals!F17)</f>
        <v/>
      </c>
      <c r="P14" s="509">
        <f>IF(OR(4&gt;$B$3,ISBLANK(Actuals!F17)),"",'Reforecast Q1 2026'!F17-Actuals!F17)</f>
        <v/>
      </c>
      <c r="Q14" s="509">
        <f>IFERROR(IF(OR(4&gt;$B$3,ISBLANK(Actuals!F17)),"",('Reforecast Q1 2026'!F17-Actuals!F17)/ABS('Reforecast Q1 2026'!F17)),"")</f>
        <v/>
      </c>
      <c r="R14" s="508">
        <f>'Reforecast Q1 2026'!G17</f>
        <v/>
      </c>
      <c r="S14" s="508">
        <f>IF(OR(5&gt;$B$3,ISBLANK(Actuals!G17)),"",Actuals!G17)</f>
        <v/>
      </c>
      <c r="T14" s="509">
        <f>IF(OR(5&gt;$B$3,ISBLANK(Actuals!G17)),"",'Reforecast Q1 2026'!G17-Actuals!G17)</f>
        <v/>
      </c>
      <c r="U14" s="509">
        <f>IFERROR(IF(OR(5&gt;$B$3,ISBLANK(Actuals!G17)),"",('Reforecast Q1 2026'!G17-Actuals!G17)/ABS('Reforecast Q1 2026'!G17)),"")</f>
        <v/>
      </c>
      <c r="V14" s="508">
        <f>'Reforecast Q1 2026'!H17</f>
        <v/>
      </c>
      <c r="W14" s="508">
        <f>IF(OR(6&gt;$B$3,ISBLANK(Actuals!H17)),"",Actuals!H17)</f>
        <v/>
      </c>
      <c r="X14" s="509">
        <f>IF(OR(6&gt;$B$3,ISBLANK(Actuals!H17)),"",'Reforecast Q1 2026'!H17-Actuals!H17)</f>
        <v/>
      </c>
      <c r="Y14" s="509">
        <f>IFERROR(IF(OR(6&gt;$B$3,ISBLANK(Actuals!H17)),"",('Reforecast Q1 2026'!H17-Actuals!H17)/ABS('Reforecast Q1 2026'!H17)),"")</f>
        <v/>
      </c>
      <c r="Z14" s="508">
        <f>'Reforecast Q1 2026'!I17</f>
        <v/>
      </c>
      <c r="AA14" s="508">
        <f>IF(OR(7&gt;$B$3,ISBLANK(Actuals!I17)),"",Actuals!I17)</f>
        <v/>
      </c>
      <c r="AB14" s="509">
        <f>IF(OR(7&gt;$B$3,ISBLANK(Actuals!I17)),"",'Reforecast Q1 2026'!I17-Actuals!I17)</f>
        <v/>
      </c>
      <c r="AC14" s="509">
        <f>IFERROR(IF(OR(7&gt;$B$3,ISBLANK(Actuals!I17)),"",('Reforecast Q1 2026'!I17-Actuals!I17)/ABS('Reforecast Q1 2026'!I17)),"")</f>
        <v/>
      </c>
      <c r="AD14" s="508">
        <f>'Reforecast Q1 2026'!J17</f>
        <v/>
      </c>
      <c r="AE14" s="508">
        <f>IF(OR(8&gt;$B$3,ISBLANK(Actuals!J17)),"",Actuals!J17)</f>
        <v/>
      </c>
      <c r="AF14" s="509">
        <f>IF(OR(8&gt;$B$3,ISBLANK(Actuals!J17)),"",'Reforecast Q1 2026'!J17-Actuals!J17)</f>
        <v/>
      </c>
      <c r="AG14" s="509">
        <f>IFERROR(IF(OR(8&gt;$B$3,ISBLANK(Actuals!J17)),"",('Reforecast Q1 2026'!J17-Actuals!J17)/ABS('Reforecast Q1 2026'!J17)),"")</f>
        <v/>
      </c>
      <c r="AH14" s="508">
        <f>'Reforecast Q1 2026'!K17</f>
        <v/>
      </c>
      <c r="AI14" s="508">
        <f>IF(OR(9&gt;$B$3,ISBLANK(Actuals!K17)),"",Actuals!K17)</f>
        <v/>
      </c>
      <c r="AJ14" s="509">
        <f>IF(OR(9&gt;$B$3,ISBLANK(Actuals!K17)),"",'Reforecast Q1 2026'!K17-Actuals!K17)</f>
        <v/>
      </c>
      <c r="AK14" s="509">
        <f>IFERROR(IF(OR(9&gt;$B$3,ISBLANK(Actuals!K17)),"",('Reforecast Q1 2026'!K17-Actuals!K17)/ABS('Reforecast Q1 2026'!K17)),"")</f>
        <v/>
      </c>
      <c r="AL14" s="508">
        <f>'Reforecast Q1 2026'!L17</f>
        <v/>
      </c>
      <c r="AM14" s="508">
        <f>IF(OR(10&gt;$B$3,ISBLANK(Actuals!L17)),"",Actuals!L17)</f>
        <v/>
      </c>
      <c r="AN14" s="509">
        <f>IF(OR(10&gt;$B$3,ISBLANK(Actuals!L17)),"",'Reforecast Q1 2026'!L17-Actuals!L17)</f>
        <v/>
      </c>
      <c r="AO14" s="509">
        <f>IFERROR(IF(OR(10&gt;$B$3,ISBLANK(Actuals!L17)),"",('Reforecast Q1 2026'!L17-Actuals!L17)/ABS('Reforecast Q1 2026'!L17)),"")</f>
        <v/>
      </c>
      <c r="AP14" s="508">
        <f>'Reforecast Q1 2026'!M17</f>
        <v/>
      </c>
      <c r="AQ14" s="508">
        <f>IF(OR(11&gt;$B$3,ISBLANK(Actuals!M17)),"",Actuals!M17)</f>
        <v/>
      </c>
      <c r="AR14" s="509">
        <f>IF(OR(11&gt;$B$3,ISBLANK(Actuals!M17)),"",'Reforecast Q1 2026'!M17-Actuals!M17)</f>
        <v/>
      </c>
      <c r="AS14" s="509">
        <f>IFERROR(IF(OR(11&gt;$B$3,ISBLANK(Actuals!M17)),"",('Reforecast Q1 2026'!M17-Actuals!M17)/ABS('Reforecast Q1 2026'!M17)),"")</f>
        <v/>
      </c>
      <c r="AT14" s="508">
        <f>'Reforecast Q1 2026'!N17</f>
        <v/>
      </c>
      <c r="AU14" s="508">
        <f>IF(OR(12&gt;$B$3,ISBLANK(Actuals!N17)),"",Actuals!N17)</f>
        <v/>
      </c>
      <c r="AV14" s="509">
        <f>IF(OR(12&gt;$B$3,ISBLANK(Actuals!N17)),"",'Reforecast Q1 2026'!N17-Actuals!N17)</f>
        <v/>
      </c>
      <c r="AW14" s="509">
        <f>IFERROR(IF(OR(12&gt;$B$3,ISBLANK(Actuals!N17)),"",('Reforecast Q1 2026'!N17-Actuals!N17)/ABS('Reforecast Q1 2026'!N17)),"")</f>
        <v/>
      </c>
      <c r="AX14" s="510">
        <f>SUMPRODUCT((Actuals!C17:N17&lt;&gt;"")*('Reforecast Q1 2026'!C17:N17))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'Reforecast Q1 2026'!C21</f>
        <v/>
      </c>
      <c r="C15" s="508">
        <f>IF(OR(1&gt;$B$3,ISBLANK(Actuals!C21)),"",Actuals!C21)</f>
        <v/>
      </c>
      <c r="D15" s="509">
        <f>IF(OR(1&gt;$B$3,ISBLANK(Actuals!C21)),"",'Reforecast Q1 2026'!C21-Actuals!C21)</f>
        <v/>
      </c>
      <c r="E15" s="509">
        <f>IFERROR(IF(OR(1&gt;$B$3,ISBLANK(Actuals!C21)),"",('Reforecast Q1 2026'!C21-Actuals!C21)/ABS('Reforecast Q1 2026'!C21)),"")</f>
        <v/>
      </c>
      <c r="F15" s="508">
        <f>'Reforecast Q1 2026'!D21</f>
        <v/>
      </c>
      <c r="G15" s="508">
        <f>IF(OR(2&gt;$B$3,ISBLANK(Actuals!D21)),"",Actuals!D21)</f>
        <v/>
      </c>
      <c r="H15" s="509">
        <f>IF(OR(2&gt;$B$3,ISBLANK(Actuals!D21)),"",'Reforecast Q1 2026'!D21-Actuals!D21)</f>
        <v/>
      </c>
      <c r="I15" s="509">
        <f>IFERROR(IF(OR(2&gt;$B$3,ISBLANK(Actuals!D21)),"",('Reforecast Q1 2026'!D21-Actuals!D21)/ABS('Reforecast Q1 2026'!D21)),"")</f>
        <v/>
      </c>
      <c r="J15" s="508">
        <f>'Reforecast Q1 2026'!E21</f>
        <v/>
      </c>
      <c r="K15" s="508">
        <f>IF(OR(3&gt;$B$3,ISBLANK(Actuals!E21)),"",Actuals!E21)</f>
        <v/>
      </c>
      <c r="L15" s="509">
        <f>IF(OR(3&gt;$B$3,ISBLANK(Actuals!E21)),"",'Reforecast Q1 2026'!E21-Actuals!E21)</f>
        <v/>
      </c>
      <c r="M15" s="509">
        <f>IFERROR(IF(OR(3&gt;$B$3,ISBLANK(Actuals!E21)),"",('Reforecast Q1 2026'!E21-Actuals!E21)/ABS('Reforecast Q1 2026'!E21)),"")</f>
        <v/>
      </c>
      <c r="N15" s="508">
        <f>'Reforecast Q1 2026'!F21</f>
        <v/>
      </c>
      <c r="O15" s="508">
        <f>IF(OR(4&gt;$B$3,ISBLANK(Actuals!F21)),"",Actuals!F21)</f>
        <v/>
      </c>
      <c r="P15" s="509">
        <f>IF(OR(4&gt;$B$3,ISBLANK(Actuals!F21)),"",'Reforecast Q1 2026'!F21-Actuals!F21)</f>
        <v/>
      </c>
      <c r="Q15" s="509">
        <f>IFERROR(IF(OR(4&gt;$B$3,ISBLANK(Actuals!F21)),"",('Reforecast Q1 2026'!F21-Actuals!F21)/ABS('Reforecast Q1 2026'!F21)),"")</f>
        <v/>
      </c>
      <c r="R15" s="508">
        <f>'Reforecast Q1 2026'!G21</f>
        <v/>
      </c>
      <c r="S15" s="508">
        <f>IF(OR(5&gt;$B$3,ISBLANK(Actuals!G21)),"",Actuals!G21)</f>
        <v/>
      </c>
      <c r="T15" s="509">
        <f>IF(OR(5&gt;$B$3,ISBLANK(Actuals!G21)),"",'Reforecast Q1 2026'!G21-Actuals!G21)</f>
        <v/>
      </c>
      <c r="U15" s="509">
        <f>IFERROR(IF(OR(5&gt;$B$3,ISBLANK(Actuals!G21)),"",('Reforecast Q1 2026'!G21-Actuals!G21)/ABS('Reforecast Q1 2026'!G21)),"")</f>
        <v/>
      </c>
      <c r="V15" s="508">
        <f>'Reforecast Q1 2026'!H21</f>
        <v/>
      </c>
      <c r="W15" s="508">
        <f>IF(OR(6&gt;$B$3,ISBLANK(Actuals!H21)),"",Actuals!H21)</f>
        <v/>
      </c>
      <c r="X15" s="509">
        <f>IF(OR(6&gt;$B$3,ISBLANK(Actuals!H21)),"",'Reforecast Q1 2026'!H21-Actuals!H21)</f>
        <v/>
      </c>
      <c r="Y15" s="509">
        <f>IFERROR(IF(OR(6&gt;$B$3,ISBLANK(Actuals!H21)),"",('Reforecast Q1 2026'!H21-Actuals!H21)/ABS('Reforecast Q1 2026'!H21)),"")</f>
        <v/>
      </c>
      <c r="Z15" s="508">
        <f>'Reforecast Q1 2026'!I21</f>
        <v/>
      </c>
      <c r="AA15" s="508">
        <f>IF(OR(7&gt;$B$3,ISBLANK(Actuals!I21)),"",Actuals!I21)</f>
        <v/>
      </c>
      <c r="AB15" s="509">
        <f>IF(OR(7&gt;$B$3,ISBLANK(Actuals!I21)),"",'Reforecast Q1 2026'!I21-Actuals!I21)</f>
        <v/>
      </c>
      <c r="AC15" s="509">
        <f>IFERROR(IF(OR(7&gt;$B$3,ISBLANK(Actuals!I21)),"",('Reforecast Q1 2026'!I21-Actuals!I21)/ABS('Reforecast Q1 2026'!I21)),"")</f>
        <v/>
      </c>
      <c r="AD15" s="508">
        <f>'Reforecast Q1 2026'!J21</f>
        <v/>
      </c>
      <c r="AE15" s="508">
        <f>IF(OR(8&gt;$B$3,ISBLANK(Actuals!J21)),"",Actuals!J21)</f>
        <v/>
      </c>
      <c r="AF15" s="509">
        <f>IF(OR(8&gt;$B$3,ISBLANK(Actuals!J21)),"",'Reforecast Q1 2026'!J21-Actuals!J21)</f>
        <v/>
      </c>
      <c r="AG15" s="509">
        <f>IFERROR(IF(OR(8&gt;$B$3,ISBLANK(Actuals!J21)),"",('Reforecast Q1 2026'!J21-Actuals!J21)/ABS('Reforecast Q1 2026'!J21)),"")</f>
        <v/>
      </c>
      <c r="AH15" s="508">
        <f>'Reforecast Q1 2026'!K21</f>
        <v/>
      </c>
      <c r="AI15" s="508">
        <f>IF(OR(9&gt;$B$3,ISBLANK(Actuals!K21)),"",Actuals!K21)</f>
        <v/>
      </c>
      <c r="AJ15" s="509">
        <f>IF(OR(9&gt;$B$3,ISBLANK(Actuals!K21)),"",'Reforecast Q1 2026'!K21-Actuals!K21)</f>
        <v/>
      </c>
      <c r="AK15" s="509">
        <f>IFERROR(IF(OR(9&gt;$B$3,ISBLANK(Actuals!K21)),"",('Reforecast Q1 2026'!K21-Actuals!K21)/ABS('Reforecast Q1 2026'!K21)),"")</f>
        <v/>
      </c>
      <c r="AL15" s="508">
        <f>'Reforecast Q1 2026'!L21</f>
        <v/>
      </c>
      <c r="AM15" s="508">
        <f>IF(OR(10&gt;$B$3,ISBLANK(Actuals!L21)),"",Actuals!L21)</f>
        <v/>
      </c>
      <c r="AN15" s="509">
        <f>IF(OR(10&gt;$B$3,ISBLANK(Actuals!L21)),"",'Reforecast Q1 2026'!L21-Actuals!L21)</f>
        <v/>
      </c>
      <c r="AO15" s="509">
        <f>IFERROR(IF(OR(10&gt;$B$3,ISBLANK(Actuals!L21)),"",('Reforecast Q1 2026'!L21-Actuals!L21)/ABS('Reforecast Q1 2026'!L21)),"")</f>
        <v/>
      </c>
      <c r="AP15" s="508">
        <f>'Reforecast Q1 2026'!M21</f>
        <v/>
      </c>
      <c r="AQ15" s="508">
        <f>IF(OR(11&gt;$B$3,ISBLANK(Actuals!M21)),"",Actuals!M21)</f>
        <v/>
      </c>
      <c r="AR15" s="509">
        <f>IF(OR(11&gt;$B$3,ISBLANK(Actuals!M21)),"",'Reforecast Q1 2026'!M21-Actuals!M21)</f>
        <v/>
      </c>
      <c r="AS15" s="509">
        <f>IFERROR(IF(OR(11&gt;$B$3,ISBLANK(Actuals!M21)),"",('Reforecast Q1 2026'!M21-Actuals!M21)/ABS('Reforecast Q1 2026'!M21)),"")</f>
        <v/>
      </c>
      <c r="AT15" s="508">
        <f>'Reforecast Q1 2026'!N21</f>
        <v/>
      </c>
      <c r="AU15" s="508">
        <f>IF(OR(12&gt;$B$3,ISBLANK(Actuals!N21)),"",Actuals!N21)</f>
        <v/>
      </c>
      <c r="AV15" s="509">
        <f>IF(OR(12&gt;$B$3,ISBLANK(Actuals!N21)),"",'Reforecast Q1 2026'!N21-Actuals!N21)</f>
        <v/>
      </c>
      <c r="AW15" s="509">
        <f>IFERROR(IF(OR(12&gt;$B$3,ISBLANK(Actuals!N21)),"",('Reforecast Q1 2026'!N21-Actuals!N21)/ABS('Reforecast Q1 2026'!N21)),"")</f>
        <v/>
      </c>
      <c r="AX15" s="510">
        <f>SUMPRODUCT((Actuals!C21:N21&lt;&gt;"")*('Reforecast Q1 2026'!C21:N21))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'Reforecast Q1 2026'!C22</f>
        <v/>
      </c>
      <c r="C16" s="508">
        <f>IF(OR(1&gt;$B$3,ISBLANK(Actuals!C22)),"",Actuals!C22)</f>
        <v/>
      </c>
      <c r="D16" s="509">
        <f>IF(OR(1&gt;$B$3,ISBLANK(Actuals!C22)),"",'Reforecast Q1 2026'!C22-Actuals!C22)</f>
        <v/>
      </c>
      <c r="E16" s="509">
        <f>IFERROR(IF(OR(1&gt;$B$3,ISBLANK(Actuals!C22)),"",('Reforecast Q1 2026'!C22-Actuals!C22)/ABS('Reforecast Q1 2026'!C22)),"")</f>
        <v/>
      </c>
      <c r="F16" s="508">
        <f>'Reforecast Q1 2026'!D22</f>
        <v/>
      </c>
      <c r="G16" s="508">
        <f>IF(OR(2&gt;$B$3,ISBLANK(Actuals!D22)),"",Actuals!D22)</f>
        <v/>
      </c>
      <c r="H16" s="509">
        <f>IF(OR(2&gt;$B$3,ISBLANK(Actuals!D22)),"",'Reforecast Q1 2026'!D22-Actuals!D22)</f>
        <v/>
      </c>
      <c r="I16" s="509">
        <f>IFERROR(IF(OR(2&gt;$B$3,ISBLANK(Actuals!D22)),"",('Reforecast Q1 2026'!D22-Actuals!D22)/ABS('Reforecast Q1 2026'!D22)),"")</f>
        <v/>
      </c>
      <c r="J16" s="508">
        <f>'Reforecast Q1 2026'!E22</f>
        <v/>
      </c>
      <c r="K16" s="508">
        <f>IF(OR(3&gt;$B$3,ISBLANK(Actuals!E22)),"",Actuals!E22)</f>
        <v/>
      </c>
      <c r="L16" s="509">
        <f>IF(OR(3&gt;$B$3,ISBLANK(Actuals!E22)),"",'Reforecast Q1 2026'!E22-Actuals!E22)</f>
        <v/>
      </c>
      <c r="M16" s="509">
        <f>IFERROR(IF(OR(3&gt;$B$3,ISBLANK(Actuals!E22)),"",('Reforecast Q1 2026'!E22-Actuals!E22)/ABS('Reforecast Q1 2026'!E22)),"")</f>
        <v/>
      </c>
      <c r="N16" s="508">
        <f>'Reforecast Q1 2026'!F22</f>
        <v/>
      </c>
      <c r="O16" s="508">
        <f>IF(OR(4&gt;$B$3,ISBLANK(Actuals!F22)),"",Actuals!F22)</f>
        <v/>
      </c>
      <c r="P16" s="509">
        <f>IF(OR(4&gt;$B$3,ISBLANK(Actuals!F22)),"",'Reforecast Q1 2026'!F22-Actuals!F22)</f>
        <v/>
      </c>
      <c r="Q16" s="509">
        <f>IFERROR(IF(OR(4&gt;$B$3,ISBLANK(Actuals!F22)),"",('Reforecast Q1 2026'!F22-Actuals!F22)/ABS('Reforecast Q1 2026'!F22)),"")</f>
        <v/>
      </c>
      <c r="R16" s="508">
        <f>'Reforecast Q1 2026'!G22</f>
        <v/>
      </c>
      <c r="S16" s="508">
        <f>IF(OR(5&gt;$B$3,ISBLANK(Actuals!G22)),"",Actuals!G22)</f>
        <v/>
      </c>
      <c r="T16" s="509">
        <f>IF(OR(5&gt;$B$3,ISBLANK(Actuals!G22)),"",'Reforecast Q1 2026'!G22-Actuals!G22)</f>
        <v/>
      </c>
      <c r="U16" s="509">
        <f>IFERROR(IF(OR(5&gt;$B$3,ISBLANK(Actuals!G22)),"",('Reforecast Q1 2026'!G22-Actuals!G22)/ABS('Reforecast Q1 2026'!G22)),"")</f>
        <v/>
      </c>
      <c r="V16" s="508">
        <f>'Reforecast Q1 2026'!H22</f>
        <v/>
      </c>
      <c r="W16" s="508">
        <f>IF(OR(6&gt;$B$3,ISBLANK(Actuals!H22)),"",Actuals!H22)</f>
        <v/>
      </c>
      <c r="X16" s="509">
        <f>IF(OR(6&gt;$B$3,ISBLANK(Actuals!H22)),"",'Reforecast Q1 2026'!H22-Actuals!H22)</f>
        <v/>
      </c>
      <c r="Y16" s="509">
        <f>IFERROR(IF(OR(6&gt;$B$3,ISBLANK(Actuals!H22)),"",('Reforecast Q1 2026'!H22-Actuals!H22)/ABS('Reforecast Q1 2026'!H22)),"")</f>
        <v/>
      </c>
      <c r="Z16" s="508">
        <f>'Reforecast Q1 2026'!I22</f>
        <v/>
      </c>
      <c r="AA16" s="508">
        <f>IF(OR(7&gt;$B$3,ISBLANK(Actuals!I22)),"",Actuals!I22)</f>
        <v/>
      </c>
      <c r="AB16" s="509">
        <f>IF(OR(7&gt;$B$3,ISBLANK(Actuals!I22)),"",'Reforecast Q1 2026'!I22-Actuals!I22)</f>
        <v/>
      </c>
      <c r="AC16" s="509">
        <f>IFERROR(IF(OR(7&gt;$B$3,ISBLANK(Actuals!I22)),"",('Reforecast Q1 2026'!I22-Actuals!I22)/ABS('Reforecast Q1 2026'!I22)),"")</f>
        <v/>
      </c>
      <c r="AD16" s="508">
        <f>'Reforecast Q1 2026'!J22</f>
        <v/>
      </c>
      <c r="AE16" s="508">
        <f>IF(OR(8&gt;$B$3,ISBLANK(Actuals!J22)),"",Actuals!J22)</f>
        <v/>
      </c>
      <c r="AF16" s="509">
        <f>IF(OR(8&gt;$B$3,ISBLANK(Actuals!J22)),"",'Reforecast Q1 2026'!J22-Actuals!J22)</f>
        <v/>
      </c>
      <c r="AG16" s="509">
        <f>IFERROR(IF(OR(8&gt;$B$3,ISBLANK(Actuals!J22)),"",('Reforecast Q1 2026'!J22-Actuals!J22)/ABS('Reforecast Q1 2026'!J22)),"")</f>
        <v/>
      </c>
      <c r="AH16" s="508">
        <f>'Reforecast Q1 2026'!K22</f>
        <v/>
      </c>
      <c r="AI16" s="508">
        <f>IF(OR(9&gt;$B$3,ISBLANK(Actuals!K22)),"",Actuals!K22)</f>
        <v/>
      </c>
      <c r="AJ16" s="509">
        <f>IF(OR(9&gt;$B$3,ISBLANK(Actuals!K22)),"",'Reforecast Q1 2026'!K22-Actuals!K22)</f>
        <v/>
      </c>
      <c r="AK16" s="509">
        <f>IFERROR(IF(OR(9&gt;$B$3,ISBLANK(Actuals!K22)),"",('Reforecast Q1 2026'!K22-Actuals!K22)/ABS('Reforecast Q1 2026'!K22)),"")</f>
        <v/>
      </c>
      <c r="AL16" s="508">
        <f>'Reforecast Q1 2026'!L22</f>
        <v/>
      </c>
      <c r="AM16" s="508">
        <f>IF(OR(10&gt;$B$3,ISBLANK(Actuals!L22)),"",Actuals!L22)</f>
        <v/>
      </c>
      <c r="AN16" s="509">
        <f>IF(OR(10&gt;$B$3,ISBLANK(Actuals!L22)),"",'Reforecast Q1 2026'!L22-Actuals!L22)</f>
        <v/>
      </c>
      <c r="AO16" s="509">
        <f>IFERROR(IF(OR(10&gt;$B$3,ISBLANK(Actuals!L22)),"",('Reforecast Q1 2026'!L22-Actuals!L22)/ABS('Reforecast Q1 2026'!L22)),"")</f>
        <v/>
      </c>
      <c r="AP16" s="508">
        <f>'Reforecast Q1 2026'!M22</f>
        <v/>
      </c>
      <c r="AQ16" s="508">
        <f>IF(OR(11&gt;$B$3,ISBLANK(Actuals!M22)),"",Actuals!M22)</f>
        <v/>
      </c>
      <c r="AR16" s="509">
        <f>IF(OR(11&gt;$B$3,ISBLANK(Actuals!M22)),"",'Reforecast Q1 2026'!M22-Actuals!M22)</f>
        <v/>
      </c>
      <c r="AS16" s="509">
        <f>IFERROR(IF(OR(11&gt;$B$3,ISBLANK(Actuals!M22)),"",('Reforecast Q1 2026'!M22-Actuals!M22)/ABS('Reforecast Q1 2026'!M22)),"")</f>
        <v/>
      </c>
      <c r="AT16" s="508">
        <f>'Reforecast Q1 2026'!N22</f>
        <v/>
      </c>
      <c r="AU16" s="508">
        <f>IF(OR(12&gt;$B$3,ISBLANK(Actuals!N22)),"",Actuals!N22)</f>
        <v/>
      </c>
      <c r="AV16" s="509">
        <f>IF(OR(12&gt;$B$3,ISBLANK(Actuals!N22)),"",'Reforecast Q1 2026'!N22-Actuals!N22)</f>
        <v/>
      </c>
      <c r="AW16" s="509">
        <f>IFERROR(IF(OR(12&gt;$B$3,ISBLANK(Actuals!N22)),"",('Reforecast Q1 2026'!N22-Actuals!N22)/ABS('Reforecast Q1 2026'!N22)),"")</f>
        <v/>
      </c>
      <c r="AX16" s="510">
        <f>SUMPRODUCT((Actuals!C22:N22&lt;&gt;"")*('Reforecast Q1 2026'!C22:N22))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'Reforecast Q1 2026'!C23</f>
        <v/>
      </c>
      <c r="C17" s="508">
        <f>IF(OR(1&gt;$B$3,ISBLANK(Actuals!C23)),"",Actuals!C23)</f>
        <v/>
      </c>
      <c r="D17" s="509">
        <f>IF(OR(1&gt;$B$3,ISBLANK(Actuals!C23)),"",'Reforecast Q1 2026'!C23-Actuals!C23)</f>
        <v/>
      </c>
      <c r="E17" s="509">
        <f>IFERROR(IF(OR(1&gt;$B$3,ISBLANK(Actuals!C23)),"",('Reforecast Q1 2026'!C23-Actuals!C23)/ABS('Reforecast Q1 2026'!C23)),"")</f>
        <v/>
      </c>
      <c r="F17" s="508">
        <f>'Reforecast Q1 2026'!D23</f>
        <v/>
      </c>
      <c r="G17" s="508">
        <f>IF(OR(2&gt;$B$3,ISBLANK(Actuals!D23)),"",Actuals!D23)</f>
        <v/>
      </c>
      <c r="H17" s="509">
        <f>IF(OR(2&gt;$B$3,ISBLANK(Actuals!D23)),"",'Reforecast Q1 2026'!D23-Actuals!D23)</f>
        <v/>
      </c>
      <c r="I17" s="509">
        <f>IFERROR(IF(OR(2&gt;$B$3,ISBLANK(Actuals!D23)),"",('Reforecast Q1 2026'!D23-Actuals!D23)/ABS('Reforecast Q1 2026'!D23)),"")</f>
        <v/>
      </c>
      <c r="J17" s="508">
        <f>'Reforecast Q1 2026'!E23</f>
        <v/>
      </c>
      <c r="K17" s="508">
        <f>IF(OR(3&gt;$B$3,ISBLANK(Actuals!E23)),"",Actuals!E23)</f>
        <v/>
      </c>
      <c r="L17" s="509">
        <f>IF(OR(3&gt;$B$3,ISBLANK(Actuals!E23)),"",'Reforecast Q1 2026'!E23-Actuals!E23)</f>
        <v/>
      </c>
      <c r="M17" s="509">
        <f>IFERROR(IF(OR(3&gt;$B$3,ISBLANK(Actuals!E23)),"",('Reforecast Q1 2026'!E23-Actuals!E23)/ABS('Reforecast Q1 2026'!E23)),"")</f>
        <v/>
      </c>
      <c r="N17" s="508">
        <f>'Reforecast Q1 2026'!F23</f>
        <v/>
      </c>
      <c r="O17" s="508">
        <f>IF(OR(4&gt;$B$3,ISBLANK(Actuals!F23)),"",Actuals!F23)</f>
        <v/>
      </c>
      <c r="P17" s="509">
        <f>IF(OR(4&gt;$B$3,ISBLANK(Actuals!F23)),"",'Reforecast Q1 2026'!F23-Actuals!F23)</f>
        <v/>
      </c>
      <c r="Q17" s="509">
        <f>IFERROR(IF(OR(4&gt;$B$3,ISBLANK(Actuals!F23)),"",('Reforecast Q1 2026'!F23-Actuals!F23)/ABS('Reforecast Q1 2026'!F23)),"")</f>
        <v/>
      </c>
      <c r="R17" s="508">
        <f>'Reforecast Q1 2026'!G23</f>
        <v/>
      </c>
      <c r="S17" s="508">
        <f>IF(OR(5&gt;$B$3,ISBLANK(Actuals!G23)),"",Actuals!G23)</f>
        <v/>
      </c>
      <c r="T17" s="509">
        <f>IF(OR(5&gt;$B$3,ISBLANK(Actuals!G23)),"",'Reforecast Q1 2026'!G23-Actuals!G23)</f>
        <v/>
      </c>
      <c r="U17" s="509">
        <f>IFERROR(IF(OR(5&gt;$B$3,ISBLANK(Actuals!G23)),"",('Reforecast Q1 2026'!G23-Actuals!G23)/ABS('Reforecast Q1 2026'!G23)),"")</f>
        <v/>
      </c>
      <c r="V17" s="508">
        <f>'Reforecast Q1 2026'!H23</f>
        <v/>
      </c>
      <c r="W17" s="508">
        <f>IF(OR(6&gt;$B$3,ISBLANK(Actuals!H23)),"",Actuals!H23)</f>
        <v/>
      </c>
      <c r="X17" s="509">
        <f>IF(OR(6&gt;$B$3,ISBLANK(Actuals!H23)),"",'Reforecast Q1 2026'!H23-Actuals!H23)</f>
        <v/>
      </c>
      <c r="Y17" s="509">
        <f>IFERROR(IF(OR(6&gt;$B$3,ISBLANK(Actuals!H23)),"",('Reforecast Q1 2026'!H23-Actuals!H23)/ABS('Reforecast Q1 2026'!H23)),"")</f>
        <v/>
      </c>
      <c r="Z17" s="508">
        <f>'Reforecast Q1 2026'!I23</f>
        <v/>
      </c>
      <c r="AA17" s="508">
        <f>IF(OR(7&gt;$B$3,ISBLANK(Actuals!I23)),"",Actuals!I23)</f>
        <v/>
      </c>
      <c r="AB17" s="509">
        <f>IF(OR(7&gt;$B$3,ISBLANK(Actuals!I23)),"",'Reforecast Q1 2026'!I23-Actuals!I23)</f>
        <v/>
      </c>
      <c r="AC17" s="509">
        <f>IFERROR(IF(OR(7&gt;$B$3,ISBLANK(Actuals!I23)),"",('Reforecast Q1 2026'!I23-Actuals!I23)/ABS('Reforecast Q1 2026'!I23)),"")</f>
        <v/>
      </c>
      <c r="AD17" s="508">
        <f>'Reforecast Q1 2026'!J23</f>
        <v/>
      </c>
      <c r="AE17" s="508">
        <f>IF(OR(8&gt;$B$3,ISBLANK(Actuals!J23)),"",Actuals!J23)</f>
        <v/>
      </c>
      <c r="AF17" s="509">
        <f>IF(OR(8&gt;$B$3,ISBLANK(Actuals!J23)),"",'Reforecast Q1 2026'!J23-Actuals!J23)</f>
        <v/>
      </c>
      <c r="AG17" s="509">
        <f>IFERROR(IF(OR(8&gt;$B$3,ISBLANK(Actuals!J23)),"",('Reforecast Q1 2026'!J23-Actuals!J23)/ABS('Reforecast Q1 2026'!J23)),"")</f>
        <v/>
      </c>
      <c r="AH17" s="508">
        <f>'Reforecast Q1 2026'!K23</f>
        <v/>
      </c>
      <c r="AI17" s="508">
        <f>IF(OR(9&gt;$B$3,ISBLANK(Actuals!K23)),"",Actuals!K23)</f>
        <v/>
      </c>
      <c r="AJ17" s="509">
        <f>IF(OR(9&gt;$B$3,ISBLANK(Actuals!K23)),"",'Reforecast Q1 2026'!K23-Actuals!K23)</f>
        <v/>
      </c>
      <c r="AK17" s="509">
        <f>IFERROR(IF(OR(9&gt;$B$3,ISBLANK(Actuals!K23)),"",('Reforecast Q1 2026'!K23-Actuals!K23)/ABS('Reforecast Q1 2026'!K23)),"")</f>
        <v/>
      </c>
      <c r="AL17" s="508">
        <f>'Reforecast Q1 2026'!L23</f>
        <v/>
      </c>
      <c r="AM17" s="508">
        <f>IF(OR(10&gt;$B$3,ISBLANK(Actuals!L23)),"",Actuals!L23)</f>
        <v/>
      </c>
      <c r="AN17" s="509">
        <f>IF(OR(10&gt;$B$3,ISBLANK(Actuals!L23)),"",'Reforecast Q1 2026'!L23-Actuals!L23)</f>
        <v/>
      </c>
      <c r="AO17" s="509">
        <f>IFERROR(IF(OR(10&gt;$B$3,ISBLANK(Actuals!L23)),"",('Reforecast Q1 2026'!L23-Actuals!L23)/ABS('Reforecast Q1 2026'!L23)),"")</f>
        <v/>
      </c>
      <c r="AP17" s="508">
        <f>'Reforecast Q1 2026'!M23</f>
        <v/>
      </c>
      <c r="AQ17" s="508">
        <f>IF(OR(11&gt;$B$3,ISBLANK(Actuals!M23)),"",Actuals!M23)</f>
        <v/>
      </c>
      <c r="AR17" s="509">
        <f>IF(OR(11&gt;$B$3,ISBLANK(Actuals!M23)),"",'Reforecast Q1 2026'!M23-Actuals!M23)</f>
        <v/>
      </c>
      <c r="AS17" s="509">
        <f>IFERROR(IF(OR(11&gt;$B$3,ISBLANK(Actuals!M23)),"",('Reforecast Q1 2026'!M23-Actuals!M23)/ABS('Reforecast Q1 2026'!M23)),"")</f>
        <v/>
      </c>
      <c r="AT17" s="508">
        <f>'Reforecast Q1 2026'!N23</f>
        <v/>
      </c>
      <c r="AU17" s="508">
        <f>IF(OR(12&gt;$B$3,ISBLANK(Actuals!N23)),"",Actuals!N23)</f>
        <v/>
      </c>
      <c r="AV17" s="509">
        <f>IF(OR(12&gt;$B$3,ISBLANK(Actuals!N23)),"",'Reforecast Q1 2026'!N23-Actuals!N23)</f>
        <v/>
      </c>
      <c r="AW17" s="509">
        <f>IFERROR(IF(OR(12&gt;$B$3,ISBLANK(Actuals!N23)),"",('Reforecast Q1 2026'!N23-Actuals!N23)/ABS('Reforecast Q1 2026'!N23)),"")</f>
        <v/>
      </c>
      <c r="AX17" s="510">
        <f>SUMPRODUCT((Actuals!C23:N23&lt;&gt;"")*('Reforecast Q1 2026'!C23:N23))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'Reforecast Q1 2026'!C24</f>
        <v/>
      </c>
      <c r="C18" s="508">
        <f>IF(OR(1&gt;$B$3,ISBLANK(Actuals!C24)),"",Actuals!C24)</f>
        <v/>
      </c>
      <c r="D18" s="509">
        <f>IF(OR(1&gt;$B$3,ISBLANK(Actuals!C24)),"",'Reforecast Q1 2026'!C24-Actuals!C24)</f>
        <v/>
      </c>
      <c r="E18" s="509">
        <f>IFERROR(IF(OR(1&gt;$B$3,ISBLANK(Actuals!C24)),"",('Reforecast Q1 2026'!C24-Actuals!C24)/ABS('Reforecast Q1 2026'!C24)),"")</f>
        <v/>
      </c>
      <c r="F18" s="508">
        <f>'Reforecast Q1 2026'!D24</f>
        <v/>
      </c>
      <c r="G18" s="508">
        <f>IF(OR(2&gt;$B$3,ISBLANK(Actuals!D24)),"",Actuals!D24)</f>
        <v/>
      </c>
      <c r="H18" s="509">
        <f>IF(OR(2&gt;$B$3,ISBLANK(Actuals!D24)),"",'Reforecast Q1 2026'!D24-Actuals!D24)</f>
        <v/>
      </c>
      <c r="I18" s="509">
        <f>IFERROR(IF(OR(2&gt;$B$3,ISBLANK(Actuals!D24)),"",('Reforecast Q1 2026'!D24-Actuals!D24)/ABS('Reforecast Q1 2026'!D24)),"")</f>
        <v/>
      </c>
      <c r="J18" s="508">
        <f>'Reforecast Q1 2026'!E24</f>
        <v/>
      </c>
      <c r="K18" s="508">
        <f>IF(OR(3&gt;$B$3,ISBLANK(Actuals!E24)),"",Actuals!E24)</f>
        <v/>
      </c>
      <c r="L18" s="509">
        <f>IF(OR(3&gt;$B$3,ISBLANK(Actuals!E24)),"",'Reforecast Q1 2026'!E24-Actuals!E24)</f>
        <v/>
      </c>
      <c r="M18" s="509">
        <f>IFERROR(IF(OR(3&gt;$B$3,ISBLANK(Actuals!E24)),"",('Reforecast Q1 2026'!E24-Actuals!E24)/ABS('Reforecast Q1 2026'!E24)),"")</f>
        <v/>
      </c>
      <c r="N18" s="508">
        <f>'Reforecast Q1 2026'!F24</f>
        <v/>
      </c>
      <c r="O18" s="508">
        <f>IF(OR(4&gt;$B$3,ISBLANK(Actuals!F24)),"",Actuals!F24)</f>
        <v/>
      </c>
      <c r="P18" s="509">
        <f>IF(OR(4&gt;$B$3,ISBLANK(Actuals!F24)),"",'Reforecast Q1 2026'!F24-Actuals!F24)</f>
        <v/>
      </c>
      <c r="Q18" s="509">
        <f>IFERROR(IF(OR(4&gt;$B$3,ISBLANK(Actuals!F24)),"",('Reforecast Q1 2026'!F24-Actuals!F24)/ABS('Reforecast Q1 2026'!F24)),"")</f>
        <v/>
      </c>
      <c r="R18" s="508">
        <f>'Reforecast Q1 2026'!G24</f>
        <v/>
      </c>
      <c r="S18" s="508">
        <f>IF(OR(5&gt;$B$3,ISBLANK(Actuals!G24)),"",Actuals!G24)</f>
        <v/>
      </c>
      <c r="T18" s="509">
        <f>IF(OR(5&gt;$B$3,ISBLANK(Actuals!G24)),"",'Reforecast Q1 2026'!G24-Actuals!G24)</f>
        <v/>
      </c>
      <c r="U18" s="509">
        <f>IFERROR(IF(OR(5&gt;$B$3,ISBLANK(Actuals!G24)),"",('Reforecast Q1 2026'!G24-Actuals!G24)/ABS('Reforecast Q1 2026'!G24)),"")</f>
        <v/>
      </c>
      <c r="V18" s="508">
        <f>'Reforecast Q1 2026'!H24</f>
        <v/>
      </c>
      <c r="W18" s="508">
        <f>IF(OR(6&gt;$B$3,ISBLANK(Actuals!H24)),"",Actuals!H24)</f>
        <v/>
      </c>
      <c r="X18" s="509">
        <f>IF(OR(6&gt;$B$3,ISBLANK(Actuals!H24)),"",'Reforecast Q1 2026'!H24-Actuals!H24)</f>
        <v/>
      </c>
      <c r="Y18" s="509">
        <f>IFERROR(IF(OR(6&gt;$B$3,ISBLANK(Actuals!H24)),"",('Reforecast Q1 2026'!H24-Actuals!H24)/ABS('Reforecast Q1 2026'!H24)),"")</f>
        <v/>
      </c>
      <c r="Z18" s="508">
        <f>'Reforecast Q1 2026'!I24</f>
        <v/>
      </c>
      <c r="AA18" s="508">
        <f>IF(OR(7&gt;$B$3,ISBLANK(Actuals!I24)),"",Actuals!I24)</f>
        <v/>
      </c>
      <c r="AB18" s="509">
        <f>IF(OR(7&gt;$B$3,ISBLANK(Actuals!I24)),"",'Reforecast Q1 2026'!I24-Actuals!I24)</f>
        <v/>
      </c>
      <c r="AC18" s="509">
        <f>IFERROR(IF(OR(7&gt;$B$3,ISBLANK(Actuals!I24)),"",('Reforecast Q1 2026'!I24-Actuals!I24)/ABS('Reforecast Q1 2026'!I24)),"")</f>
        <v/>
      </c>
      <c r="AD18" s="508">
        <f>'Reforecast Q1 2026'!J24</f>
        <v/>
      </c>
      <c r="AE18" s="508">
        <f>IF(OR(8&gt;$B$3,ISBLANK(Actuals!J24)),"",Actuals!J24)</f>
        <v/>
      </c>
      <c r="AF18" s="509">
        <f>IF(OR(8&gt;$B$3,ISBLANK(Actuals!J24)),"",'Reforecast Q1 2026'!J24-Actuals!J24)</f>
        <v/>
      </c>
      <c r="AG18" s="509">
        <f>IFERROR(IF(OR(8&gt;$B$3,ISBLANK(Actuals!J24)),"",('Reforecast Q1 2026'!J24-Actuals!J24)/ABS('Reforecast Q1 2026'!J24)),"")</f>
        <v/>
      </c>
      <c r="AH18" s="508">
        <f>'Reforecast Q1 2026'!K24</f>
        <v/>
      </c>
      <c r="AI18" s="508">
        <f>IF(OR(9&gt;$B$3,ISBLANK(Actuals!K24)),"",Actuals!K24)</f>
        <v/>
      </c>
      <c r="AJ18" s="509">
        <f>IF(OR(9&gt;$B$3,ISBLANK(Actuals!K24)),"",'Reforecast Q1 2026'!K24-Actuals!K24)</f>
        <v/>
      </c>
      <c r="AK18" s="509">
        <f>IFERROR(IF(OR(9&gt;$B$3,ISBLANK(Actuals!K24)),"",('Reforecast Q1 2026'!K24-Actuals!K24)/ABS('Reforecast Q1 2026'!K24)),"")</f>
        <v/>
      </c>
      <c r="AL18" s="508">
        <f>'Reforecast Q1 2026'!L24</f>
        <v/>
      </c>
      <c r="AM18" s="508">
        <f>IF(OR(10&gt;$B$3,ISBLANK(Actuals!L24)),"",Actuals!L24)</f>
        <v/>
      </c>
      <c r="AN18" s="509">
        <f>IF(OR(10&gt;$B$3,ISBLANK(Actuals!L24)),"",'Reforecast Q1 2026'!L24-Actuals!L24)</f>
        <v/>
      </c>
      <c r="AO18" s="509">
        <f>IFERROR(IF(OR(10&gt;$B$3,ISBLANK(Actuals!L24)),"",('Reforecast Q1 2026'!L24-Actuals!L24)/ABS('Reforecast Q1 2026'!L24)),"")</f>
        <v/>
      </c>
      <c r="AP18" s="508">
        <f>'Reforecast Q1 2026'!M24</f>
        <v/>
      </c>
      <c r="AQ18" s="508">
        <f>IF(OR(11&gt;$B$3,ISBLANK(Actuals!M24)),"",Actuals!M24)</f>
        <v/>
      </c>
      <c r="AR18" s="509">
        <f>IF(OR(11&gt;$B$3,ISBLANK(Actuals!M24)),"",'Reforecast Q1 2026'!M24-Actuals!M24)</f>
        <v/>
      </c>
      <c r="AS18" s="509">
        <f>IFERROR(IF(OR(11&gt;$B$3,ISBLANK(Actuals!M24)),"",('Reforecast Q1 2026'!M24-Actuals!M24)/ABS('Reforecast Q1 2026'!M24)),"")</f>
        <v/>
      </c>
      <c r="AT18" s="508">
        <f>'Reforecast Q1 2026'!N24</f>
        <v/>
      </c>
      <c r="AU18" s="508">
        <f>IF(OR(12&gt;$B$3,ISBLANK(Actuals!N24)),"",Actuals!N24)</f>
        <v/>
      </c>
      <c r="AV18" s="509">
        <f>IF(OR(12&gt;$B$3,ISBLANK(Actuals!N24)),"",'Reforecast Q1 2026'!N24-Actuals!N24)</f>
        <v/>
      </c>
      <c r="AW18" s="509">
        <f>IFERROR(IF(OR(12&gt;$B$3,ISBLANK(Actuals!N24)),"",('Reforecast Q1 2026'!N24-Actuals!N24)/ABS('Reforecast Q1 2026'!N24)),"")</f>
        <v/>
      </c>
      <c r="AX18" s="510">
        <f>SUMPRODUCT((Actuals!C24:N24&lt;&gt;"")*('Reforecast Q1 2026'!C24:N24))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'Reforecast Q1 2026'!C25</f>
        <v/>
      </c>
      <c r="C19" s="508">
        <f>IF(OR(1&gt;$B$3,ISBLANK(Actuals!C25)),"",Actuals!C25)</f>
        <v/>
      </c>
      <c r="D19" s="509">
        <f>IF(OR(1&gt;$B$3,ISBLANK(Actuals!C25)),"",'Reforecast Q1 2026'!C25-Actuals!C25)</f>
        <v/>
      </c>
      <c r="E19" s="509">
        <f>IFERROR(IF(OR(1&gt;$B$3,ISBLANK(Actuals!C25)),"",('Reforecast Q1 2026'!C25-Actuals!C25)/ABS('Reforecast Q1 2026'!C25)),"")</f>
        <v/>
      </c>
      <c r="F19" s="508">
        <f>'Reforecast Q1 2026'!D25</f>
        <v/>
      </c>
      <c r="G19" s="508">
        <f>IF(OR(2&gt;$B$3,ISBLANK(Actuals!D25)),"",Actuals!D25)</f>
        <v/>
      </c>
      <c r="H19" s="509">
        <f>IF(OR(2&gt;$B$3,ISBLANK(Actuals!D25)),"",'Reforecast Q1 2026'!D25-Actuals!D25)</f>
        <v/>
      </c>
      <c r="I19" s="509">
        <f>IFERROR(IF(OR(2&gt;$B$3,ISBLANK(Actuals!D25)),"",('Reforecast Q1 2026'!D25-Actuals!D25)/ABS('Reforecast Q1 2026'!D25)),"")</f>
        <v/>
      </c>
      <c r="J19" s="508">
        <f>'Reforecast Q1 2026'!E25</f>
        <v/>
      </c>
      <c r="K19" s="508">
        <f>IF(OR(3&gt;$B$3,ISBLANK(Actuals!E25)),"",Actuals!E25)</f>
        <v/>
      </c>
      <c r="L19" s="509">
        <f>IF(OR(3&gt;$B$3,ISBLANK(Actuals!E25)),"",'Reforecast Q1 2026'!E25-Actuals!E25)</f>
        <v/>
      </c>
      <c r="M19" s="509">
        <f>IFERROR(IF(OR(3&gt;$B$3,ISBLANK(Actuals!E25)),"",('Reforecast Q1 2026'!E25-Actuals!E25)/ABS('Reforecast Q1 2026'!E25)),"")</f>
        <v/>
      </c>
      <c r="N19" s="508">
        <f>'Reforecast Q1 2026'!F25</f>
        <v/>
      </c>
      <c r="O19" s="508">
        <f>IF(OR(4&gt;$B$3,ISBLANK(Actuals!F25)),"",Actuals!F25)</f>
        <v/>
      </c>
      <c r="P19" s="509">
        <f>IF(OR(4&gt;$B$3,ISBLANK(Actuals!F25)),"",'Reforecast Q1 2026'!F25-Actuals!F25)</f>
        <v/>
      </c>
      <c r="Q19" s="509">
        <f>IFERROR(IF(OR(4&gt;$B$3,ISBLANK(Actuals!F25)),"",('Reforecast Q1 2026'!F25-Actuals!F25)/ABS('Reforecast Q1 2026'!F25)),"")</f>
        <v/>
      </c>
      <c r="R19" s="508">
        <f>'Reforecast Q1 2026'!G25</f>
        <v/>
      </c>
      <c r="S19" s="508">
        <f>IF(OR(5&gt;$B$3,ISBLANK(Actuals!G25)),"",Actuals!G25)</f>
        <v/>
      </c>
      <c r="T19" s="509">
        <f>IF(OR(5&gt;$B$3,ISBLANK(Actuals!G25)),"",'Reforecast Q1 2026'!G25-Actuals!G25)</f>
        <v/>
      </c>
      <c r="U19" s="509">
        <f>IFERROR(IF(OR(5&gt;$B$3,ISBLANK(Actuals!G25)),"",('Reforecast Q1 2026'!G25-Actuals!G25)/ABS('Reforecast Q1 2026'!G25)),"")</f>
        <v/>
      </c>
      <c r="V19" s="508">
        <f>'Reforecast Q1 2026'!H25</f>
        <v/>
      </c>
      <c r="W19" s="508">
        <f>IF(OR(6&gt;$B$3,ISBLANK(Actuals!H25)),"",Actuals!H25)</f>
        <v/>
      </c>
      <c r="X19" s="509">
        <f>IF(OR(6&gt;$B$3,ISBLANK(Actuals!H25)),"",'Reforecast Q1 2026'!H25-Actuals!H25)</f>
        <v/>
      </c>
      <c r="Y19" s="509">
        <f>IFERROR(IF(OR(6&gt;$B$3,ISBLANK(Actuals!H25)),"",('Reforecast Q1 2026'!H25-Actuals!H25)/ABS('Reforecast Q1 2026'!H25)),"")</f>
        <v/>
      </c>
      <c r="Z19" s="508">
        <f>'Reforecast Q1 2026'!I25</f>
        <v/>
      </c>
      <c r="AA19" s="508">
        <f>IF(OR(7&gt;$B$3,ISBLANK(Actuals!I25)),"",Actuals!I25)</f>
        <v/>
      </c>
      <c r="AB19" s="509">
        <f>IF(OR(7&gt;$B$3,ISBLANK(Actuals!I25)),"",'Reforecast Q1 2026'!I25-Actuals!I25)</f>
        <v/>
      </c>
      <c r="AC19" s="509">
        <f>IFERROR(IF(OR(7&gt;$B$3,ISBLANK(Actuals!I25)),"",('Reforecast Q1 2026'!I25-Actuals!I25)/ABS('Reforecast Q1 2026'!I25)),"")</f>
        <v/>
      </c>
      <c r="AD19" s="508">
        <f>'Reforecast Q1 2026'!J25</f>
        <v/>
      </c>
      <c r="AE19" s="508">
        <f>IF(OR(8&gt;$B$3,ISBLANK(Actuals!J25)),"",Actuals!J25)</f>
        <v/>
      </c>
      <c r="AF19" s="509">
        <f>IF(OR(8&gt;$B$3,ISBLANK(Actuals!J25)),"",'Reforecast Q1 2026'!J25-Actuals!J25)</f>
        <v/>
      </c>
      <c r="AG19" s="509">
        <f>IFERROR(IF(OR(8&gt;$B$3,ISBLANK(Actuals!J25)),"",('Reforecast Q1 2026'!J25-Actuals!J25)/ABS('Reforecast Q1 2026'!J25)),"")</f>
        <v/>
      </c>
      <c r="AH19" s="508">
        <f>'Reforecast Q1 2026'!K25</f>
        <v/>
      </c>
      <c r="AI19" s="508">
        <f>IF(OR(9&gt;$B$3,ISBLANK(Actuals!K25)),"",Actuals!K25)</f>
        <v/>
      </c>
      <c r="AJ19" s="509">
        <f>IF(OR(9&gt;$B$3,ISBLANK(Actuals!K25)),"",'Reforecast Q1 2026'!K25-Actuals!K25)</f>
        <v/>
      </c>
      <c r="AK19" s="509">
        <f>IFERROR(IF(OR(9&gt;$B$3,ISBLANK(Actuals!K25)),"",('Reforecast Q1 2026'!K25-Actuals!K25)/ABS('Reforecast Q1 2026'!K25)),"")</f>
        <v/>
      </c>
      <c r="AL19" s="508">
        <f>'Reforecast Q1 2026'!L25</f>
        <v/>
      </c>
      <c r="AM19" s="508">
        <f>IF(OR(10&gt;$B$3,ISBLANK(Actuals!L25)),"",Actuals!L25)</f>
        <v/>
      </c>
      <c r="AN19" s="509">
        <f>IF(OR(10&gt;$B$3,ISBLANK(Actuals!L25)),"",'Reforecast Q1 2026'!L25-Actuals!L25)</f>
        <v/>
      </c>
      <c r="AO19" s="509">
        <f>IFERROR(IF(OR(10&gt;$B$3,ISBLANK(Actuals!L25)),"",('Reforecast Q1 2026'!L25-Actuals!L25)/ABS('Reforecast Q1 2026'!L25)),"")</f>
        <v/>
      </c>
      <c r="AP19" s="508">
        <f>'Reforecast Q1 2026'!M25</f>
        <v/>
      </c>
      <c r="AQ19" s="508">
        <f>IF(OR(11&gt;$B$3,ISBLANK(Actuals!M25)),"",Actuals!M25)</f>
        <v/>
      </c>
      <c r="AR19" s="509">
        <f>IF(OR(11&gt;$B$3,ISBLANK(Actuals!M25)),"",'Reforecast Q1 2026'!M25-Actuals!M25)</f>
        <v/>
      </c>
      <c r="AS19" s="509">
        <f>IFERROR(IF(OR(11&gt;$B$3,ISBLANK(Actuals!M25)),"",('Reforecast Q1 2026'!M25-Actuals!M25)/ABS('Reforecast Q1 2026'!M25)),"")</f>
        <v/>
      </c>
      <c r="AT19" s="508">
        <f>'Reforecast Q1 2026'!N25</f>
        <v/>
      </c>
      <c r="AU19" s="508">
        <f>IF(OR(12&gt;$B$3,ISBLANK(Actuals!N25)),"",Actuals!N25)</f>
        <v/>
      </c>
      <c r="AV19" s="509">
        <f>IF(OR(12&gt;$B$3,ISBLANK(Actuals!N25)),"",'Reforecast Q1 2026'!N25-Actuals!N25)</f>
        <v/>
      </c>
      <c r="AW19" s="509">
        <f>IFERROR(IF(OR(12&gt;$B$3,ISBLANK(Actuals!N25)),"",('Reforecast Q1 2026'!N25-Actuals!N25)/ABS('Reforecast Q1 2026'!N25)),"")</f>
        <v/>
      </c>
      <c r="AX19" s="510">
        <f>SUMPRODUCT((Actuals!C25:N25&lt;&gt;"")*('Reforecast Q1 2026'!C25:N25))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'Reforecast Q1 2026'!C26</f>
        <v/>
      </c>
      <c r="C20" s="508">
        <f>IF(OR(1&gt;$B$3,ISBLANK(Actuals!C26)),"",Actuals!C26)</f>
        <v/>
      </c>
      <c r="D20" s="509">
        <f>IF(OR(1&gt;$B$3,ISBLANK(Actuals!C26)),"",'Reforecast Q1 2026'!C26-Actuals!C26)</f>
        <v/>
      </c>
      <c r="E20" s="509">
        <f>IFERROR(IF(OR(1&gt;$B$3,ISBLANK(Actuals!C26)),"",('Reforecast Q1 2026'!C26-Actuals!C26)/ABS('Reforecast Q1 2026'!C26)),"")</f>
        <v/>
      </c>
      <c r="F20" s="508">
        <f>'Reforecast Q1 2026'!D26</f>
        <v/>
      </c>
      <c r="G20" s="508">
        <f>IF(OR(2&gt;$B$3,ISBLANK(Actuals!D26)),"",Actuals!D26)</f>
        <v/>
      </c>
      <c r="H20" s="509">
        <f>IF(OR(2&gt;$B$3,ISBLANK(Actuals!D26)),"",'Reforecast Q1 2026'!D26-Actuals!D26)</f>
        <v/>
      </c>
      <c r="I20" s="509">
        <f>IFERROR(IF(OR(2&gt;$B$3,ISBLANK(Actuals!D26)),"",('Reforecast Q1 2026'!D26-Actuals!D26)/ABS('Reforecast Q1 2026'!D26)),"")</f>
        <v/>
      </c>
      <c r="J20" s="508">
        <f>'Reforecast Q1 2026'!E26</f>
        <v/>
      </c>
      <c r="K20" s="508">
        <f>IF(OR(3&gt;$B$3,ISBLANK(Actuals!E26)),"",Actuals!E26)</f>
        <v/>
      </c>
      <c r="L20" s="509">
        <f>IF(OR(3&gt;$B$3,ISBLANK(Actuals!E26)),"",'Reforecast Q1 2026'!E26-Actuals!E26)</f>
        <v/>
      </c>
      <c r="M20" s="509">
        <f>IFERROR(IF(OR(3&gt;$B$3,ISBLANK(Actuals!E26)),"",('Reforecast Q1 2026'!E26-Actuals!E26)/ABS('Reforecast Q1 2026'!E26)),"")</f>
        <v/>
      </c>
      <c r="N20" s="508">
        <f>'Reforecast Q1 2026'!F26</f>
        <v/>
      </c>
      <c r="O20" s="508">
        <f>IF(OR(4&gt;$B$3,ISBLANK(Actuals!F26)),"",Actuals!F26)</f>
        <v/>
      </c>
      <c r="P20" s="509">
        <f>IF(OR(4&gt;$B$3,ISBLANK(Actuals!F26)),"",'Reforecast Q1 2026'!F26-Actuals!F26)</f>
        <v/>
      </c>
      <c r="Q20" s="509">
        <f>IFERROR(IF(OR(4&gt;$B$3,ISBLANK(Actuals!F26)),"",('Reforecast Q1 2026'!F26-Actuals!F26)/ABS('Reforecast Q1 2026'!F26)),"")</f>
        <v/>
      </c>
      <c r="R20" s="508">
        <f>'Reforecast Q1 2026'!G26</f>
        <v/>
      </c>
      <c r="S20" s="508">
        <f>IF(OR(5&gt;$B$3,ISBLANK(Actuals!G26)),"",Actuals!G26)</f>
        <v/>
      </c>
      <c r="T20" s="509">
        <f>IF(OR(5&gt;$B$3,ISBLANK(Actuals!G26)),"",'Reforecast Q1 2026'!G26-Actuals!G26)</f>
        <v/>
      </c>
      <c r="U20" s="509">
        <f>IFERROR(IF(OR(5&gt;$B$3,ISBLANK(Actuals!G26)),"",('Reforecast Q1 2026'!G26-Actuals!G26)/ABS('Reforecast Q1 2026'!G26)),"")</f>
        <v/>
      </c>
      <c r="V20" s="508">
        <f>'Reforecast Q1 2026'!H26</f>
        <v/>
      </c>
      <c r="W20" s="508">
        <f>IF(OR(6&gt;$B$3,ISBLANK(Actuals!H26)),"",Actuals!H26)</f>
        <v/>
      </c>
      <c r="X20" s="509">
        <f>IF(OR(6&gt;$B$3,ISBLANK(Actuals!H26)),"",'Reforecast Q1 2026'!H26-Actuals!H26)</f>
        <v/>
      </c>
      <c r="Y20" s="509">
        <f>IFERROR(IF(OR(6&gt;$B$3,ISBLANK(Actuals!H26)),"",('Reforecast Q1 2026'!H26-Actuals!H26)/ABS('Reforecast Q1 2026'!H26)),"")</f>
        <v/>
      </c>
      <c r="Z20" s="508">
        <f>'Reforecast Q1 2026'!I26</f>
        <v/>
      </c>
      <c r="AA20" s="508">
        <f>IF(OR(7&gt;$B$3,ISBLANK(Actuals!I26)),"",Actuals!I26)</f>
        <v/>
      </c>
      <c r="AB20" s="509">
        <f>IF(OR(7&gt;$B$3,ISBLANK(Actuals!I26)),"",'Reforecast Q1 2026'!I26-Actuals!I26)</f>
        <v/>
      </c>
      <c r="AC20" s="509">
        <f>IFERROR(IF(OR(7&gt;$B$3,ISBLANK(Actuals!I26)),"",('Reforecast Q1 2026'!I26-Actuals!I26)/ABS('Reforecast Q1 2026'!I26)),"")</f>
        <v/>
      </c>
      <c r="AD20" s="508">
        <f>'Reforecast Q1 2026'!J26</f>
        <v/>
      </c>
      <c r="AE20" s="508">
        <f>IF(OR(8&gt;$B$3,ISBLANK(Actuals!J26)),"",Actuals!J26)</f>
        <v/>
      </c>
      <c r="AF20" s="509">
        <f>IF(OR(8&gt;$B$3,ISBLANK(Actuals!J26)),"",'Reforecast Q1 2026'!J26-Actuals!J26)</f>
        <v/>
      </c>
      <c r="AG20" s="509">
        <f>IFERROR(IF(OR(8&gt;$B$3,ISBLANK(Actuals!J26)),"",('Reforecast Q1 2026'!J26-Actuals!J26)/ABS('Reforecast Q1 2026'!J26)),"")</f>
        <v/>
      </c>
      <c r="AH20" s="508">
        <f>'Reforecast Q1 2026'!K26</f>
        <v/>
      </c>
      <c r="AI20" s="508">
        <f>IF(OR(9&gt;$B$3,ISBLANK(Actuals!K26)),"",Actuals!K26)</f>
        <v/>
      </c>
      <c r="AJ20" s="509">
        <f>IF(OR(9&gt;$B$3,ISBLANK(Actuals!K26)),"",'Reforecast Q1 2026'!K26-Actuals!K26)</f>
        <v/>
      </c>
      <c r="AK20" s="509">
        <f>IFERROR(IF(OR(9&gt;$B$3,ISBLANK(Actuals!K26)),"",('Reforecast Q1 2026'!K26-Actuals!K26)/ABS('Reforecast Q1 2026'!K26)),"")</f>
        <v/>
      </c>
      <c r="AL20" s="508">
        <f>'Reforecast Q1 2026'!L26</f>
        <v/>
      </c>
      <c r="AM20" s="508">
        <f>IF(OR(10&gt;$B$3,ISBLANK(Actuals!L26)),"",Actuals!L26)</f>
        <v/>
      </c>
      <c r="AN20" s="509">
        <f>IF(OR(10&gt;$B$3,ISBLANK(Actuals!L26)),"",'Reforecast Q1 2026'!L26-Actuals!L26)</f>
        <v/>
      </c>
      <c r="AO20" s="509">
        <f>IFERROR(IF(OR(10&gt;$B$3,ISBLANK(Actuals!L26)),"",('Reforecast Q1 2026'!L26-Actuals!L26)/ABS('Reforecast Q1 2026'!L26)),"")</f>
        <v/>
      </c>
      <c r="AP20" s="508">
        <f>'Reforecast Q1 2026'!M26</f>
        <v/>
      </c>
      <c r="AQ20" s="508">
        <f>IF(OR(11&gt;$B$3,ISBLANK(Actuals!M26)),"",Actuals!M26)</f>
        <v/>
      </c>
      <c r="AR20" s="509">
        <f>IF(OR(11&gt;$B$3,ISBLANK(Actuals!M26)),"",'Reforecast Q1 2026'!M26-Actuals!M26)</f>
        <v/>
      </c>
      <c r="AS20" s="509">
        <f>IFERROR(IF(OR(11&gt;$B$3,ISBLANK(Actuals!M26)),"",('Reforecast Q1 2026'!M26-Actuals!M26)/ABS('Reforecast Q1 2026'!M26)),"")</f>
        <v/>
      </c>
      <c r="AT20" s="508">
        <f>'Reforecast Q1 2026'!N26</f>
        <v/>
      </c>
      <c r="AU20" s="508">
        <f>IF(OR(12&gt;$B$3,ISBLANK(Actuals!N26)),"",Actuals!N26)</f>
        <v/>
      </c>
      <c r="AV20" s="509">
        <f>IF(OR(12&gt;$B$3,ISBLANK(Actuals!N26)),"",'Reforecast Q1 2026'!N26-Actuals!N26)</f>
        <v/>
      </c>
      <c r="AW20" s="509">
        <f>IFERROR(IF(OR(12&gt;$B$3,ISBLANK(Actuals!N26)),"",('Reforecast Q1 2026'!N26-Actuals!N26)/ABS('Reforecast Q1 2026'!N26)),"")</f>
        <v/>
      </c>
      <c r="AX20" s="510">
        <f>SUMPRODUCT((Actuals!C26:N26&lt;&gt;"")*('Reforecast Q1 2026'!C26:N26))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'Reforecast Q1 2026'!C27</f>
        <v/>
      </c>
      <c r="C21" s="508">
        <f>IF(OR(1&gt;$B$3,ISBLANK(Actuals!C27)),"",Actuals!C27)</f>
        <v/>
      </c>
      <c r="D21" s="509">
        <f>IF(OR(1&gt;$B$3,ISBLANK(Actuals!C27)),"",'Reforecast Q1 2026'!C27-Actuals!C27)</f>
        <v/>
      </c>
      <c r="E21" s="509">
        <f>IFERROR(IF(OR(1&gt;$B$3,ISBLANK(Actuals!C27)),"",('Reforecast Q1 2026'!C27-Actuals!C27)/ABS('Reforecast Q1 2026'!C27)),"")</f>
        <v/>
      </c>
      <c r="F21" s="508">
        <f>'Reforecast Q1 2026'!D27</f>
        <v/>
      </c>
      <c r="G21" s="508">
        <f>IF(OR(2&gt;$B$3,ISBLANK(Actuals!D27)),"",Actuals!D27)</f>
        <v/>
      </c>
      <c r="H21" s="509">
        <f>IF(OR(2&gt;$B$3,ISBLANK(Actuals!D27)),"",'Reforecast Q1 2026'!D27-Actuals!D27)</f>
        <v/>
      </c>
      <c r="I21" s="509">
        <f>IFERROR(IF(OR(2&gt;$B$3,ISBLANK(Actuals!D27)),"",('Reforecast Q1 2026'!D27-Actuals!D27)/ABS('Reforecast Q1 2026'!D27)),"")</f>
        <v/>
      </c>
      <c r="J21" s="508">
        <f>'Reforecast Q1 2026'!E27</f>
        <v/>
      </c>
      <c r="K21" s="508">
        <f>IF(OR(3&gt;$B$3,ISBLANK(Actuals!E27)),"",Actuals!E27)</f>
        <v/>
      </c>
      <c r="L21" s="509">
        <f>IF(OR(3&gt;$B$3,ISBLANK(Actuals!E27)),"",'Reforecast Q1 2026'!E27-Actuals!E27)</f>
        <v/>
      </c>
      <c r="M21" s="509">
        <f>IFERROR(IF(OR(3&gt;$B$3,ISBLANK(Actuals!E27)),"",('Reforecast Q1 2026'!E27-Actuals!E27)/ABS('Reforecast Q1 2026'!E27)),"")</f>
        <v/>
      </c>
      <c r="N21" s="508">
        <f>'Reforecast Q1 2026'!F27</f>
        <v/>
      </c>
      <c r="O21" s="508">
        <f>IF(OR(4&gt;$B$3,ISBLANK(Actuals!F27)),"",Actuals!F27)</f>
        <v/>
      </c>
      <c r="P21" s="509">
        <f>IF(OR(4&gt;$B$3,ISBLANK(Actuals!F27)),"",'Reforecast Q1 2026'!F27-Actuals!F27)</f>
        <v/>
      </c>
      <c r="Q21" s="509">
        <f>IFERROR(IF(OR(4&gt;$B$3,ISBLANK(Actuals!F27)),"",('Reforecast Q1 2026'!F27-Actuals!F27)/ABS('Reforecast Q1 2026'!F27)),"")</f>
        <v/>
      </c>
      <c r="R21" s="508">
        <f>'Reforecast Q1 2026'!G27</f>
        <v/>
      </c>
      <c r="S21" s="508">
        <f>IF(OR(5&gt;$B$3,ISBLANK(Actuals!G27)),"",Actuals!G27)</f>
        <v/>
      </c>
      <c r="T21" s="509">
        <f>IF(OR(5&gt;$B$3,ISBLANK(Actuals!G27)),"",'Reforecast Q1 2026'!G27-Actuals!G27)</f>
        <v/>
      </c>
      <c r="U21" s="509">
        <f>IFERROR(IF(OR(5&gt;$B$3,ISBLANK(Actuals!G27)),"",('Reforecast Q1 2026'!G27-Actuals!G27)/ABS('Reforecast Q1 2026'!G27)),"")</f>
        <v/>
      </c>
      <c r="V21" s="508">
        <f>'Reforecast Q1 2026'!H27</f>
        <v/>
      </c>
      <c r="W21" s="508">
        <f>IF(OR(6&gt;$B$3,ISBLANK(Actuals!H27)),"",Actuals!H27)</f>
        <v/>
      </c>
      <c r="X21" s="509">
        <f>IF(OR(6&gt;$B$3,ISBLANK(Actuals!H27)),"",'Reforecast Q1 2026'!H27-Actuals!H27)</f>
        <v/>
      </c>
      <c r="Y21" s="509">
        <f>IFERROR(IF(OR(6&gt;$B$3,ISBLANK(Actuals!H27)),"",('Reforecast Q1 2026'!H27-Actuals!H27)/ABS('Reforecast Q1 2026'!H27)),"")</f>
        <v/>
      </c>
      <c r="Z21" s="508">
        <f>'Reforecast Q1 2026'!I27</f>
        <v/>
      </c>
      <c r="AA21" s="508">
        <f>IF(OR(7&gt;$B$3,ISBLANK(Actuals!I27)),"",Actuals!I27)</f>
        <v/>
      </c>
      <c r="AB21" s="509">
        <f>IF(OR(7&gt;$B$3,ISBLANK(Actuals!I27)),"",'Reforecast Q1 2026'!I27-Actuals!I27)</f>
        <v/>
      </c>
      <c r="AC21" s="509">
        <f>IFERROR(IF(OR(7&gt;$B$3,ISBLANK(Actuals!I27)),"",('Reforecast Q1 2026'!I27-Actuals!I27)/ABS('Reforecast Q1 2026'!I27)),"")</f>
        <v/>
      </c>
      <c r="AD21" s="508">
        <f>'Reforecast Q1 2026'!J27</f>
        <v/>
      </c>
      <c r="AE21" s="508">
        <f>IF(OR(8&gt;$B$3,ISBLANK(Actuals!J27)),"",Actuals!J27)</f>
        <v/>
      </c>
      <c r="AF21" s="509">
        <f>IF(OR(8&gt;$B$3,ISBLANK(Actuals!J27)),"",'Reforecast Q1 2026'!J27-Actuals!J27)</f>
        <v/>
      </c>
      <c r="AG21" s="509">
        <f>IFERROR(IF(OR(8&gt;$B$3,ISBLANK(Actuals!J27)),"",('Reforecast Q1 2026'!J27-Actuals!J27)/ABS('Reforecast Q1 2026'!J27)),"")</f>
        <v/>
      </c>
      <c r="AH21" s="508">
        <f>'Reforecast Q1 2026'!K27</f>
        <v/>
      </c>
      <c r="AI21" s="508">
        <f>IF(OR(9&gt;$B$3,ISBLANK(Actuals!K27)),"",Actuals!K27)</f>
        <v/>
      </c>
      <c r="AJ21" s="509">
        <f>IF(OR(9&gt;$B$3,ISBLANK(Actuals!K27)),"",'Reforecast Q1 2026'!K27-Actuals!K27)</f>
        <v/>
      </c>
      <c r="AK21" s="509">
        <f>IFERROR(IF(OR(9&gt;$B$3,ISBLANK(Actuals!K27)),"",('Reforecast Q1 2026'!K27-Actuals!K27)/ABS('Reforecast Q1 2026'!K27)),"")</f>
        <v/>
      </c>
      <c r="AL21" s="508">
        <f>'Reforecast Q1 2026'!L27</f>
        <v/>
      </c>
      <c r="AM21" s="508">
        <f>IF(OR(10&gt;$B$3,ISBLANK(Actuals!L27)),"",Actuals!L27)</f>
        <v/>
      </c>
      <c r="AN21" s="509">
        <f>IF(OR(10&gt;$B$3,ISBLANK(Actuals!L27)),"",'Reforecast Q1 2026'!L27-Actuals!L27)</f>
        <v/>
      </c>
      <c r="AO21" s="509">
        <f>IFERROR(IF(OR(10&gt;$B$3,ISBLANK(Actuals!L27)),"",('Reforecast Q1 2026'!L27-Actuals!L27)/ABS('Reforecast Q1 2026'!L27)),"")</f>
        <v/>
      </c>
      <c r="AP21" s="508">
        <f>'Reforecast Q1 2026'!M27</f>
        <v/>
      </c>
      <c r="AQ21" s="508">
        <f>IF(OR(11&gt;$B$3,ISBLANK(Actuals!M27)),"",Actuals!M27)</f>
        <v/>
      </c>
      <c r="AR21" s="509">
        <f>IF(OR(11&gt;$B$3,ISBLANK(Actuals!M27)),"",'Reforecast Q1 2026'!M27-Actuals!M27)</f>
        <v/>
      </c>
      <c r="AS21" s="509">
        <f>IFERROR(IF(OR(11&gt;$B$3,ISBLANK(Actuals!M27)),"",('Reforecast Q1 2026'!M27-Actuals!M27)/ABS('Reforecast Q1 2026'!M27)),"")</f>
        <v/>
      </c>
      <c r="AT21" s="508">
        <f>'Reforecast Q1 2026'!N27</f>
        <v/>
      </c>
      <c r="AU21" s="508">
        <f>IF(OR(12&gt;$B$3,ISBLANK(Actuals!N27)),"",Actuals!N27)</f>
        <v/>
      </c>
      <c r="AV21" s="509">
        <f>IF(OR(12&gt;$B$3,ISBLANK(Actuals!N27)),"",'Reforecast Q1 2026'!N27-Actuals!N27)</f>
        <v/>
      </c>
      <c r="AW21" s="509">
        <f>IFERROR(IF(OR(12&gt;$B$3,ISBLANK(Actuals!N27)),"",('Reforecast Q1 2026'!N27-Actuals!N27)/ABS('Reforecast Q1 2026'!N27)),"")</f>
        <v/>
      </c>
      <c r="AX21" s="510">
        <f>SUMPRODUCT((Actuals!C27:N27&lt;&gt;"")*('Reforecast Q1 2026'!C27:N27))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'Reforecast Q1 2026'!C28</f>
        <v/>
      </c>
      <c r="C22" s="508">
        <f>IF(OR(1&gt;$B$3,ISBLANK(Actuals!C28)),"",Actuals!C28)</f>
        <v/>
      </c>
      <c r="D22" s="509">
        <f>IF(OR(1&gt;$B$3,ISBLANK(Actuals!C28)),"",'Reforecast Q1 2026'!C28-Actuals!C28)</f>
        <v/>
      </c>
      <c r="E22" s="509">
        <f>IFERROR(IF(OR(1&gt;$B$3,ISBLANK(Actuals!C28)),"",('Reforecast Q1 2026'!C28-Actuals!C28)/ABS('Reforecast Q1 2026'!C28)),"")</f>
        <v/>
      </c>
      <c r="F22" s="508">
        <f>'Reforecast Q1 2026'!D28</f>
        <v/>
      </c>
      <c r="G22" s="508">
        <f>IF(OR(2&gt;$B$3,ISBLANK(Actuals!D28)),"",Actuals!D28)</f>
        <v/>
      </c>
      <c r="H22" s="509">
        <f>IF(OR(2&gt;$B$3,ISBLANK(Actuals!D28)),"",'Reforecast Q1 2026'!D28-Actuals!D28)</f>
        <v/>
      </c>
      <c r="I22" s="509">
        <f>IFERROR(IF(OR(2&gt;$B$3,ISBLANK(Actuals!D28)),"",('Reforecast Q1 2026'!D28-Actuals!D28)/ABS('Reforecast Q1 2026'!D28)),"")</f>
        <v/>
      </c>
      <c r="J22" s="508">
        <f>'Reforecast Q1 2026'!E28</f>
        <v/>
      </c>
      <c r="K22" s="508">
        <f>IF(OR(3&gt;$B$3,ISBLANK(Actuals!E28)),"",Actuals!E28)</f>
        <v/>
      </c>
      <c r="L22" s="509">
        <f>IF(OR(3&gt;$B$3,ISBLANK(Actuals!E28)),"",'Reforecast Q1 2026'!E28-Actuals!E28)</f>
        <v/>
      </c>
      <c r="M22" s="509">
        <f>IFERROR(IF(OR(3&gt;$B$3,ISBLANK(Actuals!E28)),"",('Reforecast Q1 2026'!E28-Actuals!E28)/ABS('Reforecast Q1 2026'!E28)),"")</f>
        <v/>
      </c>
      <c r="N22" s="508">
        <f>'Reforecast Q1 2026'!F28</f>
        <v/>
      </c>
      <c r="O22" s="508">
        <f>IF(OR(4&gt;$B$3,ISBLANK(Actuals!F28)),"",Actuals!F28)</f>
        <v/>
      </c>
      <c r="P22" s="509">
        <f>IF(OR(4&gt;$B$3,ISBLANK(Actuals!F28)),"",'Reforecast Q1 2026'!F28-Actuals!F28)</f>
        <v/>
      </c>
      <c r="Q22" s="509">
        <f>IFERROR(IF(OR(4&gt;$B$3,ISBLANK(Actuals!F28)),"",('Reforecast Q1 2026'!F28-Actuals!F28)/ABS('Reforecast Q1 2026'!F28)),"")</f>
        <v/>
      </c>
      <c r="R22" s="508">
        <f>'Reforecast Q1 2026'!G28</f>
        <v/>
      </c>
      <c r="S22" s="508">
        <f>IF(OR(5&gt;$B$3,ISBLANK(Actuals!G28)),"",Actuals!G28)</f>
        <v/>
      </c>
      <c r="T22" s="509">
        <f>IF(OR(5&gt;$B$3,ISBLANK(Actuals!G28)),"",'Reforecast Q1 2026'!G28-Actuals!G28)</f>
        <v/>
      </c>
      <c r="U22" s="509">
        <f>IFERROR(IF(OR(5&gt;$B$3,ISBLANK(Actuals!G28)),"",('Reforecast Q1 2026'!G28-Actuals!G28)/ABS('Reforecast Q1 2026'!G28)),"")</f>
        <v/>
      </c>
      <c r="V22" s="508">
        <f>'Reforecast Q1 2026'!H28</f>
        <v/>
      </c>
      <c r="W22" s="508">
        <f>IF(OR(6&gt;$B$3,ISBLANK(Actuals!H28)),"",Actuals!H28)</f>
        <v/>
      </c>
      <c r="X22" s="509">
        <f>IF(OR(6&gt;$B$3,ISBLANK(Actuals!H28)),"",'Reforecast Q1 2026'!H28-Actuals!H28)</f>
        <v/>
      </c>
      <c r="Y22" s="509">
        <f>IFERROR(IF(OR(6&gt;$B$3,ISBLANK(Actuals!H28)),"",('Reforecast Q1 2026'!H28-Actuals!H28)/ABS('Reforecast Q1 2026'!H28)),"")</f>
        <v/>
      </c>
      <c r="Z22" s="508">
        <f>'Reforecast Q1 2026'!I28</f>
        <v/>
      </c>
      <c r="AA22" s="508">
        <f>IF(OR(7&gt;$B$3,ISBLANK(Actuals!I28)),"",Actuals!I28)</f>
        <v/>
      </c>
      <c r="AB22" s="509">
        <f>IF(OR(7&gt;$B$3,ISBLANK(Actuals!I28)),"",'Reforecast Q1 2026'!I28-Actuals!I28)</f>
        <v/>
      </c>
      <c r="AC22" s="509">
        <f>IFERROR(IF(OR(7&gt;$B$3,ISBLANK(Actuals!I28)),"",('Reforecast Q1 2026'!I28-Actuals!I28)/ABS('Reforecast Q1 2026'!I28)),"")</f>
        <v/>
      </c>
      <c r="AD22" s="508">
        <f>'Reforecast Q1 2026'!J28</f>
        <v/>
      </c>
      <c r="AE22" s="508">
        <f>IF(OR(8&gt;$B$3,ISBLANK(Actuals!J28)),"",Actuals!J28)</f>
        <v/>
      </c>
      <c r="AF22" s="509">
        <f>IF(OR(8&gt;$B$3,ISBLANK(Actuals!J28)),"",'Reforecast Q1 2026'!J28-Actuals!J28)</f>
        <v/>
      </c>
      <c r="AG22" s="509">
        <f>IFERROR(IF(OR(8&gt;$B$3,ISBLANK(Actuals!J28)),"",('Reforecast Q1 2026'!J28-Actuals!J28)/ABS('Reforecast Q1 2026'!J28)),"")</f>
        <v/>
      </c>
      <c r="AH22" s="508">
        <f>'Reforecast Q1 2026'!K28</f>
        <v/>
      </c>
      <c r="AI22" s="508">
        <f>IF(OR(9&gt;$B$3,ISBLANK(Actuals!K28)),"",Actuals!K28)</f>
        <v/>
      </c>
      <c r="AJ22" s="509">
        <f>IF(OR(9&gt;$B$3,ISBLANK(Actuals!K28)),"",'Reforecast Q1 2026'!K28-Actuals!K28)</f>
        <v/>
      </c>
      <c r="AK22" s="509">
        <f>IFERROR(IF(OR(9&gt;$B$3,ISBLANK(Actuals!K28)),"",('Reforecast Q1 2026'!K28-Actuals!K28)/ABS('Reforecast Q1 2026'!K28)),"")</f>
        <v/>
      </c>
      <c r="AL22" s="508">
        <f>'Reforecast Q1 2026'!L28</f>
        <v/>
      </c>
      <c r="AM22" s="508">
        <f>IF(OR(10&gt;$B$3,ISBLANK(Actuals!L28)),"",Actuals!L28)</f>
        <v/>
      </c>
      <c r="AN22" s="509">
        <f>IF(OR(10&gt;$B$3,ISBLANK(Actuals!L28)),"",'Reforecast Q1 2026'!L28-Actuals!L28)</f>
        <v/>
      </c>
      <c r="AO22" s="509">
        <f>IFERROR(IF(OR(10&gt;$B$3,ISBLANK(Actuals!L28)),"",('Reforecast Q1 2026'!L28-Actuals!L28)/ABS('Reforecast Q1 2026'!L28)),"")</f>
        <v/>
      </c>
      <c r="AP22" s="508">
        <f>'Reforecast Q1 2026'!M28</f>
        <v/>
      </c>
      <c r="AQ22" s="508">
        <f>IF(OR(11&gt;$B$3,ISBLANK(Actuals!M28)),"",Actuals!M28)</f>
        <v/>
      </c>
      <c r="AR22" s="509">
        <f>IF(OR(11&gt;$B$3,ISBLANK(Actuals!M28)),"",'Reforecast Q1 2026'!M28-Actuals!M28)</f>
        <v/>
      </c>
      <c r="AS22" s="509">
        <f>IFERROR(IF(OR(11&gt;$B$3,ISBLANK(Actuals!M28)),"",('Reforecast Q1 2026'!M28-Actuals!M28)/ABS('Reforecast Q1 2026'!M28)),"")</f>
        <v/>
      </c>
      <c r="AT22" s="508">
        <f>'Reforecast Q1 2026'!N28</f>
        <v/>
      </c>
      <c r="AU22" s="508">
        <f>IF(OR(12&gt;$B$3,ISBLANK(Actuals!N28)),"",Actuals!N28)</f>
        <v/>
      </c>
      <c r="AV22" s="509">
        <f>IF(OR(12&gt;$B$3,ISBLANK(Actuals!N28)),"",'Reforecast Q1 2026'!N28-Actuals!N28)</f>
        <v/>
      </c>
      <c r="AW22" s="509">
        <f>IFERROR(IF(OR(12&gt;$B$3,ISBLANK(Actuals!N28)),"",('Reforecast Q1 2026'!N28-Actuals!N28)/ABS('Reforecast Q1 2026'!N28)),"")</f>
        <v/>
      </c>
      <c r="AX22" s="510">
        <f>SUMPRODUCT((Actuals!C28:N28&lt;&gt;"")*('Reforecast Q1 2026'!C28:N28))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'Reforecast Q1 2026'!C29</f>
        <v/>
      </c>
      <c r="C23" s="508">
        <f>IF(OR(1&gt;$B$3,ISBLANK(Actuals!C29)),"",Actuals!C29)</f>
        <v/>
      </c>
      <c r="D23" s="509">
        <f>IF(OR(1&gt;$B$3,ISBLANK(Actuals!C29)),"",'Reforecast Q1 2026'!C29-Actuals!C29)</f>
        <v/>
      </c>
      <c r="E23" s="509">
        <f>IFERROR(IF(OR(1&gt;$B$3,ISBLANK(Actuals!C29)),"",('Reforecast Q1 2026'!C29-Actuals!C29)/ABS('Reforecast Q1 2026'!C29)),"")</f>
        <v/>
      </c>
      <c r="F23" s="508">
        <f>'Reforecast Q1 2026'!D29</f>
        <v/>
      </c>
      <c r="G23" s="508">
        <f>IF(OR(2&gt;$B$3,ISBLANK(Actuals!D29)),"",Actuals!D29)</f>
        <v/>
      </c>
      <c r="H23" s="509">
        <f>IF(OR(2&gt;$B$3,ISBLANK(Actuals!D29)),"",'Reforecast Q1 2026'!D29-Actuals!D29)</f>
        <v/>
      </c>
      <c r="I23" s="509">
        <f>IFERROR(IF(OR(2&gt;$B$3,ISBLANK(Actuals!D29)),"",('Reforecast Q1 2026'!D29-Actuals!D29)/ABS('Reforecast Q1 2026'!D29)),"")</f>
        <v/>
      </c>
      <c r="J23" s="508">
        <f>'Reforecast Q1 2026'!E29</f>
        <v/>
      </c>
      <c r="K23" s="508">
        <f>IF(OR(3&gt;$B$3,ISBLANK(Actuals!E29)),"",Actuals!E29)</f>
        <v/>
      </c>
      <c r="L23" s="509">
        <f>IF(OR(3&gt;$B$3,ISBLANK(Actuals!E29)),"",'Reforecast Q1 2026'!E29-Actuals!E29)</f>
        <v/>
      </c>
      <c r="M23" s="509">
        <f>IFERROR(IF(OR(3&gt;$B$3,ISBLANK(Actuals!E29)),"",('Reforecast Q1 2026'!E29-Actuals!E29)/ABS('Reforecast Q1 2026'!E29)),"")</f>
        <v/>
      </c>
      <c r="N23" s="508">
        <f>'Reforecast Q1 2026'!F29</f>
        <v/>
      </c>
      <c r="O23" s="508">
        <f>IF(OR(4&gt;$B$3,ISBLANK(Actuals!F29)),"",Actuals!F29)</f>
        <v/>
      </c>
      <c r="P23" s="509">
        <f>IF(OR(4&gt;$B$3,ISBLANK(Actuals!F29)),"",'Reforecast Q1 2026'!F29-Actuals!F29)</f>
        <v/>
      </c>
      <c r="Q23" s="509">
        <f>IFERROR(IF(OR(4&gt;$B$3,ISBLANK(Actuals!F29)),"",('Reforecast Q1 2026'!F29-Actuals!F29)/ABS('Reforecast Q1 2026'!F29)),"")</f>
        <v/>
      </c>
      <c r="R23" s="508">
        <f>'Reforecast Q1 2026'!G29</f>
        <v/>
      </c>
      <c r="S23" s="508">
        <f>IF(OR(5&gt;$B$3,ISBLANK(Actuals!G29)),"",Actuals!G29)</f>
        <v/>
      </c>
      <c r="T23" s="509">
        <f>IF(OR(5&gt;$B$3,ISBLANK(Actuals!G29)),"",'Reforecast Q1 2026'!G29-Actuals!G29)</f>
        <v/>
      </c>
      <c r="U23" s="509">
        <f>IFERROR(IF(OR(5&gt;$B$3,ISBLANK(Actuals!G29)),"",('Reforecast Q1 2026'!G29-Actuals!G29)/ABS('Reforecast Q1 2026'!G29)),"")</f>
        <v/>
      </c>
      <c r="V23" s="508">
        <f>'Reforecast Q1 2026'!H29</f>
        <v/>
      </c>
      <c r="W23" s="508">
        <f>IF(OR(6&gt;$B$3,ISBLANK(Actuals!H29)),"",Actuals!H29)</f>
        <v/>
      </c>
      <c r="X23" s="509">
        <f>IF(OR(6&gt;$B$3,ISBLANK(Actuals!H29)),"",'Reforecast Q1 2026'!H29-Actuals!H29)</f>
        <v/>
      </c>
      <c r="Y23" s="509">
        <f>IFERROR(IF(OR(6&gt;$B$3,ISBLANK(Actuals!H29)),"",('Reforecast Q1 2026'!H29-Actuals!H29)/ABS('Reforecast Q1 2026'!H29)),"")</f>
        <v/>
      </c>
      <c r="Z23" s="508">
        <f>'Reforecast Q1 2026'!I29</f>
        <v/>
      </c>
      <c r="AA23" s="508">
        <f>IF(OR(7&gt;$B$3,ISBLANK(Actuals!I29)),"",Actuals!I29)</f>
        <v/>
      </c>
      <c r="AB23" s="509">
        <f>IF(OR(7&gt;$B$3,ISBLANK(Actuals!I29)),"",'Reforecast Q1 2026'!I29-Actuals!I29)</f>
        <v/>
      </c>
      <c r="AC23" s="509">
        <f>IFERROR(IF(OR(7&gt;$B$3,ISBLANK(Actuals!I29)),"",('Reforecast Q1 2026'!I29-Actuals!I29)/ABS('Reforecast Q1 2026'!I29)),"")</f>
        <v/>
      </c>
      <c r="AD23" s="508">
        <f>'Reforecast Q1 2026'!J29</f>
        <v/>
      </c>
      <c r="AE23" s="508">
        <f>IF(OR(8&gt;$B$3,ISBLANK(Actuals!J29)),"",Actuals!J29)</f>
        <v/>
      </c>
      <c r="AF23" s="509">
        <f>IF(OR(8&gt;$B$3,ISBLANK(Actuals!J29)),"",'Reforecast Q1 2026'!J29-Actuals!J29)</f>
        <v/>
      </c>
      <c r="AG23" s="509">
        <f>IFERROR(IF(OR(8&gt;$B$3,ISBLANK(Actuals!J29)),"",('Reforecast Q1 2026'!J29-Actuals!J29)/ABS('Reforecast Q1 2026'!J29)),"")</f>
        <v/>
      </c>
      <c r="AH23" s="508">
        <f>'Reforecast Q1 2026'!K29</f>
        <v/>
      </c>
      <c r="AI23" s="508">
        <f>IF(OR(9&gt;$B$3,ISBLANK(Actuals!K29)),"",Actuals!K29)</f>
        <v/>
      </c>
      <c r="AJ23" s="509">
        <f>IF(OR(9&gt;$B$3,ISBLANK(Actuals!K29)),"",'Reforecast Q1 2026'!K29-Actuals!K29)</f>
        <v/>
      </c>
      <c r="AK23" s="509">
        <f>IFERROR(IF(OR(9&gt;$B$3,ISBLANK(Actuals!K29)),"",('Reforecast Q1 2026'!K29-Actuals!K29)/ABS('Reforecast Q1 2026'!K29)),"")</f>
        <v/>
      </c>
      <c r="AL23" s="508">
        <f>'Reforecast Q1 2026'!L29</f>
        <v/>
      </c>
      <c r="AM23" s="508">
        <f>IF(OR(10&gt;$B$3,ISBLANK(Actuals!L29)),"",Actuals!L29)</f>
        <v/>
      </c>
      <c r="AN23" s="509">
        <f>IF(OR(10&gt;$B$3,ISBLANK(Actuals!L29)),"",'Reforecast Q1 2026'!L29-Actuals!L29)</f>
        <v/>
      </c>
      <c r="AO23" s="509">
        <f>IFERROR(IF(OR(10&gt;$B$3,ISBLANK(Actuals!L29)),"",('Reforecast Q1 2026'!L29-Actuals!L29)/ABS('Reforecast Q1 2026'!L29)),"")</f>
        <v/>
      </c>
      <c r="AP23" s="508">
        <f>'Reforecast Q1 2026'!M29</f>
        <v/>
      </c>
      <c r="AQ23" s="508">
        <f>IF(OR(11&gt;$B$3,ISBLANK(Actuals!M29)),"",Actuals!M29)</f>
        <v/>
      </c>
      <c r="AR23" s="509">
        <f>IF(OR(11&gt;$B$3,ISBLANK(Actuals!M29)),"",'Reforecast Q1 2026'!M29-Actuals!M29)</f>
        <v/>
      </c>
      <c r="AS23" s="509">
        <f>IFERROR(IF(OR(11&gt;$B$3,ISBLANK(Actuals!M29)),"",('Reforecast Q1 2026'!M29-Actuals!M29)/ABS('Reforecast Q1 2026'!M29)),"")</f>
        <v/>
      </c>
      <c r="AT23" s="508">
        <f>'Reforecast Q1 2026'!N29</f>
        <v/>
      </c>
      <c r="AU23" s="508">
        <f>IF(OR(12&gt;$B$3,ISBLANK(Actuals!N29)),"",Actuals!N29)</f>
        <v/>
      </c>
      <c r="AV23" s="509">
        <f>IF(OR(12&gt;$B$3,ISBLANK(Actuals!N29)),"",'Reforecast Q1 2026'!N29-Actuals!N29)</f>
        <v/>
      </c>
      <c r="AW23" s="509">
        <f>IFERROR(IF(OR(12&gt;$B$3,ISBLANK(Actuals!N29)),"",('Reforecast Q1 2026'!N29-Actuals!N29)/ABS('Reforecast Q1 2026'!N29)),"")</f>
        <v/>
      </c>
      <c r="AX23" s="510">
        <f>SUMPRODUCT((Actuals!C29:N29&lt;&gt;"")*('Reforecast Q1 2026'!C29:N29))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'Reforecast Q1 2026'!C30</f>
        <v/>
      </c>
      <c r="C24" s="508">
        <f>IF(OR(1&gt;$B$3,ISBLANK(Actuals!C30)),"",Actuals!C30)</f>
        <v/>
      </c>
      <c r="D24" s="509">
        <f>IF(OR(1&gt;$B$3,ISBLANK(Actuals!C30)),"",'Reforecast Q1 2026'!C30-Actuals!C30)</f>
        <v/>
      </c>
      <c r="E24" s="509">
        <f>IFERROR(IF(OR(1&gt;$B$3,ISBLANK(Actuals!C30)),"",('Reforecast Q1 2026'!C30-Actuals!C30)/ABS('Reforecast Q1 2026'!C30)),"")</f>
        <v/>
      </c>
      <c r="F24" s="508">
        <f>'Reforecast Q1 2026'!D30</f>
        <v/>
      </c>
      <c r="G24" s="508">
        <f>IF(OR(2&gt;$B$3,ISBLANK(Actuals!D30)),"",Actuals!D30)</f>
        <v/>
      </c>
      <c r="H24" s="509">
        <f>IF(OR(2&gt;$B$3,ISBLANK(Actuals!D30)),"",'Reforecast Q1 2026'!D30-Actuals!D30)</f>
        <v/>
      </c>
      <c r="I24" s="509">
        <f>IFERROR(IF(OR(2&gt;$B$3,ISBLANK(Actuals!D30)),"",('Reforecast Q1 2026'!D30-Actuals!D30)/ABS('Reforecast Q1 2026'!D30)),"")</f>
        <v/>
      </c>
      <c r="J24" s="508">
        <f>'Reforecast Q1 2026'!E30</f>
        <v/>
      </c>
      <c r="K24" s="508">
        <f>IF(OR(3&gt;$B$3,ISBLANK(Actuals!E30)),"",Actuals!E30)</f>
        <v/>
      </c>
      <c r="L24" s="509">
        <f>IF(OR(3&gt;$B$3,ISBLANK(Actuals!E30)),"",'Reforecast Q1 2026'!E30-Actuals!E30)</f>
        <v/>
      </c>
      <c r="M24" s="509">
        <f>IFERROR(IF(OR(3&gt;$B$3,ISBLANK(Actuals!E30)),"",('Reforecast Q1 2026'!E30-Actuals!E30)/ABS('Reforecast Q1 2026'!E30)),"")</f>
        <v/>
      </c>
      <c r="N24" s="508">
        <f>'Reforecast Q1 2026'!F30</f>
        <v/>
      </c>
      <c r="O24" s="508">
        <f>IF(OR(4&gt;$B$3,ISBLANK(Actuals!F30)),"",Actuals!F30)</f>
        <v/>
      </c>
      <c r="P24" s="509">
        <f>IF(OR(4&gt;$B$3,ISBLANK(Actuals!F30)),"",'Reforecast Q1 2026'!F30-Actuals!F30)</f>
        <v/>
      </c>
      <c r="Q24" s="509">
        <f>IFERROR(IF(OR(4&gt;$B$3,ISBLANK(Actuals!F30)),"",('Reforecast Q1 2026'!F30-Actuals!F30)/ABS('Reforecast Q1 2026'!F30)),"")</f>
        <v/>
      </c>
      <c r="R24" s="508">
        <f>'Reforecast Q1 2026'!G30</f>
        <v/>
      </c>
      <c r="S24" s="508">
        <f>IF(OR(5&gt;$B$3,ISBLANK(Actuals!G30)),"",Actuals!G30)</f>
        <v/>
      </c>
      <c r="T24" s="509">
        <f>IF(OR(5&gt;$B$3,ISBLANK(Actuals!G30)),"",'Reforecast Q1 2026'!G30-Actuals!G30)</f>
        <v/>
      </c>
      <c r="U24" s="509">
        <f>IFERROR(IF(OR(5&gt;$B$3,ISBLANK(Actuals!G30)),"",('Reforecast Q1 2026'!G30-Actuals!G30)/ABS('Reforecast Q1 2026'!G30)),"")</f>
        <v/>
      </c>
      <c r="V24" s="508">
        <f>'Reforecast Q1 2026'!H30</f>
        <v/>
      </c>
      <c r="W24" s="508">
        <f>IF(OR(6&gt;$B$3,ISBLANK(Actuals!H30)),"",Actuals!H30)</f>
        <v/>
      </c>
      <c r="X24" s="509">
        <f>IF(OR(6&gt;$B$3,ISBLANK(Actuals!H30)),"",'Reforecast Q1 2026'!H30-Actuals!H30)</f>
        <v/>
      </c>
      <c r="Y24" s="509">
        <f>IFERROR(IF(OR(6&gt;$B$3,ISBLANK(Actuals!H30)),"",('Reforecast Q1 2026'!H30-Actuals!H30)/ABS('Reforecast Q1 2026'!H30)),"")</f>
        <v/>
      </c>
      <c r="Z24" s="508">
        <f>'Reforecast Q1 2026'!I30</f>
        <v/>
      </c>
      <c r="AA24" s="508">
        <f>IF(OR(7&gt;$B$3,ISBLANK(Actuals!I30)),"",Actuals!I30)</f>
        <v/>
      </c>
      <c r="AB24" s="509">
        <f>IF(OR(7&gt;$B$3,ISBLANK(Actuals!I30)),"",'Reforecast Q1 2026'!I30-Actuals!I30)</f>
        <v/>
      </c>
      <c r="AC24" s="509">
        <f>IFERROR(IF(OR(7&gt;$B$3,ISBLANK(Actuals!I30)),"",('Reforecast Q1 2026'!I30-Actuals!I30)/ABS('Reforecast Q1 2026'!I30)),"")</f>
        <v/>
      </c>
      <c r="AD24" s="508">
        <f>'Reforecast Q1 2026'!J30</f>
        <v/>
      </c>
      <c r="AE24" s="508">
        <f>IF(OR(8&gt;$B$3,ISBLANK(Actuals!J30)),"",Actuals!J30)</f>
        <v/>
      </c>
      <c r="AF24" s="509">
        <f>IF(OR(8&gt;$B$3,ISBLANK(Actuals!J30)),"",'Reforecast Q1 2026'!J30-Actuals!J30)</f>
        <v/>
      </c>
      <c r="AG24" s="509">
        <f>IFERROR(IF(OR(8&gt;$B$3,ISBLANK(Actuals!J30)),"",('Reforecast Q1 2026'!J30-Actuals!J30)/ABS('Reforecast Q1 2026'!J30)),"")</f>
        <v/>
      </c>
      <c r="AH24" s="508">
        <f>'Reforecast Q1 2026'!K30</f>
        <v/>
      </c>
      <c r="AI24" s="508">
        <f>IF(OR(9&gt;$B$3,ISBLANK(Actuals!K30)),"",Actuals!K30)</f>
        <v/>
      </c>
      <c r="AJ24" s="509">
        <f>IF(OR(9&gt;$B$3,ISBLANK(Actuals!K30)),"",'Reforecast Q1 2026'!K30-Actuals!K30)</f>
        <v/>
      </c>
      <c r="AK24" s="509">
        <f>IFERROR(IF(OR(9&gt;$B$3,ISBLANK(Actuals!K30)),"",('Reforecast Q1 2026'!K30-Actuals!K30)/ABS('Reforecast Q1 2026'!K30)),"")</f>
        <v/>
      </c>
      <c r="AL24" s="508">
        <f>'Reforecast Q1 2026'!L30</f>
        <v/>
      </c>
      <c r="AM24" s="508">
        <f>IF(OR(10&gt;$B$3,ISBLANK(Actuals!L30)),"",Actuals!L30)</f>
        <v/>
      </c>
      <c r="AN24" s="509">
        <f>IF(OR(10&gt;$B$3,ISBLANK(Actuals!L30)),"",'Reforecast Q1 2026'!L30-Actuals!L30)</f>
        <v/>
      </c>
      <c r="AO24" s="509">
        <f>IFERROR(IF(OR(10&gt;$B$3,ISBLANK(Actuals!L30)),"",('Reforecast Q1 2026'!L30-Actuals!L30)/ABS('Reforecast Q1 2026'!L30)),"")</f>
        <v/>
      </c>
      <c r="AP24" s="508">
        <f>'Reforecast Q1 2026'!M30</f>
        <v/>
      </c>
      <c r="AQ24" s="508">
        <f>IF(OR(11&gt;$B$3,ISBLANK(Actuals!M30)),"",Actuals!M30)</f>
        <v/>
      </c>
      <c r="AR24" s="509">
        <f>IF(OR(11&gt;$B$3,ISBLANK(Actuals!M30)),"",'Reforecast Q1 2026'!M30-Actuals!M30)</f>
        <v/>
      </c>
      <c r="AS24" s="509">
        <f>IFERROR(IF(OR(11&gt;$B$3,ISBLANK(Actuals!M30)),"",('Reforecast Q1 2026'!M30-Actuals!M30)/ABS('Reforecast Q1 2026'!M30)),"")</f>
        <v/>
      </c>
      <c r="AT24" s="508">
        <f>'Reforecast Q1 2026'!N30</f>
        <v/>
      </c>
      <c r="AU24" s="508">
        <f>IF(OR(12&gt;$B$3,ISBLANK(Actuals!N30)),"",Actuals!N30)</f>
        <v/>
      </c>
      <c r="AV24" s="509">
        <f>IF(OR(12&gt;$B$3,ISBLANK(Actuals!N30)),"",'Reforecast Q1 2026'!N30-Actuals!N30)</f>
        <v/>
      </c>
      <c r="AW24" s="509">
        <f>IFERROR(IF(OR(12&gt;$B$3,ISBLANK(Actuals!N30)),"",('Reforecast Q1 2026'!N30-Actuals!N30)/ABS('Reforecast Q1 2026'!N30)),"")</f>
        <v/>
      </c>
      <c r="AX24" s="510">
        <f>SUMPRODUCT((Actuals!C30:N30&lt;&gt;"")*('Reforecast Q1 2026'!C30:N30))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'Reforecast Q1 2026'!C31</f>
        <v/>
      </c>
      <c r="C25" s="508">
        <f>IF(OR(1&gt;$B$3,ISBLANK(Actuals!C31)),"",Actuals!C31)</f>
        <v/>
      </c>
      <c r="D25" s="509">
        <f>IF(OR(1&gt;$B$3,ISBLANK(Actuals!C31)),"",'Reforecast Q1 2026'!C31-Actuals!C31)</f>
        <v/>
      </c>
      <c r="E25" s="509">
        <f>IFERROR(IF(OR(1&gt;$B$3,ISBLANK(Actuals!C31)),"",('Reforecast Q1 2026'!C31-Actuals!C31)/ABS('Reforecast Q1 2026'!C31)),"")</f>
        <v/>
      </c>
      <c r="F25" s="508">
        <f>'Reforecast Q1 2026'!D31</f>
        <v/>
      </c>
      <c r="G25" s="508">
        <f>IF(OR(2&gt;$B$3,ISBLANK(Actuals!D31)),"",Actuals!D31)</f>
        <v/>
      </c>
      <c r="H25" s="509">
        <f>IF(OR(2&gt;$B$3,ISBLANK(Actuals!D31)),"",'Reforecast Q1 2026'!D31-Actuals!D31)</f>
        <v/>
      </c>
      <c r="I25" s="509">
        <f>IFERROR(IF(OR(2&gt;$B$3,ISBLANK(Actuals!D31)),"",('Reforecast Q1 2026'!D31-Actuals!D31)/ABS('Reforecast Q1 2026'!D31)),"")</f>
        <v/>
      </c>
      <c r="J25" s="508">
        <f>'Reforecast Q1 2026'!E31</f>
        <v/>
      </c>
      <c r="K25" s="508">
        <f>IF(OR(3&gt;$B$3,ISBLANK(Actuals!E31)),"",Actuals!E31)</f>
        <v/>
      </c>
      <c r="L25" s="509">
        <f>IF(OR(3&gt;$B$3,ISBLANK(Actuals!E31)),"",'Reforecast Q1 2026'!E31-Actuals!E31)</f>
        <v/>
      </c>
      <c r="M25" s="509">
        <f>IFERROR(IF(OR(3&gt;$B$3,ISBLANK(Actuals!E31)),"",('Reforecast Q1 2026'!E31-Actuals!E31)/ABS('Reforecast Q1 2026'!E31)),"")</f>
        <v/>
      </c>
      <c r="N25" s="508">
        <f>'Reforecast Q1 2026'!F31</f>
        <v/>
      </c>
      <c r="O25" s="508">
        <f>IF(OR(4&gt;$B$3,ISBLANK(Actuals!F31)),"",Actuals!F31)</f>
        <v/>
      </c>
      <c r="P25" s="509">
        <f>IF(OR(4&gt;$B$3,ISBLANK(Actuals!F31)),"",'Reforecast Q1 2026'!F31-Actuals!F31)</f>
        <v/>
      </c>
      <c r="Q25" s="509">
        <f>IFERROR(IF(OR(4&gt;$B$3,ISBLANK(Actuals!F31)),"",('Reforecast Q1 2026'!F31-Actuals!F31)/ABS('Reforecast Q1 2026'!F31)),"")</f>
        <v/>
      </c>
      <c r="R25" s="508">
        <f>'Reforecast Q1 2026'!G31</f>
        <v/>
      </c>
      <c r="S25" s="508">
        <f>IF(OR(5&gt;$B$3,ISBLANK(Actuals!G31)),"",Actuals!G31)</f>
        <v/>
      </c>
      <c r="T25" s="509">
        <f>IF(OR(5&gt;$B$3,ISBLANK(Actuals!G31)),"",'Reforecast Q1 2026'!G31-Actuals!G31)</f>
        <v/>
      </c>
      <c r="U25" s="509">
        <f>IFERROR(IF(OR(5&gt;$B$3,ISBLANK(Actuals!G31)),"",('Reforecast Q1 2026'!G31-Actuals!G31)/ABS('Reforecast Q1 2026'!G31)),"")</f>
        <v/>
      </c>
      <c r="V25" s="508">
        <f>'Reforecast Q1 2026'!H31</f>
        <v/>
      </c>
      <c r="W25" s="508">
        <f>IF(OR(6&gt;$B$3,ISBLANK(Actuals!H31)),"",Actuals!H31)</f>
        <v/>
      </c>
      <c r="X25" s="509">
        <f>IF(OR(6&gt;$B$3,ISBLANK(Actuals!H31)),"",'Reforecast Q1 2026'!H31-Actuals!H31)</f>
        <v/>
      </c>
      <c r="Y25" s="509">
        <f>IFERROR(IF(OR(6&gt;$B$3,ISBLANK(Actuals!H31)),"",('Reforecast Q1 2026'!H31-Actuals!H31)/ABS('Reforecast Q1 2026'!H31)),"")</f>
        <v/>
      </c>
      <c r="Z25" s="508">
        <f>'Reforecast Q1 2026'!I31</f>
        <v/>
      </c>
      <c r="AA25" s="508">
        <f>IF(OR(7&gt;$B$3,ISBLANK(Actuals!I31)),"",Actuals!I31)</f>
        <v/>
      </c>
      <c r="AB25" s="509">
        <f>IF(OR(7&gt;$B$3,ISBLANK(Actuals!I31)),"",'Reforecast Q1 2026'!I31-Actuals!I31)</f>
        <v/>
      </c>
      <c r="AC25" s="509">
        <f>IFERROR(IF(OR(7&gt;$B$3,ISBLANK(Actuals!I31)),"",('Reforecast Q1 2026'!I31-Actuals!I31)/ABS('Reforecast Q1 2026'!I31)),"")</f>
        <v/>
      </c>
      <c r="AD25" s="508">
        <f>'Reforecast Q1 2026'!J31</f>
        <v/>
      </c>
      <c r="AE25" s="508">
        <f>IF(OR(8&gt;$B$3,ISBLANK(Actuals!J31)),"",Actuals!J31)</f>
        <v/>
      </c>
      <c r="AF25" s="509">
        <f>IF(OR(8&gt;$B$3,ISBLANK(Actuals!J31)),"",'Reforecast Q1 2026'!J31-Actuals!J31)</f>
        <v/>
      </c>
      <c r="AG25" s="509">
        <f>IFERROR(IF(OR(8&gt;$B$3,ISBLANK(Actuals!J31)),"",('Reforecast Q1 2026'!J31-Actuals!J31)/ABS('Reforecast Q1 2026'!J31)),"")</f>
        <v/>
      </c>
      <c r="AH25" s="508">
        <f>'Reforecast Q1 2026'!K31</f>
        <v/>
      </c>
      <c r="AI25" s="508">
        <f>IF(OR(9&gt;$B$3,ISBLANK(Actuals!K31)),"",Actuals!K31)</f>
        <v/>
      </c>
      <c r="AJ25" s="509">
        <f>IF(OR(9&gt;$B$3,ISBLANK(Actuals!K31)),"",'Reforecast Q1 2026'!K31-Actuals!K31)</f>
        <v/>
      </c>
      <c r="AK25" s="509">
        <f>IFERROR(IF(OR(9&gt;$B$3,ISBLANK(Actuals!K31)),"",('Reforecast Q1 2026'!K31-Actuals!K31)/ABS('Reforecast Q1 2026'!K31)),"")</f>
        <v/>
      </c>
      <c r="AL25" s="508">
        <f>'Reforecast Q1 2026'!L31</f>
        <v/>
      </c>
      <c r="AM25" s="508">
        <f>IF(OR(10&gt;$B$3,ISBLANK(Actuals!L31)),"",Actuals!L31)</f>
        <v/>
      </c>
      <c r="AN25" s="509">
        <f>IF(OR(10&gt;$B$3,ISBLANK(Actuals!L31)),"",'Reforecast Q1 2026'!L31-Actuals!L31)</f>
        <v/>
      </c>
      <c r="AO25" s="509">
        <f>IFERROR(IF(OR(10&gt;$B$3,ISBLANK(Actuals!L31)),"",('Reforecast Q1 2026'!L31-Actuals!L31)/ABS('Reforecast Q1 2026'!L31)),"")</f>
        <v/>
      </c>
      <c r="AP25" s="508">
        <f>'Reforecast Q1 2026'!M31</f>
        <v/>
      </c>
      <c r="AQ25" s="508">
        <f>IF(OR(11&gt;$B$3,ISBLANK(Actuals!M31)),"",Actuals!M31)</f>
        <v/>
      </c>
      <c r="AR25" s="509">
        <f>IF(OR(11&gt;$B$3,ISBLANK(Actuals!M31)),"",'Reforecast Q1 2026'!M31-Actuals!M31)</f>
        <v/>
      </c>
      <c r="AS25" s="509">
        <f>IFERROR(IF(OR(11&gt;$B$3,ISBLANK(Actuals!M31)),"",('Reforecast Q1 2026'!M31-Actuals!M31)/ABS('Reforecast Q1 2026'!M31)),"")</f>
        <v/>
      </c>
      <c r="AT25" s="508">
        <f>'Reforecast Q1 2026'!N31</f>
        <v/>
      </c>
      <c r="AU25" s="508">
        <f>IF(OR(12&gt;$B$3,ISBLANK(Actuals!N31)),"",Actuals!N31)</f>
        <v/>
      </c>
      <c r="AV25" s="509">
        <f>IF(OR(12&gt;$B$3,ISBLANK(Actuals!N31)),"",'Reforecast Q1 2026'!N31-Actuals!N31)</f>
        <v/>
      </c>
      <c r="AW25" s="509">
        <f>IFERROR(IF(OR(12&gt;$B$3,ISBLANK(Actuals!N31)),"",('Reforecast Q1 2026'!N31-Actuals!N31)/ABS('Reforecast Q1 2026'!N31)),"")</f>
        <v/>
      </c>
      <c r="AX25" s="510">
        <f>SUMPRODUCT((Actuals!C31:N31&lt;&gt;"")*('Reforecast Q1 2026'!C31:N31))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'Reforecast Q1 2026'!C32</f>
        <v/>
      </c>
      <c r="C26" s="508">
        <f>IF(OR(1&gt;$B$3,ISBLANK(Actuals!C32)),"",Actuals!C32)</f>
        <v/>
      </c>
      <c r="D26" s="509">
        <f>IF(OR(1&gt;$B$3,ISBLANK(Actuals!C32)),"",'Reforecast Q1 2026'!C32-Actuals!C32)</f>
        <v/>
      </c>
      <c r="E26" s="509">
        <f>IFERROR(IF(OR(1&gt;$B$3,ISBLANK(Actuals!C32)),"",('Reforecast Q1 2026'!C32-Actuals!C32)/ABS('Reforecast Q1 2026'!C32)),"")</f>
        <v/>
      </c>
      <c r="F26" s="508">
        <f>'Reforecast Q1 2026'!D32</f>
        <v/>
      </c>
      <c r="G26" s="508">
        <f>IF(OR(2&gt;$B$3,ISBLANK(Actuals!D32)),"",Actuals!D32)</f>
        <v/>
      </c>
      <c r="H26" s="509">
        <f>IF(OR(2&gt;$B$3,ISBLANK(Actuals!D32)),"",'Reforecast Q1 2026'!D32-Actuals!D32)</f>
        <v/>
      </c>
      <c r="I26" s="509">
        <f>IFERROR(IF(OR(2&gt;$B$3,ISBLANK(Actuals!D32)),"",('Reforecast Q1 2026'!D32-Actuals!D32)/ABS('Reforecast Q1 2026'!D32)),"")</f>
        <v/>
      </c>
      <c r="J26" s="508">
        <f>'Reforecast Q1 2026'!E32</f>
        <v/>
      </c>
      <c r="K26" s="508">
        <f>IF(OR(3&gt;$B$3,ISBLANK(Actuals!E32)),"",Actuals!E32)</f>
        <v/>
      </c>
      <c r="L26" s="509">
        <f>IF(OR(3&gt;$B$3,ISBLANK(Actuals!E32)),"",'Reforecast Q1 2026'!E32-Actuals!E32)</f>
        <v/>
      </c>
      <c r="M26" s="509">
        <f>IFERROR(IF(OR(3&gt;$B$3,ISBLANK(Actuals!E32)),"",('Reforecast Q1 2026'!E32-Actuals!E32)/ABS('Reforecast Q1 2026'!E32)),"")</f>
        <v/>
      </c>
      <c r="N26" s="508">
        <f>'Reforecast Q1 2026'!F32</f>
        <v/>
      </c>
      <c r="O26" s="508">
        <f>IF(OR(4&gt;$B$3,ISBLANK(Actuals!F32)),"",Actuals!F32)</f>
        <v/>
      </c>
      <c r="P26" s="509">
        <f>IF(OR(4&gt;$B$3,ISBLANK(Actuals!F32)),"",'Reforecast Q1 2026'!F32-Actuals!F32)</f>
        <v/>
      </c>
      <c r="Q26" s="509">
        <f>IFERROR(IF(OR(4&gt;$B$3,ISBLANK(Actuals!F32)),"",('Reforecast Q1 2026'!F32-Actuals!F32)/ABS('Reforecast Q1 2026'!F32)),"")</f>
        <v/>
      </c>
      <c r="R26" s="508">
        <f>'Reforecast Q1 2026'!G32</f>
        <v/>
      </c>
      <c r="S26" s="508">
        <f>IF(OR(5&gt;$B$3,ISBLANK(Actuals!G32)),"",Actuals!G32)</f>
        <v/>
      </c>
      <c r="T26" s="509">
        <f>IF(OR(5&gt;$B$3,ISBLANK(Actuals!G32)),"",'Reforecast Q1 2026'!G32-Actuals!G32)</f>
        <v/>
      </c>
      <c r="U26" s="509">
        <f>IFERROR(IF(OR(5&gt;$B$3,ISBLANK(Actuals!G32)),"",('Reforecast Q1 2026'!G32-Actuals!G32)/ABS('Reforecast Q1 2026'!G32)),"")</f>
        <v/>
      </c>
      <c r="V26" s="508">
        <f>'Reforecast Q1 2026'!H32</f>
        <v/>
      </c>
      <c r="W26" s="508">
        <f>IF(OR(6&gt;$B$3,ISBLANK(Actuals!H32)),"",Actuals!H32)</f>
        <v/>
      </c>
      <c r="X26" s="509">
        <f>IF(OR(6&gt;$B$3,ISBLANK(Actuals!H32)),"",'Reforecast Q1 2026'!H32-Actuals!H32)</f>
        <v/>
      </c>
      <c r="Y26" s="509">
        <f>IFERROR(IF(OR(6&gt;$B$3,ISBLANK(Actuals!H32)),"",('Reforecast Q1 2026'!H32-Actuals!H32)/ABS('Reforecast Q1 2026'!H32)),"")</f>
        <v/>
      </c>
      <c r="Z26" s="508">
        <f>'Reforecast Q1 2026'!I32</f>
        <v/>
      </c>
      <c r="AA26" s="508">
        <f>IF(OR(7&gt;$B$3,ISBLANK(Actuals!I32)),"",Actuals!I32)</f>
        <v/>
      </c>
      <c r="AB26" s="509">
        <f>IF(OR(7&gt;$B$3,ISBLANK(Actuals!I32)),"",'Reforecast Q1 2026'!I32-Actuals!I32)</f>
        <v/>
      </c>
      <c r="AC26" s="509">
        <f>IFERROR(IF(OR(7&gt;$B$3,ISBLANK(Actuals!I32)),"",('Reforecast Q1 2026'!I32-Actuals!I32)/ABS('Reforecast Q1 2026'!I32)),"")</f>
        <v/>
      </c>
      <c r="AD26" s="508">
        <f>'Reforecast Q1 2026'!J32</f>
        <v/>
      </c>
      <c r="AE26" s="508">
        <f>IF(OR(8&gt;$B$3,ISBLANK(Actuals!J32)),"",Actuals!J32)</f>
        <v/>
      </c>
      <c r="AF26" s="509">
        <f>IF(OR(8&gt;$B$3,ISBLANK(Actuals!J32)),"",'Reforecast Q1 2026'!J32-Actuals!J32)</f>
        <v/>
      </c>
      <c r="AG26" s="509">
        <f>IFERROR(IF(OR(8&gt;$B$3,ISBLANK(Actuals!J32)),"",('Reforecast Q1 2026'!J32-Actuals!J32)/ABS('Reforecast Q1 2026'!J32)),"")</f>
        <v/>
      </c>
      <c r="AH26" s="508">
        <f>'Reforecast Q1 2026'!K32</f>
        <v/>
      </c>
      <c r="AI26" s="508">
        <f>IF(OR(9&gt;$B$3,ISBLANK(Actuals!K32)),"",Actuals!K32)</f>
        <v/>
      </c>
      <c r="AJ26" s="509">
        <f>IF(OR(9&gt;$B$3,ISBLANK(Actuals!K32)),"",'Reforecast Q1 2026'!K32-Actuals!K32)</f>
        <v/>
      </c>
      <c r="AK26" s="509">
        <f>IFERROR(IF(OR(9&gt;$B$3,ISBLANK(Actuals!K32)),"",('Reforecast Q1 2026'!K32-Actuals!K32)/ABS('Reforecast Q1 2026'!K32)),"")</f>
        <v/>
      </c>
      <c r="AL26" s="508">
        <f>'Reforecast Q1 2026'!L32</f>
        <v/>
      </c>
      <c r="AM26" s="508">
        <f>IF(OR(10&gt;$B$3,ISBLANK(Actuals!L32)),"",Actuals!L32)</f>
        <v/>
      </c>
      <c r="AN26" s="509">
        <f>IF(OR(10&gt;$B$3,ISBLANK(Actuals!L32)),"",'Reforecast Q1 2026'!L32-Actuals!L32)</f>
        <v/>
      </c>
      <c r="AO26" s="509">
        <f>IFERROR(IF(OR(10&gt;$B$3,ISBLANK(Actuals!L32)),"",('Reforecast Q1 2026'!L32-Actuals!L32)/ABS('Reforecast Q1 2026'!L32)),"")</f>
        <v/>
      </c>
      <c r="AP26" s="508">
        <f>'Reforecast Q1 2026'!M32</f>
        <v/>
      </c>
      <c r="AQ26" s="508">
        <f>IF(OR(11&gt;$B$3,ISBLANK(Actuals!M32)),"",Actuals!M32)</f>
        <v/>
      </c>
      <c r="AR26" s="509">
        <f>IF(OR(11&gt;$B$3,ISBLANK(Actuals!M32)),"",'Reforecast Q1 2026'!M32-Actuals!M32)</f>
        <v/>
      </c>
      <c r="AS26" s="509">
        <f>IFERROR(IF(OR(11&gt;$B$3,ISBLANK(Actuals!M32)),"",('Reforecast Q1 2026'!M32-Actuals!M32)/ABS('Reforecast Q1 2026'!M32)),"")</f>
        <v/>
      </c>
      <c r="AT26" s="508">
        <f>'Reforecast Q1 2026'!N32</f>
        <v/>
      </c>
      <c r="AU26" s="508">
        <f>IF(OR(12&gt;$B$3,ISBLANK(Actuals!N32)),"",Actuals!N32)</f>
        <v/>
      </c>
      <c r="AV26" s="509">
        <f>IF(OR(12&gt;$B$3,ISBLANK(Actuals!N32)),"",'Reforecast Q1 2026'!N32-Actuals!N32)</f>
        <v/>
      </c>
      <c r="AW26" s="509">
        <f>IFERROR(IF(OR(12&gt;$B$3,ISBLANK(Actuals!N32)),"",('Reforecast Q1 2026'!N32-Actuals!N32)/ABS('Reforecast Q1 2026'!N32)),"")</f>
        <v/>
      </c>
      <c r="AX26" s="510">
        <f>SUMPRODUCT((Actuals!C32:N32&lt;&gt;"")*('Reforecast Q1 2026'!C32:N32))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'Reforecast Q1 2026'!C33</f>
        <v/>
      </c>
      <c r="C27" s="508">
        <f>IF(OR(1&gt;$B$3,ISBLANK(Actuals!C33)),"",Actuals!C33)</f>
        <v/>
      </c>
      <c r="D27" s="509">
        <f>IF(OR(1&gt;$B$3,ISBLANK(Actuals!C33)),"",'Reforecast Q1 2026'!C33-Actuals!C33)</f>
        <v/>
      </c>
      <c r="E27" s="509">
        <f>IFERROR(IF(OR(1&gt;$B$3,ISBLANK(Actuals!C33)),"",('Reforecast Q1 2026'!C33-Actuals!C33)/ABS('Reforecast Q1 2026'!C33)),"")</f>
        <v/>
      </c>
      <c r="F27" s="508">
        <f>'Reforecast Q1 2026'!D33</f>
        <v/>
      </c>
      <c r="G27" s="508">
        <f>IF(OR(2&gt;$B$3,ISBLANK(Actuals!D33)),"",Actuals!D33)</f>
        <v/>
      </c>
      <c r="H27" s="509">
        <f>IF(OR(2&gt;$B$3,ISBLANK(Actuals!D33)),"",'Reforecast Q1 2026'!D33-Actuals!D33)</f>
        <v/>
      </c>
      <c r="I27" s="509">
        <f>IFERROR(IF(OR(2&gt;$B$3,ISBLANK(Actuals!D33)),"",('Reforecast Q1 2026'!D33-Actuals!D33)/ABS('Reforecast Q1 2026'!D33)),"")</f>
        <v/>
      </c>
      <c r="J27" s="508">
        <f>'Reforecast Q1 2026'!E33</f>
        <v/>
      </c>
      <c r="K27" s="508">
        <f>IF(OR(3&gt;$B$3,ISBLANK(Actuals!E33)),"",Actuals!E33)</f>
        <v/>
      </c>
      <c r="L27" s="509">
        <f>IF(OR(3&gt;$B$3,ISBLANK(Actuals!E33)),"",'Reforecast Q1 2026'!E33-Actuals!E33)</f>
        <v/>
      </c>
      <c r="M27" s="509">
        <f>IFERROR(IF(OR(3&gt;$B$3,ISBLANK(Actuals!E33)),"",('Reforecast Q1 2026'!E33-Actuals!E33)/ABS('Reforecast Q1 2026'!E33)),"")</f>
        <v/>
      </c>
      <c r="N27" s="508">
        <f>'Reforecast Q1 2026'!F33</f>
        <v/>
      </c>
      <c r="O27" s="508">
        <f>IF(OR(4&gt;$B$3,ISBLANK(Actuals!F33)),"",Actuals!F33)</f>
        <v/>
      </c>
      <c r="P27" s="509">
        <f>IF(OR(4&gt;$B$3,ISBLANK(Actuals!F33)),"",'Reforecast Q1 2026'!F33-Actuals!F33)</f>
        <v/>
      </c>
      <c r="Q27" s="509">
        <f>IFERROR(IF(OR(4&gt;$B$3,ISBLANK(Actuals!F33)),"",('Reforecast Q1 2026'!F33-Actuals!F33)/ABS('Reforecast Q1 2026'!F33)),"")</f>
        <v/>
      </c>
      <c r="R27" s="508">
        <f>'Reforecast Q1 2026'!G33</f>
        <v/>
      </c>
      <c r="S27" s="508">
        <f>IF(OR(5&gt;$B$3,ISBLANK(Actuals!G33)),"",Actuals!G33)</f>
        <v/>
      </c>
      <c r="T27" s="509">
        <f>IF(OR(5&gt;$B$3,ISBLANK(Actuals!G33)),"",'Reforecast Q1 2026'!G33-Actuals!G33)</f>
        <v/>
      </c>
      <c r="U27" s="509">
        <f>IFERROR(IF(OR(5&gt;$B$3,ISBLANK(Actuals!G33)),"",('Reforecast Q1 2026'!G33-Actuals!G33)/ABS('Reforecast Q1 2026'!G33)),"")</f>
        <v/>
      </c>
      <c r="V27" s="508">
        <f>'Reforecast Q1 2026'!H33</f>
        <v/>
      </c>
      <c r="W27" s="508">
        <f>IF(OR(6&gt;$B$3,ISBLANK(Actuals!H33)),"",Actuals!H33)</f>
        <v/>
      </c>
      <c r="X27" s="509">
        <f>IF(OR(6&gt;$B$3,ISBLANK(Actuals!H33)),"",'Reforecast Q1 2026'!H33-Actuals!H33)</f>
        <v/>
      </c>
      <c r="Y27" s="509">
        <f>IFERROR(IF(OR(6&gt;$B$3,ISBLANK(Actuals!H33)),"",('Reforecast Q1 2026'!H33-Actuals!H33)/ABS('Reforecast Q1 2026'!H33)),"")</f>
        <v/>
      </c>
      <c r="Z27" s="508">
        <f>'Reforecast Q1 2026'!I33</f>
        <v/>
      </c>
      <c r="AA27" s="508">
        <f>IF(OR(7&gt;$B$3,ISBLANK(Actuals!I33)),"",Actuals!I33)</f>
        <v/>
      </c>
      <c r="AB27" s="509">
        <f>IF(OR(7&gt;$B$3,ISBLANK(Actuals!I33)),"",'Reforecast Q1 2026'!I33-Actuals!I33)</f>
        <v/>
      </c>
      <c r="AC27" s="509">
        <f>IFERROR(IF(OR(7&gt;$B$3,ISBLANK(Actuals!I33)),"",('Reforecast Q1 2026'!I33-Actuals!I33)/ABS('Reforecast Q1 2026'!I33)),"")</f>
        <v/>
      </c>
      <c r="AD27" s="508">
        <f>'Reforecast Q1 2026'!J33</f>
        <v/>
      </c>
      <c r="AE27" s="508">
        <f>IF(OR(8&gt;$B$3,ISBLANK(Actuals!J33)),"",Actuals!J33)</f>
        <v/>
      </c>
      <c r="AF27" s="509">
        <f>IF(OR(8&gt;$B$3,ISBLANK(Actuals!J33)),"",'Reforecast Q1 2026'!J33-Actuals!J33)</f>
        <v/>
      </c>
      <c r="AG27" s="509">
        <f>IFERROR(IF(OR(8&gt;$B$3,ISBLANK(Actuals!J33)),"",('Reforecast Q1 2026'!J33-Actuals!J33)/ABS('Reforecast Q1 2026'!J33)),"")</f>
        <v/>
      </c>
      <c r="AH27" s="508">
        <f>'Reforecast Q1 2026'!K33</f>
        <v/>
      </c>
      <c r="AI27" s="508">
        <f>IF(OR(9&gt;$B$3,ISBLANK(Actuals!K33)),"",Actuals!K33)</f>
        <v/>
      </c>
      <c r="AJ27" s="509">
        <f>IF(OR(9&gt;$B$3,ISBLANK(Actuals!K33)),"",'Reforecast Q1 2026'!K33-Actuals!K33)</f>
        <v/>
      </c>
      <c r="AK27" s="509">
        <f>IFERROR(IF(OR(9&gt;$B$3,ISBLANK(Actuals!K33)),"",('Reforecast Q1 2026'!K33-Actuals!K33)/ABS('Reforecast Q1 2026'!K33)),"")</f>
        <v/>
      </c>
      <c r="AL27" s="508">
        <f>'Reforecast Q1 2026'!L33</f>
        <v/>
      </c>
      <c r="AM27" s="508">
        <f>IF(OR(10&gt;$B$3,ISBLANK(Actuals!L33)),"",Actuals!L33)</f>
        <v/>
      </c>
      <c r="AN27" s="509">
        <f>IF(OR(10&gt;$B$3,ISBLANK(Actuals!L33)),"",'Reforecast Q1 2026'!L33-Actuals!L33)</f>
        <v/>
      </c>
      <c r="AO27" s="509">
        <f>IFERROR(IF(OR(10&gt;$B$3,ISBLANK(Actuals!L33)),"",('Reforecast Q1 2026'!L33-Actuals!L33)/ABS('Reforecast Q1 2026'!L33)),"")</f>
        <v/>
      </c>
      <c r="AP27" s="508">
        <f>'Reforecast Q1 2026'!M33</f>
        <v/>
      </c>
      <c r="AQ27" s="508">
        <f>IF(OR(11&gt;$B$3,ISBLANK(Actuals!M33)),"",Actuals!M33)</f>
        <v/>
      </c>
      <c r="AR27" s="509">
        <f>IF(OR(11&gt;$B$3,ISBLANK(Actuals!M33)),"",'Reforecast Q1 2026'!M33-Actuals!M33)</f>
        <v/>
      </c>
      <c r="AS27" s="509">
        <f>IFERROR(IF(OR(11&gt;$B$3,ISBLANK(Actuals!M33)),"",('Reforecast Q1 2026'!M33-Actuals!M33)/ABS('Reforecast Q1 2026'!M33)),"")</f>
        <v/>
      </c>
      <c r="AT27" s="508">
        <f>'Reforecast Q1 2026'!N33</f>
        <v/>
      </c>
      <c r="AU27" s="508">
        <f>IF(OR(12&gt;$B$3,ISBLANK(Actuals!N33)),"",Actuals!N33)</f>
        <v/>
      </c>
      <c r="AV27" s="509">
        <f>IF(OR(12&gt;$B$3,ISBLANK(Actuals!N33)),"",'Reforecast Q1 2026'!N33-Actuals!N33)</f>
        <v/>
      </c>
      <c r="AW27" s="509">
        <f>IFERROR(IF(OR(12&gt;$B$3,ISBLANK(Actuals!N33)),"",('Reforecast Q1 2026'!N33-Actuals!N33)/ABS('Reforecast Q1 2026'!N33)),"")</f>
        <v/>
      </c>
      <c r="AX27" s="510">
        <f>SUMPRODUCT((Actuals!C33:N33&lt;&gt;"")*('Reforecast Q1 2026'!C33:N33))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'Reforecast Q1 2026'!C34</f>
        <v/>
      </c>
      <c r="C28" s="508">
        <f>IF(OR(1&gt;$B$3,ISBLANK(Actuals!C34)),"",Actuals!C34)</f>
        <v/>
      </c>
      <c r="D28" s="509">
        <f>IF(OR(1&gt;$B$3,ISBLANK(Actuals!C34)),"",'Reforecast Q1 2026'!C34-Actuals!C34)</f>
        <v/>
      </c>
      <c r="E28" s="509">
        <f>IFERROR(IF(OR(1&gt;$B$3,ISBLANK(Actuals!C34)),"",('Reforecast Q1 2026'!C34-Actuals!C34)/ABS('Reforecast Q1 2026'!C34)),"")</f>
        <v/>
      </c>
      <c r="F28" s="508">
        <f>'Reforecast Q1 2026'!D34</f>
        <v/>
      </c>
      <c r="G28" s="508">
        <f>IF(OR(2&gt;$B$3,ISBLANK(Actuals!D34)),"",Actuals!D34)</f>
        <v/>
      </c>
      <c r="H28" s="509">
        <f>IF(OR(2&gt;$B$3,ISBLANK(Actuals!D34)),"",'Reforecast Q1 2026'!D34-Actuals!D34)</f>
        <v/>
      </c>
      <c r="I28" s="509">
        <f>IFERROR(IF(OR(2&gt;$B$3,ISBLANK(Actuals!D34)),"",('Reforecast Q1 2026'!D34-Actuals!D34)/ABS('Reforecast Q1 2026'!D34)),"")</f>
        <v/>
      </c>
      <c r="J28" s="508">
        <f>'Reforecast Q1 2026'!E34</f>
        <v/>
      </c>
      <c r="K28" s="508">
        <f>IF(OR(3&gt;$B$3,ISBLANK(Actuals!E34)),"",Actuals!E34)</f>
        <v/>
      </c>
      <c r="L28" s="509">
        <f>IF(OR(3&gt;$B$3,ISBLANK(Actuals!E34)),"",'Reforecast Q1 2026'!E34-Actuals!E34)</f>
        <v/>
      </c>
      <c r="M28" s="509">
        <f>IFERROR(IF(OR(3&gt;$B$3,ISBLANK(Actuals!E34)),"",('Reforecast Q1 2026'!E34-Actuals!E34)/ABS('Reforecast Q1 2026'!E34)),"")</f>
        <v/>
      </c>
      <c r="N28" s="508">
        <f>'Reforecast Q1 2026'!F34</f>
        <v/>
      </c>
      <c r="O28" s="508">
        <f>IF(OR(4&gt;$B$3,ISBLANK(Actuals!F34)),"",Actuals!F34)</f>
        <v/>
      </c>
      <c r="P28" s="509">
        <f>IF(OR(4&gt;$B$3,ISBLANK(Actuals!F34)),"",'Reforecast Q1 2026'!F34-Actuals!F34)</f>
        <v/>
      </c>
      <c r="Q28" s="509">
        <f>IFERROR(IF(OR(4&gt;$B$3,ISBLANK(Actuals!F34)),"",('Reforecast Q1 2026'!F34-Actuals!F34)/ABS('Reforecast Q1 2026'!F34)),"")</f>
        <v/>
      </c>
      <c r="R28" s="508">
        <f>'Reforecast Q1 2026'!G34</f>
        <v/>
      </c>
      <c r="S28" s="508">
        <f>IF(OR(5&gt;$B$3,ISBLANK(Actuals!G34)),"",Actuals!G34)</f>
        <v/>
      </c>
      <c r="T28" s="509">
        <f>IF(OR(5&gt;$B$3,ISBLANK(Actuals!G34)),"",'Reforecast Q1 2026'!G34-Actuals!G34)</f>
        <v/>
      </c>
      <c r="U28" s="509">
        <f>IFERROR(IF(OR(5&gt;$B$3,ISBLANK(Actuals!G34)),"",('Reforecast Q1 2026'!G34-Actuals!G34)/ABS('Reforecast Q1 2026'!G34)),"")</f>
        <v/>
      </c>
      <c r="V28" s="508">
        <f>'Reforecast Q1 2026'!H34</f>
        <v/>
      </c>
      <c r="W28" s="508">
        <f>IF(OR(6&gt;$B$3,ISBLANK(Actuals!H34)),"",Actuals!H34)</f>
        <v/>
      </c>
      <c r="X28" s="509">
        <f>IF(OR(6&gt;$B$3,ISBLANK(Actuals!H34)),"",'Reforecast Q1 2026'!H34-Actuals!H34)</f>
        <v/>
      </c>
      <c r="Y28" s="509">
        <f>IFERROR(IF(OR(6&gt;$B$3,ISBLANK(Actuals!H34)),"",('Reforecast Q1 2026'!H34-Actuals!H34)/ABS('Reforecast Q1 2026'!H34)),"")</f>
        <v/>
      </c>
      <c r="Z28" s="508">
        <f>'Reforecast Q1 2026'!I34</f>
        <v/>
      </c>
      <c r="AA28" s="508">
        <f>IF(OR(7&gt;$B$3,ISBLANK(Actuals!I34)),"",Actuals!I34)</f>
        <v/>
      </c>
      <c r="AB28" s="509">
        <f>IF(OR(7&gt;$B$3,ISBLANK(Actuals!I34)),"",'Reforecast Q1 2026'!I34-Actuals!I34)</f>
        <v/>
      </c>
      <c r="AC28" s="509">
        <f>IFERROR(IF(OR(7&gt;$B$3,ISBLANK(Actuals!I34)),"",('Reforecast Q1 2026'!I34-Actuals!I34)/ABS('Reforecast Q1 2026'!I34)),"")</f>
        <v/>
      </c>
      <c r="AD28" s="508">
        <f>'Reforecast Q1 2026'!J34</f>
        <v/>
      </c>
      <c r="AE28" s="508">
        <f>IF(OR(8&gt;$B$3,ISBLANK(Actuals!J34)),"",Actuals!J34)</f>
        <v/>
      </c>
      <c r="AF28" s="509">
        <f>IF(OR(8&gt;$B$3,ISBLANK(Actuals!J34)),"",'Reforecast Q1 2026'!J34-Actuals!J34)</f>
        <v/>
      </c>
      <c r="AG28" s="509">
        <f>IFERROR(IF(OR(8&gt;$B$3,ISBLANK(Actuals!J34)),"",('Reforecast Q1 2026'!J34-Actuals!J34)/ABS('Reforecast Q1 2026'!J34)),"")</f>
        <v/>
      </c>
      <c r="AH28" s="508">
        <f>'Reforecast Q1 2026'!K34</f>
        <v/>
      </c>
      <c r="AI28" s="508">
        <f>IF(OR(9&gt;$B$3,ISBLANK(Actuals!K34)),"",Actuals!K34)</f>
        <v/>
      </c>
      <c r="AJ28" s="509">
        <f>IF(OR(9&gt;$B$3,ISBLANK(Actuals!K34)),"",'Reforecast Q1 2026'!K34-Actuals!K34)</f>
        <v/>
      </c>
      <c r="AK28" s="509">
        <f>IFERROR(IF(OR(9&gt;$B$3,ISBLANK(Actuals!K34)),"",('Reforecast Q1 2026'!K34-Actuals!K34)/ABS('Reforecast Q1 2026'!K34)),"")</f>
        <v/>
      </c>
      <c r="AL28" s="508">
        <f>'Reforecast Q1 2026'!L34</f>
        <v/>
      </c>
      <c r="AM28" s="508">
        <f>IF(OR(10&gt;$B$3,ISBLANK(Actuals!L34)),"",Actuals!L34)</f>
        <v/>
      </c>
      <c r="AN28" s="509">
        <f>IF(OR(10&gt;$B$3,ISBLANK(Actuals!L34)),"",'Reforecast Q1 2026'!L34-Actuals!L34)</f>
        <v/>
      </c>
      <c r="AO28" s="509">
        <f>IFERROR(IF(OR(10&gt;$B$3,ISBLANK(Actuals!L34)),"",('Reforecast Q1 2026'!L34-Actuals!L34)/ABS('Reforecast Q1 2026'!L34)),"")</f>
        <v/>
      </c>
      <c r="AP28" s="508">
        <f>'Reforecast Q1 2026'!M34</f>
        <v/>
      </c>
      <c r="AQ28" s="508">
        <f>IF(OR(11&gt;$B$3,ISBLANK(Actuals!M34)),"",Actuals!M34)</f>
        <v/>
      </c>
      <c r="AR28" s="509">
        <f>IF(OR(11&gt;$B$3,ISBLANK(Actuals!M34)),"",'Reforecast Q1 2026'!M34-Actuals!M34)</f>
        <v/>
      </c>
      <c r="AS28" s="509">
        <f>IFERROR(IF(OR(11&gt;$B$3,ISBLANK(Actuals!M34)),"",('Reforecast Q1 2026'!M34-Actuals!M34)/ABS('Reforecast Q1 2026'!M34)),"")</f>
        <v/>
      </c>
      <c r="AT28" s="508">
        <f>'Reforecast Q1 2026'!N34</f>
        <v/>
      </c>
      <c r="AU28" s="508">
        <f>IF(OR(12&gt;$B$3,ISBLANK(Actuals!N34)),"",Actuals!N34)</f>
        <v/>
      </c>
      <c r="AV28" s="509">
        <f>IF(OR(12&gt;$B$3,ISBLANK(Actuals!N34)),"",'Reforecast Q1 2026'!N34-Actuals!N34)</f>
        <v/>
      </c>
      <c r="AW28" s="509">
        <f>IFERROR(IF(OR(12&gt;$B$3,ISBLANK(Actuals!N34)),"",('Reforecast Q1 2026'!N34-Actuals!N34)/ABS('Reforecast Q1 2026'!N34)),"")</f>
        <v/>
      </c>
      <c r="AX28" s="510">
        <f>SUMPRODUCT((Actuals!C34:N34&lt;&gt;"")*('Reforecast Q1 2026'!C34:N34))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'Reforecast Q1 2026'!C35</f>
        <v/>
      </c>
      <c r="C29" s="508">
        <f>IF(OR(1&gt;$B$3,ISBLANK(Actuals!C35)),"",Actuals!C35)</f>
        <v/>
      </c>
      <c r="D29" s="509">
        <f>IF(OR(1&gt;$B$3,ISBLANK(Actuals!C35)),"",'Reforecast Q1 2026'!C35-Actuals!C35)</f>
        <v/>
      </c>
      <c r="E29" s="509">
        <f>IFERROR(IF(OR(1&gt;$B$3,ISBLANK(Actuals!C35)),"",('Reforecast Q1 2026'!C35-Actuals!C35)/ABS('Reforecast Q1 2026'!C35)),"")</f>
        <v/>
      </c>
      <c r="F29" s="508">
        <f>'Reforecast Q1 2026'!D35</f>
        <v/>
      </c>
      <c r="G29" s="508">
        <f>IF(OR(2&gt;$B$3,ISBLANK(Actuals!D35)),"",Actuals!D35)</f>
        <v/>
      </c>
      <c r="H29" s="509">
        <f>IF(OR(2&gt;$B$3,ISBLANK(Actuals!D35)),"",'Reforecast Q1 2026'!D35-Actuals!D35)</f>
        <v/>
      </c>
      <c r="I29" s="509">
        <f>IFERROR(IF(OR(2&gt;$B$3,ISBLANK(Actuals!D35)),"",('Reforecast Q1 2026'!D35-Actuals!D35)/ABS('Reforecast Q1 2026'!D35)),"")</f>
        <v/>
      </c>
      <c r="J29" s="508">
        <f>'Reforecast Q1 2026'!E35</f>
        <v/>
      </c>
      <c r="K29" s="508">
        <f>IF(OR(3&gt;$B$3,ISBLANK(Actuals!E35)),"",Actuals!E35)</f>
        <v/>
      </c>
      <c r="L29" s="509">
        <f>IF(OR(3&gt;$B$3,ISBLANK(Actuals!E35)),"",'Reforecast Q1 2026'!E35-Actuals!E35)</f>
        <v/>
      </c>
      <c r="M29" s="509">
        <f>IFERROR(IF(OR(3&gt;$B$3,ISBLANK(Actuals!E35)),"",('Reforecast Q1 2026'!E35-Actuals!E35)/ABS('Reforecast Q1 2026'!E35)),"")</f>
        <v/>
      </c>
      <c r="N29" s="508">
        <f>'Reforecast Q1 2026'!F35</f>
        <v/>
      </c>
      <c r="O29" s="508">
        <f>IF(OR(4&gt;$B$3,ISBLANK(Actuals!F35)),"",Actuals!F35)</f>
        <v/>
      </c>
      <c r="P29" s="509">
        <f>IF(OR(4&gt;$B$3,ISBLANK(Actuals!F35)),"",'Reforecast Q1 2026'!F35-Actuals!F35)</f>
        <v/>
      </c>
      <c r="Q29" s="509">
        <f>IFERROR(IF(OR(4&gt;$B$3,ISBLANK(Actuals!F35)),"",('Reforecast Q1 2026'!F35-Actuals!F35)/ABS('Reforecast Q1 2026'!F35)),"")</f>
        <v/>
      </c>
      <c r="R29" s="508">
        <f>'Reforecast Q1 2026'!G35</f>
        <v/>
      </c>
      <c r="S29" s="508">
        <f>IF(OR(5&gt;$B$3,ISBLANK(Actuals!G35)),"",Actuals!G35)</f>
        <v/>
      </c>
      <c r="T29" s="509">
        <f>IF(OR(5&gt;$B$3,ISBLANK(Actuals!G35)),"",'Reforecast Q1 2026'!G35-Actuals!G35)</f>
        <v/>
      </c>
      <c r="U29" s="509">
        <f>IFERROR(IF(OR(5&gt;$B$3,ISBLANK(Actuals!G35)),"",('Reforecast Q1 2026'!G35-Actuals!G35)/ABS('Reforecast Q1 2026'!G35)),"")</f>
        <v/>
      </c>
      <c r="V29" s="508">
        <f>'Reforecast Q1 2026'!H35</f>
        <v/>
      </c>
      <c r="W29" s="508">
        <f>IF(OR(6&gt;$B$3,ISBLANK(Actuals!H35)),"",Actuals!H35)</f>
        <v/>
      </c>
      <c r="X29" s="509">
        <f>IF(OR(6&gt;$B$3,ISBLANK(Actuals!H35)),"",'Reforecast Q1 2026'!H35-Actuals!H35)</f>
        <v/>
      </c>
      <c r="Y29" s="509">
        <f>IFERROR(IF(OR(6&gt;$B$3,ISBLANK(Actuals!H35)),"",('Reforecast Q1 2026'!H35-Actuals!H35)/ABS('Reforecast Q1 2026'!H35)),"")</f>
        <v/>
      </c>
      <c r="Z29" s="508">
        <f>'Reforecast Q1 2026'!I35</f>
        <v/>
      </c>
      <c r="AA29" s="508">
        <f>IF(OR(7&gt;$B$3,ISBLANK(Actuals!I35)),"",Actuals!I35)</f>
        <v/>
      </c>
      <c r="AB29" s="509">
        <f>IF(OR(7&gt;$B$3,ISBLANK(Actuals!I35)),"",'Reforecast Q1 2026'!I35-Actuals!I35)</f>
        <v/>
      </c>
      <c r="AC29" s="509">
        <f>IFERROR(IF(OR(7&gt;$B$3,ISBLANK(Actuals!I35)),"",('Reforecast Q1 2026'!I35-Actuals!I35)/ABS('Reforecast Q1 2026'!I35)),"")</f>
        <v/>
      </c>
      <c r="AD29" s="508">
        <f>'Reforecast Q1 2026'!J35</f>
        <v/>
      </c>
      <c r="AE29" s="508">
        <f>IF(OR(8&gt;$B$3,ISBLANK(Actuals!J35)),"",Actuals!J35)</f>
        <v/>
      </c>
      <c r="AF29" s="509">
        <f>IF(OR(8&gt;$B$3,ISBLANK(Actuals!J35)),"",'Reforecast Q1 2026'!J35-Actuals!J35)</f>
        <v/>
      </c>
      <c r="AG29" s="509">
        <f>IFERROR(IF(OR(8&gt;$B$3,ISBLANK(Actuals!J35)),"",('Reforecast Q1 2026'!J35-Actuals!J35)/ABS('Reforecast Q1 2026'!J35)),"")</f>
        <v/>
      </c>
      <c r="AH29" s="508">
        <f>'Reforecast Q1 2026'!K35</f>
        <v/>
      </c>
      <c r="AI29" s="508">
        <f>IF(OR(9&gt;$B$3,ISBLANK(Actuals!K35)),"",Actuals!K35)</f>
        <v/>
      </c>
      <c r="AJ29" s="509">
        <f>IF(OR(9&gt;$B$3,ISBLANK(Actuals!K35)),"",'Reforecast Q1 2026'!K35-Actuals!K35)</f>
        <v/>
      </c>
      <c r="AK29" s="509">
        <f>IFERROR(IF(OR(9&gt;$B$3,ISBLANK(Actuals!K35)),"",('Reforecast Q1 2026'!K35-Actuals!K35)/ABS('Reforecast Q1 2026'!K35)),"")</f>
        <v/>
      </c>
      <c r="AL29" s="508">
        <f>'Reforecast Q1 2026'!L35</f>
        <v/>
      </c>
      <c r="AM29" s="508">
        <f>IF(OR(10&gt;$B$3,ISBLANK(Actuals!L35)),"",Actuals!L35)</f>
        <v/>
      </c>
      <c r="AN29" s="509">
        <f>IF(OR(10&gt;$B$3,ISBLANK(Actuals!L35)),"",'Reforecast Q1 2026'!L35-Actuals!L35)</f>
        <v/>
      </c>
      <c r="AO29" s="509">
        <f>IFERROR(IF(OR(10&gt;$B$3,ISBLANK(Actuals!L35)),"",('Reforecast Q1 2026'!L35-Actuals!L35)/ABS('Reforecast Q1 2026'!L35)),"")</f>
        <v/>
      </c>
      <c r="AP29" s="508">
        <f>'Reforecast Q1 2026'!M35</f>
        <v/>
      </c>
      <c r="AQ29" s="508">
        <f>IF(OR(11&gt;$B$3,ISBLANK(Actuals!M35)),"",Actuals!M35)</f>
        <v/>
      </c>
      <c r="AR29" s="509">
        <f>IF(OR(11&gt;$B$3,ISBLANK(Actuals!M35)),"",'Reforecast Q1 2026'!M35-Actuals!M35)</f>
        <v/>
      </c>
      <c r="AS29" s="509">
        <f>IFERROR(IF(OR(11&gt;$B$3,ISBLANK(Actuals!M35)),"",('Reforecast Q1 2026'!M35-Actuals!M35)/ABS('Reforecast Q1 2026'!M35)),"")</f>
        <v/>
      </c>
      <c r="AT29" s="508">
        <f>'Reforecast Q1 2026'!N35</f>
        <v/>
      </c>
      <c r="AU29" s="508">
        <f>IF(OR(12&gt;$B$3,ISBLANK(Actuals!N35)),"",Actuals!N35)</f>
        <v/>
      </c>
      <c r="AV29" s="509">
        <f>IF(OR(12&gt;$B$3,ISBLANK(Actuals!N35)),"",'Reforecast Q1 2026'!N35-Actuals!N35)</f>
        <v/>
      </c>
      <c r="AW29" s="509">
        <f>IFERROR(IF(OR(12&gt;$B$3,ISBLANK(Actuals!N35)),"",('Reforecast Q1 2026'!N35-Actuals!N35)/ABS('Reforecast Q1 2026'!N35)),"")</f>
        <v/>
      </c>
      <c r="AX29" s="510">
        <f>SUMPRODUCT((Actuals!C35:N35&lt;&gt;"")*('Reforecast Q1 2026'!C35:N35))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'Reforecast Q1 2026'!C36</f>
        <v/>
      </c>
      <c r="C30" s="508">
        <f>IF(OR(1&gt;$B$3,ISBLANK(Actuals!C36)),"",Actuals!C36)</f>
        <v/>
      </c>
      <c r="D30" s="509">
        <f>IF(OR(1&gt;$B$3,ISBLANK(Actuals!C36)),"",'Reforecast Q1 2026'!C36-Actuals!C36)</f>
        <v/>
      </c>
      <c r="E30" s="509">
        <f>IFERROR(IF(OR(1&gt;$B$3,ISBLANK(Actuals!C36)),"",('Reforecast Q1 2026'!C36-Actuals!C36)/ABS('Reforecast Q1 2026'!C36)),"")</f>
        <v/>
      </c>
      <c r="F30" s="508">
        <f>'Reforecast Q1 2026'!D36</f>
        <v/>
      </c>
      <c r="G30" s="508">
        <f>IF(OR(2&gt;$B$3,ISBLANK(Actuals!D36)),"",Actuals!D36)</f>
        <v/>
      </c>
      <c r="H30" s="509">
        <f>IF(OR(2&gt;$B$3,ISBLANK(Actuals!D36)),"",'Reforecast Q1 2026'!D36-Actuals!D36)</f>
        <v/>
      </c>
      <c r="I30" s="509">
        <f>IFERROR(IF(OR(2&gt;$B$3,ISBLANK(Actuals!D36)),"",('Reforecast Q1 2026'!D36-Actuals!D36)/ABS('Reforecast Q1 2026'!D36)),"")</f>
        <v/>
      </c>
      <c r="J30" s="508">
        <f>'Reforecast Q1 2026'!E36</f>
        <v/>
      </c>
      <c r="K30" s="508">
        <f>IF(OR(3&gt;$B$3,ISBLANK(Actuals!E36)),"",Actuals!E36)</f>
        <v/>
      </c>
      <c r="L30" s="509">
        <f>IF(OR(3&gt;$B$3,ISBLANK(Actuals!E36)),"",'Reforecast Q1 2026'!E36-Actuals!E36)</f>
        <v/>
      </c>
      <c r="M30" s="509">
        <f>IFERROR(IF(OR(3&gt;$B$3,ISBLANK(Actuals!E36)),"",('Reforecast Q1 2026'!E36-Actuals!E36)/ABS('Reforecast Q1 2026'!E36)),"")</f>
        <v/>
      </c>
      <c r="N30" s="508">
        <f>'Reforecast Q1 2026'!F36</f>
        <v/>
      </c>
      <c r="O30" s="508">
        <f>IF(OR(4&gt;$B$3,ISBLANK(Actuals!F36)),"",Actuals!F36)</f>
        <v/>
      </c>
      <c r="P30" s="509">
        <f>IF(OR(4&gt;$B$3,ISBLANK(Actuals!F36)),"",'Reforecast Q1 2026'!F36-Actuals!F36)</f>
        <v/>
      </c>
      <c r="Q30" s="509">
        <f>IFERROR(IF(OR(4&gt;$B$3,ISBLANK(Actuals!F36)),"",('Reforecast Q1 2026'!F36-Actuals!F36)/ABS('Reforecast Q1 2026'!F36)),"")</f>
        <v/>
      </c>
      <c r="R30" s="508">
        <f>'Reforecast Q1 2026'!G36</f>
        <v/>
      </c>
      <c r="S30" s="508">
        <f>IF(OR(5&gt;$B$3,ISBLANK(Actuals!G36)),"",Actuals!G36)</f>
        <v/>
      </c>
      <c r="T30" s="509">
        <f>IF(OR(5&gt;$B$3,ISBLANK(Actuals!G36)),"",'Reforecast Q1 2026'!G36-Actuals!G36)</f>
        <v/>
      </c>
      <c r="U30" s="509">
        <f>IFERROR(IF(OR(5&gt;$B$3,ISBLANK(Actuals!G36)),"",('Reforecast Q1 2026'!G36-Actuals!G36)/ABS('Reforecast Q1 2026'!G36)),"")</f>
        <v/>
      </c>
      <c r="V30" s="508">
        <f>'Reforecast Q1 2026'!H36</f>
        <v/>
      </c>
      <c r="W30" s="508">
        <f>IF(OR(6&gt;$B$3,ISBLANK(Actuals!H36)),"",Actuals!H36)</f>
        <v/>
      </c>
      <c r="X30" s="509">
        <f>IF(OR(6&gt;$B$3,ISBLANK(Actuals!H36)),"",'Reforecast Q1 2026'!H36-Actuals!H36)</f>
        <v/>
      </c>
      <c r="Y30" s="509">
        <f>IFERROR(IF(OR(6&gt;$B$3,ISBLANK(Actuals!H36)),"",('Reforecast Q1 2026'!H36-Actuals!H36)/ABS('Reforecast Q1 2026'!H36)),"")</f>
        <v/>
      </c>
      <c r="Z30" s="508">
        <f>'Reforecast Q1 2026'!I36</f>
        <v/>
      </c>
      <c r="AA30" s="508">
        <f>IF(OR(7&gt;$B$3,ISBLANK(Actuals!I36)),"",Actuals!I36)</f>
        <v/>
      </c>
      <c r="AB30" s="509">
        <f>IF(OR(7&gt;$B$3,ISBLANK(Actuals!I36)),"",'Reforecast Q1 2026'!I36-Actuals!I36)</f>
        <v/>
      </c>
      <c r="AC30" s="509">
        <f>IFERROR(IF(OR(7&gt;$B$3,ISBLANK(Actuals!I36)),"",('Reforecast Q1 2026'!I36-Actuals!I36)/ABS('Reforecast Q1 2026'!I36)),"")</f>
        <v/>
      </c>
      <c r="AD30" s="508">
        <f>'Reforecast Q1 2026'!J36</f>
        <v/>
      </c>
      <c r="AE30" s="508">
        <f>IF(OR(8&gt;$B$3,ISBLANK(Actuals!J36)),"",Actuals!J36)</f>
        <v/>
      </c>
      <c r="AF30" s="509">
        <f>IF(OR(8&gt;$B$3,ISBLANK(Actuals!J36)),"",'Reforecast Q1 2026'!J36-Actuals!J36)</f>
        <v/>
      </c>
      <c r="AG30" s="509">
        <f>IFERROR(IF(OR(8&gt;$B$3,ISBLANK(Actuals!J36)),"",('Reforecast Q1 2026'!J36-Actuals!J36)/ABS('Reforecast Q1 2026'!J36)),"")</f>
        <v/>
      </c>
      <c r="AH30" s="508">
        <f>'Reforecast Q1 2026'!K36</f>
        <v/>
      </c>
      <c r="AI30" s="508">
        <f>IF(OR(9&gt;$B$3,ISBLANK(Actuals!K36)),"",Actuals!K36)</f>
        <v/>
      </c>
      <c r="AJ30" s="509">
        <f>IF(OR(9&gt;$B$3,ISBLANK(Actuals!K36)),"",'Reforecast Q1 2026'!K36-Actuals!K36)</f>
        <v/>
      </c>
      <c r="AK30" s="509">
        <f>IFERROR(IF(OR(9&gt;$B$3,ISBLANK(Actuals!K36)),"",('Reforecast Q1 2026'!K36-Actuals!K36)/ABS('Reforecast Q1 2026'!K36)),"")</f>
        <v/>
      </c>
      <c r="AL30" s="508">
        <f>'Reforecast Q1 2026'!L36</f>
        <v/>
      </c>
      <c r="AM30" s="508">
        <f>IF(OR(10&gt;$B$3,ISBLANK(Actuals!L36)),"",Actuals!L36)</f>
        <v/>
      </c>
      <c r="AN30" s="509">
        <f>IF(OR(10&gt;$B$3,ISBLANK(Actuals!L36)),"",'Reforecast Q1 2026'!L36-Actuals!L36)</f>
        <v/>
      </c>
      <c r="AO30" s="509">
        <f>IFERROR(IF(OR(10&gt;$B$3,ISBLANK(Actuals!L36)),"",('Reforecast Q1 2026'!L36-Actuals!L36)/ABS('Reforecast Q1 2026'!L36)),"")</f>
        <v/>
      </c>
      <c r="AP30" s="508">
        <f>'Reforecast Q1 2026'!M36</f>
        <v/>
      </c>
      <c r="AQ30" s="508">
        <f>IF(OR(11&gt;$B$3,ISBLANK(Actuals!M36)),"",Actuals!M36)</f>
        <v/>
      </c>
      <c r="AR30" s="509">
        <f>IF(OR(11&gt;$B$3,ISBLANK(Actuals!M36)),"",'Reforecast Q1 2026'!M36-Actuals!M36)</f>
        <v/>
      </c>
      <c r="AS30" s="509">
        <f>IFERROR(IF(OR(11&gt;$B$3,ISBLANK(Actuals!M36)),"",('Reforecast Q1 2026'!M36-Actuals!M36)/ABS('Reforecast Q1 2026'!M36)),"")</f>
        <v/>
      </c>
      <c r="AT30" s="508">
        <f>'Reforecast Q1 2026'!N36</f>
        <v/>
      </c>
      <c r="AU30" s="508">
        <f>IF(OR(12&gt;$B$3,ISBLANK(Actuals!N36)),"",Actuals!N36)</f>
        <v/>
      </c>
      <c r="AV30" s="509">
        <f>IF(OR(12&gt;$B$3,ISBLANK(Actuals!N36)),"",'Reforecast Q1 2026'!N36-Actuals!N36)</f>
        <v/>
      </c>
      <c r="AW30" s="509">
        <f>IFERROR(IF(OR(12&gt;$B$3,ISBLANK(Actuals!N36)),"",('Reforecast Q1 2026'!N36-Actuals!N36)/ABS('Reforecast Q1 2026'!N36)),"")</f>
        <v/>
      </c>
      <c r="AX30" s="510">
        <f>SUMPRODUCT((Actuals!C36:N36&lt;&gt;"")*('Reforecast Q1 2026'!C36:N36))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'Reforecast Q1 2026'!C37</f>
        <v/>
      </c>
      <c r="C31" s="508">
        <f>IF(OR(1&gt;$B$3,ISBLANK(Actuals!C37)),"",Actuals!C37)</f>
        <v/>
      </c>
      <c r="D31" s="509">
        <f>IF(OR(1&gt;$B$3,ISBLANK(Actuals!C37)),"",'Reforecast Q1 2026'!C37-Actuals!C37)</f>
        <v/>
      </c>
      <c r="E31" s="509">
        <f>IFERROR(IF(OR(1&gt;$B$3,ISBLANK(Actuals!C37)),"",('Reforecast Q1 2026'!C37-Actuals!C37)/ABS('Reforecast Q1 2026'!C37)),"")</f>
        <v/>
      </c>
      <c r="F31" s="508">
        <f>'Reforecast Q1 2026'!D37</f>
        <v/>
      </c>
      <c r="G31" s="508">
        <f>IF(OR(2&gt;$B$3,ISBLANK(Actuals!D37)),"",Actuals!D37)</f>
        <v/>
      </c>
      <c r="H31" s="509">
        <f>IF(OR(2&gt;$B$3,ISBLANK(Actuals!D37)),"",'Reforecast Q1 2026'!D37-Actuals!D37)</f>
        <v/>
      </c>
      <c r="I31" s="509">
        <f>IFERROR(IF(OR(2&gt;$B$3,ISBLANK(Actuals!D37)),"",('Reforecast Q1 2026'!D37-Actuals!D37)/ABS('Reforecast Q1 2026'!D37)),"")</f>
        <v/>
      </c>
      <c r="J31" s="508">
        <f>'Reforecast Q1 2026'!E37</f>
        <v/>
      </c>
      <c r="K31" s="508">
        <f>IF(OR(3&gt;$B$3,ISBLANK(Actuals!E37)),"",Actuals!E37)</f>
        <v/>
      </c>
      <c r="L31" s="509">
        <f>IF(OR(3&gt;$B$3,ISBLANK(Actuals!E37)),"",'Reforecast Q1 2026'!E37-Actuals!E37)</f>
        <v/>
      </c>
      <c r="M31" s="509">
        <f>IFERROR(IF(OR(3&gt;$B$3,ISBLANK(Actuals!E37)),"",('Reforecast Q1 2026'!E37-Actuals!E37)/ABS('Reforecast Q1 2026'!E37)),"")</f>
        <v/>
      </c>
      <c r="N31" s="508">
        <f>'Reforecast Q1 2026'!F37</f>
        <v/>
      </c>
      <c r="O31" s="508">
        <f>IF(OR(4&gt;$B$3,ISBLANK(Actuals!F37)),"",Actuals!F37)</f>
        <v/>
      </c>
      <c r="P31" s="509">
        <f>IF(OR(4&gt;$B$3,ISBLANK(Actuals!F37)),"",'Reforecast Q1 2026'!F37-Actuals!F37)</f>
        <v/>
      </c>
      <c r="Q31" s="509">
        <f>IFERROR(IF(OR(4&gt;$B$3,ISBLANK(Actuals!F37)),"",('Reforecast Q1 2026'!F37-Actuals!F37)/ABS('Reforecast Q1 2026'!F37)),"")</f>
        <v/>
      </c>
      <c r="R31" s="508">
        <f>'Reforecast Q1 2026'!G37</f>
        <v/>
      </c>
      <c r="S31" s="508">
        <f>IF(OR(5&gt;$B$3,ISBLANK(Actuals!G37)),"",Actuals!G37)</f>
        <v/>
      </c>
      <c r="T31" s="509">
        <f>IF(OR(5&gt;$B$3,ISBLANK(Actuals!G37)),"",'Reforecast Q1 2026'!G37-Actuals!G37)</f>
        <v/>
      </c>
      <c r="U31" s="509">
        <f>IFERROR(IF(OR(5&gt;$B$3,ISBLANK(Actuals!G37)),"",('Reforecast Q1 2026'!G37-Actuals!G37)/ABS('Reforecast Q1 2026'!G37)),"")</f>
        <v/>
      </c>
      <c r="V31" s="508">
        <f>'Reforecast Q1 2026'!H37</f>
        <v/>
      </c>
      <c r="W31" s="508">
        <f>IF(OR(6&gt;$B$3,ISBLANK(Actuals!H37)),"",Actuals!H37)</f>
        <v/>
      </c>
      <c r="X31" s="509">
        <f>IF(OR(6&gt;$B$3,ISBLANK(Actuals!H37)),"",'Reforecast Q1 2026'!H37-Actuals!H37)</f>
        <v/>
      </c>
      <c r="Y31" s="509">
        <f>IFERROR(IF(OR(6&gt;$B$3,ISBLANK(Actuals!H37)),"",('Reforecast Q1 2026'!H37-Actuals!H37)/ABS('Reforecast Q1 2026'!H37)),"")</f>
        <v/>
      </c>
      <c r="Z31" s="508">
        <f>'Reforecast Q1 2026'!I37</f>
        <v/>
      </c>
      <c r="AA31" s="508">
        <f>IF(OR(7&gt;$B$3,ISBLANK(Actuals!I37)),"",Actuals!I37)</f>
        <v/>
      </c>
      <c r="AB31" s="509">
        <f>IF(OR(7&gt;$B$3,ISBLANK(Actuals!I37)),"",'Reforecast Q1 2026'!I37-Actuals!I37)</f>
        <v/>
      </c>
      <c r="AC31" s="509">
        <f>IFERROR(IF(OR(7&gt;$B$3,ISBLANK(Actuals!I37)),"",('Reforecast Q1 2026'!I37-Actuals!I37)/ABS('Reforecast Q1 2026'!I37)),"")</f>
        <v/>
      </c>
      <c r="AD31" s="508">
        <f>'Reforecast Q1 2026'!J37</f>
        <v/>
      </c>
      <c r="AE31" s="508">
        <f>IF(OR(8&gt;$B$3,ISBLANK(Actuals!J37)),"",Actuals!J37)</f>
        <v/>
      </c>
      <c r="AF31" s="509">
        <f>IF(OR(8&gt;$B$3,ISBLANK(Actuals!J37)),"",'Reforecast Q1 2026'!J37-Actuals!J37)</f>
        <v/>
      </c>
      <c r="AG31" s="509">
        <f>IFERROR(IF(OR(8&gt;$B$3,ISBLANK(Actuals!J37)),"",('Reforecast Q1 2026'!J37-Actuals!J37)/ABS('Reforecast Q1 2026'!J37)),"")</f>
        <v/>
      </c>
      <c r="AH31" s="508">
        <f>'Reforecast Q1 2026'!K37</f>
        <v/>
      </c>
      <c r="AI31" s="508">
        <f>IF(OR(9&gt;$B$3,ISBLANK(Actuals!K37)),"",Actuals!K37)</f>
        <v/>
      </c>
      <c r="AJ31" s="509">
        <f>IF(OR(9&gt;$B$3,ISBLANK(Actuals!K37)),"",'Reforecast Q1 2026'!K37-Actuals!K37)</f>
        <v/>
      </c>
      <c r="AK31" s="509">
        <f>IFERROR(IF(OR(9&gt;$B$3,ISBLANK(Actuals!K37)),"",('Reforecast Q1 2026'!K37-Actuals!K37)/ABS('Reforecast Q1 2026'!K37)),"")</f>
        <v/>
      </c>
      <c r="AL31" s="508">
        <f>'Reforecast Q1 2026'!L37</f>
        <v/>
      </c>
      <c r="AM31" s="508">
        <f>IF(OR(10&gt;$B$3,ISBLANK(Actuals!L37)),"",Actuals!L37)</f>
        <v/>
      </c>
      <c r="AN31" s="509">
        <f>IF(OR(10&gt;$B$3,ISBLANK(Actuals!L37)),"",'Reforecast Q1 2026'!L37-Actuals!L37)</f>
        <v/>
      </c>
      <c r="AO31" s="509">
        <f>IFERROR(IF(OR(10&gt;$B$3,ISBLANK(Actuals!L37)),"",('Reforecast Q1 2026'!L37-Actuals!L37)/ABS('Reforecast Q1 2026'!L37)),"")</f>
        <v/>
      </c>
      <c r="AP31" s="508">
        <f>'Reforecast Q1 2026'!M37</f>
        <v/>
      </c>
      <c r="AQ31" s="508">
        <f>IF(OR(11&gt;$B$3,ISBLANK(Actuals!M37)),"",Actuals!M37)</f>
        <v/>
      </c>
      <c r="AR31" s="509">
        <f>IF(OR(11&gt;$B$3,ISBLANK(Actuals!M37)),"",'Reforecast Q1 2026'!M37-Actuals!M37)</f>
        <v/>
      </c>
      <c r="AS31" s="509">
        <f>IFERROR(IF(OR(11&gt;$B$3,ISBLANK(Actuals!M37)),"",('Reforecast Q1 2026'!M37-Actuals!M37)/ABS('Reforecast Q1 2026'!M37)),"")</f>
        <v/>
      </c>
      <c r="AT31" s="508">
        <f>'Reforecast Q1 2026'!N37</f>
        <v/>
      </c>
      <c r="AU31" s="508">
        <f>IF(OR(12&gt;$B$3,ISBLANK(Actuals!N37)),"",Actuals!N37)</f>
        <v/>
      </c>
      <c r="AV31" s="509">
        <f>IF(OR(12&gt;$B$3,ISBLANK(Actuals!N37)),"",'Reforecast Q1 2026'!N37-Actuals!N37)</f>
        <v/>
      </c>
      <c r="AW31" s="509">
        <f>IFERROR(IF(OR(12&gt;$B$3,ISBLANK(Actuals!N37)),"",('Reforecast Q1 2026'!N37-Actuals!N37)/ABS('Reforecast Q1 2026'!N37)),"")</f>
        <v/>
      </c>
      <c r="AX31" s="510">
        <f>SUMPRODUCT((Actuals!C37:N37&lt;&gt;"")*('Reforecast Q1 2026'!C37:N37))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'Reforecast Q1 2026'!C38</f>
        <v/>
      </c>
      <c r="C32" s="508">
        <f>IF(OR(1&gt;$B$3,ISBLANK(Actuals!C38)),"",Actuals!C38)</f>
        <v/>
      </c>
      <c r="D32" s="509">
        <f>IF(OR(1&gt;$B$3,ISBLANK(Actuals!C38)),"",'Reforecast Q1 2026'!C38-Actuals!C38)</f>
        <v/>
      </c>
      <c r="E32" s="509">
        <f>IFERROR(IF(OR(1&gt;$B$3,ISBLANK(Actuals!C38)),"",('Reforecast Q1 2026'!C38-Actuals!C38)/ABS('Reforecast Q1 2026'!C38)),"")</f>
        <v/>
      </c>
      <c r="F32" s="508">
        <f>'Reforecast Q1 2026'!D38</f>
        <v/>
      </c>
      <c r="G32" s="508">
        <f>IF(OR(2&gt;$B$3,ISBLANK(Actuals!D38)),"",Actuals!D38)</f>
        <v/>
      </c>
      <c r="H32" s="509">
        <f>IF(OR(2&gt;$B$3,ISBLANK(Actuals!D38)),"",'Reforecast Q1 2026'!D38-Actuals!D38)</f>
        <v/>
      </c>
      <c r="I32" s="509">
        <f>IFERROR(IF(OR(2&gt;$B$3,ISBLANK(Actuals!D38)),"",('Reforecast Q1 2026'!D38-Actuals!D38)/ABS('Reforecast Q1 2026'!D38)),"")</f>
        <v/>
      </c>
      <c r="J32" s="508">
        <f>'Reforecast Q1 2026'!E38</f>
        <v/>
      </c>
      <c r="K32" s="508">
        <f>IF(OR(3&gt;$B$3,ISBLANK(Actuals!E38)),"",Actuals!E38)</f>
        <v/>
      </c>
      <c r="L32" s="509">
        <f>IF(OR(3&gt;$B$3,ISBLANK(Actuals!E38)),"",'Reforecast Q1 2026'!E38-Actuals!E38)</f>
        <v/>
      </c>
      <c r="M32" s="509">
        <f>IFERROR(IF(OR(3&gt;$B$3,ISBLANK(Actuals!E38)),"",('Reforecast Q1 2026'!E38-Actuals!E38)/ABS('Reforecast Q1 2026'!E38)),"")</f>
        <v/>
      </c>
      <c r="N32" s="508">
        <f>'Reforecast Q1 2026'!F38</f>
        <v/>
      </c>
      <c r="O32" s="508">
        <f>IF(OR(4&gt;$B$3,ISBLANK(Actuals!F38)),"",Actuals!F38)</f>
        <v/>
      </c>
      <c r="P32" s="509">
        <f>IF(OR(4&gt;$B$3,ISBLANK(Actuals!F38)),"",'Reforecast Q1 2026'!F38-Actuals!F38)</f>
        <v/>
      </c>
      <c r="Q32" s="509">
        <f>IFERROR(IF(OR(4&gt;$B$3,ISBLANK(Actuals!F38)),"",('Reforecast Q1 2026'!F38-Actuals!F38)/ABS('Reforecast Q1 2026'!F38)),"")</f>
        <v/>
      </c>
      <c r="R32" s="508">
        <f>'Reforecast Q1 2026'!G38</f>
        <v/>
      </c>
      <c r="S32" s="508">
        <f>IF(OR(5&gt;$B$3,ISBLANK(Actuals!G38)),"",Actuals!G38)</f>
        <v/>
      </c>
      <c r="T32" s="509">
        <f>IF(OR(5&gt;$B$3,ISBLANK(Actuals!G38)),"",'Reforecast Q1 2026'!G38-Actuals!G38)</f>
        <v/>
      </c>
      <c r="U32" s="509">
        <f>IFERROR(IF(OR(5&gt;$B$3,ISBLANK(Actuals!G38)),"",('Reforecast Q1 2026'!G38-Actuals!G38)/ABS('Reforecast Q1 2026'!G38)),"")</f>
        <v/>
      </c>
      <c r="V32" s="508">
        <f>'Reforecast Q1 2026'!H38</f>
        <v/>
      </c>
      <c r="W32" s="508">
        <f>IF(OR(6&gt;$B$3,ISBLANK(Actuals!H38)),"",Actuals!H38)</f>
        <v/>
      </c>
      <c r="X32" s="509">
        <f>IF(OR(6&gt;$B$3,ISBLANK(Actuals!H38)),"",'Reforecast Q1 2026'!H38-Actuals!H38)</f>
        <v/>
      </c>
      <c r="Y32" s="509">
        <f>IFERROR(IF(OR(6&gt;$B$3,ISBLANK(Actuals!H38)),"",('Reforecast Q1 2026'!H38-Actuals!H38)/ABS('Reforecast Q1 2026'!H38)),"")</f>
        <v/>
      </c>
      <c r="Z32" s="508">
        <f>'Reforecast Q1 2026'!I38</f>
        <v/>
      </c>
      <c r="AA32" s="508">
        <f>IF(OR(7&gt;$B$3,ISBLANK(Actuals!I38)),"",Actuals!I38)</f>
        <v/>
      </c>
      <c r="AB32" s="509">
        <f>IF(OR(7&gt;$B$3,ISBLANK(Actuals!I38)),"",'Reforecast Q1 2026'!I38-Actuals!I38)</f>
        <v/>
      </c>
      <c r="AC32" s="509">
        <f>IFERROR(IF(OR(7&gt;$B$3,ISBLANK(Actuals!I38)),"",('Reforecast Q1 2026'!I38-Actuals!I38)/ABS('Reforecast Q1 2026'!I38)),"")</f>
        <v/>
      </c>
      <c r="AD32" s="508">
        <f>'Reforecast Q1 2026'!J38</f>
        <v/>
      </c>
      <c r="AE32" s="508">
        <f>IF(OR(8&gt;$B$3,ISBLANK(Actuals!J38)),"",Actuals!J38)</f>
        <v/>
      </c>
      <c r="AF32" s="509">
        <f>IF(OR(8&gt;$B$3,ISBLANK(Actuals!J38)),"",'Reforecast Q1 2026'!J38-Actuals!J38)</f>
        <v/>
      </c>
      <c r="AG32" s="509">
        <f>IFERROR(IF(OR(8&gt;$B$3,ISBLANK(Actuals!J38)),"",('Reforecast Q1 2026'!J38-Actuals!J38)/ABS('Reforecast Q1 2026'!J38)),"")</f>
        <v/>
      </c>
      <c r="AH32" s="508">
        <f>'Reforecast Q1 2026'!K38</f>
        <v/>
      </c>
      <c r="AI32" s="508">
        <f>IF(OR(9&gt;$B$3,ISBLANK(Actuals!K38)),"",Actuals!K38)</f>
        <v/>
      </c>
      <c r="AJ32" s="509">
        <f>IF(OR(9&gt;$B$3,ISBLANK(Actuals!K38)),"",'Reforecast Q1 2026'!K38-Actuals!K38)</f>
        <v/>
      </c>
      <c r="AK32" s="509">
        <f>IFERROR(IF(OR(9&gt;$B$3,ISBLANK(Actuals!K38)),"",('Reforecast Q1 2026'!K38-Actuals!K38)/ABS('Reforecast Q1 2026'!K38)),"")</f>
        <v/>
      </c>
      <c r="AL32" s="508">
        <f>'Reforecast Q1 2026'!L38</f>
        <v/>
      </c>
      <c r="AM32" s="508">
        <f>IF(OR(10&gt;$B$3,ISBLANK(Actuals!L38)),"",Actuals!L38)</f>
        <v/>
      </c>
      <c r="AN32" s="509">
        <f>IF(OR(10&gt;$B$3,ISBLANK(Actuals!L38)),"",'Reforecast Q1 2026'!L38-Actuals!L38)</f>
        <v/>
      </c>
      <c r="AO32" s="509">
        <f>IFERROR(IF(OR(10&gt;$B$3,ISBLANK(Actuals!L38)),"",('Reforecast Q1 2026'!L38-Actuals!L38)/ABS('Reforecast Q1 2026'!L38)),"")</f>
        <v/>
      </c>
      <c r="AP32" s="508">
        <f>'Reforecast Q1 2026'!M38</f>
        <v/>
      </c>
      <c r="AQ32" s="508">
        <f>IF(OR(11&gt;$B$3,ISBLANK(Actuals!M38)),"",Actuals!M38)</f>
        <v/>
      </c>
      <c r="AR32" s="509">
        <f>IF(OR(11&gt;$B$3,ISBLANK(Actuals!M38)),"",'Reforecast Q1 2026'!M38-Actuals!M38)</f>
        <v/>
      </c>
      <c r="AS32" s="509">
        <f>IFERROR(IF(OR(11&gt;$B$3,ISBLANK(Actuals!M38)),"",('Reforecast Q1 2026'!M38-Actuals!M38)/ABS('Reforecast Q1 2026'!M38)),"")</f>
        <v/>
      </c>
      <c r="AT32" s="508">
        <f>'Reforecast Q1 2026'!N38</f>
        <v/>
      </c>
      <c r="AU32" s="508">
        <f>IF(OR(12&gt;$B$3,ISBLANK(Actuals!N38)),"",Actuals!N38)</f>
        <v/>
      </c>
      <c r="AV32" s="509">
        <f>IF(OR(12&gt;$B$3,ISBLANK(Actuals!N38)),"",'Reforecast Q1 2026'!N38-Actuals!N38)</f>
        <v/>
      </c>
      <c r="AW32" s="509">
        <f>IFERROR(IF(OR(12&gt;$B$3,ISBLANK(Actuals!N38)),"",('Reforecast Q1 2026'!N38-Actuals!N38)/ABS('Reforecast Q1 2026'!N38)),"")</f>
        <v/>
      </c>
      <c r="AX32" s="510">
        <f>SUMPRODUCT((Actuals!C38:N38&lt;&gt;"")*('Reforecast Q1 2026'!C38:N38))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'Reforecast Q1 2026'!C39</f>
        <v/>
      </c>
      <c r="C33" s="508">
        <f>IF(OR(1&gt;$B$3,ISBLANK(Actuals!C39)),"",Actuals!C39)</f>
        <v/>
      </c>
      <c r="D33" s="509">
        <f>IF(OR(1&gt;$B$3,ISBLANK(Actuals!C39)),"",'Reforecast Q1 2026'!C39-Actuals!C39)</f>
        <v/>
      </c>
      <c r="E33" s="509">
        <f>IFERROR(IF(OR(1&gt;$B$3,ISBLANK(Actuals!C39)),"",('Reforecast Q1 2026'!C39-Actuals!C39)/ABS('Reforecast Q1 2026'!C39)),"")</f>
        <v/>
      </c>
      <c r="F33" s="508">
        <f>'Reforecast Q1 2026'!D39</f>
        <v/>
      </c>
      <c r="G33" s="508">
        <f>IF(OR(2&gt;$B$3,ISBLANK(Actuals!D39)),"",Actuals!D39)</f>
        <v/>
      </c>
      <c r="H33" s="509">
        <f>IF(OR(2&gt;$B$3,ISBLANK(Actuals!D39)),"",'Reforecast Q1 2026'!D39-Actuals!D39)</f>
        <v/>
      </c>
      <c r="I33" s="509">
        <f>IFERROR(IF(OR(2&gt;$B$3,ISBLANK(Actuals!D39)),"",('Reforecast Q1 2026'!D39-Actuals!D39)/ABS('Reforecast Q1 2026'!D39)),"")</f>
        <v/>
      </c>
      <c r="J33" s="508">
        <f>'Reforecast Q1 2026'!E39</f>
        <v/>
      </c>
      <c r="K33" s="508">
        <f>IF(OR(3&gt;$B$3,ISBLANK(Actuals!E39)),"",Actuals!E39)</f>
        <v/>
      </c>
      <c r="L33" s="509">
        <f>IF(OR(3&gt;$B$3,ISBLANK(Actuals!E39)),"",'Reforecast Q1 2026'!E39-Actuals!E39)</f>
        <v/>
      </c>
      <c r="M33" s="509">
        <f>IFERROR(IF(OR(3&gt;$B$3,ISBLANK(Actuals!E39)),"",('Reforecast Q1 2026'!E39-Actuals!E39)/ABS('Reforecast Q1 2026'!E39)),"")</f>
        <v/>
      </c>
      <c r="N33" s="508">
        <f>'Reforecast Q1 2026'!F39</f>
        <v/>
      </c>
      <c r="O33" s="508">
        <f>IF(OR(4&gt;$B$3,ISBLANK(Actuals!F39)),"",Actuals!F39)</f>
        <v/>
      </c>
      <c r="P33" s="509">
        <f>IF(OR(4&gt;$B$3,ISBLANK(Actuals!F39)),"",'Reforecast Q1 2026'!F39-Actuals!F39)</f>
        <v/>
      </c>
      <c r="Q33" s="509">
        <f>IFERROR(IF(OR(4&gt;$B$3,ISBLANK(Actuals!F39)),"",('Reforecast Q1 2026'!F39-Actuals!F39)/ABS('Reforecast Q1 2026'!F39)),"")</f>
        <v/>
      </c>
      <c r="R33" s="508">
        <f>'Reforecast Q1 2026'!G39</f>
        <v/>
      </c>
      <c r="S33" s="508">
        <f>IF(OR(5&gt;$B$3,ISBLANK(Actuals!G39)),"",Actuals!G39)</f>
        <v/>
      </c>
      <c r="T33" s="509">
        <f>IF(OR(5&gt;$B$3,ISBLANK(Actuals!G39)),"",'Reforecast Q1 2026'!G39-Actuals!G39)</f>
        <v/>
      </c>
      <c r="U33" s="509">
        <f>IFERROR(IF(OR(5&gt;$B$3,ISBLANK(Actuals!G39)),"",('Reforecast Q1 2026'!G39-Actuals!G39)/ABS('Reforecast Q1 2026'!G39)),"")</f>
        <v/>
      </c>
      <c r="V33" s="508">
        <f>'Reforecast Q1 2026'!H39</f>
        <v/>
      </c>
      <c r="W33" s="508">
        <f>IF(OR(6&gt;$B$3,ISBLANK(Actuals!H39)),"",Actuals!H39)</f>
        <v/>
      </c>
      <c r="X33" s="509">
        <f>IF(OR(6&gt;$B$3,ISBLANK(Actuals!H39)),"",'Reforecast Q1 2026'!H39-Actuals!H39)</f>
        <v/>
      </c>
      <c r="Y33" s="509">
        <f>IFERROR(IF(OR(6&gt;$B$3,ISBLANK(Actuals!H39)),"",('Reforecast Q1 2026'!H39-Actuals!H39)/ABS('Reforecast Q1 2026'!H39)),"")</f>
        <v/>
      </c>
      <c r="Z33" s="508">
        <f>'Reforecast Q1 2026'!I39</f>
        <v/>
      </c>
      <c r="AA33" s="508">
        <f>IF(OR(7&gt;$B$3,ISBLANK(Actuals!I39)),"",Actuals!I39)</f>
        <v/>
      </c>
      <c r="AB33" s="509">
        <f>IF(OR(7&gt;$B$3,ISBLANK(Actuals!I39)),"",'Reforecast Q1 2026'!I39-Actuals!I39)</f>
        <v/>
      </c>
      <c r="AC33" s="509">
        <f>IFERROR(IF(OR(7&gt;$B$3,ISBLANK(Actuals!I39)),"",('Reforecast Q1 2026'!I39-Actuals!I39)/ABS('Reforecast Q1 2026'!I39)),"")</f>
        <v/>
      </c>
      <c r="AD33" s="508">
        <f>'Reforecast Q1 2026'!J39</f>
        <v/>
      </c>
      <c r="AE33" s="508">
        <f>IF(OR(8&gt;$B$3,ISBLANK(Actuals!J39)),"",Actuals!J39)</f>
        <v/>
      </c>
      <c r="AF33" s="509">
        <f>IF(OR(8&gt;$B$3,ISBLANK(Actuals!J39)),"",'Reforecast Q1 2026'!J39-Actuals!J39)</f>
        <v/>
      </c>
      <c r="AG33" s="509">
        <f>IFERROR(IF(OR(8&gt;$B$3,ISBLANK(Actuals!J39)),"",('Reforecast Q1 2026'!J39-Actuals!J39)/ABS('Reforecast Q1 2026'!J39)),"")</f>
        <v/>
      </c>
      <c r="AH33" s="508">
        <f>'Reforecast Q1 2026'!K39</f>
        <v/>
      </c>
      <c r="AI33" s="508">
        <f>IF(OR(9&gt;$B$3,ISBLANK(Actuals!K39)),"",Actuals!K39)</f>
        <v/>
      </c>
      <c r="AJ33" s="509">
        <f>IF(OR(9&gt;$B$3,ISBLANK(Actuals!K39)),"",'Reforecast Q1 2026'!K39-Actuals!K39)</f>
        <v/>
      </c>
      <c r="AK33" s="509">
        <f>IFERROR(IF(OR(9&gt;$B$3,ISBLANK(Actuals!K39)),"",('Reforecast Q1 2026'!K39-Actuals!K39)/ABS('Reforecast Q1 2026'!K39)),"")</f>
        <v/>
      </c>
      <c r="AL33" s="508">
        <f>'Reforecast Q1 2026'!L39</f>
        <v/>
      </c>
      <c r="AM33" s="508">
        <f>IF(OR(10&gt;$B$3,ISBLANK(Actuals!L39)),"",Actuals!L39)</f>
        <v/>
      </c>
      <c r="AN33" s="509">
        <f>IF(OR(10&gt;$B$3,ISBLANK(Actuals!L39)),"",'Reforecast Q1 2026'!L39-Actuals!L39)</f>
        <v/>
      </c>
      <c r="AO33" s="509">
        <f>IFERROR(IF(OR(10&gt;$B$3,ISBLANK(Actuals!L39)),"",('Reforecast Q1 2026'!L39-Actuals!L39)/ABS('Reforecast Q1 2026'!L39)),"")</f>
        <v/>
      </c>
      <c r="AP33" s="508">
        <f>'Reforecast Q1 2026'!M39</f>
        <v/>
      </c>
      <c r="AQ33" s="508">
        <f>IF(OR(11&gt;$B$3,ISBLANK(Actuals!M39)),"",Actuals!M39)</f>
        <v/>
      </c>
      <c r="AR33" s="509">
        <f>IF(OR(11&gt;$B$3,ISBLANK(Actuals!M39)),"",'Reforecast Q1 2026'!M39-Actuals!M39)</f>
        <v/>
      </c>
      <c r="AS33" s="509">
        <f>IFERROR(IF(OR(11&gt;$B$3,ISBLANK(Actuals!M39)),"",('Reforecast Q1 2026'!M39-Actuals!M39)/ABS('Reforecast Q1 2026'!M39)),"")</f>
        <v/>
      </c>
      <c r="AT33" s="508">
        <f>'Reforecast Q1 2026'!N39</f>
        <v/>
      </c>
      <c r="AU33" s="508">
        <f>IF(OR(12&gt;$B$3,ISBLANK(Actuals!N39)),"",Actuals!N39)</f>
        <v/>
      </c>
      <c r="AV33" s="509">
        <f>IF(OR(12&gt;$B$3,ISBLANK(Actuals!N39)),"",'Reforecast Q1 2026'!N39-Actuals!N39)</f>
        <v/>
      </c>
      <c r="AW33" s="509">
        <f>IFERROR(IF(OR(12&gt;$B$3,ISBLANK(Actuals!N39)),"",('Reforecast Q1 2026'!N39-Actuals!N39)/ABS('Reforecast Q1 2026'!N39)),"")</f>
        <v/>
      </c>
      <c r="AX33" s="510">
        <f>SUMPRODUCT((Actuals!C39:N39&lt;&gt;"")*('Reforecast Q1 2026'!C39:N39))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'Reforecast Q1 2026'!C40</f>
        <v/>
      </c>
      <c r="C34" s="508">
        <f>IF(OR(1&gt;$B$3,ISBLANK(Actuals!C40)),"",Actuals!C40)</f>
        <v/>
      </c>
      <c r="D34" s="509">
        <f>IF(OR(1&gt;$B$3,ISBLANK(Actuals!C40)),"",'Reforecast Q1 2026'!C40-Actuals!C40)</f>
        <v/>
      </c>
      <c r="E34" s="509">
        <f>IFERROR(IF(OR(1&gt;$B$3,ISBLANK(Actuals!C40)),"",('Reforecast Q1 2026'!C40-Actuals!C40)/ABS('Reforecast Q1 2026'!C40)),"")</f>
        <v/>
      </c>
      <c r="F34" s="508">
        <f>'Reforecast Q1 2026'!D40</f>
        <v/>
      </c>
      <c r="G34" s="508">
        <f>IF(OR(2&gt;$B$3,ISBLANK(Actuals!D40)),"",Actuals!D40)</f>
        <v/>
      </c>
      <c r="H34" s="509">
        <f>IF(OR(2&gt;$B$3,ISBLANK(Actuals!D40)),"",'Reforecast Q1 2026'!D40-Actuals!D40)</f>
        <v/>
      </c>
      <c r="I34" s="509">
        <f>IFERROR(IF(OR(2&gt;$B$3,ISBLANK(Actuals!D40)),"",('Reforecast Q1 2026'!D40-Actuals!D40)/ABS('Reforecast Q1 2026'!D40)),"")</f>
        <v/>
      </c>
      <c r="J34" s="508">
        <f>'Reforecast Q1 2026'!E40</f>
        <v/>
      </c>
      <c r="K34" s="508">
        <f>IF(OR(3&gt;$B$3,ISBLANK(Actuals!E40)),"",Actuals!E40)</f>
        <v/>
      </c>
      <c r="L34" s="509">
        <f>IF(OR(3&gt;$B$3,ISBLANK(Actuals!E40)),"",'Reforecast Q1 2026'!E40-Actuals!E40)</f>
        <v/>
      </c>
      <c r="M34" s="509">
        <f>IFERROR(IF(OR(3&gt;$B$3,ISBLANK(Actuals!E40)),"",('Reforecast Q1 2026'!E40-Actuals!E40)/ABS('Reforecast Q1 2026'!E40)),"")</f>
        <v/>
      </c>
      <c r="N34" s="508">
        <f>'Reforecast Q1 2026'!F40</f>
        <v/>
      </c>
      <c r="O34" s="508">
        <f>IF(OR(4&gt;$B$3,ISBLANK(Actuals!F40)),"",Actuals!F40)</f>
        <v/>
      </c>
      <c r="P34" s="509">
        <f>IF(OR(4&gt;$B$3,ISBLANK(Actuals!F40)),"",'Reforecast Q1 2026'!F40-Actuals!F40)</f>
        <v/>
      </c>
      <c r="Q34" s="509">
        <f>IFERROR(IF(OR(4&gt;$B$3,ISBLANK(Actuals!F40)),"",('Reforecast Q1 2026'!F40-Actuals!F40)/ABS('Reforecast Q1 2026'!F40)),"")</f>
        <v/>
      </c>
      <c r="R34" s="508">
        <f>'Reforecast Q1 2026'!G40</f>
        <v/>
      </c>
      <c r="S34" s="508">
        <f>IF(OR(5&gt;$B$3,ISBLANK(Actuals!G40)),"",Actuals!G40)</f>
        <v/>
      </c>
      <c r="T34" s="509">
        <f>IF(OR(5&gt;$B$3,ISBLANK(Actuals!G40)),"",'Reforecast Q1 2026'!G40-Actuals!G40)</f>
        <v/>
      </c>
      <c r="U34" s="509">
        <f>IFERROR(IF(OR(5&gt;$B$3,ISBLANK(Actuals!G40)),"",('Reforecast Q1 2026'!G40-Actuals!G40)/ABS('Reforecast Q1 2026'!G40)),"")</f>
        <v/>
      </c>
      <c r="V34" s="508">
        <f>'Reforecast Q1 2026'!H40</f>
        <v/>
      </c>
      <c r="W34" s="508">
        <f>IF(OR(6&gt;$B$3,ISBLANK(Actuals!H40)),"",Actuals!H40)</f>
        <v/>
      </c>
      <c r="X34" s="509">
        <f>IF(OR(6&gt;$B$3,ISBLANK(Actuals!H40)),"",'Reforecast Q1 2026'!H40-Actuals!H40)</f>
        <v/>
      </c>
      <c r="Y34" s="509">
        <f>IFERROR(IF(OR(6&gt;$B$3,ISBLANK(Actuals!H40)),"",('Reforecast Q1 2026'!H40-Actuals!H40)/ABS('Reforecast Q1 2026'!H40)),"")</f>
        <v/>
      </c>
      <c r="Z34" s="508">
        <f>'Reforecast Q1 2026'!I40</f>
        <v/>
      </c>
      <c r="AA34" s="508">
        <f>IF(OR(7&gt;$B$3,ISBLANK(Actuals!I40)),"",Actuals!I40)</f>
        <v/>
      </c>
      <c r="AB34" s="509">
        <f>IF(OR(7&gt;$B$3,ISBLANK(Actuals!I40)),"",'Reforecast Q1 2026'!I40-Actuals!I40)</f>
        <v/>
      </c>
      <c r="AC34" s="509">
        <f>IFERROR(IF(OR(7&gt;$B$3,ISBLANK(Actuals!I40)),"",('Reforecast Q1 2026'!I40-Actuals!I40)/ABS('Reforecast Q1 2026'!I40)),"")</f>
        <v/>
      </c>
      <c r="AD34" s="508">
        <f>'Reforecast Q1 2026'!J40</f>
        <v/>
      </c>
      <c r="AE34" s="508">
        <f>IF(OR(8&gt;$B$3,ISBLANK(Actuals!J40)),"",Actuals!J40)</f>
        <v/>
      </c>
      <c r="AF34" s="509">
        <f>IF(OR(8&gt;$B$3,ISBLANK(Actuals!J40)),"",'Reforecast Q1 2026'!J40-Actuals!J40)</f>
        <v/>
      </c>
      <c r="AG34" s="509">
        <f>IFERROR(IF(OR(8&gt;$B$3,ISBLANK(Actuals!J40)),"",('Reforecast Q1 2026'!J40-Actuals!J40)/ABS('Reforecast Q1 2026'!J40)),"")</f>
        <v/>
      </c>
      <c r="AH34" s="508">
        <f>'Reforecast Q1 2026'!K40</f>
        <v/>
      </c>
      <c r="AI34" s="508">
        <f>IF(OR(9&gt;$B$3,ISBLANK(Actuals!K40)),"",Actuals!K40)</f>
        <v/>
      </c>
      <c r="AJ34" s="509">
        <f>IF(OR(9&gt;$B$3,ISBLANK(Actuals!K40)),"",'Reforecast Q1 2026'!K40-Actuals!K40)</f>
        <v/>
      </c>
      <c r="AK34" s="509">
        <f>IFERROR(IF(OR(9&gt;$B$3,ISBLANK(Actuals!K40)),"",('Reforecast Q1 2026'!K40-Actuals!K40)/ABS('Reforecast Q1 2026'!K40)),"")</f>
        <v/>
      </c>
      <c r="AL34" s="508">
        <f>'Reforecast Q1 2026'!L40</f>
        <v/>
      </c>
      <c r="AM34" s="508">
        <f>IF(OR(10&gt;$B$3,ISBLANK(Actuals!L40)),"",Actuals!L40)</f>
        <v/>
      </c>
      <c r="AN34" s="509">
        <f>IF(OR(10&gt;$B$3,ISBLANK(Actuals!L40)),"",'Reforecast Q1 2026'!L40-Actuals!L40)</f>
        <v/>
      </c>
      <c r="AO34" s="509">
        <f>IFERROR(IF(OR(10&gt;$B$3,ISBLANK(Actuals!L40)),"",('Reforecast Q1 2026'!L40-Actuals!L40)/ABS('Reforecast Q1 2026'!L40)),"")</f>
        <v/>
      </c>
      <c r="AP34" s="508">
        <f>'Reforecast Q1 2026'!M40</f>
        <v/>
      </c>
      <c r="AQ34" s="508">
        <f>IF(OR(11&gt;$B$3,ISBLANK(Actuals!M40)),"",Actuals!M40)</f>
        <v/>
      </c>
      <c r="AR34" s="509">
        <f>IF(OR(11&gt;$B$3,ISBLANK(Actuals!M40)),"",'Reforecast Q1 2026'!M40-Actuals!M40)</f>
        <v/>
      </c>
      <c r="AS34" s="509">
        <f>IFERROR(IF(OR(11&gt;$B$3,ISBLANK(Actuals!M40)),"",('Reforecast Q1 2026'!M40-Actuals!M40)/ABS('Reforecast Q1 2026'!M40)),"")</f>
        <v/>
      </c>
      <c r="AT34" s="508">
        <f>'Reforecast Q1 2026'!N40</f>
        <v/>
      </c>
      <c r="AU34" s="508">
        <f>IF(OR(12&gt;$B$3,ISBLANK(Actuals!N40)),"",Actuals!N40)</f>
        <v/>
      </c>
      <c r="AV34" s="509">
        <f>IF(OR(12&gt;$B$3,ISBLANK(Actuals!N40)),"",'Reforecast Q1 2026'!N40-Actuals!N40)</f>
        <v/>
      </c>
      <c r="AW34" s="509">
        <f>IFERROR(IF(OR(12&gt;$B$3,ISBLANK(Actuals!N40)),"",('Reforecast Q1 2026'!N40-Actuals!N40)/ABS('Reforecast Q1 2026'!N40)),"")</f>
        <v/>
      </c>
      <c r="AX34" s="510">
        <f>SUMPRODUCT((Actuals!C40:N40&lt;&gt;"")*('Reforecast Q1 2026'!C40:N40))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'Reforecast Q1 2026'!C41</f>
        <v/>
      </c>
      <c r="C35" s="508">
        <f>IF(OR(1&gt;$B$3,ISBLANK(Actuals!C41)),"",Actuals!C41)</f>
        <v/>
      </c>
      <c r="D35" s="509">
        <f>IF(OR(1&gt;$B$3,ISBLANK(Actuals!C41)),"",'Reforecast Q1 2026'!C41-Actuals!C41)</f>
        <v/>
      </c>
      <c r="E35" s="509">
        <f>IFERROR(IF(OR(1&gt;$B$3,ISBLANK(Actuals!C41)),"",('Reforecast Q1 2026'!C41-Actuals!C41)/ABS('Reforecast Q1 2026'!C41)),"")</f>
        <v/>
      </c>
      <c r="F35" s="508">
        <f>'Reforecast Q1 2026'!D41</f>
        <v/>
      </c>
      <c r="G35" s="508">
        <f>IF(OR(2&gt;$B$3,ISBLANK(Actuals!D41)),"",Actuals!D41)</f>
        <v/>
      </c>
      <c r="H35" s="509">
        <f>IF(OR(2&gt;$B$3,ISBLANK(Actuals!D41)),"",'Reforecast Q1 2026'!D41-Actuals!D41)</f>
        <v/>
      </c>
      <c r="I35" s="509">
        <f>IFERROR(IF(OR(2&gt;$B$3,ISBLANK(Actuals!D41)),"",('Reforecast Q1 2026'!D41-Actuals!D41)/ABS('Reforecast Q1 2026'!D41)),"")</f>
        <v/>
      </c>
      <c r="J35" s="508">
        <f>'Reforecast Q1 2026'!E41</f>
        <v/>
      </c>
      <c r="K35" s="508">
        <f>IF(OR(3&gt;$B$3,ISBLANK(Actuals!E41)),"",Actuals!E41)</f>
        <v/>
      </c>
      <c r="L35" s="509">
        <f>IF(OR(3&gt;$B$3,ISBLANK(Actuals!E41)),"",'Reforecast Q1 2026'!E41-Actuals!E41)</f>
        <v/>
      </c>
      <c r="M35" s="509">
        <f>IFERROR(IF(OR(3&gt;$B$3,ISBLANK(Actuals!E41)),"",('Reforecast Q1 2026'!E41-Actuals!E41)/ABS('Reforecast Q1 2026'!E41)),"")</f>
        <v/>
      </c>
      <c r="N35" s="508">
        <f>'Reforecast Q1 2026'!F41</f>
        <v/>
      </c>
      <c r="O35" s="508">
        <f>IF(OR(4&gt;$B$3,ISBLANK(Actuals!F41)),"",Actuals!F41)</f>
        <v/>
      </c>
      <c r="P35" s="509">
        <f>IF(OR(4&gt;$B$3,ISBLANK(Actuals!F41)),"",'Reforecast Q1 2026'!F41-Actuals!F41)</f>
        <v/>
      </c>
      <c r="Q35" s="509">
        <f>IFERROR(IF(OR(4&gt;$B$3,ISBLANK(Actuals!F41)),"",('Reforecast Q1 2026'!F41-Actuals!F41)/ABS('Reforecast Q1 2026'!F41)),"")</f>
        <v/>
      </c>
      <c r="R35" s="508">
        <f>'Reforecast Q1 2026'!G41</f>
        <v/>
      </c>
      <c r="S35" s="508">
        <f>IF(OR(5&gt;$B$3,ISBLANK(Actuals!G41)),"",Actuals!G41)</f>
        <v/>
      </c>
      <c r="T35" s="509">
        <f>IF(OR(5&gt;$B$3,ISBLANK(Actuals!G41)),"",'Reforecast Q1 2026'!G41-Actuals!G41)</f>
        <v/>
      </c>
      <c r="U35" s="509">
        <f>IFERROR(IF(OR(5&gt;$B$3,ISBLANK(Actuals!G41)),"",('Reforecast Q1 2026'!G41-Actuals!G41)/ABS('Reforecast Q1 2026'!G41)),"")</f>
        <v/>
      </c>
      <c r="V35" s="508">
        <f>'Reforecast Q1 2026'!H41</f>
        <v/>
      </c>
      <c r="W35" s="508">
        <f>IF(OR(6&gt;$B$3,ISBLANK(Actuals!H41)),"",Actuals!H41)</f>
        <v/>
      </c>
      <c r="X35" s="509">
        <f>IF(OR(6&gt;$B$3,ISBLANK(Actuals!H41)),"",'Reforecast Q1 2026'!H41-Actuals!H41)</f>
        <v/>
      </c>
      <c r="Y35" s="509">
        <f>IFERROR(IF(OR(6&gt;$B$3,ISBLANK(Actuals!H41)),"",('Reforecast Q1 2026'!H41-Actuals!H41)/ABS('Reforecast Q1 2026'!H41)),"")</f>
        <v/>
      </c>
      <c r="Z35" s="508">
        <f>'Reforecast Q1 2026'!I41</f>
        <v/>
      </c>
      <c r="AA35" s="508">
        <f>IF(OR(7&gt;$B$3,ISBLANK(Actuals!I41)),"",Actuals!I41)</f>
        <v/>
      </c>
      <c r="AB35" s="509">
        <f>IF(OR(7&gt;$B$3,ISBLANK(Actuals!I41)),"",'Reforecast Q1 2026'!I41-Actuals!I41)</f>
        <v/>
      </c>
      <c r="AC35" s="509">
        <f>IFERROR(IF(OR(7&gt;$B$3,ISBLANK(Actuals!I41)),"",('Reforecast Q1 2026'!I41-Actuals!I41)/ABS('Reforecast Q1 2026'!I41)),"")</f>
        <v/>
      </c>
      <c r="AD35" s="508">
        <f>'Reforecast Q1 2026'!J41</f>
        <v/>
      </c>
      <c r="AE35" s="508">
        <f>IF(OR(8&gt;$B$3,ISBLANK(Actuals!J41)),"",Actuals!J41)</f>
        <v/>
      </c>
      <c r="AF35" s="509">
        <f>IF(OR(8&gt;$B$3,ISBLANK(Actuals!J41)),"",'Reforecast Q1 2026'!J41-Actuals!J41)</f>
        <v/>
      </c>
      <c r="AG35" s="509">
        <f>IFERROR(IF(OR(8&gt;$B$3,ISBLANK(Actuals!J41)),"",('Reforecast Q1 2026'!J41-Actuals!J41)/ABS('Reforecast Q1 2026'!J41)),"")</f>
        <v/>
      </c>
      <c r="AH35" s="508">
        <f>'Reforecast Q1 2026'!K41</f>
        <v/>
      </c>
      <c r="AI35" s="508">
        <f>IF(OR(9&gt;$B$3,ISBLANK(Actuals!K41)),"",Actuals!K41)</f>
        <v/>
      </c>
      <c r="AJ35" s="509">
        <f>IF(OR(9&gt;$B$3,ISBLANK(Actuals!K41)),"",'Reforecast Q1 2026'!K41-Actuals!K41)</f>
        <v/>
      </c>
      <c r="AK35" s="509">
        <f>IFERROR(IF(OR(9&gt;$B$3,ISBLANK(Actuals!K41)),"",('Reforecast Q1 2026'!K41-Actuals!K41)/ABS('Reforecast Q1 2026'!K41)),"")</f>
        <v/>
      </c>
      <c r="AL35" s="508">
        <f>'Reforecast Q1 2026'!L41</f>
        <v/>
      </c>
      <c r="AM35" s="508">
        <f>IF(OR(10&gt;$B$3,ISBLANK(Actuals!L41)),"",Actuals!L41)</f>
        <v/>
      </c>
      <c r="AN35" s="509">
        <f>IF(OR(10&gt;$B$3,ISBLANK(Actuals!L41)),"",'Reforecast Q1 2026'!L41-Actuals!L41)</f>
        <v/>
      </c>
      <c r="AO35" s="509">
        <f>IFERROR(IF(OR(10&gt;$B$3,ISBLANK(Actuals!L41)),"",('Reforecast Q1 2026'!L41-Actuals!L41)/ABS('Reforecast Q1 2026'!L41)),"")</f>
        <v/>
      </c>
      <c r="AP35" s="508">
        <f>'Reforecast Q1 2026'!M41</f>
        <v/>
      </c>
      <c r="AQ35" s="508">
        <f>IF(OR(11&gt;$B$3,ISBLANK(Actuals!M41)),"",Actuals!M41)</f>
        <v/>
      </c>
      <c r="AR35" s="509">
        <f>IF(OR(11&gt;$B$3,ISBLANK(Actuals!M41)),"",'Reforecast Q1 2026'!M41-Actuals!M41)</f>
        <v/>
      </c>
      <c r="AS35" s="509">
        <f>IFERROR(IF(OR(11&gt;$B$3,ISBLANK(Actuals!M41)),"",('Reforecast Q1 2026'!M41-Actuals!M41)/ABS('Reforecast Q1 2026'!M41)),"")</f>
        <v/>
      </c>
      <c r="AT35" s="508">
        <f>'Reforecast Q1 2026'!N41</f>
        <v/>
      </c>
      <c r="AU35" s="508">
        <f>IF(OR(12&gt;$B$3,ISBLANK(Actuals!N41)),"",Actuals!N41)</f>
        <v/>
      </c>
      <c r="AV35" s="509">
        <f>IF(OR(12&gt;$B$3,ISBLANK(Actuals!N41)),"",'Reforecast Q1 2026'!N41-Actuals!N41)</f>
        <v/>
      </c>
      <c r="AW35" s="509">
        <f>IFERROR(IF(OR(12&gt;$B$3,ISBLANK(Actuals!N41)),"",('Reforecast Q1 2026'!N41-Actuals!N41)/ABS('Reforecast Q1 2026'!N41)),"")</f>
        <v/>
      </c>
      <c r="AX35" s="510">
        <f>SUMPRODUCT((Actuals!C41:N41&lt;&gt;"")*('Reforecast Q1 2026'!C41:N41))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'Reforecast Q1 2026'!C42</f>
        <v/>
      </c>
      <c r="C36" s="508">
        <f>IF(OR(1&gt;$B$3,ISBLANK(Actuals!C42)),"",Actuals!C42)</f>
        <v/>
      </c>
      <c r="D36" s="509">
        <f>IF(OR(1&gt;$B$3,ISBLANK(Actuals!C42)),"",'Reforecast Q1 2026'!C42-Actuals!C42)</f>
        <v/>
      </c>
      <c r="E36" s="509">
        <f>IFERROR(IF(OR(1&gt;$B$3,ISBLANK(Actuals!C42)),"",('Reforecast Q1 2026'!C42-Actuals!C42)/ABS('Reforecast Q1 2026'!C42)),"")</f>
        <v/>
      </c>
      <c r="F36" s="508">
        <f>'Reforecast Q1 2026'!D42</f>
        <v/>
      </c>
      <c r="G36" s="508">
        <f>IF(OR(2&gt;$B$3,ISBLANK(Actuals!D42)),"",Actuals!D42)</f>
        <v/>
      </c>
      <c r="H36" s="509">
        <f>IF(OR(2&gt;$B$3,ISBLANK(Actuals!D42)),"",'Reforecast Q1 2026'!D42-Actuals!D42)</f>
        <v/>
      </c>
      <c r="I36" s="509">
        <f>IFERROR(IF(OR(2&gt;$B$3,ISBLANK(Actuals!D42)),"",('Reforecast Q1 2026'!D42-Actuals!D42)/ABS('Reforecast Q1 2026'!D42)),"")</f>
        <v/>
      </c>
      <c r="J36" s="508">
        <f>'Reforecast Q1 2026'!E42</f>
        <v/>
      </c>
      <c r="K36" s="508">
        <f>IF(OR(3&gt;$B$3,ISBLANK(Actuals!E42)),"",Actuals!E42)</f>
        <v/>
      </c>
      <c r="L36" s="509">
        <f>IF(OR(3&gt;$B$3,ISBLANK(Actuals!E42)),"",'Reforecast Q1 2026'!E42-Actuals!E42)</f>
        <v/>
      </c>
      <c r="M36" s="509">
        <f>IFERROR(IF(OR(3&gt;$B$3,ISBLANK(Actuals!E42)),"",('Reforecast Q1 2026'!E42-Actuals!E42)/ABS('Reforecast Q1 2026'!E42)),"")</f>
        <v/>
      </c>
      <c r="N36" s="508">
        <f>'Reforecast Q1 2026'!F42</f>
        <v/>
      </c>
      <c r="O36" s="508">
        <f>IF(OR(4&gt;$B$3,ISBLANK(Actuals!F42)),"",Actuals!F42)</f>
        <v/>
      </c>
      <c r="P36" s="509">
        <f>IF(OR(4&gt;$B$3,ISBLANK(Actuals!F42)),"",'Reforecast Q1 2026'!F42-Actuals!F42)</f>
        <v/>
      </c>
      <c r="Q36" s="509">
        <f>IFERROR(IF(OR(4&gt;$B$3,ISBLANK(Actuals!F42)),"",('Reforecast Q1 2026'!F42-Actuals!F42)/ABS('Reforecast Q1 2026'!F42)),"")</f>
        <v/>
      </c>
      <c r="R36" s="508">
        <f>'Reforecast Q1 2026'!G42</f>
        <v/>
      </c>
      <c r="S36" s="508">
        <f>IF(OR(5&gt;$B$3,ISBLANK(Actuals!G42)),"",Actuals!G42)</f>
        <v/>
      </c>
      <c r="T36" s="509">
        <f>IF(OR(5&gt;$B$3,ISBLANK(Actuals!G42)),"",'Reforecast Q1 2026'!G42-Actuals!G42)</f>
        <v/>
      </c>
      <c r="U36" s="509">
        <f>IFERROR(IF(OR(5&gt;$B$3,ISBLANK(Actuals!G42)),"",('Reforecast Q1 2026'!G42-Actuals!G42)/ABS('Reforecast Q1 2026'!G42)),"")</f>
        <v/>
      </c>
      <c r="V36" s="508">
        <f>'Reforecast Q1 2026'!H42</f>
        <v/>
      </c>
      <c r="W36" s="508">
        <f>IF(OR(6&gt;$B$3,ISBLANK(Actuals!H42)),"",Actuals!H42)</f>
        <v/>
      </c>
      <c r="X36" s="509">
        <f>IF(OR(6&gt;$B$3,ISBLANK(Actuals!H42)),"",'Reforecast Q1 2026'!H42-Actuals!H42)</f>
        <v/>
      </c>
      <c r="Y36" s="509">
        <f>IFERROR(IF(OR(6&gt;$B$3,ISBLANK(Actuals!H42)),"",('Reforecast Q1 2026'!H42-Actuals!H42)/ABS('Reforecast Q1 2026'!H42)),"")</f>
        <v/>
      </c>
      <c r="Z36" s="508">
        <f>'Reforecast Q1 2026'!I42</f>
        <v/>
      </c>
      <c r="AA36" s="508">
        <f>IF(OR(7&gt;$B$3,ISBLANK(Actuals!I42)),"",Actuals!I42)</f>
        <v/>
      </c>
      <c r="AB36" s="509">
        <f>IF(OR(7&gt;$B$3,ISBLANK(Actuals!I42)),"",'Reforecast Q1 2026'!I42-Actuals!I42)</f>
        <v/>
      </c>
      <c r="AC36" s="509">
        <f>IFERROR(IF(OR(7&gt;$B$3,ISBLANK(Actuals!I42)),"",('Reforecast Q1 2026'!I42-Actuals!I42)/ABS('Reforecast Q1 2026'!I42)),"")</f>
        <v/>
      </c>
      <c r="AD36" s="508">
        <f>'Reforecast Q1 2026'!J42</f>
        <v/>
      </c>
      <c r="AE36" s="508">
        <f>IF(OR(8&gt;$B$3,ISBLANK(Actuals!J42)),"",Actuals!J42)</f>
        <v/>
      </c>
      <c r="AF36" s="509">
        <f>IF(OR(8&gt;$B$3,ISBLANK(Actuals!J42)),"",'Reforecast Q1 2026'!J42-Actuals!J42)</f>
        <v/>
      </c>
      <c r="AG36" s="509">
        <f>IFERROR(IF(OR(8&gt;$B$3,ISBLANK(Actuals!J42)),"",('Reforecast Q1 2026'!J42-Actuals!J42)/ABS('Reforecast Q1 2026'!J42)),"")</f>
        <v/>
      </c>
      <c r="AH36" s="508">
        <f>'Reforecast Q1 2026'!K42</f>
        <v/>
      </c>
      <c r="AI36" s="508">
        <f>IF(OR(9&gt;$B$3,ISBLANK(Actuals!K42)),"",Actuals!K42)</f>
        <v/>
      </c>
      <c r="AJ36" s="509">
        <f>IF(OR(9&gt;$B$3,ISBLANK(Actuals!K42)),"",'Reforecast Q1 2026'!K42-Actuals!K42)</f>
        <v/>
      </c>
      <c r="AK36" s="509">
        <f>IFERROR(IF(OR(9&gt;$B$3,ISBLANK(Actuals!K42)),"",('Reforecast Q1 2026'!K42-Actuals!K42)/ABS('Reforecast Q1 2026'!K42)),"")</f>
        <v/>
      </c>
      <c r="AL36" s="508">
        <f>'Reforecast Q1 2026'!L42</f>
        <v/>
      </c>
      <c r="AM36" s="508">
        <f>IF(OR(10&gt;$B$3,ISBLANK(Actuals!L42)),"",Actuals!L42)</f>
        <v/>
      </c>
      <c r="AN36" s="509">
        <f>IF(OR(10&gt;$B$3,ISBLANK(Actuals!L42)),"",'Reforecast Q1 2026'!L42-Actuals!L42)</f>
        <v/>
      </c>
      <c r="AO36" s="509">
        <f>IFERROR(IF(OR(10&gt;$B$3,ISBLANK(Actuals!L42)),"",('Reforecast Q1 2026'!L42-Actuals!L42)/ABS('Reforecast Q1 2026'!L42)),"")</f>
        <v/>
      </c>
      <c r="AP36" s="508">
        <f>'Reforecast Q1 2026'!M42</f>
        <v/>
      </c>
      <c r="AQ36" s="508">
        <f>IF(OR(11&gt;$B$3,ISBLANK(Actuals!M42)),"",Actuals!M42)</f>
        <v/>
      </c>
      <c r="AR36" s="509">
        <f>IF(OR(11&gt;$B$3,ISBLANK(Actuals!M42)),"",'Reforecast Q1 2026'!M42-Actuals!M42)</f>
        <v/>
      </c>
      <c r="AS36" s="509">
        <f>IFERROR(IF(OR(11&gt;$B$3,ISBLANK(Actuals!M42)),"",('Reforecast Q1 2026'!M42-Actuals!M42)/ABS('Reforecast Q1 2026'!M42)),"")</f>
        <v/>
      </c>
      <c r="AT36" s="508">
        <f>'Reforecast Q1 2026'!N42</f>
        <v/>
      </c>
      <c r="AU36" s="508">
        <f>IF(OR(12&gt;$B$3,ISBLANK(Actuals!N42)),"",Actuals!N42)</f>
        <v/>
      </c>
      <c r="AV36" s="509">
        <f>IF(OR(12&gt;$B$3,ISBLANK(Actuals!N42)),"",'Reforecast Q1 2026'!N42-Actuals!N42)</f>
        <v/>
      </c>
      <c r="AW36" s="509">
        <f>IFERROR(IF(OR(12&gt;$B$3,ISBLANK(Actuals!N42)),"",('Reforecast Q1 2026'!N42-Actuals!N42)/ABS('Reforecast Q1 2026'!N42)),"")</f>
        <v/>
      </c>
      <c r="AX36" s="510">
        <f>SUMPRODUCT((Actuals!C42:N42&lt;&gt;"")*('Reforecast Q1 2026'!C42:N42))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'Reforecast Q1 2026'!C43</f>
        <v/>
      </c>
      <c r="C37" s="508">
        <f>IF(OR(1&gt;$B$3,ISBLANK(Actuals!C43)),"",Actuals!C43)</f>
        <v/>
      </c>
      <c r="D37" s="509">
        <f>IF(OR(1&gt;$B$3,ISBLANK(Actuals!C43)),"",'Reforecast Q1 2026'!C43-Actuals!C43)</f>
        <v/>
      </c>
      <c r="E37" s="509">
        <f>IFERROR(IF(OR(1&gt;$B$3,ISBLANK(Actuals!C43)),"",('Reforecast Q1 2026'!C43-Actuals!C43)/ABS('Reforecast Q1 2026'!C43)),"")</f>
        <v/>
      </c>
      <c r="F37" s="508">
        <f>'Reforecast Q1 2026'!D43</f>
        <v/>
      </c>
      <c r="G37" s="508">
        <f>IF(OR(2&gt;$B$3,ISBLANK(Actuals!D43)),"",Actuals!D43)</f>
        <v/>
      </c>
      <c r="H37" s="509">
        <f>IF(OR(2&gt;$B$3,ISBLANK(Actuals!D43)),"",'Reforecast Q1 2026'!D43-Actuals!D43)</f>
        <v/>
      </c>
      <c r="I37" s="509">
        <f>IFERROR(IF(OR(2&gt;$B$3,ISBLANK(Actuals!D43)),"",('Reforecast Q1 2026'!D43-Actuals!D43)/ABS('Reforecast Q1 2026'!D43)),"")</f>
        <v/>
      </c>
      <c r="J37" s="508">
        <f>'Reforecast Q1 2026'!E43</f>
        <v/>
      </c>
      <c r="K37" s="508">
        <f>IF(OR(3&gt;$B$3,ISBLANK(Actuals!E43)),"",Actuals!E43)</f>
        <v/>
      </c>
      <c r="L37" s="509">
        <f>IF(OR(3&gt;$B$3,ISBLANK(Actuals!E43)),"",'Reforecast Q1 2026'!E43-Actuals!E43)</f>
        <v/>
      </c>
      <c r="M37" s="509">
        <f>IFERROR(IF(OR(3&gt;$B$3,ISBLANK(Actuals!E43)),"",('Reforecast Q1 2026'!E43-Actuals!E43)/ABS('Reforecast Q1 2026'!E43)),"")</f>
        <v/>
      </c>
      <c r="N37" s="508">
        <f>'Reforecast Q1 2026'!F43</f>
        <v/>
      </c>
      <c r="O37" s="508">
        <f>IF(OR(4&gt;$B$3,ISBLANK(Actuals!F43)),"",Actuals!F43)</f>
        <v/>
      </c>
      <c r="P37" s="509">
        <f>IF(OR(4&gt;$B$3,ISBLANK(Actuals!F43)),"",'Reforecast Q1 2026'!F43-Actuals!F43)</f>
        <v/>
      </c>
      <c r="Q37" s="509">
        <f>IFERROR(IF(OR(4&gt;$B$3,ISBLANK(Actuals!F43)),"",('Reforecast Q1 2026'!F43-Actuals!F43)/ABS('Reforecast Q1 2026'!F43)),"")</f>
        <v/>
      </c>
      <c r="R37" s="508">
        <f>'Reforecast Q1 2026'!G43</f>
        <v/>
      </c>
      <c r="S37" s="508">
        <f>IF(OR(5&gt;$B$3,ISBLANK(Actuals!G43)),"",Actuals!G43)</f>
        <v/>
      </c>
      <c r="T37" s="509">
        <f>IF(OR(5&gt;$B$3,ISBLANK(Actuals!G43)),"",'Reforecast Q1 2026'!G43-Actuals!G43)</f>
        <v/>
      </c>
      <c r="U37" s="509">
        <f>IFERROR(IF(OR(5&gt;$B$3,ISBLANK(Actuals!G43)),"",('Reforecast Q1 2026'!G43-Actuals!G43)/ABS('Reforecast Q1 2026'!G43)),"")</f>
        <v/>
      </c>
      <c r="V37" s="508">
        <f>'Reforecast Q1 2026'!H43</f>
        <v/>
      </c>
      <c r="W37" s="508">
        <f>IF(OR(6&gt;$B$3,ISBLANK(Actuals!H43)),"",Actuals!H43)</f>
        <v/>
      </c>
      <c r="X37" s="509">
        <f>IF(OR(6&gt;$B$3,ISBLANK(Actuals!H43)),"",'Reforecast Q1 2026'!H43-Actuals!H43)</f>
        <v/>
      </c>
      <c r="Y37" s="509">
        <f>IFERROR(IF(OR(6&gt;$B$3,ISBLANK(Actuals!H43)),"",('Reforecast Q1 2026'!H43-Actuals!H43)/ABS('Reforecast Q1 2026'!H43)),"")</f>
        <v/>
      </c>
      <c r="Z37" s="508">
        <f>'Reforecast Q1 2026'!I43</f>
        <v/>
      </c>
      <c r="AA37" s="508">
        <f>IF(OR(7&gt;$B$3,ISBLANK(Actuals!I43)),"",Actuals!I43)</f>
        <v/>
      </c>
      <c r="AB37" s="509">
        <f>IF(OR(7&gt;$B$3,ISBLANK(Actuals!I43)),"",'Reforecast Q1 2026'!I43-Actuals!I43)</f>
        <v/>
      </c>
      <c r="AC37" s="509">
        <f>IFERROR(IF(OR(7&gt;$B$3,ISBLANK(Actuals!I43)),"",('Reforecast Q1 2026'!I43-Actuals!I43)/ABS('Reforecast Q1 2026'!I43)),"")</f>
        <v/>
      </c>
      <c r="AD37" s="508">
        <f>'Reforecast Q1 2026'!J43</f>
        <v/>
      </c>
      <c r="AE37" s="508">
        <f>IF(OR(8&gt;$B$3,ISBLANK(Actuals!J43)),"",Actuals!J43)</f>
        <v/>
      </c>
      <c r="AF37" s="509">
        <f>IF(OR(8&gt;$B$3,ISBLANK(Actuals!J43)),"",'Reforecast Q1 2026'!J43-Actuals!J43)</f>
        <v/>
      </c>
      <c r="AG37" s="509">
        <f>IFERROR(IF(OR(8&gt;$B$3,ISBLANK(Actuals!J43)),"",('Reforecast Q1 2026'!J43-Actuals!J43)/ABS('Reforecast Q1 2026'!J43)),"")</f>
        <v/>
      </c>
      <c r="AH37" s="508">
        <f>'Reforecast Q1 2026'!K43</f>
        <v/>
      </c>
      <c r="AI37" s="508">
        <f>IF(OR(9&gt;$B$3,ISBLANK(Actuals!K43)),"",Actuals!K43)</f>
        <v/>
      </c>
      <c r="AJ37" s="509">
        <f>IF(OR(9&gt;$B$3,ISBLANK(Actuals!K43)),"",'Reforecast Q1 2026'!K43-Actuals!K43)</f>
        <v/>
      </c>
      <c r="AK37" s="509">
        <f>IFERROR(IF(OR(9&gt;$B$3,ISBLANK(Actuals!K43)),"",('Reforecast Q1 2026'!K43-Actuals!K43)/ABS('Reforecast Q1 2026'!K43)),"")</f>
        <v/>
      </c>
      <c r="AL37" s="508">
        <f>'Reforecast Q1 2026'!L43</f>
        <v/>
      </c>
      <c r="AM37" s="508">
        <f>IF(OR(10&gt;$B$3,ISBLANK(Actuals!L43)),"",Actuals!L43)</f>
        <v/>
      </c>
      <c r="AN37" s="509">
        <f>IF(OR(10&gt;$B$3,ISBLANK(Actuals!L43)),"",'Reforecast Q1 2026'!L43-Actuals!L43)</f>
        <v/>
      </c>
      <c r="AO37" s="509">
        <f>IFERROR(IF(OR(10&gt;$B$3,ISBLANK(Actuals!L43)),"",('Reforecast Q1 2026'!L43-Actuals!L43)/ABS('Reforecast Q1 2026'!L43)),"")</f>
        <v/>
      </c>
      <c r="AP37" s="508">
        <f>'Reforecast Q1 2026'!M43</f>
        <v/>
      </c>
      <c r="AQ37" s="508">
        <f>IF(OR(11&gt;$B$3,ISBLANK(Actuals!M43)),"",Actuals!M43)</f>
        <v/>
      </c>
      <c r="AR37" s="509">
        <f>IF(OR(11&gt;$B$3,ISBLANK(Actuals!M43)),"",'Reforecast Q1 2026'!M43-Actuals!M43)</f>
        <v/>
      </c>
      <c r="AS37" s="509">
        <f>IFERROR(IF(OR(11&gt;$B$3,ISBLANK(Actuals!M43)),"",('Reforecast Q1 2026'!M43-Actuals!M43)/ABS('Reforecast Q1 2026'!M43)),"")</f>
        <v/>
      </c>
      <c r="AT37" s="508">
        <f>'Reforecast Q1 2026'!N43</f>
        <v/>
      </c>
      <c r="AU37" s="508">
        <f>IF(OR(12&gt;$B$3,ISBLANK(Actuals!N43)),"",Actuals!N43)</f>
        <v/>
      </c>
      <c r="AV37" s="509">
        <f>IF(OR(12&gt;$B$3,ISBLANK(Actuals!N43)),"",'Reforecast Q1 2026'!N43-Actuals!N43)</f>
        <v/>
      </c>
      <c r="AW37" s="509">
        <f>IFERROR(IF(OR(12&gt;$B$3,ISBLANK(Actuals!N43)),"",('Reforecast Q1 2026'!N43-Actuals!N43)/ABS('Reforecast Q1 2026'!N43)),"")</f>
        <v/>
      </c>
      <c r="AX37" s="510">
        <f>SUMPRODUCT((Actuals!C43:N43&lt;&gt;"")*('Reforecast Q1 2026'!C43:N43))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'Reforecast Q1 2026'!C44</f>
        <v/>
      </c>
      <c r="C38" s="508">
        <f>IF(OR(1&gt;$B$3,ISBLANK(Actuals!C44)),"",Actuals!C44)</f>
        <v/>
      </c>
      <c r="D38" s="509">
        <f>IF(OR(1&gt;$B$3,ISBLANK(Actuals!C44)),"",'Reforecast Q1 2026'!C44-Actuals!C44)</f>
        <v/>
      </c>
      <c r="E38" s="509">
        <f>IFERROR(IF(OR(1&gt;$B$3,ISBLANK(Actuals!C44)),"",('Reforecast Q1 2026'!C44-Actuals!C44)/ABS('Reforecast Q1 2026'!C44)),"")</f>
        <v/>
      </c>
      <c r="F38" s="508">
        <f>'Reforecast Q1 2026'!D44</f>
        <v/>
      </c>
      <c r="G38" s="508">
        <f>IF(OR(2&gt;$B$3,ISBLANK(Actuals!D44)),"",Actuals!D44)</f>
        <v/>
      </c>
      <c r="H38" s="509">
        <f>IF(OR(2&gt;$B$3,ISBLANK(Actuals!D44)),"",'Reforecast Q1 2026'!D44-Actuals!D44)</f>
        <v/>
      </c>
      <c r="I38" s="509">
        <f>IFERROR(IF(OR(2&gt;$B$3,ISBLANK(Actuals!D44)),"",('Reforecast Q1 2026'!D44-Actuals!D44)/ABS('Reforecast Q1 2026'!D44)),"")</f>
        <v/>
      </c>
      <c r="J38" s="508">
        <f>'Reforecast Q1 2026'!E44</f>
        <v/>
      </c>
      <c r="K38" s="508">
        <f>IF(OR(3&gt;$B$3,ISBLANK(Actuals!E44)),"",Actuals!E44)</f>
        <v/>
      </c>
      <c r="L38" s="509">
        <f>IF(OR(3&gt;$B$3,ISBLANK(Actuals!E44)),"",'Reforecast Q1 2026'!E44-Actuals!E44)</f>
        <v/>
      </c>
      <c r="M38" s="509">
        <f>IFERROR(IF(OR(3&gt;$B$3,ISBLANK(Actuals!E44)),"",('Reforecast Q1 2026'!E44-Actuals!E44)/ABS('Reforecast Q1 2026'!E44)),"")</f>
        <v/>
      </c>
      <c r="N38" s="508">
        <f>'Reforecast Q1 2026'!F44</f>
        <v/>
      </c>
      <c r="O38" s="508">
        <f>IF(OR(4&gt;$B$3,ISBLANK(Actuals!F44)),"",Actuals!F44)</f>
        <v/>
      </c>
      <c r="P38" s="509">
        <f>IF(OR(4&gt;$B$3,ISBLANK(Actuals!F44)),"",'Reforecast Q1 2026'!F44-Actuals!F44)</f>
        <v/>
      </c>
      <c r="Q38" s="509">
        <f>IFERROR(IF(OR(4&gt;$B$3,ISBLANK(Actuals!F44)),"",('Reforecast Q1 2026'!F44-Actuals!F44)/ABS('Reforecast Q1 2026'!F44)),"")</f>
        <v/>
      </c>
      <c r="R38" s="508">
        <f>'Reforecast Q1 2026'!G44</f>
        <v/>
      </c>
      <c r="S38" s="508">
        <f>IF(OR(5&gt;$B$3,ISBLANK(Actuals!G44)),"",Actuals!G44)</f>
        <v/>
      </c>
      <c r="T38" s="509">
        <f>IF(OR(5&gt;$B$3,ISBLANK(Actuals!G44)),"",'Reforecast Q1 2026'!G44-Actuals!G44)</f>
        <v/>
      </c>
      <c r="U38" s="509">
        <f>IFERROR(IF(OR(5&gt;$B$3,ISBLANK(Actuals!G44)),"",('Reforecast Q1 2026'!G44-Actuals!G44)/ABS('Reforecast Q1 2026'!G44)),"")</f>
        <v/>
      </c>
      <c r="V38" s="508">
        <f>'Reforecast Q1 2026'!H44</f>
        <v/>
      </c>
      <c r="W38" s="508">
        <f>IF(OR(6&gt;$B$3,ISBLANK(Actuals!H44)),"",Actuals!H44)</f>
        <v/>
      </c>
      <c r="X38" s="509">
        <f>IF(OR(6&gt;$B$3,ISBLANK(Actuals!H44)),"",'Reforecast Q1 2026'!H44-Actuals!H44)</f>
        <v/>
      </c>
      <c r="Y38" s="509">
        <f>IFERROR(IF(OR(6&gt;$B$3,ISBLANK(Actuals!H44)),"",('Reforecast Q1 2026'!H44-Actuals!H44)/ABS('Reforecast Q1 2026'!H44)),"")</f>
        <v/>
      </c>
      <c r="Z38" s="508">
        <f>'Reforecast Q1 2026'!I44</f>
        <v/>
      </c>
      <c r="AA38" s="508">
        <f>IF(OR(7&gt;$B$3,ISBLANK(Actuals!I44)),"",Actuals!I44)</f>
        <v/>
      </c>
      <c r="AB38" s="509">
        <f>IF(OR(7&gt;$B$3,ISBLANK(Actuals!I44)),"",'Reforecast Q1 2026'!I44-Actuals!I44)</f>
        <v/>
      </c>
      <c r="AC38" s="509">
        <f>IFERROR(IF(OR(7&gt;$B$3,ISBLANK(Actuals!I44)),"",('Reforecast Q1 2026'!I44-Actuals!I44)/ABS('Reforecast Q1 2026'!I44)),"")</f>
        <v/>
      </c>
      <c r="AD38" s="508">
        <f>'Reforecast Q1 2026'!J44</f>
        <v/>
      </c>
      <c r="AE38" s="508">
        <f>IF(OR(8&gt;$B$3,ISBLANK(Actuals!J44)),"",Actuals!J44)</f>
        <v/>
      </c>
      <c r="AF38" s="509">
        <f>IF(OR(8&gt;$B$3,ISBLANK(Actuals!J44)),"",'Reforecast Q1 2026'!J44-Actuals!J44)</f>
        <v/>
      </c>
      <c r="AG38" s="509">
        <f>IFERROR(IF(OR(8&gt;$B$3,ISBLANK(Actuals!J44)),"",('Reforecast Q1 2026'!J44-Actuals!J44)/ABS('Reforecast Q1 2026'!J44)),"")</f>
        <v/>
      </c>
      <c r="AH38" s="508">
        <f>'Reforecast Q1 2026'!K44</f>
        <v/>
      </c>
      <c r="AI38" s="508">
        <f>IF(OR(9&gt;$B$3,ISBLANK(Actuals!K44)),"",Actuals!K44)</f>
        <v/>
      </c>
      <c r="AJ38" s="509">
        <f>IF(OR(9&gt;$B$3,ISBLANK(Actuals!K44)),"",'Reforecast Q1 2026'!K44-Actuals!K44)</f>
        <v/>
      </c>
      <c r="AK38" s="509">
        <f>IFERROR(IF(OR(9&gt;$B$3,ISBLANK(Actuals!K44)),"",('Reforecast Q1 2026'!K44-Actuals!K44)/ABS('Reforecast Q1 2026'!K44)),"")</f>
        <v/>
      </c>
      <c r="AL38" s="508">
        <f>'Reforecast Q1 2026'!L44</f>
        <v/>
      </c>
      <c r="AM38" s="508">
        <f>IF(OR(10&gt;$B$3,ISBLANK(Actuals!L44)),"",Actuals!L44)</f>
        <v/>
      </c>
      <c r="AN38" s="509">
        <f>IF(OR(10&gt;$B$3,ISBLANK(Actuals!L44)),"",'Reforecast Q1 2026'!L44-Actuals!L44)</f>
        <v/>
      </c>
      <c r="AO38" s="509">
        <f>IFERROR(IF(OR(10&gt;$B$3,ISBLANK(Actuals!L44)),"",('Reforecast Q1 2026'!L44-Actuals!L44)/ABS('Reforecast Q1 2026'!L44)),"")</f>
        <v/>
      </c>
      <c r="AP38" s="508">
        <f>'Reforecast Q1 2026'!M44</f>
        <v/>
      </c>
      <c r="AQ38" s="508">
        <f>IF(OR(11&gt;$B$3,ISBLANK(Actuals!M44)),"",Actuals!M44)</f>
        <v/>
      </c>
      <c r="AR38" s="509">
        <f>IF(OR(11&gt;$B$3,ISBLANK(Actuals!M44)),"",'Reforecast Q1 2026'!M44-Actuals!M44)</f>
        <v/>
      </c>
      <c r="AS38" s="509">
        <f>IFERROR(IF(OR(11&gt;$B$3,ISBLANK(Actuals!M44)),"",('Reforecast Q1 2026'!M44-Actuals!M44)/ABS('Reforecast Q1 2026'!M44)),"")</f>
        <v/>
      </c>
      <c r="AT38" s="508">
        <f>'Reforecast Q1 2026'!N44</f>
        <v/>
      </c>
      <c r="AU38" s="508">
        <f>IF(OR(12&gt;$B$3,ISBLANK(Actuals!N44)),"",Actuals!N44)</f>
        <v/>
      </c>
      <c r="AV38" s="509">
        <f>IF(OR(12&gt;$B$3,ISBLANK(Actuals!N44)),"",'Reforecast Q1 2026'!N44-Actuals!N44)</f>
        <v/>
      </c>
      <c r="AW38" s="509">
        <f>IFERROR(IF(OR(12&gt;$B$3,ISBLANK(Actuals!N44)),"",('Reforecast Q1 2026'!N44-Actuals!N44)/ABS('Reforecast Q1 2026'!N44)),"")</f>
        <v/>
      </c>
      <c r="AX38" s="510">
        <f>SUMPRODUCT((Actuals!C44:N44&lt;&gt;"")*('Reforecast Q1 2026'!C44:N44))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'Reforecast Q1 2026'!C45</f>
        <v/>
      </c>
      <c r="C39" s="508">
        <f>IF(OR(1&gt;$B$3,ISBLANK(Actuals!C45)),"",Actuals!C45)</f>
        <v/>
      </c>
      <c r="D39" s="509">
        <f>IF(OR(1&gt;$B$3,ISBLANK(Actuals!C45)),"",'Reforecast Q1 2026'!C45-Actuals!C45)</f>
        <v/>
      </c>
      <c r="E39" s="509">
        <f>IFERROR(IF(OR(1&gt;$B$3,ISBLANK(Actuals!C45)),"",('Reforecast Q1 2026'!C45-Actuals!C45)/ABS('Reforecast Q1 2026'!C45)),"")</f>
        <v/>
      </c>
      <c r="F39" s="508">
        <f>'Reforecast Q1 2026'!D45</f>
        <v/>
      </c>
      <c r="G39" s="508">
        <f>IF(OR(2&gt;$B$3,ISBLANK(Actuals!D45)),"",Actuals!D45)</f>
        <v/>
      </c>
      <c r="H39" s="509">
        <f>IF(OR(2&gt;$B$3,ISBLANK(Actuals!D45)),"",'Reforecast Q1 2026'!D45-Actuals!D45)</f>
        <v/>
      </c>
      <c r="I39" s="509">
        <f>IFERROR(IF(OR(2&gt;$B$3,ISBLANK(Actuals!D45)),"",('Reforecast Q1 2026'!D45-Actuals!D45)/ABS('Reforecast Q1 2026'!D45)),"")</f>
        <v/>
      </c>
      <c r="J39" s="508">
        <f>'Reforecast Q1 2026'!E45</f>
        <v/>
      </c>
      <c r="K39" s="508">
        <f>IF(OR(3&gt;$B$3,ISBLANK(Actuals!E45)),"",Actuals!E45)</f>
        <v/>
      </c>
      <c r="L39" s="509">
        <f>IF(OR(3&gt;$B$3,ISBLANK(Actuals!E45)),"",'Reforecast Q1 2026'!E45-Actuals!E45)</f>
        <v/>
      </c>
      <c r="M39" s="509">
        <f>IFERROR(IF(OR(3&gt;$B$3,ISBLANK(Actuals!E45)),"",('Reforecast Q1 2026'!E45-Actuals!E45)/ABS('Reforecast Q1 2026'!E45)),"")</f>
        <v/>
      </c>
      <c r="N39" s="508">
        <f>'Reforecast Q1 2026'!F45</f>
        <v/>
      </c>
      <c r="O39" s="508">
        <f>IF(OR(4&gt;$B$3,ISBLANK(Actuals!F45)),"",Actuals!F45)</f>
        <v/>
      </c>
      <c r="P39" s="509">
        <f>IF(OR(4&gt;$B$3,ISBLANK(Actuals!F45)),"",'Reforecast Q1 2026'!F45-Actuals!F45)</f>
        <v/>
      </c>
      <c r="Q39" s="509">
        <f>IFERROR(IF(OR(4&gt;$B$3,ISBLANK(Actuals!F45)),"",('Reforecast Q1 2026'!F45-Actuals!F45)/ABS('Reforecast Q1 2026'!F45)),"")</f>
        <v/>
      </c>
      <c r="R39" s="508">
        <f>'Reforecast Q1 2026'!G45</f>
        <v/>
      </c>
      <c r="S39" s="508">
        <f>IF(OR(5&gt;$B$3,ISBLANK(Actuals!G45)),"",Actuals!G45)</f>
        <v/>
      </c>
      <c r="T39" s="509">
        <f>IF(OR(5&gt;$B$3,ISBLANK(Actuals!G45)),"",'Reforecast Q1 2026'!G45-Actuals!G45)</f>
        <v/>
      </c>
      <c r="U39" s="509">
        <f>IFERROR(IF(OR(5&gt;$B$3,ISBLANK(Actuals!G45)),"",('Reforecast Q1 2026'!G45-Actuals!G45)/ABS('Reforecast Q1 2026'!G45)),"")</f>
        <v/>
      </c>
      <c r="V39" s="508">
        <f>'Reforecast Q1 2026'!H45</f>
        <v/>
      </c>
      <c r="W39" s="508">
        <f>IF(OR(6&gt;$B$3,ISBLANK(Actuals!H45)),"",Actuals!H45)</f>
        <v/>
      </c>
      <c r="X39" s="509">
        <f>IF(OR(6&gt;$B$3,ISBLANK(Actuals!H45)),"",'Reforecast Q1 2026'!H45-Actuals!H45)</f>
        <v/>
      </c>
      <c r="Y39" s="509">
        <f>IFERROR(IF(OR(6&gt;$B$3,ISBLANK(Actuals!H45)),"",('Reforecast Q1 2026'!H45-Actuals!H45)/ABS('Reforecast Q1 2026'!H45)),"")</f>
        <v/>
      </c>
      <c r="Z39" s="508">
        <f>'Reforecast Q1 2026'!I45</f>
        <v/>
      </c>
      <c r="AA39" s="508">
        <f>IF(OR(7&gt;$B$3,ISBLANK(Actuals!I45)),"",Actuals!I45)</f>
        <v/>
      </c>
      <c r="AB39" s="509">
        <f>IF(OR(7&gt;$B$3,ISBLANK(Actuals!I45)),"",'Reforecast Q1 2026'!I45-Actuals!I45)</f>
        <v/>
      </c>
      <c r="AC39" s="509">
        <f>IFERROR(IF(OR(7&gt;$B$3,ISBLANK(Actuals!I45)),"",('Reforecast Q1 2026'!I45-Actuals!I45)/ABS('Reforecast Q1 2026'!I45)),"")</f>
        <v/>
      </c>
      <c r="AD39" s="508">
        <f>'Reforecast Q1 2026'!J45</f>
        <v/>
      </c>
      <c r="AE39" s="508">
        <f>IF(OR(8&gt;$B$3,ISBLANK(Actuals!J45)),"",Actuals!J45)</f>
        <v/>
      </c>
      <c r="AF39" s="509">
        <f>IF(OR(8&gt;$B$3,ISBLANK(Actuals!J45)),"",'Reforecast Q1 2026'!J45-Actuals!J45)</f>
        <v/>
      </c>
      <c r="AG39" s="509">
        <f>IFERROR(IF(OR(8&gt;$B$3,ISBLANK(Actuals!J45)),"",('Reforecast Q1 2026'!J45-Actuals!J45)/ABS('Reforecast Q1 2026'!J45)),"")</f>
        <v/>
      </c>
      <c r="AH39" s="508">
        <f>'Reforecast Q1 2026'!K45</f>
        <v/>
      </c>
      <c r="AI39" s="508">
        <f>IF(OR(9&gt;$B$3,ISBLANK(Actuals!K45)),"",Actuals!K45)</f>
        <v/>
      </c>
      <c r="AJ39" s="509">
        <f>IF(OR(9&gt;$B$3,ISBLANK(Actuals!K45)),"",'Reforecast Q1 2026'!K45-Actuals!K45)</f>
        <v/>
      </c>
      <c r="AK39" s="509">
        <f>IFERROR(IF(OR(9&gt;$B$3,ISBLANK(Actuals!K45)),"",('Reforecast Q1 2026'!K45-Actuals!K45)/ABS('Reforecast Q1 2026'!K45)),"")</f>
        <v/>
      </c>
      <c r="AL39" s="508">
        <f>'Reforecast Q1 2026'!L45</f>
        <v/>
      </c>
      <c r="AM39" s="508">
        <f>IF(OR(10&gt;$B$3,ISBLANK(Actuals!L45)),"",Actuals!L45)</f>
        <v/>
      </c>
      <c r="AN39" s="509">
        <f>IF(OR(10&gt;$B$3,ISBLANK(Actuals!L45)),"",'Reforecast Q1 2026'!L45-Actuals!L45)</f>
        <v/>
      </c>
      <c r="AO39" s="509">
        <f>IFERROR(IF(OR(10&gt;$B$3,ISBLANK(Actuals!L45)),"",('Reforecast Q1 2026'!L45-Actuals!L45)/ABS('Reforecast Q1 2026'!L45)),"")</f>
        <v/>
      </c>
      <c r="AP39" s="508">
        <f>'Reforecast Q1 2026'!M45</f>
        <v/>
      </c>
      <c r="AQ39" s="508">
        <f>IF(OR(11&gt;$B$3,ISBLANK(Actuals!M45)),"",Actuals!M45)</f>
        <v/>
      </c>
      <c r="AR39" s="509">
        <f>IF(OR(11&gt;$B$3,ISBLANK(Actuals!M45)),"",'Reforecast Q1 2026'!M45-Actuals!M45)</f>
        <v/>
      </c>
      <c r="AS39" s="509">
        <f>IFERROR(IF(OR(11&gt;$B$3,ISBLANK(Actuals!M45)),"",('Reforecast Q1 2026'!M45-Actuals!M45)/ABS('Reforecast Q1 2026'!M45)),"")</f>
        <v/>
      </c>
      <c r="AT39" s="508">
        <f>'Reforecast Q1 2026'!N45</f>
        <v/>
      </c>
      <c r="AU39" s="508">
        <f>IF(OR(12&gt;$B$3,ISBLANK(Actuals!N45)),"",Actuals!N45)</f>
        <v/>
      </c>
      <c r="AV39" s="509">
        <f>IF(OR(12&gt;$B$3,ISBLANK(Actuals!N45)),"",'Reforecast Q1 2026'!N45-Actuals!N45)</f>
        <v/>
      </c>
      <c r="AW39" s="509">
        <f>IFERROR(IF(OR(12&gt;$B$3,ISBLANK(Actuals!N45)),"",('Reforecast Q1 2026'!N45-Actuals!N45)/ABS('Reforecast Q1 2026'!N45)),"")</f>
        <v/>
      </c>
      <c r="AX39" s="510">
        <f>SUMPRODUCT((Actuals!C45:N45&lt;&gt;"")*('Reforecast Q1 2026'!C45:N45))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'Reforecast Q1 2026'!C46</f>
        <v/>
      </c>
      <c r="C40" s="508">
        <f>IF(OR(1&gt;$B$3,ISBLANK(Actuals!C46)),"",Actuals!C46)</f>
        <v/>
      </c>
      <c r="D40" s="509">
        <f>IF(OR(1&gt;$B$3,ISBLANK(Actuals!C46)),"",'Reforecast Q1 2026'!C46-Actuals!C46)</f>
        <v/>
      </c>
      <c r="E40" s="509">
        <f>IFERROR(IF(OR(1&gt;$B$3,ISBLANK(Actuals!C46)),"",('Reforecast Q1 2026'!C46-Actuals!C46)/ABS('Reforecast Q1 2026'!C46)),"")</f>
        <v/>
      </c>
      <c r="F40" s="508">
        <f>'Reforecast Q1 2026'!D46</f>
        <v/>
      </c>
      <c r="G40" s="508">
        <f>IF(OR(2&gt;$B$3,ISBLANK(Actuals!D46)),"",Actuals!D46)</f>
        <v/>
      </c>
      <c r="H40" s="509">
        <f>IF(OR(2&gt;$B$3,ISBLANK(Actuals!D46)),"",'Reforecast Q1 2026'!D46-Actuals!D46)</f>
        <v/>
      </c>
      <c r="I40" s="509">
        <f>IFERROR(IF(OR(2&gt;$B$3,ISBLANK(Actuals!D46)),"",('Reforecast Q1 2026'!D46-Actuals!D46)/ABS('Reforecast Q1 2026'!D46)),"")</f>
        <v/>
      </c>
      <c r="J40" s="508">
        <f>'Reforecast Q1 2026'!E46</f>
        <v/>
      </c>
      <c r="K40" s="508">
        <f>IF(OR(3&gt;$B$3,ISBLANK(Actuals!E46)),"",Actuals!E46)</f>
        <v/>
      </c>
      <c r="L40" s="509">
        <f>IF(OR(3&gt;$B$3,ISBLANK(Actuals!E46)),"",'Reforecast Q1 2026'!E46-Actuals!E46)</f>
        <v/>
      </c>
      <c r="M40" s="509">
        <f>IFERROR(IF(OR(3&gt;$B$3,ISBLANK(Actuals!E46)),"",('Reforecast Q1 2026'!E46-Actuals!E46)/ABS('Reforecast Q1 2026'!E46)),"")</f>
        <v/>
      </c>
      <c r="N40" s="508">
        <f>'Reforecast Q1 2026'!F46</f>
        <v/>
      </c>
      <c r="O40" s="508">
        <f>IF(OR(4&gt;$B$3,ISBLANK(Actuals!F46)),"",Actuals!F46)</f>
        <v/>
      </c>
      <c r="P40" s="509">
        <f>IF(OR(4&gt;$B$3,ISBLANK(Actuals!F46)),"",'Reforecast Q1 2026'!F46-Actuals!F46)</f>
        <v/>
      </c>
      <c r="Q40" s="509">
        <f>IFERROR(IF(OR(4&gt;$B$3,ISBLANK(Actuals!F46)),"",('Reforecast Q1 2026'!F46-Actuals!F46)/ABS('Reforecast Q1 2026'!F46)),"")</f>
        <v/>
      </c>
      <c r="R40" s="508">
        <f>'Reforecast Q1 2026'!G46</f>
        <v/>
      </c>
      <c r="S40" s="508">
        <f>IF(OR(5&gt;$B$3,ISBLANK(Actuals!G46)),"",Actuals!G46)</f>
        <v/>
      </c>
      <c r="T40" s="509">
        <f>IF(OR(5&gt;$B$3,ISBLANK(Actuals!G46)),"",'Reforecast Q1 2026'!G46-Actuals!G46)</f>
        <v/>
      </c>
      <c r="U40" s="509">
        <f>IFERROR(IF(OR(5&gt;$B$3,ISBLANK(Actuals!G46)),"",('Reforecast Q1 2026'!G46-Actuals!G46)/ABS('Reforecast Q1 2026'!G46)),"")</f>
        <v/>
      </c>
      <c r="V40" s="508">
        <f>'Reforecast Q1 2026'!H46</f>
        <v/>
      </c>
      <c r="W40" s="508">
        <f>IF(OR(6&gt;$B$3,ISBLANK(Actuals!H46)),"",Actuals!H46)</f>
        <v/>
      </c>
      <c r="X40" s="509">
        <f>IF(OR(6&gt;$B$3,ISBLANK(Actuals!H46)),"",'Reforecast Q1 2026'!H46-Actuals!H46)</f>
        <v/>
      </c>
      <c r="Y40" s="509">
        <f>IFERROR(IF(OR(6&gt;$B$3,ISBLANK(Actuals!H46)),"",('Reforecast Q1 2026'!H46-Actuals!H46)/ABS('Reforecast Q1 2026'!H46)),"")</f>
        <v/>
      </c>
      <c r="Z40" s="508">
        <f>'Reforecast Q1 2026'!I46</f>
        <v/>
      </c>
      <c r="AA40" s="508">
        <f>IF(OR(7&gt;$B$3,ISBLANK(Actuals!I46)),"",Actuals!I46)</f>
        <v/>
      </c>
      <c r="AB40" s="509">
        <f>IF(OR(7&gt;$B$3,ISBLANK(Actuals!I46)),"",'Reforecast Q1 2026'!I46-Actuals!I46)</f>
        <v/>
      </c>
      <c r="AC40" s="509">
        <f>IFERROR(IF(OR(7&gt;$B$3,ISBLANK(Actuals!I46)),"",('Reforecast Q1 2026'!I46-Actuals!I46)/ABS('Reforecast Q1 2026'!I46)),"")</f>
        <v/>
      </c>
      <c r="AD40" s="508">
        <f>'Reforecast Q1 2026'!J46</f>
        <v/>
      </c>
      <c r="AE40" s="508">
        <f>IF(OR(8&gt;$B$3,ISBLANK(Actuals!J46)),"",Actuals!J46)</f>
        <v/>
      </c>
      <c r="AF40" s="509">
        <f>IF(OR(8&gt;$B$3,ISBLANK(Actuals!J46)),"",'Reforecast Q1 2026'!J46-Actuals!J46)</f>
        <v/>
      </c>
      <c r="AG40" s="509">
        <f>IFERROR(IF(OR(8&gt;$B$3,ISBLANK(Actuals!J46)),"",('Reforecast Q1 2026'!J46-Actuals!J46)/ABS('Reforecast Q1 2026'!J46)),"")</f>
        <v/>
      </c>
      <c r="AH40" s="508">
        <f>'Reforecast Q1 2026'!K46</f>
        <v/>
      </c>
      <c r="AI40" s="508">
        <f>IF(OR(9&gt;$B$3,ISBLANK(Actuals!K46)),"",Actuals!K46)</f>
        <v/>
      </c>
      <c r="AJ40" s="509">
        <f>IF(OR(9&gt;$B$3,ISBLANK(Actuals!K46)),"",'Reforecast Q1 2026'!K46-Actuals!K46)</f>
        <v/>
      </c>
      <c r="AK40" s="509">
        <f>IFERROR(IF(OR(9&gt;$B$3,ISBLANK(Actuals!K46)),"",('Reforecast Q1 2026'!K46-Actuals!K46)/ABS('Reforecast Q1 2026'!K46)),"")</f>
        <v/>
      </c>
      <c r="AL40" s="508">
        <f>'Reforecast Q1 2026'!L46</f>
        <v/>
      </c>
      <c r="AM40" s="508">
        <f>IF(OR(10&gt;$B$3,ISBLANK(Actuals!L46)),"",Actuals!L46)</f>
        <v/>
      </c>
      <c r="AN40" s="509">
        <f>IF(OR(10&gt;$B$3,ISBLANK(Actuals!L46)),"",'Reforecast Q1 2026'!L46-Actuals!L46)</f>
        <v/>
      </c>
      <c r="AO40" s="509">
        <f>IFERROR(IF(OR(10&gt;$B$3,ISBLANK(Actuals!L46)),"",('Reforecast Q1 2026'!L46-Actuals!L46)/ABS('Reforecast Q1 2026'!L46)),"")</f>
        <v/>
      </c>
      <c r="AP40" s="508">
        <f>'Reforecast Q1 2026'!M46</f>
        <v/>
      </c>
      <c r="AQ40" s="508">
        <f>IF(OR(11&gt;$B$3,ISBLANK(Actuals!M46)),"",Actuals!M46)</f>
        <v/>
      </c>
      <c r="AR40" s="509">
        <f>IF(OR(11&gt;$B$3,ISBLANK(Actuals!M46)),"",'Reforecast Q1 2026'!M46-Actuals!M46)</f>
        <v/>
      </c>
      <c r="AS40" s="509">
        <f>IFERROR(IF(OR(11&gt;$B$3,ISBLANK(Actuals!M46)),"",('Reforecast Q1 2026'!M46-Actuals!M46)/ABS('Reforecast Q1 2026'!M46)),"")</f>
        <v/>
      </c>
      <c r="AT40" s="508">
        <f>'Reforecast Q1 2026'!N46</f>
        <v/>
      </c>
      <c r="AU40" s="508">
        <f>IF(OR(12&gt;$B$3,ISBLANK(Actuals!N46)),"",Actuals!N46)</f>
        <v/>
      </c>
      <c r="AV40" s="509">
        <f>IF(OR(12&gt;$B$3,ISBLANK(Actuals!N46)),"",'Reforecast Q1 2026'!N46-Actuals!N46)</f>
        <v/>
      </c>
      <c r="AW40" s="509">
        <f>IFERROR(IF(OR(12&gt;$B$3,ISBLANK(Actuals!N46)),"",('Reforecast Q1 2026'!N46-Actuals!N46)/ABS('Reforecast Q1 2026'!N46)),"")</f>
        <v/>
      </c>
      <c r="AX40" s="510">
        <f>SUMPRODUCT((Actuals!C46:N46&lt;&gt;"")*('Reforecast Q1 2026'!C46:N46))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'Reforecast Q1 2026'!C47</f>
        <v/>
      </c>
      <c r="C41" s="508">
        <f>IF(OR(1&gt;$B$3,ISBLANK(Actuals!C47)),"",Actuals!C47)</f>
        <v/>
      </c>
      <c r="D41" s="509">
        <f>IF(OR(1&gt;$B$3,ISBLANK(Actuals!C47)),"",'Reforecast Q1 2026'!C47-Actuals!C47)</f>
        <v/>
      </c>
      <c r="E41" s="509">
        <f>IFERROR(IF(OR(1&gt;$B$3,ISBLANK(Actuals!C47)),"",('Reforecast Q1 2026'!C47-Actuals!C47)/ABS('Reforecast Q1 2026'!C47)),"")</f>
        <v/>
      </c>
      <c r="F41" s="508">
        <f>'Reforecast Q1 2026'!D47</f>
        <v/>
      </c>
      <c r="G41" s="508">
        <f>IF(OR(2&gt;$B$3,ISBLANK(Actuals!D47)),"",Actuals!D47)</f>
        <v/>
      </c>
      <c r="H41" s="509">
        <f>IF(OR(2&gt;$B$3,ISBLANK(Actuals!D47)),"",'Reforecast Q1 2026'!D47-Actuals!D47)</f>
        <v/>
      </c>
      <c r="I41" s="509">
        <f>IFERROR(IF(OR(2&gt;$B$3,ISBLANK(Actuals!D47)),"",('Reforecast Q1 2026'!D47-Actuals!D47)/ABS('Reforecast Q1 2026'!D47)),"")</f>
        <v/>
      </c>
      <c r="J41" s="508">
        <f>'Reforecast Q1 2026'!E47</f>
        <v/>
      </c>
      <c r="K41" s="508">
        <f>IF(OR(3&gt;$B$3,ISBLANK(Actuals!E47)),"",Actuals!E47)</f>
        <v/>
      </c>
      <c r="L41" s="509">
        <f>IF(OR(3&gt;$B$3,ISBLANK(Actuals!E47)),"",'Reforecast Q1 2026'!E47-Actuals!E47)</f>
        <v/>
      </c>
      <c r="M41" s="509">
        <f>IFERROR(IF(OR(3&gt;$B$3,ISBLANK(Actuals!E47)),"",('Reforecast Q1 2026'!E47-Actuals!E47)/ABS('Reforecast Q1 2026'!E47)),"")</f>
        <v/>
      </c>
      <c r="N41" s="508">
        <f>'Reforecast Q1 2026'!F47</f>
        <v/>
      </c>
      <c r="O41" s="508">
        <f>IF(OR(4&gt;$B$3,ISBLANK(Actuals!F47)),"",Actuals!F47)</f>
        <v/>
      </c>
      <c r="P41" s="509">
        <f>IF(OR(4&gt;$B$3,ISBLANK(Actuals!F47)),"",'Reforecast Q1 2026'!F47-Actuals!F47)</f>
        <v/>
      </c>
      <c r="Q41" s="509">
        <f>IFERROR(IF(OR(4&gt;$B$3,ISBLANK(Actuals!F47)),"",('Reforecast Q1 2026'!F47-Actuals!F47)/ABS('Reforecast Q1 2026'!F47)),"")</f>
        <v/>
      </c>
      <c r="R41" s="508">
        <f>'Reforecast Q1 2026'!G47</f>
        <v/>
      </c>
      <c r="S41" s="508">
        <f>IF(OR(5&gt;$B$3,ISBLANK(Actuals!G47)),"",Actuals!G47)</f>
        <v/>
      </c>
      <c r="T41" s="509">
        <f>IF(OR(5&gt;$B$3,ISBLANK(Actuals!G47)),"",'Reforecast Q1 2026'!G47-Actuals!G47)</f>
        <v/>
      </c>
      <c r="U41" s="509">
        <f>IFERROR(IF(OR(5&gt;$B$3,ISBLANK(Actuals!G47)),"",('Reforecast Q1 2026'!G47-Actuals!G47)/ABS('Reforecast Q1 2026'!G47)),"")</f>
        <v/>
      </c>
      <c r="V41" s="508">
        <f>'Reforecast Q1 2026'!H47</f>
        <v/>
      </c>
      <c r="W41" s="508">
        <f>IF(OR(6&gt;$B$3,ISBLANK(Actuals!H47)),"",Actuals!H47)</f>
        <v/>
      </c>
      <c r="X41" s="509">
        <f>IF(OR(6&gt;$B$3,ISBLANK(Actuals!H47)),"",'Reforecast Q1 2026'!H47-Actuals!H47)</f>
        <v/>
      </c>
      <c r="Y41" s="509">
        <f>IFERROR(IF(OR(6&gt;$B$3,ISBLANK(Actuals!H47)),"",('Reforecast Q1 2026'!H47-Actuals!H47)/ABS('Reforecast Q1 2026'!H47)),"")</f>
        <v/>
      </c>
      <c r="Z41" s="508">
        <f>'Reforecast Q1 2026'!I47</f>
        <v/>
      </c>
      <c r="AA41" s="508">
        <f>IF(OR(7&gt;$B$3,ISBLANK(Actuals!I47)),"",Actuals!I47)</f>
        <v/>
      </c>
      <c r="AB41" s="509">
        <f>IF(OR(7&gt;$B$3,ISBLANK(Actuals!I47)),"",'Reforecast Q1 2026'!I47-Actuals!I47)</f>
        <v/>
      </c>
      <c r="AC41" s="509">
        <f>IFERROR(IF(OR(7&gt;$B$3,ISBLANK(Actuals!I47)),"",('Reforecast Q1 2026'!I47-Actuals!I47)/ABS('Reforecast Q1 2026'!I47)),"")</f>
        <v/>
      </c>
      <c r="AD41" s="508">
        <f>'Reforecast Q1 2026'!J47</f>
        <v/>
      </c>
      <c r="AE41" s="508">
        <f>IF(OR(8&gt;$B$3,ISBLANK(Actuals!J47)),"",Actuals!J47)</f>
        <v/>
      </c>
      <c r="AF41" s="509">
        <f>IF(OR(8&gt;$B$3,ISBLANK(Actuals!J47)),"",'Reforecast Q1 2026'!J47-Actuals!J47)</f>
        <v/>
      </c>
      <c r="AG41" s="509">
        <f>IFERROR(IF(OR(8&gt;$B$3,ISBLANK(Actuals!J47)),"",('Reforecast Q1 2026'!J47-Actuals!J47)/ABS('Reforecast Q1 2026'!J47)),"")</f>
        <v/>
      </c>
      <c r="AH41" s="508">
        <f>'Reforecast Q1 2026'!K47</f>
        <v/>
      </c>
      <c r="AI41" s="508">
        <f>IF(OR(9&gt;$B$3,ISBLANK(Actuals!K47)),"",Actuals!K47)</f>
        <v/>
      </c>
      <c r="AJ41" s="509">
        <f>IF(OR(9&gt;$B$3,ISBLANK(Actuals!K47)),"",'Reforecast Q1 2026'!K47-Actuals!K47)</f>
        <v/>
      </c>
      <c r="AK41" s="509">
        <f>IFERROR(IF(OR(9&gt;$B$3,ISBLANK(Actuals!K47)),"",('Reforecast Q1 2026'!K47-Actuals!K47)/ABS('Reforecast Q1 2026'!K47)),"")</f>
        <v/>
      </c>
      <c r="AL41" s="508">
        <f>'Reforecast Q1 2026'!L47</f>
        <v/>
      </c>
      <c r="AM41" s="508">
        <f>IF(OR(10&gt;$B$3,ISBLANK(Actuals!L47)),"",Actuals!L47)</f>
        <v/>
      </c>
      <c r="AN41" s="509">
        <f>IF(OR(10&gt;$B$3,ISBLANK(Actuals!L47)),"",'Reforecast Q1 2026'!L47-Actuals!L47)</f>
        <v/>
      </c>
      <c r="AO41" s="509">
        <f>IFERROR(IF(OR(10&gt;$B$3,ISBLANK(Actuals!L47)),"",('Reforecast Q1 2026'!L47-Actuals!L47)/ABS('Reforecast Q1 2026'!L47)),"")</f>
        <v/>
      </c>
      <c r="AP41" s="508">
        <f>'Reforecast Q1 2026'!M47</f>
        <v/>
      </c>
      <c r="AQ41" s="508">
        <f>IF(OR(11&gt;$B$3,ISBLANK(Actuals!M47)),"",Actuals!M47)</f>
        <v/>
      </c>
      <c r="AR41" s="509">
        <f>IF(OR(11&gt;$B$3,ISBLANK(Actuals!M47)),"",'Reforecast Q1 2026'!M47-Actuals!M47)</f>
        <v/>
      </c>
      <c r="AS41" s="509">
        <f>IFERROR(IF(OR(11&gt;$B$3,ISBLANK(Actuals!M47)),"",('Reforecast Q1 2026'!M47-Actuals!M47)/ABS('Reforecast Q1 2026'!M47)),"")</f>
        <v/>
      </c>
      <c r="AT41" s="508">
        <f>'Reforecast Q1 2026'!N47</f>
        <v/>
      </c>
      <c r="AU41" s="508">
        <f>IF(OR(12&gt;$B$3,ISBLANK(Actuals!N47)),"",Actuals!N47)</f>
        <v/>
      </c>
      <c r="AV41" s="509">
        <f>IF(OR(12&gt;$B$3,ISBLANK(Actuals!N47)),"",'Reforecast Q1 2026'!N47-Actuals!N47)</f>
        <v/>
      </c>
      <c r="AW41" s="509">
        <f>IFERROR(IF(OR(12&gt;$B$3,ISBLANK(Actuals!N47)),"",('Reforecast Q1 2026'!N47-Actuals!N47)/ABS('Reforecast Q1 2026'!N47)),"")</f>
        <v/>
      </c>
      <c r="AX41" s="510">
        <f>SUMPRODUCT((Actuals!C47:N47&lt;&gt;"")*('Reforecast Q1 2026'!C47:N47))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'Reforecast Q1 2026'!C48</f>
        <v/>
      </c>
      <c r="C42" s="508">
        <f>IF(OR(1&gt;$B$3,ISBLANK(Actuals!C48)),"",Actuals!C48)</f>
        <v/>
      </c>
      <c r="D42" s="509">
        <f>IF(OR(1&gt;$B$3,ISBLANK(Actuals!C48)),"",'Reforecast Q1 2026'!C48-Actuals!C48)</f>
        <v/>
      </c>
      <c r="E42" s="509">
        <f>IFERROR(IF(OR(1&gt;$B$3,ISBLANK(Actuals!C48)),"",('Reforecast Q1 2026'!C48-Actuals!C48)/ABS('Reforecast Q1 2026'!C48)),"")</f>
        <v/>
      </c>
      <c r="F42" s="508">
        <f>'Reforecast Q1 2026'!D48</f>
        <v/>
      </c>
      <c r="G42" s="508">
        <f>IF(OR(2&gt;$B$3,ISBLANK(Actuals!D48)),"",Actuals!D48)</f>
        <v/>
      </c>
      <c r="H42" s="509">
        <f>IF(OR(2&gt;$B$3,ISBLANK(Actuals!D48)),"",'Reforecast Q1 2026'!D48-Actuals!D48)</f>
        <v/>
      </c>
      <c r="I42" s="509">
        <f>IFERROR(IF(OR(2&gt;$B$3,ISBLANK(Actuals!D48)),"",('Reforecast Q1 2026'!D48-Actuals!D48)/ABS('Reforecast Q1 2026'!D48)),"")</f>
        <v/>
      </c>
      <c r="J42" s="508">
        <f>'Reforecast Q1 2026'!E48</f>
        <v/>
      </c>
      <c r="K42" s="508">
        <f>IF(OR(3&gt;$B$3,ISBLANK(Actuals!E48)),"",Actuals!E48)</f>
        <v/>
      </c>
      <c r="L42" s="509">
        <f>IF(OR(3&gt;$B$3,ISBLANK(Actuals!E48)),"",'Reforecast Q1 2026'!E48-Actuals!E48)</f>
        <v/>
      </c>
      <c r="M42" s="509">
        <f>IFERROR(IF(OR(3&gt;$B$3,ISBLANK(Actuals!E48)),"",('Reforecast Q1 2026'!E48-Actuals!E48)/ABS('Reforecast Q1 2026'!E48)),"")</f>
        <v/>
      </c>
      <c r="N42" s="508">
        <f>'Reforecast Q1 2026'!F48</f>
        <v/>
      </c>
      <c r="O42" s="508">
        <f>IF(OR(4&gt;$B$3,ISBLANK(Actuals!F48)),"",Actuals!F48)</f>
        <v/>
      </c>
      <c r="P42" s="509">
        <f>IF(OR(4&gt;$B$3,ISBLANK(Actuals!F48)),"",'Reforecast Q1 2026'!F48-Actuals!F48)</f>
        <v/>
      </c>
      <c r="Q42" s="509">
        <f>IFERROR(IF(OR(4&gt;$B$3,ISBLANK(Actuals!F48)),"",('Reforecast Q1 2026'!F48-Actuals!F48)/ABS('Reforecast Q1 2026'!F48)),"")</f>
        <v/>
      </c>
      <c r="R42" s="508">
        <f>'Reforecast Q1 2026'!G48</f>
        <v/>
      </c>
      <c r="S42" s="508">
        <f>IF(OR(5&gt;$B$3,ISBLANK(Actuals!G48)),"",Actuals!G48)</f>
        <v/>
      </c>
      <c r="T42" s="509">
        <f>IF(OR(5&gt;$B$3,ISBLANK(Actuals!G48)),"",'Reforecast Q1 2026'!G48-Actuals!G48)</f>
        <v/>
      </c>
      <c r="U42" s="509">
        <f>IFERROR(IF(OR(5&gt;$B$3,ISBLANK(Actuals!G48)),"",('Reforecast Q1 2026'!G48-Actuals!G48)/ABS('Reforecast Q1 2026'!G48)),"")</f>
        <v/>
      </c>
      <c r="V42" s="508">
        <f>'Reforecast Q1 2026'!H48</f>
        <v/>
      </c>
      <c r="W42" s="508">
        <f>IF(OR(6&gt;$B$3,ISBLANK(Actuals!H48)),"",Actuals!H48)</f>
        <v/>
      </c>
      <c r="X42" s="509">
        <f>IF(OR(6&gt;$B$3,ISBLANK(Actuals!H48)),"",'Reforecast Q1 2026'!H48-Actuals!H48)</f>
        <v/>
      </c>
      <c r="Y42" s="509">
        <f>IFERROR(IF(OR(6&gt;$B$3,ISBLANK(Actuals!H48)),"",('Reforecast Q1 2026'!H48-Actuals!H48)/ABS('Reforecast Q1 2026'!H48)),"")</f>
        <v/>
      </c>
      <c r="Z42" s="508">
        <f>'Reforecast Q1 2026'!I48</f>
        <v/>
      </c>
      <c r="AA42" s="508">
        <f>IF(OR(7&gt;$B$3,ISBLANK(Actuals!I48)),"",Actuals!I48)</f>
        <v/>
      </c>
      <c r="AB42" s="509">
        <f>IF(OR(7&gt;$B$3,ISBLANK(Actuals!I48)),"",'Reforecast Q1 2026'!I48-Actuals!I48)</f>
        <v/>
      </c>
      <c r="AC42" s="509">
        <f>IFERROR(IF(OR(7&gt;$B$3,ISBLANK(Actuals!I48)),"",('Reforecast Q1 2026'!I48-Actuals!I48)/ABS('Reforecast Q1 2026'!I48)),"")</f>
        <v/>
      </c>
      <c r="AD42" s="508">
        <f>'Reforecast Q1 2026'!J48</f>
        <v/>
      </c>
      <c r="AE42" s="508">
        <f>IF(OR(8&gt;$B$3,ISBLANK(Actuals!J48)),"",Actuals!J48)</f>
        <v/>
      </c>
      <c r="AF42" s="509">
        <f>IF(OR(8&gt;$B$3,ISBLANK(Actuals!J48)),"",'Reforecast Q1 2026'!J48-Actuals!J48)</f>
        <v/>
      </c>
      <c r="AG42" s="509">
        <f>IFERROR(IF(OR(8&gt;$B$3,ISBLANK(Actuals!J48)),"",('Reforecast Q1 2026'!J48-Actuals!J48)/ABS('Reforecast Q1 2026'!J48)),"")</f>
        <v/>
      </c>
      <c r="AH42" s="508">
        <f>'Reforecast Q1 2026'!K48</f>
        <v/>
      </c>
      <c r="AI42" s="508">
        <f>IF(OR(9&gt;$B$3,ISBLANK(Actuals!K48)),"",Actuals!K48)</f>
        <v/>
      </c>
      <c r="AJ42" s="509">
        <f>IF(OR(9&gt;$B$3,ISBLANK(Actuals!K48)),"",'Reforecast Q1 2026'!K48-Actuals!K48)</f>
        <v/>
      </c>
      <c r="AK42" s="509">
        <f>IFERROR(IF(OR(9&gt;$B$3,ISBLANK(Actuals!K48)),"",('Reforecast Q1 2026'!K48-Actuals!K48)/ABS('Reforecast Q1 2026'!K48)),"")</f>
        <v/>
      </c>
      <c r="AL42" s="508">
        <f>'Reforecast Q1 2026'!L48</f>
        <v/>
      </c>
      <c r="AM42" s="508">
        <f>IF(OR(10&gt;$B$3,ISBLANK(Actuals!L48)),"",Actuals!L48)</f>
        <v/>
      </c>
      <c r="AN42" s="509">
        <f>IF(OR(10&gt;$B$3,ISBLANK(Actuals!L48)),"",'Reforecast Q1 2026'!L48-Actuals!L48)</f>
        <v/>
      </c>
      <c r="AO42" s="509">
        <f>IFERROR(IF(OR(10&gt;$B$3,ISBLANK(Actuals!L48)),"",('Reforecast Q1 2026'!L48-Actuals!L48)/ABS('Reforecast Q1 2026'!L48)),"")</f>
        <v/>
      </c>
      <c r="AP42" s="508">
        <f>'Reforecast Q1 2026'!M48</f>
        <v/>
      </c>
      <c r="AQ42" s="508">
        <f>IF(OR(11&gt;$B$3,ISBLANK(Actuals!M48)),"",Actuals!M48)</f>
        <v/>
      </c>
      <c r="AR42" s="509">
        <f>IF(OR(11&gt;$B$3,ISBLANK(Actuals!M48)),"",'Reforecast Q1 2026'!M48-Actuals!M48)</f>
        <v/>
      </c>
      <c r="AS42" s="509">
        <f>IFERROR(IF(OR(11&gt;$B$3,ISBLANK(Actuals!M48)),"",('Reforecast Q1 2026'!M48-Actuals!M48)/ABS('Reforecast Q1 2026'!M48)),"")</f>
        <v/>
      </c>
      <c r="AT42" s="508">
        <f>'Reforecast Q1 2026'!N48</f>
        <v/>
      </c>
      <c r="AU42" s="508">
        <f>IF(OR(12&gt;$B$3,ISBLANK(Actuals!N48)),"",Actuals!N48)</f>
        <v/>
      </c>
      <c r="AV42" s="509">
        <f>IF(OR(12&gt;$B$3,ISBLANK(Actuals!N48)),"",'Reforecast Q1 2026'!N48-Actuals!N48)</f>
        <v/>
      </c>
      <c r="AW42" s="509">
        <f>IFERROR(IF(OR(12&gt;$B$3,ISBLANK(Actuals!N48)),"",('Reforecast Q1 2026'!N48-Actuals!N48)/ABS('Reforecast Q1 2026'!N48)),"")</f>
        <v/>
      </c>
      <c r="AX42" s="510">
        <f>SUMPRODUCT((Actuals!C48:N48&lt;&gt;"")*('Reforecast Q1 2026'!C48:N48))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'Reforecast Q1 2026'!C49</f>
        <v/>
      </c>
      <c r="C43" s="508">
        <f>IF(OR(1&gt;$B$3,ISBLANK(Actuals!C49)),"",Actuals!C49)</f>
        <v/>
      </c>
      <c r="D43" s="509">
        <f>IF(OR(1&gt;$B$3,ISBLANK(Actuals!C49)),"",'Reforecast Q1 2026'!C49-Actuals!C49)</f>
        <v/>
      </c>
      <c r="E43" s="509">
        <f>IFERROR(IF(OR(1&gt;$B$3,ISBLANK(Actuals!C49)),"",('Reforecast Q1 2026'!C49-Actuals!C49)/ABS('Reforecast Q1 2026'!C49)),"")</f>
        <v/>
      </c>
      <c r="F43" s="508">
        <f>'Reforecast Q1 2026'!D49</f>
        <v/>
      </c>
      <c r="G43" s="508">
        <f>IF(OR(2&gt;$B$3,ISBLANK(Actuals!D49)),"",Actuals!D49)</f>
        <v/>
      </c>
      <c r="H43" s="509">
        <f>IF(OR(2&gt;$B$3,ISBLANK(Actuals!D49)),"",'Reforecast Q1 2026'!D49-Actuals!D49)</f>
        <v/>
      </c>
      <c r="I43" s="509">
        <f>IFERROR(IF(OR(2&gt;$B$3,ISBLANK(Actuals!D49)),"",('Reforecast Q1 2026'!D49-Actuals!D49)/ABS('Reforecast Q1 2026'!D49)),"")</f>
        <v/>
      </c>
      <c r="J43" s="508">
        <f>'Reforecast Q1 2026'!E49</f>
        <v/>
      </c>
      <c r="K43" s="508">
        <f>IF(OR(3&gt;$B$3,ISBLANK(Actuals!E49)),"",Actuals!E49)</f>
        <v/>
      </c>
      <c r="L43" s="509">
        <f>IF(OR(3&gt;$B$3,ISBLANK(Actuals!E49)),"",'Reforecast Q1 2026'!E49-Actuals!E49)</f>
        <v/>
      </c>
      <c r="M43" s="509">
        <f>IFERROR(IF(OR(3&gt;$B$3,ISBLANK(Actuals!E49)),"",('Reforecast Q1 2026'!E49-Actuals!E49)/ABS('Reforecast Q1 2026'!E49)),"")</f>
        <v/>
      </c>
      <c r="N43" s="508">
        <f>'Reforecast Q1 2026'!F49</f>
        <v/>
      </c>
      <c r="O43" s="508">
        <f>IF(OR(4&gt;$B$3,ISBLANK(Actuals!F49)),"",Actuals!F49)</f>
        <v/>
      </c>
      <c r="P43" s="509">
        <f>IF(OR(4&gt;$B$3,ISBLANK(Actuals!F49)),"",'Reforecast Q1 2026'!F49-Actuals!F49)</f>
        <v/>
      </c>
      <c r="Q43" s="509">
        <f>IFERROR(IF(OR(4&gt;$B$3,ISBLANK(Actuals!F49)),"",('Reforecast Q1 2026'!F49-Actuals!F49)/ABS('Reforecast Q1 2026'!F49)),"")</f>
        <v/>
      </c>
      <c r="R43" s="508">
        <f>'Reforecast Q1 2026'!G49</f>
        <v/>
      </c>
      <c r="S43" s="508">
        <f>IF(OR(5&gt;$B$3,ISBLANK(Actuals!G49)),"",Actuals!G49)</f>
        <v/>
      </c>
      <c r="T43" s="509">
        <f>IF(OR(5&gt;$B$3,ISBLANK(Actuals!G49)),"",'Reforecast Q1 2026'!G49-Actuals!G49)</f>
        <v/>
      </c>
      <c r="U43" s="509">
        <f>IFERROR(IF(OR(5&gt;$B$3,ISBLANK(Actuals!G49)),"",('Reforecast Q1 2026'!G49-Actuals!G49)/ABS('Reforecast Q1 2026'!G49)),"")</f>
        <v/>
      </c>
      <c r="V43" s="508">
        <f>'Reforecast Q1 2026'!H49</f>
        <v/>
      </c>
      <c r="W43" s="508">
        <f>IF(OR(6&gt;$B$3,ISBLANK(Actuals!H49)),"",Actuals!H49)</f>
        <v/>
      </c>
      <c r="X43" s="509">
        <f>IF(OR(6&gt;$B$3,ISBLANK(Actuals!H49)),"",'Reforecast Q1 2026'!H49-Actuals!H49)</f>
        <v/>
      </c>
      <c r="Y43" s="509">
        <f>IFERROR(IF(OR(6&gt;$B$3,ISBLANK(Actuals!H49)),"",('Reforecast Q1 2026'!H49-Actuals!H49)/ABS('Reforecast Q1 2026'!H49)),"")</f>
        <v/>
      </c>
      <c r="Z43" s="508">
        <f>'Reforecast Q1 2026'!I49</f>
        <v/>
      </c>
      <c r="AA43" s="508">
        <f>IF(OR(7&gt;$B$3,ISBLANK(Actuals!I49)),"",Actuals!I49)</f>
        <v/>
      </c>
      <c r="AB43" s="509">
        <f>IF(OR(7&gt;$B$3,ISBLANK(Actuals!I49)),"",'Reforecast Q1 2026'!I49-Actuals!I49)</f>
        <v/>
      </c>
      <c r="AC43" s="509">
        <f>IFERROR(IF(OR(7&gt;$B$3,ISBLANK(Actuals!I49)),"",('Reforecast Q1 2026'!I49-Actuals!I49)/ABS('Reforecast Q1 2026'!I49)),"")</f>
        <v/>
      </c>
      <c r="AD43" s="508">
        <f>'Reforecast Q1 2026'!J49</f>
        <v/>
      </c>
      <c r="AE43" s="508">
        <f>IF(OR(8&gt;$B$3,ISBLANK(Actuals!J49)),"",Actuals!J49)</f>
        <v/>
      </c>
      <c r="AF43" s="509">
        <f>IF(OR(8&gt;$B$3,ISBLANK(Actuals!J49)),"",'Reforecast Q1 2026'!J49-Actuals!J49)</f>
        <v/>
      </c>
      <c r="AG43" s="509">
        <f>IFERROR(IF(OR(8&gt;$B$3,ISBLANK(Actuals!J49)),"",('Reforecast Q1 2026'!J49-Actuals!J49)/ABS('Reforecast Q1 2026'!J49)),"")</f>
        <v/>
      </c>
      <c r="AH43" s="508">
        <f>'Reforecast Q1 2026'!K49</f>
        <v/>
      </c>
      <c r="AI43" s="508">
        <f>IF(OR(9&gt;$B$3,ISBLANK(Actuals!K49)),"",Actuals!K49)</f>
        <v/>
      </c>
      <c r="AJ43" s="509">
        <f>IF(OR(9&gt;$B$3,ISBLANK(Actuals!K49)),"",'Reforecast Q1 2026'!K49-Actuals!K49)</f>
        <v/>
      </c>
      <c r="AK43" s="509">
        <f>IFERROR(IF(OR(9&gt;$B$3,ISBLANK(Actuals!K49)),"",('Reforecast Q1 2026'!K49-Actuals!K49)/ABS('Reforecast Q1 2026'!K49)),"")</f>
        <v/>
      </c>
      <c r="AL43" s="508">
        <f>'Reforecast Q1 2026'!L49</f>
        <v/>
      </c>
      <c r="AM43" s="508">
        <f>IF(OR(10&gt;$B$3,ISBLANK(Actuals!L49)),"",Actuals!L49)</f>
        <v/>
      </c>
      <c r="AN43" s="509">
        <f>IF(OR(10&gt;$B$3,ISBLANK(Actuals!L49)),"",'Reforecast Q1 2026'!L49-Actuals!L49)</f>
        <v/>
      </c>
      <c r="AO43" s="509">
        <f>IFERROR(IF(OR(10&gt;$B$3,ISBLANK(Actuals!L49)),"",('Reforecast Q1 2026'!L49-Actuals!L49)/ABS('Reforecast Q1 2026'!L49)),"")</f>
        <v/>
      </c>
      <c r="AP43" s="508">
        <f>'Reforecast Q1 2026'!M49</f>
        <v/>
      </c>
      <c r="AQ43" s="508">
        <f>IF(OR(11&gt;$B$3,ISBLANK(Actuals!M49)),"",Actuals!M49)</f>
        <v/>
      </c>
      <c r="AR43" s="509">
        <f>IF(OR(11&gt;$B$3,ISBLANK(Actuals!M49)),"",'Reforecast Q1 2026'!M49-Actuals!M49)</f>
        <v/>
      </c>
      <c r="AS43" s="509">
        <f>IFERROR(IF(OR(11&gt;$B$3,ISBLANK(Actuals!M49)),"",('Reforecast Q1 2026'!M49-Actuals!M49)/ABS('Reforecast Q1 2026'!M49)),"")</f>
        <v/>
      </c>
      <c r="AT43" s="508">
        <f>'Reforecast Q1 2026'!N49</f>
        <v/>
      </c>
      <c r="AU43" s="508">
        <f>IF(OR(12&gt;$B$3,ISBLANK(Actuals!N49)),"",Actuals!N49)</f>
        <v/>
      </c>
      <c r="AV43" s="509">
        <f>IF(OR(12&gt;$B$3,ISBLANK(Actuals!N49)),"",'Reforecast Q1 2026'!N49-Actuals!N49)</f>
        <v/>
      </c>
      <c r="AW43" s="509">
        <f>IFERROR(IF(OR(12&gt;$B$3,ISBLANK(Actuals!N49)),"",('Reforecast Q1 2026'!N49-Actuals!N49)/ABS('Reforecast Q1 2026'!N49)),"")</f>
        <v/>
      </c>
      <c r="AX43" s="510">
        <f>SUMPRODUCT((Actuals!C49:N49&lt;&gt;"")*('Reforecast Q1 2026'!C49:N49))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'Reforecast Q1 2026'!C50</f>
        <v/>
      </c>
      <c r="C44" s="508">
        <f>IF(OR(1&gt;$B$3,ISBLANK(Actuals!C50)),"",Actuals!C50)</f>
        <v/>
      </c>
      <c r="D44" s="509">
        <f>IF(OR(1&gt;$B$3,ISBLANK(Actuals!C50)),"",'Reforecast Q1 2026'!C50-Actuals!C50)</f>
        <v/>
      </c>
      <c r="E44" s="509">
        <f>IFERROR(IF(OR(1&gt;$B$3,ISBLANK(Actuals!C50)),"",('Reforecast Q1 2026'!C50-Actuals!C50)/ABS('Reforecast Q1 2026'!C50)),"")</f>
        <v/>
      </c>
      <c r="F44" s="508">
        <f>'Reforecast Q1 2026'!D50</f>
        <v/>
      </c>
      <c r="G44" s="508">
        <f>IF(OR(2&gt;$B$3,ISBLANK(Actuals!D50)),"",Actuals!D50)</f>
        <v/>
      </c>
      <c r="H44" s="509">
        <f>IF(OR(2&gt;$B$3,ISBLANK(Actuals!D50)),"",'Reforecast Q1 2026'!D50-Actuals!D50)</f>
        <v/>
      </c>
      <c r="I44" s="509">
        <f>IFERROR(IF(OR(2&gt;$B$3,ISBLANK(Actuals!D50)),"",('Reforecast Q1 2026'!D50-Actuals!D50)/ABS('Reforecast Q1 2026'!D50)),"")</f>
        <v/>
      </c>
      <c r="J44" s="508">
        <f>'Reforecast Q1 2026'!E50</f>
        <v/>
      </c>
      <c r="K44" s="508">
        <f>IF(OR(3&gt;$B$3,ISBLANK(Actuals!E50)),"",Actuals!E50)</f>
        <v/>
      </c>
      <c r="L44" s="509">
        <f>IF(OR(3&gt;$B$3,ISBLANK(Actuals!E50)),"",'Reforecast Q1 2026'!E50-Actuals!E50)</f>
        <v/>
      </c>
      <c r="M44" s="509">
        <f>IFERROR(IF(OR(3&gt;$B$3,ISBLANK(Actuals!E50)),"",('Reforecast Q1 2026'!E50-Actuals!E50)/ABS('Reforecast Q1 2026'!E50)),"")</f>
        <v/>
      </c>
      <c r="N44" s="508">
        <f>'Reforecast Q1 2026'!F50</f>
        <v/>
      </c>
      <c r="O44" s="508">
        <f>IF(OR(4&gt;$B$3,ISBLANK(Actuals!F50)),"",Actuals!F50)</f>
        <v/>
      </c>
      <c r="P44" s="509">
        <f>IF(OR(4&gt;$B$3,ISBLANK(Actuals!F50)),"",'Reforecast Q1 2026'!F50-Actuals!F50)</f>
        <v/>
      </c>
      <c r="Q44" s="509">
        <f>IFERROR(IF(OR(4&gt;$B$3,ISBLANK(Actuals!F50)),"",('Reforecast Q1 2026'!F50-Actuals!F50)/ABS('Reforecast Q1 2026'!F50)),"")</f>
        <v/>
      </c>
      <c r="R44" s="508">
        <f>'Reforecast Q1 2026'!G50</f>
        <v/>
      </c>
      <c r="S44" s="508">
        <f>IF(OR(5&gt;$B$3,ISBLANK(Actuals!G50)),"",Actuals!G50)</f>
        <v/>
      </c>
      <c r="T44" s="509">
        <f>IF(OR(5&gt;$B$3,ISBLANK(Actuals!G50)),"",'Reforecast Q1 2026'!G50-Actuals!G50)</f>
        <v/>
      </c>
      <c r="U44" s="509">
        <f>IFERROR(IF(OR(5&gt;$B$3,ISBLANK(Actuals!G50)),"",('Reforecast Q1 2026'!G50-Actuals!G50)/ABS('Reforecast Q1 2026'!G50)),"")</f>
        <v/>
      </c>
      <c r="V44" s="508">
        <f>'Reforecast Q1 2026'!H50</f>
        <v/>
      </c>
      <c r="W44" s="508">
        <f>IF(OR(6&gt;$B$3,ISBLANK(Actuals!H50)),"",Actuals!H50)</f>
        <v/>
      </c>
      <c r="X44" s="509">
        <f>IF(OR(6&gt;$B$3,ISBLANK(Actuals!H50)),"",'Reforecast Q1 2026'!H50-Actuals!H50)</f>
        <v/>
      </c>
      <c r="Y44" s="509">
        <f>IFERROR(IF(OR(6&gt;$B$3,ISBLANK(Actuals!H50)),"",('Reforecast Q1 2026'!H50-Actuals!H50)/ABS('Reforecast Q1 2026'!H50)),"")</f>
        <v/>
      </c>
      <c r="Z44" s="508">
        <f>'Reforecast Q1 2026'!I50</f>
        <v/>
      </c>
      <c r="AA44" s="508">
        <f>IF(OR(7&gt;$B$3,ISBLANK(Actuals!I50)),"",Actuals!I50)</f>
        <v/>
      </c>
      <c r="AB44" s="509">
        <f>IF(OR(7&gt;$B$3,ISBLANK(Actuals!I50)),"",'Reforecast Q1 2026'!I50-Actuals!I50)</f>
        <v/>
      </c>
      <c r="AC44" s="509">
        <f>IFERROR(IF(OR(7&gt;$B$3,ISBLANK(Actuals!I50)),"",('Reforecast Q1 2026'!I50-Actuals!I50)/ABS('Reforecast Q1 2026'!I50)),"")</f>
        <v/>
      </c>
      <c r="AD44" s="508">
        <f>'Reforecast Q1 2026'!J50</f>
        <v/>
      </c>
      <c r="AE44" s="508">
        <f>IF(OR(8&gt;$B$3,ISBLANK(Actuals!J50)),"",Actuals!J50)</f>
        <v/>
      </c>
      <c r="AF44" s="509">
        <f>IF(OR(8&gt;$B$3,ISBLANK(Actuals!J50)),"",'Reforecast Q1 2026'!J50-Actuals!J50)</f>
        <v/>
      </c>
      <c r="AG44" s="509">
        <f>IFERROR(IF(OR(8&gt;$B$3,ISBLANK(Actuals!J50)),"",('Reforecast Q1 2026'!J50-Actuals!J50)/ABS('Reforecast Q1 2026'!J50)),"")</f>
        <v/>
      </c>
      <c r="AH44" s="508">
        <f>'Reforecast Q1 2026'!K50</f>
        <v/>
      </c>
      <c r="AI44" s="508">
        <f>IF(OR(9&gt;$B$3,ISBLANK(Actuals!K50)),"",Actuals!K50)</f>
        <v/>
      </c>
      <c r="AJ44" s="509">
        <f>IF(OR(9&gt;$B$3,ISBLANK(Actuals!K50)),"",'Reforecast Q1 2026'!K50-Actuals!K50)</f>
        <v/>
      </c>
      <c r="AK44" s="509">
        <f>IFERROR(IF(OR(9&gt;$B$3,ISBLANK(Actuals!K50)),"",('Reforecast Q1 2026'!K50-Actuals!K50)/ABS('Reforecast Q1 2026'!K50)),"")</f>
        <v/>
      </c>
      <c r="AL44" s="508">
        <f>'Reforecast Q1 2026'!L50</f>
        <v/>
      </c>
      <c r="AM44" s="508">
        <f>IF(OR(10&gt;$B$3,ISBLANK(Actuals!L50)),"",Actuals!L50)</f>
        <v/>
      </c>
      <c r="AN44" s="509">
        <f>IF(OR(10&gt;$B$3,ISBLANK(Actuals!L50)),"",'Reforecast Q1 2026'!L50-Actuals!L50)</f>
        <v/>
      </c>
      <c r="AO44" s="509">
        <f>IFERROR(IF(OR(10&gt;$B$3,ISBLANK(Actuals!L50)),"",('Reforecast Q1 2026'!L50-Actuals!L50)/ABS('Reforecast Q1 2026'!L50)),"")</f>
        <v/>
      </c>
      <c r="AP44" s="508">
        <f>'Reforecast Q1 2026'!M50</f>
        <v/>
      </c>
      <c r="AQ44" s="508">
        <f>IF(OR(11&gt;$B$3,ISBLANK(Actuals!M50)),"",Actuals!M50)</f>
        <v/>
      </c>
      <c r="AR44" s="509">
        <f>IF(OR(11&gt;$B$3,ISBLANK(Actuals!M50)),"",'Reforecast Q1 2026'!M50-Actuals!M50)</f>
        <v/>
      </c>
      <c r="AS44" s="509">
        <f>IFERROR(IF(OR(11&gt;$B$3,ISBLANK(Actuals!M50)),"",('Reforecast Q1 2026'!M50-Actuals!M50)/ABS('Reforecast Q1 2026'!M50)),"")</f>
        <v/>
      </c>
      <c r="AT44" s="508">
        <f>'Reforecast Q1 2026'!N50</f>
        <v/>
      </c>
      <c r="AU44" s="508">
        <f>IF(OR(12&gt;$B$3,ISBLANK(Actuals!N50)),"",Actuals!N50)</f>
        <v/>
      </c>
      <c r="AV44" s="509">
        <f>IF(OR(12&gt;$B$3,ISBLANK(Actuals!N50)),"",'Reforecast Q1 2026'!N50-Actuals!N50)</f>
        <v/>
      </c>
      <c r="AW44" s="509">
        <f>IFERROR(IF(OR(12&gt;$B$3,ISBLANK(Actuals!N50)),"",('Reforecast Q1 2026'!N50-Actuals!N50)/ABS('Reforecast Q1 2026'!N50)),"")</f>
        <v/>
      </c>
      <c r="AX44" s="510">
        <f>SUMPRODUCT((Actuals!C50:N50&lt;&gt;"")*('Reforecast Q1 2026'!C50:N50))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'Reforecast Q1 2026'!C51</f>
        <v/>
      </c>
      <c r="C45" s="508">
        <f>IF(OR(1&gt;$B$3,ISBLANK(Actuals!C51)),"",Actuals!C51)</f>
        <v/>
      </c>
      <c r="D45" s="509">
        <f>IF(OR(1&gt;$B$3,ISBLANK(Actuals!C51)),"",'Reforecast Q1 2026'!C51-Actuals!C51)</f>
        <v/>
      </c>
      <c r="E45" s="509">
        <f>IFERROR(IF(OR(1&gt;$B$3,ISBLANK(Actuals!C51)),"",('Reforecast Q1 2026'!C51-Actuals!C51)/ABS('Reforecast Q1 2026'!C51)),"")</f>
        <v/>
      </c>
      <c r="F45" s="508">
        <f>'Reforecast Q1 2026'!D51</f>
        <v/>
      </c>
      <c r="G45" s="508">
        <f>IF(OR(2&gt;$B$3,ISBLANK(Actuals!D51)),"",Actuals!D51)</f>
        <v/>
      </c>
      <c r="H45" s="509">
        <f>IF(OR(2&gt;$B$3,ISBLANK(Actuals!D51)),"",'Reforecast Q1 2026'!D51-Actuals!D51)</f>
        <v/>
      </c>
      <c r="I45" s="509">
        <f>IFERROR(IF(OR(2&gt;$B$3,ISBLANK(Actuals!D51)),"",('Reforecast Q1 2026'!D51-Actuals!D51)/ABS('Reforecast Q1 2026'!D51)),"")</f>
        <v/>
      </c>
      <c r="J45" s="508">
        <f>'Reforecast Q1 2026'!E51</f>
        <v/>
      </c>
      <c r="K45" s="508">
        <f>IF(OR(3&gt;$B$3,ISBLANK(Actuals!E51)),"",Actuals!E51)</f>
        <v/>
      </c>
      <c r="L45" s="509">
        <f>IF(OR(3&gt;$B$3,ISBLANK(Actuals!E51)),"",'Reforecast Q1 2026'!E51-Actuals!E51)</f>
        <v/>
      </c>
      <c r="M45" s="509">
        <f>IFERROR(IF(OR(3&gt;$B$3,ISBLANK(Actuals!E51)),"",('Reforecast Q1 2026'!E51-Actuals!E51)/ABS('Reforecast Q1 2026'!E51)),"")</f>
        <v/>
      </c>
      <c r="N45" s="508">
        <f>'Reforecast Q1 2026'!F51</f>
        <v/>
      </c>
      <c r="O45" s="508">
        <f>IF(OR(4&gt;$B$3,ISBLANK(Actuals!F51)),"",Actuals!F51)</f>
        <v/>
      </c>
      <c r="P45" s="509">
        <f>IF(OR(4&gt;$B$3,ISBLANK(Actuals!F51)),"",'Reforecast Q1 2026'!F51-Actuals!F51)</f>
        <v/>
      </c>
      <c r="Q45" s="509">
        <f>IFERROR(IF(OR(4&gt;$B$3,ISBLANK(Actuals!F51)),"",('Reforecast Q1 2026'!F51-Actuals!F51)/ABS('Reforecast Q1 2026'!F51)),"")</f>
        <v/>
      </c>
      <c r="R45" s="508">
        <f>'Reforecast Q1 2026'!G51</f>
        <v/>
      </c>
      <c r="S45" s="508">
        <f>IF(OR(5&gt;$B$3,ISBLANK(Actuals!G51)),"",Actuals!G51)</f>
        <v/>
      </c>
      <c r="T45" s="509">
        <f>IF(OR(5&gt;$B$3,ISBLANK(Actuals!G51)),"",'Reforecast Q1 2026'!G51-Actuals!G51)</f>
        <v/>
      </c>
      <c r="U45" s="509">
        <f>IFERROR(IF(OR(5&gt;$B$3,ISBLANK(Actuals!G51)),"",('Reforecast Q1 2026'!G51-Actuals!G51)/ABS('Reforecast Q1 2026'!G51)),"")</f>
        <v/>
      </c>
      <c r="V45" s="508">
        <f>'Reforecast Q1 2026'!H51</f>
        <v/>
      </c>
      <c r="W45" s="508">
        <f>IF(OR(6&gt;$B$3,ISBLANK(Actuals!H51)),"",Actuals!H51)</f>
        <v/>
      </c>
      <c r="X45" s="509">
        <f>IF(OR(6&gt;$B$3,ISBLANK(Actuals!H51)),"",'Reforecast Q1 2026'!H51-Actuals!H51)</f>
        <v/>
      </c>
      <c r="Y45" s="509">
        <f>IFERROR(IF(OR(6&gt;$B$3,ISBLANK(Actuals!H51)),"",('Reforecast Q1 2026'!H51-Actuals!H51)/ABS('Reforecast Q1 2026'!H51)),"")</f>
        <v/>
      </c>
      <c r="Z45" s="508">
        <f>'Reforecast Q1 2026'!I51</f>
        <v/>
      </c>
      <c r="AA45" s="508">
        <f>IF(OR(7&gt;$B$3,ISBLANK(Actuals!I51)),"",Actuals!I51)</f>
        <v/>
      </c>
      <c r="AB45" s="509">
        <f>IF(OR(7&gt;$B$3,ISBLANK(Actuals!I51)),"",'Reforecast Q1 2026'!I51-Actuals!I51)</f>
        <v/>
      </c>
      <c r="AC45" s="509">
        <f>IFERROR(IF(OR(7&gt;$B$3,ISBLANK(Actuals!I51)),"",('Reforecast Q1 2026'!I51-Actuals!I51)/ABS('Reforecast Q1 2026'!I51)),"")</f>
        <v/>
      </c>
      <c r="AD45" s="508">
        <f>'Reforecast Q1 2026'!J51</f>
        <v/>
      </c>
      <c r="AE45" s="508">
        <f>IF(OR(8&gt;$B$3,ISBLANK(Actuals!J51)),"",Actuals!J51)</f>
        <v/>
      </c>
      <c r="AF45" s="509">
        <f>IF(OR(8&gt;$B$3,ISBLANK(Actuals!J51)),"",'Reforecast Q1 2026'!J51-Actuals!J51)</f>
        <v/>
      </c>
      <c r="AG45" s="509">
        <f>IFERROR(IF(OR(8&gt;$B$3,ISBLANK(Actuals!J51)),"",('Reforecast Q1 2026'!J51-Actuals!J51)/ABS('Reforecast Q1 2026'!J51)),"")</f>
        <v/>
      </c>
      <c r="AH45" s="508">
        <f>'Reforecast Q1 2026'!K51</f>
        <v/>
      </c>
      <c r="AI45" s="508">
        <f>IF(OR(9&gt;$B$3,ISBLANK(Actuals!K51)),"",Actuals!K51)</f>
        <v/>
      </c>
      <c r="AJ45" s="509">
        <f>IF(OR(9&gt;$B$3,ISBLANK(Actuals!K51)),"",'Reforecast Q1 2026'!K51-Actuals!K51)</f>
        <v/>
      </c>
      <c r="AK45" s="509">
        <f>IFERROR(IF(OR(9&gt;$B$3,ISBLANK(Actuals!K51)),"",('Reforecast Q1 2026'!K51-Actuals!K51)/ABS('Reforecast Q1 2026'!K51)),"")</f>
        <v/>
      </c>
      <c r="AL45" s="508">
        <f>'Reforecast Q1 2026'!L51</f>
        <v/>
      </c>
      <c r="AM45" s="508">
        <f>IF(OR(10&gt;$B$3,ISBLANK(Actuals!L51)),"",Actuals!L51)</f>
        <v/>
      </c>
      <c r="AN45" s="509">
        <f>IF(OR(10&gt;$B$3,ISBLANK(Actuals!L51)),"",'Reforecast Q1 2026'!L51-Actuals!L51)</f>
        <v/>
      </c>
      <c r="AO45" s="509">
        <f>IFERROR(IF(OR(10&gt;$B$3,ISBLANK(Actuals!L51)),"",('Reforecast Q1 2026'!L51-Actuals!L51)/ABS('Reforecast Q1 2026'!L51)),"")</f>
        <v/>
      </c>
      <c r="AP45" s="508">
        <f>'Reforecast Q1 2026'!M51</f>
        <v/>
      </c>
      <c r="AQ45" s="508">
        <f>IF(OR(11&gt;$B$3,ISBLANK(Actuals!M51)),"",Actuals!M51)</f>
        <v/>
      </c>
      <c r="AR45" s="509">
        <f>IF(OR(11&gt;$B$3,ISBLANK(Actuals!M51)),"",'Reforecast Q1 2026'!M51-Actuals!M51)</f>
        <v/>
      </c>
      <c r="AS45" s="509">
        <f>IFERROR(IF(OR(11&gt;$B$3,ISBLANK(Actuals!M51)),"",('Reforecast Q1 2026'!M51-Actuals!M51)/ABS('Reforecast Q1 2026'!M51)),"")</f>
        <v/>
      </c>
      <c r="AT45" s="508">
        <f>'Reforecast Q1 2026'!N51</f>
        <v/>
      </c>
      <c r="AU45" s="508">
        <f>IF(OR(12&gt;$B$3,ISBLANK(Actuals!N51)),"",Actuals!N51)</f>
        <v/>
      </c>
      <c r="AV45" s="509">
        <f>IF(OR(12&gt;$B$3,ISBLANK(Actuals!N51)),"",'Reforecast Q1 2026'!N51-Actuals!N51)</f>
        <v/>
      </c>
      <c r="AW45" s="509">
        <f>IFERROR(IF(OR(12&gt;$B$3,ISBLANK(Actuals!N51)),"",('Reforecast Q1 2026'!N51-Actuals!N51)/ABS('Reforecast Q1 2026'!N51)),"")</f>
        <v/>
      </c>
      <c r="AX45" s="510">
        <f>SUMPRODUCT((Actuals!C51:N51&lt;&gt;"")*('Reforecast Q1 2026'!C51:N51))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'Reforecast Q1 2026'!C52</f>
        <v/>
      </c>
      <c r="C46" s="508">
        <f>IF(OR(1&gt;$B$3,ISBLANK(Actuals!C52)),"",Actuals!C52)</f>
        <v/>
      </c>
      <c r="D46" s="509">
        <f>IF(OR(1&gt;$B$3,ISBLANK(Actuals!C52)),"",'Reforecast Q1 2026'!C52-Actuals!C52)</f>
        <v/>
      </c>
      <c r="E46" s="509">
        <f>IFERROR(IF(OR(1&gt;$B$3,ISBLANK(Actuals!C52)),"",('Reforecast Q1 2026'!C52-Actuals!C52)/ABS('Reforecast Q1 2026'!C52)),"")</f>
        <v/>
      </c>
      <c r="F46" s="508">
        <f>'Reforecast Q1 2026'!D52</f>
        <v/>
      </c>
      <c r="G46" s="508">
        <f>IF(OR(2&gt;$B$3,ISBLANK(Actuals!D52)),"",Actuals!D52)</f>
        <v/>
      </c>
      <c r="H46" s="509">
        <f>IF(OR(2&gt;$B$3,ISBLANK(Actuals!D52)),"",'Reforecast Q1 2026'!D52-Actuals!D52)</f>
        <v/>
      </c>
      <c r="I46" s="509">
        <f>IFERROR(IF(OR(2&gt;$B$3,ISBLANK(Actuals!D52)),"",('Reforecast Q1 2026'!D52-Actuals!D52)/ABS('Reforecast Q1 2026'!D52)),"")</f>
        <v/>
      </c>
      <c r="J46" s="508">
        <f>'Reforecast Q1 2026'!E52</f>
        <v/>
      </c>
      <c r="K46" s="508">
        <f>IF(OR(3&gt;$B$3,ISBLANK(Actuals!E52)),"",Actuals!E52)</f>
        <v/>
      </c>
      <c r="L46" s="509">
        <f>IF(OR(3&gt;$B$3,ISBLANK(Actuals!E52)),"",'Reforecast Q1 2026'!E52-Actuals!E52)</f>
        <v/>
      </c>
      <c r="M46" s="509">
        <f>IFERROR(IF(OR(3&gt;$B$3,ISBLANK(Actuals!E52)),"",('Reforecast Q1 2026'!E52-Actuals!E52)/ABS('Reforecast Q1 2026'!E52)),"")</f>
        <v/>
      </c>
      <c r="N46" s="508">
        <f>'Reforecast Q1 2026'!F52</f>
        <v/>
      </c>
      <c r="O46" s="508">
        <f>IF(OR(4&gt;$B$3,ISBLANK(Actuals!F52)),"",Actuals!F52)</f>
        <v/>
      </c>
      <c r="P46" s="509">
        <f>IF(OR(4&gt;$B$3,ISBLANK(Actuals!F52)),"",'Reforecast Q1 2026'!F52-Actuals!F52)</f>
        <v/>
      </c>
      <c r="Q46" s="509">
        <f>IFERROR(IF(OR(4&gt;$B$3,ISBLANK(Actuals!F52)),"",('Reforecast Q1 2026'!F52-Actuals!F52)/ABS('Reforecast Q1 2026'!F52)),"")</f>
        <v/>
      </c>
      <c r="R46" s="508">
        <f>'Reforecast Q1 2026'!G52</f>
        <v/>
      </c>
      <c r="S46" s="508">
        <f>IF(OR(5&gt;$B$3,ISBLANK(Actuals!G52)),"",Actuals!G52)</f>
        <v/>
      </c>
      <c r="T46" s="509">
        <f>IF(OR(5&gt;$B$3,ISBLANK(Actuals!G52)),"",'Reforecast Q1 2026'!G52-Actuals!G52)</f>
        <v/>
      </c>
      <c r="U46" s="509">
        <f>IFERROR(IF(OR(5&gt;$B$3,ISBLANK(Actuals!G52)),"",('Reforecast Q1 2026'!G52-Actuals!G52)/ABS('Reforecast Q1 2026'!G52)),"")</f>
        <v/>
      </c>
      <c r="V46" s="508">
        <f>'Reforecast Q1 2026'!H52</f>
        <v/>
      </c>
      <c r="W46" s="508">
        <f>IF(OR(6&gt;$B$3,ISBLANK(Actuals!H52)),"",Actuals!H52)</f>
        <v/>
      </c>
      <c r="X46" s="509">
        <f>IF(OR(6&gt;$B$3,ISBLANK(Actuals!H52)),"",'Reforecast Q1 2026'!H52-Actuals!H52)</f>
        <v/>
      </c>
      <c r="Y46" s="509">
        <f>IFERROR(IF(OR(6&gt;$B$3,ISBLANK(Actuals!H52)),"",('Reforecast Q1 2026'!H52-Actuals!H52)/ABS('Reforecast Q1 2026'!H52)),"")</f>
        <v/>
      </c>
      <c r="Z46" s="508">
        <f>'Reforecast Q1 2026'!I52</f>
        <v/>
      </c>
      <c r="AA46" s="508">
        <f>IF(OR(7&gt;$B$3,ISBLANK(Actuals!I52)),"",Actuals!I52)</f>
        <v/>
      </c>
      <c r="AB46" s="509">
        <f>IF(OR(7&gt;$B$3,ISBLANK(Actuals!I52)),"",'Reforecast Q1 2026'!I52-Actuals!I52)</f>
        <v/>
      </c>
      <c r="AC46" s="509">
        <f>IFERROR(IF(OR(7&gt;$B$3,ISBLANK(Actuals!I52)),"",('Reforecast Q1 2026'!I52-Actuals!I52)/ABS('Reforecast Q1 2026'!I52)),"")</f>
        <v/>
      </c>
      <c r="AD46" s="508">
        <f>'Reforecast Q1 2026'!J52</f>
        <v/>
      </c>
      <c r="AE46" s="508">
        <f>IF(OR(8&gt;$B$3,ISBLANK(Actuals!J52)),"",Actuals!J52)</f>
        <v/>
      </c>
      <c r="AF46" s="509">
        <f>IF(OR(8&gt;$B$3,ISBLANK(Actuals!J52)),"",'Reforecast Q1 2026'!J52-Actuals!J52)</f>
        <v/>
      </c>
      <c r="AG46" s="509">
        <f>IFERROR(IF(OR(8&gt;$B$3,ISBLANK(Actuals!J52)),"",('Reforecast Q1 2026'!J52-Actuals!J52)/ABS('Reforecast Q1 2026'!J52)),"")</f>
        <v/>
      </c>
      <c r="AH46" s="508">
        <f>'Reforecast Q1 2026'!K52</f>
        <v/>
      </c>
      <c r="AI46" s="508">
        <f>IF(OR(9&gt;$B$3,ISBLANK(Actuals!K52)),"",Actuals!K52)</f>
        <v/>
      </c>
      <c r="AJ46" s="509">
        <f>IF(OR(9&gt;$B$3,ISBLANK(Actuals!K52)),"",'Reforecast Q1 2026'!K52-Actuals!K52)</f>
        <v/>
      </c>
      <c r="AK46" s="509">
        <f>IFERROR(IF(OR(9&gt;$B$3,ISBLANK(Actuals!K52)),"",('Reforecast Q1 2026'!K52-Actuals!K52)/ABS('Reforecast Q1 2026'!K52)),"")</f>
        <v/>
      </c>
      <c r="AL46" s="508">
        <f>'Reforecast Q1 2026'!L52</f>
        <v/>
      </c>
      <c r="AM46" s="508">
        <f>IF(OR(10&gt;$B$3,ISBLANK(Actuals!L52)),"",Actuals!L52)</f>
        <v/>
      </c>
      <c r="AN46" s="509">
        <f>IF(OR(10&gt;$B$3,ISBLANK(Actuals!L52)),"",'Reforecast Q1 2026'!L52-Actuals!L52)</f>
        <v/>
      </c>
      <c r="AO46" s="509">
        <f>IFERROR(IF(OR(10&gt;$B$3,ISBLANK(Actuals!L52)),"",('Reforecast Q1 2026'!L52-Actuals!L52)/ABS('Reforecast Q1 2026'!L52)),"")</f>
        <v/>
      </c>
      <c r="AP46" s="508">
        <f>'Reforecast Q1 2026'!M52</f>
        <v/>
      </c>
      <c r="AQ46" s="508">
        <f>IF(OR(11&gt;$B$3,ISBLANK(Actuals!M52)),"",Actuals!M52)</f>
        <v/>
      </c>
      <c r="AR46" s="509">
        <f>IF(OR(11&gt;$B$3,ISBLANK(Actuals!M52)),"",'Reforecast Q1 2026'!M52-Actuals!M52)</f>
        <v/>
      </c>
      <c r="AS46" s="509">
        <f>IFERROR(IF(OR(11&gt;$B$3,ISBLANK(Actuals!M52)),"",('Reforecast Q1 2026'!M52-Actuals!M52)/ABS('Reforecast Q1 2026'!M52)),"")</f>
        <v/>
      </c>
      <c r="AT46" s="508">
        <f>'Reforecast Q1 2026'!N52</f>
        <v/>
      </c>
      <c r="AU46" s="508">
        <f>IF(OR(12&gt;$B$3,ISBLANK(Actuals!N52)),"",Actuals!N52)</f>
        <v/>
      </c>
      <c r="AV46" s="509">
        <f>IF(OR(12&gt;$B$3,ISBLANK(Actuals!N52)),"",'Reforecast Q1 2026'!N52-Actuals!N52)</f>
        <v/>
      </c>
      <c r="AW46" s="509">
        <f>IFERROR(IF(OR(12&gt;$B$3,ISBLANK(Actuals!N52)),"",('Reforecast Q1 2026'!N52-Actuals!N52)/ABS('Reforecast Q1 2026'!N52)),"")</f>
        <v/>
      </c>
      <c r="AX46" s="510">
        <f>SUMPRODUCT((Actuals!C52:N52&lt;&gt;"")*('Reforecast Q1 2026'!C52:N52))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'Reforecast Q1 2026'!C53</f>
        <v/>
      </c>
      <c r="C47" s="508">
        <f>IF(OR(1&gt;$B$3,ISBLANK(Actuals!C53)),"",Actuals!C53)</f>
        <v/>
      </c>
      <c r="D47" s="509">
        <f>IF(OR(1&gt;$B$3,ISBLANK(Actuals!C53)),"",'Reforecast Q1 2026'!C53-Actuals!C53)</f>
        <v/>
      </c>
      <c r="E47" s="509">
        <f>IFERROR(IF(OR(1&gt;$B$3,ISBLANK(Actuals!C53)),"",('Reforecast Q1 2026'!C53-Actuals!C53)/ABS('Reforecast Q1 2026'!C53)),"")</f>
        <v/>
      </c>
      <c r="F47" s="508">
        <f>'Reforecast Q1 2026'!D53</f>
        <v/>
      </c>
      <c r="G47" s="508">
        <f>IF(OR(2&gt;$B$3,ISBLANK(Actuals!D53)),"",Actuals!D53)</f>
        <v/>
      </c>
      <c r="H47" s="509">
        <f>IF(OR(2&gt;$B$3,ISBLANK(Actuals!D53)),"",'Reforecast Q1 2026'!D53-Actuals!D53)</f>
        <v/>
      </c>
      <c r="I47" s="509">
        <f>IFERROR(IF(OR(2&gt;$B$3,ISBLANK(Actuals!D53)),"",('Reforecast Q1 2026'!D53-Actuals!D53)/ABS('Reforecast Q1 2026'!D53)),"")</f>
        <v/>
      </c>
      <c r="J47" s="508">
        <f>'Reforecast Q1 2026'!E53</f>
        <v/>
      </c>
      <c r="K47" s="508">
        <f>IF(OR(3&gt;$B$3,ISBLANK(Actuals!E53)),"",Actuals!E53)</f>
        <v/>
      </c>
      <c r="L47" s="509">
        <f>IF(OR(3&gt;$B$3,ISBLANK(Actuals!E53)),"",'Reforecast Q1 2026'!E53-Actuals!E53)</f>
        <v/>
      </c>
      <c r="M47" s="509">
        <f>IFERROR(IF(OR(3&gt;$B$3,ISBLANK(Actuals!E53)),"",('Reforecast Q1 2026'!E53-Actuals!E53)/ABS('Reforecast Q1 2026'!E53)),"")</f>
        <v/>
      </c>
      <c r="N47" s="508">
        <f>'Reforecast Q1 2026'!F53</f>
        <v/>
      </c>
      <c r="O47" s="508">
        <f>IF(OR(4&gt;$B$3,ISBLANK(Actuals!F53)),"",Actuals!F53)</f>
        <v/>
      </c>
      <c r="P47" s="509">
        <f>IF(OR(4&gt;$B$3,ISBLANK(Actuals!F53)),"",'Reforecast Q1 2026'!F53-Actuals!F53)</f>
        <v/>
      </c>
      <c r="Q47" s="509">
        <f>IFERROR(IF(OR(4&gt;$B$3,ISBLANK(Actuals!F53)),"",('Reforecast Q1 2026'!F53-Actuals!F53)/ABS('Reforecast Q1 2026'!F53)),"")</f>
        <v/>
      </c>
      <c r="R47" s="508">
        <f>'Reforecast Q1 2026'!G53</f>
        <v/>
      </c>
      <c r="S47" s="508">
        <f>IF(OR(5&gt;$B$3,ISBLANK(Actuals!G53)),"",Actuals!G53)</f>
        <v/>
      </c>
      <c r="T47" s="509">
        <f>IF(OR(5&gt;$B$3,ISBLANK(Actuals!G53)),"",'Reforecast Q1 2026'!G53-Actuals!G53)</f>
        <v/>
      </c>
      <c r="U47" s="509">
        <f>IFERROR(IF(OR(5&gt;$B$3,ISBLANK(Actuals!G53)),"",('Reforecast Q1 2026'!G53-Actuals!G53)/ABS('Reforecast Q1 2026'!G53)),"")</f>
        <v/>
      </c>
      <c r="V47" s="508">
        <f>'Reforecast Q1 2026'!H53</f>
        <v/>
      </c>
      <c r="W47" s="508">
        <f>IF(OR(6&gt;$B$3,ISBLANK(Actuals!H53)),"",Actuals!H53)</f>
        <v/>
      </c>
      <c r="X47" s="509">
        <f>IF(OR(6&gt;$B$3,ISBLANK(Actuals!H53)),"",'Reforecast Q1 2026'!H53-Actuals!H53)</f>
        <v/>
      </c>
      <c r="Y47" s="509">
        <f>IFERROR(IF(OR(6&gt;$B$3,ISBLANK(Actuals!H53)),"",('Reforecast Q1 2026'!H53-Actuals!H53)/ABS('Reforecast Q1 2026'!H53)),"")</f>
        <v/>
      </c>
      <c r="Z47" s="508">
        <f>'Reforecast Q1 2026'!I53</f>
        <v/>
      </c>
      <c r="AA47" s="508">
        <f>IF(OR(7&gt;$B$3,ISBLANK(Actuals!I53)),"",Actuals!I53)</f>
        <v/>
      </c>
      <c r="AB47" s="509">
        <f>IF(OR(7&gt;$B$3,ISBLANK(Actuals!I53)),"",'Reforecast Q1 2026'!I53-Actuals!I53)</f>
        <v/>
      </c>
      <c r="AC47" s="509">
        <f>IFERROR(IF(OR(7&gt;$B$3,ISBLANK(Actuals!I53)),"",('Reforecast Q1 2026'!I53-Actuals!I53)/ABS('Reforecast Q1 2026'!I53)),"")</f>
        <v/>
      </c>
      <c r="AD47" s="508">
        <f>'Reforecast Q1 2026'!J53</f>
        <v/>
      </c>
      <c r="AE47" s="508">
        <f>IF(OR(8&gt;$B$3,ISBLANK(Actuals!J53)),"",Actuals!J53)</f>
        <v/>
      </c>
      <c r="AF47" s="509">
        <f>IF(OR(8&gt;$B$3,ISBLANK(Actuals!J53)),"",'Reforecast Q1 2026'!J53-Actuals!J53)</f>
        <v/>
      </c>
      <c r="AG47" s="509">
        <f>IFERROR(IF(OR(8&gt;$B$3,ISBLANK(Actuals!J53)),"",('Reforecast Q1 2026'!J53-Actuals!J53)/ABS('Reforecast Q1 2026'!J53)),"")</f>
        <v/>
      </c>
      <c r="AH47" s="508">
        <f>'Reforecast Q1 2026'!K53</f>
        <v/>
      </c>
      <c r="AI47" s="508">
        <f>IF(OR(9&gt;$B$3,ISBLANK(Actuals!K53)),"",Actuals!K53)</f>
        <v/>
      </c>
      <c r="AJ47" s="509">
        <f>IF(OR(9&gt;$B$3,ISBLANK(Actuals!K53)),"",'Reforecast Q1 2026'!K53-Actuals!K53)</f>
        <v/>
      </c>
      <c r="AK47" s="509">
        <f>IFERROR(IF(OR(9&gt;$B$3,ISBLANK(Actuals!K53)),"",('Reforecast Q1 2026'!K53-Actuals!K53)/ABS('Reforecast Q1 2026'!K53)),"")</f>
        <v/>
      </c>
      <c r="AL47" s="508">
        <f>'Reforecast Q1 2026'!L53</f>
        <v/>
      </c>
      <c r="AM47" s="508">
        <f>IF(OR(10&gt;$B$3,ISBLANK(Actuals!L53)),"",Actuals!L53)</f>
        <v/>
      </c>
      <c r="AN47" s="509">
        <f>IF(OR(10&gt;$B$3,ISBLANK(Actuals!L53)),"",'Reforecast Q1 2026'!L53-Actuals!L53)</f>
        <v/>
      </c>
      <c r="AO47" s="509">
        <f>IFERROR(IF(OR(10&gt;$B$3,ISBLANK(Actuals!L53)),"",('Reforecast Q1 2026'!L53-Actuals!L53)/ABS('Reforecast Q1 2026'!L53)),"")</f>
        <v/>
      </c>
      <c r="AP47" s="508">
        <f>'Reforecast Q1 2026'!M53</f>
        <v/>
      </c>
      <c r="AQ47" s="508">
        <f>IF(OR(11&gt;$B$3,ISBLANK(Actuals!M53)),"",Actuals!M53)</f>
        <v/>
      </c>
      <c r="AR47" s="509">
        <f>IF(OR(11&gt;$B$3,ISBLANK(Actuals!M53)),"",'Reforecast Q1 2026'!M53-Actuals!M53)</f>
        <v/>
      </c>
      <c r="AS47" s="509">
        <f>IFERROR(IF(OR(11&gt;$B$3,ISBLANK(Actuals!M53)),"",('Reforecast Q1 2026'!M53-Actuals!M53)/ABS('Reforecast Q1 2026'!M53)),"")</f>
        <v/>
      </c>
      <c r="AT47" s="508">
        <f>'Reforecast Q1 2026'!N53</f>
        <v/>
      </c>
      <c r="AU47" s="508">
        <f>IF(OR(12&gt;$B$3,ISBLANK(Actuals!N53)),"",Actuals!N53)</f>
        <v/>
      </c>
      <c r="AV47" s="509">
        <f>IF(OR(12&gt;$B$3,ISBLANK(Actuals!N53)),"",'Reforecast Q1 2026'!N53-Actuals!N53)</f>
        <v/>
      </c>
      <c r="AW47" s="509">
        <f>IFERROR(IF(OR(12&gt;$B$3,ISBLANK(Actuals!N53)),"",('Reforecast Q1 2026'!N53-Actuals!N53)/ABS('Reforecast Q1 2026'!N53)),"")</f>
        <v/>
      </c>
      <c r="AX47" s="510">
        <f>SUMPRODUCT((Actuals!C53:N53&lt;&gt;"")*('Reforecast Q1 2026'!C53:N53))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'Reforecast Q1 2026'!C54</f>
        <v/>
      </c>
      <c r="C48" s="508">
        <f>IF(OR(1&gt;$B$3,ISBLANK(Actuals!C54)),"",Actuals!C54)</f>
        <v/>
      </c>
      <c r="D48" s="509">
        <f>IF(OR(1&gt;$B$3,ISBLANK(Actuals!C54)),"",'Reforecast Q1 2026'!C54-Actuals!C54)</f>
        <v/>
      </c>
      <c r="E48" s="509">
        <f>IFERROR(IF(OR(1&gt;$B$3,ISBLANK(Actuals!C54)),"",('Reforecast Q1 2026'!C54-Actuals!C54)/ABS('Reforecast Q1 2026'!C54)),"")</f>
        <v/>
      </c>
      <c r="F48" s="508">
        <f>'Reforecast Q1 2026'!D54</f>
        <v/>
      </c>
      <c r="G48" s="508">
        <f>IF(OR(2&gt;$B$3,ISBLANK(Actuals!D54)),"",Actuals!D54)</f>
        <v/>
      </c>
      <c r="H48" s="509">
        <f>IF(OR(2&gt;$B$3,ISBLANK(Actuals!D54)),"",'Reforecast Q1 2026'!D54-Actuals!D54)</f>
        <v/>
      </c>
      <c r="I48" s="509">
        <f>IFERROR(IF(OR(2&gt;$B$3,ISBLANK(Actuals!D54)),"",('Reforecast Q1 2026'!D54-Actuals!D54)/ABS('Reforecast Q1 2026'!D54)),"")</f>
        <v/>
      </c>
      <c r="J48" s="508">
        <f>'Reforecast Q1 2026'!E54</f>
        <v/>
      </c>
      <c r="K48" s="508">
        <f>IF(OR(3&gt;$B$3,ISBLANK(Actuals!E54)),"",Actuals!E54)</f>
        <v/>
      </c>
      <c r="L48" s="509">
        <f>IF(OR(3&gt;$B$3,ISBLANK(Actuals!E54)),"",'Reforecast Q1 2026'!E54-Actuals!E54)</f>
        <v/>
      </c>
      <c r="M48" s="509">
        <f>IFERROR(IF(OR(3&gt;$B$3,ISBLANK(Actuals!E54)),"",('Reforecast Q1 2026'!E54-Actuals!E54)/ABS('Reforecast Q1 2026'!E54)),"")</f>
        <v/>
      </c>
      <c r="N48" s="508">
        <f>'Reforecast Q1 2026'!F54</f>
        <v/>
      </c>
      <c r="O48" s="508">
        <f>IF(OR(4&gt;$B$3,ISBLANK(Actuals!F54)),"",Actuals!F54)</f>
        <v/>
      </c>
      <c r="P48" s="509">
        <f>IF(OR(4&gt;$B$3,ISBLANK(Actuals!F54)),"",'Reforecast Q1 2026'!F54-Actuals!F54)</f>
        <v/>
      </c>
      <c r="Q48" s="509">
        <f>IFERROR(IF(OR(4&gt;$B$3,ISBLANK(Actuals!F54)),"",('Reforecast Q1 2026'!F54-Actuals!F54)/ABS('Reforecast Q1 2026'!F54)),"")</f>
        <v/>
      </c>
      <c r="R48" s="508">
        <f>'Reforecast Q1 2026'!G54</f>
        <v/>
      </c>
      <c r="S48" s="508">
        <f>IF(OR(5&gt;$B$3,ISBLANK(Actuals!G54)),"",Actuals!G54)</f>
        <v/>
      </c>
      <c r="T48" s="509">
        <f>IF(OR(5&gt;$B$3,ISBLANK(Actuals!G54)),"",'Reforecast Q1 2026'!G54-Actuals!G54)</f>
        <v/>
      </c>
      <c r="U48" s="509">
        <f>IFERROR(IF(OR(5&gt;$B$3,ISBLANK(Actuals!G54)),"",('Reforecast Q1 2026'!G54-Actuals!G54)/ABS('Reforecast Q1 2026'!G54)),"")</f>
        <v/>
      </c>
      <c r="V48" s="508">
        <f>'Reforecast Q1 2026'!H54</f>
        <v/>
      </c>
      <c r="W48" s="508">
        <f>IF(OR(6&gt;$B$3,ISBLANK(Actuals!H54)),"",Actuals!H54)</f>
        <v/>
      </c>
      <c r="X48" s="509">
        <f>IF(OR(6&gt;$B$3,ISBLANK(Actuals!H54)),"",'Reforecast Q1 2026'!H54-Actuals!H54)</f>
        <v/>
      </c>
      <c r="Y48" s="509">
        <f>IFERROR(IF(OR(6&gt;$B$3,ISBLANK(Actuals!H54)),"",('Reforecast Q1 2026'!H54-Actuals!H54)/ABS('Reforecast Q1 2026'!H54)),"")</f>
        <v/>
      </c>
      <c r="Z48" s="508">
        <f>'Reforecast Q1 2026'!I54</f>
        <v/>
      </c>
      <c r="AA48" s="508">
        <f>IF(OR(7&gt;$B$3,ISBLANK(Actuals!I54)),"",Actuals!I54)</f>
        <v/>
      </c>
      <c r="AB48" s="509">
        <f>IF(OR(7&gt;$B$3,ISBLANK(Actuals!I54)),"",'Reforecast Q1 2026'!I54-Actuals!I54)</f>
        <v/>
      </c>
      <c r="AC48" s="509">
        <f>IFERROR(IF(OR(7&gt;$B$3,ISBLANK(Actuals!I54)),"",('Reforecast Q1 2026'!I54-Actuals!I54)/ABS('Reforecast Q1 2026'!I54)),"")</f>
        <v/>
      </c>
      <c r="AD48" s="508">
        <f>'Reforecast Q1 2026'!J54</f>
        <v/>
      </c>
      <c r="AE48" s="508">
        <f>IF(OR(8&gt;$B$3,ISBLANK(Actuals!J54)),"",Actuals!J54)</f>
        <v/>
      </c>
      <c r="AF48" s="509">
        <f>IF(OR(8&gt;$B$3,ISBLANK(Actuals!J54)),"",'Reforecast Q1 2026'!J54-Actuals!J54)</f>
        <v/>
      </c>
      <c r="AG48" s="509">
        <f>IFERROR(IF(OR(8&gt;$B$3,ISBLANK(Actuals!J54)),"",('Reforecast Q1 2026'!J54-Actuals!J54)/ABS('Reforecast Q1 2026'!J54)),"")</f>
        <v/>
      </c>
      <c r="AH48" s="508">
        <f>'Reforecast Q1 2026'!K54</f>
        <v/>
      </c>
      <c r="AI48" s="508">
        <f>IF(OR(9&gt;$B$3,ISBLANK(Actuals!K54)),"",Actuals!K54)</f>
        <v/>
      </c>
      <c r="AJ48" s="509">
        <f>IF(OR(9&gt;$B$3,ISBLANK(Actuals!K54)),"",'Reforecast Q1 2026'!K54-Actuals!K54)</f>
        <v/>
      </c>
      <c r="AK48" s="509">
        <f>IFERROR(IF(OR(9&gt;$B$3,ISBLANK(Actuals!K54)),"",('Reforecast Q1 2026'!K54-Actuals!K54)/ABS('Reforecast Q1 2026'!K54)),"")</f>
        <v/>
      </c>
      <c r="AL48" s="508">
        <f>'Reforecast Q1 2026'!L54</f>
        <v/>
      </c>
      <c r="AM48" s="508">
        <f>IF(OR(10&gt;$B$3,ISBLANK(Actuals!L54)),"",Actuals!L54)</f>
        <v/>
      </c>
      <c r="AN48" s="509">
        <f>IF(OR(10&gt;$B$3,ISBLANK(Actuals!L54)),"",'Reforecast Q1 2026'!L54-Actuals!L54)</f>
        <v/>
      </c>
      <c r="AO48" s="509">
        <f>IFERROR(IF(OR(10&gt;$B$3,ISBLANK(Actuals!L54)),"",('Reforecast Q1 2026'!L54-Actuals!L54)/ABS('Reforecast Q1 2026'!L54)),"")</f>
        <v/>
      </c>
      <c r="AP48" s="508">
        <f>'Reforecast Q1 2026'!M54</f>
        <v/>
      </c>
      <c r="AQ48" s="508">
        <f>IF(OR(11&gt;$B$3,ISBLANK(Actuals!M54)),"",Actuals!M54)</f>
        <v/>
      </c>
      <c r="AR48" s="509">
        <f>IF(OR(11&gt;$B$3,ISBLANK(Actuals!M54)),"",'Reforecast Q1 2026'!M54-Actuals!M54)</f>
        <v/>
      </c>
      <c r="AS48" s="509">
        <f>IFERROR(IF(OR(11&gt;$B$3,ISBLANK(Actuals!M54)),"",('Reforecast Q1 2026'!M54-Actuals!M54)/ABS('Reforecast Q1 2026'!M54)),"")</f>
        <v/>
      </c>
      <c r="AT48" s="508">
        <f>'Reforecast Q1 2026'!N54</f>
        <v/>
      </c>
      <c r="AU48" s="508">
        <f>IF(OR(12&gt;$B$3,ISBLANK(Actuals!N54)),"",Actuals!N54)</f>
        <v/>
      </c>
      <c r="AV48" s="509">
        <f>IF(OR(12&gt;$B$3,ISBLANK(Actuals!N54)),"",'Reforecast Q1 2026'!N54-Actuals!N54)</f>
        <v/>
      </c>
      <c r="AW48" s="509">
        <f>IFERROR(IF(OR(12&gt;$B$3,ISBLANK(Actuals!N54)),"",('Reforecast Q1 2026'!N54-Actuals!N54)/ABS('Reforecast Q1 2026'!N54)),"")</f>
        <v/>
      </c>
      <c r="AX48" s="510">
        <f>SUMPRODUCT((Actuals!C54:N54&lt;&gt;"")*('Reforecast Q1 2026'!C54:N54))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'Reforecast Q1 2026'!C64</f>
        <v/>
      </c>
      <c r="C49" s="508">
        <f>IF(OR(1&gt;$B$3,ISBLANK(Actuals!C64)),"",Actuals!C64)</f>
        <v/>
      </c>
      <c r="D49" s="509">
        <f>IF(OR(1&gt;$B$3,ISBLANK(Actuals!C64)),"",'Reforecast Q1 2026'!C64-Actuals!C64)</f>
        <v/>
      </c>
      <c r="E49" s="509">
        <f>IFERROR(IF(OR(1&gt;$B$3,ISBLANK(Actuals!C64)),"",('Reforecast Q1 2026'!C64-Actuals!C64)/ABS('Reforecast Q1 2026'!C64)),"")</f>
        <v/>
      </c>
      <c r="F49" s="508">
        <f>'Reforecast Q1 2026'!D64</f>
        <v/>
      </c>
      <c r="G49" s="508">
        <f>IF(OR(2&gt;$B$3,ISBLANK(Actuals!D64)),"",Actuals!D64)</f>
        <v/>
      </c>
      <c r="H49" s="509">
        <f>IF(OR(2&gt;$B$3,ISBLANK(Actuals!D64)),"",'Reforecast Q1 2026'!D64-Actuals!D64)</f>
        <v/>
      </c>
      <c r="I49" s="509">
        <f>IFERROR(IF(OR(2&gt;$B$3,ISBLANK(Actuals!D64)),"",('Reforecast Q1 2026'!D64-Actuals!D64)/ABS('Reforecast Q1 2026'!D64)),"")</f>
        <v/>
      </c>
      <c r="J49" s="508">
        <f>'Reforecast Q1 2026'!E64</f>
        <v/>
      </c>
      <c r="K49" s="508">
        <f>IF(OR(3&gt;$B$3,ISBLANK(Actuals!E64)),"",Actuals!E64)</f>
        <v/>
      </c>
      <c r="L49" s="509">
        <f>IF(OR(3&gt;$B$3,ISBLANK(Actuals!E64)),"",'Reforecast Q1 2026'!E64-Actuals!E64)</f>
        <v/>
      </c>
      <c r="M49" s="509">
        <f>IFERROR(IF(OR(3&gt;$B$3,ISBLANK(Actuals!E64)),"",('Reforecast Q1 2026'!E64-Actuals!E64)/ABS('Reforecast Q1 2026'!E64)),"")</f>
        <v/>
      </c>
      <c r="N49" s="508">
        <f>'Reforecast Q1 2026'!F64</f>
        <v/>
      </c>
      <c r="O49" s="508">
        <f>IF(OR(4&gt;$B$3,ISBLANK(Actuals!F64)),"",Actuals!F64)</f>
        <v/>
      </c>
      <c r="P49" s="509">
        <f>IF(OR(4&gt;$B$3,ISBLANK(Actuals!F64)),"",'Reforecast Q1 2026'!F64-Actuals!F64)</f>
        <v/>
      </c>
      <c r="Q49" s="509">
        <f>IFERROR(IF(OR(4&gt;$B$3,ISBLANK(Actuals!F64)),"",('Reforecast Q1 2026'!F64-Actuals!F64)/ABS('Reforecast Q1 2026'!F64)),"")</f>
        <v/>
      </c>
      <c r="R49" s="508">
        <f>'Reforecast Q1 2026'!G64</f>
        <v/>
      </c>
      <c r="S49" s="508">
        <f>IF(OR(5&gt;$B$3,ISBLANK(Actuals!G64)),"",Actuals!G64)</f>
        <v/>
      </c>
      <c r="T49" s="509">
        <f>IF(OR(5&gt;$B$3,ISBLANK(Actuals!G64)),"",'Reforecast Q1 2026'!G64-Actuals!G64)</f>
        <v/>
      </c>
      <c r="U49" s="509">
        <f>IFERROR(IF(OR(5&gt;$B$3,ISBLANK(Actuals!G64)),"",('Reforecast Q1 2026'!G64-Actuals!G64)/ABS('Reforecast Q1 2026'!G64)),"")</f>
        <v/>
      </c>
      <c r="V49" s="508">
        <f>'Reforecast Q1 2026'!H64</f>
        <v/>
      </c>
      <c r="W49" s="508">
        <f>IF(OR(6&gt;$B$3,ISBLANK(Actuals!H64)),"",Actuals!H64)</f>
        <v/>
      </c>
      <c r="X49" s="509">
        <f>IF(OR(6&gt;$B$3,ISBLANK(Actuals!H64)),"",'Reforecast Q1 2026'!H64-Actuals!H64)</f>
        <v/>
      </c>
      <c r="Y49" s="509">
        <f>IFERROR(IF(OR(6&gt;$B$3,ISBLANK(Actuals!H64)),"",('Reforecast Q1 2026'!H64-Actuals!H64)/ABS('Reforecast Q1 2026'!H64)),"")</f>
        <v/>
      </c>
      <c r="Z49" s="508">
        <f>'Reforecast Q1 2026'!I64</f>
        <v/>
      </c>
      <c r="AA49" s="508">
        <f>IF(OR(7&gt;$B$3,ISBLANK(Actuals!I64)),"",Actuals!I64)</f>
        <v/>
      </c>
      <c r="AB49" s="509">
        <f>IF(OR(7&gt;$B$3,ISBLANK(Actuals!I64)),"",'Reforecast Q1 2026'!I64-Actuals!I64)</f>
        <v/>
      </c>
      <c r="AC49" s="509">
        <f>IFERROR(IF(OR(7&gt;$B$3,ISBLANK(Actuals!I64)),"",('Reforecast Q1 2026'!I64-Actuals!I64)/ABS('Reforecast Q1 2026'!I64)),"")</f>
        <v/>
      </c>
      <c r="AD49" s="508">
        <f>'Reforecast Q1 2026'!J64</f>
        <v/>
      </c>
      <c r="AE49" s="508">
        <f>IF(OR(8&gt;$B$3,ISBLANK(Actuals!J64)),"",Actuals!J64)</f>
        <v/>
      </c>
      <c r="AF49" s="509">
        <f>IF(OR(8&gt;$B$3,ISBLANK(Actuals!J64)),"",'Reforecast Q1 2026'!J64-Actuals!J64)</f>
        <v/>
      </c>
      <c r="AG49" s="509">
        <f>IFERROR(IF(OR(8&gt;$B$3,ISBLANK(Actuals!J64)),"",('Reforecast Q1 2026'!J64-Actuals!J64)/ABS('Reforecast Q1 2026'!J64)),"")</f>
        <v/>
      </c>
      <c r="AH49" s="508">
        <f>'Reforecast Q1 2026'!K64</f>
        <v/>
      </c>
      <c r="AI49" s="508">
        <f>IF(OR(9&gt;$B$3,ISBLANK(Actuals!K64)),"",Actuals!K64)</f>
        <v/>
      </c>
      <c r="AJ49" s="509">
        <f>IF(OR(9&gt;$B$3,ISBLANK(Actuals!K64)),"",'Reforecast Q1 2026'!K64-Actuals!K64)</f>
        <v/>
      </c>
      <c r="AK49" s="509">
        <f>IFERROR(IF(OR(9&gt;$B$3,ISBLANK(Actuals!K64)),"",('Reforecast Q1 2026'!K64-Actuals!K64)/ABS('Reforecast Q1 2026'!K64)),"")</f>
        <v/>
      </c>
      <c r="AL49" s="508">
        <f>'Reforecast Q1 2026'!L64</f>
        <v/>
      </c>
      <c r="AM49" s="508">
        <f>IF(OR(10&gt;$B$3,ISBLANK(Actuals!L64)),"",Actuals!L64)</f>
        <v/>
      </c>
      <c r="AN49" s="509">
        <f>IF(OR(10&gt;$B$3,ISBLANK(Actuals!L64)),"",'Reforecast Q1 2026'!L64-Actuals!L64)</f>
        <v/>
      </c>
      <c r="AO49" s="509">
        <f>IFERROR(IF(OR(10&gt;$B$3,ISBLANK(Actuals!L64)),"",('Reforecast Q1 2026'!L64-Actuals!L64)/ABS('Reforecast Q1 2026'!L64)),"")</f>
        <v/>
      </c>
      <c r="AP49" s="508">
        <f>'Reforecast Q1 2026'!M64</f>
        <v/>
      </c>
      <c r="AQ49" s="508">
        <f>IF(OR(11&gt;$B$3,ISBLANK(Actuals!M64)),"",Actuals!M64)</f>
        <v/>
      </c>
      <c r="AR49" s="509">
        <f>IF(OR(11&gt;$B$3,ISBLANK(Actuals!M64)),"",'Reforecast Q1 2026'!M64-Actuals!M64)</f>
        <v/>
      </c>
      <c r="AS49" s="509">
        <f>IFERROR(IF(OR(11&gt;$B$3,ISBLANK(Actuals!M64)),"",('Reforecast Q1 2026'!M64-Actuals!M64)/ABS('Reforecast Q1 2026'!M64)),"")</f>
        <v/>
      </c>
      <c r="AT49" s="508">
        <f>'Reforecast Q1 2026'!N64</f>
        <v/>
      </c>
      <c r="AU49" s="508">
        <f>IF(OR(12&gt;$B$3,ISBLANK(Actuals!N64)),"",Actuals!N64)</f>
        <v/>
      </c>
      <c r="AV49" s="509">
        <f>IF(OR(12&gt;$B$3,ISBLANK(Actuals!N64)),"",'Reforecast Q1 2026'!N64-Actuals!N64)</f>
        <v/>
      </c>
      <c r="AW49" s="509">
        <f>IFERROR(IF(OR(12&gt;$B$3,ISBLANK(Actuals!N64)),"",('Reforecast Q1 2026'!N64-Actuals!N64)/ABS('Reforecast Q1 2026'!N64)),"")</f>
        <v/>
      </c>
      <c r="AX49" s="510">
        <f>SUMPRODUCT((Actuals!C64:N64&lt;&gt;"")*('Reforecast Q1 2026'!C64:N64))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'Reforecast Q1 2026'!C65</f>
        <v/>
      </c>
      <c r="C50" s="508">
        <f>IF(OR(1&gt;$B$3,ISBLANK(Actuals!C65)),"",Actuals!C65)</f>
        <v/>
      </c>
      <c r="D50" s="509">
        <f>IF(OR(1&gt;$B$3,ISBLANK(Actuals!C65)),"",'Reforecast Q1 2026'!C65-Actuals!C65)</f>
        <v/>
      </c>
      <c r="E50" s="509">
        <f>IFERROR(IF(OR(1&gt;$B$3,ISBLANK(Actuals!C65)),"",('Reforecast Q1 2026'!C65-Actuals!C65)/ABS('Reforecast Q1 2026'!C65)),"")</f>
        <v/>
      </c>
      <c r="F50" s="508">
        <f>'Reforecast Q1 2026'!D65</f>
        <v/>
      </c>
      <c r="G50" s="508">
        <f>IF(OR(2&gt;$B$3,ISBLANK(Actuals!D65)),"",Actuals!D65)</f>
        <v/>
      </c>
      <c r="H50" s="509">
        <f>IF(OR(2&gt;$B$3,ISBLANK(Actuals!D65)),"",'Reforecast Q1 2026'!D65-Actuals!D65)</f>
        <v/>
      </c>
      <c r="I50" s="509">
        <f>IFERROR(IF(OR(2&gt;$B$3,ISBLANK(Actuals!D65)),"",('Reforecast Q1 2026'!D65-Actuals!D65)/ABS('Reforecast Q1 2026'!D65)),"")</f>
        <v/>
      </c>
      <c r="J50" s="508">
        <f>'Reforecast Q1 2026'!E65</f>
        <v/>
      </c>
      <c r="K50" s="508">
        <f>IF(OR(3&gt;$B$3,ISBLANK(Actuals!E65)),"",Actuals!E65)</f>
        <v/>
      </c>
      <c r="L50" s="509">
        <f>IF(OR(3&gt;$B$3,ISBLANK(Actuals!E65)),"",'Reforecast Q1 2026'!E65-Actuals!E65)</f>
        <v/>
      </c>
      <c r="M50" s="509">
        <f>IFERROR(IF(OR(3&gt;$B$3,ISBLANK(Actuals!E65)),"",('Reforecast Q1 2026'!E65-Actuals!E65)/ABS('Reforecast Q1 2026'!E65)),"")</f>
        <v/>
      </c>
      <c r="N50" s="508">
        <f>'Reforecast Q1 2026'!F65</f>
        <v/>
      </c>
      <c r="O50" s="508">
        <f>IF(OR(4&gt;$B$3,ISBLANK(Actuals!F65)),"",Actuals!F65)</f>
        <v/>
      </c>
      <c r="P50" s="509">
        <f>IF(OR(4&gt;$B$3,ISBLANK(Actuals!F65)),"",'Reforecast Q1 2026'!F65-Actuals!F65)</f>
        <v/>
      </c>
      <c r="Q50" s="509">
        <f>IFERROR(IF(OR(4&gt;$B$3,ISBLANK(Actuals!F65)),"",('Reforecast Q1 2026'!F65-Actuals!F65)/ABS('Reforecast Q1 2026'!F65)),"")</f>
        <v/>
      </c>
      <c r="R50" s="508">
        <f>'Reforecast Q1 2026'!G65</f>
        <v/>
      </c>
      <c r="S50" s="508">
        <f>IF(OR(5&gt;$B$3,ISBLANK(Actuals!G65)),"",Actuals!G65)</f>
        <v/>
      </c>
      <c r="T50" s="509">
        <f>IF(OR(5&gt;$B$3,ISBLANK(Actuals!G65)),"",'Reforecast Q1 2026'!G65-Actuals!G65)</f>
        <v/>
      </c>
      <c r="U50" s="509">
        <f>IFERROR(IF(OR(5&gt;$B$3,ISBLANK(Actuals!G65)),"",('Reforecast Q1 2026'!G65-Actuals!G65)/ABS('Reforecast Q1 2026'!G65)),"")</f>
        <v/>
      </c>
      <c r="V50" s="508">
        <f>'Reforecast Q1 2026'!H65</f>
        <v/>
      </c>
      <c r="W50" s="508">
        <f>IF(OR(6&gt;$B$3,ISBLANK(Actuals!H65)),"",Actuals!H65)</f>
        <v/>
      </c>
      <c r="X50" s="509">
        <f>IF(OR(6&gt;$B$3,ISBLANK(Actuals!H65)),"",'Reforecast Q1 2026'!H65-Actuals!H65)</f>
        <v/>
      </c>
      <c r="Y50" s="509">
        <f>IFERROR(IF(OR(6&gt;$B$3,ISBLANK(Actuals!H65)),"",('Reforecast Q1 2026'!H65-Actuals!H65)/ABS('Reforecast Q1 2026'!H65)),"")</f>
        <v/>
      </c>
      <c r="Z50" s="508">
        <f>'Reforecast Q1 2026'!I65</f>
        <v/>
      </c>
      <c r="AA50" s="508">
        <f>IF(OR(7&gt;$B$3,ISBLANK(Actuals!I65)),"",Actuals!I65)</f>
        <v/>
      </c>
      <c r="AB50" s="509">
        <f>IF(OR(7&gt;$B$3,ISBLANK(Actuals!I65)),"",'Reforecast Q1 2026'!I65-Actuals!I65)</f>
        <v/>
      </c>
      <c r="AC50" s="509">
        <f>IFERROR(IF(OR(7&gt;$B$3,ISBLANK(Actuals!I65)),"",('Reforecast Q1 2026'!I65-Actuals!I65)/ABS('Reforecast Q1 2026'!I65)),"")</f>
        <v/>
      </c>
      <c r="AD50" s="508">
        <f>'Reforecast Q1 2026'!J65</f>
        <v/>
      </c>
      <c r="AE50" s="508">
        <f>IF(OR(8&gt;$B$3,ISBLANK(Actuals!J65)),"",Actuals!J65)</f>
        <v/>
      </c>
      <c r="AF50" s="509">
        <f>IF(OR(8&gt;$B$3,ISBLANK(Actuals!J65)),"",'Reforecast Q1 2026'!J65-Actuals!J65)</f>
        <v/>
      </c>
      <c r="AG50" s="509">
        <f>IFERROR(IF(OR(8&gt;$B$3,ISBLANK(Actuals!J65)),"",('Reforecast Q1 2026'!J65-Actuals!J65)/ABS('Reforecast Q1 2026'!J65)),"")</f>
        <v/>
      </c>
      <c r="AH50" s="508">
        <f>'Reforecast Q1 2026'!K65</f>
        <v/>
      </c>
      <c r="AI50" s="508">
        <f>IF(OR(9&gt;$B$3,ISBLANK(Actuals!K65)),"",Actuals!K65)</f>
        <v/>
      </c>
      <c r="AJ50" s="509">
        <f>IF(OR(9&gt;$B$3,ISBLANK(Actuals!K65)),"",'Reforecast Q1 2026'!K65-Actuals!K65)</f>
        <v/>
      </c>
      <c r="AK50" s="509">
        <f>IFERROR(IF(OR(9&gt;$B$3,ISBLANK(Actuals!K65)),"",('Reforecast Q1 2026'!K65-Actuals!K65)/ABS('Reforecast Q1 2026'!K65)),"")</f>
        <v/>
      </c>
      <c r="AL50" s="508">
        <f>'Reforecast Q1 2026'!L65</f>
        <v/>
      </c>
      <c r="AM50" s="508">
        <f>IF(OR(10&gt;$B$3,ISBLANK(Actuals!L65)),"",Actuals!L65)</f>
        <v/>
      </c>
      <c r="AN50" s="509">
        <f>IF(OR(10&gt;$B$3,ISBLANK(Actuals!L65)),"",'Reforecast Q1 2026'!L65-Actuals!L65)</f>
        <v/>
      </c>
      <c r="AO50" s="509">
        <f>IFERROR(IF(OR(10&gt;$B$3,ISBLANK(Actuals!L65)),"",('Reforecast Q1 2026'!L65-Actuals!L65)/ABS('Reforecast Q1 2026'!L65)),"")</f>
        <v/>
      </c>
      <c r="AP50" s="508">
        <f>'Reforecast Q1 2026'!M65</f>
        <v/>
      </c>
      <c r="AQ50" s="508">
        <f>IF(OR(11&gt;$B$3,ISBLANK(Actuals!M65)),"",Actuals!M65)</f>
        <v/>
      </c>
      <c r="AR50" s="509">
        <f>IF(OR(11&gt;$B$3,ISBLANK(Actuals!M65)),"",'Reforecast Q1 2026'!M65-Actuals!M65)</f>
        <v/>
      </c>
      <c r="AS50" s="509">
        <f>IFERROR(IF(OR(11&gt;$B$3,ISBLANK(Actuals!M65)),"",('Reforecast Q1 2026'!M65-Actuals!M65)/ABS('Reforecast Q1 2026'!M65)),"")</f>
        <v/>
      </c>
      <c r="AT50" s="508">
        <f>'Reforecast Q1 2026'!N65</f>
        <v/>
      </c>
      <c r="AU50" s="508">
        <f>IF(OR(12&gt;$B$3,ISBLANK(Actuals!N65)),"",Actuals!N65)</f>
        <v/>
      </c>
      <c r="AV50" s="509">
        <f>IF(OR(12&gt;$B$3,ISBLANK(Actuals!N65)),"",'Reforecast Q1 2026'!N65-Actuals!N65)</f>
        <v/>
      </c>
      <c r="AW50" s="509">
        <f>IFERROR(IF(OR(12&gt;$B$3,ISBLANK(Actuals!N65)),"",('Reforecast Q1 2026'!N65-Actuals!N65)/ABS('Reforecast Q1 2026'!N65)),"")</f>
        <v/>
      </c>
      <c r="AX50" s="510">
        <f>SUMPRODUCT((Actuals!C65:N65&lt;&gt;"")*('Reforecast Q1 2026'!C65:N65))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'Reforecast Q1 2026'!C66</f>
        <v/>
      </c>
      <c r="C51" s="508">
        <f>IF(OR(1&gt;$B$3,ISBLANK(Actuals!C66)),"",Actuals!C66)</f>
        <v/>
      </c>
      <c r="D51" s="509">
        <f>IF(OR(1&gt;$B$3,ISBLANK(Actuals!C66)),"",'Reforecast Q1 2026'!C66-Actuals!C66)</f>
        <v/>
      </c>
      <c r="E51" s="509">
        <f>IFERROR(IF(OR(1&gt;$B$3,ISBLANK(Actuals!C66)),"",('Reforecast Q1 2026'!C66-Actuals!C66)/ABS('Reforecast Q1 2026'!C66)),"")</f>
        <v/>
      </c>
      <c r="F51" s="508">
        <f>'Reforecast Q1 2026'!D66</f>
        <v/>
      </c>
      <c r="G51" s="508">
        <f>IF(OR(2&gt;$B$3,ISBLANK(Actuals!D66)),"",Actuals!D66)</f>
        <v/>
      </c>
      <c r="H51" s="509">
        <f>IF(OR(2&gt;$B$3,ISBLANK(Actuals!D66)),"",'Reforecast Q1 2026'!D66-Actuals!D66)</f>
        <v/>
      </c>
      <c r="I51" s="509">
        <f>IFERROR(IF(OR(2&gt;$B$3,ISBLANK(Actuals!D66)),"",('Reforecast Q1 2026'!D66-Actuals!D66)/ABS('Reforecast Q1 2026'!D66)),"")</f>
        <v/>
      </c>
      <c r="J51" s="508">
        <f>'Reforecast Q1 2026'!E66</f>
        <v/>
      </c>
      <c r="K51" s="508">
        <f>IF(OR(3&gt;$B$3,ISBLANK(Actuals!E66)),"",Actuals!E66)</f>
        <v/>
      </c>
      <c r="L51" s="509">
        <f>IF(OR(3&gt;$B$3,ISBLANK(Actuals!E66)),"",'Reforecast Q1 2026'!E66-Actuals!E66)</f>
        <v/>
      </c>
      <c r="M51" s="509">
        <f>IFERROR(IF(OR(3&gt;$B$3,ISBLANK(Actuals!E66)),"",('Reforecast Q1 2026'!E66-Actuals!E66)/ABS('Reforecast Q1 2026'!E66)),"")</f>
        <v/>
      </c>
      <c r="N51" s="508">
        <f>'Reforecast Q1 2026'!F66</f>
        <v/>
      </c>
      <c r="O51" s="508">
        <f>IF(OR(4&gt;$B$3,ISBLANK(Actuals!F66)),"",Actuals!F66)</f>
        <v/>
      </c>
      <c r="P51" s="509">
        <f>IF(OR(4&gt;$B$3,ISBLANK(Actuals!F66)),"",'Reforecast Q1 2026'!F66-Actuals!F66)</f>
        <v/>
      </c>
      <c r="Q51" s="509">
        <f>IFERROR(IF(OR(4&gt;$B$3,ISBLANK(Actuals!F66)),"",('Reforecast Q1 2026'!F66-Actuals!F66)/ABS('Reforecast Q1 2026'!F66)),"")</f>
        <v/>
      </c>
      <c r="R51" s="508">
        <f>'Reforecast Q1 2026'!G66</f>
        <v/>
      </c>
      <c r="S51" s="508">
        <f>IF(OR(5&gt;$B$3,ISBLANK(Actuals!G66)),"",Actuals!G66)</f>
        <v/>
      </c>
      <c r="T51" s="509">
        <f>IF(OR(5&gt;$B$3,ISBLANK(Actuals!G66)),"",'Reforecast Q1 2026'!G66-Actuals!G66)</f>
        <v/>
      </c>
      <c r="U51" s="509">
        <f>IFERROR(IF(OR(5&gt;$B$3,ISBLANK(Actuals!G66)),"",('Reforecast Q1 2026'!G66-Actuals!G66)/ABS('Reforecast Q1 2026'!G66)),"")</f>
        <v/>
      </c>
      <c r="V51" s="508">
        <f>'Reforecast Q1 2026'!H66</f>
        <v/>
      </c>
      <c r="W51" s="508">
        <f>IF(OR(6&gt;$B$3,ISBLANK(Actuals!H66)),"",Actuals!H66)</f>
        <v/>
      </c>
      <c r="X51" s="509">
        <f>IF(OR(6&gt;$B$3,ISBLANK(Actuals!H66)),"",'Reforecast Q1 2026'!H66-Actuals!H66)</f>
        <v/>
      </c>
      <c r="Y51" s="509">
        <f>IFERROR(IF(OR(6&gt;$B$3,ISBLANK(Actuals!H66)),"",('Reforecast Q1 2026'!H66-Actuals!H66)/ABS('Reforecast Q1 2026'!H66)),"")</f>
        <v/>
      </c>
      <c r="Z51" s="508">
        <f>'Reforecast Q1 2026'!I66</f>
        <v/>
      </c>
      <c r="AA51" s="508">
        <f>IF(OR(7&gt;$B$3,ISBLANK(Actuals!I66)),"",Actuals!I66)</f>
        <v/>
      </c>
      <c r="AB51" s="509">
        <f>IF(OR(7&gt;$B$3,ISBLANK(Actuals!I66)),"",'Reforecast Q1 2026'!I66-Actuals!I66)</f>
        <v/>
      </c>
      <c r="AC51" s="509">
        <f>IFERROR(IF(OR(7&gt;$B$3,ISBLANK(Actuals!I66)),"",('Reforecast Q1 2026'!I66-Actuals!I66)/ABS('Reforecast Q1 2026'!I66)),"")</f>
        <v/>
      </c>
      <c r="AD51" s="508">
        <f>'Reforecast Q1 2026'!J66</f>
        <v/>
      </c>
      <c r="AE51" s="508">
        <f>IF(OR(8&gt;$B$3,ISBLANK(Actuals!J66)),"",Actuals!J66)</f>
        <v/>
      </c>
      <c r="AF51" s="509">
        <f>IF(OR(8&gt;$B$3,ISBLANK(Actuals!J66)),"",'Reforecast Q1 2026'!J66-Actuals!J66)</f>
        <v/>
      </c>
      <c r="AG51" s="509">
        <f>IFERROR(IF(OR(8&gt;$B$3,ISBLANK(Actuals!J66)),"",('Reforecast Q1 2026'!J66-Actuals!J66)/ABS('Reforecast Q1 2026'!J66)),"")</f>
        <v/>
      </c>
      <c r="AH51" s="508">
        <f>'Reforecast Q1 2026'!K66</f>
        <v/>
      </c>
      <c r="AI51" s="508">
        <f>IF(OR(9&gt;$B$3,ISBLANK(Actuals!K66)),"",Actuals!K66)</f>
        <v/>
      </c>
      <c r="AJ51" s="509">
        <f>IF(OR(9&gt;$B$3,ISBLANK(Actuals!K66)),"",'Reforecast Q1 2026'!K66-Actuals!K66)</f>
        <v/>
      </c>
      <c r="AK51" s="509">
        <f>IFERROR(IF(OR(9&gt;$B$3,ISBLANK(Actuals!K66)),"",('Reforecast Q1 2026'!K66-Actuals!K66)/ABS('Reforecast Q1 2026'!K66)),"")</f>
        <v/>
      </c>
      <c r="AL51" s="508">
        <f>'Reforecast Q1 2026'!L66</f>
        <v/>
      </c>
      <c r="AM51" s="508">
        <f>IF(OR(10&gt;$B$3,ISBLANK(Actuals!L66)),"",Actuals!L66)</f>
        <v/>
      </c>
      <c r="AN51" s="509">
        <f>IF(OR(10&gt;$B$3,ISBLANK(Actuals!L66)),"",'Reforecast Q1 2026'!L66-Actuals!L66)</f>
        <v/>
      </c>
      <c r="AO51" s="509">
        <f>IFERROR(IF(OR(10&gt;$B$3,ISBLANK(Actuals!L66)),"",('Reforecast Q1 2026'!L66-Actuals!L66)/ABS('Reforecast Q1 2026'!L66)),"")</f>
        <v/>
      </c>
      <c r="AP51" s="508">
        <f>'Reforecast Q1 2026'!M66</f>
        <v/>
      </c>
      <c r="AQ51" s="508">
        <f>IF(OR(11&gt;$B$3,ISBLANK(Actuals!M66)),"",Actuals!M66)</f>
        <v/>
      </c>
      <c r="AR51" s="509">
        <f>IF(OR(11&gt;$B$3,ISBLANK(Actuals!M66)),"",'Reforecast Q1 2026'!M66-Actuals!M66)</f>
        <v/>
      </c>
      <c r="AS51" s="509">
        <f>IFERROR(IF(OR(11&gt;$B$3,ISBLANK(Actuals!M66)),"",('Reforecast Q1 2026'!M66-Actuals!M66)/ABS('Reforecast Q1 2026'!M66)),"")</f>
        <v/>
      </c>
      <c r="AT51" s="508">
        <f>'Reforecast Q1 2026'!N66</f>
        <v/>
      </c>
      <c r="AU51" s="508">
        <f>IF(OR(12&gt;$B$3,ISBLANK(Actuals!N66)),"",Actuals!N66)</f>
        <v/>
      </c>
      <c r="AV51" s="509">
        <f>IF(OR(12&gt;$B$3,ISBLANK(Actuals!N66)),"",'Reforecast Q1 2026'!N66-Actuals!N66)</f>
        <v/>
      </c>
      <c r="AW51" s="509">
        <f>IFERROR(IF(OR(12&gt;$B$3,ISBLANK(Actuals!N66)),"",('Reforecast Q1 2026'!N66-Actuals!N66)/ABS('Reforecast Q1 2026'!N66)),"")</f>
        <v/>
      </c>
      <c r="AX51" s="510">
        <f>SUMPRODUCT((Actuals!C66:N66&lt;&gt;"")*('Reforecast Q1 2026'!C66:N66))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'Reforecast Q1 2026'!C67</f>
        <v/>
      </c>
      <c r="C52" s="508">
        <f>IF(OR(1&gt;$B$3,ISBLANK(Actuals!C67)),"",Actuals!C67)</f>
        <v/>
      </c>
      <c r="D52" s="509">
        <f>IF(OR(1&gt;$B$3,ISBLANK(Actuals!C67)),"",'Reforecast Q1 2026'!C67-Actuals!C67)</f>
        <v/>
      </c>
      <c r="E52" s="509">
        <f>IFERROR(IF(OR(1&gt;$B$3,ISBLANK(Actuals!C67)),"",('Reforecast Q1 2026'!C67-Actuals!C67)/ABS('Reforecast Q1 2026'!C67)),"")</f>
        <v/>
      </c>
      <c r="F52" s="508">
        <f>'Reforecast Q1 2026'!D67</f>
        <v/>
      </c>
      <c r="G52" s="508">
        <f>IF(OR(2&gt;$B$3,ISBLANK(Actuals!D67)),"",Actuals!D67)</f>
        <v/>
      </c>
      <c r="H52" s="509">
        <f>IF(OR(2&gt;$B$3,ISBLANK(Actuals!D67)),"",'Reforecast Q1 2026'!D67-Actuals!D67)</f>
        <v/>
      </c>
      <c r="I52" s="509">
        <f>IFERROR(IF(OR(2&gt;$B$3,ISBLANK(Actuals!D67)),"",('Reforecast Q1 2026'!D67-Actuals!D67)/ABS('Reforecast Q1 2026'!D67)),"")</f>
        <v/>
      </c>
      <c r="J52" s="508">
        <f>'Reforecast Q1 2026'!E67</f>
        <v/>
      </c>
      <c r="K52" s="508">
        <f>IF(OR(3&gt;$B$3,ISBLANK(Actuals!E67)),"",Actuals!E67)</f>
        <v/>
      </c>
      <c r="L52" s="509">
        <f>IF(OR(3&gt;$B$3,ISBLANK(Actuals!E67)),"",'Reforecast Q1 2026'!E67-Actuals!E67)</f>
        <v/>
      </c>
      <c r="M52" s="509">
        <f>IFERROR(IF(OR(3&gt;$B$3,ISBLANK(Actuals!E67)),"",('Reforecast Q1 2026'!E67-Actuals!E67)/ABS('Reforecast Q1 2026'!E67)),"")</f>
        <v/>
      </c>
      <c r="N52" s="508">
        <f>'Reforecast Q1 2026'!F67</f>
        <v/>
      </c>
      <c r="O52" s="508">
        <f>IF(OR(4&gt;$B$3,ISBLANK(Actuals!F67)),"",Actuals!F67)</f>
        <v/>
      </c>
      <c r="P52" s="509">
        <f>IF(OR(4&gt;$B$3,ISBLANK(Actuals!F67)),"",'Reforecast Q1 2026'!F67-Actuals!F67)</f>
        <v/>
      </c>
      <c r="Q52" s="509">
        <f>IFERROR(IF(OR(4&gt;$B$3,ISBLANK(Actuals!F67)),"",('Reforecast Q1 2026'!F67-Actuals!F67)/ABS('Reforecast Q1 2026'!F67)),"")</f>
        <v/>
      </c>
      <c r="R52" s="508">
        <f>'Reforecast Q1 2026'!G67</f>
        <v/>
      </c>
      <c r="S52" s="508">
        <f>IF(OR(5&gt;$B$3,ISBLANK(Actuals!G67)),"",Actuals!G67)</f>
        <v/>
      </c>
      <c r="T52" s="509">
        <f>IF(OR(5&gt;$B$3,ISBLANK(Actuals!G67)),"",'Reforecast Q1 2026'!G67-Actuals!G67)</f>
        <v/>
      </c>
      <c r="U52" s="509">
        <f>IFERROR(IF(OR(5&gt;$B$3,ISBLANK(Actuals!G67)),"",('Reforecast Q1 2026'!G67-Actuals!G67)/ABS('Reforecast Q1 2026'!G67)),"")</f>
        <v/>
      </c>
      <c r="V52" s="508">
        <f>'Reforecast Q1 2026'!H67</f>
        <v/>
      </c>
      <c r="W52" s="508">
        <f>IF(OR(6&gt;$B$3,ISBLANK(Actuals!H67)),"",Actuals!H67)</f>
        <v/>
      </c>
      <c r="X52" s="509">
        <f>IF(OR(6&gt;$B$3,ISBLANK(Actuals!H67)),"",'Reforecast Q1 2026'!H67-Actuals!H67)</f>
        <v/>
      </c>
      <c r="Y52" s="509">
        <f>IFERROR(IF(OR(6&gt;$B$3,ISBLANK(Actuals!H67)),"",('Reforecast Q1 2026'!H67-Actuals!H67)/ABS('Reforecast Q1 2026'!H67)),"")</f>
        <v/>
      </c>
      <c r="Z52" s="508">
        <f>'Reforecast Q1 2026'!I67</f>
        <v/>
      </c>
      <c r="AA52" s="508">
        <f>IF(OR(7&gt;$B$3,ISBLANK(Actuals!I67)),"",Actuals!I67)</f>
        <v/>
      </c>
      <c r="AB52" s="509">
        <f>IF(OR(7&gt;$B$3,ISBLANK(Actuals!I67)),"",'Reforecast Q1 2026'!I67-Actuals!I67)</f>
        <v/>
      </c>
      <c r="AC52" s="509">
        <f>IFERROR(IF(OR(7&gt;$B$3,ISBLANK(Actuals!I67)),"",('Reforecast Q1 2026'!I67-Actuals!I67)/ABS('Reforecast Q1 2026'!I67)),"")</f>
        <v/>
      </c>
      <c r="AD52" s="508">
        <f>'Reforecast Q1 2026'!J67</f>
        <v/>
      </c>
      <c r="AE52" s="508">
        <f>IF(OR(8&gt;$B$3,ISBLANK(Actuals!J67)),"",Actuals!J67)</f>
        <v/>
      </c>
      <c r="AF52" s="509">
        <f>IF(OR(8&gt;$B$3,ISBLANK(Actuals!J67)),"",'Reforecast Q1 2026'!J67-Actuals!J67)</f>
        <v/>
      </c>
      <c r="AG52" s="509">
        <f>IFERROR(IF(OR(8&gt;$B$3,ISBLANK(Actuals!J67)),"",('Reforecast Q1 2026'!J67-Actuals!J67)/ABS('Reforecast Q1 2026'!J67)),"")</f>
        <v/>
      </c>
      <c r="AH52" s="508">
        <f>'Reforecast Q1 2026'!K67</f>
        <v/>
      </c>
      <c r="AI52" s="508">
        <f>IF(OR(9&gt;$B$3,ISBLANK(Actuals!K67)),"",Actuals!K67)</f>
        <v/>
      </c>
      <c r="AJ52" s="509">
        <f>IF(OR(9&gt;$B$3,ISBLANK(Actuals!K67)),"",'Reforecast Q1 2026'!K67-Actuals!K67)</f>
        <v/>
      </c>
      <c r="AK52" s="509">
        <f>IFERROR(IF(OR(9&gt;$B$3,ISBLANK(Actuals!K67)),"",('Reforecast Q1 2026'!K67-Actuals!K67)/ABS('Reforecast Q1 2026'!K67)),"")</f>
        <v/>
      </c>
      <c r="AL52" s="508">
        <f>'Reforecast Q1 2026'!L67</f>
        <v/>
      </c>
      <c r="AM52" s="508">
        <f>IF(OR(10&gt;$B$3,ISBLANK(Actuals!L67)),"",Actuals!L67)</f>
        <v/>
      </c>
      <c r="AN52" s="509">
        <f>IF(OR(10&gt;$B$3,ISBLANK(Actuals!L67)),"",'Reforecast Q1 2026'!L67-Actuals!L67)</f>
        <v/>
      </c>
      <c r="AO52" s="509">
        <f>IFERROR(IF(OR(10&gt;$B$3,ISBLANK(Actuals!L67)),"",('Reforecast Q1 2026'!L67-Actuals!L67)/ABS('Reforecast Q1 2026'!L67)),"")</f>
        <v/>
      </c>
      <c r="AP52" s="508">
        <f>'Reforecast Q1 2026'!M67</f>
        <v/>
      </c>
      <c r="AQ52" s="508">
        <f>IF(OR(11&gt;$B$3,ISBLANK(Actuals!M67)),"",Actuals!M67)</f>
        <v/>
      </c>
      <c r="AR52" s="509">
        <f>IF(OR(11&gt;$B$3,ISBLANK(Actuals!M67)),"",'Reforecast Q1 2026'!M67-Actuals!M67)</f>
        <v/>
      </c>
      <c r="AS52" s="509">
        <f>IFERROR(IF(OR(11&gt;$B$3,ISBLANK(Actuals!M67)),"",('Reforecast Q1 2026'!M67-Actuals!M67)/ABS('Reforecast Q1 2026'!M67)),"")</f>
        <v/>
      </c>
      <c r="AT52" s="508">
        <f>'Reforecast Q1 2026'!N67</f>
        <v/>
      </c>
      <c r="AU52" s="508">
        <f>IF(OR(12&gt;$B$3,ISBLANK(Actuals!N67)),"",Actuals!N67)</f>
        <v/>
      </c>
      <c r="AV52" s="509">
        <f>IF(OR(12&gt;$B$3,ISBLANK(Actuals!N67)),"",'Reforecast Q1 2026'!N67-Actuals!N67)</f>
        <v/>
      </c>
      <c r="AW52" s="509">
        <f>IFERROR(IF(OR(12&gt;$B$3,ISBLANK(Actuals!N67)),"",('Reforecast Q1 2026'!N67-Actuals!N67)/ABS('Reforecast Q1 2026'!N67)),"")</f>
        <v/>
      </c>
      <c r="AX52" s="510">
        <f>SUMPRODUCT((Actuals!C67:N67&lt;&gt;"")*('Reforecast Q1 2026'!C67:N67))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'Reforecast Q1 2026'!C68</f>
        <v/>
      </c>
      <c r="C53" s="508">
        <f>IF(OR(1&gt;$B$3,ISBLANK(Actuals!C68)),"",Actuals!C68)</f>
        <v/>
      </c>
      <c r="D53" s="509">
        <f>IF(OR(1&gt;$B$3,ISBLANK(Actuals!C68)),"",'Reforecast Q1 2026'!C68-Actuals!C68)</f>
        <v/>
      </c>
      <c r="E53" s="509">
        <f>IFERROR(IF(OR(1&gt;$B$3,ISBLANK(Actuals!C68)),"",('Reforecast Q1 2026'!C68-Actuals!C68)/ABS('Reforecast Q1 2026'!C68)),"")</f>
        <v/>
      </c>
      <c r="F53" s="508">
        <f>'Reforecast Q1 2026'!D68</f>
        <v/>
      </c>
      <c r="G53" s="508">
        <f>IF(OR(2&gt;$B$3,ISBLANK(Actuals!D68)),"",Actuals!D68)</f>
        <v/>
      </c>
      <c r="H53" s="509">
        <f>IF(OR(2&gt;$B$3,ISBLANK(Actuals!D68)),"",'Reforecast Q1 2026'!D68-Actuals!D68)</f>
        <v/>
      </c>
      <c r="I53" s="509">
        <f>IFERROR(IF(OR(2&gt;$B$3,ISBLANK(Actuals!D68)),"",('Reforecast Q1 2026'!D68-Actuals!D68)/ABS('Reforecast Q1 2026'!D68)),"")</f>
        <v/>
      </c>
      <c r="J53" s="508">
        <f>'Reforecast Q1 2026'!E68</f>
        <v/>
      </c>
      <c r="K53" s="508">
        <f>IF(OR(3&gt;$B$3,ISBLANK(Actuals!E68)),"",Actuals!E68)</f>
        <v/>
      </c>
      <c r="L53" s="509">
        <f>IF(OR(3&gt;$B$3,ISBLANK(Actuals!E68)),"",'Reforecast Q1 2026'!E68-Actuals!E68)</f>
        <v/>
      </c>
      <c r="M53" s="509">
        <f>IFERROR(IF(OR(3&gt;$B$3,ISBLANK(Actuals!E68)),"",('Reforecast Q1 2026'!E68-Actuals!E68)/ABS('Reforecast Q1 2026'!E68)),"")</f>
        <v/>
      </c>
      <c r="N53" s="508">
        <f>'Reforecast Q1 2026'!F68</f>
        <v/>
      </c>
      <c r="O53" s="508">
        <f>IF(OR(4&gt;$B$3,ISBLANK(Actuals!F68)),"",Actuals!F68)</f>
        <v/>
      </c>
      <c r="P53" s="509">
        <f>IF(OR(4&gt;$B$3,ISBLANK(Actuals!F68)),"",'Reforecast Q1 2026'!F68-Actuals!F68)</f>
        <v/>
      </c>
      <c r="Q53" s="509">
        <f>IFERROR(IF(OR(4&gt;$B$3,ISBLANK(Actuals!F68)),"",('Reforecast Q1 2026'!F68-Actuals!F68)/ABS('Reforecast Q1 2026'!F68)),"")</f>
        <v/>
      </c>
      <c r="R53" s="508">
        <f>'Reforecast Q1 2026'!G68</f>
        <v/>
      </c>
      <c r="S53" s="508">
        <f>IF(OR(5&gt;$B$3,ISBLANK(Actuals!G68)),"",Actuals!G68)</f>
        <v/>
      </c>
      <c r="T53" s="509">
        <f>IF(OR(5&gt;$B$3,ISBLANK(Actuals!G68)),"",'Reforecast Q1 2026'!G68-Actuals!G68)</f>
        <v/>
      </c>
      <c r="U53" s="509">
        <f>IFERROR(IF(OR(5&gt;$B$3,ISBLANK(Actuals!G68)),"",('Reforecast Q1 2026'!G68-Actuals!G68)/ABS('Reforecast Q1 2026'!G68)),"")</f>
        <v/>
      </c>
      <c r="V53" s="508">
        <f>'Reforecast Q1 2026'!H68</f>
        <v/>
      </c>
      <c r="W53" s="508">
        <f>IF(OR(6&gt;$B$3,ISBLANK(Actuals!H68)),"",Actuals!H68)</f>
        <v/>
      </c>
      <c r="X53" s="509">
        <f>IF(OR(6&gt;$B$3,ISBLANK(Actuals!H68)),"",'Reforecast Q1 2026'!H68-Actuals!H68)</f>
        <v/>
      </c>
      <c r="Y53" s="509">
        <f>IFERROR(IF(OR(6&gt;$B$3,ISBLANK(Actuals!H68)),"",('Reforecast Q1 2026'!H68-Actuals!H68)/ABS('Reforecast Q1 2026'!H68)),"")</f>
        <v/>
      </c>
      <c r="Z53" s="508">
        <f>'Reforecast Q1 2026'!I68</f>
        <v/>
      </c>
      <c r="AA53" s="508">
        <f>IF(OR(7&gt;$B$3,ISBLANK(Actuals!I68)),"",Actuals!I68)</f>
        <v/>
      </c>
      <c r="AB53" s="509">
        <f>IF(OR(7&gt;$B$3,ISBLANK(Actuals!I68)),"",'Reforecast Q1 2026'!I68-Actuals!I68)</f>
        <v/>
      </c>
      <c r="AC53" s="509">
        <f>IFERROR(IF(OR(7&gt;$B$3,ISBLANK(Actuals!I68)),"",('Reforecast Q1 2026'!I68-Actuals!I68)/ABS('Reforecast Q1 2026'!I68)),"")</f>
        <v/>
      </c>
      <c r="AD53" s="508">
        <f>'Reforecast Q1 2026'!J68</f>
        <v/>
      </c>
      <c r="AE53" s="508">
        <f>IF(OR(8&gt;$B$3,ISBLANK(Actuals!J68)),"",Actuals!J68)</f>
        <v/>
      </c>
      <c r="AF53" s="509">
        <f>IF(OR(8&gt;$B$3,ISBLANK(Actuals!J68)),"",'Reforecast Q1 2026'!J68-Actuals!J68)</f>
        <v/>
      </c>
      <c r="AG53" s="509">
        <f>IFERROR(IF(OR(8&gt;$B$3,ISBLANK(Actuals!J68)),"",('Reforecast Q1 2026'!J68-Actuals!J68)/ABS('Reforecast Q1 2026'!J68)),"")</f>
        <v/>
      </c>
      <c r="AH53" s="508">
        <f>'Reforecast Q1 2026'!K68</f>
        <v/>
      </c>
      <c r="AI53" s="508">
        <f>IF(OR(9&gt;$B$3,ISBLANK(Actuals!K68)),"",Actuals!K68)</f>
        <v/>
      </c>
      <c r="AJ53" s="509">
        <f>IF(OR(9&gt;$B$3,ISBLANK(Actuals!K68)),"",'Reforecast Q1 2026'!K68-Actuals!K68)</f>
        <v/>
      </c>
      <c r="AK53" s="509">
        <f>IFERROR(IF(OR(9&gt;$B$3,ISBLANK(Actuals!K68)),"",('Reforecast Q1 2026'!K68-Actuals!K68)/ABS('Reforecast Q1 2026'!K68)),"")</f>
        <v/>
      </c>
      <c r="AL53" s="508">
        <f>'Reforecast Q1 2026'!L68</f>
        <v/>
      </c>
      <c r="AM53" s="508">
        <f>IF(OR(10&gt;$B$3,ISBLANK(Actuals!L68)),"",Actuals!L68)</f>
        <v/>
      </c>
      <c r="AN53" s="509">
        <f>IF(OR(10&gt;$B$3,ISBLANK(Actuals!L68)),"",'Reforecast Q1 2026'!L68-Actuals!L68)</f>
        <v/>
      </c>
      <c r="AO53" s="509">
        <f>IFERROR(IF(OR(10&gt;$B$3,ISBLANK(Actuals!L68)),"",('Reforecast Q1 2026'!L68-Actuals!L68)/ABS('Reforecast Q1 2026'!L68)),"")</f>
        <v/>
      </c>
      <c r="AP53" s="508">
        <f>'Reforecast Q1 2026'!M68</f>
        <v/>
      </c>
      <c r="AQ53" s="508">
        <f>IF(OR(11&gt;$B$3,ISBLANK(Actuals!M68)),"",Actuals!M68)</f>
        <v/>
      </c>
      <c r="AR53" s="509">
        <f>IF(OR(11&gt;$B$3,ISBLANK(Actuals!M68)),"",'Reforecast Q1 2026'!M68-Actuals!M68)</f>
        <v/>
      </c>
      <c r="AS53" s="509">
        <f>IFERROR(IF(OR(11&gt;$B$3,ISBLANK(Actuals!M68)),"",('Reforecast Q1 2026'!M68-Actuals!M68)/ABS('Reforecast Q1 2026'!M68)),"")</f>
        <v/>
      </c>
      <c r="AT53" s="508">
        <f>'Reforecast Q1 2026'!N68</f>
        <v/>
      </c>
      <c r="AU53" s="508">
        <f>IF(OR(12&gt;$B$3,ISBLANK(Actuals!N68)),"",Actuals!N68)</f>
        <v/>
      </c>
      <c r="AV53" s="509">
        <f>IF(OR(12&gt;$B$3,ISBLANK(Actuals!N68)),"",'Reforecast Q1 2026'!N68-Actuals!N68)</f>
        <v/>
      </c>
      <c r="AW53" s="509">
        <f>IFERROR(IF(OR(12&gt;$B$3,ISBLANK(Actuals!N68)),"",('Reforecast Q1 2026'!N68-Actuals!N68)/ABS('Reforecast Q1 2026'!N68)),"")</f>
        <v/>
      </c>
      <c r="AX53" s="510">
        <f>SUMPRODUCT((Actuals!C68:N68&lt;&gt;"")*('Reforecast Q1 2026'!C68:N68))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'Reforecast Q1 2026'!C69</f>
        <v/>
      </c>
      <c r="C54" s="508">
        <f>IF(OR(1&gt;$B$3,ISBLANK(Actuals!C69)),"",Actuals!C69)</f>
        <v/>
      </c>
      <c r="D54" s="509">
        <f>IF(OR(1&gt;$B$3,ISBLANK(Actuals!C69)),"",'Reforecast Q1 2026'!C69-Actuals!C69)</f>
        <v/>
      </c>
      <c r="E54" s="509">
        <f>IFERROR(IF(OR(1&gt;$B$3,ISBLANK(Actuals!C69)),"",('Reforecast Q1 2026'!C69-Actuals!C69)/ABS('Reforecast Q1 2026'!C69)),"")</f>
        <v/>
      </c>
      <c r="F54" s="508">
        <f>'Reforecast Q1 2026'!D69</f>
        <v/>
      </c>
      <c r="G54" s="508">
        <f>IF(OR(2&gt;$B$3,ISBLANK(Actuals!D69)),"",Actuals!D69)</f>
        <v/>
      </c>
      <c r="H54" s="509">
        <f>IF(OR(2&gt;$B$3,ISBLANK(Actuals!D69)),"",'Reforecast Q1 2026'!D69-Actuals!D69)</f>
        <v/>
      </c>
      <c r="I54" s="509">
        <f>IFERROR(IF(OR(2&gt;$B$3,ISBLANK(Actuals!D69)),"",('Reforecast Q1 2026'!D69-Actuals!D69)/ABS('Reforecast Q1 2026'!D69)),"")</f>
        <v/>
      </c>
      <c r="J54" s="508">
        <f>'Reforecast Q1 2026'!E69</f>
        <v/>
      </c>
      <c r="K54" s="508">
        <f>IF(OR(3&gt;$B$3,ISBLANK(Actuals!E69)),"",Actuals!E69)</f>
        <v/>
      </c>
      <c r="L54" s="509">
        <f>IF(OR(3&gt;$B$3,ISBLANK(Actuals!E69)),"",'Reforecast Q1 2026'!E69-Actuals!E69)</f>
        <v/>
      </c>
      <c r="M54" s="509">
        <f>IFERROR(IF(OR(3&gt;$B$3,ISBLANK(Actuals!E69)),"",('Reforecast Q1 2026'!E69-Actuals!E69)/ABS('Reforecast Q1 2026'!E69)),"")</f>
        <v/>
      </c>
      <c r="N54" s="508">
        <f>'Reforecast Q1 2026'!F69</f>
        <v/>
      </c>
      <c r="O54" s="508">
        <f>IF(OR(4&gt;$B$3,ISBLANK(Actuals!F69)),"",Actuals!F69)</f>
        <v/>
      </c>
      <c r="P54" s="509">
        <f>IF(OR(4&gt;$B$3,ISBLANK(Actuals!F69)),"",'Reforecast Q1 2026'!F69-Actuals!F69)</f>
        <v/>
      </c>
      <c r="Q54" s="509">
        <f>IFERROR(IF(OR(4&gt;$B$3,ISBLANK(Actuals!F69)),"",('Reforecast Q1 2026'!F69-Actuals!F69)/ABS('Reforecast Q1 2026'!F69)),"")</f>
        <v/>
      </c>
      <c r="R54" s="508">
        <f>'Reforecast Q1 2026'!G69</f>
        <v/>
      </c>
      <c r="S54" s="508">
        <f>IF(OR(5&gt;$B$3,ISBLANK(Actuals!G69)),"",Actuals!G69)</f>
        <v/>
      </c>
      <c r="T54" s="509">
        <f>IF(OR(5&gt;$B$3,ISBLANK(Actuals!G69)),"",'Reforecast Q1 2026'!G69-Actuals!G69)</f>
        <v/>
      </c>
      <c r="U54" s="509">
        <f>IFERROR(IF(OR(5&gt;$B$3,ISBLANK(Actuals!G69)),"",('Reforecast Q1 2026'!G69-Actuals!G69)/ABS('Reforecast Q1 2026'!G69)),"")</f>
        <v/>
      </c>
      <c r="V54" s="508">
        <f>'Reforecast Q1 2026'!H69</f>
        <v/>
      </c>
      <c r="W54" s="508">
        <f>IF(OR(6&gt;$B$3,ISBLANK(Actuals!H69)),"",Actuals!H69)</f>
        <v/>
      </c>
      <c r="X54" s="509">
        <f>IF(OR(6&gt;$B$3,ISBLANK(Actuals!H69)),"",'Reforecast Q1 2026'!H69-Actuals!H69)</f>
        <v/>
      </c>
      <c r="Y54" s="509">
        <f>IFERROR(IF(OR(6&gt;$B$3,ISBLANK(Actuals!H69)),"",('Reforecast Q1 2026'!H69-Actuals!H69)/ABS('Reforecast Q1 2026'!H69)),"")</f>
        <v/>
      </c>
      <c r="Z54" s="508">
        <f>'Reforecast Q1 2026'!I69</f>
        <v/>
      </c>
      <c r="AA54" s="508">
        <f>IF(OR(7&gt;$B$3,ISBLANK(Actuals!I69)),"",Actuals!I69)</f>
        <v/>
      </c>
      <c r="AB54" s="509">
        <f>IF(OR(7&gt;$B$3,ISBLANK(Actuals!I69)),"",'Reforecast Q1 2026'!I69-Actuals!I69)</f>
        <v/>
      </c>
      <c r="AC54" s="509">
        <f>IFERROR(IF(OR(7&gt;$B$3,ISBLANK(Actuals!I69)),"",('Reforecast Q1 2026'!I69-Actuals!I69)/ABS('Reforecast Q1 2026'!I69)),"")</f>
        <v/>
      </c>
      <c r="AD54" s="508">
        <f>'Reforecast Q1 2026'!J69</f>
        <v/>
      </c>
      <c r="AE54" s="508">
        <f>IF(OR(8&gt;$B$3,ISBLANK(Actuals!J69)),"",Actuals!J69)</f>
        <v/>
      </c>
      <c r="AF54" s="509">
        <f>IF(OR(8&gt;$B$3,ISBLANK(Actuals!J69)),"",'Reforecast Q1 2026'!J69-Actuals!J69)</f>
        <v/>
      </c>
      <c r="AG54" s="509">
        <f>IFERROR(IF(OR(8&gt;$B$3,ISBLANK(Actuals!J69)),"",('Reforecast Q1 2026'!J69-Actuals!J69)/ABS('Reforecast Q1 2026'!J69)),"")</f>
        <v/>
      </c>
      <c r="AH54" s="508">
        <f>'Reforecast Q1 2026'!K69</f>
        <v/>
      </c>
      <c r="AI54" s="508">
        <f>IF(OR(9&gt;$B$3,ISBLANK(Actuals!K69)),"",Actuals!K69)</f>
        <v/>
      </c>
      <c r="AJ54" s="509">
        <f>IF(OR(9&gt;$B$3,ISBLANK(Actuals!K69)),"",'Reforecast Q1 2026'!K69-Actuals!K69)</f>
        <v/>
      </c>
      <c r="AK54" s="509">
        <f>IFERROR(IF(OR(9&gt;$B$3,ISBLANK(Actuals!K69)),"",('Reforecast Q1 2026'!K69-Actuals!K69)/ABS('Reforecast Q1 2026'!K69)),"")</f>
        <v/>
      </c>
      <c r="AL54" s="508">
        <f>'Reforecast Q1 2026'!L69</f>
        <v/>
      </c>
      <c r="AM54" s="508">
        <f>IF(OR(10&gt;$B$3,ISBLANK(Actuals!L69)),"",Actuals!L69)</f>
        <v/>
      </c>
      <c r="AN54" s="509">
        <f>IF(OR(10&gt;$B$3,ISBLANK(Actuals!L69)),"",'Reforecast Q1 2026'!L69-Actuals!L69)</f>
        <v/>
      </c>
      <c r="AO54" s="509">
        <f>IFERROR(IF(OR(10&gt;$B$3,ISBLANK(Actuals!L69)),"",('Reforecast Q1 2026'!L69-Actuals!L69)/ABS('Reforecast Q1 2026'!L69)),"")</f>
        <v/>
      </c>
      <c r="AP54" s="508">
        <f>'Reforecast Q1 2026'!M69</f>
        <v/>
      </c>
      <c r="AQ54" s="508">
        <f>IF(OR(11&gt;$B$3,ISBLANK(Actuals!M69)),"",Actuals!M69)</f>
        <v/>
      </c>
      <c r="AR54" s="509">
        <f>IF(OR(11&gt;$B$3,ISBLANK(Actuals!M69)),"",'Reforecast Q1 2026'!M69-Actuals!M69)</f>
        <v/>
      </c>
      <c r="AS54" s="509">
        <f>IFERROR(IF(OR(11&gt;$B$3,ISBLANK(Actuals!M69)),"",('Reforecast Q1 2026'!M69-Actuals!M69)/ABS('Reforecast Q1 2026'!M69)),"")</f>
        <v/>
      </c>
      <c r="AT54" s="508">
        <f>'Reforecast Q1 2026'!N69</f>
        <v/>
      </c>
      <c r="AU54" s="508">
        <f>IF(OR(12&gt;$B$3,ISBLANK(Actuals!N69)),"",Actuals!N69)</f>
        <v/>
      </c>
      <c r="AV54" s="509">
        <f>IF(OR(12&gt;$B$3,ISBLANK(Actuals!N69)),"",'Reforecast Q1 2026'!N69-Actuals!N69)</f>
        <v/>
      </c>
      <c r="AW54" s="509">
        <f>IFERROR(IF(OR(12&gt;$B$3,ISBLANK(Actuals!N69)),"",('Reforecast Q1 2026'!N69-Actuals!N69)/ABS('Reforecast Q1 2026'!N69)),"")</f>
        <v/>
      </c>
      <c r="AX54" s="510">
        <f>SUMPRODUCT((Actuals!C69:N69&lt;&gt;"")*('Reforecast Q1 2026'!C69:N69))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'Reforecast Q1 2026'!C70</f>
        <v/>
      </c>
      <c r="C55" s="508">
        <f>IF(OR(1&gt;$B$3,ISBLANK(Actuals!C70)),"",Actuals!C70)</f>
        <v/>
      </c>
      <c r="D55" s="509">
        <f>IF(OR(1&gt;$B$3,ISBLANK(Actuals!C70)),"",'Reforecast Q1 2026'!C70-Actuals!C70)</f>
        <v/>
      </c>
      <c r="E55" s="509">
        <f>IFERROR(IF(OR(1&gt;$B$3,ISBLANK(Actuals!C70)),"",('Reforecast Q1 2026'!C70-Actuals!C70)/ABS('Reforecast Q1 2026'!C70)),"")</f>
        <v/>
      </c>
      <c r="F55" s="508">
        <f>'Reforecast Q1 2026'!D70</f>
        <v/>
      </c>
      <c r="G55" s="508">
        <f>IF(OR(2&gt;$B$3,ISBLANK(Actuals!D70)),"",Actuals!D70)</f>
        <v/>
      </c>
      <c r="H55" s="509">
        <f>IF(OR(2&gt;$B$3,ISBLANK(Actuals!D70)),"",'Reforecast Q1 2026'!D70-Actuals!D70)</f>
        <v/>
      </c>
      <c r="I55" s="509">
        <f>IFERROR(IF(OR(2&gt;$B$3,ISBLANK(Actuals!D70)),"",('Reforecast Q1 2026'!D70-Actuals!D70)/ABS('Reforecast Q1 2026'!D70)),"")</f>
        <v/>
      </c>
      <c r="J55" s="508">
        <f>'Reforecast Q1 2026'!E70</f>
        <v/>
      </c>
      <c r="K55" s="508">
        <f>IF(OR(3&gt;$B$3,ISBLANK(Actuals!E70)),"",Actuals!E70)</f>
        <v/>
      </c>
      <c r="L55" s="509">
        <f>IF(OR(3&gt;$B$3,ISBLANK(Actuals!E70)),"",'Reforecast Q1 2026'!E70-Actuals!E70)</f>
        <v/>
      </c>
      <c r="M55" s="509">
        <f>IFERROR(IF(OR(3&gt;$B$3,ISBLANK(Actuals!E70)),"",('Reforecast Q1 2026'!E70-Actuals!E70)/ABS('Reforecast Q1 2026'!E70)),"")</f>
        <v/>
      </c>
      <c r="N55" s="508">
        <f>'Reforecast Q1 2026'!F70</f>
        <v/>
      </c>
      <c r="O55" s="508">
        <f>IF(OR(4&gt;$B$3,ISBLANK(Actuals!F70)),"",Actuals!F70)</f>
        <v/>
      </c>
      <c r="P55" s="509">
        <f>IF(OR(4&gt;$B$3,ISBLANK(Actuals!F70)),"",'Reforecast Q1 2026'!F70-Actuals!F70)</f>
        <v/>
      </c>
      <c r="Q55" s="509">
        <f>IFERROR(IF(OR(4&gt;$B$3,ISBLANK(Actuals!F70)),"",('Reforecast Q1 2026'!F70-Actuals!F70)/ABS('Reforecast Q1 2026'!F70)),"")</f>
        <v/>
      </c>
      <c r="R55" s="508">
        <f>'Reforecast Q1 2026'!G70</f>
        <v/>
      </c>
      <c r="S55" s="508">
        <f>IF(OR(5&gt;$B$3,ISBLANK(Actuals!G70)),"",Actuals!G70)</f>
        <v/>
      </c>
      <c r="T55" s="509">
        <f>IF(OR(5&gt;$B$3,ISBLANK(Actuals!G70)),"",'Reforecast Q1 2026'!G70-Actuals!G70)</f>
        <v/>
      </c>
      <c r="U55" s="509">
        <f>IFERROR(IF(OR(5&gt;$B$3,ISBLANK(Actuals!G70)),"",('Reforecast Q1 2026'!G70-Actuals!G70)/ABS('Reforecast Q1 2026'!G70)),"")</f>
        <v/>
      </c>
      <c r="V55" s="508">
        <f>'Reforecast Q1 2026'!H70</f>
        <v/>
      </c>
      <c r="W55" s="508">
        <f>IF(OR(6&gt;$B$3,ISBLANK(Actuals!H70)),"",Actuals!H70)</f>
        <v/>
      </c>
      <c r="X55" s="509">
        <f>IF(OR(6&gt;$B$3,ISBLANK(Actuals!H70)),"",'Reforecast Q1 2026'!H70-Actuals!H70)</f>
        <v/>
      </c>
      <c r="Y55" s="509">
        <f>IFERROR(IF(OR(6&gt;$B$3,ISBLANK(Actuals!H70)),"",('Reforecast Q1 2026'!H70-Actuals!H70)/ABS('Reforecast Q1 2026'!H70)),"")</f>
        <v/>
      </c>
      <c r="Z55" s="508">
        <f>'Reforecast Q1 2026'!I70</f>
        <v/>
      </c>
      <c r="AA55" s="508">
        <f>IF(OR(7&gt;$B$3,ISBLANK(Actuals!I70)),"",Actuals!I70)</f>
        <v/>
      </c>
      <c r="AB55" s="509">
        <f>IF(OR(7&gt;$B$3,ISBLANK(Actuals!I70)),"",'Reforecast Q1 2026'!I70-Actuals!I70)</f>
        <v/>
      </c>
      <c r="AC55" s="509">
        <f>IFERROR(IF(OR(7&gt;$B$3,ISBLANK(Actuals!I70)),"",('Reforecast Q1 2026'!I70-Actuals!I70)/ABS('Reforecast Q1 2026'!I70)),"")</f>
        <v/>
      </c>
      <c r="AD55" s="508">
        <f>'Reforecast Q1 2026'!J70</f>
        <v/>
      </c>
      <c r="AE55" s="508">
        <f>IF(OR(8&gt;$B$3,ISBLANK(Actuals!J70)),"",Actuals!J70)</f>
        <v/>
      </c>
      <c r="AF55" s="509">
        <f>IF(OR(8&gt;$B$3,ISBLANK(Actuals!J70)),"",'Reforecast Q1 2026'!J70-Actuals!J70)</f>
        <v/>
      </c>
      <c r="AG55" s="509">
        <f>IFERROR(IF(OR(8&gt;$B$3,ISBLANK(Actuals!J70)),"",('Reforecast Q1 2026'!J70-Actuals!J70)/ABS('Reforecast Q1 2026'!J70)),"")</f>
        <v/>
      </c>
      <c r="AH55" s="508">
        <f>'Reforecast Q1 2026'!K70</f>
        <v/>
      </c>
      <c r="AI55" s="508">
        <f>IF(OR(9&gt;$B$3,ISBLANK(Actuals!K70)),"",Actuals!K70)</f>
        <v/>
      </c>
      <c r="AJ55" s="509">
        <f>IF(OR(9&gt;$B$3,ISBLANK(Actuals!K70)),"",'Reforecast Q1 2026'!K70-Actuals!K70)</f>
        <v/>
      </c>
      <c r="AK55" s="509">
        <f>IFERROR(IF(OR(9&gt;$B$3,ISBLANK(Actuals!K70)),"",('Reforecast Q1 2026'!K70-Actuals!K70)/ABS('Reforecast Q1 2026'!K70)),"")</f>
        <v/>
      </c>
      <c r="AL55" s="508">
        <f>'Reforecast Q1 2026'!L70</f>
        <v/>
      </c>
      <c r="AM55" s="508">
        <f>IF(OR(10&gt;$B$3,ISBLANK(Actuals!L70)),"",Actuals!L70)</f>
        <v/>
      </c>
      <c r="AN55" s="509">
        <f>IF(OR(10&gt;$B$3,ISBLANK(Actuals!L70)),"",'Reforecast Q1 2026'!L70-Actuals!L70)</f>
        <v/>
      </c>
      <c r="AO55" s="509">
        <f>IFERROR(IF(OR(10&gt;$B$3,ISBLANK(Actuals!L70)),"",('Reforecast Q1 2026'!L70-Actuals!L70)/ABS('Reforecast Q1 2026'!L70)),"")</f>
        <v/>
      </c>
      <c r="AP55" s="508">
        <f>'Reforecast Q1 2026'!M70</f>
        <v/>
      </c>
      <c r="AQ55" s="508">
        <f>IF(OR(11&gt;$B$3,ISBLANK(Actuals!M70)),"",Actuals!M70)</f>
        <v/>
      </c>
      <c r="AR55" s="509">
        <f>IF(OR(11&gt;$B$3,ISBLANK(Actuals!M70)),"",'Reforecast Q1 2026'!M70-Actuals!M70)</f>
        <v/>
      </c>
      <c r="AS55" s="509">
        <f>IFERROR(IF(OR(11&gt;$B$3,ISBLANK(Actuals!M70)),"",('Reforecast Q1 2026'!M70-Actuals!M70)/ABS('Reforecast Q1 2026'!M70)),"")</f>
        <v/>
      </c>
      <c r="AT55" s="508">
        <f>'Reforecast Q1 2026'!N70</f>
        <v/>
      </c>
      <c r="AU55" s="508">
        <f>IF(OR(12&gt;$B$3,ISBLANK(Actuals!N70)),"",Actuals!N70)</f>
        <v/>
      </c>
      <c r="AV55" s="509">
        <f>IF(OR(12&gt;$B$3,ISBLANK(Actuals!N70)),"",'Reforecast Q1 2026'!N70-Actuals!N70)</f>
        <v/>
      </c>
      <c r="AW55" s="509">
        <f>IFERROR(IF(OR(12&gt;$B$3,ISBLANK(Actuals!N70)),"",('Reforecast Q1 2026'!N70-Actuals!N70)/ABS('Reforecast Q1 2026'!N70)),"")</f>
        <v/>
      </c>
      <c r="AX55" s="510">
        <f>SUMPRODUCT((Actuals!C70:N70&lt;&gt;"")*('Reforecast Q1 2026'!C70:N70))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'Reforecast Q1 2026'!C71</f>
        <v/>
      </c>
      <c r="C56" s="508">
        <f>IF(OR(1&gt;$B$3,ISBLANK(Actuals!C71)),"",Actuals!C71)</f>
        <v/>
      </c>
      <c r="D56" s="509">
        <f>IF(OR(1&gt;$B$3,ISBLANK(Actuals!C71)),"",'Reforecast Q1 2026'!C71-Actuals!C71)</f>
        <v/>
      </c>
      <c r="E56" s="509">
        <f>IFERROR(IF(OR(1&gt;$B$3,ISBLANK(Actuals!C71)),"",('Reforecast Q1 2026'!C71-Actuals!C71)/ABS('Reforecast Q1 2026'!C71)),"")</f>
        <v/>
      </c>
      <c r="F56" s="508">
        <f>'Reforecast Q1 2026'!D71</f>
        <v/>
      </c>
      <c r="G56" s="508">
        <f>IF(OR(2&gt;$B$3,ISBLANK(Actuals!D71)),"",Actuals!D71)</f>
        <v/>
      </c>
      <c r="H56" s="509">
        <f>IF(OR(2&gt;$B$3,ISBLANK(Actuals!D71)),"",'Reforecast Q1 2026'!D71-Actuals!D71)</f>
        <v/>
      </c>
      <c r="I56" s="509">
        <f>IFERROR(IF(OR(2&gt;$B$3,ISBLANK(Actuals!D71)),"",('Reforecast Q1 2026'!D71-Actuals!D71)/ABS('Reforecast Q1 2026'!D71)),"")</f>
        <v/>
      </c>
      <c r="J56" s="508">
        <f>'Reforecast Q1 2026'!E71</f>
        <v/>
      </c>
      <c r="K56" s="508">
        <f>IF(OR(3&gt;$B$3,ISBLANK(Actuals!E71)),"",Actuals!E71)</f>
        <v/>
      </c>
      <c r="L56" s="509">
        <f>IF(OR(3&gt;$B$3,ISBLANK(Actuals!E71)),"",'Reforecast Q1 2026'!E71-Actuals!E71)</f>
        <v/>
      </c>
      <c r="M56" s="509">
        <f>IFERROR(IF(OR(3&gt;$B$3,ISBLANK(Actuals!E71)),"",('Reforecast Q1 2026'!E71-Actuals!E71)/ABS('Reforecast Q1 2026'!E71)),"")</f>
        <v/>
      </c>
      <c r="N56" s="508">
        <f>'Reforecast Q1 2026'!F71</f>
        <v/>
      </c>
      <c r="O56" s="508">
        <f>IF(OR(4&gt;$B$3,ISBLANK(Actuals!F71)),"",Actuals!F71)</f>
        <v/>
      </c>
      <c r="P56" s="509">
        <f>IF(OR(4&gt;$B$3,ISBLANK(Actuals!F71)),"",'Reforecast Q1 2026'!F71-Actuals!F71)</f>
        <v/>
      </c>
      <c r="Q56" s="509">
        <f>IFERROR(IF(OR(4&gt;$B$3,ISBLANK(Actuals!F71)),"",('Reforecast Q1 2026'!F71-Actuals!F71)/ABS('Reforecast Q1 2026'!F71)),"")</f>
        <v/>
      </c>
      <c r="R56" s="508">
        <f>'Reforecast Q1 2026'!G71</f>
        <v/>
      </c>
      <c r="S56" s="508">
        <f>IF(OR(5&gt;$B$3,ISBLANK(Actuals!G71)),"",Actuals!G71)</f>
        <v/>
      </c>
      <c r="T56" s="509">
        <f>IF(OR(5&gt;$B$3,ISBLANK(Actuals!G71)),"",'Reforecast Q1 2026'!G71-Actuals!G71)</f>
        <v/>
      </c>
      <c r="U56" s="509">
        <f>IFERROR(IF(OR(5&gt;$B$3,ISBLANK(Actuals!G71)),"",('Reforecast Q1 2026'!G71-Actuals!G71)/ABS('Reforecast Q1 2026'!G71)),"")</f>
        <v/>
      </c>
      <c r="V56" s="508">
        <f>'Reforecast Q1 2026'!H71</f>
        <v/>
      </c>
      <c r="W56" s="508">
        <f>IF(OR(6&gt;$B$3,ISBLANK(Actuals!H71)),"",Actuals!H71)</f>
        <v/>
      </c>
      <c r="X56" s="509">
        <f>IF(OR(6&gt;$B$3,ISBLANK(Actuals!H71)),"",'Reforecast Q1 2026'!H71-Actuals!H71)</f>
        <v/>
      </c>
      <c r="Y56" s="509">
        <f>IFERROR(IF(OR(6&gt;$B$3,ISBLANK(Actuals!H71)),"",('Reforecast Q1 2026'!H71-Actuals!H71)/ABS('Reforecast Q1 2026'!H71)),"")</f>
        <v/>
      </c>
      <c r="Z56" s="508">
        <f>'Reforecast Q1 2026'!I71</f>
        <v/>
      </c>
      <c r="AA56" s="508">
        <f>IF(OR(7&gt;$B$3,ISBLANK(Actuals!I71)),"",Actuals!I71)</f>
        <v/>
      </c>
      <c r="AB56" s="509">
        <f>IF(OR(7&gt;$B$3,ISBLANK(Actuals!I71)),"",'Reforecast Q1 2026'!I71-Actuals!I71)</f>
        <v/>
      </c>
      <c r="AC56" s="509">
        <f>IFERROR(IF(OR(7&gt;$B$3,ISBLANK(Actuals!I71)),"",('Reforecast Q1 2026'!I71-Actuals!I71)/ABS('Reforecast Q1 2026'!I71)),"")</f>
        <v/>
      </c>
      <c r="AD56" s="508">
        <f>'Reforecast Q1 2026'!J71</f>
        <v/>
      </c>
      <c r="AE56" s="508">
        <f>IF(OR(8&gt;$B$3,ISBLANK(Actuals!J71)),"",Actuals!J71)</f>
        <v/>
      </c>
      <c r="AF56" s="509">
        <f>IF(OR(8&gt;$B$3,ISBLANK(Actuals!J71)),"",'Reforecast Q1 2026'!J71-Actuals!J71)</f>
        <v/>
      </c>
      <c r="AG56" s="509">
        <f>IFERROR(IF(OR(8&gt;$B$3,ISBLANK(Actuals!J71)),"",('Reforecast Q1 2026'!J71-Actuals!J71)/ABS('Reforecast Q1 2026'!J71)),"")</f>
        <v/>
      </c>
      <c r="AH56" s="508">
        <f>'Reforecast Q1 2026'!K71</f>
        <v/>
      </c>
      <c r="AI56" s="508">
        <f>IF(OR(9&gt;$B$3,ISBLANK(Actuals!K71)),"",Actuals!K71)</f>
        <v/>
      </c>
      <c r="AJ56" s="509">
        <f>IF(OR(9&gt;$B$3,ISBLANK(Actuals!K71)),"",'Reforecast Q1 2026'!K71-Actuals!K71)</f>
        <v/>
      </c>
      <c r="AK56" s="509">
        <f>IFERROR(IF(OR(9&gt;$B$3,ISBLANK(Actuals!K71)),"",('Reforecast Q1 2026'!K71-Actuals!K71)/ABS('Reforecast Q1 2026'!K71)),"")</f>
        <v/>
      </c>
      <c r="AL56" s="508">
        <f>'Reforecast Q1 2026'!L71</f>
        <v/>
      </c>
      <c r="AM56" s="508">
        <f>IF(OR(10&gt;$B$3,ISBLANK(Actuals!L71)),"",Actuals!L71)</f>
        <v/>
      </c>
      <c r="AN56" s="509">
        <f>IF(OR(10&gt;$B$3,ISBLANK(Actuals!L71)),"",'Reforecast Q1 2026'!L71-Actuals!L71)</f>
        <v/>
      </c>
      <c r="AO56" s="509">
        <f>IFERROR(IF(OR(10&gt;$B$3,ISBLANK(Actuals!L71)),"",('Reforecast Q1 2026'!L71-Actuals!L71)/ABS('Reforecast Q1 2026'!L71)),"")</f>
        <v/>
      </c>
      <c r="AP56" s="508">
        <f>'Reforecast Q1 2026'!M71</f>
        <v/>
      </c>
      <c r="AQ56" s="508">
        <f>IF(OR(11&gt;$B$3,ISBLANK(Actuals!M71)),"",Actuals!M71)</f>
        <v/>
      </c>
      <c r="AR56" s="509">
        <f>IF(OR(11&gt;$B$3,ISBLANK(Actuals!M71)),"",'Reforecast Q1 2026'!M71-Actuals!M71)</f>
        <v/>
      </c>
      <c r="AS56" s="509">
        <f>IFERROR(IF(OR(11&gt;$B$3,ISBLANK(Actuals!M71)),"",('Reforecast Q1 2026'!M71-Actuals!M71)/ABS('Reforecast Q1 2026'!M71)),"")</f>
        <v/>
      </c>
      <c r="AT56" s="508">
        <f>'Reforecast Q1 2026'!N71</f>
        <v/>
      </c>
      <c r="AU56" s="508">
        <f>IF(OR(12&gt;$B$3,ISBLANK(Actuals!N71)),"",Actuals!N71)</f>
        <v/>
      </c>
      <c r="AV56" s="509">
        <f>IF(OR(12&gt;$B$3,ISBLANK(Actuals!N71)),"",'Reforecast Q1 2026'!N71-Actuals!N71)</f>
        <v/>
      </c>
      <c r="AW56" s="509">
        <f>IFERROR(IF(OR(12&gt;$B$3,ISBLANK(Actuals!N71)),"",('Reforecast Q1 2026'!N71-Actuals!N71)/ABS('Reforecast Q1 2026'!N71)),"")</f>
        <v/>
      </c>
      <c r="AX56" s="510">
        <f>SUMPRODUCT((Actuals!C71:N71&lt;&gt;"")*('Reforecast Q1 2026'!C71:N71))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'Reforecast Q1 2026'!C72</f>
        <v/>
      </c>
      <c r="C57" s="508">
        <f>IF(OR(1&gt;$B$3,ISBLANK(Actuals!C72)),"",Actuals!C72)</f>
        <v/>
      </c>
      <c r="D57" s="509">
        <f>IF(OR(1&gt;$B$3,ISBLANK(Actuals!C72)),"",'Reforecast Q1 2026'!C72-Actuals!C72)</f>
        <v/>
      </c>
      <c r="E57" s="509">
        <f>IFERROR(IF(OR(1&gt;$B$3,ISBLANK(Actuals!C72)),"",('Reforecast Q1 2026'!C72-Actuals!C72)/ABS('Reforecast Q1 2026'!C72)),"")</f>
        <v/>
      </c>
      <c r="F57" s="508">
        <f>'Reforecast Q1 2026'!D72</f>
        <v/>
      </c>
      <c r="G57" s="508">
        <f>IF(OR(2&gt;$B$3,ISBLANK(Actuals!D72)),"",Actuals!D72)</f>
        <v/>
      </c>
      <c r="H57" s="509">
        <f>IF(OR(2&gt;$B$3,ISBLANK(Actuals!D72)),"",'Reforecast Q1 2026'!D72-Actuals!D72)</f>
        <v/>
      </c>
      <c r="I57" s="509">
        <f>IFERROR(IF(OR(2&gt;$B$3,ISBLANK(Actuals!D72)),"",('Reforecast Q1 2026'!D72-Actuals!D72)/ABS('Reforecast Q1 2026'!D72)),"")</f>
        <v/>
      </c>
      <c r="J57" s="508">
        <f>'Reforecast Q1 2026'!E72</f>
        <v/>
      </c>
      <c r="K57" s="508">
        <f>IF(OR(3&gt;$B$3,ISBLANK(Actuals!E72)),"",Actuals!E72)</f>
        <v/>
      </c>
      <c r="L57" s="509">
        <f>IF(OR(3&gt;$B$3,ISBLANK(Actuals!E72)),"",'Reforecast Q1 2026'!E72-Actuals!E72)</f>
        <v/>
      </c>
      <c r="M57" s="509">
        <f>IFERROR(IF(OR(3&gt;$B$3,ISBLANK(Actuals!E72)),"",('Reforecast Q1 2026'!E72-Actuals!E72)/ABS('Reforecast Q1 2026'!E72)),"")</f>
        <v/>
      </c>
      <c r="N57" s="508">
        <f>'Reforecast Q1 2026'!F72</f>
        <v/>
      </c>
      <c r="O57" s="508">
        <f>IF(OR(4&gt;$B$3,ISBLANK(Actuals!F72)),"",Actuals!F72)</f>
        <v/>
      </c>
      <c r="P57" s="509">
        <f>IF(OR(4&gt;$B$3,ISBLANK(Actuals!F72)),"",'Reforecast Q1 2026'!F72-Actuals!F72)</f>
        <v/>
      </c>
      <c r="Q57" s="509">
        <f>IFERROR(IF(OR(4&gt;$B$3,ISBLANK(Actuals!F72)),"",('Reforecast Q1 2026'!F72-Actuals!F72)/ABS('Reforecast Q1 2026'!F72)),"")</f>
        <v/>
      </c>
      <c r="R57" s="508">
        <f>'Reforecast Q1 2026'!G72</f>
        <v/>
      </c>
      <c r="S57" s="508">
        <f>IF(OR(5&gt;$B$3,ISBLANK(Actuals!G72)),"",Actuals!G72)</f>
        <v/>
      </c>
      <c r="T57" s="509">
        <f>IF(OR(5&gt;$B$3,ISBLANK(Actuals!G72)),"",'Reforecast Q1 2026'!G72-Actuals!G72)</f>
        <v/>
      </c>
      <c r="U57" s="509">
        <f>IFERROR(IF(OR(5&gt;$B$3,ISBLANK(Actuals!G72)),"",('Reforecast Q1 2026'!G72-Actuals!G72)/ABS('Reforecast Q1 2026'!G72)),"")</f>
        <v/>
      </c>
      <c r="V57" s="508">
        <f>'Reforecast Q1 2026'!H72</f>
        <v/>
      </c>
      <c r="W57" s="508">
        <f>IF(OR(6&gt;$B$3,ISBLANK(Actuals!H72)),"",Actuals!H72)</f>
        <v/>
      </c>
      <c r="X57" s="509">
        <f>IF(OR(6&gt;$B$3,ISBLANK(Actuals!H72)),"",'Reforecast Q1 2026'!H72-Actuals!H72)</f>
        <v/>
      </c>
      <c r="Y57" s="509">
        <f>IFERROR(IF(OR(6&gt;$B$3,ISBLANK(Actuals!H72)),"",('Reforecast Q1 2026'!H72-Actuals!H72)/ABS('Reforecast Q1 2026'!H72)),"")</f>
        <v/>
      </c>
      <c r="Z57" s="508">
        <f>'Reforecast Q1 2026'!I72</f>
        <v/>
      </c>
      <c r="AA57" s="508">
        <f>IF(OR(7&gt;$B$3,ISBLANK(Actuals!I72)),"",Actuals!I72)</f>
        <v/>
      </c>
      <c r="AB57" s="509">
        <f>IF(OR(7&gt;$B$3,ISBLANK(Actuals!I72)),"",'Reforecast Q1 2026'!I72-Actuals!I72)</f>
        <v/>
      </c>
      <c r="AC57" s="509">
        <f>IFERROR(IF(OR(7&gt;$B$3,ISBLANK(Actuals!I72)),"",('Reforecast Q1 2026'!I72-Actuals!I72)/ABS('Reforecast Q1 2026'!I72)),"")</f>
        <v/>
      </c>
      <c r="AD57" s="508">
        <f>'Reforecast Q1 2026'!J72</f>
        <v/>
      </c>
      <c r="AE57" s="508">
        <f>IF(OR(8&gt;$B$3,ISBLANK(Actuals!J72)),"",Actuals!J72)</f>
        <v/>
      </c>
      <c r="AF57" s="509">
        <f>IF(OR(8&gt;$B$3,ISBLANK(Actuals!J72)),"",'Reforecast Q1 2026'!J72-Actuals!J72)</f>
        <v/>
      </c>
      <c r="AG57" s="509">
        <f>IFERROR(IF(OR(8&gt;$B$3,ISBLANK(Actuals!J72)),"",('Reforecast Q1 2026'!J72-Actuals!J72)/ABS('Reforecast Q1 2026'!J72)),"")</f>
        <v/>
      </c>
      <c r="AH57" s="508">
        <f>'Reforecast Q1 2026'!K72</f>
        <v/>
      </c>
      <c r="AI57" s="508">
        <f>IF(OR(9&gt;$B$3,ISBLANK(Actuals!K72)),"",Actuals!K72)</f>
        <v/>
      </c>
      <c r="AJ57" s="509">
        <f>IF(OR(9&gt;$B$3,ISBLANK(Actuals!K72)),"",'Reforecast Q1 2026'!K72-Actuals!K72)</f>
        <v/>
      </c>
      <c r="AK57" s="509">
        <f>IFERROR(IF(OR(9&gt;$B$3,ISBLANK(Actuals!K72)),"",('Reforecast Q1 2026'!K72-Actuals!K72)/ABS('Reforecast Q1 2026'!K72)),"")</f>
        <v/>
      </c>
      <c r="AL57" s="508">
        <f>'Reforecast Q1 2026'!L72</f>
        <v/>
      </c>
      <c r="AM57" s="508">
        <f>IF(OR(10&gt;$B$3,ISBLANK(Actuals!L72)),"",Actuals!L72)</f>
        <v/>
      </c>
      <c r="AN57" s="509">
        <f>IF(OR(10&gt;$B$3,ISBLANK(Actuals!L72)),"",'Reforecast Q1 2026'!L72-Actuals!L72)</f>
        <v/>
      </c>
      <c r="AO57" s="509">
        <f>IFERROR(IF(OR(10&gt;$B$3,ISBLANK(Actuals!L72)),"",('Reforecast Q1 2026'!L72-Actuals!L72)/ABS('Reforecast Q1 2026'!L72)),"")</f>
        <v/>
      </c>
      <c r="AP57" s="508">
        <f>'Reforecast Q1 2026'!M72</f>
        <v/>
      </c>
      <c r="AQ57" s="508">
        <f>IF(OR(11&gt;$B$3,ISBLANK(Actuals!M72)),"",Actuals!M72)</f>
        <v/>
      </c>
      <c r="AR57" s="509">
        <f>IF(OR(11&gt;$B$3,ISBLANK(Actuals!M72)),"",'Reforecast Q1 2026'!M72-Actuals!M72)</f>
        <v/>
      </c>
      <c r="AS57" s="509">
        <f>IFERROR(IF(OR(11&gt;$B$3,ISBLANK(Actuals!M72)),"",('Reforecast Q1 2026'!M72-Actuals!M72)/ABS('Reforecast Q1 2026'!M72)),"")</f>
        <v/>
      </c>
      <c r="AT57" s="508">
        <f>'Reforecast Q1 2026'!N72</f>
        <v/>
      </c>
      <c r="AU57" s="508">
        <f>IF(OR(12&gt;$B$3,ISBLANK(Actuals!N72)),"",Actuals!N72)</f>
        <v/>
      </c>
      <c r="AV57" s="509">
        <f>IF(OR(12&gt;$B$3,ISBLANK(Actuals!N72)),"",'Reforecast Q1 2026'!N72-Actuals!N72)</f>
        <v/>
      </c>
      <c r="AW57" s="509">
        <f>IFERROR(IF(OR(12&gt;$B$3,ISBLANK(Actuals!N72)),"",('Reforecast Q1 2026'!N72-Actuals!N72)/ABS('Reforecast Q1 2026'!N72)),"")</f>
        <v/>
      </c>
      <c r="AX57" s="510">
        <f>SUMPRODUCT((Actuals!C72:N72&lt;&gt;"")*('Reforecast Q1 2026'!C72:N72))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'Reforecast Q1 2026'!C73</f>
        <v/>
      </c>
      <c r="C58" s="508">
        <f>IF(OR(1&gt;$B$3,ISBLANK(Actuals!C73)),"",Actuals!C73)</f>
        <v/>
      </c>
      <c r="D58" s="509">
        <f>IF(OR(1&gt;$B$3,ISBLANK(Actuals!C73)),"",'Reforecast Q1 2026'!C73-Actuals!C73)</f>
        <v/>
      </c>
      <c r="E58" s="509">
        <f>IFERROR(IF(OR(1&gt;$B$3,ISBLANK(Actuals!C73)),"",('Reforecast Q1 2026'!C73-Actuals!C73)/ABS('Reforecast Q1 2026'!C73)),"")</f>
        <v/>
      </c>
      <c r="F58" s="508">
        <f>'Reforecast Q1 2026'!D73</f>
        <v/>
      </c>
      <c r="G58" s="508">
        <f>IF(OR(2&gt;$B$3,ISBLANK(Actuals!D73)),"",Actuals!D73)</f>
        <v/>
      </c>
      <c r="H58" s="509">
        <f>IF(OR(2&gt;$B$3,ISBLANK(Actuals!D73)),"",'Reforecast Q1 2026'!D73-Actuals!D73)</f>
        <v/>
      </c>
      <c r="I58" s="509">
        <f>IFERROR(IF(OR(2&gt;$B$3,ISBLANK(Actuals!D73)),"",('Reforecast Q1 2026'!D73-Actuals!D73)/ABS('Reforecast Q1 2026'!D73)),"")</f>
        <v/>
      </c>
      <c r="J58" s="508">
        <f>'Reforecast Q1 2026'!E73</f>
        <v/>
      </c>
      <c r="K58" s="508">
        <f>IF(OR(3&gt;$B$3,ISBLANK(Actuals!E73)),"",Actuals!E73)</f>
        <v/>
      </c>
      <c r="L58" s="509">
        <f>IF(OR(3&gt;$B$3,ISBLANK(Actuals!E73)),"",'Reforecast Q1 2026'!E73-Actuals!E73)</f>
        <v/>
      </c>
      <c r="M58" s="509">
        <f>IFERROR(IF(OR(3&gt;$B$3,ISBLANK(Actuals!E73)),"",('Reforecast Q1 2026'!E73-Actuals!E73)/ABS('Reforecast Q1 2026'!E73)),"")</f>
        <v/>
      </c>
      <c r="N58" s="508">
        <f>'Reforecast Q1 2026'!F73</f>
        <v/>
      </c>
      <c r="O58" s="508">
        <f>IF(OR(4&gt;$B$3,ISBLANK(Actuals!F73)),"",Actuals!F73)</f>
        <v/>
      </c>
      <c r="P58" s="509">
        <f>IF(OR(4&gt;$B$3,ISBLANK(Actuals!F73)),"",'Reforecast Q1 2026'!F73-Actuals!F73)</f>
        <v/>
      </c>
      <c r="Q58" s="509">
        <f>IFERROR(IF(OR(4&gt;$B$3,ISBLANK(Actuals!F73)),"",('Reforecast Q1 2026'!F73-Actuals!F73)/ABS('Reforecast Q1 2026'!F73)),"")</f>
        <v/>
      </c>
      <c r="R58" s="508">
        <f>'Reforecast Q1 2026'!G73</f>
        <v/>
      </c>
      <c r="S58" s="508">
        <f>IF(OR(5&gt;$B$3,ISBLANK(Actuals!G73)),"",Actuals!G73)</f>
        <v/>
      </c>
      <c r="T58" s="509">
        <f>IF(OR(5&gt;$B$3,ISBLANK(Actuals!G73)),"",'Reforecast Q1 2026'!G73-Actuals!G73)</f>
        <v/>
      </c>
      <c r="U58" s="509">
        <f>IFERROR(IF(OR(5&gt;$B$3,ISBLANK(Actuals!G73)),"",('Reforecast Q1 2026'!G73-Actuals!G73)/ABS('Reforecast Q1 2026'!G73)),"")</f>
        <v/>
      </c>
      <c r="V58" s="508">
        <f>'Reforecast Q1 2026'!H73</f>
        <v/>
      </c>
      <c r="W58" s="508">
        <f>IF(OR(6&gt;$B$3,ISBLANK(Actuals!H73)),"",Actuals!H73)</f>
        <v/>
      </c>
      <c r="X58" s="509">
        <f>IF(OR(6&gt;$B$3,ISBLANK(Actuals!H73)),"",'Reforecast Q1 2026'!H73-Actuals!H73)</f>
        <v/>
      </c>
      <c r="Y58" s="509">
        <f>IFERROR(IF(OR(6&gt;$B$3,ISBLANK(Actuals!H73)),"",('Reforecast Q1 2026'!H73-Actuals!H73)/ABS('Reforecast Q1 2026'!H73)),"")</f>
        <v/>
      </c>
      <c r="Z58" s="508">
        <f>'Reforecast Q1 2026'!I73</f>
        <v/>
      </c>
      <c r="AA58" s="508">
        <f>IF(OR(7&gt;$B$3,ISBLANK(Actuals!I73)),"",Actuals!I73)</f>
        <v/>
      </c>
      <c r="AB58" s="509">
        <f>IF(OR(7&gt;$B$3,ISBLANK(Actuals!I73)),"",'Reforecast Q1 2026'!I73-Actuals!I73)</f>
        <v/>
      </c>
      <c r="AC58" s="509">
        <f>IFERROR(IF(OR(7&gt;$B$3,ISBLANK(Actuals!I73)),"",('Reforecast Q1 2026'!I73-Actuals!I73)/ABS('Reforecast Q1 2026'!I73)),"")</f>
        <v/>
      </c>
      <c r="AD58" s="508">
        <f>'Reforecast Q1 2026'!J73</f>
        <v/>
      </c>
      <c r="AE58" s="508">
        <f>IF(OR(8&gt;$B$3,ISBLANK(Actuals!J73)),"",Actuals!J73)</f>
        <v/>
      </c>
      <c r="AF58" s="509">
        <f>IF(OR(8&gt;$B$3,ISBLANK(Actuals!J73)),"",'Reforecast Q1 2026'!J73-Actuals!J73)</f>
        <v/>
      </c>
      <c r="AG58" s="509">
        <f>IFERROR(IF(OR(8&gt;$B$3,ISBLANK(Actuals!J73)),"",('Reforecast Q1 2026'!J73-Actuals!J73)/ABS('Reforecast Q1 2026'!J73)),"")</f>
        <v/>
      </c>
      <c r="AH58" s="508">
        <f>'Reforecast Q1 2026'!K73</f>
        <v/>
      </c>
      <c r="AI58" s="508">
        <f>IF(OR(9&gt;$B$3,ISBLANK(Actuals!K73)),"",Actuals!K73)</f>
        <v/>
      </c>
      <c r="AJ58" s="509">
        <f>IF(OR(9&gt;$B$3,ISBLANK(Actuals!K73)),"",'Reforecast Q1 2026'!K73-Actuals!K73)</f>
        <v/>
      </c>
      <c r="AK58" s="509">
        <f>IFERROR(IF(OR(9&gt;$B$3,ISBLANK(Actuals!K73)),"",('Reforecast Q1 2026'!K73-Actuals!K73)/ABS('Reforecast Q1 2026'!K73)),"")</f>
        <v/>
      </c>
      <c r="AL58" s="508">
        <f>'Reforecast Q1 2026'!L73</f>
        <v/>
      </c>
      <c r="AM58" s="508">
        <f>IF(OR(10&gt;$B$3,ISBLANK(Actuals!L73)),"",Actuals!L73)</f>
        <v/>
      </c>
      <c r="AN58" s="509">
        <f>IF(OR(10&gt;$B$3,ISBLANK(Actuals!L73)),"",'Reforecast Q1 2026'!L73-Actuals!L73)</f>
        <v/>
      </c>
      <c r="AO58" s="509">
        <f>IFERROR(IF(OR(10&gt;$B$3,ISBLANK(Actuals!L73)),"",('Reforecast Q1 2026'!L73-Actuals!L73)/ABS('Reforecast Q1 2026'!L73)),"")</f>
        <v/>
      </c>
      <c r="AP58" s="508">
        <f>'Reforecast Q1 2026'!M73</f>
        <v/>
      </c>
      <c r="AQ58" s="508">
        <f>IF(OR(11&gt;$B$3,ISBLANK(Actuals!M73)),"",Actuals!M73)</f>
        <v/>
      </c>
      <c r="AR58" s="509">
        <f>IF(OR(11&gt;$B$3,ISBLANK(Actuals!M73)),"",'Reforecast Q1 2026'!M73-Actuals!M73)</f>
        <v/>
      </c>
      <c r="AS58" s="509">
        <f>IFERROR(IF(OR(11&gt;$B$3,ISBLANK(Actuals!M73)),"",('Reforecast Q1 2026'!M73-Actuals!M73)/ABS('Reforecast Q1 2026'!M73)),"")</f>
        <v/>
      </c>
      <c r="AT58" s="508">
        <f>'Reforecast Q1 2026'!N73</f>
        <v/>
      </c>
      <c r="AU58" s="508">
        <f>IF(OR(12&gt;$B$3,ISBLANK(Actuals!N73)),"",Actuals!N73)</f>
        <v/>
      </c>
      <c r="AV58" s="509">
        <f>IF(OR(12&gt;$B$3,ISBLANK(Actuals!N73)),"",'Reforecast Q1 2026'!N73-Actuals!N73)</f>
        <v/>
      </c>
      <c r="AW58" s="509">
        <f>IFERROR(IF(OR(12&gt;$B$3,ISBLANK(Actuals!N73)),"",('Reforecast Q1 2026'!N73-Actuals!N73)/ABS('Reforecast Q1 2026'!N73)),"")</f>
        <v/>
      </c>
      <c r="AX58" s="510">
        <f>SUMPRODUCT((Actuals!C73:N73&lt;&gt;"")*('Reforecast Q1 2026'!C73:N73))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'Reforecast Q1 2026'!C74</f>
        <v/>
      </c>
      <c r="C59" s="508">
        <f>IF(OR(1&gt;$B$3,ISBLANK(Actuals!C74)),"",Actuals!C74)</f>
        <v/>
      </c>
      <c r="D59" s="509">
        <f>IF(OR(1&gt;$B$3,ISBLANK(Actuals!C74)),"",'Reforecast Q1 2026'!C74-Actuals!C74)</f>
        <v/>
      </c>
      <c r="E59" s="509">
        <f>IFERROR(IF(OR(1&gt;$B$3,ISBLANK(Actuals!C74)),"",('Reforecast Q1 2026'!C74-Actuals!C74)/ABS('Reforecast Q1 2026'!C74)),"")</f>
        <v/>
      </c>
      <c r="F59" s="508">
        <f>'Reforecast Q1 2026'!D74</f>
        <v/>
      </c>
      <c r="G59" s="508">
        <f>IF(OR(2&gt;$B$3,ISBLANK(Actuals!D74)),"",Actuals!D74)</f>
        <v/>
      </c>
      <c r="H59" s="509">
        <f>IF(OR(2&gt;$B$3,ISBLANK(Actuals!D74)),"",'Reforecast Q1 2026'!D74-Actuals!D74)</f>
        <v/>
      </c>
      <c r="I59" s="509">
        <f>IFERROR(IF(OR(2&gt;$B$3,ISBLANK(Actuals!D74)),"",('Reforecast Q1 2026'!D74-Actuals!D74)/ABS('Reforecast Q1 2026'!D74)),"")</f>
        <v/>
      </c>
      <c r="J59" s="508">
        <f>'Reforecast Q1 2026'!E74</f>
        <v/>
      </c>
      <c r="K59" s="508">
        <f>IF(OR(3&gt;$B$3,ISBLANK(Actuals!E74)),"",Actuals!E74)</f>
        <v/>
      </c>
      <c r="L59" s="509">
        <f>IF(OR(3&gt;$B$3,ISBLANK(Actuals!E74)),"",'Reforecast Q1 2026'!E74-Actuals!E74)</f>
        <v/>
      </c>
      <c r="M59" s="509">
        <f>IFERROR(IF(OR(3&gt;$B$3,ISBLANK(Actuals!E74)),"",('Reforecast Q1 2026'!E74-Actuals!E74)/ABS('Reforecast Q1 2026'!E74)),"")</f>
        <v/>
      </c>
      <c r="N59" s="508">
        <f>'Reforecast Q1 2026'!F74</f>
        <v/>
      </c>
      <c r="O59" s="508">
        <f>IF(OR(4&gt;$B$3,ISBLANK(Actuals!F74)),"",Actuals!F74)</f>
        <v/>
      </c>
      <c r="P59" s="509">
        <f>IF(OR(4&gt;$B$3,ISBLANK(Actuals!F74)),"",'Reforecast Q1 2026'!F74-Actuals!F74)</f>
        <v/>
      </c>
      <c r="Q59" s="509">
        <f>IFERROR(IF(OR(4&gt;$B$3,ISBLANK(Actuals!F74)),"",('Reforecast Q1 2026'!F74-Actuals!F74)/ABS('Reforecast Q1 2026'!F74)),"")</f>
        <v/>
      </c>
      <c r="R59" s="508">
        <f>'Reforecast Q1 2026'!G74</f>
        <v/>
      </c>
      <c r="S59" s="508">
        <f>IF(OR(5&gt;$B$3,ISBLANK(Actuals!G74)),"",Actuals!G74)</f>
        <v/>
      </c>
      <c r="T59" s="509">
        <f>IF(OR(5&gt;$B$3,ISBLANK(Actuals!G74)),"",'Reforecast Q1 2026'!G74-Actuals!G74)</f>
        <v/>
      </c>
      <c r="U59" s="509">
        <f>IFERROR(IF(OR(5&gt;$B$3,ISBLANK(Actuals!G74)),"",('Reforecast Q1 2026'!G74-Actuals!G74)/ABS('Reforecast Q1 2026'!G74)),"")</f>
        <v/>
      </c>
      <c r="V59" s="508">
        <f>'Reforecast Q1 2026'!H74</f>
        <v/>
      </c>
      <c r="W59" s="508">
        <f>IF(OR(6&gt;$B$3,ISBLANK(Actuals!H74)),"",Actuals!H74)</f>
        <v/>
      </c>
      <c r="X59" s="509">
        <f>IF(OR(6&gt;$B$3,ISBLANK(Actuals!H74)),"",'Reforecast Q1 2026'!H74-Actuals!H74)</f>
        <v/>
      </c>
      <c r="Y59" s="509">
        <f>IFERROR(IF(OR(6&gt;$B$3,ISBLANK(Actuals!H74)),"",('Reforecast Q1 2026'!H74-Actuals!H74)/ABS('Reforecast Q1 2026'!H74)),"")</f>
        <v/>
      </c>
      <c r="Z59" s="508">
        <f>'Reforecast Q1 2026'!I74</f>
        <v/>
      </c>
      <c r="AA59" s="508">
        <f>IF(OR(7&gt;$B$3,ISBLANK(Actuals!I74)),"",Actuals!I74)</f>
        <v/>
      </c>
      <c r="AB59" s="509">
        <f>IF(OR(7&gt;$B$3,ISBLANK(Actuals!I74)),"",'Reforecast Q1 2026'!I74-Actuals!I74)</f>
        <v/>
      </c>
      <c r="AC59" s="509">
        <f>IFERROR(IF(OR(7&gt;$B$3,ISBLANK(Actuals!I74)),"",('Reforecast Q1 2026'!I74-Actuals!I74)/ABS('Reforecast Q1 2026'!I74)),"")</f>
        <v/>
      </c>
      <c r="AD59" s="508">
        <f>'Reforecast Q1 2026'!J74</f>
        <v/>
      </c>
      <c r="AE59" s="508">
        <f>IF(OR(8&gt;$B$3,ISBLANK(Actuals!J74)),"",Actuals!J74)</f>
        <v/>
      </c>
      <c r="AF59" s="509">
        <f>IF(OR(8&gt;$B$3,ISBLANK(Actuals!J74)),"",'Reforecast Q1 2026'!J74-Actuals!J74)</f>
        <v/>
      </c>
      <c r="AG59" s="509">
        <f>IFERROR(IF(OR(8&gt;$B$3,ISBLANK(Actuals!J74)),"",('Reforecast Q1 2026'!J74-Actuals!J74)/ABS('Reforecast Q1 2026'!J74)),"")</f>
        <v/>
      </c>
      <c r="AH59" s="508">
        <f>'Reforecast Q1 2026'!K74</f>
        <v/>
      </c>
      <c r="AI59" s="508">
        <f>IF(OR(9&gt;$B$3,ISBLANK(Actuals!K74)),"",Actuals!K74)</f>
        <v/>
      </c>
      <c r="AJ59" s="509">
        <f>IF(OR(9&gt;$B$3,ISBLANK(Actuals!K74)),"",'Reforecast Q1 2026'!K74-Actuals!K74)</f>
        <v/>
      </c>
      <c r="AK59" s="509">
        <f>IFERROR(IF(OR(9&gt;$B$3,ISBLANK(Actuals!K74)),"",('Reforecast Q1 2026'!K74-Actuals!K74)/ABS('Reforecast Q1 2026'!K74)),"")</f>
        <v/>
      </c>
      <c r="AL59" s="508">
        <f>'Reforecast Q1 2026'!L74</f>
        <v/>
      </c>
      <c r="AM59" s="508">
        <f>IF(OR(10&gt;$B$3,ISBLANK(Actuals!L74)),"",Actuals!L74)</f>
        <v/>
      </c>
      <c r="AN59" s="509">
        <f>IF(OR(10&gt;$B$3,ISBLANK(Actuals!L74)),"",'Reforecast Q1 2026'!L74-Actuals!L74)</f>
        <v/>
      </c>
      <c r="AO59" s="509">
        <f>IFERROR(IF(OR(10&gt;$B$3,ISBLANK(Actuals!L74)),"",('Reforecast Q1 2026'!L74-Actuals!L74)/ABS('Reforecast Q1 2026'!L74)),"")</f>
        <v/>
      </c>
      <c r="AP59" s="508">
        <f>'Reforecast Q1 2026'!M74</f>
        <v/>
      </c>
      <c r="AQ59" s="508">
        <f>IF(OR(11&gt;$B$3,ISBLANK(Actuals!M74)),"",Actuals!M74)</f>
        <v/>
      </c>
      <c r="AR59" s="509">
        <f>IF(OR(11&gt;$B$3,ISBLANK(Actuals!M74)),"",'Reforecast Q1 2026'!M74-Actuals!M74)</f>
        <v/>
      </c>
      <c r="AS59" s="509">
        <f>IFERROR(IF(OR(11&gt;$B$3,ISBLANK(Actuals!M74)),"",('Reforecast Q1 2026'!M74-Actuals!M74)/ABS('Reforecast Q1 2026'!M74)),"")</f>
        <v/>
      </c>
      <c r="AT59" s="508">
        <f>'Reforecast Q1 2026'!N74</f>
        <v/>
      </c>
      <c r="AU59" s="508">
        <f>IF(OR(12&gt;$B$3,ISBLANK(Actuals!N74)),"",Actuals!N74)</f>
        <v/>
      </c>
      <c r="AV59" s="509">
        <f>IF(OR(12&gt;$B$3,ISBLANK(Actuals!N74)),"",'Reforecast Q1 2026'!N74-Actuals!N74)</f>
        <v/>
      </c>
      <c r="AW59" s="509">
        <f>IFERROR(IF(OR(12&gt;$B$3,ISBLANK(Actuals!N74)),"",('Reforecast Q1 2026'!N74-Actuals!N74)/ABS('Reforecast Q1 2026'!N74)),"")</f>
        <v/>
      </c>
      <c r="AX59" s="510">
        <f>SUMPRODUCT((Actuals!C74:N74&lt;&gt;"")*('Reforecast Q1 2026'!C74:N74))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'Reforecast Q1 2026'!C75</f>
        <v/>
      </c>
      <c r="C60" s="508">
        <f>IF(OR(1&gt;$B$3,ISBLANK(Actuals!C75)),"",Actuals!C75)</f>
        <v/>
      </c>
      <c r="D60" s="509">
        <f>IF(OR(1&gt;$B$3,ISBLANK(Actuals!C75)),"",'Reforecast Q1 2026'!C75-Actuals!C75)</f>
        <v/>
      </c>
      <c r="E60" s="509">
        <f>IFERROR(IF(OR(1&gt;$B$3,ISBLANK(Actuals!C75)),"",('Reforecast Q1 2026'!C75-Actuals!C75)/ABS('Reforecast Q1 2026'!C75)),"")</f>
        <v/>
      </c>
      <c r="F60" s="508">
        <f>'Reforecast Q1 2026'!D75</f>
        <v/>
      </c>
      <c r="G60" s="508">
        <f>IF(OR(2&gt;$B$3,ISBLANK(Actuals!D75)),"",Actuals!D75)</f>
        <v/>
      </c>
      <c r="H60" s="509">
        <f>IF(OR(2&gt;$B$3,ISBLANK(Actuals!D75)),"",'Reforecast Q1 2026'!D75-Actuals!D75)</f>
        <v/>
      </c>
      <c r="I60" s="509">
        <f>IFERROR(IF(OR(2&gt;$B$3,ISBLANK(Actuals!D75)),"",('Reforecast Q1 2026'!D75-Actuals!D75)/ABS('Reforecast Q1 2026'!D75)),"")</f>
        <v/>
      </c>
      <c r="J60" s="508">
        <f>'Reforecast Q1 2026'!E75</f>
        <v/>
      </c>
      <c r="K60" s="508">
        <f>IF(OR(3&gt;$B$3,ISBLANK(Actuals!E75)),"",Actuals!E75)</f>
        <v/>
      </c>
      <c r="L60" s="509">
        <f>IF(OR(3&gt;$B$3,ISBLANK(Actuals!E75)),"",'Reforecast Q1 2026'!E75-Actuals!E75)</f>
        <v/>
      </c>
      <c r="M60" s="509">
        <f>IFERROR(IF(OR(3&gt;$B$3,ISBLANK(Actuals!E75)),"",('Reforecast Q1 2026'!E75-Actuals!E75)/ABS('Reforecast Q1 2026'!E75)),"")</f>
        <v/>
      </c>
      <c r="N60" s="508">
        <f>'Reforecast Q1 2026'!F75</f>
        <v/>
      </c>
      <c r="O60" s="508">
        <f>IF(OR(4&gt;$B$3,ISBLANK(Actuals!F75)),"",Actuals!F75)</f>
        <v/>
      </c>
      <c r="P60" s="509">
        <f>IF(OR(4&gt;$B$3,ISBLANK(Actuals!F75)),"",'Reforecast Q1 2026'!F75-Actuals!F75)</f>
        <v/>
      </c>
      <c r="Q60" s="509">
        <f>IFERROR(IF(OR(4&gt;$B$3,ISBLANK(Actuals!F75)),"",('Reforecast Q1 2026'!F75-Actuals!F75)/ABS('Reforecast Q1 2026'!F75)),"")</f>
        <v/>
      </c>
      <c r="R60" s="508">
        <f>'Reforecast Q1 2026'!G75</f>
        <v/>
      </c>
      <c r="S60" s="508">
        <f>IF(OR(5&gt;$B$3,ISBLANK(Actuals!G75)),"",Actuals!G75)</f>
        <v/>
      </c>
      <c r="T60" s="509">
        <f>IF(OR(5&gt;$B$3,ISBLANK(Actuals!G75)),"",'Reforecast Q1 2026'!G75-Actuals!G75)</f>
        <v/>
      </c>
      <c r="U60" s="509">
        <f>IFERROR(IF(OR(5&gt;$B$3,ISBLANK(Actuals!G75)),"",('Reforecast Q1 2026'!G75-Actuals!G75)/ABS('Reforecast Q1 2026'!G75)),"")</f>
        <v/>
      </c>
      <c r="V60" s="508">
        <f>'Reforecast Q1 2026'!H75</f>
        <v/>
      </c>
      <c r="W60" s="508">
        <f>IF(OR(6&gt;$B$3,ISBLANK(Actuals!H75)),"",Actuals!H75)</f>
        <v/>
      </c>
      <c r="X60" s="509">
        <f>IF(OR(6&gt;$B$3,ISBLANK(Actuals!H75)),"",'Reforecast Q1 2026'!H75-Actuals!H75)</f>
        <v/>
      </c>
      <c r="Y60" s="509">
        <f>IFERROR(IF(OR(6&gt;$B$3,ISBLANK(Actuals!H75)),"",('Reforecast Q1 2026'!H75-Actuals!H75)/ABS('Reforecast Q1 2026'!H75)),"")</f>
        <v/>
      </c>
      <c r="Z60" s="508">
        <f>'Reforecast Q1 2026'!I75</f>
        <v/>
      </c>
      <c r="AA60" s="508">
        <f>IF(OR(7&gt;$B$3,ISBLANK(Actuals!I75)),"",Actuals!I75)</f>
        <v/>
      </c>
      <c r="AB60" s="509">
        <f>IF(OR(7&gt;$B$3,ISBLANK(Actuals!I75)),"",'Reforecast Q1 2026'!I75-Actuals!I75)</f>
        <v/>
      </c>
      <c r="AC60" s="509">
        <f>IFERROR(IF(OR(7&gt;$B$3,ISBLANK(Actuals!I75)),"",('Reforecast Q1 2026'!I75-Actuals!I75)/ABS('Reforecast Q1 2026'!I75)),"")</f>
        <v/>
      </c>
      <c r="AD60" s="508">
        <f>'Reforecast Q1 2026'!J75</f>
        <v/>
      </c>
      <c r="AE60" s="508">
        <f>IF(OR(8&gt;$B$3,ISBLANK(Actuals!J75)),"",Actuals!J75)</f>
        <v/>
      </c>
      <c r="AF60" s="509">
        <f>IF(OR(8&gt;$B$3,ISBLANK(Actuals!J75)),"",'Reforecast Q1 2026'!J75-Actuals!J75)</f>
        <v/>
      </c>
      <c r="AG60" s="509">
        <f>IFERROR(IF(OR(8&gt;$B$3,ISBLANK(Actuals!J75)),"",('Reforecast Q1 2026'!J75-Actuals!J75)/ABS('Reforecast Q1 2026'!J75)),"")</f>
        <v/>
      </c>
      <c r="AH60" s="508">
        <f>'Reforecast Q1 2026'!K75</f>
        <v/>
      </c>
      <c r="AI60" s="508">
        <f>IF(OR(9&gt;$B$3,ISBLANK(Actuals!K75)),"",Actuals!K75)</f>
        <v/>
      </c>
      <c r="AJ60" s="509">
        <f>IF(OR(9&gt;$B$3,ISBLANK(Actuals!K75)),"",'Reforecast Q1 2026'!K75-Actuals!K75)</f>
        <v/>
      </c>
      <c r="AK60" s="509">
        <f>IFERROR(IF(OR(9&gt;$B$3,ISBLANK(Actuals!K75)),"",('Reforecast Q1 2026'!K75-Actuals!K75)/ABS('Reforecast Q1 2026'!K75)),"")</f>
        <v/>
      </c>
      <c r="AL60" s="508">
        <f>'Reforecast Q1 2026'!L75</f>
        <v/>
      </c>
      <c r="AM60" s="508">
        <f>IF(OR(10&gt;$B$3,ISBLANK(Actuals!L75)),"",Actuals!L75)</f>
        <v/>
      </c>
      <c r="AN60" s="509">
        <f>IF(OR(10&gt;$B$3,ISBLANK(Actuals!L75)),"",'Reforecast Q1 2026'!L75-Actuals!L75)</f>
        <v/>
      </c>
      <c r="AO60" s="509">
        <f>IFERROR(IF(OR(10&gt;$B$3,ISBLANK(Actuals!L75)),"",('Reforecast Q1 2026'!L75-Actuals!L75)/ABS('Reforecast Q1 2026'!L75)),"")</f>
        <v/>
      </c>
      <c r="AP60" s="508">
        <f>'Reforecast Q1 2026'!M75</f>
        <v/>
      </c>
      <c r="AQ60" s="508">
        <f>IF(OR(11&gt;$B$3,ISBLANK(Actuals!M75)),"",Actuals!M75)</f>
        <v/>
      </c>
      <c r="AR60" s="509">
        <f>IF(OR(11&gt;$B$3,ISBLANK(Actuals!M75)),"",'Reforecast Q1 2026'!M75-Actuals!M75)</f>
        <v/>
      </c>
      <c r="AS60" s="509">
        <f>IFERROR(IF(OR(11&gt;$B$3,ISBLANK(Actuals!M75)),"",('Reforecast Q1 2026'!M75-Actuals!M75)/ABS('Reforecast Q1 2026'!M75)),"")</f>
        <v/>
      </c>
      <c r="AT60" s="508">
        <f>'Reforecast Q1 2026'!N75</f>
        <v/>
      </c>
      <c r="AU60" s="508">
        <f>IF(OR(12&gt;$B$3,ISBLANK(Actuals!N75)),"",Actuals!N75)</f>
        <v/>
      </c>
      <c r="AV60" s="509">
        <f>IF(OR(12&gt;$B$3,ISBLANK(Actuals!N75)),"",'Reforecast Q1 2026'!N75-Actuals!N75)</f>
        <v/>
      </c>
      <c r="AW60" s="509">
        <f>IFERROR(IF(OR(12&gt;$B$3,ISBLANK(Actuals!N75)),"",('Reforecast Q1 2026'!N75-Actuals!N75)/ABS('Reforecast Q1 2026'!N75)),"")</f>
        <v/>
      </c>
      <c r="AX60" s="510">
        <f>SUMPRODUCT((Actuals!C75:N75&lt;&gt;"")*('Reforecast Q1 2026'!C75:N75))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'Reforecast Q1 2026'!C76</f>
        <v/>
      </c>
      <c r="C61" s="508">
        <f>IF(OR(1&gt;$B$3,ISBLANK(Actuals!C76)),"",Actuals!C76)</f>
        <v/>
      </c>
      <c r="D61" s="509">
        <f>IF(OR(1&gt;$B$3,ISBLANK(Actuals!C76)),"",'Reforecast Q1 2026'!C76-Actuals!C76)</f>
        <v/>
      </c>
      <c r="E61" s="509">
        <f>IFERROR(IF(OR(1&gt;$B$3,ISBLANK(Actuals!C76)),"",('Reforecast Q1 2026'!C76-Actuals!C76)/ABS('Reforecast Q1 2026'!C76)),"")</f>
        <v/>
      </c>
      <c r="F61" s="508">
        <f>'Reforecast Q1 2026'!D76</f>
        <v/>
      </c>
      <c r="G61" s="508">
        <f>IF(OR(2&gt;$B$3,ISBLANK(Actuals!D76)),"",Actuals!D76)</f>
        <v/>
      </c>
      <c r="H61" s="509">
        <f>IF(OR(2&gt;$B$3,ISBLANK(Actuals!D76)),"",'Reforecast Q1 2026'!D76-Actuals!D76)</f>
        <v/>
      </c>
      <c r="I61" s="509">
        <f>IFERROR(IF(OR(2&gt;$B$3,ISBLANK(Actuals!D76)),"",('Reforecast Q1 2026'!D76-Actuals!D76)/ABS('Reforecast Q1 2026'!D76)),"")</f>
        <v/>
      </c>
      <c r="J61" s="508">
        <f>'Reforecast Q1 2026'!E76</f>
        <v/>
      </c>
      <c r="K61" s="508">
        <f>IF(OR(3&gt;$B$3,ISBLANK(Actuals!E76)),"",Actuals!E76)</f>
        <v/>
      </c>
      <c r="L61" s="509">
        <f>IF(OR(3&gt;$B$3,ISBLANK(Actuals!E76)),"",'Reforecast Q1 2026'!E76-Actuals!E76)</f>
        <v/>
      </c>
      <c r="M61" s="509">
        <f>IFERROR(IF(OR(3&gt;$B$3,ISBLANK(Actuals!E76)),"",('Reforecast Q1 2026'!E76-Actuals!E76)/ABS('Reforecast Q1 2026'!E76)),"")</f>
        <v/>
      </c>
      <c r="N61" s="508">
        <f>'Reforecast Q1 2026'!F76</f>
        <v/>
      </c>
      <c r="O61" s="508">
        <f>IF(OR(4&gt;$B$3,ISBLANK(Actuals!F76)),"",Actuals!F76)</f>
        <v/>
      </c>
      <c r="P61" s="509">
        <f>IF(OR(4&gt;$B$3,ISBLANK(Actuals!F76)),"",'Reforecast Q1 2026'!F76-Actuals!F76)</f>
        <v/>
      </c>
      <c r="Q61" s="509">
        <f>IFERROR(IF(OR(4&gt;$B$3,ISBLANK(Actuals!F76)),"",('Reforecast Q1 2026'!F76-Actuals!F76)/ABS('Reforecast Q1 2026'!F76)),"")</f>
        <v/>
      </c>
      <c r="R61" s="508">
        <f>'Reforecast Q1 2026'!G76</f>
        <v/>
      </c>
      <c r="S61" s="508">
        <f>IF(OR(5&gt;$B$3,ISBLANK(Actuals!G76)),"",Actuals!G76)</f>
        <v/>
      </c>
      <c r="T61" s="509">
        <f>IF(OR(5&gt;$B$3,ISBLANK(Actuals!G76)),"",'Reforecast Q1 2026'!G76-Actuals!G76)</f>
        <v/>
      </c>
      <c r="U61" s="509">
        <f>IFERROR(IF(OR(5&gt;$B$3,ISBLANK(Actuals!G76)),"",('Reforecast Q1 2026'!G76-Actuals!G76)/ABS('Reforecast Q1 2026'!G76)),"")</f>
        <v/>
      </c>
      <c r="V61" s="508">
        <f>'Reforecast Q1 2026'!H76</f>
        <v/>
      </c>
      <c r="W61" s="508">
        <f>IF(OR(6&gt;$B$3,ISBLANK(Actuals!H76)),"",Actuals!H76)</f>
        <v/>
      </c>
      <c r="X61" s="509">
        <f>IF(OR(6&gt;$B$3,ISBLANK(Actuals!H76)),"",'Reforecast Q1 2026'!H76-Actuals!H76)</f>
        <v/>
      </c>
      <c r="Y61" s="509">
        <f>IFERROR(IF(OR(6&gt;$B$3,ISBLANK(Actuals!H76)),"",('Reforecast Q1 2026'!H76-Actuals!H76)/ABS('Reforecast Q1 2026'!H76)),"")</f>
        <v/>
      </c>
      <c r="Z61" s="508">
        <f>'Reforecast Q1 2026'!I76</f>
        <v/>
      </c>
      <c r="AA61" s="508">
        <f>IF(OR(7&gt;$B$3,ISBLANK(Actuals!I76)),"",Actuals!I76)</f>
        <v/>
      </c>
      <c r="AB61" s="509">
        <f>IF(OR(7&gt;$B$3,ISBLANK(Actuals!I76)),"",'Reforecast Q1 2026'!I76-Actuals!I76)</f>
        <v/>
      </c>
      <c r="AC61" s="509">
        <f>IFERROR(IF(OR(7&gt;$B$3,ISBLANK(Actuals!I76)),"",('Reforecast Q1 2026'!I76-Actuals!I76)/ABS('Reforecast Q1 2026'!I76)),"")</f>
        <v/>
      </c>
      <c r="AD61" s="508">
        <f>'Reforecast Q1 2026'!J76</f>
        <v/>
      </c>
      <c r="AE61" s="508">
        <f>IF(OR(8&gt;$B$3,ISBLANK(Actuals!J76)),"",Actuals!J76)</f>
        <v/>
      </c>
      <c r="AF61" s="509">
        <f>IF(OR(8&gt;$B$3,ISBLANK(Actuals!J76)),"",'Reforecast Q1 2026'!J76-Actuals!J76)</f>
        <v/>
      </c>
      <c r="AG61" s="509">
        <f>IFERROR(IF(OR(8&gt;$B$3,ISBLANK(Actuals!J76)),"",('Reforecast Q1 2026'!J76-Actuals!J76)/ABS('Reforecast Q1 2026'!J76)),"")</f>
        <v/>
      </c>
      <c r="AH61" s="508">
        <f>'Reforecast Q1 2026'!K76</f>
        <v/>
      </c>
      <c r="AI61" s="508">
        <f>IF(OR(9&gt;$B$3,ISBLANK(Actuals!K76)),"",Actuals!K76)</f>
        <v/>
      </c>
      <c r="AJ61" s="509">
        <f>IF(OR(9&gt;$B$3,ISBLANK(Actuals!K76)),"",'Reforecast Q1 2026'!K76-Actuals!K76)</f>
        <v/>
      </c>
      <c r="AK61" s="509">
        <f>IFERROR(IF(OR(9&gt;$B$3,ISBLANK(Actuals!K76)),"",('Reforecast Q1 2026'!K76-Actuals!K76)/ABS('Reforecast Q1 2026'!K76)),"")</f>
        <v/>
      </c>
      <c r="AL61" s="508">
        <f>'Reforecast Q1 2026'!L76</f>
        <v/>
      </c>
      <c r="AM61" s="508">
        <f>IF(OR(10&gt;$B$3,ISBLANK(Actuals!L76)),"",Actuals!L76)</f>
        <v/>
      </c>
      <c r="AN61" s="509">
        <f>IF(OR(10&gt;$B$3,ISBLANK(Actuals!L76)),"",'Reforecast Q1 2026'!L76-Actuals!L76)</f>
        <v/>
      </c>
      <c r="AO61" s="509">
        <f>IFERROR(IF(OR(10&gt;$B$3,ISBLANK(Actuals!L76)),"",('Reforecast Q1 2026'!L76-Actuals!L76)/ABS('Reforecast Q1 2026'!L76)),"")</f>
        <v/>
      </c>
      <c r="AP61" s="508">
        <f>'Reforecast Q1 2026'!M76</f>
        <v/>
      </c>
      <c r="AQ61" s="508">
        <f>IF(OR(11&gt;$B$3,ISBLANK(Actuals!M76)),"",Actuals!M76)</f>
        <v/>
      </c>
      <c r="AR61" s="509">
        <f>IF(OR(11&gt;$B$3,ISBLANK(Actuals!M76)),"",'Reforecast Q1 2026'!M76-Actuals!M76)</f>
        <v/>
      </c>
      <c r="AS61" s="509">
        <f>IFERROR(IF(OR(11&gt;$B$3,ISBLANK(Actuals!M76)),"",('Reforecast Q1 2026'!M76-Actuals!M76)/ABS('Reforecast Q1 2026'!M76)),"")</f>
        <v/>
      </c>
      <c r="AT61" s="508">
        <f>'Reforecast Q1 2026'!N76</f>
        <v/>
      </c>
      <c r="AU61" s="508">
        <f>IF(OR(12&gt;$B$3,ISBLANK(Actuals!N76)),"",Actuals!N76)</f>
        <v/>
      </c>
      <c r="AV61" s="509">
        <f>IF(OR(12&gt;$B$3,ISBLANK(Actuals!N76)),"",'Reforecast Q1 2026'!N76-Actuals!N76)</f>
        <v/>
      </c>
      <c r="AW61" s="509">
        <f>IFERROR(IF(OR(12&gt;$B$3,ISBLANK(Actuals!N76)),"",('Reforecast Q1 2026'!N76-Actuals!N76)/ABS('Reforecast Q1 2026'!N76)),"")</f>
        <v/>
      </c>
      <c r="AX61" s="510">
        <f>SUMPRODUCT((Actuals!C76:N76&lt;&gt;"")*('Reforecast Q1 2026'!C76:N76))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'Reforecast Q1 2026'!C77</f>
        <v/>
      </c>
      <c r="C62" s="508">
        <f>IF(OR(1&gt;$B$3,ISBLANK(Actuals!C77)),"",Actuals!C77)</f>
        <v/>
      </c>
      <c r="D62" s="509">
        <f>IF(OR(1&gt;$B$3,ISBLANK(Actuals!C77)),"",'Reforecast Q1 2026'!C77-Actuals!C77)</f>
        <v/>
      </c>
      <c r="E62" s="509">
        <f>IFERROR(IF(OR(1&gt;$B$3,ISBLANK(Actuals!C77)),"",('Reforecast Q1 2026'!C77-Actuals!C77)/ABS('Reforecast Q1 2026'!C77)),"")</f>
        <v/>
      </c>
      <c r="F62" s="508">
        <f>'Reforecast Q1 2026'!D77</f>
        <v/>
      </c>
      <c r="G62" s="508">
        <f>IF(OR(2&gt;$B$3,ISBLANK(Actuals!D77)),"",Actuals!D77)</f>
        <v/>
      </c>
      <c r="H62" s="509">
        <f>IF(OR(2&gt;$B$3,ISBLANK(Actuals!D77)),"",'Reforecast Q1 2026'!D77-Actuals!D77)</f>
        <v/>
      </c>
      <c r="I62" s="509">
        <f>IFERROR(IF(OR(2&gt;$B$3,ISBLANK(Actuals!D77)),"",('Reforecast Q1 2026'!D77-Actuals!D77)/ABS('Reforecast Q1 2026'!D77)),"")</f>
        <v/>
      </c>
      <c r="J62" s="508">
        <f>'Reforecast Q1 2026'!E77</f>
        <v/>
      </c>
      <c r="K62" s="508">
        <f>IF(OR(3&gt;$B$3,ISBLANK(Actuals!E77)),"",Actuals!E77)</f>
        <v/>
      </c>
      <c r="L62" s="509">
        <f>IF(OR(3&gt;$B$3,ISBLANK(Actuals!E77)),"",'Reforecast Q1 2026'!E77-Actuals!E77)</f>
        <v/>
      </c>
      <c r="M62" s="509">
        <f>IFERROR(IF(OR(3&gt;$B$3,ISBLANK(Actuals!E77)),"",('Reforecast Q1 2026'!E77-Actuals!E77)/ABS('Reforecast Q1 2026'!E77)),"")</f>
        <v/>
      </c>
      <c r="N62" s="508">
        <f>'Reforecast Q1 2026'!F77</f>
        <v/>
      </c>
      <c r="O62" s="508">
        <f>IF(OR(4&gt;$B$3,ISBLANK(Actuals!F77)),"",Actuals!F77)</f>
        <v/>
      </c>
      <c r="P62" s="509">
        <f>IF(OR(4&gt;$B$3,ISBLANK(Actuals!F77)),"",'Reforecast Q1 2026'!F77-Actuals!F77)</f>
        <v/>
      </c>
      <c r="Q62" s="509">
        <f>IFERROR(IF(OR(4&gt;$B$3,ISBLANK(Actuals!F77)),"",('Reforecast Q1 2026'!F77-Actuals!F77)/ABS('Reforecast Q1 2026'!F77)),"")</f>
        <v/>
      </c>
      <c r="R62" s="508">
        <f>'Reforecast Q1 2026'!G77</f>
        <v/>
      </c>
      <c r="S62" s="508">
        <f>IF(OR(5&gt;$B$3,ISBLANK(Actuals!G77)),"",Actuals!G77)</f>
        <v/>
      </c>
      <c r="T62" s="509">
        <f>IF(OR(5&gt;$B$3,ISBLANK(Actuals!G77)),"",'Reforecast Q1 2026'!G77-Actuals!G77)</f>
        <v/>
      </c>
      <c r="U62" s="509">
        <f>IFERROR(IF(OR(5&gt;$B$3,ISBLANK(Actuals!G77)),"",('Reforecast Q1 2026'!G77-Actuals!G77)/ABS('Reforecast Q1 2026'!G77)),"")</f>
        <v/>
      </c>
      <c r="V62" s="508">
        <f>'Reforecast Q1 2026'!H77</f>
        <v/>
      </c>
      <c r="W62" s="508">
        <f>IF(OR(6&gt;$B$3,ISBLANK(Actuals!H77)),"",Actuals!H77)</f>
        <v/>
      </c>
      <c r="X62" s="509">
        <f>IF(OR(6&gt;$B$3,ISBLANK(Actuals!H77)),"",'Reforecast Q1 2026'!H77-Actuals!H77)</f>
        <v/>
      </c>
      <c r="Y62" s="509">
        <f>IFERROR(IF(OR(6&gt;$B$3,ISBLANK(Actuals!H77)),"",('Reforecast Q1 2026'!H77-Actuals!H77)/ABS('Reforecast Q1 2026'!H77)),"")</f>
        <v/>
      </c>
      <c r="Z62" s="508">
        <f>'Reforecast Q1 2026'!I77</f>
        <v/>
      </c>
      <c r="AA62" s="508">
        <f>IF(OR(7&gt;$B$3,ISBLANK(Actuals!I77)),"",Actuals!I77)</f>
        <v/>
      </c>
      <c r="AB62" s="509">
        <f>IF(OR(7&gt;$B$3,ISBLANK(Actuals!I77)),"",'Reforecast Q1 2026'!I77-Actuals!I77)</f>
        <v/>
      </c>
      <c r="AC62" s="509">
        <f>IFERROR(IF(OR(7&gt;$B$3,ISBLANK(Actuals!I77)),"",('Reforecast Q1 2026'!I77-Actuals!I77)/ABS('Reforecast Q1 2026'!I77)),"")</f>
        <v/>
      </c>
      <c r="AD62" s="508">
        <f>'Reforecast Q1 2026'!J77</f>
        <v/>
      </c>
      <c r="AE62" s="508">
        <f>IF(OR(8&gt;$B$3,ISBLANK(Actuals!J77)),"",Actuals!J77)</f>
        <v/>
      </c>
      <c r="AF62" s="509">
        <f>IF(OR(8&gt;$B$3,ISBLANK(Actuals!J77)),"",'Reforecast Q1 2026'!J77-Actuals!J77)</f>
        <v/>
      </c>
      <c r="AG62" s="509">
        <f>IFERROR(IF(OR(8&gt;$B$3,ISBLANK(Actuals!J77)),"",('Reforecast Q1 2026'!J77-Actuals!J77)/ABS('Reforecast Q1 2026'!J77)),"")</f>
        <v/>
      </c>
      <c r="AH62" s="508">
        <f>'Reforecast Q1 2026'!K77</f>
        <v/>
      </c>
      <c r="AI62" s="508">
        <f>IF(OR(9&gt;$B$3,ISBLANK(Actuals!K77)),"",Actuals!K77)</f>
        <v/>
      </c>
      <c r="AJ62" s="509">
        <f>IF(OR(9&gt;$B$3,ISBLANK(Actuals!K77)),"",'Reforecast Q1 2026'!K77-Actuals!K77)</f>
        <v/>
      </c>
      <c r="AK62" s="509">
        <f>IFERROR(IF(OR(9&gt;$B$3,ISBLANK(Actuals!K77)),"",('Reforecast Q1 2026'!K77-Actuals!K77)/ABS('Reforecast Q1 2026'!K77)),"")</f>
        <v/>
      </c>
      <c r="AL62" s="508">
        <f>'Reforecast Q1 2026'!L77</f>
        <v/>
      </c>
      <c r="AM62" s="508">
        <f>IF(OR(10&gt;$B$3,ISBLANK(Actuals!L77)),"",Actuals!L77)</f>
        <v/>
      </c>
      <c r="AN62" s="509">
        <f>IF(OR(10&gt;$B$3,ISBLANK(Actuals!L77)),"",'Reforecast Q1 2026'!L77-Actuals!L77)</f>
        <v/>
      </c>
      <c r="AO62" s="509">
        <f>IFERROR(IF(OR(10&gt;$B$3,ISBLANK(Actuals!L77)),"",('Reforecast Q1 2026'!L77-Actuals!L77)/ABS('Reforecast Q1 2026'!L77)),"")</f>
        <v/>
      </c>
      <c r="AP62" s="508">
        <f>'Reforecast Q1 2026'!M77</f>
        <v/>
      </c>
      <c r="AQ62" s="508">
        <f>IF(OR(11&gt;$B$3,ISBLANK(Actuals!M77)),"",Actuals!M77)</f>
        <v/>
      </c>
      <c r="AR62" s="509">
        <f>IF(OR(11&gt;$B$3,ISBLANK(Actuals!M77)),"",'Reforecast Q1 2026'!M77-Actuals!M77)</f>
        <v/>
      </c>
      <c r="AS62" s="509">
        <f>IFERROR(IF(OR(11&gt;$B$3,ISBLANK(Actuals!M77)),"",('Reforecast Q1 2026'!M77-Actuals!M77)/ABS('Reforecast Q1 2026'!M77)),"")</f>
        <v/>
      </c>
      <c r="AT62" s="508">
        <f>'Reforecast Q1 2026'!N77</f>
        <v/>
      </c>
      <c r="AU62" s="508">
        <f>IF(OR(12&gt;$B$3,ISBLANK(Actuals!N77)),"",Actuals!N77)</f>
        <v/>
      </c>
      <c r="AV62" s="509">
        <f>IF(OR(12&gt;$B$3,ISBLANK(Actuals!N77)),"",'Reforecast Q1 2026'!N77-Actuals!N77)</f>
        <v/>
      </c>
      <c r="AW62" s="509">
        <f>IFERROR(IF(OR(12&gt;$B$3,ISBLANK(Actuals!N77)),"",('Reforecast Q1 2026'!N77-Actuals!N77)/ABS('Reforecast Q1 2026'!N77)),"")</f>
        <v/>
      </c>
      <c r="AX62" s="510">
        <f>SUMPRODUCT((Actuals!C77:N77&lt;&gt;"")*('Reforecast Q1 2026'!C77:N77))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'Reforecast Q1 2026'!C78</f>
        <v/>
      </c>
      <c r="C63" s="508">
        <f>IF(OR(1&gt;$B$3,ISBLANK(Actuals!C78)),"",Actuals!C78)</f>
        <v/>
      </c>
      <c r="D63" s="509">
        <f>IF(OR(1&gt;$B$3,ISBLANK(Actuals!C78)),"",'Reforecast Q1 2026'!C78-Actuals!C78)</f>
        <v/>
      </c>
      <c r="E63" s="509">
        <f>IFERROR(IF(OR(1&gt;$B$3,ISBLANK(Actuals!C78)),"",('Reforecast Q1 2026'!C78-Actuals!C78)/ABS('Reforecast Q1 2026'!C78)),"")</f>
        <v/>
      </c>
      <c r="F63" s="508">
        <f>'Reforecast Q1 2026'!D78</f>
        <v/>
      </c>
      <c r="G63" s="508">
        <f>IF(OR(2&gt;$B$3,ISBLANK(Actuals!D78)),"",Actuals!D78)</f>
        <v/>
      </c>
      <c r="H63" s="509">
        <f>IF(OR(2&gt;$B$3,ISBLANK(Actuals!D78)),"",'Reforecast Q1 2026'!D78-Actuals!D78)</f>
        <v/>
      </c>
      <c r="I63" s="509">
        <f>IFERROR(IF(OR(2&gt;$B$3,ISBLANK(Actuals!D78)),"",('Reforecast Q1 2026'!D78-Actuals!D78)/ABS('Reforecast Q1 2026'!D78)),"")</f>
        <v/>
      </c>
      <c r="J63" s="508">
        <f>'Reforecast Q1 2026'!E78</f>
        <v/>
      </c>
      <c r="K63" s="508">
        <f>IF(OR(3&gt;$B$3,ISBLANK(Actuals!E78)),"",Actuals!E78)</f>
        <v/>
      </c>
      <c r="L63" s="509">
        <f>IF(OR(3&gt;$B$3,ISBLANK(Actuals!E78)),"",'Reforecast Q1 2026'!E78-Actuals!E78)</f>
        <v/>
      </c>
      <c r="M63" s="509">
        <f>IFERROR(IF(OR(3&gt;$B$3,ISBLANK(Actuals!E78)),"",('Reforecast Q1 2026'!E78-Actuals!E78)/ABS('Reforecast Q1 2026'!E78)),"")</f>
        <v/>
      </c>
      <c r="N63" s="508">
        <f>'Reforecast Q1 2026'!F78</f>
        <v/>
      </c>
      <c r="O63" s="508">
        <f>IF(OR(4&gt;$B$3,ISBLANK(Actuals!F78)),"",Actuals!F78)</f>
        <v/>
      </c>
      <c r="P63" s="509">
        <f>IF(OR(4&gt;$B$3,ISBLANK(Actuals!F78)),"",'Reforecast Q1 2026'!F78-Actuals!F78)</f>
        <v/>
      </c>
      <c r="Q63" s="509">
        <f>IFERROR(IF(OR(4&gt;$B$3,ISBLANK(Actuals!F78)),"",('Reforecast Q1 2026'!F78-Actuals!F78)/ABS('Reforecast Q1 2026'!F78)),"")</f>
        <v/>
      </c>
      <c r="R63" s="508">
        <f>'Reforecast Q1 2026'!G78</f>
        <v/>
      </c>
      <c r="S63" s="508">
        <f>IF(OR(5&gt;$B$3,ISBLANK(Actuals!G78)),"",Actuals!G78)</f>
        <v/>
      </c>
      <c r="T63" s="509">
        <f>IF(OR(5&gt;$B$3,ISBLANK(Actuals!G78)),"",'Reforecast Q1 2026'!G78-Actuals!G78)</f>
        <v/>
      </c>
      <c r="U63" s="509">
        <f>IFERROR(IF(OR(5&gt;$B$3,ISBLANK(Actuals!G78)),"",('Reforecast Q1 2026'!G78-Actuals!G78)/ABS('Reforecast Q1 2026'!G78)),"")</f>
        <v/>
      </c>
      <c r="V63" s="508">
        <f>'Reforecast Q1 2026'!H78</f>
        <v/>
      </c>
      <c r="W63" s="508">
        <f>IF(OR(6&gt;$B$3,ISBLANK(Actuals!H78)),"",Actuals!H78)</f>
        <v/>
      </c>
      <c r="X63" s="509">
        <f>IF(OR(6&gt;$B$3,ISBLANK(Actuals!H78)),"",'Reforecast Q1 2026'!H78-Actuals!H78)</f>
        <v/>
      </c>
      <c r="Y63" s="509">
        <f>IFERROR(IF(OR(6&gt;$B$3,ISBLANK(Actuals!H78)),"",('Reforecast Q1 2026'!H78-Actuals!H78)/ABS('Reforecast Q1 2026'!H78)),"")</f>
        <v/>
      </c>
      <c r="Z63" s="508">
        <f>'Reforecast Q1 2026'!I78</f>
        <v/>
      </c>
      <c r="AA63" s="508">
        <f>IF(OR(7&gt;$B$3,ISBLANK(Actuals!I78)),"",Actuals!I78)</f>
        <v/>
      </c>
      <c r="AB63" s="509">
        <f>IF(OR(7&gt;$B$3,ISBLANK(Actuals!I78)),"",'Reforecast Q1 2026'!I78-Actuals!I78)</f>
        <v/>
      </c>
      <c r="AC63" s="509">
        <f>IFERROR(IF(OR(7&gt;$B$3,ISBLANK(Actuals!I78)),"",('Reforecast Q1 2026'!I78-Actuals!I78)/ABS('Reforecast Q1 2026'!I78)),"")</f>
        <v/>
      </c>
      <c r="AD63" s="508">
        <f>'Reforecast Q1 2026'!J78</f>
        <v/>
      </c>
      <c r="AE63" s="508">
        <f>IF(OR(8&gt;$B$3,ISBLANK(Actuals!J78)),"",Actuals!J78)</f>
        <v/>
      </c>
      <c r="AF63" s="509">
        <f>IF(OR(8&gt;$B$3,ISBLANK(Actuals!J78)),"",'Reforecast Q1 2026'!J78-Actuals!J78)</f>
        <v/>
      </c>
      <c r="AG63" s="509">
        <f>IFERROR(IF(OR(8&gt;$B$3,ISBLANK(Actuals!J78)),"",('Reforecast Q1 2026'!J78-Actuals!J78)/ABS('Reforecast Q1 2026'!J78)),"")</f>
        <v/>
      </c>
      <c r="AH63" s="508">
        <f>'Reforecast Q1 2026'!K78</f>
        <v/>
      </c>
      <c r="AI63" s="508">
        <f>IF(OR(9&gt;$B$3,ISBLANK(Actuals!K78)),"",Actuals!K78)</f>
        <v/>
      </c>
      <c r="AJ63" s="509">
        <f>IF(OR(9&gt;$B$3,ISBLANK(Actuals!K78)),"",'Reforecast Q1 2026'!K78-Actuals!K78)</f>
        <v/>
      </c>
      <c r="AK63" s="509">
        <f>IFERROR(IF(OR(9&gt;$B$3,ISBLANK(Actuals!K78)),"",('Reforecast Q1 2026'!K78-Actuals!K78)/ABS('Reforecast Q1 2026'!K78)),"")</f>
        <v/>
      </c>
      <c r="AL63" s="508">
        <f>'Reforecast Q1 2026'!L78</f>
        <v/>
      </c>
      <c r="AM63" s="508">
        <f>IF(OR(10&gt;$B$3,ISBLANK(Actuals!L78)),"",Actuals!L78)</f>
        <v/>
      </c>
      <c r="AN63" s="509">
        <f>IF(OR(10&gt;$B$3,ISBLANK(Actuals!L78)),"",'Reforecast Q1 2026'!L78-Actuals!L78)</f>
        <v/>
      </c>
      <c r="AO63" s="509">
        <f>IFERROR(IF(OR(10&gt;$B$3,ISBLANK(Actuals!L78)),"",('Reforecast Q1 2026'!L78-Actuals!L78)/ABS('Reforecast Q1 2026'!L78)),"")</f>
        <v/>
      </c>
      <c r="AP63" s="508">
        <f>'Reforecast Q1 2026'!M78</f>
        <v/>
      </c>
      <c r="AQ63" s="508">
        <f>IF(OR(11&gt;$B$3,ISBLANK(Actuals!M78)),"",Actuals!M78)</f>
        <v/>
      </c>
      <c r="AR63" s="509">
        <f>IF(OR(11&gt;$B$3,ISBLANK(Actuals!M78)),"",'Reforecast Q1 2026'!M78-Actuals!M78)</f>
        <v/>
      </c>
      <c r="AS63" s="509">
        <f>IFERROR(IF(OR(11&gt;$B$3,ISBLANK(Actuals!M78)),"",('Reforecast Q1 2026'!M78-Actuals!M78)/ABS('Reforecast Q1 2026'!M78)),"")</f>
        <v/>
      </c>
      <c r="AT63" s="508">
        <f>'Reforecast Q1 2026'!N78</f>
        <v/>
      </c>
      <c r="AU63" s="508">
        <f>IF(OR(12&gt;$B$3,ISBLANK(Actuals!N78)),"",Actuals!N78)</f>
        <v/>
      </c>
      <c r="AV63" s="509">
        <f>IF(OR(12&gt;$B$3,ISBLANK(Actuals!N78)),"",'Reforecast Q1 2026'!N78-Actuals!N78)</f>
        <v/>
      </c>
      <c r="AW63" s="509">
        <f>IFERROR(IF(OR(12&gt;$B$3,ISBLANK(Actuals!N78)),"",('Reforecast Q1 2026'!N78-Actuals!N78)/ABS('Reforecast Q1 2026'!N78)),"")</f>
        <v/>
      </c>
      <c r="AX63" s="510">
        <f>SUMPRODUCT((Actuals!C78:N78&lt;&gt;"")*('Reforecast Q1 2026'!C78:N78))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'Reforecast Q1 2026'!C79</f>
        <v/>
      </c>
      <c r="C64" s="508">
        <f>IF(OR(1&gt;$B$3,ISBLANK(Actuals!C79)),"",Actuals!C79)</f>
        <v/>
      </c>
      <c r="D64" s="509">
        <f>IF(OR(1&gt;$B$3,ISBLANK(Actuals!C79)),"",'Reforecast Q1 2026'!C79-Actuals!C79)</f>
        <v/>
      </c>
      <c r="E64" s="509">
        <f>IFERROR(IF(OR(1&gt;$B$3,ISBLANK(Actuals!C79)),"",('Reforecast Q1 2026'!C79-Actuals!C79)/ABS('Reforecast Q1 2026'!C79)),"")</f>
        <v/>
      </c>
      <c r="F64" s="508">
        <f>'Reforecast Q1 2026'!D79</f>
        <v/>
      </c>
      <c r="G64" s="508">
        <f>IF(OR(2&gt;$B$3,ISBLANK(Actuals!D79)),"",Actuals!D79)</f>
        <v/>
      </c>
      <c r="H64" s="509">
        <f>IF(OR(2&gt;$B$3,ISBLANK(Actuals!D79)),"",'Reforecast Q1 2026'!D79-Actuals!D79)</f>
        <v/>
      </c>
      <c r="I64" s="509">
        <f>IFERROR(IF(OR(2&gt;$B$3,ISBLANK(Actuals!D79)),"",('Reforecast Q1 2026'!D79-Actuals!D79)/ABS('Reforecast Q1 2026'!D79)),"")</f>
        <v/>
      </c>
      <c r="J64" s="508">
        <f>'Reforecast Q1 2026'!E79</f>
        <v/>
      </c>
      <c r="K64" s="508">
        <f>IF(OR(3&gt;$B$3,ISBLANK(Actuals!E79)),"",Actuals!E79)</f>
        <v/>
      </c>
      <c r="L64" s="509">
        <f>IF(OR(3&gt;$B$3,ISBLANK(Actuals!E79)),"",'Reforecast Q1 2026'!E79-Actuals!E79)</f>
        <v/>
      </c>
      <c r="M64" s="509">
        <f>IFERROR(IF(OR(3&gt;$B$3,ISBLANK(Actuals!E79)),"",('Reforecast Q1 2026'!E79-Actuals!E79)/ABS('Reforecast Q1 2026'!E79)),"")</f>
        <v/>
      </c>
      <c r="N64" s="508">
        <f>'Reforecast Q1 2026'!F79</f>
        <v/>
      </c>
      <c r="O64" s="508">
        <f>IF(OR(4&gt;$B$3,ISBLANK(Actuals!F79)),"",Actuals!F79)</f>
        <v/>
      </c>
      <c r="P64" s="509">
        <f>IF(OR(4&gt;$B$3,ISBLANK(Actuals!F79)),"",'Reforecast Q1 2026'!F79-Actuals!F79)</f>
        <v/>
      </c>
      <c r="Q64" s="509">
        <f>IFERROR(IF(OR(4&gt;$B$3,ISBLANK(Actuals!F79)),"",('Reforecast Q1 2026'!F79-Actuals!F79)/ABS('Reforecast Q1 2026'!F79)),"")</f>
        <v/>
      </c>
      <c r="R64" s="508">
        <f>'Reforecast Q1 2026'!G79</f>
        <v/>
      </c>
      <c r="S64" s="508">
        <f>IF(OR(5&gt;$B$3,ISBLANK(Actuals!G79)),"",Actuals!G79)</f>
        <v/>
      </c>
      <c r="T64" s="509">
        <f>IF(OR(5&gt;$B$3,ISBLANK(Actuals!G79)),"",'Reforecast Q1 2026'!G79-Actuals!G79)</f>
        <v/>
      </c>
      <c r="U64" s="509">
        <f>IFERROR(IF(OR(5&gt;$B$3,ISBLANK(Actuals!G79)),"",('Reforecast Q1 2026'!G79-Actuals!G79)/ABS('Reforecast Q1 2026'!G79)),"")</f>
        <v/>
      </c>
      <c r="V64" s="508">
        <f>'Reforecast Q1 2026'!H79</f>
        <v/>
      </c>
      <c r="W64" s="508">
        <f>IF(OR(6&gt;$B$3,ISBLANK(Actuals!H79)),"",Actuals!H79)</f>
        <v/>
      </c>
      <c r="X64" s="509">
        <f>IF(OR(6&gt;$B$3,ISBLANK(Actuals!H79)),"",'Reforecast Q1 2026'!H79-Actuals!H79)</f>
        <v/>
      </c>
      <c r="Y64" s="509">
        <f>IFERROR(IF(OR(6&gt;$B$3,ISBLANK(Actuals!H79)),"",('Reforecast Q1 2026'!H79-Actuals!H79)/ABS('Reforecast Q1 2026'!H79)),"")</f>
        <v/>
      </c>
      <c r="Z64" s="508">
        <f>'Reforecast Q1 2026'!I79</f>
        <v/>
      </c>
      <c r="AA64" s="508">
        <f>IF(OR(7&gt;$B$3,ISBLANK(Actuals!I79)),"",Actuals!I79)</f>
        <v/>
      </c>
      <c r="AB64" s="509">
        <f>IF(OR(7&gt;$B$3,ISBLANK(Actuals!I79)),"",'Reforecast Q1 2026'!I79-Actuals!I79)</f>
        <v/>
      </c>
      <c r="AC64" s="509">
        <f>IFERROR(IF(OR(7&gt;$B$3,ISBLANK(Actuals!I79)),"",('Reforecast Q1 2026'!I79-Actuals!I79)/ABS('Reforecast Q1 2026'!I79)),"")</f>
        <v/>
      </c>
      <c r="AD64" s="508">
        <f>'Reforecast Q1 2026'!J79</f>
        <v/>
      </c>
      <c r="AE64" s="508">
        <f>IF(OR(8&gt;$B$3,ISBLANK(Actuals!J79)),"",Actuals!J79)</f>
        <v/>
      </c>
      <c r="AF64" s="509">
        <f>IF(OR(8&gt;$B$3,ISBLANK(Actuals!J79)),"",'Reforecast Q1 2026'!J79-Actuals!J79)</f>
        <v/>
      </c>
      <c r="AG64" s="509">
        <f>IFERROR(IF(OR(8&gt;$B$3,ISBLANK(Actuals!J79)),"",('Reforecast Q1 2026'!J79-Actuals!J79)/ABS('Reforecast Q1 2026'!J79)),"")</f>
        <v/>
      </c>
      <c r="AH64" s="508">
        <f>'Reforecast Q1 2026'!K79</f>
        <v/>
      </c>
      <c r="AI64" s="508">
        <f>IF(OR(9&gt;$B$3,ISBLANK(Actuals!K79)),"",Actuals!K79)</f>
        <v/>
      </c>
      <c r="AJ64" s="509">
        <f>IF(OR(9&gt;$B$3,ISBLANK(Actuals!K79)),"",'Reforecast Q1 2026'!K79-Actuals!K79)</f>
        <v/>
      </c>
      <c r="AK64" s="509">
        <f>IFERROR(IF(OR(9&gt;$B$3,ISBLANK(Actuals!K79)),"",('Reforecast Q1 2026'!K79-Actuals!K79)/ABS('Reforecast Q1 2026'!K79)),"")</f>
        <v/>
      </c>
      <c r="AL64" s="508">
        <f>'Reforecast Q1 2026'!L79</f>
        <v/>
      </c>
      <c r="AM64" s="508">
        <f>IF(OR(10&gt;$B$3,ISBLANK(Actuals!L79)),"",Actuals!L79)</f>
        <v/>
      </c>
      <c r="AN64" s="509">
        <f>IF(OR(10&gt;$B$3,ISBLANK(Actuals!L79)),"",'Reforecast Q1 2026'!L79-Actuals!L79)</f>
        <v/>
      </c>
      <c r="AO64" s="509">
        <f>IFERROR(IF(OR(10&gt;$B$3,ISBLANK(Actuals!L79)),"",('Reforecast Q1 2026'!L79-Actuals!L79)/ABS('Reforecast Q1 2026'!L79)),"")</f>
        <v/>
      </c>
      <c r="AP64" s="508">
        <f>'Reforecast Q1 2026'!M79</f>
        <v/>
      </c>
      <c r="AQ64" s="508">
        <f>IF(OR(11&gt;$B$3,ISBLANK(Actuals!M79)),"",Actuals!M79)</f>
        <v/>
      </c>
      <c r="AR64" s="509">
        <f>IF(OR(11&gt;$B$3,ISBLANK(Actuals!M79)),"",'Reforecast Q1 2026'!M79-Actuals!M79)</f>
        <v/>
      </c>
      <c r="AS64" s="509">
        <f>IFERROR(IF(OR(11&gt;$B$3,ISBLANK(Actuals!M79)),"",('Reforecast Q1 2026'!M79-Actuals!M79)/ABS('Reforecast Q1 2026'!M79)),"")</f>
        <v/>
      </c>
      <c r="AT64" s="508">
        <f>'Reforecast Q1 2026'!N79</f>
        <v/>
      </c>
      <c r="AU64" s="508">
        <f>IF(OR(12&gt;$B$3,ISBLANK(Actuals!N79)),"",Actuals!N79)</f>
        <v/>
      </c>
      <c r="AV64" s="509">
        <f>IF(OR(12&gt;$B$3,ISBLANK(Actuals!N79)),"",'Reforecast Q1 2026'!N79-Actuals!N79)</f>
        <v/>
      </c>
      <c r="AW64" s="509">
        <f>IFERROR(IF(OR(12&gt;$B$3,ISBLANK(Actuals!N79)),"",('Reforecast Q1 2026'!N79-Actuals!N79)/ABS('Reforecast Q1 2026'!N79)),"")</f>
        <v/>
      </c>
      <c r="AX64" s="510">
        <f>SUMPRODUCT((Actuals!C79:N79&lt;&gt;"")*('Reforecast Q1 2026'!C79:N79))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'Reforecast Q1 2026'!C80</f>
        <v/>
      </c>
      <c r="C65" s="508">
        <f>IF(OR(1&gt;$B$3,ISBLANK(Actuals!C80)),"",Actuals!C80)</f>
        <v/>
      </c>
      <c r="D65" s="509">
        <f>IF(OR(1&gt;$B$3,ISBLANK(Actuals!C80)),"",'Reforecast Q1 2026'!C80-Actuals!C80)</f>
        <v/>
      </c>
      <c r="E65" s="509">
        <f>IFERROR(IF(OR(1&gt;$B$3,ISBLANK(Actuals!C80)),"",('Reforecast Q1 2026'!C80-Actuals!C80)/ABS('Reforecast Q1 2026'!C80)),"")</f>
        <v/>
      </c>
      <c r="F65" s="508">
        <f>'Reforecast Q1 2026'!D80</f>
        <v/>
      </c>
      <c r="G65" s="508">
        <f>IF(OR(2&gt;$B$3,ISBLANK(Actuals!D80)),"",Actuals!D80)</f>
        <v/>
      </c>
      <c r="H65" s="509">
        <f>IF(OR(2&gt;$B$3,ISBLANK(Actuals!D80)),"",'Reforecast Q1 2026'!D80-Actuals!D80)</f>
        <v/>
      </c>
      <c r="I65" s="509">
        <f>IFERROR(IF(OR(2&gt;$B$3,ISBLANK(Actuals!D80)),"",('Reforecast Q1 2026'!D80-Actuals!D80)/ABS('Reforecast Q1 2026'!D80)),"")</f>
        <v/>
      </c>
      <c r="J65" s="508">
        <f>'Reforecast Q1 2026'!E80</f>
        <v/>
      </c>
      <c r="K65" s="508">
        <f>IF(OR(3&gt;$B$3,ISBLANK(Actuals!E80)),"",Actuals!E80)</f>
        <v/>
      </c>
      <c r="L65" s="509">
        <f>IF(OR(3&gt;$B$3,ISBLANK(Actuals!E80)),"",'Reforecast Q1 2026'!E80-Actuals!E80)</f>
        <v/>
      </c>
      <c r="M65" s="509">
        <f>IFERROR(IF(OR(3&gt;$B$3,ISBLANK(Actuals!E80)),"",('Reforecast Q1 2026'!E80-Actuals!E80)/ABS('Reforecast Q1 2026'!E80)),"")</f>
        <v/>
      </c>
      <c r="N65" s="508">
        <f>'Reforecast Q1 2026'!F80</f>
        <v/>
      </c>
      <c r="O65" s="508">
        <f>IF(OR(4&gt;$B$3,ISBLANK(Actuals!F80)),"",Actuals!F80)</f>
        <v/>
      </c>
      <c r="P65" s="509">
        <f>IF(OR(4&gt;$B$3,ISBLANK(Actuals!F80)),"",'Reforecast Q1 2026'!F80-Actuals!F80)</f>
        <v/>
      </c>
      <c r="Q65" s="509">
        <f>IFERROR(IF(OR(4&gt;$B$3,ISBLANK(Actuals!F80)),"",('Reforecast Q1 2026'!F80-Actuals!F80)/ABS('Reforecast Q1 2026'!F80)),"")</f>
        <v/>
      </c>
      <c r="R65" s="508">
        <f>'Reforecast Q1 2026'!G80</f>
        <v/>
      </c>
      <c r="S65" s="508">
        <f>IF(OR(5&gt;$B$3,ISBLANK(Actuals!G80)),"",Actuals!G80)</f>
        <v/>
      </c>
      <c r="T65" s="509">
        <f>IF(OR(5&gt;$B$3,ISBLANK(Actuals!G80)),"",'Reforecast Q1 2026'!G80-Actuals!G80)</f>
        <v/>
      </c>
      <c r="U65" s="509">
        <f>IFERROR(IF(OR(5&gt;$B$3,ISBLANK(Actuals!G80)),"",('Reforecast Q1 2026'!G80-Actuals!G80)/ABS('Reforecast Q1 2026'!G80)),"")</f>
        <v/>
      </c>
      <c r="V65" s="508">
        <f>'Reforecast Q1 2026'!H80</f>
        <v/>
      </c>
      <c r="W65" s="508">
        <f>IF(OR(6&gt;$B$3,ISBLANK(Actuals!H80)),"",Actuals!H80)</f>
        <v/>
      </c>
      <c r="X65" s="509">
        <f>IF(OR(6&gt;$B$3,ISBLANK(Actuals!H80)),"",'Reforecast Q1 2026'!H80-Actuals!H80)</f>
        <v/>
      </c>
      <c r="Y65" s="509">
        <f>IFERROR(IF(OR(6&gt;$B$3,ISBLANK(Actuals!H80)),"",('Reforecast Q1 2026'!H80-Actuals!H80)/ABS('Reforecast Q1 2026'!H80)),"")</f>
        <v/>
      </c>
      <c r="Z65" s="508">
        <f>'Reforecast Q1 2026'!I80</f>
        <v/>
      </c>
      <c r="AA65" s="508">
        <f>IF(OR(7&gt;$B$3,ISBLANK(Actuals!I80)),"",Actuals!I80)</f>
        <v/>
      </c>
      <c r="AB65" s="509">
        <f>IF(OR(7&gt;$B$3,ISBLANK(Actuals!I80)),"",'Reforecast Q1 2026'!I80-Actuals!I80)</f>
        <v/>
      </c>
      <c r="AC65" s="509">
        <f>IFERROR(IF(OR(7&gt;$B$3,ISBLANK(Actuals!I80)),"",('Reforecast Q1 2026'!I80-Actuals!I80)/ABS('Reforecast Q1 2026'!I80)),"")</f>
        <v/>
      </c>
      <c r="AD65" s="508">
        <f>'Reforecast Q1 2026'!J80</f>
        <v/>
      </c>
      <c r="AE65" s="508">
        <f>IF(OR(8&gt;$B$3,ISBLANK(Actuals!J80)),"",Actuals!J80)</f>
        <v/>
      </c>
      <c r="AF65" s="509">
        <f>IF(OR(8&gt;$B$3,ISBLANK(Actuals!J80)),"",'Reforecast Q1 2026'!J80-Actuals!J80)</f>
        <v/>
      </c>
      <c r="AG65" s="509">
        <f>IFERROR(IF(OR(8&gt;$B$3,ISBLANK(Actuals!J80)),"",('Reforecast Q1 2026'!J80-Actuals!J80)/ABS('Reforecast Q1 2026'!J80)),"")</f>
        <v/>
      </c>
      <c r="AH65" s="508">
        <f>'Reforecast Q1 2026'!K80</f>
        <v/>
      </c>
      <c r="AI65" s="508">
        <f>IF(OR(9&gt;$B$3,ISBLANK(Actuals!K80)),"",Actuals!K80)</f>
        <v/>
      </c>
      <c r="AJ65" s="509">
        <f>IF(OR(9&gt;$B$3,ISBLANK(Actuals!K80)),"",'Reforecast Q1 2026'!K80-Actuals!K80)</f>
        <v/>
      </c>
      <c r="AK65" s="509">
        <f>IFERROR(IF(OR(9&gt;$B$3,ISBLANK(Actuals!K80)),"",('Reforecast Q1 2026'!K80-Actuals!K80)/ABS('Reforecast Q1 2026'!K80)),"")</f>
        <v/>
      </c>
      <c r="AL65" s="508">
        <f>'Reforecast Q1 2026'!L80</f>
        <v/>
      </c>
      <c r="AM65" s="508">
        <f>IF(OR(10&gt;$B$3,ISBLANK(Actuals!L80)),"",Actuals!L80)</f>
        <v/>
      </c>
      <c r="AN65" s="509">
        <f>IF(OR(10&gt;$B$3,ISBLANK(Actuals!L80)),"",'Reforecast Q1 2026'!L80-Actuals!L80)</f>
        <v/>
      </c>
      <c r="AO65" s="509">
        <f>IFERROR(IF(OR(10&gt;$B$3,ISBLANK(Actuals!L80)),"",('Reforecast Q1 2026'!L80-Actuals!L80)/ABS('Reforecast Q1 2026'!L80)),"")</f>
        <v/>
      </c>
      <c r="AP65" s="508">
        <f>'Reforecast Q1 2026'!M80</f>
        <v/>
      </c>
      <c r="AQ65" s="508">
        <f>IF(OR(11&gt;$B$3,ISBLANK(Actuals!M80)),"",Actuals!M80)</f>
        <v/>
      </c>
      <c r="AR65" s="509">
        <f>IF(OR(11&gt;$B$3,ISBLANK(Actuals!M80)),"",'Reforecast Q1 2026'!M80-Actuals!M80)</f>
        <v/>
      </c>
      <c r="AS65" s="509">
        <f>IFERROR(IF(OR(11&gt;$B$3,ISBLANK(Actuals!M80)),"",('Reforecast Q1 2026'!M80-Actuals!M80)/ABS('Reforecast Q1 2026'!M80)),"")</f>
        <v/>
      </c>
      <c r="AT65" s="508">
        <f>'Reforecast Q1 2026'!N80</f>
        <v/>
      </c>
      <c r="AU65" s="508">
        <f>IF(OR(12&gt;$B$3,ISBLANK(Actuals!N80)),"",Actuals!N80)</f>
        <v/>
      </c>
      <c r="AV65" s="509">
        <f>IF(OR(12&gt;$B$3,ISBLANK(Actuals!N80)),"",'Reforecast Q1 2026'!N80-Actuals!N80)</f>
        <v/>
      </c>
      <c r="AW65" s="509">
        <f>IFERROR(IF(OR(12&gt;$B$3,ISBLANK(Actuals!N80)),"",('Reforecast Q1 2026'!N80-Actuals!N80)/ABS('Reforecast Q1 2026'!N80)),"")</f>
        <v/>
      </c>
      <c r="AX65" s="510">
        <f>SUMPRODUCT((Actuals!C80:N80&lt;&gt;"")*('Reforecast Q1 2026'!C80:N80))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'Reforecast Q1 2026'!C63</f>
        <v/>
      </c>
      <c r="C66" s="508">
        <f>IF(OR(1&gt;$B$3,ISBLANK(Actuals!C63)),"",Actuals!C63)</f>
        <v/>
      </c>
      <c r="D66" s="509">
        <f>IF(OR(1&gt;$B$3,ISBLANK(Actuals!C63)),"",'Reforecast Q1 2026'!C63-Actuals!C63)</f>
        <v/>
      </c>
      <c r="E66" s="509">
        <f>IFERROR(IF(OR(1&gt;$B$3,ISBLANK(Actuals!C63)),"",('Reforecast Q1 2026'!C63-Actuals!C63)/ABS('Reforecast Q1 2026'!C63)),"")</f>
        <v/>
      </c>
      <c r="F66" s="508">
        <f>'Reforecast Q1 2026'!D63</f>
        <v/>
      </c>
      <c r="G66" s="508">
        <f>IF(OR(2&gt;$B$3,ISBLANK(Actuals!D63)),"",Actuals!D63)</f>
        <v/>
      </c>
      <c r="H66" s="509">
        <f>IF(OR(2&gt;$B$3,ISBLANK(Actuals!D63)),"",'Reforecast Q1 2026'!D63-Actuals!D63)</f>
        <v/>
      </c>
      <c r="I66" s="509">
        <f>IFERROR(IF(OR(2&gt;$B$3,ISBLANK(Actuals!D63)),"",('Reforecast Q1 2026'!D63-Actuals!D63)/ABS('Reforecast Q1 2026'!D63)),"")</f>
        <v/>
      </c>
      <c r="J66" s="508">
        <f>'Reforecast Q1 2026'!E63</f>
        <v/>
      </c>
      <c r="K66" s="508">
        <f>IF(OR(3&gt;$B$3,ISBLANK(Actuals!E63)),"",Actuals!E63)</f>
        <v/>
      </c>
      <c r="L66" s="509">
        <f>IF(OR(3&gt;$B$3,ISBLANK(Actuals!E63)),"",'Reforecast Q1 2026'!E63-Actuals!E63)</f>
        <v/>
      </c>
      <c r="M66" s="509">
        <f>IFERROR(IF(OR(3&gt;$B$3,ISBLANK(Actuals!E63)),"",('Reforecast Q1 2026'!E63-Actuals!E63)/ABS('Reforecast Q1 2026'!E63)),"")</f>
        <v/>
      </c>
      <c r="N66" s="508">
        <f>'Reforecast Q1 2026'!F63</f>
        <v/>
      </c>
      <c r="O66" s="508">
        <f>IF(OR(4&gt;$B$3,ISBLANK(Actuals!F63)),"",Actuals!F63)</f>
        <v/>
      </c>
      <c r="P66" s="509">
        <f>IF(OR(4&gt;$B$3,ISBLANK(Actuals!F63)),"",'Reforecast Q1 2026'!F63-Actuals!F63)</f>
        <v/>
      </c>
      <c r="Q66" s="509">
        <f>IFERROR(IF(OR(4&gt;$B$3,ISBLANK(Actuals!F63)),"",('Reforecast Q1 2026'!F63-Actuals!F63)/ABS('Reforecast Q1 2026'!F63)),"")</f>
        <v/>
      </c>
      <c r="R66" s="508">
        <f>'Reforecast Q1 2026'!G63</f>
        <v/>
      </c>
      <c r="S66" s="508">
        <f>IF(OR(5&gt;$B$3,ISBLANK(Actuals!G63)),"",Actuals!G63)</f>
        <v/>
      </c>
      <c r="T66" s="509">
        <f>IF(OR(5&gt;$B$3,ISBLANK(Actuals!G63)),"",'Reforecast Q1 2026'!G63-Actuals!G63)</f>
        <v/>
      </c>
      <c r="U66" s="509">
        <f>IFERROR(IF(OR(5&gt;$B$3,ISBLANK(Actuals!G63)),"",('Reforecast Q1 2026'!G63-Actuals!G63)/ABS('Reforecast Q1 2026'!G63)),"")</f>
        <v/>
      </c>
      <c r="V66" s="508">
        <f>'Reforecast Q1 2026'!H63</f>
        <v/>
      </c>
      <c r="W66" s="508">
        <f>IF(OR(6&gt;$B$3,ISBLANK(Actuals!H63)),"",Actuals!H63)</f>
        <v/>
      </c>
      <c r="X66" s="509">
        <f>IF(OR(6&gt;$B$3,ISBLANK(Actuals!H63)),"",'Reforecast Q1 2026'!H63-Actuals!H63)</f>
        <v/>
      </c>
      <c r="Y66" s="509">
        <f>IFERROR(IF(OR(6&gt;$B$3,ISBLANK(Actuals!H63)),"",('Reforecast Q1 2026'!H63-Actuals!H63)/ABS('Reforecast Q1 2026'!H63)),"")</f>
        <v/>
      </c>
      <c r="Z66" s="508">
        <f>'Reforecast Q1 2026'!I63</f>
        <v/>
      </c>
      <c r="AA66" s="508">
        <f>IF(OR(7&gt;$B$3,ISBLANK(Actuals!I63)),"",Actuals!I63)</f>
        <v/>
      </c>
      <c r="AB66" s="509">
        <f>IF(OR(7&gt;$B$3,ISBLANK(Actuals!I63)),"",'Reforecast Q1 2026'!I63-Actuals!I63)</f>
        <v/>
      </c>
      <c r="AC66" s="509">
        <f>IFERROR(IF(OR(7&gt;$B$3,ISBLANK(Actuals!I63)),"",('Reforecast Q1 2026'!I63-Actuals!I63)/ABS('Reforecast Q1 2026'!I63)),"")</f>
        <v/>
      </c>
      <c r="AD66" s="508">
        <f>'Reforecast Q1 2026'!J63</f>
        <v/>
      </c>
      <c r="AE66" s="508">
        <f>IF(OR(8&gt;$B$3,ISBLANK(Actuals!J63)),"",Actuals!J63)</f>
        <v/>
      </c>
      <c r="AF66" s="509">
        <f>IF(OR(8&gt;$B$3,ISBLANK(Actuals!J63)),"",'Reforecast Q1 2026'!J63-Actuals!J63)</f>
        <v/>
      </c>
      <c r="AG66" s="509">
        <f>IFERROR(IF(OR(8&gt;$B$3,ISBLANK(Actuals!J63)),"",('Reforecast Q1 2026'!J63-Actuals!J63)/ABS('Reforecast Q1 2026'!J63)),"")</f>
        <v/>
      </c>
      <c r="AH66" s="508">
        <f>'Reforecast Q1 2026'!K63</f>
        <v/>
      </c>
      <c r="AI66" s="508">
        <f>IF(OR(9&gt;$B$3,ISBLANK(Actuals!K63)),"",Actuals!K63)</f>
        <v/>
      </c>
      <c r="AJ66" s="509">
        <f>IF(OR(9&gt;$B$3,ISBLANK(Actuals!K63)),"",'Reforecast Q1 2026'!K63-Actuals!K63)</f>
        <v/>
      </c>
      <c r="AK66" s="509">
        <f>IFERROR(IF(OR(9&gt;$B$3,ISBLANK(Actuals!K63)),"",('Reforecast Q1 2026'!K63-Actuals!K63)/ABS('Reforecast Q1 2026'!K63)),"")</f>
        <v/>
      </c>
      <c r="AL66" s="508">
        <f>'Reforecast Q1 2026'!L63</f>
        <v/>
      </c>
      <c r="AM66" s="508">
        <f>IF(OR(10&gt;$B$3,ISBLANK(Actuals!L63)),"",Actuals!L63)</f>
        <v/>
      </c>
      <c r="AN66" s="509">
        <f>IF(OR(10&gt;$B$3,ISBLANK(Actuals!L63)),"",'Reforecast Q1 2026'!L63-Actuals!L63)</f>
        <v/>
      </c>
      <c r="AO66" s="509">
        <f>IFERROR(IF(OR(10&gt;$B$3,ISBLANK(Actuals!L63)),"",('Reforecast Q1 2026'!L63-Actuals!L63)/ABS('Reforecast Q1 2026'!L63)),"")</f>
        <v/>
      </c>
      <c r="AP66" s="508">
        <f>'Reforecast Q1 2026'!M63</f>
        <v/>
      </c>
      <c r="AQ66" s="508">
        <f>IF(OR(11&gt;$B$3,ISBLANK(Actuals!M63)),"",Actuals!M63)</f>
        <v/>
      </c>
      <c r="AR66" s="509">
        <f>IF(OR(11&gt;$B$3,ISBLANK(Actuals!M63)),"",'Reforecast Q1 2026'!M63-Actuals!M63)</f>
        <v/>
      </c>
      <c r="AS66" s="509">
        <f>IFERROR(IF(OR(11&gt;$B$3,ISBLANK(Actuals!M63)),"",('Reforecast Q1 2026'!M63-Actuals!M63)/ABS('Reforecast Q1 2026'!M63)),"")</f>
        <v/>
      </c>
      <c r="AT66" s="508">
        <f>'Reforecast Q1 2026'!N63</f>
        <v/>
      </c>
      <c r="AU66" s="508">
        <f>IF(OR(12&gt;$B$3,ISBLANK(Actuals!N63)),"",Actuals!N63)</f>
        <v/>
      </c>
      <c r="AV66" s="509">
        <f>IF(OR(12&gt;$B$3,ISBLANK(Actuals!N63)),"",'Reforecast Q1 2026'!N63-Actuals!N63)</f>
        <v/>
      </c>
      <c r="AW66" s="509">
        <f>IFERROR(IF(OR(12&gt;$B$3,ISBLANK(Actuals!N63)),"",('Reforecast Q1 2026'!N63-Actuals!N63)/ABS('Reforecast Q1 2026'!N63)),"")</f>
        <v/>
      </c>
      <c r="AX66" s="510">
        <f>SUMPRODUCT((Actuals!C63:N66&lt;&gt;"")*('Reforecast Q1 2026'!C63:N66))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'Reforecast Q1 2026'!C83</f>
        <v/>
      </c>
      <c r="C67" s="508">
        <f>IF(OR(1&gt;$B$3,ISBLANK(Actuals!C83)),"",Actuals!C83)</f>
        <v/>
      </c>
      <c r="D67" s="509">
        <f>IF(OR(1&gt;$B$3,ISBLANK(Actuals!C83)),"",'Reforecast Q1 2026'!C83-Actuals!C83)</f>
        <v/>
      </c>
      <c r="E67" s="509">
        <f>IFERROR(IF(OR(1&gt;$B$3,ISBLANK(Actuals!C83)),"",('Reforecast Q1 2026'!C83-Actuals!C83)/ABS('Reforecast Q1 2026'!C83)),"")</f>
        <v/>
      </c>
      <c r="F67" s="508">
        <f>'Reforecast Q1 2026'!D83</f>
        <v/>
      </c>
      <c r="G67" s="508">
        <f>IF(OR(2&gt;$B$3,ISBLANK(Actuals!D83)),"",Actuals!D83)</f>
        <v/>
      </c>
      <c r="H67" s="509">
        <f>IF(OR(2&gt;$B$3,ISBLANK(Actuals!D83)),"",'Reforecast Q1 2026'!D83-Actuals!D83)</f>
        <v/>
      </c>
      <c r="I67" s="509">
        <f>IFERROR(IF(OR(2&gt;$B$3,ISBLANK(Actuals!D83)),"",('Reforecast Q1 2026'!D83-Actuals!D83)/ABS('Reforecast Q1 2026'!D83)),"")</f>
        <v/>
      </c>
      <c r="J67" s="508">
        <f>'Reforecast Q1 2026'!E83</f>
        <v/>
      </c>
      <c r="K67" s="508">
        <f>IF(OR(3&gt;$B$3,ISBLANK(Actuals!E83)),"",Actuals!E83)</f>
        <v/>
      </c>
      <c r="L67" s="509">
        <f>IF(OR(3&gt;$B$3,ISBLANK(Actuals!E83)),"",'Reforecast Q1 2026'!E83-Actuals!E83)</f>
        <v/>
      </c>
      <c r="M67" s="509">
        <f>IFERROR(IF(OR(3&gt;$B$3,ISBLANK(Actuals!E83)),"",('Reforecast Q1 2026'!E83-Actuals!E83)/ABS('Reforecast Q1 2026'!E83)),"")</f>
        <v/>
      </c>
      <c r="N67" s="508">
        <f>'Reforecast Q1 2026'!F83</f>
        <v/>
      </c>
      <c r="O67" s="508">
        <f>IF(OR(4&gt;$B$3,ISBLANK(Actuals!F83)),"",Actuals!F83)</f>
        <v/>
      </c>
      <c r="P67" s="509">
        <f>IF(OR(4&gt;$B$3,ISBLANK(Actuals!F83)),"",'Reforecast Q1 2026'!F83-Actuals!F83)</f>
        <v/>
      </c>
      <c r="Q67" s="509">
        <f>IFERROR(IF(OR(4&gt;$B$3,ISBLANK(Actuals!F83)),"",('Reforecast Q1 2026'!F83-Actuals!F83)/ABS('Reforecast Q1 2026'!F83)),"")</f>
        <v/>
      </c>
      <c r="R67" s="508">
        <f>'Reforecast Q1 2026'!G83</f>
        <v/>
      </c>
      <c r="S67" s="508">
        <f>IF(OR(5&gt;$B$3,ISBLANK(Actuals!G83)),"",Actuals!G83)</f>
        <v/>
      </c>
      <c r="T67" s="509">
        <f>IF(OR(5&gt;$B$3,ISBLANK(Actuals!G83)),"",'Reforecast Q1 2026'!G83-Actuals!G83)</f>
        <v/>
      </c>
      <c r="U67" s="509">
        <f>IFERROR(IF(OR(5&gt;$B$3,ISBLANK(Actuals!G83)),"",('Reforecast Q1 2026'!G83-Actuals!G83)/ABS('Reforecast Q1 2026'!G83)),"")</f>
        <v/>
      </c>
      <c r="V67" s="508">
        <f>'Reforecast Q1 2026'!H83</f>
        <v/>
      </c>
      <c r="W67" s="508">
        <f>IF(OR(6&gt;$B$3,ISBLANK(Actuals!H83)),"",Actuals!H83)</f>
        <v/>
      </c>
      <c r="X67" s="509">
        <f>IF(OR(6&gt;$B$3,ISBLANK(Actuals!H83)),"",'Reforecast Q1 2026'!H83-Actuals!H83)</f>
        <v/>
      </c>
      <c r="Y67" s="509">
        <f>IFERROR(IF(OR(6&gt;$B$3,ISBLANK(Actuals!H83)),"",('Reforecast Q1 2026'!H83-Actuals!H83)/ABS('Reforecast Q1 2026'!H83)),"")</f>
        <v/>
      </c>
      <c r="Z67" s="508">
        <f>'Reforecast Q1 2026'!I83</f>
        <v/>
      </c>
      <c r="AA67" s="508">
        <f>IF(OR(7&gt;$B$3,ISBLANK(Actuals!I83)),"",Actuals!I83)</f>
        <v/>
      </c>
      <c r="AB67" s="509">
        <f>IF(OR(7&gt;$B$3,ISBLANK(Actuals!I83)),"",'Reforecast Q1 2026'!I83-Actuals!I83)</f>
        <v/>
      </c>
      <c r="AC67" s="509">
        <f>IFERROR(IF(OR(7&gt;$B$3,ISBLANK(Actuals!I83)),"",('Reforecast Q1 2026'!I83-Actuals!I83)/ABS('Reforecast Q1 2026'!I83)),"")</f>
        <v/>
      </c>
      <c r="AD67" s="508">
        <f>'Reforecast Q1 2026'!J83</f>
        <v/>
      </c>
      <c r="AE67" s="508">
        <f>IF(OR(8&gt;$B$3,ISBLANK(Actuals!J83)),"",Actuals!J83)</f>
        <v/>
      </c>
      <c r="AF67" s="509">
        <f>IF(OR(8&gt;$B$3,ISBLANK(Actuals!J83)),"",'Reforecast Q1 2026'!J83-Actuals!J83)</f>
        <v/>
      </c>
      <c r="AG67" s="509">
        <f>IFERROR(IF(OR(8&gt;$B$3,ISBLANK(Actuals!J83)),"",('Reforecast Q1 2026'!J83-Actuals!J83)/ABS('Reforecast Q1 2026'!J83)),"")</f>
        <v/>
      </c>
      <c r="AH67" s="508">
        <f>'Reforecast Q1 2026'!K83</f>
        <v/>
      </c>
      <c r="AI67" s="508">
        <f>IF(OR(9&gt;$B$3,ISBLANK(Actuals!K83)),"",Actuals!K83)</f>
        <v/>
      </c>
      <c r="AJ67" s="509">
        <f>IF(OR(9&gt;$B$3,ISBLANK(Actuals!K83)),"",'Reforecast Q1 2026'!K83-Actuals!K83)</f>
        <v/>
      </c>
      <c r="AK67" s="509">
        <f>IFERROR(IF(OR(9&gt;$B$3,ISBLANK(Actuals!K83)),"",('Reforecast Q1 2026'!K83-Actuals!K83)/ABS('Reforecast Q1 2026'!K83)),"")</f>
        <v/>
      </c>
      <c r="AL67" s="508">
        <f>'Reforecast Q1 2026'!L83</f>
        <v/>
      </c>
      <c r="AM67" s="508">
        <f>IF(OR(10&gt;$B$3,ISBLANK(Actuals!L83)),"",Actuals!L83)</f>
        <v/>
      </c>
      <c r="AN67" s="509">
        <f>IF(OR(10&gt;$B$3,ISBLANK(Actuals!L83)),"",'Reforecast Q1 2026'!L83-Actuals!L83)</f>
        <v/>
      </c>
      <c r="AO67" s="509">
        <f>IFERROR(IF(OR(10&gt;$B$3,ISBLANK(Actuals!L83)),"",('Reforecast Q1 2026'!L83-Actuals!L83)/ABS('Reforecast Q1 2026'!L83)),"")</f>
        <v/>
      </c>
      <c r="AP67" s="508">
        <f>'Reforecast Q1 2026'!M83</f>
        <v/>
      </c>
      <c r="AQ67" s="508">
        <f>IF(OR(11&gt;$B$3,ISBLANK(Actuals!M83)),"",Actuals!M83)</f>
        <v/>
      </c>
      <c r="AR67" s="509">
        <f>IF(OR(11&gt;$B$3,ISBLANK(Actuals!M83)),"",'Reforecast Q1 2026'!M83-Actuals!M83)</f>
        <v/>
      </c>
      <c r="AS67" s="509">
        <f>IFERROR(IF(OR(11&gt;$B$3,ISBLANK(Actuals!M83)),"",('Reforecast Q1 2026'!M83-Actuals!M83)/ABS('Reforecast Q1 2026'!M83)),"")</f>
        <v/>
      </c>
      <c r="AT67" s="508">
        <f>'Reforecast Q1 2026'!N83</f>
        <v/>
      </c>
      <c r="AU67" s="508">
        <f>IF(OR(12&gt;$B$3,ISBLANK(Actuals!N83)),"",Actuals!N83)</f>
        <v/>
      </c>
      <c r="AV67" s="509">
        <f>IF(OR(12&gt;$B$3,ISBLANK(Actuals!N83)),"",'Reforecast Q1 2026'!N83-Actuals!N83)</f>
        <v/>
      </c>
      <c r="AW67" s="509">
        <f>IFERROR(IF(OR(12&gt;$B$3,ISBLANK(Actuals!N83)),"",('Reforecast Q1 2026'!N83-Actuals!N83)/ABS('Reforecast Q1 2026'!N83)),"")</f>
        <v/>
      </c>
      <c r="AX67" s="510">
        <f>SUMPRODUCT((Actuals!C83:N83&lt;&gt;"")*('Reforecast Q1 2026'!C83:N83))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'Reforecast Q1 2026'!C84</f>
        <v/>
      </c>
      <c r="C68" s="508">
        <f>IF(OR(1&gt;$B$3,ISBLANK(Actuals!C84)),"",Actuals!C84)</f>
        <v/>
      </c>
      <c r="D68" s="509">
        <f>IF(OR(1&gt;$B$3,ISBLANK(Actuals!C84)),"",'Reforecast Q1 2026'!C84-Actuals!C84)</f>
        <v/>
      </c>
      <c r="E68" s="509">
        <f>IFERROR(IF(OR(1&gt;$B$3,ISBLANK(Actuals!C84)),"",('Reforecast Q1 2026'!C84-Actuals!C84)/ABS('Reforecast Q1 2026'!C84)),"")</f>
        <v/>
      </c>
      <c r="F68" s="508">
        <f>'Reforecast Q1 2026'!D84</f>
        <v/>
      </c>
      <c r="G68" s="508">
        <f>IF(OR(2&gt;$B$3,ISBLANK(Actuals!D84)),"",Actuals!D84)</f>
        <v/>
      </c>
      <c r="H68" s="509">
        <f>IF(OR(2&gt;$B$3,ISBLANK(Actuals!D84)),"",'Reforecast Q1 2026'!D84-Actuals!D84)</f>
        <v/>
      </c>
      <c r="I68" s="509">
        <f>IFERROR(IF(OR(2&gt;$B$3,ISBLANK(Actuals!D84)),"",('Reforecast Q1 2026'!D84-Actuals!D84)/ABS('Reforecast Q1 2026'!D84)),"")</f>
        <v/>
      </c>
      <c r="J68" s="508">
        <f>'Reforecast Q1 2026'!E84</f>
        <v/>
      </c>
      <c r="K68" s="508">
        <f>IF(OR(3&gt;$B$3,ISBLANK(Actuals!E84)),"",Actuals!E84)</f>
        <v/>
      </c>
      <c r="L68" s="509">
        <f>IF(OR(3&gt;$B$3,ISBLANK(Actuals!E84)),"",'Reforecast Q1 2026'!E84-Actuals!E84)</f>
        <v/>
      </c>
      <c r="M68" s="509">
        <f>IFERROR(IF(OR(3&gt;$B$3,ISBLANK(Actuals!E84)),"",('Reforecast Q1 2026'!E84-Actuals!E84)/ABS('Reforecast Q1 2026'!E84)),"")</f>
        <v/>
      </c>
      <c r="N68" s="508">
        <f>'Reforecast Q1 2026'!F84</f>
        <v/>
      </c>
      <c r="O68" s="508">
        <f>IF(OR(4&gt;$B$3,ISBLANK(Actuals!F84)),"",Actuals!F84)</f>
        <v/>
      </c>
      <c r="P68" s="509">
        <f>IF(OR(4&gt;$B$3,ISBLANK(Actuals!F84)),"",'Reforecast Q1 2026'!F84-Actuals!F84)</f>
        <v/>
      </c>
      <c r="Q68" s="509">
        <f>IFERROR(IF(OR(4&gt;$B$3,ISBLANK(Actuals!F84)),"",('Reforecast Q1 2026'!F84-Actuals!F84)/ABS('Reforecast Q1 2026'!F84)),"")</f>
        <v/>
      </c>
      <c r="R68" s="508">
        <f>'Reforecast Q1 2026'!G84</f>
        <v/>
      </c>
      <c r="S68" s="508">
        <f>IF(OR(5&gt;$B$3,ISBLANK(Actuals!G84)),"",Actuals!G84)</f>
        <v/>
      </c>
      <c r="T68" s="509">
        <f>IF(OR(5&gt;$B$3,ISBLANK(Actuals!G84)),"",'Reforecast Q1 2026'!G84-Actuals!G84)</f>
        <v/>
      </c>
      <c r="U68" s="509">
        <f>IFERROR(IF(OR(5&gt;$B$3,ISBLANK(Actuals!G84)),"",('Reforecast Q1 2026'!G84-Actuals!G84)/ABS('Reforecast Q1 2026'!G84)),"")</f>
        <v/>
      </c>
      <c r="V68" s="508">
        <f>'Reforecast Q1 2026'!H84</f>
        <v/>
      </c>
      <c r="W68" s="508">
        <f>IF(OR(6&gt;$B$3,ISBLANK(Actuals!H84)),"",Actuals!H84)</f>
        <v/>
      </c>
      <c r="X68" s="509">
        <f>IF(OR(6&gt;$B$3,ISBLANK(Actuals!H84)),"",'Reforecast Q1 2026'!H84-Actuals!H84)</f>
        <v/>
      </c>
      <c r="Y68" s="509">
        <f>IFERROR(IF(OR(6&gt;$B$3,ISBLANK(Actuals!H84)),"",('Reforecast Q1 2026'!H84-Actuals!H84)/ABS('Reforecast Q1 2026'!H84)),"")</f>
        <v/>
      </c>
      <c r="Z68" s="508">
        <f>'Reforecast Q1 2026'!I84</f>
        <v/>
      </c>
      <c r="AA68" s="508">
        <f>IF(OR(7&gt;$B$3,ISBLANK(Actuals!I84)),"",Actuals!I84)</f>
        <v/>
      </c>
      <c r="AB68" s="509">
        <f>IF(OR(7&gt;$B$3,ISBLANK(Actuals!I84)),"",'Reforecast Q1 2026'!I84-Actuals!I84)</f>
        <v/>
      </c>
      <c r="AC68" s="509">
        <f>IFERROR(IF(OR(7&gt;$B$3,ISBLANK(Actuals!I84)),"",('Reforecast Q1 2026'!I84-Actuals!I84)/ABS('Reforecast Q1 2026'!I84)),"")</f>
        <v/>
      </c>
      <c r="AD68" s="508">
        <f>'Reforecast Q1 2026'!J84</f>
        <v/>
      </c>
      <c r="AE68" s="508">
        <f>IF(OR(8&gt;$B$3,ISBLANK(Actuals!J84)),"",Actuals!J84)</f>
        <v/>
      </c>
      <c r="AF68" s="509">
        <f>IF(OR(8&gt;$B$3,ISBLANK(Actuals!J84)),"",'Reforecast Q1 2026'!J84-Actuals!J84)</f>
        <v/>
      </c>
      <c r="AG68" s="509">
        <f>IFERROR(IF(OR(8&gt;$B$3,ISBLANK(Actuals!J84)),"",('Reforecast Q1 2026'!J84-Actuals!J84)/ABS('Reforecast Q1 2026'!J84)),"")</f>
        <v/>
      </c>
      <c r="AH68" s="508">
        <f>'Reforecast Q1 2026'!K84</f>
        <v/>
      </c>
      <c r="AI68" s="508">
        <f>IF(OR(9&gt;$B$3,ISBLANK(Actuals!K84)),"",Actuals!K84)</f>
        <v/>
      </c>
      <c r="AJ68" s="509">
        <f>IF(OR(9&gt;$B$3,ISBLANK(Actuals!K84)),"",'Reforecast Q1 2026'!K84-Actuals!K84)</f>
        <v/>
      </c>
      <c r="AK68" s="509">
        <f>IFERROR(IF(OR(9&gt;$B$3,ISBLANK(Actuals!K84)),"",('Reforecast Q1 2026'!K84-Actuals!K84)/ABS('Reforecast Q1 2026'!K84)),"")</f>
        <v/>
      </c>
      <c r="AL68" s="508">
        <f>'Reforecast Q1 2026'!L84</f>
        <v/>
      </c>
      <c r="AM68" s="508">
        <f>IF(OR(10&gt;$B$3,ISBLANK(Actuals!L84)),"",Actuals!L84)</f>
        <v/>
      </c>
      <c r="AN68" s="509">
        <f>IF(OR(10&gt;$B$3,ISBLANK(Actuals!L84)),"",'Reforecast Q1 2026'!L84-Actuals!L84)</f>
        <v/>
      </c>
      <c r="AO68" s="509">
        <f>IFERROR(IF(OR(10&gt;$B$3,ISBLANK(Actuals!L84)),"",('Reforecast Q1 2026'!L84-Actuals!L84)/ABS('Reforecast Q1 2026'!L84)),"")</f>
        <v/>
      </c>
      <c r="AP68" s="508">
        <f>'Reforecast Q1 2026'!M84</f>
        <v/>
      </c>
      <c r="AQ68" s="508">
        <f>IF(OR(11&gt;$B$3,ISBLANK(Actuals!M84)),"",Actuals!M84)</f>
        <v/>
      </c>
      <c r="AR68" s="509">
        <f>IF(OR(11&gt;$B$3,ISBLANK(Actuals!M84)),"",'Reforecast Q1 2026'!M84-Actuals!M84)</f>
        <v/>
      </c>
      <c r="AS68" s="509">
        <f>IFERROR(IF(OR(11&gt;$B$3,ISBLANK(Actuals!M84)),"",('Reforecast Q1 2026'!M84-Actuals!M84)/ABS('Reforecast Q1 2026'!M84)),"")</f>
        <v/>
      </c>
      <c r="AT68" s="508">
        <f>'Reforecast Q1 2026'!N84</f>
        <v/>
      </c>
      <c r="AU68" s="508">
        <f>IF(OR(12&gt;$B$3,ISBLANK(Actuals!N84)),"",Actuals!N84)</f>
        <v/>
      </c>
      <c r="AV68" s="509">
        <f>IF(OR(12&gt;$B$3,ISBLANK(Actuals!N84)),"",'Reforecast Q1 2026'!N84-Actuals!N84)</f>
        <v/>
      </c>
      <c r="AW68" s="509">
        <f>IFERROR(IF(OR(12&gt;$B$3,ISBLANK(Actuals!N84)),"",('Reforecast Q1 2026'!N84-Actuals!N84)/ABS('Reforecast Q1 2026'!N84)),"")</f>
        <v/>
      </c>
      <c r="AX68" s="510">
        <f>SUMPRODUCT((Actuals!C84:N84&lt;&gt;"")*('Reforecast Q1 2026'!C84:N84))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'Reforecast Q1 2026'!C85</f>
        <v/>
      </c>
      <c r="C69" s="508">
        <f>IF(OR(1&gt;$B$3,ISBLANK(Actuals!C85)),"",Actuals!C85)</f>
        <v/>
      </c>
      <c r="D69" s="509">
        <f>IF(OR(1&gt;$B$3,ISBLANK(Actuals!C85)),"",'Reforecast Q1 2026'!C85-Actuals!C85)</f>
        <v/>
      </c>
      <c r="E69" s="509">
        <f>IFERROR(IF(OR(1&gt;$B$3,ISBLANK(Actuals!C85)),"",('Reforecast Q1 2026'!C85-Actuals!C85)/ABS('Reforecast Q1 2026'!C85)),"")</f>
        <v/>
      </c>
      <c r="F69" s="508">
        <f>'Reforecast Q1 2026'!D85</f>
        <v/>
      </c>
      <c r="G69" s="508">
        <f>IF(OR(2&gt;$B$3,ISBLANK(Actuals!D85)),"",Actuals!D85)</f>
        <v/>
      </c>
      <c r="H69" s="509">
        <f>IF(OR(2&gt;$B$3,ISBLANK(Actuals!D85)),"",'Reforecast Q1 2026'!D85-Actuals!D85)</f>
        <v/>
      </c>
      <c r="I69" s="509">
        <f>IFERROR(IF(OR(2&gt;$B$3,ISBLANK(Actuals!D85)),"",('Reforecast Q1 2026'!D85-Actuals!D85)/ABS('Reforecast Q1 2026'!D85)),"")</f>
        <v/>
      </c>
      <c r="J69" s="508">
        <f>'Reforecast Q1 2026'!E85</f>
        <v/>
      </c>
      <c r="K69" s="508">
        <f>IF(OR(3&gt;$B$3,ISBLANK(Actuals!E85)),"",Actuals!E85)</f>
        <v/>
      </c>
      <c r="L69" s="509">
        <f>IF(OR(3&gt;$B$3,ISBLANK(Actuals!E85)),"",'Reforecast Q1 2026'!E85-Actuals!E85)</f>
        <v/>
      </c>
      <c r="M69" s="509">
        <f>IFERROR(IF(OR(3&gt;$B$3,ISBLANK(Actuals!E85)),"",('Reforecast Q1 2026'!E85-Actuals!E85)/ABS('Reforecast Q1 2026'!E85)),"")</f>
        <v/>
      </c>
      <c r="N69" s="508">
        <f>'Reforecast Q1 2026'!F85</f>
        <v/>
      </c>
      <c r="O69" s="508">
        <f>IF(OR(4&gt;$B$3,ISBLANK(Actuals!F85)),"",Actuals!F85)</f>
        <v/>
      </c>
      <c r="P69" s="509">
        <f>IF(OR(4&gt;$B$3,ISBLANK(Actuals!F85)),"",'Reforecast Q1 2026'!F85-Actuals!F85)</f>
        <v/>
      </c>
      <c r="Q69" s="509">
        <f>IFERROR(IF(OR(4&gt;$B$3,ISBLANK(Actuals!F85)),"",('Reforecast Q1 2026'!F85-Actuals!F85)/ABS('Reforecast Q1 2026'!F85)),"")</f>
        <v/>
      </c>
      <c r="R69" s="508">
        <f>'Reforecast Q1 2026'!G85</f>
        <v/>
      </c>
      <c r="S69" s="508">
        <f>IF(OR(5&gt;$B$3,ISBLANK(Actuals!G85)),"",Actuals!G85)</f>
        <v/>
      </c>
      <c r="T69" s="509">
        <f>IF(OR(5&gt;$B$3,ISBLANK(Actuals!G85)),"",'Reforecast Q1 2026'!G85-Actuals!G85)</f>
        <v/>
      </c>
      <c r="U69" s="509">
        <f>IFERROR(IF(OR(5&gt;$B$3,ISBLANK(Actuals!G85)),"",('Reforecast Q1 2026'!G85-Actuals!G85)/ABS('Reforecast Q1 2026'!G85)),"")</f>
        <v/>
      </c>
      <c r="V69" s="508">
        <f>'Reforecast Q1 2026'!H85</f>
        <v/>
      </c>
      <c r="W69" s="508">
        <f>IF(OR(6&gt;$B$3,ISBLANK(Actuals!H85)),"",Actuals!H85)</f>
        <v/>
      </c>
      <c r="X69" s="509">
        <f>IF(OR(6&gt;$B$3,ISBLANK(Actuals!H85)),"",'Reforecast Q1 2026'!H85-Actuals!H85)</f>
        <v/>
      </c>
      <c r="Y69" s="509">
        <f>IFERROR(IF(OR(6&gt;$B$3,ISBLANK(Actuals!H85)),"",('Reforecast Q1 2026'!H85-Actuals!H85)/ABS('Reforecast Q1 2026'!H85)),"")</f>
        <v/>
      </c>
      <c r="Z69" s="508">
        <f>'Reforecast Q1 2026'!I85</f>
        <v/>
      </c>
      <c r="AA69" s="508">
        <f>IF(OR(7&gt;$B$3,ISBLANK(Actuals!I85)),"",Actuals!I85)</f>
        <v/>
      </c>
      <c r="AB69" s="509">
        <f>IF(OR(7&gt;$B$3,ISBLANK(Actuals!I85)),"",'Reforecast Q1 2026'!I85-Actuals!I85)</f>
        <v/>
      </c>
      <c r="AC69" s="509">
        <f>IFERROR(IF(OR(7&gt;$B$3,ISBLANK(Actuals!I85)),"",('Reforecast Q1 2026'!I85-Actuals!I85)/ABS('Reforecast Q1 2026'!I85)),"")</f>
        <v/>
      </c>
      <c r="AD69" s="508">
        <f>'Reforecast Q1 2026'!J85</f>
        <v/>
      </c>
      <c r="AE69" s="508">
        <f>IF(OR(8&gt;$B$3,ISBLANK(Actuals!J85)),"",Actuals!J85)</f>
        <v/>
      </c>
      <c r="AF69" s="509">
        <f>IF(OR(8&gt;$B$3,ISBLANK(Actuals!J85)),"",'Reforecast Q1 2026'!J85-Actuals!J85)</f>
        <v/>
      </c>
      <c r="AG69" s="509">
        <f>IFERROR(IF(OR(8&gt;$B$3,ISBLANK(Actuals!J85)),"",('Reforecast Q1 2026'!J85-Actuals!J85)/ABS('Reforecast Q1 2026'!J85)),"")</f>
        <v/>
      </c>
      <c r="AH69" s="508">
        <f>'Reforecast Q1 2026'!K85</f>
        <v/>
      </c>
      <c r="AI69" s="508">
        <f>IF(OR(9&gt;$B$3,ISBLANK(Actuals!K85)),"",Actuals!K85)</f>
        <v/>
      </c>
      <c r="AJ69" s="509">
        <f>IF(OR(9&gt;$B$3,ISBLANK(Actuals!K85)),"",'Reforecast Q1 2026'!K85-Actuals!K85)</f>
        <v/>
      </c>
      <c r="AK69" s="509">
        <f>IFERROR(IF(OR(9&gt;$B$3,ISBLANK(Actuals!K85)),"",('Reforecast Q1 2026'!K85-Actuals!K85)/ABS('Reforecast Q1 2026'!K85)),"")</f>
        <v/>
      </c>
      <c r="AL69" s="508">
        <f>'Reforecast Q1 2026'!L85</f>
        <v/>
      </c>
      <c r="AM69" s="508">
        <f>IF(OR(10&gt;$B$3,ISBLANK(Actuals!L85)),"",Actuals!L85)</f>
        <v/>
      </c>
      <c r="AN69" s="509">
        <f>IF(OR(10&gt;$B$3,ISBLANK(Actuals!L85)),"",'Reforecast Q1 2026'!L85-Actuals!L85)</f>
        <v/>
      </c>
      <c r="AO69" s="509">
        <f>IFERROR(IF(OR(10&gt;$B$3,ISBLANK(Actuals!L85)),"",('Reforecast Q1 2026'!L85-Actuals!L85)/ABS('Reforecast Q1 2026'!L85)),"")</f>
        <v/>
      </c>
      <c r="AP69" s="508">
        <f>'Reforecast Q1 2026'!M85</f>
        <v/>
      </c>
      <c r="AQ69" s="508">
        <f>IF(OR(11&gt;$B$3,ISBLANK(Actuals!M85)),"",Actuals!M85)</f>
        <v/>
      </c>
      <c r="AR69" s="509">
        <f>IF(OR(11&gt;$B$3,ISBLANK(Actuals!M85)),"",'Reforecast Q1 2026'!M85-Actuals!M85)</f>
        <v/>
      </c>
      <c r="AS69" s="509">
        <f>IFERROR(IF(OR(11&gt;$B$3,ISBLANK(Actuals!M85)),"",('Reforecast Q1 2026'!M85-Actuals!M85)/ABS('Reforecast Q1 2026'!M85)),"")</f>
        <v/>
      </c>
      <c r="AT69" s="508">
        <f>'Reforecast Q1 2026'!N85</f>
        <v/>
      </c>
      <c r="AU69" s="508">
        <f>IF(OR(12&gt;$B$3,ISBLANK(Actuals!N85)),"",Actuals!N85)</f>
        <v/>
      </c>
      <c r="AV69" s="509">
        <f>IF(OR(12&gt;$B$3,ISBLANK(Actuals!N85)),"",'Reforecast Q1 2026'!N85-Actuals!N85)</f>
        <v/>
      </c>
      <c r="AW69" s="509">
        <f>IFERROR(IF(OR(12&gt;$B$3,ISBLANK(Actuals!N85)),"",('Reforecast Q1 2026'!N85-Actuals!N85)/ABS('Reforecast Q1 2026'!N85)),"")</f>
        <v/>
      </c>
      <c r="AX69" s="510">
        <f>SUMPRODUCT((Actuals!C85:N85&lt;&gt;"")*('Reforecast Q1 2026'!C85:N85))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'Reforecast Q1 2026'!C86</f>
        <v/>
      </c>
      <c r="C70" s="508">
        <f>IF(OR(1&gt;$B$3,ISBLANK(Actuals!C86)),"",Actuals!C86)</f>
        <v/>
      </c>
      <c r="D70" s="509">
        <f>IF(OR(1&gt;$B$3,ISBLANK(Actuals!C86)),"",'Reforecast Q1 2026'!C86-Actuals!C86)</f>
        <v/>
      </c>
      <c r="E70" s="509">
        <f>IFERROR(IF(OR(1&gt;$B$3,ISBLANK(Actuals!C86)),"",('Reforecast Q1 2026'!C86-Actuals!C86)/ABS('Reforecast Q1 2026'!C86)),"")</f>
        <v/>
      </c>
      <c r="F70" s="508">
        <f>'Reforecast Q1 2026'!D86</f>
        <v/>
      </c>
      <c r="G70" s="508">
        <f>IF(OR(2&gt;$B$3,ISBLANK(Actuals!D86)),"",Actuals!D86)</f>
        <v/>
      </c>
      <c r="H70" s="509">
        <f>IF(OR(2&gt;$B$3,ISBLANK(Actuals!D86)),"",'Reforecast Q1 2026'!D86-Actuals!D86)</f>
        <v/>
      </c>
      <c r="I70" s="509">
        <f>IFERROR(IF(OR(2&gt;$B$3,ISBLANK(Actuals!D86)),"",('Reforecast Q1 2026'!D86-Actuals!D86)/ABS('Reforecast Q1 2026'!D86)),"")</f>
        <v/>
      </c>
      <c r="J70" s="508">
        <f>'Reforecast Q1 2026'!E86</f>
        <v/>
      </c>
      <c r="K70" s="508">
        <f>IF(OR(3&gt;$B$3,ISBLANK(Actuals!E86)),"",Actuals!E86)</f>
        <v/>
      </c>
      <c r="L70" s="509">
        <f>IF(OR(3&gt;$B$3,ISBLANK(Actuals!E86)),"",'Reforecast Q1 2026'!E86-Actuals!E86)</f>
        <v/>
      </c>
      <c r="M70" s="509">
        <f>IFERROR(IF(OR(3&gt;$B$3,ISBLANK(Actuals!E86)),"",('Reforecast Q1 2026'!E86-Actuals!E86)/ABS('Reforecast Q1 2026'!E86)),"")</f>
        <v/>
      </c>
      <c r="N70" s="508">
        <f>'Reforecast Q1 2026'!F86</f>
        <v/>
      </c>
      <c r="O70" s="508">
        <f>IF(OR(4&gt;$B$3,ISBLANK(Actuals!F86)),"",Actuals!F86)</f>
        <v/>
      </c>
      <c r="P70" s="509">
        <f>IF(OR(4&gt;$B$3,ISBLANK(Actuals!F86)),"",'Reforecast Q1 2026'!F86-Actuals!F86)</f>
        <v/>
      </c>
      <c r="Q70" s="509">
        <f>IFERROR(IF(OR(4&gt;$B$3,ISBLANK(Actuals!F86)),"",('Reforecast Q1 2026'!F86-Actuals!F86)/ABS('Reforecast Q1 2026'!F86)),"")</f>
        <v/>
      </c>
      <c r="R70" s="508">
        <f>'Reforecast Q1 2026'!G86</f>
        <v/>
      </c>
      <c r="S70" s="508">
        <f>IF(OR(5&gt;$B$3,ISBLANK(Actuals!G86)),"",Actuals!G86)</f>
        <v/>
      </c>
      <c r="T70" s="509">
        <f>IF(OR(5&gt;$B$3,ISBLANK(Actuals!G86)),"",'Reforecast Q1 2026'!G86-Actuals!G86)</f>
        <v/>
      </c>
      <c r="U70" s="509">
        <f>IFERROR(IF(OR(5&gt;$B$3,ISBLANK(Actuals!G86)),"",('Reforecast Q1 2026'!G86-Actuals!G86)/ABS('Reforecast Q1 2026'!G86)),"")</f>
        <v/>
      </c>
      <c r="V70" s="508">
        <f>'Reforecast Q1 2026'!H86</f>
        <v/>
      </c>
      <c r="W70" s="508">
        <f>IF(OR(6&gt;$B$3,ISBLANK(Actuals!H86)),"",Actuals!H86)</f>
        <v/>
      </c>
      <c r="X70" s="509">
        <f>IF(OR(6&gt;$B$3,ISBLANK(Actuals!H86)),"",'Reforecast Q1 2026'!H86-Actuals!H86)</f>
        <v/>
      </c>
      <c r="Y70" s="509">
        <f>IFERROR(IF(OR(6&gt;$B$3,ISBLANK(Actuals!H86)),"",('Reforecast Q1 2026'!H86-Actuals!H86)/ABS('Reforecast Q1 2026'!H86)),"")</f>
        <v/>
      </c>
      <c r="Z70" s="508">
        <f>'Reforecast Q1 2026'!I86</f>
        <v/>
      </c>
      <c r="AA70" s="508">
        <f>IF(OR(7&gt;$B$3,ISBLANK(Actuals!I86)),"",Actuals!I86)</f>
        <v/>
      </c>
      <c r="AB70" s="509">
        <f>IF(OR(7&gt;$B$3,ISBLANK(Actuals!I86)),"",'Reforecast Q1 2026'!I86-Actuals!I86)</f>
        <v/>
      </c>
      <c r="AC70" s="509">
        <f>IFERROR(IF(OR(7&gt;$B$3,ISBLANK(Actuals!I86)),"",('Reforecast Q1 2026'!I86-Actuals!I86)/ABS('Reforecast Q1 2026'!I86)),"")</f>
        <v/>
      </c>
      <c r="AD70" s="508">
        <f>'Reforecast Q1 2026'!J86</f>
        <v/>
      </c>
      <c r="AE70" s="508">
        <f>IF(OR(8&gt;$B$3,ISBLANK(Actuals!J86)),"",Actuals!J86)</f>
        <v/>
      </c>
      <c r="AF70" s="509">
        <f>IF(OR(8&gt;$B$3,ISBLANK(Actuals!J86)),"",'Reforecast Q1 2026'!J86-Actuals!J86)</f>
        <v/>
      </c>
      <c r="AG70" s="509">
        <f>IFERROR(IF(OR(8&gt;$B$3,ISBLANK(Actuals!J86)),"",('Reforecast Q1 2026'!J86-Actuals!J86)/ABS('Reforecast Q1 2026'!J86)),"")</f>
        <v/>
      </c>
      <c r="AH70" s="508">
        <f>'Reforecast Q1 2026'!K86</f>
        <v/>
      </c>
      <c r="AI70" s="508">
        <f>IF(OR(9&gt;$B$3,ISBLANK(Actuals!K86)),"",Actuals!K86)</f>
        <v/>
      </c>
      <c r="AJ70" s="509">
        <f>IF(OR(9&gt;$B$3,ISBLANK(Actuals!K86)),"",'Reforecast Q1 2026'!K86-Actuals!K86)</f>
        <v/>
      </c>
      <c r="AK70" s="509">
        <f>IFERROR(IF(OR(9&gt;$B$3,ISBLANK(Actuals!K86)),"",('Reforecast Q1 2026'!K86-Actuals!K86)/ABS('Reforecast Q1 2026'!K86)),"")</f>
        <v/>
      </c>
      <c r="AL70" s="508">
        <f>'Reforecast Q1 2026'!L86</f>
        <v/>
      </c>
      <c r="AM70" s="508">
        <f>IF(OR(10&gt;$B$3,ISBLANK(Actuals!L86)),"",Actuals!L86)</f>
        <v/>
      </c>
      <c r="AN70" s="509">
        <f>IF(OR(10&gt;$B$3,ISBLANK(Actuals!L86)),"",'Reforecast Q1 2026'!L86-Actuals!L86)</f>
        <v/>
      </c>
      <c r="AO70" s="509">
        <f>IFERROR(IF(OR(10&gt;$B$3,ISBLANK(Actuals!L86)),"",('Reforecast Q1 2026'!L86-Actuals!L86)/ABS('Reforecast Q1 2026'!L86)),"")</f>
        <v/>
      </c>
      <c r="AP70" s="508">
        <f>'Reforecast Q1 2026'!M86</f>
        <v/>
      </c>
      <c r="AQ70" s="508">
        <f>IF(OR(11&gt;$B$3,ISBLANK(Actuals!M86)),"",Actuals!M86)</f>
        <v/>
      </c>
      <c r="AR70" s="509">
        <f>IF(OR(11&gt;$B$3,ISBLANK(Actuals!M86)),"",'Reforecast Q1 2026'!M86-Actuals!M86)</f>
        <v/>
      </c>
      <c r="AS70" s="509">
        <f>IFERROR(IF(OR(11&gt;$B$3,ISBLANK(Actuals!M86)),"",('Reforecast Q1 2026'!M86-Actuals!M86)/ABS('Reforecast Q1 2026'!M86)),"")</f>
        <v/>
      </c>
      <c r="AT70" s="508">
        <f>'Reforecast Q1 2026'!N86</f>
        <v/>
      </c>
      <c r="AU70" s="508">
        <f>IF(OR(12&gt;$B$3,ISBLANK(Actuals!N86)),"",Actuals!N86)</f>
        <v/>
      </c>
      <c r="AV70" s="509">
        <f>IF(OR(12&gt;$B$3,ISBLANK(Actuals!N86)),"",'Reforecast Q1 2026'!N86-Actuals!N86)</f>
        <v/>
      </c>
      <c r="AW70" s="509">
        <f>IFERROR(IF(OR(12&gt;$B$3,ISBLANK(Actuals!N86)),"",('Reforecast Q1 2026'!N86-Actuals!N86)/ABS('Reforecast Q1 2026'!N86)),"")</f>
        <v/>
      </c>
      <c r="AX70" s="510">
        <f>SUMPRODUCT((Actuals!C86:N86&lt;&gt;"")*('Reforecast Q1 2026'!C86:N86))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'Reforecast Q1 2026'!C87</f>
        <v/>
      </c>
      <c r="C71" s="508">
        <f>IF(OR(1&gt;$B$3,ISBLANK(Actuals!C87)),"",Actuals!C87)</f>
        <v/>
      </c>
      <c r="D71" s="509">
        <f>IF(OR(1&gt;$B$3,ISBLANK(Actuals!C87)),"",'Reforecast Q1 2026'!C87-Actuals!C87)</f>
        <v/>
      </c>
      <c r="E71" s="509">
        <f>IFERROR(IF(OR(1&gt;$B$3,ISBLANK(Actuals!C87)),"",('Reforecast Q1 2026'!C87-Actuals!C87)/ABS('Reforecast Q1 2026'!C87)),"")</f>
        <v/>
      </c>
      <c r="F71" s="508">
        <f>'Reforecast Q1 2026'!D87</f>
        <v/>
      </c>
      <c r="G71" s="508">
        <f>IF(OR(2&gt;$B$3,ISBLANK(Actuals!D87)),"",Actuals!D87)</f>
        <v/>
      </c>
      <c r="H71" s="509">
        <f>IF(OR(2&gt;$B$3,ISBLANK(Actuals!D87)),"",'Reforecast Q1 2026'!D87-Actuals!D87)</f>
        <v/>
      </c>
      <c r="I71" s="509">
        <f>IFERROR(IF(OR(2&gt;$B$3,ISBLANK(Actuals!D87)),"",('Reforecast Q1 2026'!D87-Actuals!D87)/ABS('Reforecast Q1 2026'!D87)),"")</f>
        <v/>
      </c>
      <c r="J71" s="508">
        <f>'Reforecast Q1 2026'!E87</f>
        <v/>
      </c>
      <c r="K71" s="508">
        <f>IF(OR(3&gt;$B$3,ISBLANK(Actuals!E87)),"",Actuals!E87)</f>
        <v/>
      </c>
      <c r="L71" s="509">
        <f>IF(OR(3&gt;$B$3,ISBLANK(Actuals!E87)),"",'Reforecast Q1 2026'!E87-Actuals!E87)</f>
        <v/>
      </c>
      <c r="M71" s="509">
        <f>IFERROR(IF(OR(3&gt;$B$3,ISBLANK(Actuals!E87)),"",('Reforecast Q1 2026'!E87-Actuals!E87)/ABS('Reforecast Q1 2026'!E87)),"")</f>
        <v/>
      </c>
      <c r="N71" s="508">
        <f>'Reforecast Q1 2026'!F87</f>
        <v/>
      </c>
      <c r="O71" s="508">
        <f>IF(OR(4&gt;$B$3,ISBLANK(Actuals!F87)),"",Actuals!F87)</f>
        <v/>
      </c>
      <c r="P71" s="509">
        <f>IF(OR(4&gt;$B$3,ISBLANK(Actuals!F87)),"",'Reforecast Q1 2026'!F87-Actuals!F87)</f>
        <v/>
      </c>
      <c r="Q71" s="509">
        <f>IFERROR(IF(OR(4&gt;$B$3,ISBLANK(Actuals!F87)),"",('Reforecast Q1 2026'!F87-Actuals!F87)/ABS('Reforecast Q1 2026'!F87)),"")</f>
        <v/>
      </c>
      <c r="R71" s="508">
        <f>'Reforecast Q1 2026'!G87</f>
        <v/>
      </c>
      <c r="S71" s="508">
        <f>IF(OR(5&gt;$B$3,ISBLANK(Actuals!G87)),"",Actuals!G87)</f>
        <v/>
      </c>
      <c r="T71" s="509">
        <f>IF(OR(5&gt;$B$3,ISBLANK(Actuals!G87)),"",'Reforecast Q1 2026'!G87-Actuals!G87)</f>
        <v/>
      </c>
      <c r="U71" s="509">
        <f>IFERROR(IF(OR(5&gt;$B$3,ISBLANK(Actuals!G87)),"",('Reforecast Q1 2026'!G87-Actuals!G87)/ABS('Reforecast Q1 2026'!G87)),"")</f>
        <v/>
      </c>
      <c r="V71" s="508">
        <f>'Reforecast Q1 2026'!H87</f>
        <v/>
      </c>
      <c r="W71" s="508">
        <f>IF(OR(6&gt;$B$3,ISBLANK(Actuals!H87)),"",Actuals!H87)</f>
        <v/>
      </c>
      <c r="X71" s="509">
        <f>IF(OR(6&gt;$B$3,ISBLANK(Actuals!H87)),"",'Reforecast Q1 2026'!H87-Actuals!H87)</f>
        <v/>
      </c>
      <c r="Y71" s="509">
        <f>IFERROR(IF(OR(6&gt;$B$3,ISBLANK(Actuals!H87)),"",('Reforecast Q1 2026'!H87-Actuals!H87)/ABS('Reforecast Q1 2026'!H87)),"")</f>
        <v/>
      </c>
      <c r="Z71" s="508">
        <f>'Reforecast Q1 2026'!I87</f>
        <v/>
      </c>
      <c r="AA71" s="508">
        <f>IF(OR(7&gt;$B$3,ISBLANK(Actuals!I87)),"",Actuals!I87)</f>
        <v/>
      </c>
      <c r="AB71" s="509">
        <f>IF(OR(7&gt;$B$3,ISBLANK(Actuals!I87)),"",'Reforecast Q1 2026'!I87-Actuals!I87)</f>
        <v/>
      </c>
      <c r="AC71" s="509">
        <f>IFERROR(IF(OR(7&gt;$B$3,ISBLANK(Actuals!I87)),"",('Reforecast Q1 2026'!I87-Actuals!I87)/ABS('Reforecast Q1 2026'!I87)),"")</f>
        <v/>
      </c>
      <c r="AD71" s="508">
        <f>'Reforecast Q1 2026'!J87</f>
        <v/>
      </c>
      <c r="AE71" s="508">
        <f>IF(OR(8&gt;$B$3,ISBLANK(Actuals!J87)),"",Actuals!J87)</f>
        <v/>
      </c>
      <c r="AF71" s="509">
        <f>IF(OR(8&gt;$B$3,ISBLANK(Actuals!J87)),"",'Reforecast Q1 2026'!J87-Actuals!J87)</f>
        <v/>
      </c>
      <c r="AG71" s="509">
        <f>IFERROR(IF(OR(8&gt;$B$3,ISBLANK(Actuals!J87)),"",('Reforecast Q1 2026'!J87-Actuals!J87)/ABS('Reforecast Q1 2026'!J87)),"")</f>
        <v/>
      </c>
      <c r="AH71" s="508">
        <f>'Reforecast Q1 2026'!K87</f>
        <v/>
      </c>
      <c r="AI71" s="508">
        <f>IF(OR(9&gt;$B$3,ISBLANK(Actuals!K87)),"",Actuals!K87)</f>
        <v/>
      </c>
      <c r="AJ71" s="509">
        <f>IF(OR(9&gt;$B$3,ISBLANK(Actuals!K87)),"",'Reforecast Q1 2026'!K87-Actuals!K87)</f>
        <v/>
      </c>
      <c r="AK71" s="509">
        <f>IFERROR(IF(OR(9&gt;$B$3,ISBLANK(Actuals!K87)),"",('Reforecast Q1 2026'!K87-Actuals!K87)/ABS('Reforecast Q1 2026'!K87)),"")</f>
        <v/>
      </c>
      <c r="AL71" s="508">
        <f>'Reforecast Q1 2026'!L87</f>
        <v/>
      </c>
      <c r="AM71" s="508">
        <f>IF(OR(10&gt;$B$3,ISBLANK(Actuals!L87)),"",Actuals!L87)</f>
        <v/>
      </c>
      <c r="AN71" s="509">
        <f>IF(OR(10&gt;$B$3,ISBLANK(Actuals!L87)),"",'Reforecast Q1 2026'!L87-Actuals!L87)</f>
        <v/>
      </c>
      <c r="AO71" s="509">
        <f>IFERROR(IF(OR(10&gt;$B$3,ISBLANK(Actuals!L87)),"",('Reforecast Q1 2026'!L87-Actuals!L87)/ABS('Reforecast Q1 2026'!L87)),"")</f>
        <v/>
      </c>
      <c r="AP71" s="508">
        <f>'Reforecast Q1 2026'!M87</f>
        <v/>
      </c>
      <c r="AQ71" s="508">
        <f>IF(OR(11&gt;$B$3,ISBLANK(Actuals!M87)),"",Actuals!M87)</f>
        <v/>
      </c>
      <c r="AR71" s="509">
        <f>IF(OR(11&gt;$B$3,ISBLANK(Actuals!M87)),"",'Reforecast Q1 2026'!M87-Actuals!M87)</f>
        <v/>
      </c>
      <c r="AS71" s="509">
        <f>IFERROR(IF(OR(11&gt;$B$3,ISBLANK(Actuals!M87)),"",('Reforecast Q1 2026'!M87-Actuals!M87)/ABS('Reforecast Q1 2026'!M87)),"")</f>
        <v/>
      </c>
      <c r="AT71" s="508">
        <f>'Reforecast Q1 2026'!N87</f>
        <v/>
      </c>
      <c r="AU71" s="508">
        <f>IF(OR(12&gt;$B$3,ISBLANK(Actuals!N87)),"",Actuals!N87)</f>
        <v/>
      </c>
      <c r="AV71" s="509">
        <f>IF(OR(12&gt;$B$3,ISBLANK(Actuals!N87)),"",'Reforecast Q1 2026'!N87-Actuals!N87)</f>
        <v/>
      </c>
      <c r="AW71" s="509">
        <f>IFERROR(IF(OR(12&gt;$B$3,ISBLANK(Actuals!N87)),"",('Reforecast Q1 2026'!N87-Actuals!N87)/ABS('Reforecast Q1 2026'!N87)),"")</f>
        <v/>
      </c>
      <c r="AX71" s="510">
        <f>SUMPRODUCT((Actuals!C87:N87&lt;&gt;"")*('Reforecast Q1 2026'!C87:N87))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'Reforecast Q1 2026'!C88</f>
        <v/>
      </c>
      <c r="C72" s="508">
        <f>IF(OR(1&gt;$B$3,ISBLANK(Actuals!C88)),"",Actuals!C88)</f>
        <v/>
      </c>
      <c r="D72" s="509">
        <f>IF(OR(1&gt;$B$3,ISBLANK(Actuals!C88)),"",'Reforecast Q1 2026'!C88-Actuals!C88)</f>
        <v/>
      </c>
      <c r="E72" s="509">
        <f>IFERROR(IF(OR(1&gt;$B$3,ISBLANK(Actuals!C88)),"",('Reforecast Q1 2026'!C88-Actuals!C88)/ABS('Reforecast Q1 2026'!C88)),"")</f>
        <v/>
      </c>
      <c r="F72" s="508">
        <f>'Reforecast Q1 2026'!D88</f>
        <v/>
      </c>
      <c r="G72" s="508">
        <f>IF(OR(2&gt;$B$3,ISBLANK(Actuals!D88)),"",Actuals!D88)</f>
        <v/>
      </c>
      <c r="H72" s="509">
        <f>IF(OR(2&gt;$B$3,ISBLANK(Actuals!D88)),"",'Reforecast Q1 2026'!D88-Actuals!D88)</f>
        <v/>
      </c>
      <c r="I72" s="509">
        <f>IFERROR(IF(OR(2&gt;$B$3,ISBLANK(Actuals!D88)),"",('Reforecast Q1 2026'!D88-Actuals!D88)/ABS('Reforecast Q1 2026'!D88)),"")</f>
        <v/>
      </c>
      <c r="J72" s="508">
        <f>'Reforecast Q1 2026'!E88</f>
        <v/>
      </c>
      <c r="K72" s="508">
        <f>IF(OR(3&gt;$B$3,ISBLANK(Actuals!E88)),"",Actuals!E88)</f>
        <v/>
      </c>
      <c r="L72" s="509">
        <f>IF(OR(3&gt;$B$3,ISBLANK(Actuals!E88)),"",'Reforecast Q1 2026'!E88-Actuals!E88)</f>
        <v/>
      </c>
      <c r="M72" s="509">
        <f>IFERROR(IF(OR(3&gt;$B$3,ISBLANK(Actuals!E88)),"",('Reforecast Q1 2026'!E88-Actuals!E88)/ABS('Reforecast Q1 2026'!E88)),"")</f>
        <v/>
      </c>
      <c r="N72" s="508">
        <f>'Reforecast Q1 2026'!F88</f>
        <v/>
      </c>
      <c r="O72" s="508">
        <f>IF(OR(4&gt;$B$3,ISBLANK(Actuals!F88)),"",Actuals!F88)</f>
        <v/>
      </c>
      <c r="P72" s="509">
        <f>IF(OR(4&gt;$B$3,ISBLANK(Actuals!F88)),"",'Reforecast Q1 2026'!F88-Actuals!F88)</f>
        <v/>
      </c>
      <c r="Q72" s="509">
        <f>IFERROR(IF(OR(4&gt;$B$3,ISBLANK(Actuals!F88)),"",('Reforecast Q1 2026'!F88-Actuals!F88)/ABS('Reforecast Q1 2026'!F88)),"")</f>
        <v/>
      </c>
      <c r="R72" s="508">
        <f>'Reforecast Q1 2026'!G88</f>
        <v/>
      </c>
      <c r="S72" s="508">
        <f>IF(OR(5&gt;$B$3,ISBLANK(Actuals!G88)),"",Actuals!G88)</f>
        <v/>
      </c>
      <c r="T72" s="509">
        <f>IF(OR(5&gt;$B$3,ISBLANK(Actuals!G88)),"",'Reforecast Q1 2026'!G88-Actuals!G88)</f>
        <v/>
      </c>
      <c r="U72" s="509">
        <f>IFERROR(IF(OR(5&gt;$B$3,ISBLANK(Actuals!G88)),"",('Reforecast Q1 2026'!G88-Actuals!G88)/ABS('Reforecast Q1 2026'!G88)),"")</f>
        <v/>
      </c>
      <c r="V72" s="508">
        <f>'Reforecast Q1 2026'!H88</f>
        <v/>
      </c>
      <c r="W72" s="508">
        <f>IF(OR(6&gt;$B$3,ISBLANK(Actuals!H88)),"",Actuals!H88)</f>
        <v/>
      </c>
      <c r="X72" s="509">
        <f>IF(OR(6&gt;$B$3,ISBLANK(Actuals!H88)),"",'Reforecast Q1 2026'!H88-Actuals!H88)</f>
        <v/>
      </c>
      <c r="Y72" s="509">
        <f>IFERROR(IF(OR(6&gt;$B$3,ISBLANK(Actuals!H88)),"",('Reforecast Q1 2026'!H88-Actuals!H88)/ABS('Reforecast Q1 2026'!H88)),"")</f>
        <v/>
      </c>
      <c r="Z72" s="508">
        <f>'Reforecast Q1 2026'!I88</f>
        <v/>
      </c>
      <c r="AA72" s="508">
        <f>IF(OR(7&gt;$B$3,ISBLANK(Actuals!I88)),"",Actuals!I88)</f>
        <v/>
      </c>
      <c r="AB72" s="509">
        <f>IF(OR(7&gt;$B$3,ISBLANK(Actuals!I88)),"",'Reforecast Q1 2026'!I88-Actuals!I88)</f>
        <v/>
      </c>
      <c r="AC72" s="509">
        <f>IFERROR(IF(OR(7&gt;$B$3,ISBLANK(Actuals!I88)),"",('Reforecast Q1 2026'!I88-Actuals!I88)/ABS('Reforecast Q1 2026'!I88)),"")</f>
        <v/>
      </c>
      <c r="AD72" s="508">
        <f>'Reforecast Q1 2026'!J88</f>
        <v/>
      </c>
      <c r="AE72" s="508">
        <f>IF(OR(8&gt;$B$3,ISBLANK(Actuals!J88)),"",Actuals!J88)</f>
        <v/>
      </c>
      <c r="AF72" s="509">
        <f>IF(OR(8&gt;$B$3,ISBLANK(Actuals!J88)),"",'Reforecast Q1 2026'!J88-Actuals!J88)</f>
        <v/>
      </c>
      <c r="AG72" s="509">
        <f>IFERROR(IF(OR(8&gt;$B$3,ISBLANK(Actuals!J88)),"",('Reforecast Q1 2026'!J88-Actuals!J88)/ABS('Reforecast Q1 2026'!J88)),"")</f>
        <v/>
      </c>
      <c r="AH72" s="508">
        <f>'Reforecast Q1 2026'!K88</f>
        <v/>
      </c>
      <c r="AI72" s="508">
        <f>IF(OR(9&gt;$B$3,ISBLANK(Actuals!K88)),"",Actuals!K88)</f>
        <v/>
      </c>
      <c r="AJ72" s="509">
        <f>IF(OR(9&gt;$B$3,ISBLANK(Actuals!K88)),"",'Reforecast Q1 2026'!K88-Actuals!K88)</f>
        <v/>
      </c>
      <c r="AK72" s="509">
        <f>IFERROR(IF(OR(9&gt;$B$3,ISBLANK(Actuals!K88)),"",('Reforecast Q1 2026'!K88-Actuals!K88)/ABS('Reforecast Q1 2026'!K88)),"")</f>
        <v/>
      </c>
      <c r="AL72" s="508">
        <f>'Reforecast Q1 2026'!L88</f>
        <v/>
      </c>
      <c r="AM72" s="508">
        <f>IF(OR(10&gt;$B$3,ISBLANK(Actuals!L88)),"",Actuals!L88)</f>
        <v/>
      </c>
      <c r="AN72" s="509">
        <f>IF(OR(10&gt;$B$3,ISBLANK(Actuals!L88)),"",'Reforecast Q1 2026'!L88-Actuals!L88)</f>
        <v/>
      </c>
      <c r="AO72" s="509">
        <f>IFERROR(IF(OR(10&gt;$B$3,ISBLANK(Actuals!L88)),"",('Reforecast Q1 2026'!L88-Actuals!L88)/ABS('Reforecast Q1 2026'!L88)),"")</f>
        <v/>
      </c>
      <c r="AP72" s="508">
        <f>'Reforecast Q1 2026'!M88</f>
        <v/>
      </c>
      <c r="AQ72" s="508">
        <f>IF(OR(11&gt;$B$3,ISBLANK(Actuals!M88)),"",Actuals!M88)</f>
        <v/>
      </c>
      <c r="AR72" s="509">
        <f>IF(OR(11&gt;$B$3,ISBLANK(Actuals!M88)),"",'Reforecast Q1 2026'!M88-Actuals!M88)</f>
        <v/>
      </c>
      <c r="AS72" s="509">
        <f>IFERROR(IF(OR(11&gt;$B$3,ISBLANK(Actuals!M88)),"",('Reforecast Q1 2026'!M88-Actuals!M88)/ABS('Reforecast Q1 2026'!M88)),"")</f>
        <v/>
      </c>
      <c r="AT72" s="508">
        <f>'Reforecast Q1 2026'!N88</f>
        <v/>
      </c>
      <c r="AU72" s="508">
        <f>IF(OR(12&gt;$B$3,ISBLANK(Actuals!N88)),"",Actuals!N88)</f>
        <v/>
      </c>
      <c r="AV72" s="509">
        <f>IF(OR(12&gt;$B$3,ISBLANK(Actuals!N88)),"",'Reforecast Q1 2026'!N88-Actuals!N88)</f>
        <v/>
      </c>
      <c r="AW72" s="509">
        <f>IFERROR(IF(OR(12&gt;$B$3,ISBLANK(Actuals!N88)),"",('Reforecast Q1 2026'!N88-Actuals!N88)/ABS('Reforecast Q1 2026'!N88)),"")</f>
        <v/>
      </c>
      <c r="AX72" s="510">
        <f>SUMPRODUCT((Actuals!C88:N88&lt;&gt;"")*('Reforecast Q1 2026'!C88:N88))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'Reforecast Q1 2026'!C89</f>
        <v/>
      </c>
      <c r="C73" s="508">
        <f>IF(OR(1&gt;$B$3,ISBLANK(Actuals!C89)),"",Actuals!C89)</f>
        <v/>
      </c>
      <c r="D73" s="509">
        <f>IF(OR(1&gt;$B$3,ISBLANK(Actuals!C89)),"",'Reforecast Q1 2026'!C89-Actuals!C89)</f>
        <v/>
      </c>
      <c r="E73" s="509">
        <f>IFERROR(IF(OR(1&gt;$B$3,ISBLANK(Actuals!C89)),"",('Reforecast Q1 2026'!C89-Actuals!C89)/ABS('Reforecast Q1 2026'!C89)),"")</f>
        <v/>
      </c>
      <c r="F73" s="508">
        <f>'Reforecast Q1 2026'!D89</f>
        <v/>
      </c>
      <c r="G73" s="508">
        <f>IF(OR(2&gt;$B$3,ISBLANK(Actuals!D89)),"",Actuals!D89)</f>
        <v/>
      </c>
      <c r="H73" s="509">
        <f>IF(OR(2&gt;$B$3,ISBLANK(Actuals!D89)),"",'Reforecast Q1 2026'!D89-Actuals!D89)</f>
        <v/>
      </c>
      <c r="I73" s="509">
        <f>IFERROR(IF(OR(2&gt;$B$3,ISBLANK(Actuals!D89)),"",('Reforecast Q1 2026'!D89-Actuals!D89)/ABS('Reforecast Q1 2026'!D89)),"")</f>
        <v/>
      </c>
      <c r="J73" s="508">
        <f>'Reforecast Q1 2026'!E89</f>
        <v/>
      </c>
      <c r="K73" s="508">
        <f>IF(OR(3&gt;$B$3,ISBLANK(Actuals!E89)),"",Actuals!E89)</f>
        <v/>
      </c>
      <c r="L73" s="509">
        <f>IF(OR(3&gt;$B$3,ISBLANK(Actuals!E89)),"",'Reforecast Q1 2026'!E89-Actuals!E89)</f>
        <v/>
      </c>
      <c r="M73" s="509">
        <f>IFERROR(IF(OR(3&gt;$B$3,ISBLANK(Actuals!E89)),"",('Reforecast Q1 2026'!E89-Actuals!E89)/ABS('Reforecast Q1 2026'!E89)),"")</f>
        <v/>
      </c>
      <c r="N73" s="508">
        <f>'Reforecast Q1 2026'!F89</f>
        <v/>
      </c>
      <c r="O73" s="508">
        <f>IF(OR(4&gt;$B$3,ISBLANK(Actuals!F89)),"",Actuals!F89)</f>
        <v/>
      </c>
      <c r="P73" s="509">
        <f>IF(OR(4&gt;$B$3,ISBLANK(Actuals!F89)),"",'Reforecast Q1 2026'!F89-Actuals!F89)</f>
        <v/>
      </c>
      <c r="Q73" s="509">
        <f>IFERROR(IF(OR(4&gt;$B$3,ISBLANK(Actuals!F89)),"",('Reforecast Q1 2026'!F89-Actuals!F89)/ABS('Reforecast Q1 2026'!F89)),"")</f>
        <v/>
      </c>
      <c r="R73" s="508">
        <f>'Reforecast Q1 2026'!G89</f>
        <v/>
      </c>
      <c r="S73" s="508">
        <f>IF(OR(5&gt;$B$3,ISBLANK(Actuals!G89)),"",Actuals!G89)</f>
        <v/>
      </c>
      <c r="T73" s="509">
        <f>IF(OR(5&gt;$B$3,ISBLANK(Actuals!G89)),"",'Reforecast Q1 2026'!G89-Actuals!G89)</f>
        <v/>
      </c>
      <c r="U73" s="509">
        <f>IFERROR(IF(OR(5&gt;$B$3,ISBLANK(Actuals!G89)),"",('Reforecast Q1 2026'!G89-Actuals!G89)/ABS('Reforecast Q1 2026'!G89)),"")</f>
        <v/>
      </c>
      <c r="V73" s="508">
        <f>'Reforecast Q1 2026'!H89</f>
        <v/>
      </c>
      <c r="W73" s="508">
        <f>IF(OR(6&gt;$B$3,ISBLANK(Actuals!H89)),"",Actuals!H89)</f>
        <v/>
      </c>
      <c r="X73" s="509">
        <f>IF(OR(6&gt;$B$3,ISBLANK(Actuals!H89)),"",'Reforecast Q1 2026'!H89-Actuals!H89)</f>
        <v/>
      </c>
      <c r="Y73" s="509">
        <f>IFERROR(IF(OR(6&gt;$B$3,ISBLANK(Actuals!H89)),"",('Reforecast Q1 2026'!H89-Actuals!H89)/ABS('Reforecast Q1 2026'!H89)),"")</f>
        <v/>
      </c>
      <c r="Z73" s="508">
        <f>'Reforecast Q1 2026'!I89</f>
        <v/>
      </c>
      <c r="AA73" s="508">
        <f>IF(OR(7&gt;$B$3,ISBLANK(Actuals!I89)),"",Actuals!I89)</f>
        <v/>
      </c>
      <c r="AB73" s="509">
        <f>IF(OR(7&gt;$B$3,ISBLANK(Actuals!I89)),"",'Reforecast Q1 2026'!I89-Actuals!I89)</f>
        <v/>
      </c>
      <c r="AC73" s="509">
        <f>IFERROR(IF(OR(7&gt;$B$3,ISBLANK(Actuals!I89)),"",('Reforecast Q1 2026'!I89-Actuals!I89)/ABS('Reforecast Q1 2026'!I89)),"")</f>
        <v/>
      </c>
      <c r="AD73" s="508">
        <f>'Reforecast Q1 2026'!J89</f>
        <v/>
      </c>
      <c r="AE73" s="508">
        <f>IF(OR(8&gt;$B$3,ISBLANK(Actuals!J89)),"",Actuals!J89)</f>
        <v/>
      </c>
      <c r="AF73" s="509">
        <f>IF(OR(8&gt;$B$3,ISBLANK(Actuals!J89)),"",'Reforecast Q1 2026'!J89-Actuals!J89)</f>
        <v/>
      </c>
      <c r="AG73" s="509">
        <f>IFERROR(IF(OR(8&gt;$B$3,ISBLANK(Actuals!J89)),"",('Reforecast Q1 2026'!J89-Actuals!J89)/ABS('Reforecast Q1 2026'!J89)),"")</f>
        <v/>
      </c>
      <c r="AH73" s="508">
        <f>'Reforecast Q1 2026'!K89</f>
        <v/>
      </c>
      <c r="AI73" s="508">
        <f>IF(OR(9&gt;$B$3,ISBLANK(Actuals!K89)),"",Actuals!K89)</f>
        <v/>
      </c>
      <c r="AJ73" s="509">
        <f>IF(OR(9&gt;$B$3,ISBLANK(Actuals!K89)),"",'Reforecast Q1 2026'!K89-Actuals!K89)</f>
        <v/>
      </c>
      <c r="AK73" s="509">
        <f>IFERROR(IF(OR(9&gt;$B$3,ISBLANK(Actuals!K89)),"",('Reforecast Q1 2026'!K89-Actuals!K89)/ABS('Reforecast Q1 2026'!K89)),"")</f>
        <v/>
      </c>
      <c r="AL73" s="508">
        <f>'Reforecast Q1 2026'!L89</f>
        <v/>
      </c>
      <c r="AM73" s="508">
        <f>IF(OR(10&gt;$B$3,ISBLANK(Actuals!L89)),"",Actuals!L89)</f>
        <v/>
      </c>
      <c r="AN73" s="509">
        <f>IF(OR(10&gt;$B$3,ISBLANK(Actuals!L89)),"",'Reforecast Q1 2026'!L89-Actuals!L89)</f>
        <v/>
      </c>
      <c r="AO73" s="509">
        <f>IFERROR(IF(OR(10&gt;$B$3,ISBLANK(Actuals!L89)),"",('Reforecast Q1 2026'!L89-Actuals!L89)/ABS('Reforecast Q1 2026'!L89)),"")</f>
        <v/>
      </c>
      <c r="AP73" s="508">
        <f>'Reforecast Q1 2026'!M89</f>
        <v/>
      </c>
      <c r="AQ73" s="508">
        <f>IF(OR(11&gt;$B$3,ISBLANK(Actuals!M89)),"",Actuals!M89)</f>
        <v/>
      </c>
      <c r="AR73" s="509">
        <f>IF(OR(11&gt;$B$3,ISBLANK(Actuals!M89)),"",'Reforecast Q1 2026'!M89-Actuals!M89)</f>
        <v/>
      </c>
      <c r="AS73" s="509">
        <f>IFERROR(IF(OR(11&gt;$B$3,ISBLANK(Actuals!M89)),"",('Reforecast Q1 2026'!M89-Actuals!M89)/ABS('Reforecast Q1 2026'!M89)),"")</f>
        <v/>
      </c>
      <c r="AT73" s="508">
        <f>'Reforecast Q1 2026'!N89</f>
        <v/>
      </c>
      <c r="AU73" s="508">
        <f>IF(OR(12&gt;$B$3,ISBLANK(Actuals!N89)),"",Actuals!N89)</f>
        <v/>
      </c>
      <c r="AV73" s="509">
        <f>IF(OR(12&gt;$B$3,ISBLANK(Actuals!N89)),"",'Reforecast Q1 2026'!N89-Actuals!N89)</f>
        <v/>
      </c>
      <c r="AW73" s="509">
        <f>IFERROR(IF(OR(12&gt;$B$3,ISBLANK(Actuals!N89)),"",('Reforecast Q1 2026'!N89-Actuals!N89)/ABS('Reforecast Q1 2026'!N89)),"")</f>
        <v/>
      </c>
      <c r="AX73" s="510">
        <f>SUMPRODUCT((Actuals!C89:N89&lt;&gt;"")*('Reforecast Q1 2026'!C89:N89))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'Reforecast Q1 2026'!C90</f>
        <v/>
      </c>
      <c r="C74" s="508">
        <f>IF(OR(1&gt;$B$3,ISBLANK(Actuals!C90)),"",Actuals!C90)</f>
        <v/>
      </c>
      <c r="D74" s="509">
        <f>IF(OR(1&gt;$B$3,ISBLANK(Actuals!C90)),"",'Reforecast Q1 2026'!C90-Actuals!C90)</f>
        <v/>
      </c>
      <c r="E74" s="509">
        <f>IFERROR(IF(OR(1&gt;$B$3,ISBLANK(Actuals!C90)),"",('Reforecast Q1 2026'!C90-Actuals!C90)/ABS('Reforecast Q1 2026'!C90)),"")</f>
        <v/>
      </c>
      <c r="F74" s="508">
        <f>'Reforecast Q1 2026'!D90</f>
        <v/>
      </c>
      <c r="G74" s="508">
        <f>IF(OR(2&gt;$B$3,ISBLANK(Actuals!D90)),"",Actuals!D90)</f>
        <v/>
      </c>
      <c r="H74" s="509">
        <f>IF(OR(2&gt;$B$3,ISBLANK(Actuals!D90)),"",'Reforecast Q1 2026'!D90-Actuals!D90)</f>
        <v/>
      </c>
      <c r="I74" s="509">
        <f>IFERROR(IF(OR(2&gt;$B$3,ISBLANK(Actuals!D90)),"",('Reforecast Q1 2026'!D90-Actuals!D90)/ABS('Reforecast Q1 2026'!D90)),"")</f>
        <v/>
      </c>
      <c r="J74" s="508">
        <f>'Reforecast Q1 2026'!E90</f>
        <v/>
      </c>
      <c r="K74" s="508">
        <f>IF(OR(3&gt;$B$3,ISBLANK(Actuals!E90)),"",Actuals!E90)</f>
        <v/>
      </c>
      <c r="L74" s="509">
        <f>IF(OR(3&gt;$B$3,ISBLANK(Actuals!E90)),"",'Reforecast Q1 2026'!E90-Actuals!E90)</f>
        <v/>
      </c>
      <c r="M74" s="509">
        <f>IFERROR(IF(OR(3&gt;$B$3,ISBLANK(Actuals!E90)),"",('Reforecast Q1 2026'!E90-Actuals!E90)/ABS('Reforecast Q1 2026'!E90)),"")</f>
        <v/>
      </c>
      <c r="N74" s="508">
        <f>'Reforecast Q1 2026'!F90</f>
        <v/>
      </c>
      <c r="O74" s="508">
        <f>IF(OR(4&gt;$B$3,ISBLANK(Actuals!F90)),"",Actuals!F90)</f>
        <v/>
      </c>
      <c r="P74" s="509">
        <f>IF(OR(4&gt;$B$3,ISBLANK(Actuals!F90)),"",'Reforecast Q1 2026'!F90-Actuals!F90)</f>
        <v/>
      </c>
      <c r="Q74" s="509">
        <f>IFERROR(IF(OR(4&gt;$B$3,ISBLANK(Actuals!F90)),"",('Reforecast Q1 2026'!F90-Actuals!F90)/ABS('Reforecast Q1 2026'!F90)),"")</f>
        <v/>
      </c>
      <c r="R74" s="508">
        <f>'Reforecast Q1 2026'!G90</f>
        <v/>
      </c>
      <c r="S74" s="508">
        <f>IF(OR(5&gt;$B$3,ISBLANK(Actuals!G90)),"",Actuals!G90)</f>
        <v/>
      </c>
      <c r="T74" s="509">
        <f>IF(OR(5&gt;$B$3,ISBLANK(Actuals!G90)),"",'Reforecast Q1 2026'!G90-Actuals!G90)</f>
        <v/>
      </c>
      <c r="U74" s="509">
        <f>IFERROR(IF(OR(5&gt;$B$3,ISBLANK(Actuals!G90)),"",('Reforecast Q1 2026'!G90-Actuals!G90)/ABS('Reforecast Q1 2026'!G90)),"")</f>
        <v/>
      </c>
      <c r="V74" s="508">
        <f>'Reforecast Q1 2026'!H90</f>
        <v/>
      </c>
      <c r="W74" s="508">
        <f>IF(OR(6&gt;$B$3,ISBLANK(Actuals!H90)),"",Actuals!H90)</f>
        <v/>
      </c>
      <c r="X74" s="509">
        <f>IF(OR(6&gt;$B$3,ISBLANK(Actuals!H90)),"",'Reforecast Q1 2026'!H90-Actuals!H90)</f>
        <v/>
      </c>
      <c r="Y74" s="509">
        <f>IFERROR(IF(OR(6&gt;$B$3,ISBLANK(Actuals!H90)),"",('Reforecast Q1 2026'!H90-Actuals!H90)/ABS('Reforecast Q1 2026'!H90)),"")</f>
        <v/>
      </c>
      <c r="Z74" s="508">
        <f>'Reforecast Q1 2026'!I90</f>
        <v/>
      </c>
      <c r="AA74" s="508">
        <f>IF(OR(7&gt;$B$3,ISBLANK(Actuals!I90)),"",Actuals!I90)</f>
        <v/>
      </c>
      <c r="AB74" s="509">
        <f>IF(OR(7&gt;$B$3,ISBLANK(Actuals!I90)),"",'Reforecast Q1 2026'!I90-Actuals!I90)</f>
        <v/>
      </c>
      <c r="AC74" s="509">
        <f>IFERROR(IF(OR(7&gt;$B$3,ISBLANK(Actuals!I90)),"",('Reforecast Q1 2026'!I90-Actuals!I90)/ABS('Reforecast Q1 2026'!I90)),"")</f>
        <v/>
      </c>
      <c r="AD74" s="508">
        <f>'Reforecast Q1 2026'!J90</f>
        <v/>
      </c>
      <c r="AE74" s="508">
        <f>IF(OR(8&gt;$B$3,ISBLANK(Actuals!J90)),"",Actuals!J90)</f>
        <v/>
      </c>
      <c r="AF74" s="509">
        <f>IF(OR(8&gt;$B$3,ISBLANK(Actuals!J90)),"",'Reforecast Q1 2026'!J90-Actuals!J90)</f>
        <v/>
      </c>
      <c r="AG74" s="509">
        <f>IFERROR(IF(OR(8&gt;$B$3,ISBLANK(Actuals!J90)),"",('Reforecast Q1 2026'!J90-Actuals!J90)/ABS('Reforecast Q1 2026'!J90)),"")</f>
        <v/>
      </c>
      <c r="AH74" s="508">
        <f>'Reforecast Q1 2026'!K90</f>
        <v/>
      </c>
      <c r="AI74" s="508">
        <f>IF(OR(9&gt;$B$3,ISBLANK(Actuals!K90)),"",Actuals!K90)</f>
        <v/>
      </c>
      <c r="AJ74" s="509">
        <f>IF(OR(9&gt;$B$3,ISBLANK(Actuals!K90)),"",'Reforecast Q1 2026'!K90-Actuals!K90)</f>
        <v/>
      </c>
      <c r="AK74" s="509">
        <f>IFERROR(IF(OR(9&gt;$B$3,ISBLANK(Actuals!K90)),"",('Reforecast Q1 2026'!K90-Actuals!K90)/ABS('Reforecast Q1 2026'!K90)),"")</f>
        <v/>
      </c>
      <c r="AL74" s="508">
        <f>'Reforecast Q1 2026'!L90</f>
        <v/>
      </c>
      <c r="AM74" s="508">
        <f>IF(OR(10&gt;$B$3,ISBLANK(Actuals!L90)),"",Actuals!L90)</f>
        <v/>
      </c>
      <c r="AN74" s="509">
        <f>IF(OR(10&gt;$B$3,ISBLANK(Actuals!L90)),"",'Reforecast Q1 2026'!L90-Actuals!L90)</f>
        <v/>
      </c>
      <c r="AO74" s="509">
        <f>IFERROR(IF(OR(10&gt;$B$3,ISBLANK(Actuals!L90)),"",('Reforecast Q1 2026'!L90-Actuals!L90)/ABS('Reforecast Q1 2026'!L90)),"")</f>
        <v/>
      </c>
      <c r="AP74" s="508">
        <f>'Reforecast Q1 2026'!M90</f>
        <v/>
      </c>
      <c r="AQ74" s="508">
        <f>IF(OR(11&gt;$B$3,ISBLANK(Actuals!M90)),"",Actuals!M90)</f>
        <v/>
      </c>
      <c r="AR74" s="509">
        <f>IF(OR(11&gt;$B$3,ISBLANK(Actuals!M90)),"",'Reforecast Q1 2026'!M90-Actuals!M90)</f>
        <v/>
      </c>
      <c r="AS74" s="509">
        <f>IFERROR(IF(OR(11&gt;$B$3,ISBLANK(Actuals!M90)),"",('Reforecast Q1 2026'!M90-Actuals!M90)/ABS('Reforecast Q1 2026'!M90)),"")</f>
        <v/>
      </c>
      <c r="AT74" s="508">
        <f>'Reforecast Q1 2026'!N90</f>
        <v/>
      </c>
      <c r="AU74" s="508">
        <f>IF(OR(12&gt;$B$3,ISBLANK(Actuals!N90)),"",Actuals!N90)</f>
        <v/>
      </c>
      <c r="AV74" s="509">
        <f>IF(OR(12&gt;$B$3,ISBLANK(Actuals!N90)),"",'Reforecast Q1 2026'!N90-Actuals!N90)</f>
        <v/>
      </c>
      <c r="AW74" s="509">
        <f>IFERROR(IF(OR(12&gt;$B$3,ISBLANK(Actuals!N90)),"",('Reforecast Q1 2026'!N90-Actuals!N90)/ABS('Reforecast Q1 2026'!N90)),"")</f>
        <v/>
      </c>
      <c r="AX74" s="510">
        <f>SUMPRODUCT((Actuals!C90:N90&lt;&gt;"")*('Reforecast Q1 2026'!C90:N90))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'Reforecast Q1 2026'!C91</f>
        <v/>
      </c>
      <c r="C75" s="508">
        <f>IF(OR(1&gt;$B$3,ISBLANK(Actuals!C91)),"",Actuals!C91)</f>
        <v/>
      </c>
      <c r="D75" s="509">
        <f>IF(OR(1&gt;$B$3,ISBLANK(Actuals!C91)),"",'Reforecast Q1 2026'!C91-Actuals!C91)</f>
        <v/>
      </c>
      <c r="E75" s="509">
        <f>IFERROR(IF(OR(1&gt;$B$3,ISBLANK(Actuals!C91)),"",('Reforecast Q1 2026'!C91-Actuals!C91)/ABS('Reforecast Q1 2026'!C91)),"")</f>
        <v/>
      </c>
      <c r="F75" s="508">
        <f>'Reforecast Q1 2026'!D91</f>
        <v/>
      </c>
      <c r="G75" s="508">
        <f>IF(OR(2&gt;$B$3,ISBLANK(Actuals!D91)),"",Actuals!D91)</f>
        <v/>
      </c>
      <c r="H75" s="509">
        <f>IF(OR(2&gt;$B$3,ISBLANK(Actuals!D91)),"",'Reforecast Q1 2026'!D91-Actuals!D91)</f>
        <v/>
      </c>
      <c r="I75" s="509">
        <f>IFERROR(IF(OR(2&gt;$B$3,ISBLANK(Actuals!D91)),"",('Reforecast Q1 2026'!D91-Actuals!D91)/ABS('Reforecast Q1 2026'!D91)),"")</f>
        <v/>
      </c>
      <c r="J75" s="508">
        <f>'Reforecast Q1 2026'!E91</f>
        <v/>
      </c>
      <c r="K75" s="508">
        <f>IF(OR(3&gt;$B$3,ISBLANK(Actuals!E91)),"",Actuals!E91)</f>
        <v/>
      </c>
      <c r="L75" s="509">
        <f>IF(OR(3&gt;$B$3,ISBLANK(Actuals!E91)),"",'Reforecast Q1 2026'!E91-Actuals!E91)</f>
        <v/>
      </c>
      <c r="M75" s="509">
        <f>IFERROR(IF(OR(3&gt;$B$3,ISBLANK(Actuals!E91)),"",('Reforecast Q1 2026'!E91-Actuals!E91)/ABS('Reforecast Q1 2026'!E91)),"")</f>
        <v/>
      </c>
      <c r="N75" s="508">
        <f>'Reforecast Q1 2026'!F91</f>
        <v/>
      </c>
      <c r="O75" s="508">
        <f>IF(OR(4&gt;$B$3,ISBLANK(Actuals!F91)),"",Actuals!F91)</f>
        <v/>
      </c>
      <c r="P75" s="509">
        <f>IF(OR(4&gt;$B$3,ISBLANK(Actuals!F91)),"",'Reforecast Q1 2026'!F91-Actuals!F91)</f>
        <v/>
      </c>
      <c r="Q75" s="509">
        <f>IFERROR(IF(OR(4&gt;$B$3,ISBLANK(Actuals!F91)),"",('Reforecast Q1 2026'!F91-Actuals!F91)/ABS('Reforecast Q1 2026'!F91)),"")</f>
        <v/>
      </c>
      <c r="R75" s="508">
        <f>'Reforecast Q1 2026'!G91</f>
        <v/>
      </c>
      <c r="S75" s="508">
        <f>IF(OR(5&gt;$B$3,ISBLANK(Actuals!G91)),"",Actuals!G91)</f>
        <v/>
      </c>
      <c r="T75" s="509">
        <f>IF(OR(5&gt;$B$3,ISBLANK(Actuals!G91)),"",'Reforecast Q1 2026'!G91-Actuals!G91)</f>
        <v/>
      </c>
      <c r="U75" s="509">
        <f>IFERROR(IF(OR(5&gt;$B$3,ISBLANK(Actuals!G91)),"",('Reforecast Q1 2026'!G91-Actuals!G91)/ABS('Reforecast Q1 2026'!G91)),"")</f>
        <v/>
      </c>
      <c r="V75" s="508">
        <f>'Reforecast Q1 2026'!H91</f>
        <v/>
      </c>
      <c r="W75" s="508">
        <f>IF(OR(6&gt;$B$3,ISBLANK(Actuals!H91)),"",Actuals!H91)</f>
        <v/>
      </c>
      <c r="X75" s="509">
        <f>IF(OR(6&gt;$B$3,ISBLANK(Actuals!H91)),"",'Reforecast Q1 2026'!H91-Actuals!H91)</f>
        <v/>
      </c>
      <c r="Y75" s="509">
        <f>IFERROR(IF(OR(6&gt;$B$3,ISBLANK(Actuals!H91)),"",('Reforecast Q1 2026'!H91-Actuals!H91)/ABS('Reforecast Q1 2026'!H91)),"")</f>
        <v/>
      </c>
      <c r="Z75" s="508">
        <f>'Reforecast Q1 2026'!I91</f>
        <v/>
      </c>
      <c r="AA75" s="508">
        <f>IF(OR(7&gt;$B$3,ISBLANK(Actuals!I91)),"",Actuals!I91)</f>
        <v/>
      </c>
      <c r="AB75" s="509">
        <f>IF(OR(7&gt;$B$3,ISBLANK(Actuals!I91)),"",'Reforecast Q1 2026'!I91-Actuals!I91)</f>
        <v/>
      </c>
      <c r="AC75" s="509">
        <f>IFERROR(IF(OR(7&gt;$B$3,ISBLANK(Actuals!I91)),"",('Reforecast Q1 2026'!I91-Actuals!I91)/ABS('Reforecast Q1 2026'!I91)),"")</f>
        <v/>
      </c>
      <c r="AD75" s="508">
        <f>'Reforecast Q1 2026'!J91</f>
        <v/>
      </c>
      <c r="AE75" s="508">
        <f>IF(OR(8&gt;$B$3,ISBLANK(Actuals!J91)),"",Actuals!J91)</f>
        <v/>
      </c>
      <c r="AF75" s="509">
        <f>IF(OR(8&gt;$B$3,ISBLANK(Actuals!J91)),"",'Reforecast Q1 2026'!J91-Actuals!J91)</f>
        <v/>
      </c>
      <c r="AG75" s="509">
        <f>IFERROR(IF(OR(8&gt;$B$3,ISBLANK(Actuals!J91)),"",('Reforecast Q1 2026'!J91-Actuals!J91)/ABS('Reforecast Q1 2026'!J91)),"")</f>
        <v/>
      </c>
      <c r="AH75" s="508">
        <f>'Reforecast Q1 2026'!K91</f>
        <v/>
      </c>
      <c r="AI75" s="508">
        <f>IF(OR(9&gt;$B$3,ISBLANK(Actuals!K91)),"",Actuals!K91)</f>
        <v/>
      </c>
      <c r="AJ75" s="509">
        <f>IF(OR(9&gt;$B$3,ISBLANK(Actuals!K91)),"",'Reforecast Q1 2026'!K91-Actuals!K91)</f>
        <v/>
      </c>
      <c r="AK75" s="509">
        <f>IFERROR(IF(OR(9&gt;$B$3,ISBLANK(Actuals!K91)),"",('Reforecast Q1 2026'!K91-Actuals!K91)/ABS('Reforecast Q1 2026'!K91)),"")</f>
        <v/>
      </c>
      <c r="AL75" s="508">
        <f>'Reforecast Q1 2026'!L91</f>
        <v/>
      </c>
      <c r="AM75" s="508">
        <f>IF(OR(10&gt;$B$3,ISBLANK(Actuals!L91)),"",Actuals!L91)</f>
        <v/>
      </c>
      <c r="AN75" s="509">
        <f>IF(OR(10&gt;$B$3,ISBLANK(Actuals!L91)),"",'Reforecast Q1 2026'!L91-Actuals!L91)</f>
        <v/>
      </c>
      <c r="AO75" s="509">
        <f>IFERROR(IF(OR(10&gt;$B$3,ISBLANK(Actuals!L91)),"",('Reforecast Q1 2026'!L91-Actuals!L91)/ABS('Reforecast Q1 2026'!L91)),"")</f>
        <v/>
      </c>
      <c r="AP75" s="508">
        <f>'Reforecast Q1 2026'!M91</f>
        <v/>
      </c>
      <c r="AQ75" s="508">
        <f>IF(OR(11&gt;$B$3,ISBLANK(Actuals!M91)),"",Actuals!M91)</f>
        <v/>
      </c>
      <c r="AR75" s="509">
        <f>IF(OR(11&gt;$B$3,ISBLANK(Actuals!M91)),"",'Reforecast Q1 2026'!M91-Actuals!M91)</f>
        <v/>
      </c>
      <c r="AS75" s="509">
        <f>IFERROR(IF(OR(11&gt;$B$3,ISBLANK(Actuals!M91)),"",('Reforecast Q1 2026'!M91-Actuals!M91)/ABS('Reforecast Q1 2026'!M91)),"")</f>
        <v/>
      </c>
      <c r="AT75" s="508">
        <f>'Reforecast Q1 2026'!N91</f>
        <v/>
      </c>
      <c r="AU75" s="508">
        <f>IF(OR(12&gt;$B$3,ISBLANK(Actuals!N91)),"",Actuals!N91)</f>
        <v/>
      </c>
      <c r="AV75" s="509">
        <f>IF(OR(12&gt;$B$3,ISBLANK(Actuals!N91)),"",'Reforecast Q1 2026'!N91-Actuals!N91)</f>
        <v/>
      </c>
      <c r="AW75" s="509">
        <f>IFERROR(IF(OR(12&gt;$B$3,ISBLANK(Actuals!N91)),"",('Reforecast Q1 2026'!N91-Actuals!N91)/ABS('Reforecast Q1 2026'!N91)),"")</f>
        <v/>
      </c>
      <c r="AX75" s="510">
        <f>SUMPRODUCT((Actuals!C91:N91&lt;&gt;"")*('Reforecast Q1 2026'!C91:N91))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'Reforecast Q1 2026'!C92</f>
        <v/>
      </c>
      <c r="C76" s="508">
        <f>IF(OR(1&gt;$B$3,ISBLANK(Actuals!C92)),"",Actuals!C92)</f>
        <v/>
      </c>
      <c r="D76" s="509">
        <f>IF(OR(1&gt;$B$3,ISBLANK(Actuals!C92)),"",'Reforecast Q1 2026'!C92-Actuals!C92)</f>
        <v/>
      </c>
      <c r="E76" s="509">
        <f>IFERROR(IF(OR(1&gt;$B$3,ISBLANK(Actuals!C92)),"",('Reforecast Q1 2026'!C92-Actuals!C92)/ABS('Reforecast Q1 2026'!C92)),"")</f>
        <v/>
      </c>
      <c r="F76" s="508">
        <f>'Reforecast Q1 2026'!D92</f>
        <v/>
      </c>
      <c r="G76" s="508">
        <f>IF(OR(2&gt;$B$3,ISBLANK(Actuals!D92)),"",Actuals!D92)</f>
        <v/>
      </c>
      <c r="H76" s="509">
        <f>IF(OR(2&gt;$B$3,ISBLANK(Actuals!D92)),"",'Reforecast Q1 2026'!D92-Actuals!D92)</f>
        <v/>
      </c>
      <c r="I76" s="509">
        <f>IFERROR(IF(OR(2&gt;$B$3,ISBLANK(Actuals!D92)),"",('Reforecast Q1 2026'!D92-Actuals!D92)/ABS('Reforecast Q1 2026'!D92)),"")</f>
        <v/>
      </c>
      <c r="J76" s="508">
        <f>'Reforecast Q1 2026'!E92</f>
        <v/>
      </c>
      <c r="K76" s="508">
        <f>IF(OR(3&gt;$B$3,ISBLANK(Actuals!E92)),"",Actuals!E92)</f>
        <v/>
      </c>
      <c r="L76" s="509">
        <f>IF(OR(3&gt;$B$3,ISBLANK(Actuals!E92)),"",'Reforecast Q1 2026'!E92-Actuals!E92)</f>
        <v/>
      </c>
      <c r="M76" s="509">
        <f>IFERROR(IF(OR(3&gt;$B$3,ISBLANK(Actuals!E92)),"",('Reforecast Q1 2026'!E92-Actuals!E92)/ABS('Reforecast Q1 2026'!E92)),"")</f>
        <v/>
      </c>
      <c r="N76" s="508">
        <f>'Reforecast Q1 2026'!F92</f>
        <v/>
      </c>
      <c r="O76" s="508">
        <f>IF(OR(4&gt;$B$3,ISBLANK(Actuals!F92)),"",Actuals!F92)</f>
        <v/>
      </c>
      <c r="P76" s="509">
        <f>IF(OR(4&gt;$B$3,ISBLANK(Actuals!F92)),"",'Reforecast Q1 2026'!F92-Actuals!F92)</f>
        <v/>
      </c>
      <c r="Q76" s="509">
        <f>IFERROR(IF(OR(4&gt;$B$3,ISBLANK(Actuals!F92)),"",('Reforecast Q1 2026'!F92-Actuals!F92)/ABS('Reforecast Q1 2026'!F92)),"")</f>
        <v/>
      </c>
      <c r="R76" s="508">
        <f>'Reforecast Q1 2026'!G92</f>
        <v/>
      </c>
      <c r="S76" s="508">
        <f>IF(OR(5&gt;$B$3,ISBLANK(Actuals!G92)),"",Actuals!G92)</f>
        <v/>
      </c>
      <c r="T76" s="509">
        <f>IF(OR(5&gt;$B$3,ISBLANK(Actuals!G92)),"",'Reforecast Q1 2026'!G92-Actuals!G92)</f>
        <v/>
      </c>
      <c r="U76" s="509">
        <f>IFERROR(IF(OR(5&gt;$B$3,ISBLANK(Actuals!G92)),"",('Reforecast Q1 2026'!G92-Actuals!G92)/ABS('Reforecast Q1 2026'!G92)),"")</f>
        <v/>
      </c>
      <c r="V76" s="508">
        <f>'Reforecast Q1 2026'!H92</f>
        <v/>
      </c>
      <c r="W76" s="508">
        <f>IF(OR(6&gt;$B$3,ISBLANK(Actuals!H92)),"",Actuals!H92)</f>
        <v/>
      </c>
      <c r="X76" s="509">
        <f>IF(OR(6&gt;$B$3,ISBLANK(Actuals!H92)),"",'Reforecast Q1 2026'!H92-Actuals!H92)</f>
        <v/>
      </c>
      <c r="Y76" s="509">
        <f>IFERROR(IF(OR(6&gt;$B$3,ISBLANK(Actuals!H92)),"",('Reforecast Q1 2026'!H92-Actuals!H92)/ABS('Reforecast Q1 2026'!H92)),"")</f>
        <v/>
      </c>
      <c r="Z76" s="508">
        <f>'Reforecast Q1 2026'!I92</f>
        <v/>
      </c>
      <c r="AA76" s="508">
        <f>IF(OR(7&gt;$B$3,ISBLANK(Actuals!I92)),"",Actuals!I92)</f>
        <v/>
      </c>
      <c r="AB76" s="509">
        <f>IF(OR(7&gt;$B$3,ISBLANK(Actuals!I92)),"",'Reforecast Q1 2026'!I92-Actuals!I92)</f>
        <v/>
      </c>
      <c r="AC76" s="509">
        <f>IFERROR(IF(OR(7&gt;$B$3,ISBLANK(Actuals!I92)),"",('Reforecast Q1 2026'!I92-Actuals!I92)/ABS('Reforecast Q1 2026'!I92)),"")</f>
        <v/>
      </c>
      <c r="AD76" s="508">
        <f>'Reforecast Q1 2026'!J92</f>
        <v/>
      </c>
      <c r="AE76" s="508">
        <f>IF(OR(8&gt;$B$3,ISBLANK(Actuals!J92)),"",Actuals!J92)</f>
        <v/>
      </c>
      <c r="AF76" s="509">
        <f>IF(OR(8&gt;$B$3,ISBLANK(Actuals!J92)),"",'Reforecast Q1 2026'!J92-Actuals!J92)</f>
        <v/>
      </c>
      <c r="AG76" s="509">
        <f>IFERROR(IF(OR(8&gt;$B$3,ISBLANK(Actuals!J92)),"",('Reforecast Q1 2026'!J92-Actuals!J92)/ABS('Reforecast Q1 2026'!J92)),"")</f>
        <v/>
      </c>
      <c r="AH76" s="508">
        <f>'Reforecast Q1 2026'!K92</f>
        <v/>
      </c>
      <c r="AI76" s="508">
        <f>IF(OR(9&gt;$B$3,ISBLANK(Actuals!K92)),"",Actuals!K92)</f>
        <v/>
      </c>
      <c r="AJ76" s="509">
        <f>IF(OR(9&gt;$B$3,ISBLANK(Actuals!K92)),"",'Reforecast Q1 2026'!K92-Actuals!K92)</f>
        <v/>
      </c>
      <c r="AK76" s="509">
        <f>IFERROR(IF(OR(9&gt;$B$3,ISBLANK(Actuals!K92)),"",('Reforecast Q1 2026'!K92-Actuals!K92)/ABS('Reforecast Q1 2026'!K92)),"")</f>
        <v/>
      </c>
      <c r="AL76" s="508">
        <f>'Reforecast Q1 2026'!L92</f>
        <v/>
      </c>
      <c r="AM76" s="508">
        <f>IF(OR(10&gt;$B$3,ISBLANK(Actuals!L92)),"",Actuals!L92)</f>
        <v/>
      </c>
      <c r="AN76" s="509">
        <f>IF(OR(10&gt;$B$3,ISBLANK(Actuals!L92)),"",'Reforecast Q1 2026'!L92-Actuals!L92)</f>
        <v/>
      </c>
      <c r="AO76" s="509">
        <f>IFERROR(IF(OR(10&gt;$B$3,ISBLANK(Actuals!L92)),"",('Reforecast Q1 2026'!L92-Actuals!L92)/ABS('Reforecast Q1 2026'!L92)),"")</f>
        <v/>
      </c>
      <c r="AP76" s="508">
        <f>'Reforecast Q1 2026'!M92</f>
        <v/>
      </c>
      <c r="AQ76" s="508">
        <f>IF(OR(11&gt;$B$3,ISBLANK(Actuals!M92)),"",Actuals!M92)</f>
        <v/>
      </c>
      <c r="AR76" s="509">
        <f>IF(OR(11&gt;$B$3,ISBLANK(Actuals!M92)),"",'Reforecast Q1 2026'!M92-Actuals!M92)</f>
        <v/>
      </c>
      <c r="AS76" s="509">
        <f>IFERROR(IF(OR(11&gt;$B$3,ISBLANK(Actuals!M92)),"",('Reforecast Q1 2026'!M92-Actuals!M92)/ABS('Reforecast Q1 2026'!M92)),"")</f>
        <v/>
      </c>
      <c r="AT76" s="508">
        <f>'Reforecast Q1 2026'!N92</f>
        <v/>
      </c>
      <c r="AU76" s="508">
        <f>IF(OR(12&gt;$B$3,ISBLANK(Actuals!N92)),"",Actuals!N92)</f>
        <v/>
      </c>
      <c r="AV76" s="509">
        <f>IF(OR(12&gt;$B$3,ISBLANK(Actuals!N92)),"",'Reforecast Q1 2026'!N92-Actuals!N92)</f>
        <v/>
      </c>
      <c r="AW76" s="509">
        <f>IFERROR(IF(OR(12&gt;$B$3,ISBLANK(Actuals!N92)),"",('Reforecast Q1 2026'!N92-Actuals!N92)/ABS('Reforecast Q1 2026'!N92)),"")</f>
        <v/>
      </c>
      <c r="AX76" s="510">
        <f>SUMPRODUCT((Actuals!C92:N92&lt;&gt;"")*('Reforecast Q1 2026'!C92:N92))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'Reforecast Q1 2026'!C93</f>
        <v/>
      </c>
      <c r="C77" s="508">
        <f>IF(OR(1&gt;$B$3,ISBLANK(Actuals!C93)),"",Actuals!C93)</f>
        <v/>
      </c>
      <c r="D77" s="509">
        <f>IF(OR(1&gt;$B$3,ISBLANK(Actuals!C93)),"",'Reforecast Q1 2026'!C93-Actuals!C93)</f>
        <v/>
      </c>
      <c r="E77" s="509">
        <f>IFERROR(IF(OR(1&gt;$B$3,ISBLANK(Actuals!C93)),"",('Reforecast Q1 2026'!C93-Actuals!C93)/ABS('Reforecast Q1 2026'!C93)),"")</f>
        <v/>
      </c>
      <c r="F77" s="508">
        <f>'Reforecast Q1 2026'!D93</f>
        <v/>
      </c>
      <c r="G77" s="508">
        <f>IF(OR(2&gt;$B$3,ISBLANK(Actuals!D93)),"",Actuals!D93)</f>
        <v/>
      </c>
      <c r="H77" s="509">
        <f>IF(OR(2&gt;$B$3,ISBLANK(Actuals!D93)),"",'Reforecast Q1 2026'!D93-Actuals!D93)</f>
        <v/>
      </c>
      <c r="I77" s="509">
        <f>IFERROR(IF(OR(2&gt;$B$3,ISBLANK(Actuals!D93)),"",('Reforecast Q1 2026'!D93-Actuals!D93)/ABS('Reforecast Q1 2026'!D93)),"")</f>
        <v/>
      </c>
      <c r="J77" s="508">
        <f>'Reforecast Q1 2026'!E93</f>
        <v/>
      </c>
      <c r="K77" s="508">
        <f>IF(OR(3&gt;$B$3,ISBLANK(Actuals!E93)),"",Actuals!E93)</f>
        <v/>
      </c>
      <c r="L77" s="509">
        <f>IF(OR(3&gt;$B$3,ISBLANK(Actuals!E93)),"",'Reforecast Q1 2026'!E93-Actuals!E93)</f>
        <v/>
      </c>
      <c r="M77" s="509">
        <f>IFERROR(IF(OR(3&gt;$B$3,ISBLANK(Actuals!E93)),"",('Reforecast Q1 2026'!E93-Actuals!E93)/ABS('Reforecast Q1 2026'!E93)),"")</f>
        <v/>
      </c>
      <c r="N77" s="508">
        <f>'Reforecast Q1 2026'!F93</f>
        <v/>
      </c>
      <c r="O77" s="508">
        <f>IF(OR(4&gt;$B$3,ISBLANK(Actuals!F93)),"",Actuals!F93)</f>
        <v/>
      </c>
      <c r="P77" s="509">
        <f>IF(OR(4&gt;$B$3,ISBLANK(Actuals!F93)),"",'Reforecast Q1 2026'!F93-Actuals!F93)</f>
        <v/>
      </c>
      <c r="Q77" s="509">
        <f>IFERROR(IF(OR(4&gt;$B$3,ISBLANK(Actuals!F93)),"",('Reforecast Q1 2026'!F93-Actuals!F93)/ABS('Reforecast Q1 2026'!F93)),"")</f>
        <v/>
      </c>
      <c r="R77" s="508">
        <f>'Reforecast Q1 2026'!G93</f>
        <v/>
      </c>
      <c r="S77" s="508">
        <f>IF(OR(5&gt;$B$3,ISBLANK(Actuals!G93)),"",Actuals!G93)</f>
        <v/>
      </c>
      <c r="T77" s="509">
        <f>IF(OR(5&gt;$B$3,ISBLANK(Actuals!G93)),"",'Reforecast Q1 2026'!G93-Actuals!G93)</f>
        <v/>
      </c>
      <c r="U77" s="509">
        <f>IFERROR(IF(OR(5&gt;$B$3,ISBLANK(Actuals!G93)),"",('Reforecast Q1 2026'!G93-Actuals!G93)/ABS('Reforecast Q1 2026'!G93)),"")</f>
        <v/>
      </c>
      <c r="V77" s="508">
        <f>'Reforecast Q1 2026'!H93</f>
        <v/>
      </c>
      <c r="W77" s="508">
        <f>IF(OR(6&gt;$B$3,ISBLANK(Actuals!H93)),"",Actuals!H93)</f>
        <v/>
      </c>
      <c r="X77" s="509">
        <f>IF(OR(6&gt;$B$3,ISBLANK(Actuals!H93)),"",'Reforecast Q1 2026'!H93-Actuals!H93)</f>
        <v/>
      </c>
      <c r="Y77" s="509">
        <f>IFERROR(IF(OR(6&gt;$B$3,ISBLANK(Actuals!H93)),"",('Reforecast Q1 2026'!H93-Actuals!H93)/ABS('Reforecast Q1 2026'!H93)),"")</f>
        <v/>
      </c>
      <c r="Z77" s="508">
        <f>'Reforecast Q1 2026'!I93</f>
        <v/>
      </c>
      <c r="AA77" s="508">
        <f>IF(OR(7&gt;$B$3,ISBLANK(Actuals!I93)),"",Actuals!I93)</f>
        <v/>
      </c>
      <c r="AB77" s="509">
        <f>IF(OR(7&gt;$B$3,ISBLANK(Actuals!I93)),"",'Reforecast Q1 2026'!I93-Actuals!I93)</f>
        <v/>
      </c>
      <c r="AC77" s="509">
        <f>IFERROR(IF(OR(7&gt;$B$3,ISBLANK(Actuals!I93)),"",('Reforecast Q1 2026'!I93-Actuals!I93)/ABS('Reforecast Q1 2026'!I93)),"")</f>
        <v/>
      </c>
      <c r="AD77" s="508">
        <f>'Reforecast Q1 2026'!J93</f>
        <v/>
      </c>
      <c r="AE77" s="508">
        <f>IF(OR(8&gt;$B$3,ISBLANK(Actuals!J93)),"",Actuals!J93)</f>
        <v/>
      </c>
      <c r="AF77" s="509">
        <f>IF(OR(8&gt;$B$3,ISBLANK(Actuals!J93)),"",'Reforecast Q1 2026'!J93-Actuals!J93)</f>
        <v/>
      </c>
      <c r="AG77" s="509">
        <f>IFERROR(IF(OR(8&gt;$B$3,ISBLANK(Actuals!J93)),"",('Reforecast Q1 2026'!J93-Actuals!J93)/ABS('Reforecast Q1 2026'!J93)),"")</f>
        <v/>
      </c>
      <c r="AH77" s="508">
        <f>'Reforecast Q1 2026'!K93</f>
        <v/>
      </c>
      <c r="AI77" s="508">
        <f>IF(OR(9&gt;$B$3,ISBLANK(Actuals!K93)),"",Actuals!K93)</f>
        <v/>
      </c>
      <c r="AJ77" s="509">
        <f>IF(OR(9&gt;$B$3,ISBLANK(Actuals!K93)),"",'Reforecast Q1 2026'!K93-Actuals!K93)</f>
        <v/>
      </c>
      <c r="AK77" s="509">
        <f>IFERROR(IF(OR(9&gt;$B$3,ISBLANK(Actuals!K93)),"",('Reforecast Q1 2026'!K93-Actuals!K93)/ABS('Reforecast Q1 2026'!K93)),"")</f>
        <v/>
      </c>
      <c r="AL77" s="508">
        <f>'Reforecast Q1 2026'!L93</f>
        <v/>
      </c>
      <c r="AM77" s="508">
        <f>IF(OR(10&gt;$B$3,ISBLANK(Actuals!L93)),"",Actuals!L93)</f>
        <v/>
      </c>
      <c r="AN77" s="509">
        <f>IF(OR(10&gt;$B$3,ISBLANK(Actuals!L93)),"",'Reforecast Q1 2026'!L93-Actuals!L93)</f>
        <v/>
      </c>
      <c r="AO77" s="509">
        <f>IFERROR(IF(OR(10&gt;$B$3,ISBLANK(Actuals!L93)),"",('Reforecast Q1 2026'!L93-Actuals!L93)/ABS('Reforecast Q1 2026'!L93)),"")</f>
        <v/>
      </c>
      <c r="AP77" s="508">
        <f>'Reforecast Q1 2026'!M93</f>
        <v/>
      </c>
      <c r="AQ77" s="508">
        <f>IF(OR(11&gt;$B$3,ISBLANK(Actuals!M93)),"",Actuals!M93)</f>
        <v/>
      </c>
      <c r="AR77" s="509">
        <f>IF(OR(11&gt;$B$3,ISBLANK(Actuals!M93)),"",'Reforecast Q1 2026'!M93-Actuals!M93)</f>
        <v/>
      </c>
      <c r="AS77" s="509">
        <f>IFERROR(IF(OR(11&gt;$B$3,ISBLANK(Actuals!M93)),"",('Reforecast Q1 2026'!M93-Actuals!M93)/ABS('Reforecast Q1 2026'!M93)),"")</f>
        <v/>
      </c>
      <c r="AT77" s="508">
        <f>'Reforecast Q1 2026'!N93</f>
        <v/>
      </c>
      <c r="AU77" s="508">
        <f>IF(OR(12&gt;$B$3,ISBLANK(Actuals!N93)),"",Actuals!N93)</f>
        <v/>
      </c>
      <c r="AV77" s="509">
        <f>IF(OR(12&gt;$B$3,ISBLANK(Actuals!N93)),"",'Reforecast Q1 2026'!N93-Actuals!N93)</f>
        <v/>
      </c>
      <c r="AW77" s="509">
        <f>IFERROR(IF(OR(12&gt;$B$3,ISBLANK(Actuals!N93)),"",('Reforecast Q1 2026'!N93-Actuals!N93)/ABS('Reforecast Q1 2026'!N93)),"")</f>
        <v/>
      </c>
      <c r="AX77" s="510">
        <f>SUMPRODUCT((Actuals!C93:N93&lt;&gt;"")*('Reforecast Q1 2026'!C93:N93))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'Reforecast Q1 2026'!C94</f>
        <v/>
      </c>
      <c r="C78" s="508">
        <f>IF(OR(1&gt;$B$3,ISBLANK(Actuals!C94)),"",Actuals!C94)</f>
        <v/>
      </c>
      <c r="D78" s="509">
        <f>IF(OR(1&gt;$B$3,ISBLANK(Actuals!C94)),"",'Reforecast Q1 2026'!C94-Actuals!C94)</f>
        <v/>
      </c>
      <c r="E78" s="509">
        <f>IFERROR(IF(OR(1&gt;$B$3,ISBLANK(Actuals!C94)),"",('Reforecast Q1 2026'!C94-Actuals!C94)/ABS('Reforecast Q1 2026'!C94)),"")</f>
        <v/>
      </c>
      <c r="F78" s="508">
        <f>'Reforecast Q1 2026'!D94</f>
        <v/>
      </c>
      <c r="G78" s="508">
        <f>IF(OR(2&gt;$B$3,ISBLANK(Actuals!D94)),"",Actuals!D94)</f>
        <v/>
      </c>
      <c r="H78" s="509">
        <f>IF(OR(2&gt;$B$3,ISBLANK(Actuals!D94)),"",'Reforecast Q1 2026'!D94-Actuals!D94)</f>
        <v/>
      </c>
      <c r="I78" s="509">
        <f>IFERROR(IF(OR(2&gt;$B$3,ISBLANK(Actuals!D94)),"",('Reforecast Q1 2026'!D94-Actuals!D94)/ABS('Reforecast Q1 2026'!D94)),"")</f>
        <v/>
      </c>
      <c r="J78" s="508">
        <f>'Reforecast Q1 2026'!E94</f>
        <v/>
      </c>
      <c r="K78" s="508">
        <f>IF(OR(3&gt;$B$3,ISBLANK(Actuals!E94)),"",Actuals!E94)</f>
        <v/>
      </c>
      <c r="L78" s="509">
        <f>IF(OR(3&gt;$B$3,ISBLANK(Actuals!E94)),"",'Reforecast Q1 2026'!E94-Actuals!E94)</f>
        <v/>
      </c>
      <c r="M78" s="509">
        <f>IFERROR(IF(OR(3&gt;$B$3,ISBLANK(Actuals!E94)),"",('Reforecast Q1 2026'!E94-Actuals!E94)/ABS('Reforecast Q1 2026'!E94)),"")</f>
        <v/>
      </c>
      <c r="N78" s="508">
        <f>'Reforecast Q1 2026'!F94</f>
        <v/>
      </c>
      <c r="O78" s="508">
        <f>IF(OR(4&gt;$B$3,ISBLANK(Actuals!F94)),"",Actuals!F94)</f>
        <v/>
      </c>
      <c r="P78" s="509">
        <f>IF(OR(4&gt;$B$3,ISBLANK(Actuals!F94)),"",'Reforecast Q1 2026'!F94-Actuals!F94)</f>
        <v/>
      </c>
      <c r="Q78" s="509">
        <f>IFERROR(IF(OR(4&gt;$B$3,ISBLANK(Actuals!F94)),"",('Reforecast Q1 2026'!F94-Actuals!F94)/ABS('Reforecast Q1 2026'!F94)),"")</f>
        <v/>
      </c>
      <c r="R78" s="508">
        <f>'Reforecast Q1 2026'!G94</f>
        <v/>
      </c>
      <c r="S78" s="508">
        <f>IF(OR(5&gt;$B$3,ISBLANK(Actuals!G94)),"",Actuals!G94)</f>
        <v/>
      </c>
      <c r="T78" s="509">
        <f>IF(OR(5&gt;$B$3,ISBLANK(Actuals!G94)),"",'Reforecast Q1 2026'!G94-Actuals!G94)</f>
        <v/>
      </c>
      <c r="U78" s="509">
        <f>IFERROR(IF(OR(5&gt;$B$3,ISBLANK(Actuals!G94)),"",('Reforecast Q1 2026'!G94-Actuals!G94)/ABS('Reforecast Q1 2026'!G94)),"")</f>
        <v/>
      </c>
      <c r="V78" s="508">
        <f>'Reforecast Q1 2026'!H94</f>
        <v/>
      </c>
      <c r="W78" s="508">
        <f>IF(OR(6&gt;$B$3,ISBLANK(Actuals!H94)),"",Actuals!H94)</f>
        <v/>
      </c>
      <c r="X78" s="509">
        <f>IF(OR(6&gt;$B$3,ISBLANK(Actuals!H94)),"",'Reforecast Q1 2026'!H94-Actuals!H94)</f>
        <v/>
      </c>
      <c r="Y78" s="509">
        <f>IFERROR(IF(OR(6&gt;$B$3,ISBLANK(Actuals!H94)),"",('Reforecast Q1 2026'!H94-Actuals!H94)/ABS('Reforecast Q1 2026'!H94)),"")</f>
        <v/>
      </c>
      <c r="Z78" s="508">
        <f>'Reforecast Q1 2026'!I94</f>
        <v/>
      </c>
      <c r="AA78" s="508">
        <f>IF(OR(7&gt;$B$3,ISBLANK(Actuals!I94)),"",Actuals!I94)</f>
        <v/>
      </c>
      <c r="AB78" s="509">
        <f>IF(OR(7&gt;$B$3,ISBLANK(Actuals!I94)),"",'Reforecast Q1 2026'!I94-Actuals!I94)</f>
        <v/>
      </c>
      <c r="AC78" s="509">
        <f>IFERROR(IF(OR(7&gt;$B$3,ISBLANK(Actuals!I94)),"",('Reforecast Q1 2026'!I94-Actuals!I94)/ABS('Reforecast Q1 2026'!I94)),"")</f>
        <v/>
      </c>
      <c r="AD78" s="508">
        <f>'Reforecast Q1 2026'!J94</f>
        <v/>
      </c>
      <c r="AE78" s="508">
        <f>IF(OR(8&gt;$B$3,ISBLANK(Actuals!J94)),"",Actuals!J94)</f>
        <v/>
      </c>
      <c r="AF78" s="509">
        <f>IF(OR(8&gt;$B$3,ISBLANK(Actuals!J94)),"",'Reforecast Q1 2026'!J94-Actuals!J94)</f>
        <v/>
      </c>
      <c r="AG78" s="509">
        <f>IFERROR(IF(OR(8&gt;$B$3,ISBLANK(Actuals!J94)),"",('Reforecast Q1 2026'!J94-Actuals!J94)/ABS('Reforecast Q1 2026'!J94)),"")</f>
        <v/>
      </c>
      <c r="AH78" s="508">
        <f>'Reforecast Q1 2026'!K94</f>
        <v/>
      </c>
      <c r="AI78" s="508">
        <f>IF(OR(9&gt;$B$3,ISBLANK(Actuals!K94)),"",Actuals!K94)</f>
        <v/>
      </c>
      <c r="AJ78" s="509">
        <f>IF(OR(9&gt;$B$3,ISBLANK(Actuals!K94)),"",'Reforecast Q1 2026'!K94-Actuals!K94)</f>
        <v/>
      </c>
      <c r="AK78" s="509">
        <f>IFERROR(IF(OR(9&gt;$B$3,ISBLANK(Actuals!K94)),"",('Reforecast Q1 2026'!K94-Actuals!K94)/ABS('Reforecast Q1 2026'!K94)),"")</f>
        <v/>
      </c>
      <c r="AL78" s="508">
        <f>'Reforecast Q1 2026'!L94</f>
        <v/>
      </c>
      <c r="AM78" s="508">
        <f>IF(OR(10&gt;$B$3,ISBLANK(Actuals!L94)),"",Actuals!L94)</f>
        <v/>
      </c>
      <c r="AN78" s="509">
        <f>IF(OR(10&gt;$B$3,ISBLANK(Actuals!L94)),"",'Reforecast Q1 2026'!L94-Actuals!L94)</f>
        <v/>
      </c>
      <c r="AO78" s="509">
        <f>IFERROR(IF(OR(10&gt;$B$3,ISBLANK(Actuals!L94)),"",('Reforecast Q1 2026'!L94-Actuals!L94)/ABS('Reforecast Q1 2026'!L94)),"")</f>
        <v/>
      </c>
      <c r="AP78" s="508">
        <f>'Reforecast Q1 2026'!M94</f>
        <v/>
      </c>
      <c r="AQ78" s="508">
        <f>IF(OR(11&gt;$B$3,ISBLANK(Actuals!M94)),"",Actuals!M94)</f>
        <v/>
      </c>
      <c r="AR78" s="509">
        <f>IF(OR(11&gt;$B$3,ISBLANK(Actuals!M94)),"",'Reforecast Q1 2026'!M94-Actuals!M94)</f>
        <v/>
      </c>
      <c r="AS78" s="509">
        <f>IFERROR(IF(OR(11&gt;$B$3,ISBLANK(Actuals!M94)),"",('Reforecast Q1 2026'!M94-Actuals!M94)/ABS('Reforecast Q1 2026'!M94)),"")</f>
        <v/>
      </c>
      <c r="AT78" s="508">
        <f>'Reforecast Q1 2026'!N94</f>
        <v/>
      </c>
      <c r="AU78" s="508">
        <f>IF(OR(12&gt;$B$3,ISBLANK(Actuals!N94)),"",Actuals!N94)</f>
        <v/>
      </c>
      <c r="AV78" s="509">
        <f>IF(OR(12&gt;$B$3,ISBLANK(Actuals!N94)),"",'Reforecast Q1 2026'!N94-Actuals!N94)</f>
        <v/>
      </c>
      <c r="AW78" s="509">
        <f>IFERROR(IF(OR(12&gt;$B$3,ISBLANK(Actuals!N94)),"",('Reforecast Q1 2026'!N94-Actuals!N94)/ABS('Reforecast Q1 2026'!N94)),"")</f>
        <v/>
      </c>
      <c r="AX78" s="510">
        <f>SUMPRODUCT((Actuals!C94:N94&lt;&gt;"")*('Reforecast Q1 2026'!C94:N94))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'Reforecast Q1 2026'!C95</f>
        <v/>
      </c>
      <c r="C79" s="508">
        <f>IF(OR(1&gt;$B$3,ISBLANK(Actuals!C95)),"",Actuals!C95)</f>
        <v/>
      </c>
      <c r="D79" s="509">
        <f>IF(OR(1&gt;$B$3,ISBLANK(Actuals!C95)),"",'Reforecast Q1 2026'!C95-Actuals!C95)</f>
        <v/>
      </c>
      <c r="E79" s="509">
        <f>IFERROR(IF(OR(1&gt;$B$3,ISBLANK(Actuals!C95)),"",('Reforecast Q1 2026'!C95-Actuals!C95)/ABS('Reforecast Q1 2026'!C95)),"")</f>
        <v/>
      </c>
      <c r="F79" s="508">
        <f>'Reforecast Q1 2026'!D95</f>
        <v/>
      </c>
      <c r="G79" s="508">
        <f>IF(OR(2&gt;$B$3,ISBLANK(Actuals!D95)),"",Actuals!D95)</f>
        <v/>
      </c>
      <c r="H79" s="509">
        <f>IF(OR(2&gt;$B$3,ISBLANK(Actuals!D95)),"",'Reforecast Q1 2026'!D95-Actuals!D95)</f>
        <v/>
      </c>
      <c r="I79" s="509">
        <f>IFERROR(IF(OR(2&gt;$B$3,ISBLANK(Actuals!D95)),"",('Reforecast Q1 2026'!D95-Actuals!D95)/ABS('Reforecast Q1 2026'!D95)),"")</f>
        <v/>
      </c>
      <c r="J79" s="508">
        <f>'Reforecast Q1 2026'!E95</f>
        <v/>
      </c>
      <c r="K79" s="508">
        <f>IF(OR(3&gt;$B$3,ISBLANK(Actuals!E95)),"",Actuals!E95)</f>
        <v/>
      </c>
      <c r="L79" s="509">
        <f>IF(OR(3&gt;$B$3,ISBLANK(Actuals!E95)),"",'Reforecast Q1 2026'!E95-Actuals!E95)</f>
        <v/>
      </c>
      <c r="M79" s="509">
        <f>IFERROR(IF(OR(3&gt;$B$3,ISBLANK(Actuals!E95)),"",('Reforecast Q1 2026'!E95-Actuals!E95)/ABS('Reforecast Q1 2026'!E95)),"")</f>
        <v/>
      </c>
      <c r="N79" s="508">
        <f>'Reforecast Q1 2026'!F95</f>
        <v/>
      </c>
      <c r="O79" s="508">
        <f>IF(OR(4&gt;$B$3,ISBLANK(Actuals!F95)),"",Actuals!F95)</f>
        <v/>
      </c>
      <c r="P79" s="509">
        <f>IF(OR(4&gt;$B$3,ISBLANK(Actuals!F95)),"",'Reforecast Q1 2026'!F95-Actuals!F95)</f>
        <v/>
      </c>
      <c r="Q79" s="509">
        <f>IFERROR(IF(OR(4&gt;$B$3,ISBLANK(Actuals!F95)),"",('Reforecast Q1 2026'!F95-Actuals!F95)/ABS('Reforecast Q1 2026'!F95)),"")</f>
        <v/>
      </c>
      <c r="R79" s="508">
        <f>'Reforecast Q1 2026'!G95</f>
        <v/>
      </c>
      <c r="S79" s="508">
        <f>IF(OR(5&gt;$B$3,ISBLANK(Actuals!G95)),"",Actuals!G95)</f>
        <v/>
      </c>
      <c r="T79" s="509">
        <f>IF(OR(5&gt;$B$3,ISBLANK(Actuals!G95)),"",'Reforecast Q1 2026'!G95-Actuals!G95)</f>
        <v/>
      </c>
      <c r="U79" s="509">
        <f>IFERROR(IF(OR(5&gt;$B$3,ISBLANK(Actuals!G95)),"",('Reforecast Q1 2026'!G95-Actuals!G95)/ABS('Reforecast Q1 2026'!G95)),"")</f>
        <v/>
      </c>
      <c r="V79" s="508">
        <f>'Reforecast Q1 2026'!H95</f>
        <v/>
      </c>
      <c r="W79" s="508">
        <f>IF(OR(6&gt;$B$3,ISBLANK(Actuals!H95)),"",Actuals!H95)</f>
        <v/>
      </c>
      <c r="X79" s="509">
        <f>IF(OR(6&gt;$B$3,ISBLANK(Actuals!H95)),"",'Reforecast Q1 2026'!H95-Actuals!H95)</f>
        <v/>
      </c>
      <c r="Y79" s="509">
        <f>IFERROR(IF(OR(6&gt;$B$3,ISBLANK(Actuals!H95)),"",('Reforecast Q1 2026'!H95-Actuals!H95)/ABS('Reforecast Q1 2026'!H95)),"")</f>
        <v/>
      </c>
      <c r="Z79" s="508">
        <f>'Reforecast Q1 2026'!I95</f>
        <v/>
      </c>
      <c r="AA79" s="508">
        <f>IF(OR(7&gt;$B$3,ISBLANK(Actuals!I95)),"",Actuals!I95)</f>
        <v/>
      </c>
      <c r="AB79" s="509">
        <f>IF(OR(7&gt;$B$3,ISBLANK(Actuals!I95)),"",'Reforecast Q1 2026'!I95-Actuals!I95)</f>
        <v/>
      </c>
      <c r="AC79" s="509">
        <f>IFERROR(IF(OR(7&gt;$B$3,ISBLANK(Actuals!I95)),"",('Reforecast Q1 2026'!I95-Actuals!I95)/ABS('Reforecast Q1 2026'!I95)),"")</f>
        <v/>
      </c>
      <c r="AD79" s="508">
        <f>'Reforecast Q1 2026'!J95</f>
        <v/>
      </c>
      <c r="AE79" s="508">
        <f>IF(OR(8&gt;$B$3,ISBLANK(Actuals!J95)),"",Actuals!J95)</f>
        <v/>
      </c>
      <c r="AF79" s="509">
        <f>IF(OR(8&gt;$B$3,ISBLANK(Actuals!J95)),"",'Reforecast Q1 2026'!J95-Actuals!J95)</f>
        <v/>
      </c>
      <c r="AG79" s="509">
        <f>IFERROR(IF(OR(8&gt;$B$3,ISBLANK(Actuals!J95)),"",('Reforecast Q1 2026'!J95-Actuals!J95)/ABS('Reforecast Q1 2026'!J95)),"")</f>
        <v/>
      </c>
      <c r="AH79" s="508">
        <f>'Reforecast Q1 2026'!K95</f>
        <v/>
      </c>
      <c r="AI79" s="508">
        <f>IF(OR(9&gt;$B$3,ISBLANK(Actuals!K95)),"",Actuals!K95)</f>
        <v/>
      </c>
      <c r="AJ79" s="509">
        <f>IF(OR(9&gt;$B$3,ISBLANK(Actuals!K95)),"",'Reforecast Q1 2026'!K95-Actuals!K95)</f>
        <v/>
      </c>
      <c r="AK79" s="509">
        <f>IFERROR(IF(OR(9&gt;$B$3,ISBLANK(Actuals!K95)),"",('Reforecast Q1 2026'!K95-Actuals!K95)/ABS('Reforecast Q1 2026'!K95)),"")</f>
        <v/>
      </c>
      <c r="AL79" s="508">
        <f>'Reforecast Q1 2026'!L95</f>
        <v/>
      </c>
      <c r="AM79" s="508">
        <f>IF(OR(10&gt;$B$3,ISBLANK(Actuals!L95)),"",Actuals!L95)</f>
        <v/>
      </c>
      <c r="AN79" s="509">
        <f>IF(OR(10&gt;$B$3,ISBLANK(Actuals!L95)),"",'Reforecast Q1 2026'!L95-Actuals!L95)</f>
        <v/>
      </c>
      <c r="AO79" s="509">
        <f>IFERROR(IF(OR(10&gt;$B$3,ISBLANK(Actuals!L95)),"",('Reforecast Q1 2026'!L95-Actuals!L95)/ABS('Reforecast Q1 2026'!L95)),"")</f>
        <v/>
      </c>
      <c r="AP79" s="508">
        <f>'Reforecast Q1 2026'!M95</f>
        <v/>
      </c>
      <c r="AQ79" s="508">
        <f>IF(OR(11&gt;$B$3,ISBLANK(Actuals!M95)),"",Actuals!M95)</f>
        <v/>
      </c>
      <c r="AR79" s="509">
        <f>IF(OR(11&gt;$B$3,ISBLANK(Actuals!M95)),"",'Reforecast Q1 2026'!M95-Actuals!M95)</f>
        <v/>
      </c>
      <c r="AS79" s="509">
        <f>IFERROR(IF(OR(11&gt;$B$3,ISBLANK(Actuals!M95)),"",('Reforecast Q1 2026'!M95-Actuals!M95)/ABS('Reforecast Q1 2026'!M95)),"")</f>
        <v/>
      </c>
      <c r="AT79" s="508">
        <f>'Reforecast Q1 2026'!N95</f>
        <v/>
      </c>
      <c r="AU79" s="508">
        <f>IF(OR(12&gt;$B$3,ISBLANK(Actuals!N95)),"",Actuals!N95)</f>
        <v/>
      </c>
      <c r="AV79" s="509">
        <f>IF(OR(12&gt;$B$3,ISBLANK(Actuals!N95)),"",'Reforecast Q1 2026'!N95-Actuals!N95)</f>
        <v/>
      </c>
      <c r="AW79" s="509">
        <f>IFERROR(IF(OR(12&gt;$B$3,ISBLANK(Actuals!N95)),"",('Reforecast Q1 2026'!N95-Actuals!N95)/ABS('Reforecast Q1 2026'!N95)),"")</f>
        <v/>
      </c>
      <c r="AX79" s="510">
        <f>SUMPRODUCT((Actuals!C95:N95&lt;&gt;"")*('Reforecast Q1 2026'!C95:N95))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'Reforecast Q1 2026'!C96</f>
        <v/>
      </c>
      <c r="C80" s="508">
        <f>IF(OR(1&gt;$B$3,ISBLANK(Actuals!C96)),"",Actuals!C96)</f>
        <v/>
      </c>
      <c r="D80" s="509">
        <f>IF(OR(1&gt;$B$3,ISBLANK(Actuals!C96)),"",'Reforecast Q1 2026'!C96-Actuals!C96)</f>
        <v/>
      </c>
      <c r="E80" s="509">
        <f>IFERROR(IF(OR(1&gt;$B$3,ISBLANK(Actuals!C96)),"",('Reforecast Q1 2026'!C96-Actuals!C96)/ABS('Reforecast Q1 2026'!C96)),"")</f>
        <v/>
      </c>
      <c r="F80" s="508">
        <f>'Reforecast Q1 2026'!D96</f>
        <v/>
      </c>
      <c r="G80" s="508">
        <f>IF(OR(2&gt;$B$3,ISBLANK(Actuals!D96)),"",Actuals!D96)</f>
        <v/>
      </c>
      <c r="H80" s="509">
        <f>IF(OR(2&gt;$B$3,ISBLANK(Actuals!D96)),"",'Reforecast Q1 2026'!D96-Actuals!D96)</f>
        <v/>
      </c>
      <c r="I80" s="509">
        <f>IFERROR(IF(OR(2&gt;$B$3,ISBLANK(Actuals!D96)),"",('Reforecast Q1 2026'!D96-Actuals!D96)/ABS('Reforecast Q1 2026'!D96)),"")</f>
        <v/>
      </c>
      <c r="J80" s="508">
        <f>'Reforecast Q1 2026'!E96</f>
        <v/>
      </c>
      <c r="K80" s="508">
        <f>IF(OR(3&gt;$B$3,ISBLANK(Actuals!E96)),"",Actuals!E96)</f>
        <v/>
      </c>
      <c r="L80" s="509">
        <f>IF(OR(3&gt;$B$3,ISBLANK(Actuals!E96)),"",'Reforecast Q1 2026'!E96-Actuals!E96)</f>
        <v/>
      </c>
      <c r="M80" s="509">
        <f>IFERROR(IF(OR(3&gt;$B$3,ISBLANK(Actuals!E96)),"",('Reforecast Q1 2026'!E96-Actuals!E96)/ABS('Reforecast Q1 2026'!E96)),"")</f>
        <v/>
      </c>
      <c r="N80" s="508">
        <f>'Reforecast Q1 2026'!F96</f>
        <v/>
      </c>
      <c r="O80" s="508">
        <f>IF(OR(4&gt;$B$3,ISBLANK(Actuals!F96)),"",Actuals!F96)</f>
        <v/>
      </c>
      <c r="P80" s="509">
        <f>IF(OR(4&gt;$B$3,ISBLANK(Actuals!F96)),"",'Reforecast Q1 2026'!F96-Actuals!F96)</f>
        <v/>
      </c>
      <c r="Q80" s="509">
        <f>IFERROR(IF(OR(4&gt;$B$3,ISBLANK(Actuals!F96)),"",('Reforecast Q1 2026'!F96-Actuals!F96)/ABS('Reforecast Q1 2026'!F96)),"")</f>
        <v/>
      </c>
      <c r="R80" s="508">
        <f>'Reforecast Q1 2026'!G96</f>
        <v/>
      </c>
      <c r="S80" s="508">
        <f>IF(OR(5&gt;$B$3,ISBLANK(Actuals!G96)),"",Actuals!G96)</f>
        <v/>
      </c>
      <c r="T80" s="509">
        <f>IF(OR(5&gt;$B$3,ISBLANK(Actuals!G96)),"",'Reforecast Q1 2026'!G96-Actuals!G96)</f>
        <v/>
      </c>
      <c r="U80" s="509">
        <f>IFERROR(IF(OR(5&gt;$B$3,ISBLANK(Actuals!G96)),"",('Reforecast Q1 2026'!G96-Actuals!G96)/ABS('Reforecast Q1 2026'!G96)),"")</f>
        <v/>
      </c>
      <c r="V80" s="508">
        <f>'Reforecast Q1 2026'!H96</f>
        <v/>
      </c>
      <c r="W80" s="508">
        <f>IF(OR(6&gt;$B$3,ISBLANK(Actuals!H96)),"",Actuals!H96)</f>
        <v/>
      </c>
      <c r="X80" s="509">
        <f>IF(OR(6&gt;$B$3,ISBLANK(Actuals!H96)),"",'Reforecast Q1 2026'!H96-Actuals!H96)</f>
        <v/>
      </c>
      <c r="Y80" s="509">
        <f>IFERROR(IF(OR(6&gt;$B$3,ISBLANK(Actuals!H96)),"",('Reforecast Q1 2026'!H96-Actuals!H96)/ABS('Reforecast Q1 2026'!H96)),"")</f>
        <v/>
      </c>
      <c r="Z80" s="508">
        <f>'Reforecast Q1 2026'!I96</f>
        <v/>
      </c>
      <c r="AA80" s="508">
        <f>IF(OR(7&gt;$B$3,ISBLANK(Actuals!I96)),"",Actuals!I96)</f>
        <v/>
      </c>
      <c r="AB80" s="509">
        <f>IF(OR(7&gt;$B$3,ISBLANK(Actuals!I96)),"",'Reforecast Q1 2026'!I96-Actuals!I96)</f>
        <v/>
      </c>
      <c r="AC80" s="509">
        <f>IFERROR(IF(OR(7&gt;$B$3,ISBLANK(Actuals!I96)),"",('Reforecast Q1 2026'!I96-Actuals!I96)/ABS('Reforecast Q1 2026'!I96)),"")</f>
        <v/>
      </c>
      <c r="AD80" s="508">
        <f>'Reforecast Q1 2026'!J96</f>
        <v/>
      </c>
      <c r="AE80" s="508">
        <f>IF(OR(8&gt;$B$3,ISBLANK(Actuals!J96)),"",Actuals!J96)</f>
        <v/>
      </c>
      <c r="AF80" s="509">
        <f>IF(OR(8&gt;$B$3,ISBLANK(Actuals!J96)),"",'Reforecast Q1 2026'!J96-Actuals!J96)</f>
        <v/>
      </c>
      <c r="AG80" s="509">
        <f>IFERROR(IF(OR(8&gt;$B$3,ISBLANK(Actuals!J96)),"",('Reforecast Q1 2026'!J96-Actuals!J96)/ABS('Reforecast Q1 2026'!J96)),"")</f>
        <v/>
      </c>
      <c r="AH80" s="508">
        <f>'Reforecast Q1 2026'!K96</f>
        <v/>
      </c>
      <c r="AI80" s="508">
        <f>IF(OR(9&gt;$B$3,ISBLANK(Actuals!K96)),"",Actuals!K96)</f>
        <v/>
      </c>
      <c r="AJ80" s="509">
        <f>IF(OR(9&gt;$B$3,ISBLANK(Actuals!K96)),"",'Reforecast Q1 2026'!K96-Actuals!K96)</f>
        <v/>
      </c>
      <c r="AK80" s="509">
        <f>IFERROR(IF(OR(9&gt;$B$3,ISBLANK(Actuals!K96)),"",('Reforecast Q1 2026'!K96-Actuals!K96)/ABS('Reforecast Q1 2026'!K96)),"")</f>
        <v/>
      </c>
      <c r="AL80" s="508">
        <f>'Reforecast Q1 2026'!L96</f>
        <v/>
      </c>
      <c r="AM80" s="508">
        <f>IF(OR(10&gt;$B$3,ISBLANK(Actuals!L96)),"",Actuals!L96)</f>
        <v/>
      </c>
      <c r="AN80" s="509">
        <f>IF(OR(10&gt;$B$3,ISBLANK(Actuals!L96)),"",'Reforecast Q1 2026'!L96-Actuals!L96)</f>
        <v/>
      </c>
      <c r="AO80" s="509">
        <f>IFERROR(IF(OR(10&gt;$B$3,ISBLANK(Actuals!L96)),"",('Reforecast Q1 2026'!L96-Actuals!L96)/ABS('Reforecast Q1 2026'!L96)),"")</f>
        <v/>
      </c>
      <c r="AP80" s="508">
        <f>'Reforecast Q1 2026'!M96</f>
        <v/>
      </c>
      <c r="AQ80" s="508">
        <f>IF(OR(11&gt;$B$3,ISBLANK(Actuals!M96)),"",Actuals!M96)</f>
        <v/>
      </c>
      <c r="AR80" s="509">
        <f>IF(OR(11&gt;$B$3,ISBLANK(Actuals!M96)),"",'Reforecast Q1 2026'!M96-Actuals!M96)</f>
        <v/>
      </c>
      <c r="AS80" s="509">
        <f>IFERROR(IF(OR(11&gt;$B$3,ISBLANK(Actuals!M96)),"",('Reforecast Q1 2026'!M96-Actuals!M96)/ABS('Reforecast Q1 2026'!M96)),"")</f>
        <v/>
      </c>
      <c r="AT80" s="508">
        <f>'Reforecast Q1 2026'!N96</f>
        <v/>
      </c>
      <c r="AU80" s="508">
        <f>IF(OR(12&gt;$B$3,ISBLANK(Actuals!N96)),"",Actuals!N96)</f>
        <v/>
      </c>
      <c r="AV80" s="509">
        <f>IF(OR(12&gt;$B$3,ISBLANK(Actuals!N96)),"",'Reforecast Q1 2026'!N96-Actuals!N96)</f>
        <v/>
      </c>
      <c r="AW80" s="509">
        <f>IFERROR(IF(OR(12&gt;$B$3,ISBLANK(Actuals!N96)),"",('Reforecast Q1 2026'!N96-Actuals!N96)/ABS('Reforecast Q1 2026'!N96)),"")</f>
        <v/>
      </c>
      <c r="AX80" s="510">
        <f>SUMPRODUCT((Actuals!C96:N96&lt;&gt;"")*('Reforecast Q1 2026'!C96:N96))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'Reforecast Q1 2026'!C97</f>
        <v/>
      </c>
      <c r="C81" s="508">
        <f>IF(OR(1&gt;$B$3,ISBLANK(Actuals!C97)),"",Actuals!C97)</f>
        <v/>
      </c>
      <c r="D81" s="509">
        <f>IF(OR(1&gt;$B$3,ISBLANK(Actuals!C97)),"",'Reforecast Q1 2026'!C97-Actuals!C97)</f>
        <v/>
      </c>
      <c r="E81" s="509">
        <f>IFERROR(IF(OR(1&gt;$B$3,ISBLANK(Actuals!C97)),"",('Reforecast Q1 2026'!C97-Actuals!C97)/ABS('Reforecast Q1 2026'!C97)),"")</f>
        <v/>
      </c>
      <c r="F81" s="508">
        <f>'Reforecast Q1 2026'!D97</f>
        <v/>
      </c>
      <c r="G81" s="508">
        <f>IF(OR(2&gt;$B$3,ISBLANK(Actuals!D97)),"",Actuals!D97)</f>
        <v/>
      </c>
      <c r="H81" s="509">
        <f>IF(OR(2&gt;$B$3,ISBLANK(Actuals!D97)),"",'Reforecast Q1 2026'!D97-Actuals!D97)</f>
        <v/>
      </c>
      <c r="I81" s="509">
        <f>IFERROR(IF(OR(2&gt;$B$3,ISBLANK(Actuals!D97)),"",('Reforecast Q1 2026'!D97-Actuals!D97)/ABS('Reforecast Q1 2026'!D97)),"")</f>
        <v/>
      </c>
      <c r="J81" s="508">
        <f>'Reforecast Q1 2026'!E97</f>
        <v/>
      </c>
      <c r="K81" s="508">
        <f>IF(OR(3&gt;$B$3,ISBLANK(Actuals!E97)),"",Actuals!E97)</f>
        <v/>
      </c>
      <c r="L81" s="509">
        <f>IF(OR(3&gt;$B$3,ISBLANK(Actuals!E97)),"",'Reforecast Q1 2026'!E97-Actuals!E97)</f>
        <v/>
      </c>
      <c r="M81" s="509">
        <f>IFERROR(IF(OR(3&gt;$B$3,ISBLANK(Actuals!E97)),"",('Reforecast Q1 2026'!E97-Actuals!E97)/ABS('Reforecast Q1 2026'!E97)),"")</f>
        <v/>
      </c>
      <c r="N81" s="508">
        <f>'Reforecast Q1 2026'!F97</f>
        <v/>
      </c>
      <c r="O81" s="508">
        <f>IF(OR(4&gt;$B$3,ISBLANK(Actuals!F97)),"",Actuals!F97)</f>
        <v/>
      </c>
      <c r="P81" s="509">
        <f>IF(OR(4&gt;$B$3,ISBLANK(Actuals!F97)),"",'Reforecast Q1 2026'!F97-Actuals!F97)</f>
        <v/>
      </c>
      <c r="Q81" s="509">
        <f>IFERROR(IF(OR(4&gt;$B$3,ISBLANK(Actuals!F97)),"",('Reforecast Q1 2026'!F97-Actuals!F97)/ABS('Reforecast Q1 2026'!F97)),"")</f>
        <v/>
      </c>
      <c r="R81" s="508">
        <f>'Reforecast Q1 2026'!G97</f>
        <v/>
      </c>
      <c r="S81" s="508">
        <f>IF(OR(5&gt;$B$3,ISBLANK(Actuals!G97)),"",Actuals!G97)</f>
        <v/>
      </c>
      <c r="T81" s="509">
        <f>IF(OR(5&gt;$B$3,ISBLANK(Actuals!G97)),"",'Reforecast Q1 2026'!G97-Actuals!G97)</f>
        <v/>
      </c>
      <c r="U81" s="509">
        <f>IFERROR(IF(OR(5&gt;$B$3,ISBLANK(Actuals!G97)),"",('Reforecast Q1 2026'!G97-Actuals!G97)/ABS('Reforecast Q1 2026'!G97)),"")</f>
        <v/>
      </c>
      <c r="V81" s="508">
        <f>'Reforecast Q1 2026'!H97</f>
        <v/>
      </c>
      <c r="W81" s="508">
        <f>IF(OR(6&gt;$B$3,ISBLANK(Actuals!H97)),"",Actuals!H97)</f>
        <v/>
      </c>
      <c r="X81" s="509">
        <f>IF(OR(6&gt;$B$3,ISBLANK(Actuals!H97)),"",'Reforecast Q1 2026'!H97-Actuals!H97)</f>
        <v/>
      </c>
      <c r="Y81" s="509">
        <f>IFERROR(IF(OR(6&gt;$B$3,ISBLANK(Actuals!H97)),"",('Reforecast Q1 2026'!H97-Actuals!H97)/ABS('Reforecast Q1 2026'!H97)),"")</f>
        <v/>
      </c>
      <c r="Z81" s="508">
        <f>'Reforecast Q1 2026'!I97</f>
        <v/>
      </c>
      <c r="AA81" s="508">
        <f>IF(OR(7&gt;$B$3,ISBLANK(Actuals!I97)),"",Actuals!I97)</f>
        <v/>
      </c>
      <c r="AB81" s="509">
        <f>IF(OR(7&gt;$B$3,ISBLANK(Actuals!I97)),"",'Reforecast Q1 2026'!I97-Actuals!I97)</f>
        <v/>
      </c>
      <c r="AC81" s="509">
        <f>IFERROR(IF(OR(7&gt;$B$3,ISBLANK(Actuals!I97)),"",('Reforecast Q1 2026'!I97-Actuals!I97)/ABS('Reforecast Q1 2026'!I97)),"")</f>
        <v/>
      </c>
      <c r="AD81" s="508">
        <f>'Reforecast Q1 2026'!J97</f>
        <v/>
      </c>
      <c r="AE81" s="508">
        <f>IF(OR(8&gt;$B$3,ISBLANK(Actuals!J97)),"",Actuals!J97)</f>
        <v/>
      </c>
      <c r="AF81" s="509">
        <f>IF(OR(8&gt;$B$3,ISBLANK(Actuals!J97)),"",'Reforecast Q1 2026'!J97-Actuals!J97)</f>
        <v/>
      </c>
      <c r="AG81" s="509">
        <f>IFERROR(IF(OR(8&gt;$B$3,ISBLANK(Actuals!J97)),"",('Reforecast Q1 2026'!J97-Actuals!J97)/ABS('Reforecast Q1 2026'!J97)),"")</f>
        <v/>
      </c>
      <c r="AH81" s="508">
        <f>'Reforecast Q1 2026'!K97</f>
        <v/>
      </c>
      <c r="AI81" s="508">
        <f>IF(OR(9&gt;$B$3,ISBLANK(Actuals!K97)),"",Actuals!K97)</f>
        <v/>
      </c>
      <c r="AJ81" s="509">
        <f>IF(OR(9&gt;$B$3,ISBLANK(Actuals!K97)),"",'Reforecast Q1 2026'!K97-Actuals!K97)</f>
        <v/>
      </c>
      <c r="AK81" s="509">
        <f>IFERROR(IF(OR(9&gt;$B$3,ISBLANK(Actuals!K97)),"",('Reforecast Q1 2026'!K97-Actuals!K97)/ABS('Reforecast Q1 2026'!K97)),"")</f>
        <v/>
      </c>
      <c r="AL81" s="508">
        <f>'Reforecast Q1 2026'!L97</f>
        <v/>
      </c>
      <c r="AM81" s="508">
        <f>IF(OR(10&gt;$B$3,ISBLANK(Actuals!L97)),"",Actuals!L97)</f>
        <v/>
      </c>
      <c r="AN81" s="509">
        <f>IF(OR(10&gt;$B$3,ISBLANK(Actuals!L97)),"",'Reforecast Q1 2026'!L97-Actuals!L97)</f>
        <v/>
      </c>
      <c r="AO81" s="509">
        <f>IFERROR(IF(OR(10&gt;$B$3,ISBLANK(Actuals!L97)),"",('Reforecast Q1 2026'!L97-Actuals!L97)/ABS('Reforecast Q1 2026'!L97)),"")</f>
        <v/>
      </c>
      <c r="AP81" s="508">
        <f>'Reforecast Q1 2026'!M97</f>
        <v/>
      </c>
      <c r="AQ81" s="508">
        <f>IF(OR(11&gt;$B$3,ISBLANK(Actuals!M97)),"",Actuals!M97)</f>
        <v/>
      </c>
      <c r="AR81" s="509">
        <f>IF(OR(11&gt;$B$3,ISBLANK(Actuals!M97)),"",'Reforecast Q1 2026'!M97-Actuals!M97)</f>
        <v/>
      </c>
      <c r="AS81" s="509">
        <f>IFERROR(IF(OR(11&gt;$B$3,ISBLANK(Actuals!M97)),"",('Reforecast Q1 2026'!M97-Actuals!M97)/ABS('Reforecast Q1 2026'!M97)),"")</f>
        <v/>
      </c>
      <c r="AT81" s="508">
        <f>'Reforecast Q1 2026'!N97</f>
        <v/>
      </c>
      <c r="AU81" s="508">
        <f>IF(OR(12&gt;$B$3,ISBLANK(Actuals!N97)),"",Actuals!N97)</f>
        <v/>
      </c>
      <c r="AV81" s="509">
        <f>IF(OR(12&gt;$B$3,ISBLANK(Actuals!N97)),"",'Reforecast Q1 2026'!N97-Actuals!N97)</f>
        <v/>
      </c>
      <c r="AW81" s="509">
        <f>IFERROR(IF(OR(12&gt;$B$3,ISBLANK(Actuals!N97)),"",('Reforecast Q1 2026'!N97-Actuals!N97)/ABS('Reforecast Q1 2026'!N97)),"")</f>
        <v/>
      </c>
      <c r="AX81" s="510">
        <f>SUMPRODUCT((Actuals!C97:N97&lt;&gt;"")*('Reforecast Q1 2026'!C97:N97))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'Reforecast Q1 2026'!C98</f>
        <v/>
      </c>
      <c r="C82" s="508">
        <f>IF(OR(1&gt;$B$3,ISBLANK(Actuals!C98)),"",Actuals!C98)</f>
        <v/>
      </c>
      <c r="D82" s="509">
        <f>IF(OR(1&gt;$B$3,ISBLANK(Actuals!C98)),"",'Reforecast Q1 2026'!C98-Actuals!C98)</f>
        <v/>
      </c>
      <c r="E82" s="509">
        <f>IFERROR(IF(OR(1&gt;$B$3,ISBLANK(Actuals!C98)),"",('Reforecast Q1 2026'!C98-Actuals!C98)/ABS('Reforecast Q1 2026'!C98)),"")</f>
        <v/>
      </c>
      <c r="F82" s="508">
        <f>'Reforecast Q1 2026'!D98</f>
        <v/>
      </c>
      <c r="G82" s="508">
        <f>IF(OR(2&gt;$B$3,ISBLANK(Actuals!D98)),"",Actuals!D98)</f>
        <v/>
      </c>
      <c r="H82" s="509">
        <f>IF(OR(2&gt;$B$3,ISBLANK(Actuals!D98)),"",'Reforecast Q1 2026'!D98-Actuals!D98)</f>
        <v/>
      </c>
      <c r="I82" s="509">
        <f>IFERROR(IF(OR(2&gt;$B$3,ISBLANK(Actuals!D98)),"",('Reforecast Q1 2026'!D98-Actuals!D98)/ABS('Reforecast Q1 2026'!D98)),"")</f>
        <v/>
      </c>
      <c r="J82" s="508">
        <f>'Reforecast Q1 2026'!E98</f>
        <v/>
      </c>
      <c r="K82" s="508">
        <f>IF(OR(3&gt;$B$3,ISBLANK(Actuals!E98)),"",Actuals!E98)</f>
        <v/>
      </c>
      <c r="L82" s="509">
        <f>IF(OR(3&gt;$B$3,ISBLANK(Actuals!E98)),"",'Reforecast Q1 2026'!E98-Actuals!E98)</f>
        <v/>
      </c>
      <c r="M82" s="509">
        <f>IFERROR(IF(OR(3&gt;$B$3,ISBLANK(Actuals!E98)),"",('Reforecast Q1 2026'!E98-Actuals!E98)/ABS('Reforecast Q1 2026'!E98)),"")</f>
        <v/>
      </c>
      <c r="N82" s="508">
        <f>'Reforecast Q1 2026'!F98</f>
        <v/>
      </c>
      <c r="O82" s="508">
        <f>IF(OR(4&gt;$B$3,ISBLANK(Actuals!F98)),"",Actuals!F98)</f>
        <v/>
      </c>
      <c r="P82" s="509">
        <f>IF(OR(4&gt;$B$3,ISBLANK(Actuals!F98)),"",'Reforecast Q1 2026'!F98-Actuals!F98)</f>
        <v/>
      </c>
      <c r="Q82" s="509">
        <f>IFERROR(IF(OR(4&gt;$B$3,ISBLANK(Actuals!F98)),"",('Reforecast Q1 2026'!F98-Actuals!F98)/ABS('Reforecast Q1 2026'!F98)),"")</f>
        <v/>
      </c>
      <c r="R82" s="508">
        <f>'Reforecast Q1 2026'!G98</f>
        <v/>
      </c>
      <c r="S82" s="508">
        <f>IF(OR(5&gt;$B$3,ISBLANK(Actuals!G98)),"",Actuals!G98)</f>
        <v/>
      </c>
      <c r="T82" s="509">
        <f>IF(OR(5&gt;$B$3,ISBLANK(Actuals!G98)),"",'Reforecast Q1 2026'!G98-Actuals!G98)</f>
        <v/>
      </c>
      <c r="U82" s="509">
        <f>IFERROR(IF(OR(5&gt;$B$3,ISBLANK(Actuals!G98)),"",('Reforecast Q1 2026'!G98-Actuals!G98)/ABS('Reforecast Q1 2026'!G98)),"")</f>
        <v/>
      </c>
      <c r="V82" s="508">
        <f>'Reforecast Q1 2026'!H98</f>
        <v/>
      </c>
      <c r="W82" s="508">
        <f>IF(OR(6&gt;$B$3,ISBLANK(Actuals!H98)),"",Actuals!H98)</f>
        <v/>
      </c>
      <c r="X82" s="509">
        <f>IF(OR(6&gt;$B$3,ISBLANK(Actuals!H98)),"",'Reforecast Q1 2026'!H98-Actuals!H98)</f>
        <v/>
      </c>
      <c r="Y82" s="509">
        <f>IFERROR(IF(OR(6&gt;$B$3,ISBLANK(Actuals!H98)),"",('Reforecast Q1 2026'!H98-Actuals!H98)/ABS('Reforecast Q1 2026'!H98)),"")</f>
        <v/>
      </c>
      <c r="Z82" s="508">
        <f>'Reforecast Q1 2026'!I98</f>
        <v/>
      </c>
      <c r="AA82" s="508">
        <f>IF(OR(7&gt;$B$3,ISBLANK(Actuals!I98)),"",Actuals!I98)</f>
        <v/>
      </c>
      <c r="AB82" s="509">
        <f>IF(OR(7&gt;$B$3,ISBLANK(Actuals!I98)),"",'Reforecast Q1 2026'!I98-Actuals!I98)</f>
        <v/>
      </c>
      <c r="AC82" s="509">
        <f>IFERROR(IF(OR(7&gt;$B$3,ISBLANK(Actuals!I98)),"",('Reforecast Q1 2026'!I98-Actuals!I98)/ABS('Reforecast Q1 2026'!I98)),"")</f>
        <v/>
      </c>
      <c r="AD82" s="508">
        <f>'Reforecast Q1 2026'!J98</f>
        <v/>
      </c>
      <c r="AE82" s="508">
        <f>IF(OR(8&gt;$B$3,ISBLANK(Actuals!J98)),"",Actuals!J98)</f>
        <v/>
      </c>
      <c r="AF82" s="509">
        <f>IF(OR(8&gt;$B$3,ISBLANK(Actuals!J98)),"",'Reforecast Q1 2026'!J98-Actuals!J98)</f>
        <v/>
      </c>
      <c r="AG82" s="509">
        <f>IFERROR(IF(OR(8&gt;$B$3,ISBLANK(Actuals!J98)),"",('Reforecast Q1 2026'!J98-Actuals!J98)/ABS('Reforecast Q1 2026'!J98)),"")</f>
        <v/>
      </c>
      <c r="AH82" s="508">
        <f>'Reforecast Q1 2026'!K98</f>
        <v/>
      </c>
      <c r="AI82" s="508">
        <f>IF(OR(9&gt;$B$3,ISBLANK(Actuals!K98)),"",Actuals!K98)</f>
        <v/>
      </c>
      <c r="AJ82" s="509">
        <f>IF(OR(9&gt;$B$3,ISBLANK(Actuals!K98)),"",'Reforecast Q1 2026'!K98-Actuals!K98)</f>
        <v/>
      </c>
      <c r="AK82" s="509">
        <f>IFERROR(IF(OR(9&gt;$B$3,ISBLANK(Actuals!K98)),"",('Reforecast Q1 2026'!K98-Actuals!K98)/ABS('Reforecast Q1 2026'!K98)),"")</f>
        <v/>
      </c>
      <c r="AL82" s="508">
        <f>'Reforecast Q1 2026'!L98</f>
        <v/>
      </c>
      <c r="AM82" s="508">
        <f>IF(OR(10&gt;$B$3,ISBLANK(Actuals!L98)),"",Actuals!L98)</f>
        <v/>
      </c>
      <c r="AN82" s="509">
        <f>IF(OR(10&gt;$B$3,ISBLANK(Actuals!L98)),"",'Reforecast Q1 2026'!L98-Actuals!L98)</f>
        <v/>
      </c>
      <c r="AO82" s="509">
        <f>IFERROR(IF(OR(10&gt;$B$3,ISBLANK(Actuals!L98)),"",('Reforecast Q1 2026'!L98-Actuals!L98)/ABS('Reforecast Q1 2026'!L98)),"")</f>
        <v/>
      </c>
      <c r="AP82" s="508">
        <f>'Reforecast Q1 2026'!M98</f>
        <v/>
      </c>
      <c r="AQ82" s="508">
        <f>IF(OR(11&gt;$B$3,ISBLANK(Actuals!M98)),"",Actuals!M98)</f>
        <v/>
      </c>
      <c r="AR82" s="509">
        <f>IF(OR(11&gt;$B$3,ISBLANK(Actuals!M98)),"",'Reforecast Q1 2026'!M98-Actuals!M98)</f>
        <v/>
      </c>
      <c r="AS82" s="509">
        <f>IFERROR(IF(OR(11&gt;$B$3,ISBLANK(Actuals!M98)),"",('Reforecast Q1 2026'!M98-Actuals!M98)/ABS('Reforecast Q1 2026'!M98)),"")</f>
        <v/>
      </c>
      <c r="AT82" s="508">
        <f>'Reforecast Q1 2026'!N98</f>
        <v/>
      </c>
      <c r="AU82" s="508">
        <f>IF(OR(12&gt;$B$3,ISBLANK(Actuals!N98)),"",Actuals!N98)</f>
        <v/>
      </c>
      <c r="AV82" s="509">
        <f>IF(OR(12&gt;$B$3,ISBLANK(Actuals!N98)),"",'Reforecast Q1 2026'!N98-Actuals!N98)</f>
        <v/>
      </c>
      <c r="AW82" s="509">
        <f>IFERROR(IF(OR(12&gt;$B$3,ISBLANK(Actuals!N98)),"",('Reforecast Q1 2026'!N98-Actuals!N98)/ABS('Reforecast Q1 2026'!N98)),"")</f>
        <v/>
      </c>
      <c r="AX82" s="510">
        <f>SUMPRODUCT((Actuals!C98:N98&lt;&gt;"")*('Reforecast Q1 2026'!C98:N98))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'Reforecast Q1 2026'!C99</f>
        <v/>
      </c>
      <c r="C83" s="508">
        <f>IF(OR(1&gt;$B$3,ISBLANK(Actuals!C99)),"",Actuals!C99)</f>
        <v/>
      </c>
      <c r="D83" s="509">
        <f>IF(OR(1&gt;$B$3,ISBLANK(Actuals!C99)),"",'Reforecast Q1 2026'!C99-Actuals!C99)</f>
        <v/>
      </c>
      <c r="E83" s="509">
        <f>IFERROR(IF(OR(1&gt;$B$3,ISBLANK(Actuals!C99)),"",('Reforecast Q1 2026'!C99-Actuals!C99)/ABS('Reforecast Q1 2026'!C99)),"")</f>
        <v/>
      </c>
      <c r="F83" s="508">
        <f>'Reforecast Q1 2026'!D99</f>
        <v/>
      </c>
      <c r="G83" s="508">
        <f>IF(OR(2&gt;$B$3,ISBLANK(Actuals!D99)),"",Actuals!D99)</f>
        <v/>
      </c>
      <c r="H83" s="509">
        <f>IF(OR(2&gt;$B$3,ISBLANK(Actuals!D99)),"",'Reforecast Q1 2026'!D99-Actuals!D99)</f>
        <v/>
      </c>
      <c r="I83" s="509">
        <f>IFERROR(IF(OR(2&gt;$B$3,ISBLANK(Actuals!D99)),"",('Reforecast Q1 2026'!D99-Actuals!D99)/ABS('Reforecast Q1 2026'!D99)),"")</f>
        <v/>
      </c>
      <c r="J83" s="508">
        <f>'Reforecast Q1 2026'!E99</f>
        <v/>
      </c>
      <c r="K83" s="508">
        <f>IF(OR(3&gt;$B$3,ISBLANK(Actuals!E99)),"",Actuals!E99)</f>
        <v/>
      </c>
      <c r="L83" s="509">
        <f>IF(OR(3&gt;$B$3,ISBLANK(Actuals!E99)),"",'Reforecast Q1 2026'!E99-Actuals!E99)</f>
        <v/>
      </c>
      <c r="M83" s="509">
        <f>IFERROR(IF(OR(3&gt;$B$3,ISBLANK(Actuals!E99)),"",('Reforecast Q1 2026'!E99-Actuals!E99)/ABS('Reforecast Q1 2026'!E99)),"")</f>
        <v/>
      </c>
      <c r="N83" s="508">
        <f>'Reforecast Q1 2026'!F99</f>
        <v/>
      </c>
      <c r="O83" s="508">
        <f>IF(OR(4&gt;$B$3,ISBLANK(Actuals!F99)),"",Actuals!F99)</f>
        <v/>
      </c>
      <c r="P83" s="509">
        <f>IF(OR(4&gt;$B$3,ISBLANK(Actuals!F99)),"",'Reforecast Q1 2026'!F99-Actuals!F99)</f>
        <v/>
      </c>
      <c r="Q83" s="509">
        <f>IFERROR(IF(OR(4&gt;$B$3,ISBLANK(Actuals!F99)),"",('Reforecast Q1 2026'!F99-Actuals!F99)/ABS('Reforecast Q1 2026'!F99)),"")</f>
        <v/>
      </c>
      <c r="R83" s="508">
        <f>'Reforecast Q1 2026'!G99</f>
        <v/>
      </c>
      <c r="S83" s="508">
        <f>IF(OR(5&gt;$B$3,ISBLANK(Actuals!G99)),"",Actuals!G99)</f>
        <v/>
      </c>
      <c r="T83" s="509">
        <f>IF(OR(5&gt;$B$3,ISBLANK(Actuals!G99)),"",'Reforecast Q1 2026'!G99-Actuals!G99)</f>
        <v/>
      </c>
      <c r="U83" s="509">
        <f>IFERROR(IF(OR(5&gt;$B$3,ISBLANK(Actuals!G99)),"",('Reforecast Q1 2026'!G99-Actuals!G99)/ABS('Reforecast Q1 2026'!G99)),"")</f>
        <v/>
      </c>
      <c r="V83" s="508">
        <f>'Reforecast Q1 2026'!H99</f>
        <v/>
      </c>
      <c r="W83" s="508">
        <f>IF(OR(6&gt;$B$3,ISBLANK(Actuals!H99)),"",Actuals!H99)</f>
        <v/>
      </c>
      <c r="X83" s="509">
        <f>IF(OR(6&gt;$B$3,ISBLANK(Actuals!H99)),"",'Reforecast Q1 2026'!H99-Actuals!H99)</f>
        <v/>
      </c>
      <c r="Y83" s="509">
        <f>IFERROR(IF(OR(6&gt;$B$3,ISBLANK(Actuals!H99)),"",('Reforecast Q1 2026'!H99-Actuals!H99)/ABS('Reforecast Q1 2026'!H99)),"")</f>
        <v/>
      </c>
      <c r="Z83" s="508">
        <f>'Reforecast Q1 2026'!I99</f>
        <v/>
      </c>
      <c r="AA83" s="508">
        <f>IF(OR(7&gt;$B$3,ISBLANK(Actuals!I99)),"",Actuals!I99)</f>
        <v/>
      </c>
      <c r="AB83" s="509">
        <f>IF(OR(7&gt;$B$3,ISBLANK(Actuals!I99)),"",'Reforecast Q1 2026'!I99-Actuals!I99)</f>
        <v/>
      </c>
      <c r="AC83" s="509">
        <f>IFERROR(IF(OR(7&gt;$B$3,ISBLANK(Actuals!I99)),"",('Reforecast Q1 2026'!I99-Actuals!I99)/ABS('Reforecast Q1 2026'!I99)),"")</f>
        <v/>
      </c>
      <c r="AD83" s="508">
        <f>'Reforecast Q1 2026'!J99</f>
        <v/>
      </c>
      <c r="AE83" s="508">
        <f>IF(OR(8&gt;$B$3,ISBLANK(Actuals!J99)),"",Actuals!J99)</f>
        <v/>
      </c>
      <c r="AF83" s="509">
        <f>IF(OR(8&gt;$B$3,ISBLANK(Actuals!J99)),"",'Reforecast Q1 2026'!J99-Actuals!J99)</f>
        <v/>
      </c>
      <c r="AG83" s="509">
        <f>IFERROR(IF(OR(8&gt;$B$3,ISBLANK(Actuals!J99)),"",('Reforecast Q1 2026'!J99-Actuals!J99)/ABS('Reforecast Q1 2026'!J99)),"")</f>
        <v/>
      </c>
      <c r="AH83" s="508">
        <f>'Reforecast Q1 2026'!K99</f>
        <v/>
      </c>
      <c r="AI83" s="508">
        <f>IF(OR(9&gt;$B$3,ISBLANK(Actuals!K99)),"",Actuals!K99)</f>
        <v/>
      </c>
      <c r="AJ83" s="509">
        <f>IF(OR(9&gt;$B$3,ISBLANK(Actuals!K99)),"",'Reforecast Q1 2026'!K99-Actuals!K99)</f>
        <v/>
      </c>
      <c r="AK83" s="509">
        <f>IFERROR(IF(OR(9&gt;$B$3,ISBLANK(Actuals!K99)),"",('Reforecast Q1 2026'!K99-Actuals!K99)/ABS('Reforecast Q1 2026'!K99)),"")</f>
        <v/>
      </c>
      <c r="AL83" s="508">
        <f>'Reforecast Q1 2026'!L99</f>
        <v/>
      </c>
      <c r="AM83" s="508">
        <f>IF(OR(10&gt;$B$3,ISBLANK(Actuals!L99)),"",Actuals!L99)</f>
        <v/>
      </c>
      <c r="AN83" s="509">
        <f>IF(OR(10&gt;$B$3,ISBLANK(Actuals!L99)),"",'Reforecast Q1 2026'!L99-Actuals!L99)</f>
        <v/>
      </c>
      <c r="AO83" s="509">
        <f>IFERROR(IF(OR(10&gt;$B$3,ISBLANK(Actuals!L99)),"",('Reforecast Q1 2026'!L99-Actuals!L99)/ABS('Reforecast Q1 2026'!L99)),"")</f>
        <v/>
      </c>
      <c r="AP83" s="508">
        <f>'Reforecast Q1 2026'!M99</f>
        <v/>
      </c>
      <c r="AQ83" s="508">
        <f>IF(OR(11&gt;$B$3,ISBLANK(Actuals!M99)),"",Actuals!M99)</f>
        <v/>
      </c>
      <c r="AR83" s="509">
        <f>IF(OR(11&gt;$B$3,ISBLANK(Actuals!M99)),"",'Reforecast Q1 2026'!M99-Actuals!M99)</f>
        <v/>
      </c>
      <c r="AS83" s="509">
        <f>IFERROR(IF(OR(11&gt;$B$3,ISBLANK(Actuals!M99)),"",('Reforecast Q1 2026'!M99-Actuals!M99)/ABS('Reforecast Q1 2026'!M99)),"")</f>
        <v/>
      </c>
      <c r="AT83" s="508">
        <f>'Reforecast Q1 2026'!N99</f>
        <v/>
      </c>
      <c r="AU83" s="508">
        <f>IF(OR(12&gt;$B$3,ISBLANK(Actuals!N99)),"",Actuals!N99)</f>
        <v/>
      </c>
      <c r="AV83" s="509">
        <f>IF(OR(12&gt;$B$3,ISBLANK(Actuals!N99)),"",'Reforecast Q1 2026'!N99-Actuals!N99)</f>
        <v/>
      </c>
      <c r="AW83" s="509">
        <f>IFERROR(IF(OR(12&gt;$B$3,ISBLANK(Actuals!N99)),"",('Reforecast Q1 2026'!N99-Actuals!N99)/ABS('Reforecast Q1 2026'!N99)),"")</f>
        <v/>
      </c>
      <c r="AX83" s="510">
        <f>SUMPRODUCT((Actuals!C99:N99&lt;&gt;"")*('Reforecast Q1 2026'!C99:N99))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'Reforecast Q1 2026'!C100</f>
        <v/>
      </c>
      <c r="C84" s="508">
        <f>IF(OR(1&gt;$B$3,ISBLANK(Actuals!C100)),"",Actuals!C100)</f>
        <v/>
      </c>
      <c r="D84" s="509">
        <f>IF(OR(1&gt;$B$3,ISBLANK(Actuals!C100)),"",'Reforecast Q1 2026'!C100-Actuals!C100)</f>
        <v/>
      </c>
      <c r="E84" s="509">
        <f>IFERROR(IF(OR(1&gt;$B$3,ISBLANK(Actuals!C100)),"",('Reforecast Q1 2026'!C100-Actuals!C100)/ABS('Reforecast Q1 2026'!C100)),"")</f>
        <v/>
      </c>
      <c r="F84" s="508">
        <f>'Reforecast Q1 2026'!D100</f>
        <v/>
      </c>
      <c r="G84" s="508">
        <f>IF(OR(2&gt;$B$3,ISBLANK(Actuals!D100)),"",Actuals!D100)</f>
        <v/>
      </c>
      <c r="H84" s="509">
        <f>IF(OR(2&gt;$B$3,ISBLANK(Actuals!D100)),"",'Reforecast Q1 2026'!D100-Actuals!D100)</f>
        <v/>
      </c>
      <c r="I84" s="509">
        <f>IFERROR(IF(OR(2&gt;$B$3,ISBLANK(Actuals!D100)),"",('Reforecast Q1 2026'!D100-Actuals!D100)/ABS('Reforecast Q1 2026'!D100)),"")</f>
        <v/>
      </c>
      <c r="J84" s="508">
        <f>'Reforecast Q1 2026'!E100</f>
        <v/>
      </c>
      <c r="K84" s="508">
        <f>IF(OR(3&gt;$B$3,ISBLANK(Actuals!E100)),"",Actuals!E100)</f>
        <v/>
      </c>
      <c r="L84" s="509">
        <f>IF(OR(3&gt;$B$3,ISBLANK(Actuals!E100)),"",'Reforecast Q1 2026'!E100-Actuals!E100)</f>
        <v/>
      </c>
      <c r="M84" s="509">
        <f>IFERROR(IF(OR(3&gt;$B$3,ISBLANK(Actuals!E100)),"",('Reforecast Q1 2026'!E100-Actuals!E100)/ABS('Reforecast Q1 2026'!E100)),"")</f>
        <v/>
      </c>
      <c r="N84" s="508">
        <f>'Reforecast Q1 2026'!F100</f>
        <v/>
      </c>
      <c r="O84" s="508">
        <f>IF(OR(4&gt;$B$3,ISBLANK(Actuals!F100)),"",Actuals!F100)</f>
        <v/>
      </c>
      <c r="P84" s="509">
        <f>IF(OR(4&gt;$B$3,ISBLANK(Actuals!F100)),"",'Reforecast Q1 2026'!F100-Actuals!F100)</f>
        <v/>
      </c>
      <c r="Q84" s="509">
        <f>IFERROR(IF(OR(4&gt;$B$3,ISBLANK(Actuals!F100)),"",('Reforecast Q1 2026'!F100-Actuals!F100)/ABS('Reforecast Q1 2026'!F100)),"")</f>
        <v/>
      </c>
      <c r="R84" s="508">
        <f>'Reforecast Q1 2026'!G100</f>
        <v/>
      </c>
      <c r="S84" s="508">
        <f>IF(OR(5&gt;$B$3,ISBLANK(Actuals!G100)),"",Actuals!G100)</f>
        <v/>
      </c>
      <c r="T84" s="509">
        <f>IF(OR(5&gt;$B$3,ISBLANK(Actuals!G100)),"",'Reforecast Q1 2026'!G100-Actuals!G100)</f>
        <v/>
      </c>
      <c r="U84" s="509">
        <f>IFERROR(IF(OR(5&gt;$B$3,ISBLANK(Actuals!G100)),"",('Reforecast Q1 2026'!G100-Actuals!G100)/ABS('Reforecast Q1 2026'!G100)),"")</f>
        <v/>
      </c>
      <c r="V84" s="508">
        <f>'Reforecast Q1 2026'!H100</f>
        <v/>
      </c>
      <c r="W84" s="508">
        <f>IF(OR(6&gt;$B$3,ISBLANK(Actuals!H100)),"",Actuals!H100)</f>
        <v/>
      </c>
      <c r="X84" s="509">
        <f>IF(OR(6&gt;$B$3,ISBLANK(Actuals!H100)),"",'Reforecast Q1 2026'!H100-Actuals!H100)</f>
        <v/>
      </c>
      <c r="Y84" s="509">
        <f>IFERROR(IF(OR(6&gt;$B$3,ISBLANK(Actuals!H100)),"",('Reforecast Q1 2026'!H100-Actuals!H100)/ABS('Reforecast Q1 2026'!H100)),"")</f>
        <v/>
      </c>
      <c r="Z84" s="508">
        <f>'Reforecast Q1 2026'!I100</f>
        <v/>
      </c>
      <c r="AA84" s="508">
        <f>IF(OR(7&gt;$B$3,ISBLANK(Actuals!I100)),"",Actuals!I100)</f>
        <v/>
      </c>
      <c r="AB84" s="509">
        <f>IF(OR(7&gt;$B$3,ISBLANK(Actuals!I100)),"",'Reforecast Q1 2026'!I100-Actuals!I100)</f>
        <v/>
      </c>
      <c r="AC84" s="509">
        <f>IFERROR(IF(OR(7&gt;$B$3,ISBLANK(Actuals!I100)),"",('Reforecast Q1 2026'!I100-Actuals!I100)/ABS('Reforecast Q1 2026'!I100)),"")</f>
        <v/>
      </c>
      <c r="AD84" s="508">
        <f>'Reforecast Q1 2026'!J100</f>
        <v/>
      </c>
      <c r="AE84" s="508">
        <f>IF(OR(8&gt;$B$3,ISBLANK(Actuals!J100)),"",Actuals!J100)</f>
        <v/>
      </c>
      <c r="AF84" s="509">
        <f>IF(OR(8&gt;$B$3,ISBLANK(Actuals!J100)),"",'Reforecast Q1 2026'!J100-Actuals!J100)</f>
        <v/>
      </c>
      <c r="AG84" s="509">
        <f>IFERROR(IF(OR(8&gt;$B$3,ISBLANK(Actuals!J100)),"",('Reforecast Q1 2026'!J100-Actuals!J100)/ABS('Reforecast Q1 2026'!J100)),"")</f>
        <v/>
      </c>
      <c r="AH84" s="508">
        <f>'Reforecast Q1 2026'!K100</f>
        <v/>
      </c>
      <c r="AI84" s="508">
        <f>IF(OR(9&gt;$B$3,ISBLANK(Actuals!K100)),"",Actuals!K100)</f>
        <v/>
      </c>
      <c r="AJ84" s="509">
        <f>IF(OR(9&gt;$B$3,ISBLANK(Actuals!K100)),"",'Reforecast Q1 2026'!K100-Actuals!K100)</f>
        <v/>
      </c>
      <c r="AK84" s="509">
        <f>IFERROR(IF(OR(9&gt;$B$3,ISBLANK(Actuals!K100)),"",('Reforecast Q1 2026'!K100-Actuals!K100)/ABS('Reforecast Q1 2026'!K100)),"")</f>
        <v/>
      </c>
      <c r="AL84" s="508">
        <f>'Reforecast Q1 2026'!L100</f>
        <v/>
      </c>
      <c r="AM84" s="508">
        <f>IF(OR(10&gt;$B$3,ISBLANK(Actuals!L100)),"",Actuals!L100)</f>
        <v/>
      </c>
      <c r="AN84" s="509">
        <f>IF(OR(10&gt;$B$3,ISBLANK(Actuals!L100)),"",'Reforecast Q1 2026'!L100-Actuals!L100)</f>
        <v/>
      </c>
      <c r="AO84" s="509">
        <f>IFERROR(IF(OR(10&gt;$B$3,ISBLANK(Actuals!L100)),"",('Reforecast Q1 2026'!L100-Actuals!L100)/ABS('Reforecast Q1 2026'!L100)),"")</f>
        <v/>
      </c>
      <c r="AP84" s="508">
        <f>'Reforecast Q1 2026'!M100</f>
        <v/>
      </c>
      <c r="AQ84" s="508">
        <f>IF(OR(11&gt;$B$3,ISBLANK(Actuals!M100)),"",Actuals!M100)</f>
        <v/>
      </c>
      <c r="AR84" s="509">
        <f>IF(OR(11&gt;$B$3,ISBLANK(Actuals!M100)),"",'Reforecast Q1 2026'!M100-Actuals!M100)</f>
        <v/>
      </c>
      <c r="AS84" s="509">
        <f>IFERROR(IF(OR(11&gt;$B$3,ISBLANK(Actuals!M100)),"",('Reforecast Q1 2026'!M100-Actuals!M100)/ABS('Reforecast Q1 2026'!M100)),"")</f>
        <v/>
      </c>
      <c r="AT84" s="508">
        <f>'Reforecast Q1 2026'!N100</f>
        <v/>
      </c>
      <c r="AU84" s="508">
        <f>IF(OR(12&gt;$B$3,ISBLANK(Actuals!N100)),"",Actuals!N100)</f>
        <v/>
      </c>
      <c r="AV84" s="509">
        <f>IF(OR(12&gt;$B$3,ISBLANK(Actuals!N100)),"",'Reforecast Q1 2026'!N100-Actuals!N100)</f>
        <v/>
      </c>
      <c r="AW84" s="509">
        <f>IFERROR(IF(OR(12&gt;$B$3,ISBLANK(Actuals!N100)),"",('Reforecast Q1 2026'!N100-Actuals!N100)/ABS('Reforecast Q1 2026'!N100)),"")</f>
        <v/>
      </c>
      <c r="AX84" s="510">
        <f>SUMPRODUCT((Actuals!C100:N100&lt;&gt;"")*('Reforecast Q1 2026'!C100:N100))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'Reforecast Q1 2026'!C101</f>
        <v/>
      </c>
      <c r="C85" s="508">
        <f>IF(OR(1&gt;$B$3,ISBLANK(Actuals!C101)),"",Actuals!C101)</f>
        <v/>
      </c>
      <c r="D85" s="509">
        <f>IF(OR(1&gt;$B$3,ISBLANK(Actuals!C101)),"",'Reforecast Q1 2026'!C101-Actuals!C101)</f>
        <v/>
      </c>
      <c r="E85" s="509">
        <f>IFERROR(IF(OR(1&gt;$B$3,ISBLANK(Actuals!C101)),"",('Reforecast Q1 2026'!C101-Actuals!C101)/ABS('Reforecast Q1 2026'!C101)),"")</f>
        <v/>
      </c>
      <c r="F85" s="508">
        <f>'Reforecast Q1 2026'!D101</f>
        <v/>
      </c>
      <c r="G85" s="508">
        <f>IF(OR(2&gt;$B$3,ISBLANK(Actuals!D101)),"",Actuals!D101)</f>
        <v/>
      </c>
      <c r="H85" s="509">
        <f>IF(OR(2&gt;$B$3,ISBLANK(Actuals!D101)),"",'Reforecast Q1 2026'!D101-Actuals!D101)</f>
        <v/>
      </c>
      <c r="I85" s="509">
        <f>IFERROR(IF(OR(2&gt;$B$3,ISBLANK(Actuals!D101)),"",('Reforecast Q1 2026'!D101-Actuals!D101)/ABS('Reforecast Q1 2026'!D101)),"")</f>
        <v/>
      </c>
      <c r="J85" s="508">
        <f>'Reforecast Q1 2026'!E101</f>
        <v/>
      </c>
      <c r="K85" s="508">
        <f>IF(OR(3&gt;$B$3,ISBLANK(Actuals!E101)),"",Actuals!E101)</f>
        <v/>
      </c>
      <c r="L85" s="509">
        <f>IF(OR(3&gt;$B$3,ISBLANK(Actuals!E101)),"",'Reforecast Q1 2026'!E101-Actuals!E101)</f>
        <v/>
      </c>
      <c r="M85" s="509">
        <f>IFERROR(IF(OR(3&gt;$B$3,ISBLANK(Actuals!E101)),"",('Reforecast Q1 2026'!E101-Actuals!E101)/ABS('Reforecast Q1 2026'!E101)),"")</f>
        <v/>
      </c>
      <c r="N85" s="508">
        <f>'Reforecast Q1 2026'!F101</f>
        <v/>
      </c>
      <c r="O85" s="508">
        <f>IF(OR(4&gt;$B$3,ISBLANK(Actuals!F101)),"",Actuals!F101)</f>
        <v/>
      </c>
      <c r="P85" s="509">
        <f>IF(OR(4&gt;$B$3,ISBLANK(Actuals!F101)),"",'Reforecast Q1 2026'!F101-Actuals!F101)</f>
        <v/>
      </c>
      <c r="Q85" s="509">
        <f>IFERROR(IF(OR(4&gt;$B$3,ISBLANK(Actuals!F101)),"",('Reforecast Q1 2026'!F101-Actuals!F101)/ABS('Reforecast Q1 2026'!F101)),"")</f>
        <v/>
      </c>
      <c r="R85" s="508">
        <f>'Reforecast Q1 2026'!G101</f>
        <v/>
      </c>
      <c r="S85" s="508">
        <f>IF(OR(5&gt;$B$3,ISBLANK(Actuals!G101)),"",Actuals!G101)</f>
        <v/>
      </c>
      <c r="T85" s="509">
        <f>IF(OR(5&gt;$B$3,ISBLANK(Actuals!G101)),"",'Reforecast Q1 2026'!G101-Actuals!G101)</f>
        <v/>
      </c>
      <c r="U85" s="509">
        <f>IFERROR(IF(OR(5&gt;$B$3,ISBLANK(Actuals!G101)),"",('Reforecast Q1 2026'!G101-Actuals!G101)/ABS('Reforecast Q1 2026'!G101)),"")</f>
        <v/>
      </c>
      <c r="V85" s="508">
        <f>'Reforecast Q1 2026'!H101</f>
        <v/>
      </c>
      <c r="W85" s="508">
        <f>IF(OR(6&gt;$B$3,ISBLANK(Actuals!H101)),"",Actuals!H101)</f>
        <v/>
      </c>
      <c r="X85" s="509">
        <f>IF(OR(6&gt;$B$3,ISBLANK(Actuals!H101)),"",'Reforecast Q1 2026'!H101-Actuals!H101)</f>
        <v/>
      </c>
      <c r="Y85" s="509">
        <f>IFERROR(IF(OR(6&gt;$B$3,ISBLANK(Actuals!H101)),"",('Reforecast Q1 2026'!H101-Actuals!H101)/ABS('Reforecast Q1 2026'!H101)),"")</f>
        <v/>
      </c>
      <c r="Z85" s="508">
        <f>'Reforecast Q1 2026'!I101</f>
        <v/>
      </c>
      <c r="AA85" s="508">
        <f>IF(OR(7&gt;$B$3,ISBLANK(Actuals!I101)),"",Actuals!I101)</f>
        <v/>
      </c>
      <c r="AB85" s="509">
        <f>IF(OR(7&gt;$B$3,ISBLANK(Actuals!I101)),"",'Reforecast Q1 2026'!I101-Actuals!I101)</f>
        <v/>
      </c>
      <c r="AC85" s="509">
        <f>IFERROR(IF(OR(7&gt;$B$3,ISBLANK(Actuals!I101)),"",('Reforecast Q1 2026'!I101-Actuals!I101)/ABS('Reforecast Q1 2026'!I101)),"")</f>
        <v/>
      </c>
      <c r="AD85" s="508">
        <f>'Reforecast Q1 2026'!J101</f>
        <v/>
      </c>
      <c r="AE85" s="508">
        <f>IF(OR(8&gt;$B$3,ISBLANK(Actuals!J101)),"",Actuals!J101)</f>
        <v/>
      </c>
      <c r="AF85" s="509">
        <f>IF(OR(8&gt;$B$3,ISBLANK(Actuals!J101)),"",'Reforecast Q1 2026'!J101-Actuals!J101)</f>
        <v/>
      </c>
      <c r="AG85" s="509">
        <f>IFERROR(IF(OR(8&gt;$B$3,ISBLANK(Actuals!J101)),"",('Reforecast Q1 2026'!J101-Actuals!J101)/ABS('Reforecast Q1 2026'!J101)),"")</f>
        <v/>
      </c>
      <c r="AH85" s="508">
        <f>'Reforecast Q1 2026'!K101</f>
        <v/>
      </c>
      <c r="AI85" s="508">
        <f>IF(OR(9&gt;$B$3,ISBLANK(Actuals!K101)),"",Actuals!K101)</f>
        <v/>
      </c>
      <c r="AJ85" s="509">
        <f>IF(OR(9&gt;$B$3,ISBLANK(Actuals!K101)),"",'Reforecast Q1 2026'!K101-Actuals!K101)</f>
        <v/>
      </c>
      <c r="AK85" s="509">
        <f>IFERROR(IF(OR(9&gt;$B$3,ISBLANK(Actuals!K101)),"",('Reforecast Q1 2026'!K101-Actuals!K101)/ABS('Reforecast Q1 2026'!K101)),"")</f>
        <v/>
      </c>
      <c r="AL85" s="508">
        <f>'Reforecast Q1 2026'!L101</f>
        <v/>
      </c>
      <c r="AM85" s="508">
        <f>IF(OR(10&gt;$B$3,ISBLANK(Actuals!L101)),"",Actuals!L101)</f>
        <v/>
      </c>
      <c r="AN85" s="509">
        <f>IF(OR(10&gt;$B$3,ISBLANK(Actuals!L101)),"",'Reforecast Q1 2026'!L101-Actuals!L101)</f>
        <v/>
      </c>
      <c r="AO85" s="509">
        <f>IFERROR(IF(OR(10&gt;$B$3,ISBLANK(Actuals!L101)),"",('Reforecast Q1 2026'!L101-Actuals!L101)/ABS('Reforecast Q1 2026'!L101)),"")</f>
        <v/>
      </c>
      <c r="AP85" s="508">
        <f>'Reforecast Q1 2026'!M101</f>
        <v/>
      </c>
      <c r="AQ85" s="508">
        <f>IF(OR(11&gt;$B$3,ISBLANK(Actuals!M101)),"",Actuals!M101)</f>
        <v/>
      </c>
      <c r="AR85" s="509">
        <f>IF(OR(11&gt;$B$3,ISBLANK(Actuals!M101)),"",'Reforecast Q1 2026'!M101-Actuals!M101)</f>
        <v/>
      </c>
      <c r="AS85" s="509">
        <f>IFERROR(IF(OR(11&gt;$B$3,ISBLANK(Actuals!M101)),"",('Reforecast Q1 2026'!M101-Actuals!M101)/ABS('Reforecast Q1 2026'!M101)),"")</f>
        <v/>
      </c>
      <c r="AT85" s="508">
        <f>'Reforecast Q1 2026'!N101</f>
        <v/>
      </c>
      <c r="AU85" s="508">
        <f>IF(OR(12&gt;$B$3,ISBLANK(Actuals!N101)),"",Actuals!N101)</f>
        <v/>
      </c>
      <c r="AV85" s="509">
        <f>IF(OR(12&gt;$B$3,ISBLANK(Actuals!N101)),"",'Reforecast Q1 2026'!N101-Actuals!N101)</f>
        <v/>
      </c>
      <c r="AW85" s="509">
        <f>IFERROR(IF(OR(12&gt;$B$3,ISBLANK(Actuals!N101)),"",('Reforecast Q1 2026'!N101-Actuals!N101)/ABS('Reforecast Q1 2026'!N101)),"")</f>
        <v/>
      </c>
      <c r="AX85" s="510">
        <f>SUMPRODUCT((Actuals!C101:N101&lt;&gt;"")*('Reforecast Q1 2026'!C101:N101))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'Reforecast Q1 2026'!C102</f>
        <v/>
      </c>
      <c r="C86" s="508">
        <f>IF(OR(1&gt;$B$3,ISBLANK(Actuals!C102)),"",Actuals!C102)</f>
        <v/>
      </c>
      <c r="D86" s="509">
        <f>IF(OR(1&gt;$B$3,ISBLANK(Actuals!C102)),"",'Reforecast Q1 2026'!C102-Actuals!C102)</f>
        <v/>
      </c>
      <c r="E86" s="509">
        <f>IFERROR(IF(OR(1&gt;$B$3,ISBLANK(Actuals!C102)),"",('Reforecast Q1 2026'!C102-Actuals!C102)/ABS('Reforecast Q1 2026'!C102)),"")</f>
        <v/>
      </c>
      <c r="F86" s="508">
        <f>'Reforecast Q1 2026'!D102</f>
        <v/>
      </c>
      <c r="G86" s="508">
        <f>IF(OR(2&gt;$B$3,ISBLANK(Actuals!D102)),"",Actuals!D102)</f>
        <v/>
      </c>
      <c r="H86" s="509">
        <f>IF(OR(2&gt;$B$3,ISBLANK(Actuals!D102)),"",'Reforecast Q1 2026'!D102-Actuals!D102)</f>
        <v/>
      </c>
      <c r="I86" s="509">
        <f>IFERROR(IF(OR(2&gt;$B$3,ISBLANK(Actuals!D102)),"",('Reforecast Q1 2026'!D102-Actuals!D102)/ABS('Reforecast Q1 2026'!D102)),"")</f>
        <v/>
      </c>
      <c r="J86" s="508">
        <f>'Reforecast Q1 2026'!E102</f>
        <v/>
      </c>
      <c r="K86" s="508">
        <f>IF(OR(3&gt;$B$3,ISBLANK(Actuals!E102)),"",Actuals!E102)</f>
        <v/>
      </c>
      <c r="L86" s="509">
        <f>IF(OR(3&gt;$B$3,ISBLANK(Actuals!E102)),"",'Reforecast Q1 2026'!E102-Actuals!E102)</f>
        <v/>
      </c>
      <c r="M86" s="509">
        <f>IFERROR(IF(OR(3&gt;$B$3,ISBLANK(Actuals!E102)),"",('Reforecast Q1 2026'!E102-Actuals!E102)/ABS('Reforecast Q1 2026'!E102)),"")</f>
        <v/>
      </c>
      <c r="N86" s="508">
        <f>'Reforecast Q1 2026'!F102</f>
        <v/>
      </c>
      <c r="O86" s="508">
        <f>IF(OR(4&gt;$B$3,ISBLANK(Actuals!F102)),"",Actuals!F102)</f>
        <v/>
      </c>
      <c r="P86" s="509">
        <f>IF(OR(4&gt;$B$3,ISBLANK(Actuals!F102)),"",'Reforecast Q1 2026'!F102-Actuals!F102)</f>
        <v/>
      </c>
      <c r="Q86" s="509">
        <f>IFERROR(IF(OR(4&gt;$B$3,ISBLANK(Actuals!F102)),"",('Reforecast Q1 2026'!F102-Actuals!F102)/ABS('Reforecast Q1 2026'!F102)),"")</f>
        <v/>
      </c>
      <c r="R86" s="508">
        <f>'Reforecast Q1 2026'!G102</f>
        <v/>
      </c>
      <c r="S86" s="508">
        <f>IF(OR(5&gt;$B$3,ISBLANK(Actuals!G102)),"",Actuals!G102)</f>
        <v/>
      </c>
      <c r="T86" s="509">
        <f>IF(OR(5&gt;$B$3,ISBLANK(Actuals!G102)),"",'Reforecast Q1 2026'!G102-Actuals!G102)</f>
        <v/>
      </c>
      <c r="U86" s="509">
        <f>IFERROR(IF(OR(5&gt;$B$3,ISBLANK(Actuals!G102)),"",('Reforecast Q1 2026'!G102-Actuals!G102)/ABS('Reforecast Q1 2026'!G102)),"")</f>
        <v/>
      </c>
      <c r="V86" s="508">
        <f>'Reforecast Q1 2026'!H102</f>
        <v/>
      </c>
      <c r="W86" s="508">
        <f>IF(OR(6&gt;$B$3,ISBLANK(Actuals!H102)),"",Actuals!H102)</f>
        <v/>
      </c>
      <c r="X86" s="509">
        <f>IF(OR(6&gt;$B$3,ISBLANK(Actuals!H102)),"",'Reforecast Q1 2026'!H102-Actuals!H102)</f>
        <v/>
      </c>
      <c r="Y86" s="509">
        <f>IFERROR(IF(OR(6&gt;$B$3,ISBLANK(Actuals!H102)),"",('Reforecast Q1 2026'!H102-Actuals!H102)/ABS('Reforecast Q1 2026'!H102)),"")</f>
        <v/>
      </c>
      <c r="Z86" s="508">
        <f>'Reforecast Q1 2026'!I102</f>
        <v/>
      </c>
      <c r="AA86" s="508">
        <f>IF(OR(7&gt;$B$3,ISBLANK(Actuals!I102)),"",Actuals!I102)</f>
        <v/>
      </c>
      <c r="AB86" s="509">
        <f>IF(OR(7&gt;$B$3,ISBLANK(Actuals!I102)),"",'Reforecast Q1 2026'!I102-Actuals!I102)</f>
        <v/>
      </c>
      <c r="AC86" s="509">
        <f>IFERROR(IF(OR(7&gt;$B$3,ISBLANK(Actuals!I102)),"",('Reforecast Q1 2026'!I102-Actuals!I102)/ABS('Reforecast Q1 2026'!I102)),"")</f>
        <v/>
      </c>
      <c r="AD86" s="508">
        <f>'Reforecast Q1 2026'!J102</f>
        <v/>
      </c>
      <c r="AE86" s="508">
        <f>IF(OR(8&gt;$B$3,ISBLANK(Actuals!J102)),"",Actuals!J102)</f>
        <v/>
      </c>
      <c r="AF86" s="509">
        <f>IF(OR(8&gt;$B$3,ISBLANK(Actuals!J102)),"",'Reforecast Q1 2026'!J102-Actuals!J102)</f>
        <v/>
      </c>
      <c r="AG86" s="509">
        <f>IFERROR(IF(OR(8&gt;$B$3,ISBLANK(Actuals!J102)),"",('Reforecast Q1 2026'!J102-Actuals!J102)/ABS('Reforecast Q1 2026'!J102)),"")</f>
        <v/>
      </c>
      <c r="AH86" s="508">
        <f>'Reforecast Q1 2026'!K102</f>
        <v/>
      </c>
      <c r="AI86" s="508">
        <f>IF(OR(9&gt;$B$3,ISBLANK(Actuals!K102)),"",Actuals!K102)</f>
        <v/>
      </c>
      <c r="AJ86" s="509">
        <f>IF(OR(9&gt;$B$3,ISBLANK(Actuals!K102)),"",'Reforecast Q1 2026'!K102-Actuals!K102)</f>
        <v/>
      </c>
      <c r="AK86" s="509">
        <f>IFERROR(IF(OR(9&gt;$B$3,ISBLANK(Actuals!K102)),"",('Reforecast Q1 2026'!K102-Actuals!K102)/ABS('Reforecast Q1 2026'!K102)),"")</f>
        <v/>
      </c>
      <c r="AL86" s="508">
        <f>'Reforecast Q1 2026'!L102</f>
        <v/>
      </c>
      <c r="AM86" s="508">
        <f>IF(OR(10&gt;$B$3,ISBLANK(Actuals!L102)),"",Actuals!L102)</f>
        <v/>
      </c>
      <c r="AN86" s="509">
        <f>IF(OR(10&gt;$B$3,ISBLANK(Actuals!L102)),"",'Reforecast Q1 2026'!L102-Actuals!L102)</f>
        <v/>
      </c>
      <c r="AO86" s="509">
        <f>IFERROR(IF(OR(10&gt;$B$3,ISBLANK(Actuals!L102)),"",('Reforecast Q1 2026'!L102-Actuals!L102)/ABS('Reforecast Q1 2026'!L102)),"")</f>
        <v/>
      </c>
      <c r="AP86" s="508">
        <f>'Reforecast Q1 2026'!M102</f>
        <v/>
      </c>
      <c r="AQ86" s="508">
        <f>IF(OR(11&gt;$B$3,ISBLANK(Actuals!M102)),"",Actuals!M102)</f>
        <v/>
      </c>
      <c r="AR86" s="509">
        <f>IF(OR(11&gt;$B$3,ISBLANK(Actuals!M102)),"",'Reforecast Q1 2026'!M102-Actuals!M102)</f>
        <v/>
      </c>
      <c r="AS86" s="509">
        <f>IFERROR(IF(OR(11&gt;$B$3,ISBLANK(Actuals!M102)),"",('Reforecast Q1 2026'!M102-Actuals!M102)/ABS('Reforecast Q1 2026'!M102)),"")</f>
        <v/>
      </c>
      <c r="AT86" s="508">
        <f>'Reforecast Q1 2026'!N102</f>
        <v/>
      </c>
      <c r="AU86" s="508">
        <f>IF(OR(12&gt;$B$3,ISBLANK(Actuals!N102)),"",Actuals!N102)</f>
        <v/>
      </c>
      <c r="AV86" s="509">
        <f>IF(OR(12&gt;$B$3,ISBLANK(Actuals!N102)),"",'Reforecast Q1 2026'!N102-Actuals!N102)</f>
        <v/>
      </c>
      <c r="AW86" s="509">
        <f>IFERROR(IF(OR(12&gt;$B$3,ISBLANK(Actuals!N102)),"",('Reforecast Q1 2026'!N102-Actuals!N102)/ABS('Reforecast Q1 2026'!N102)),"")</f>
        <v/>
      </c>
      <c r="AX86" s="510">
        <f>SUMPRODUCT((Actuals!C102:N102&lt;&gt;"")*('Reforecast Q1 2026'!C102:N102))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'Reforecast Q1 2026'!C103</f>
        <v/>
      </c>
      <c r="C87" s="508">
        <f>IF(OR(1&gt;$B$3,ISBLANK(Actuals!C103)),"",Actuals!C103)</f>
        <v/>
      </c>
      <c r="D87" s="509">
        <f>IF(OR(1&gt;$B$3,ISBLANK(Actuals!C103)),"",'Reforecast Q1 2026'!C103-Actuals!C103)</f>
        <v/>
      </c>
      <c r="E87" s="509">
        <f>IFERROR(IF(OR(1&gt;$B$3,ISBLANK(Actuals!C103)),"",('Reforecast Q1 2026'!C103-Actuals!C103)/ABS('Reforecast Q1 2026'!C103)),"")</f>
        <v/>
      </c>
      <c r="F87" s="508">
        <f>'Reforecast Q1 2026'!D103</f>
        <v/>
      </c>
      <c r="G87" s="508">
        <f>IF(OR(2&gt;$B$3,ISBLANK(Actuals!D103)),"",Actuals!D103)</f>
        <v/>
      </c>
      <c r="H87" s="509">
        <f>IF(OR(2&gt;$B$3,ISBLANK(Actuals!D103)),"",'Reforecast Q1 2026'!D103-Actuals!D103)</f>
        <v/>
      </c>
      <c r="I87" s="509">
        <f>IFERROR(IF(OR(2&gt;$B$3,ISBLANK(Actuals!D103)),"",('Reforecast Q1 2026'!D103-Actuals!D103)/ABS('Reforecast Q1 2026'!D103)),"")</f>
        <v/>
      </c>
      <c r="J87" s="508">
        <f>'Reforecast Q1 2026'!E103</f>
        <v/>
      </c>
      <c r="K87" s="508">
        <f>IF(OR(3&gt;$B$3,ISBLANK(Actuals!E103)),"",Actuals!E103)</f>
        <v/>
      </c>
      <c r="L87" s="509">
        <f>IF(OR(3&gt;$B$3,ISBLANK(Actuals!E103)),"",'Reforecast Q1 2026'!E103-Actuals!E103)</f>
        <v/>
      </c>
      <c r="M87" s="509">
        <f>IFERROR(IF(OR(3&gt;$B$3,ISBLANK(Actuals!E103)),"",('Reforecast Q1 2026'!E103-Actuals!E103)/ABS('Reforecast Q1 2026'!E103)),"")</f>
        <v/>
      </c>
      <c r="N87" s="508">
        <f>'Reforecast Q1 2026'!F103</f>
        <v/>
      </c>
      <c r="O87" s="508">
        <f>IF(OR(4&gt;$B$3,ISBLANK(Actuals!F103)),"",Actuals!F103)</f>
        <v/>
      </c>
      <c r="P87" s="509">
        <f>IF(OR(4&gt;$B$3,ISBLANK(Actuals!F103)),"",'Reforecast Q1 2026'!F103-Actuals!F103)</f>
        <v/>
      </c>
      <c r="Q87" s="509">
        <f>IFERROR(IF(OR(4&gt;$B$3,ISBLANK(Actuals!F103)),"",('Reforecast Q1 2026'!F103-Actuals!F103)/ABS('Reforecast Q1 2026'!F103)),"")</f>
        <v/>
      </c>
      <c r="R87" s="508">
        <f>'Reforecast Q1 2026'!G103</f>
        <v/>
      </c>
      <c r="S87" s="508">
        <f>IF(OR(5&gt;$B$3,ISBLANK(Actuals!G103)),"",Actuals!G103)</f>
        <v/>
      </c>
      <c r="T87" s="509">
        <f>IF(OR(5&gt;$B$3,ISBLANK(Actuals!G103)),"",'Reforecast Q1 2026'!G103-Actuals!G103)</f>
        <v/>
      </c>
      <c r="U87" s="509">
        <f>IFERROR(IF(OR(5&gt;$B$3,ISBLANK(Actuals!G103)),"",('Reforecast Q1 2026'!G103-Actuals!G103)/ABS('Reforecast Q1 2026'!G103)),"")</f>
        <v/>
      </c>
      <c r="V87" s="508">
        <f>'Reforecast Q1 2026'!H103</f>
        <v/>
      </c>
      <c r="W87" s="508">
        <f>IF(OR(6&gt;$B$3,ISBLANK(Actuals!H103)),"",Actuals!H103)</f>
        <v/>
      </c>
      <c r="X87" s="509">
        <f>IF(OR(6&gt;$B$3,ISBLANK(Actuals!H103)),"",'Reforecast Q1 2026'!H103-Actuals!H103)</f>
        <v/>
      </c>
      <c r="Y87" s="509">
        <f>IFERROR(IF(OR(6&gt;$B$3,ISBLANK(Actuals!H103)),"",('Reforecast Q1 2026'!H103-Actuals!H103)/ABS('Reforecast Q1 2026'!H103)),"")</f>
        <v/>
      </c>
      <c r="Z87" s="508">
        <f>'Reforecast Q1 2026'!I103</f>
        <v/>
      </c>
      <c r="AA87" s="508">
        <f>IF(OR(7&gt;$B$3,ISBLANK(Actuals!I103)),"",Actuals!I103)</f>
        <v/>
      </c>
      <c r="AB87" s="509">
        <f>IF(OR(7&gt;$B$3,ISBLANK(Actuals!I103)),"",'Reforecast Q1 2026'!I103-Actuals!I103)</f>
        <v/>
      </c>
      <c r="AC87" s="509">
        <f>IFERROR(IF(OR(7&gt;$B$3,ISBLANK(Actuals!I103)),"",('Reforecast Q1 2026'!I103-Actuals!I103)/ABS('Reforecast Q1 2026'!I103)),"")</f>
        <v/>
      </c>
      <c r="AD87" s="508">
        <f>'Reforecast Q1 2026'!J103</f>
        <v/>
      </c>
      <c r="AE87" s="508">
        <f>IF(OR(8&gt;$B$3,ISBLANK(Actuals!J103)),"",Actuals!J103)</f>
        <v/>
      </c>
      <c r="AF87" s="509">
        <f>IF(OR(8&gt;$B$3,ISBLANK(Actuals!J103)),"",'Reforecast Q1 2026'!J103-Actuals!J103)</f>
        <v/>
      </c>
      <c r="AG87" s="509">
        <f>IFERROR(IF(OR(8&gt;$B$3,ISBLANK(Actuals!J103)),"",('Reforecast Q1 2026'!J103-Actuals!J103)/ABS('Reforecast Q1 2026'!J103)),"")</f>
        <v/>
      </c>
      <c r="AH87" s="508">
        <f>'Reforecast Q1 2026'!K103</f>
        <v/>
      </c>
      <c r="AI87" s="508">
        <f>IF(OR(9&gt;$B$3,ISBLANK(Actuals!K103)),"",Actuals!K103)</f>
        <v/>
      </c>
      <c r="AJ87" s="509">
        <f>IF(OR(9&gt;$B$3,ISBLANK(Actuals!K103)),"",'Reforecast Q1 2026'!K103-Actuals!K103)</f>
        <v/>
      </c>
      <c r="AK87" s="509">
        <f>IFERROR(IF(OR(9&gt;$B$3,ISBLANK(Actuals!K103)),"",('Reforecast Q1 2026'!K103-Actuals!K103)/ABS('Reforecast Q1 2026'!K103)),"")</f>
        <v/>
      </c>
      <c r="AL87" s="508">
        <f>'Reforecast Q1 2026'!L103</f>
        <v/>
      </c>
      <c r="AM87" s="508">
        <f>IF(OR(10&gt;$B$3,ISBLANK(Actuals!L103)),"",Actuals!L103)</f>
        <v/>
      </c>
      <c r="AN87" s="509">
        <f>IF(OR(10&gt;$B$3,ISBLANK(Actuals!L103)),"",'Reforecast Q1 2026'!L103-Actuals!L103)</f>
        <v/>
      </c>
      <c r="AO87" s="509">
        <f>IFERROR(IF(OR(10&gt;$B$3,ISBLANK(Actuals!L103)),"",('Reforecast Q1 2026'!L103-Actuals!L103)/ABS('Reforecast Q1 2026'!L103)),"")</f>
        <v/>
      </c>
      <c r="AP87" s="508">
        <f>'Reforecast Q1 2026'!M103</f>
        <v/>
      </c>
      <c r="AQ87" s="508">
        <f>IF(OR(11&gt;$B$3,ISBLANK(Actuals!M103)),"",Actuals!M103)</f>
        <v/>
      </c>
      <c r="AR87" s="509">
        <f>IF(OR(11&gt;$B$3,ISBLANK(Actuals!M103)),"",'Reforecast Q1 2026'!M103-Actuals!M103)</f>
        <v/>
      </c>
      <c r="AS87" s="509">
        <f>IFERROR(IF(OR(11&gt;$B$3,ISBLANK(Actuals!M103)),"",('Reforecast Q1 2026'!M103-Actuals!M103)/ABS('Reforecast Q1 2026'!M103)),"")</f>
        <v/>
      </c>
      <c r="AT87" s="508">
        <f>'Reforecast Q1 2026'!N103</f>
        <v/>
      </c>
      <c r="AU87" s="508">
        <f>IF(OR(12&gt;$B$3,ISBLANK(Actuals!N103)),"",Actuals!N103)</f>
        <v/>
      </c>
      <c r="AV87" s="509">
        <f>IF(OR(12&gt;$B$3,ISBLANK(Actuals!N103)),"",'Reforecast Q1 2026'!N103-Actuals!N103)</f>
        <v/>
      </c>
      <c r="AW87" s="509">
        <f>IFERROR(IF(OR(12&gt;$B$3,ISBLANK(Actuals!N103)),"",('Reforecast Q1 2026'!N103-Actuals!N103)/ABS('Reforecast Q1 2026'!N103)),"")</f>
        <v/>
      </c>
      <c r="AX87" s="510">
        <f>SUMPRODUCT((Actuals!C103:N103&lt;&gt;"")*('Reforecast Q1 2026'!C103:N103))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'Reforecast Q1 2026'!C104</f>
        <v/>
      </c>
      <c r="C88" s="508">
        <f>IF(OR(1&gt;$B$3,ISBLANK(Actuals!C104)),"",Actuals!C104)</f>
        <v/>
      </c>
      <c r="D88" s="509">
        <f>IF(OR(1&gt;$B$3,ISBLANK(Actuals!C104)),"",'Reforecast Q1 2026'!C104-Actuals!C104)</f>
        <v/>
      </c>
      <c r="E88" s="509">
        <f>IFERROR(IF(OR(1&gt;$B$3,ISBLANK(Actuals!C104)),"",('Reforecast Q1 2026'!C104-Actuals!C104)/ABS('Reforecast Q1 2026'!C104)),"")</f>
        <v/>
      </c>
      <c r="F88" s="508">
        <f>'Reforecast Q1 2026'!D104</f>
        <v/>
      </c>
      <c r="G88" s="508">
        <f>IF(OR(2&gt;$B$3,ISBLANK(Actuals!D104)),"",Actuals!D104)</f>
        <v/>
      </c>
      <c r="H88" s="509">
        <f>IF(OR(2&gt;$B$3,ISBLANK(Actuals!D104)),"",'Reforecast Q1 2026'!D104-Actuals!D104)</f>
        <v/>
      </c>
      <c r="I88" s="509">
        <f>IFERROR(IF(OR(2&gt;$B$3,ISBLANK(Actuals!D104)),"",('Reforecast Q1 2026'!D104-Actuals!D104)/ABS('Reforecast Q1 2026'!D104)),"")</f>
        <v/>
      </c>
      <c r="J88" s="508">
        <f>'Reforecast Q1 2026'!E104</f>
        <v/>
      </c>
      <c r="K88" s="508">
        <f>IF(OR(3&gt;$B$3,ISBLANK(Actuals!E104)),"",Actuals!E104)</f>
        <v/>
      </c>
      <c r="L88" s="509">
        <f>IF(OR(3&gt;$B$3,ISBLANK(Actuals!E104)),"",'Reforecast Q1 2026'!E104-Actuals!E104)</f>
        <v/>
      </c>
      <c r="M88" s="509">
        <f>IFERROR(IF(OR(3&gt;$B$3,ISBLANK(Actuals!E104)),"",('Reforecast Q1 2026'!E104-Actuals!E104)/ABS('Reforecast Q1 2026'!E104)),"")</f>
        <v/>
      </c>
      <c r="N88" s="508">
        <f>'Reforecast Q1 2026'!F104</f>
        <v/>
      </c>
      <c r="O88" s="508">
        <f>IF(OR(4&gt;$B$3,ISBLANK(Actuals!F104)),"",Actuals!F104)</f>
        <v/>
      </c>
      <c r="P88" s="509">
        <f>IF(OR(4&gt;$B$3,ISBLANK(Actuals!F104)),"",'Reforecast Q1 2026'!F104-Actuals!F104)</f>
        <v/>
      </c>
      <c r="Q88" s="509">
        <f>IFERROR(IF(OR(4&gt;$B$3,ISBLANK(Actuals!F104)),"",('Reforecast Q1 2026'!F104-Actuals!F104)/ABS('Reforecast Q1 2026'!F104)),"")</f>
        <v/>
      </c>
      <c r="R88" s="508">
        <f>'Reforecast Q1 2026'!G104</f>
        <v/>
      </c>
      <c r="S88" s="508">
        <f>IF(OR(5&gt;$B$3,ISBLANK(Actuals!G104)),"",Actuals!G104)</f>
        <v/>
      </c>
      <c r="T88" s="509">
        <f>IF(OR(5&gt;$B$3,ISBLANK(Actuals!G104)),"",'Reforecast Q1 2026'!G104-Actuals!G104)</f>
        <v/>
      </c>
      <c r="U88" s="509">
        <f>IFERROR(IF(OR(5&gt;$B$3,ISBLANK(Actuals!G104)),"",('Reforecast Q1 2026'!G104-Actuals!G104)/ABS('Reforecast Q1 2026'!G104)),"")</f>
        <v/>
      </c>
      <c r="V88" s="508">
        <f>'Reforecast Q1 2026'!H104</f>
        <v/>
      </c>
      <c r="W88" s="508">
        <f>IF(OR(6&gt;$B$3,ISBLANK(Actuals!H104)),"",Actuals!H104)</f>
        <v/>
      </c>
      <c r="X88" s="509">
        <f>IF(OR(6&gt;$B$3,ISBLANK(Actuals!H104)),"",'Reforecast Q1 2026'!H104-Actuals!H104)</f>
        <v/>
      </c>
      <c r="Y88" s="509">
        <f>IFERROR(IF(OR(6&gt;$B$3,ISBLANK(Actuals!H104)),"",('Reforecast Q1 2026'!H104-Actuals!H104)/ABS('Reforecast Q1 2026'!H104)),"")</f>
        <v/>
      </c>
      <c r="Z88" s="508">
        <f>'Reforecast Q1 2026'!I104</f>
        <v/>
      </c>
      <c r="AA88" s="508">
        <f>IF(OR(7&gt;$B$3,ISBLANK(Actuals!I104)),"",Actuals!I104)</f>
        <v/>
      </c>
      <c r="AB88" s="509">
        <f>IF(OR(7&gt;$B$3,ISBLANK(Actuals!I104)),"",'Reforecast Q1 2026'!I104-Actuals!I104)</f>
        <v/>
      </c>
      <c r="AC88" s="509">
        <f>IFERROR(IF(OR(7&gt;$B$3,ISBLANK(Actuals!I104)),"",('Reforecast Q1 2026'!I104-Actuals!I104)/ABS('Reforecast Q1 2026'!I104)),"")</f>
        <v/>
      </c>
      <c r="AD88" s="508">
        <f>'Reforecast Q1 2026'!J104</f>
        <v/>
      </c>
      <c r="AE88" s="508">
        <f>IF(OR(8&gt;$B$3,ISBLANK(Actuals!J104)),"",Actuals!J104)</f>
        <v/>
      </c>
      <c r="AF88" s="509">
        <f>IF(OR(8&gt;$B$3,ISBLANK(Actuals!J104)),"",'Reforecast Q1 2026'!J104-Actuals!J104)</f>
        <v/>
      </c>
      <c r="AG88" s="509">
        <f>IFERROR(IF(OR(8&gt;$B$3,ISBLANK(Actuals!J104)),"",('Reforecast Q1 2026'!J104-Actuals!J104)/ABS('Reforecast Q1 2026'!J104)),"")</f>
        <v/>
      </c>
      <c r="AH88" s="508">
        <f>'Reforecast Q1 2026'!K104</f>
        <v/>
      </c>
      <c r="AI88" s="508">
        <f>IF(OR(9&gt;$B$3,ISBLANK(Actuals!K104)),"",Actuals!K104)</f>
        <v/>
      </c>
      <c r="AJ88" s="509">
        <f>IF(OR(9&gt;$B$3,ISBLANK(Actuals!K104)),"",'Reforecast Q1 2026'!K104-Actuals!K104)</f>
        <v/>
      </c>
      <c r="AK88" s="509">
        <f>IFERROR(IF(OR(9&gt;$B$3,ISBLANK(Actuals!K104)),"",('Reforecast Q1 2026'!K104-Actuals!K104)/ABS('Reforecast Q1 2026'!K104)),"")</f>
        <v/>
      </c>
      <c r="AL88" s="508">
        <f>'Reforecast Q1 2026'!L104</f>
        <v/>
      </c>
      <c r="AM88" s="508">
        <f>IF(OR(10&gt;$B$3,ISBLANK(Actuals!L104)),"",Actuals!L104)</f>
        <v/>
      </c>
      <c r="AN88" s="509">
        <f>IF(OR(10&gt;$B$3,ISBLANK(Actuals!L104)),"",'Reforecast Q1 2026'!L104-Actuals!L104)</f>
        <v/>
      </c>
      <c r="AO88" s="509">
        <f>IFERROR(IF(OR(10&gt;$B$3,ISBLANK(Actuals!L104)),"",('Reforecast Q1 2026'!L104-Actuals!L104)/ABS('Reforecast Q1 2026'!L104)),"")</f>
        <v/>
      </c>
      <c r="AP88" s="508">
        <f>'Reforecast Q1 2026'!M104</f>
        <v/>
      </c>
      <c r="AQ88" s="508">
        <f>IF(OR(11&gt;$B$3,ISBLANK(Actuals!M104)),"",Actuals!M104)</f>
        <v/>
      </c>
      <c r="AR88" s="509">
        <f>IF(OR(11&gt;$B$3,ISBLANK(Actuals!M104)),"",'Reforecast Q1 2026'!M104-Actuals!M104)</f>
        <v/>
      </c>
      <c r="AS88" s="509">
        <f>IFERROR(IF(OR(11&gt;$B$3,ISBLANK(Actuals!M104)),"",('Reforecast Q1 2026'!M104-Actuals!M104)/ABS('Reforecast Q1 2026'!M104)),"")</f>
        <v/>
      </c>
      <c r="AT88" s="508">
        <f>'Reforecast Q1 2026'!N104</f>
        <v/>
      </c>
      <c r="AU88" s="508">
        <f>IF(OR(12&gt;$B$3,ISBLANK(Actuals!N104)),"",Actuals!N104)</f>
        <v/>
      </c>
      <c r="AV88" s="509">
        <f>IF(OR(12&gt;$B$3,ISBLANK(Actuals!N104)),"",'Reforecast Q1 2026'!N104-Actuals!N104)</f>
        <v/>
      </c>
      <c r="AW88" s="509">
        <f>IFERROR(IF(OR(12&gt;$B$3,ISBLANK(Actuals!N104)),"",('Reforecast Q1 2026'!N104-Actuals!N104)/ABS('Reforecast Q1 2026'!N104)),"")</f>
        <v/>
      </c>
      <c r="AX88" s="510">
        <f>SUMPRODUCT((Actuals!C104:N104&lt;&gt;"")*('Reforecast Q1 2026'!C104:N104))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'Reforecast Q1 2026'!C105</f>
        <v/>
      </c>
      <c r="C89" s="508">
        <f>IF(OR(1&gt;$B$3,ISBLANK(Actuals!C105)),"",Actuals!C105)</f>
        <v/>
      </c>
      <c r="D89" s="509">
        <f>IF(OR(1&gt;$B$3,ISBLANK(Actuals!C105)),"",'Reforecast Q1 2026'!C105-Actuals!C105)</f>
        <v/>
      </c>
      <c r="E89" s="509">
        <f>IFERROR(IF(OR(1&gt;$B$3,ISBLANK(Actuals!C105)),"",('Reforecast Q1 2026'!C105-Actuals!C105)/ABS('Reforecast Q1 2026'!C105)),"")</f>
        <v/>
      </c>
      <c r="F89" s="508">
        <f>'Reforecast Q1 2026'!D105</f>
        <v/>
      </c>
      <c r="G89" s="508">
        <f>IF(OR(2&gt;$B$3,ISBLANK(Actuals!D105)),"",Actuals!D105)</f>
        <v/>
      </c>
      <c r="H89" s="509">
        <f>IF(OR(2&gt;$B$3,ISBLANK(Actuals!D105)),"",'Reforecast Q1 2026'!D105-Actuals!D105)</f>
        <v/>
      </c>
      <c r="I89" s="509">
        <f>IFERROR(IF(OR(2&gt;$B$3,ISBLANK(Actuals!D105)),"",('Reforecast Q1 2026'!D105-Actuals!D105)/ABS('Reforecast Q1 2026'!D105)),"")</f>
        <v/>
      </c>
      <c r="J89" s="508">
        <f>'Reforecast Q1 2026'!E105</f>
        <v/>
      </c>
      <c r="K89" s="508">
        <f>IF(OR(3&gt;$B$3,ISBLANK(Actuals!E105)),"",Actuals!E105)</f>
        <v/>
      </c>
      <c r="L89" s="509">
        <f>IF(OR(3&gt;$B$3,ISBLANK(Actuals!E105)),"",'Reforecast Q1 2026'!E105-Actuals!E105)</f>
        <v/>
      </c>
      <c r="M89" s="509">
        <f>IFERROR(IF(OR(3&gt;$B$3,ISBLANK(Actuals!E105)),"",('Reforecast Q1 2026'!E105-Actuals!E105)/ABS('Reforecast Q1 2026'!E105)),"")</f>
        <v/>
      </c>
      <c r="N89" s="508">
        <f>'Reforecast Q1 2026'!F105</f>
        <v/>
      </c>
      <c r="O89" s="508">
        <f>IF(OR(4&gt;$B$3,ISBLANK(Actuals!F105)),"",Actuals!F105)</f>
        <v/>
      </c>
      <c r="P89" s="509">
        <f>IF(OR(4&gt;$B$3,ISBLANK(Actuals!F105)),"",'Reforecast Q1 2026'!F105-Actuals!F105)</f>
        <v/>
      </c>
      <c r="Q89" s="509">
        <f>IFERROR(IF(OR(4&gt;$B$3,ISBLANK(Actuals!F105)),"",('Reforecast Q1 2026'!F105-Actuals!F105)/ABS('Reforecast Q1 2026'!F105)),"")</f>
        <v/>
      </c>
      <c r="R89" s="508">
        <f>'Reforecast Q1 2026'!G105</f>
        <v/>
      </c>
      <c r="S89" s="508">
        <f>IF(OR(5&gt;$B$3,ISBLANK(Actuals!G105)),"",Actuals!G105)</f>
        <v/>
      </c>
      <c r="T89" s="509">
        <f>IF(OR(5&gt;$B$3,ISBLANK(Actuals!G105)),"",'Reforecast Q1 2026'!G105-Actuals!G105)</f>
        <v/>
      </c>
      <c r="U89" s="509">
        <f>IFERROR(IF(OR(5&gt;$B$3,ISBLANK(Actuals!G105)),"",('Reforecast Q1 2026'!G105-Actuals!G105)/ABS('Reforecast Q1 2026'!G105)),"")</f>
        <v/>
      </c>
      <c r="V89" s="508">
        <f>'Reforecast Q1 2026'!H105</f>
        <v/>
      </c>
      <c r="W89" s="508">
        <f>IF(OR(6&gt;$B$3,ISBLANK(Actuals!H105)),"",Actuals!H105)</f>
        <v/>
      </c>
      <c r="X89" s="509">
        <f>IF(OR(6&gt;$B$3,ISBLANK(Actuals!H105)),"",'Reforecast Q1 2026'!H105-Actuals!H105)</f>
        <v/>
      </c>
      <c r="Y89" s="509">
        <f>IFERROR(IF(OR(6&gt;$B$3,ISBLANK(Actuals!H105)),"",('Reforecast Q1 2026'!H105-Actuals!H105)/ABS('Reforecast Q1 2026'!H105)),"")</f>
        <v/>
      </c>
      <c r="Z89" s="508">
        <f>'Reforecast Q1 2026'!I105</f>
        <v/>
      </c>
      <c r="AA89" s="508">
        <f>IF(OR(7&gt;$B$3,ISBLANK(Actuals!I105)),"",Actuals!I105)</f>
        <v/>
      </c>
      <c r="AB89" s="509">
        <f>IF(OR(7&gt;$B$3,ISBLANK(Actuals!I105)),"",'Reforecast Q1 2026'!I105-Actuals!I105)</f>
        <v/>
      </c>
      <c r="AC89" s="509">
        <f>IFERROR(IF(OR(7&gt;$B$3,ISBLANK(Actuals!I105)),"",('Reforecast Q1 2026'!I105-Actuals!I105)/ABS('Reforecast Q1 2026'!I105)),"")</f>
        <v/>
      </c>
      <c r="AD89" s="508">
        <f>'Reforecast Q1 2026'!J105</f>
        <v/>
      </c>
      <c r="AE89" s="508">
        <f>IF(OR(8&gt;$B$3,ISBLANK(Actuals!J105)),"",Actuals!J105)</f>
        <v/>
      </c>
      <c r="AF89" s="509">
        <f>IF(OR(8&gt;$B$3,ISBLANK(Actuals!J105)),"",'Reforecast Q1 2026'!J105-Actuals!J105)</f>
        <v/>
      </c>
      <c r="AG89" s="509">
        <f>IFERROR(IF(OR(8&gt;$B$3,ISBLANK(Actuals!J105)),"",('Reforecast Q1 2026'!J105-Actuals!J105)/ABS('Reforecast Q1 2026'!J105)),"")</f>
        <v/>
      </c>
      <c r="AH89" s="508">
        <f>'Reforecast Q1 2026'!K105</f>
        <v/>
      </c>
      <c r="AI89" s="508">
        <f>IF(OR(9&gt;$B$3,ISBLANK(Actuals!K105)),"",Actuals!K105)</f>
        <v/>
      </c>
      <c r="AJ89" s="509">
        <f>IF(OR(9&gt;$B$3,ISBLANK(Actuals!K105)),"",'Reforecast Q1 2026'!K105-Actuals!K105)</f>
        <v/>
      </c>
      <c r="AK89" s="509">
        <f>IFERROR(IF(OR(9&gt;$B$3,ISBLANK(Actuals!K105)),"",('Reforecast Q1 2026'!K105-Actuals!K105)/ABS('Reforecast Q1 2026'!K105)),"")</f>
        <v/>
      </c>
      <c r="AL89" s="508">
        <f>'Reforecast Q1 2026'!L105</f>
        <v/>
      </c>
      <c r="AM89" s="508">
        <f>IF(OR(10&gt;$B$3,ISBLANK(Actuals!L105)),"",Actuals!L105)</f>
        <v/>
      </c>
      <c r="AN89" s="509">
        <f>IF(OR(10&gt;$B$3,ISBLANK(Actuals!L105)),"",'Reforecast Q1 2026'!L105-Actuals!L105)</f>
        <v/>
      </c>
      <c r="AO89" s="509">
        <f>IFERROR(IF(OR(10&gt;$B$3,ISBLANK(Actuals!L105)),"",('Reforecast Q1 2026'!L105-Actuals!L105)/ABS('Reforecast Q1 2026'!L105)),"")</f>
        <v/>
      </c>
      <c r="AP89" s="508">
        <f>'Reforecast Q1 2026'!M105</f>
        <v/>
      </c>
      <c r="AQ89" s="508">
        <f>IF(OR(11&gt;$B$3,ISBLANK(Actuals!M105)),"",Actuals!M105)</f>
        <v/>
      </c>
      <c r="AR89" s="509">
        <f>IF(OR(11&gt;$B$3,ISBLANK(Actuals!M105)),"",'Reforecast Q1 2026'!M105-Actuals!M105)</f>
        <v/>
      </c>
      <c r="AS89" s="509">
        <f>IFERROR(IF(OR(11&gt;$B$3,ISBLANK(Actuals!M105)),"",('Reforecast Q1 2026'!M105-Actuals!M105)/ABS('Reforecast Q1 2026'!M105)),"")</f>
        <v/>
      </c>
      <c r="AT89" s="508">
        <f>'Reforecast Q1 2026'!N105</f>
        <v/>
      </c>
      <c r="AU89" s="508">
        <f>IF(OR(12&gt;$B$3,ISBLANK(Actuals!N105)),"",Actuals!N105)</f>
        <v/>
      </c>
      <c r="AV89" s="509">
        <f>IF(OR(12&gt;$B$3,ISBLANK(Actuals!N105)),"",'Reforecast Q1 2026'!N105-Actuals!N105)</f>
        <v/>
      </c>
      <c r="AW89" s="509">
        <f>IFERROR(IF(OR(12&gt;$B$3,ISBLANK(Actuals!N105)),"",('Reforecast Q1 2026'!N105-Actuals!N105)/ABS('Reforecast Q1 2026'!N105)),"")</f>
        <v/>
      </c>
      <c r="AX89" s="510">
        <f>SUMPRODUCT((Actuals!C105:N105&lt;&gt;"")*('Reforecast Q1 2026'!C105:N105))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'Reforecast Q1 2026'!C106</f>
        <v/>
      </c>
      <c r="C90" s="508">
        <f>IF(OR(1&gt;$B$3,ISBLANK(Actuals!C106)),"",Actuals!C106)</f>
        <v/>
      </c>
      <c r="D90" s="509">
        <f>IF(OR(1&gt;$B$3,ISBLANK(Actuals!C106)),"",'Reforecast Q1 2026'!C106-Actuals!C106)</f>
        <v/>
      </c>
      <c r="E90" s="509">
        <f>IFERROR(IF(OR(1&gt;$B$3,ISBLANK(Actuals!C106)),"",('Reforecast Q1 2026'!C106-Actuals!C106)/ABS('Reforecast Q1 2026'!C106)),"")</f>
        <v/>
      </c>
      <c r="F90" s="508">
        <f>'Reforecast Q1 2026'!D106</f>
        <v/>
      </c>
      <c r="G90" s="508">
        <f>IF(OR(2&gt;$B$3,ISBLANK(Actuals!D106)),"",Actuals!D106)</f>
        <v/>
      </c>
      <c r="H90" s="509">
        <f>IF(OR(2&gt;$B$3,ISBLANK(Actuals!D106)),"",'Reforecast Q1 2026'!D106-Actuals!D106)</f>
        <v/>
      </c>
      <c r="I90" s="509">
        <f>IFERROR(IF(OR(2&gt;$B$3,ISBLANK(Actuals!D106)),"",('Reforecast Q1 2026'!D106-Actuals!D106)/ABS('Reforecast Q1 2026'!D106)),"")</f>
        <v/>
      </c>
      <c r="J90" s="508">
        <f>'Reforecast Q1 2026'!E106</f>
        <v/>
      </c>
      <c r="K90" s="508">
        <f>IF(OR(3&gt;$B$3,ISBLANK(Actuals!E106)),"",Actuals!E106)</f>
        <v/>
      </c>
      <c r="L90" s="509">
        <f>IF(OR(3&gt;$B$3,ISBLANK(Actuals!E106)),"",'Reforecast Q1 2026'!E106-Actuals!E106)</f>
        <v/>
      </c>
      <c r="M90" s="509">
        <f>IFERROR(IF(OR(3&gt;$B$3,ISBLANK(Actuals!E106)),"",('Reforecast Q1 2026'!E106-Actuals!E106)/ABS('Reforecast Q1 2026'!E106)),"")</f>
        <v/>
      </c>
      <c r="N90" s="508">
        <f>'Reforecast Q1 2026'!F106</f>
        <v/>
      </c>
      <c r="O90" s="508">
        <f>IF(OR(4&gt;$B$3,ISBLANK(Actuals!F106)),"",Actuals!F106)</f>
        <v/>
      </c>
      <c r="P90" s="509">
        <f>IF(OR(4&gt;$B$3,ISBLANK(Actuals!F106)),"",'Reforecast Q1 2026'!F106-Actuals!F106)</f>
        <v/>
      </c>
      <c r="Q90" s="509">
        <f>IFERROR(IF(OR(4&gt;$B$3,ISBLANK(Actuals!F106)),"",('Reforecast Q1 2026'!F106-Actuals!F106)/ABS('Reforecast Q1 2026'!F106)),"")</f>
        <v/>
      </c>
      <c r="R90" s="508">
        <f>'Reforecast Q1 2026'!G106</f>
        <v/>
      </c>
      <c r="S90" s="508">
        <f>IF(OR(5&gt;$B$3,ISBLANK(Actuals!G106)),"",Actuals!G106)</f>
        <v/>
      </c>
      <c r="T90" s="509">
        <f>IF(OR(5&gt;$B$3,ISBLANK(Actuals!G106)),"",'Reforecast Q1 2026'!G106-Actuals!G106)</f>
        <v/>
      </c>
      <c r="U90" s="509">
        <f>IFERROR(IF(OR(5&gt;$B$3,ISBLANK(Actuals!G106)),"",('Reforecast Q1 2026'!G106-Actuals!G106)/ABS('Reforecast Q1 2026'!G106)),"")</f>
        <v/>
      </c>
      <c r="V90" s="508">
        <f>'Reforecast Q1 2026'!H106</f>
        <v/>
      </c>
      <c r="W90" s="508">
        <f>IF(OR(6&gt;$B$3,ISBLANK(Actuals!H106)),"",Actuals!H106)</f>
        <v/>
      </c>
      <c r="X90" s="509">
        <f>IF(OR(6&gt;$B$3,ISBLANK(Actuals!H106)),"",'Reforecast Q1 2026'!H106-Actuals!H106)</f>
        <v/>
      </c>
      <c r="Y90" s="509">
        <f>IFERROR(IF(OR(6&gt;$B$3,ISBLANK(Actuals!H106)),"",('Reforecast Q1 2026'!H106-Actuals!H106)/ABS('Reforecast Q1 2026'!H106)),"")</f>
        <v/>
      </c>
      <c r="Z90" s="508">
        <f>'Reforecast Q1 2026'!I106</f>
        <v/>
      </c>
      <c r="AA90" s="508">
        <f>IF(OR(7&gt;$B$3,ISBLANK(Actuals!I106)),"",Actuals!I106)</f>
        <v/>
      </c>
      <c r="AB90" s="509">
        <f>IF(OR(7&gt;$B$3,ISBLANK(Actuals!I106)),"",'Reforecast Q1 2026'!I106-Actuals!I106)</f>
        <v/>
      </c>
      <c r="AC90" s="509">
        <f>IFERROR(IF(OR(7&gt;$B$3,ISBLANK(Actuals!I106)),"",('Reforecast Q1 2026'!I106-Actuals!I106)/ABS('Reforecast Q1 2026'!I106)),"")</f>
        <v/>
      </c>
      <c r="AD90" s="508">
        <f>'Reforecast Q1 2026'!J106</f>
        <v/>
      </c>
      <c r="AE90" s="508">
        <f>IF(OR(8&gt;$B$3,ISBLANK(Actuals!J106)),"",Actuals!J106)</f>
        <v/>
      </c>
      <c r="AF90" s="509">
        <f>IF(OR(8&gt;$B$3,ISBLANK(Actuals!J106)),"",'Reforecast Q1 2026'!J106-Actuals!J106)</f>
        <v/>
      </c>
      <c r="AG90" s="509">
        <f>IFERROR(IF(OR(8&gt;$B$3,ISBLANK(Actuals!J106)),"",('Reforecast Q1 2026'!J106-Actuals!J106)/ABS('Reforecast Q1 2026'!J106)),"")</f>
        <v/>
      </c>
      <c r="AH90" s="508">
        <f>'Reforecast Q1 2026'!K106</f>
        <v/>
      </c>
      <c r="AI90" s="508">
        <f>IF(OR(9&gt;$B$3,ISBLANK(Actuals!K106)),"",Actuals!K106)</f>
        <v/>
      </c>
      <c r="AJ90" s="509">
        <f>IF(OR(9&gt;$B$3,ISBLANK(Actuals!K106)),"",'Reforecast Q1 2026'!K106-Actuals!K106)</f>
        <v/>
      </c>
      <c r="AK90" s="509">
        <f>IFERROR(IF(OR(9&gt;$B$3,ISBLANK(Actuals!K106)),"",('Reforecast Q1 2026'!K106-Actuals!K106)/ABS('Reforecast Q1 2026'!K106)),"")</f>
        <v/>
      </c>
      <c r="AL90" s="508">
        <f>'Reforecast Q1 2026'!L106</f>
        <v/>
      </c>
      <c r="AM90" s="508">
        <f>IF(OR(10&gt;$B$3,ISBLANK(Actuals!L106)),"",Actuals!L106)</f>
        <v/>
      </c>
      <c r="AN90" s="509">
        <f>IF(OR(10&gt;$B$3,ISBLANK(Actuals!L106)),"",'Reforecast Q1 2026'!L106-Actuals!L106)</f>
        <v/>
      </c>
      <c r="AO90" s="509">
        <f>IFERROR(IF(OR(10&gt;$B$3,ISBLANK(Actuals!L106)),"",('Reforecast Q1 2026'!L106-Actuals!L106)/ABS('Reforecast Q1 2026'!L106)),"")</f>
        <v/>
      </c>
      <c r="AP90" s="508">
        <f>'Reforecast Q1 2026'!M106</f>
        <v/>
      </c>
      <c r="AQ90" s="508">
        <f>IF(OR(11&gt;$B$3,ISBLANK(Actuals!M106)),"",Actuals!M106)</f>
        <v/>
      </c>
      <c r="AR90" s="509">
        <f>IF(OR(11&gt;$B$3,ISBLANK(Actuals!M106)),"",'Reforecast Q1 2026'!M106-Actuals!M106)</f>
        <v/>
      </c>
      <c r="AS90" s="509">
        <f>IFERROR(IF(OR(11&gt;$B$3,ISBLANK(Actuals!M106)),"",('Reforecast Q1 2026'!M106-Actuals!M106)/ABS('Reforecast Q1 2026'!M106)),"")</f>
        <v/>
      </c>
      <c r="AT90" s="508">
        <f>'Reforecast Q1 2026'!N106</f>
        <v/>
      </c>
      <c r="AU90" s="508">
        <f>IF(OR(12&gt;$B$3,ISBLANK(Actuals!N106)),"",Actuals!N106)</f>
        <v/>
      </c>
      <c r="AV90" s="509">
        <f>IF(OR(12&gt;$B$3,ISBLANK(Actuals!N106)),"",'Reforecast Q1 2026'!N106-Actuals!N106)</f>
        <v/>
      </c>
      <c r="AW90" s="509">
        <f>IFERROR(IF(OR(12&gt;$B$3,ISBLANK(Actuals!N106)),"",('Reforecast Q1 2026'!N106-Actuals!N106)/ABS('Reforecast Q1 2026'!N106)),"")</f>
        <v/>
      </c>
      <c r="AX90" s="510">
        <f>SUMPRODUCT((Actuals!C106:N106&lt;&gt;"")*('Reforecast Q1 2026'!C106:N106))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'Reforecast Q1 2026'!C107</f>
        <v/>
      </c>
      <c r="C91" s="508">
        <f>IF(OR(1&gt;$B$3,ISBLANK(Actuals!C107)),"",Actuals!C107)</f>
        <v/>
      </c>
      <c r="D91" s="509">
        <f>IF(OR(1&gt;$B$3,ISBLANK(Actuals!C107)),"",'Reforecast Q1 2026'!C107-Actuals!C107)</f>
        <v/>
      </c>
      <c r="E91" s="509">
        <f>IFERROR(IF(OR(1&gt;$B$3,ISBLANK(Actuals!C107)),"",('Reforecast Q1 2026'!C107-Actuals!C107)/ABS('Reforecast Q1 2026'!C107)),"")</f>
        <v/>
      </c>
      <c r="F91" s="508">
        <f>'Reforecast Q1 2026'!D107</f>
        <v/>
      </c>
      <c r="G91" s="508">
        <f>IF(OR(2&gt;$B$3,ISBLANK(Actuals!D107)),"",Actuals!D107)</f>
        <v/>
      </c>
      <c r="H91" s="509">
        <f>IF(OR(2&gt;$B$3,ISBLANK(Actuals!D107)),"",'Reforecast Q1 2026'!D107-Actuals!D107)</f>
        <v/>
      </c>
      <c r="I91" s="509">
        <f>IFERROR(IF(OR(2&gt;$B$3,ISBLANK(Actuals!D107)),"",('Reforecast Q1 2026'!D107-Actuals!D107)/ABS('Reforecast Q1 2026'!D107)),"")</f>
        <v/>
      </c>
      <c r="J91" s="508">
        <f>'Reforecast Q1 2026'!E107</f>
        <v/>
      </c>
      <c r="K91" s="508">
        <f>IF(OR(3&gt;$B$3,ISBLANK(Actuals!E107)),"",Actuals!E107)</f>
        <v/>
      </c>
      <c r="L91" s="509">
        <f>IF(OR(3&gt;$B$3,ISBLANK(Actuals!E107)),"",'Reforecast Q1 2026'!E107-Actuals!E107)</f>
        <v/>
      </c>
      <c r="M91" s="509">
        <f>IFERROR(IF(OR(3&gt;$B$3,ISBLANK(Actuals!E107)),"",('Reforecast Q1 2026'!E107-Actuals!E107)/ABS('Reforecast Q1 2026'!E107)),"")</f>
        <v/>
      </c>
      <c r="N91" s="508">
        <f>'Reforecast Q1 2026'!F107</f>
        <v/>
      </c>
      <c r="O91" s="508">
        <f>IF(OR(4&gt;$B$3,ISBLANK(Actuals!F107)),"",Actuals!F107)</f>
        <v/>
      </c>
      <c r="P91" s="509">
        <f>IF(OR(4&gt;$B$3,ISBLANK(Actuals!F107)),"",'Reforecast Q1 2026'!F107-Actuals!F107)</f>
        <v/>
      </c>
      <c r="Q91" s="509">
        <f>IFERROR(IF(OR(4&gt;$B$3,ISBLANK(Actuals!F107)),"",('Reforecast Q1 2026'!F107-Actuals!F107)/ABS('Reforecast Q1 2026'!F107)),"")</f>
        <v/>
      </c>
      <c r="R91" s="508">
        <f>'Reforecast Q1 2026'!G107</f>
        <v/>
      </c>
      <c r="S91" s="508">
        <f>IF(OR(5&gt;$B$3,ISBLANK(Actuals!G107)),"",Actuals!G107)</f>
        <v/>
      </c>
      <c r="T91" s="509">
        <f>IF(OR(5&gt;$B$3,ISBLANK(Actuals!G107)),"",'Reforecast Q1 2026'!G107-Actuals!G107)</f>
        <v/>
      </c>
      <c r="U91" s="509">
        <f>IFERROR(IF(OR(5&gt;$B$3,ISBLANK(Actuals!G107)),"",('Reforecast Q1 2026'!G107-Actuals!G107)/ABS('Reforecast Q1 2026'!G107)),"")</f>
        <v/>
      </c>
      <c r="V91" s="508">
        <f>'Reforecast Q1 2026'!H107</f>
        <v/>
      </c>
      <c r="W91" s="508">
        <f>IF(OR(6&gt;$B$3,ISBLANK(Actuals!H107)),"",Actuals!H107)</f>
        <v/>
      </c>
      <c r="X91" s="509">
        <f>IF(OR(6&gt;$B$3,ISBLANK(Actuals!H107)),"",'Reforecast Q1 2026'!H107-Actuals!H107)</f>
        <v/>
      </c>
      <c r="Y91" s="509">
        <f>IFERROR(IF(OR(6&gt;$B$3,ISBLANK(Actuals!H107)),"",('Reforecast Q1 2026'!H107-Actuals!H107)/ABS('Reforecast Q1 2026'!H107)),"")</f>
        <v/>
      </c>
      <c r="Z91" s="508">
        <f>'Reforecast Q1 2026'!I107</f>
        <v/>
      </c>
      <c r="AA91" s="508">
        <f>IF(OR(7&gt;$B$3,ISBLANK(Actuals!I107)),"",Actuals!I107)</f>
        <v/>
      </c>
      <c r="AB91" s="509">
        <f>IF(OR(7&gt;$B$3,ISBLANK(Actuals!I107)),"",'Reforecast Q1 2026'!I107-Actuals!I107)</f>
        <v/>
      </c>
      <c r="AC91" s="509">
        <f>IFERROR(IF(OR(7&gt;$B$3,ISBLANK(Actuals!I107)),"",('Reforecast Q1 2026'!I107-Actuals!I107)/ABS('Reforecast Q1 2026'!I107)),"")</f>
        <v/>
      </c>
      <c r="AD91" s="508">
        <f>'Reforecast Q1 2026'!J107</f>
        <v/>
      </c>
      <c r="AE91" s="508">
        <f>IF(OR(8&gt;$B$3,ISBLANK(Actuals!J107)),"",Actuals!J107)</f>
        <v/>
      </c>
      <c r="AF91" s="509">
        <f>IF(OR(8&gt;$B$3,ISBLANK(Actuals!J107)),"",'Reforecast Q1 2026'!J107-Actuals!J107)</f>
        <v/>
      </c>
      <c r="AG91" s="509">
        <f>IFERROR(IF(OR(8&gt;$B$3,ISBLANK(Actuals!J107)),"",('Reforecast Q1 2026'!J107-Actuals!J107)/ABS('Reforecast Q1 2026'!J107)),"")</f>
        <v/>
      </c>
      <c r="AH91" s="508">
        <f>'Reforecast Q1 2026'!K107</f>
        <v/>
      </c>
      <c r="AI91" s="508">
        <f>IF(OR(9&gt;$B$3,ISBLANK(Actuals!K107)),"",Actuals!K107)</f>
        <v/>
      </c>
      <c r="AJ91" s="509">
        <f>IF(OR(9&gt;$B$3,ISBLANK(Actuals!K107)),"",'Reforecast Q1 2026'!K107-Actuals!K107)</f>
        <v/>
      </c>
      <c r="AK91" s="509">
        <f>IFERROR(IF(OR(9&gt;$B$3,ISBLANK(Actuals!K107)),"",('Reforecast Q1 2026'!K107-Actuals!K107)/ABS('Reforecast Q1 2026'!K107)),"")</f>
        <v/>
      </c>
      <c r="AL91" s="508">
        <f>'Reforecast Q1 2026'!L107</f>
        <v/>
      </c>
      <c r="AM91" s="508">
        <f>IF(OR(10&gt;$B$3,ISBLANK(Actuals!L107)),"",Actuals!L107)</f>
        <v/>
      </c>
      <c r="AN91" s="509">
        <f>IF(OR(10&gt;$B$3,ISBLANK(Actuals!L107)),"",'Reforecast Q1 2026'!L107-Actuals!L107)</f>
        <v/>
      </c>
      <c r="AO91" s="509">
        <f>IFERROR(IF(OR(10&gt;$B$3,ISBLANK(Actuals!L107)),"",('Reforecast Q1 2026'!L107-Actuals!L107)/ABS('Reforecast Q1 2026'!L107)),"")</f>
        <v/>
      </c>
      <c r="AP91" s="508">
        <f>'Reforecast Q1 2026'!M107</f>
        <v/>
      </c>
      <c r="AQ91" s="508">
        <f>IF(OR(11&gt;$B$3,ISBLANK(Actuals!M107)),"",Actuals!M107)</f>
        <v/>
      </c>
      <c r="AR91" s="509">
        <f>IF(OR(11&gt;$B$3,ISBLANK(Actuals!M107)),"",'Reforecast Q1 2026'!M107-Actuals!M107)</f>
        <v/>
      </c>
      <c r="AS91" s="509">
        <f>IFERROR(IF(OR(11&gt;$B$3,ISBLANK(Actuals!M107)),"",('Reforecast Q1 2026'!M107-Actuals!M107)/ABS('Reforecast Q1 2026'!M107)),"")</f>
        <v/>
      </c>
      <c r="AT91" s="508">
        <f>'Reforecast Q1 2026'!N107</f>
        <v/>
      </c>
      <c r="AU91" s="508">
        <f>IF(OR(12&gt;$B$3,ISBLANK(Actuals!N107)),"",Actuals!N107)</f>
        <v/>
      </c>
      <c r="AV91" s="509">
        <f>IF(OR(12&gt;$B$3,ISBLANK(Actuals!N107)),"",'Reforecast Q1 2026'!N107-Actuals!N107)</f>
        <v/>
      </c>
      <c r="AW91" s="509">
        <f>IFERROR(IF(OR(12&gt;$B$3,ISBLANK(Actuals!N107)),"",('Reforecast Q1 2026'!N107-Actuals!N107)/ABS('Reforecast Q1 2026'!N107)),"")</f>
        <v/>
      </c>
      <c r="AX91" s="510">
        <f>SUMPRODUCT((Actuals!C107:N107&lt;&gt;"")*('Reforecast Q1 2026'!C107:N107))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'Reforecast Q1 2026'!C108</f>
        <v/>
      </c>
      <c r="C92" s="508">
        <f>IF(OR(1&gt;$B$3,ISBLANK(Actuals!C108)),"",Actuals!C108)</f>
        <v/>
      </c>
      <c r="D92" s="509">
        <f>IF(OR(1&gt;$B$3,ISBLANK(Actuals!C108)),"",'Reforecast Q1 2026'!C108-Actuals!C108)</f>
        <v/>
      </c>
      <c r="E92" s="509">
        <f>IFERROR(IF(OR(1&gt;$B$3,ISBLANK(Actuals!C108)),"",('Reforecast Q1 2026'!C108-Actuals!C108)/ABS('Reforecast Q1 2026'!C108)),"")</f>
        <v/>
      </c>
      <c r="F92" s="508">
        <f>'Reforecast Q1 2026'!D108</f>
        <v/>
      </c>
      <c r="G92" s="508">
        <f>IF(OR(2&gt;$B$3,ISBLANK(Actuals!D108)),"",Actuals!D108)</f>
        <v/>
      </c>
      <c r="H92" s="509">
        <f>IF(OR(2&gt;$B$3,ISBLANK(Actuals!D108)),"",'Reforecast Q1 2026'!D108-Actuals!D108)</f>
        <v/>
      </c>
      <c r="I92" s="509">
        <f>IFERROR(IF(OR(2&gt;$B$3,ISBLANK(Actuals!D108)),"",('Reforecast Q1 2026'!D108-Actuals!D108)/ABS('Reforecast Q1 2026'!D108)),"")</f>
        <v/>
      </c>
      <c r="J92" s="508">
        <f>'Reforecast Q1 2026'!E108</f>
        <v/>
      </c>
      <c r="K92" s="508">
        <f>IF(OR(3&gt;$B$3,ISBLANK(Actuals!E108)),"",Actuals!E108)</f>
        <v/>
      </c>
      <c r="L92" s="509">
        <f>IF(OR(3&gt;$B$3,ISBLANK(Actuals!E108)),"",'Reforecast Q1 2026'!E108-Actuals!E108)</f>
        <v/>
      </c>
      <c r="M92" s="509">
        <f>IFERROR(IF(OR(3&gt;$B$3,ISBLANK(Actuals!E108)),"",('Reforecast Q1 2026'!E108-Actuals!E108)/ABS('Reforecast Q1 2026'!E108)),"")</f>
        <v/>
      </c>
      <c r="N92" s="508">
        <f>'Reforecast Q1 2026'!F108</f>
        <v/>
      </c>
      <c r="O92" s="508">
        <f>IF(OR(4&gt;$B$3,ISBLANK(Actuals!F108)),"",Actuals!F108)</f>
        <v/>
      </c>
      <c r="P92" s="509">
        <f>IF(OR(4&gt;$B$3,ISBLANK(Actuals!F108)),"",'Reforecast Q1 2026'!F108-Actuals!F108)</f>
        <v/>
      </c>
      <c r="Q92" s="509">
        <f>IFERROR(IF(OR(4&gt;$B$3,ISBLANK(Actuals!F108)),"",('Reforecast Q1 2026'!F108-Actuals!F108)/ABS('Reforecast Q1 2026'!F108)),"")</f>
        <v/>
      </c>
      <c r="R92" s="508">
        <f>'Reforecast Q1 2026'!G108</f>
        <v/>
      </c>
      <c r="S92" s="508">
        <f>IF(OR(5&gt;$B$3,ISBLANK(Actuals!G108)),"",Actuals!G108)</f>
        <v/>
      </c>
      <c r="T92" s="509">
        <f>IF(OR(5&gt;$B$3,ISBLANK(Actuals!G108)),"",'Reforecast Q1 2026'!G108-Actuals!G108)</f>
        <v/>
      </c>
      <c r="U92" s="509">
        <f>IFERROR(IF(OR(5&gt;$B$3,ISBLANK(Actuals!G108)),"",('Reforecast Q1 2026'!G108-Actuals!G108)/ABS('Reforecast Q1 2026'!G108)),"")</f>
        <v/>
      </c>
      <c r="V92" s="508">
        <f>'Reforecast Q1 2026'!H108</f>
        <v/>
      </c>
      <c r="W92" s="508">
        <f>IF(OR(6&gt;$B$3,ISBLANK(Actuals!H108)),"",Actuals!H108)</f>
        <v/>
      </c>
      <c r="X92" s="509">
        <f>IF(OR(6&gt;$B$3,ISBLANK(Actuals!H108)),"",'Reforecast Q1 2026'!H108-Actuals!H108)</f>
        <v/>
      </c>
      <c r="Y92" s="509">
        <f>IFERROR(IF(OR(6&gt;$B$3,ISBLANK(Actuals!H108)),"",('Reforecast Q1 2026'!H108-Actuals!H108)/ABS('Reforecast Q1 2026'!H108)),"")</f>
        <v/>
      </c>
      <c r="Z92" s="508">
        <f>'Reforecast Q1 2026'!I108</f>
        <v/>
      </c>
      <c r="AA92" s="508">
        <f>IF(OR(7&gt;$B$3,ISBLANK(Actuals!I108)),"",Actuals!I108)</f>
        <v/>
      </c>
      <c r="AB92" s="509">
        <f>IF(OR(7&gt;$B$3,ISBLANK(Actuals!I108)),"",'Reforecast Q1 2026'!I108-Actuals!I108)</f>
        <v/>
      </c>
      <c r="AC92" s="509">
        <f>IFERROR(IF(OR(7&gt;$B$3,ISBLANK(Actuals!I108)),"",('Reforecast Q1 2026'!I108-Actuals!I108)/ABS('Reforecast Q1 2026'!I108)),"")</f>
        <v/>
      </c>
      <c r="AD92" s="508">
        <f>'Reforecast Q1 2026'!J108</f>
        <v/>
      </c>
      <c r="AE92" s="508">
        <f>IF(OR(8&gt;$B$3,ISBLANK(Actuals!J108)),"",Actuals!J108)</f>
        <v/>
      </c>
      <c r="AF92" s="509">
        <f>IF(OR(8&gt;$B$3,ISBLANK(Actuals!J108)),"",'Reforecast Q1 2026'!J108-Actuals!J108)</f>
        <v/>
      </c>
      <c r="AG92" s="509">
        <f>IFERROR(IF(OR(8&gt;$B$3,ISBLANK(Actuals!J108)),"",('Reforecast Q1 2026'!J108-Actuals!J108)/ABS('Reforecast Q1 2026'!J108)),"")</f>
        <v/>
      </c>
      <c r="AH92" s="508">
        <f>'Reforecast Q1 2026'!K108</f>
        <v/>
      </c>
      <c r="AI92" s="508">
        <f>IF(OR(9&gt;$B$3,ISBLANK(Actuals!K108)),"",Actuals!K108)</f>
        <v/>
      </c>
      <c r="AJ92" s="509">
        <f>IF(OR(9&gt;$B$3,ISBLANK(Actuals!K108)),"",'Reforecast Q1 2026'!K108-Actuals!K108)</f>
        <v/>
      </c>
      <c r="AK92" s="509">
        <f>IFERROR(IF(OR(9&gt;$B$3,ISBLANK(Actuals!K108)),"",('Reforecast Q1 2026'!K108-Actuals!K108)/ABS('Reforecast Q1 2026'!K108)),"")</f>
        <v/>
      </c>
      <c r="AL92" s="508">
        <f>'Reforecast Q1 2026'!L108</f>
        <v/>
      </c>
      <c r="AM92" s="508">
        <f>IF(OR(10&gt;$B$3,ISBLANK(Actuals!L108)),"",Actuals!L108)</f>
        <v/>
      </c>
      <c r="AN92" s="509">
        <f>IF(OR(10&gt;$B$3,ISBLANK(Actuals!L108)),"",'Reforecast Q1 2026'!L108-Actuals!L108)</f>
        <v/>
      </c>
      <c r="AO92" s="509">
        <f>IFERROR(IF(OR(10&gt;$B$3,ISBLANK(Actuals!L108)),"",('Reforecast Q1 2026'!L108-Actuals!L108)/ABS('Reforecast Q1 2026'!L108)),"")</f>
        <v/>
      </c>
      <c r="AP92" s="508">
        <f>'Reforecast Q1 2026'!M108</f>
        <v/>
      </c>
      <c r="AQ92" s="508">
        <f>IF(OR(11&gt;$B$3,ISBLANK(Actuals!M108)),"",Actuals!M108)</f>
        <v/>
      </c>
      <c r="AR92" s="509">
        <f>IF(OR(11&gt;$B$3,ISBLANK(Actuals!M108)),"",'Reforecast Q1 2026'!M108-Actuals!M108)</f>
        <v/>
      </c>
      <c r="AS92" s="509">
        <f>IFERROR(IF(OR(11&gt;$B$3,ISBLANK(Actuals!M108)),"",('Reforecast Q1 2026'!M108-Actuals!M108)/ABS('Reforecast Q1 2026'!M108)),"")</f>
        <v/>
      </c>
      <c r="AT92" s="508">
        <f>'Reforecast Q1 2026'!N108</f>
        <v/>
      </c>
      <c r="AU92" s="508">
        <f>IF(OR(12&gt;$B$3,ISBLANK(Actuals!N108)),"",Actuals!N108)</f>
        <v/>
      </c>
      <c r="AV92" s="509">
        <f>IF(OR(12&gt;$B$3,ISBLANK(Actuals!N108)),"",'Reforecast Q1 2026'!N108-Actuals!N108)</f>
        <v/>
      </c>
      <c r="AW92" s="509">
        <f>IFERROR(IF(OR(12&gt;$B$3,ISBLANK(Actuals!N108)),"",('Reforecast Q1 2026'!N108-Actuals!N108)/ABS('Reforecast Q1 2026'!N108)),"")</f>
        <v/>
      </c>
      <c r="AX92" s="510">
        <f>SUMPRODUCT((Actuals!C108:N108&lt;&gt;"")*('Reforecast Q1 2026'!C108:N108))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'Reforecast Q1 2026'!C109</f>
        <v/>
      </c>
      <c r="C93" s="508">
        <f>IF(OR(1&gt;$B$3,ISBLANK(Actuals!C109)),"",Actuals!C109)</f>
        <v/>
      </c>
      <c r="D93" s="509">
        <f>IF(OR(1&gt;$B$3,ISBLANK(Actuals!C109)),"",'Reforecast Q1 2026'!C109-Actuals!C109)</f>
        <v/>
      </c>
      <c r="E93" s="509">
        <f>IFERROR(IF(OR(1&gt;$B$3,ISBLANK(Actuals!C109)),"",('Reforecast Q1 2026'!C109-Actuals!C109)/ABS('Reforecast Q1 2026'!C109)),"")</f>
        <v/>
      </c>
      <c r="F93" s="508">
        <f>'Reforecast Q1 2026'!D109</f>
        <v/>
      </c>
      <c r="G93" s="508">
        <f>IF(OR(2&gt;$B$3,ISBLANK(Actuals!D109)),"",Actuals!D109)</f>
        <v/>
      </c>
      <c r="H93" s="509">
        <f>IF(OR(2&gt;$B$3,ISBLANK(Actuals!D109)),"",'Reforecast Q1 2026'!D109-Actuals!D109)</f>
        <v/>
      </c>
      <c r="I93" s="509">
        <f>IFERROR(IF(OR(2&gt;$B$3,ISBLANK(Actuals!D109)),"",('Reforecast Q1 2026'!D109-Actuals!D109)/ABS('Reforecast Q1 2026'!D109)),"")</f>
        <v/>
      </c>
      <c r="J93" s="508">
        <f>'Reforecast Q1 2026'!E109</f>
        <v/>
      </c>
      <c r="K93" s="508">
        <f>IF(OR(3&gt;$B$3,ISBLANK(Actuals!E109)),"",Actuals!E109)</f>
        <v/>
      </c>
      <c r="L93" s="509">
        <f>IF(OR(3&gt;$B$3,ISBLANK(Actuals!E109)),"",'Reforecast Q1 2026'!E109-Actuals!E109)</f>
        <v/>
      </c>
      <c r="M93" s="509">
        <f>IFERROR(IF(OR(3&gt;$B$3,ISBLANK(Actuals!E109)),"",('Reforecast Q1 2026'!E109-Actuals!E109)/ABS('Reforecast Q1 2026'!E109)),"")</f>
        <v/>
      </c>
      <c r="N93" s="508">
        <f>'Reforecast Q1 2026'!F109</f>
        <v/>
      </c>
      <c r="O93" s="508">
        <f>IF(OR(4&gt;$B$3,ISBLANK(Actuals!F109)),"",Actuals!F109)</f>
        <v/>
      </c>
      <c r="P93" s="509">
        <f>IF(OR(4&gt;$B$3,ISBLANK(Actuals!F109)),"",'Reforecast Q1 2026'!F109-Actuals!F109)</f>
        <v/>
      </c>
      <c r="Q93" s="509">
        <f>IFERROR(IF(OR(4&gt;$B$3,ISBLANK(Actuals!F109)),"",('Reforecast Q1 2026'!F109-Actuals!F109)/ABS('Reforecast Q1 2026'!F109)),"")</f>
        <v/>
      </c>
      <c r="R93" s="508">
        <f>'Reforecast Q1 2026'!G109</f>
        <v/>
      </c>
      <c r="S93" s="508">
        <f>IF(OR(5&gt;$B$3,ISBLANK(Actuals!G109)),"",Actuals!G109)</f>
        <v/>
      </c>
      <c r="T93" s="509">
        <f>IF(OR(5&gt;$B$3,ISBLANK(Actuals!G109)),"",'Reforecast Q1 2026'!G109-Actuals!G109)</f>
        <v/>
      </c>
      <c r="U93" s="509">
        <f>IFERROR(IF(OR(5&gt;$B$3,ISBLANK(Actuals!G109)),"",('Reforecast Q1 2026'!G109-Actuals!G109)/ABS('Reforecast Q1 2026'!G109)),"")</f>
        <v/>
      </c>
      <c r="V93" s="508">
        <f>'Reforecast Q1 2026'!H109</f>
        <v/>
      </c>
      <c r="W93" s="508">
        <f>IF(OR(6&gt;$B$3,ISBLANK(Actuals!H109)),"",Actuals!H109)</f>
        <v/>
      </c>
      <c r="X93" s="509">
        <f>IF(OR(6&gt;$B$3,ISBLANK(Actuals!H109)),"",'Reforecast Q1 2026'!H109-Actuals!H109)</f>
        <v/>
      </c>
      <c r="Y93" s="509">
        <f>IFERROR(IF(OR(6&gt;$B$3,ISBLANK(Actuals!H109)),"",('Reforecast Q1 2026'!H109-Actuals!H109)/ABS('Reforecast Q1 2026'!H109)),"")</f>
        <v/>
      </c>
      <c r="Z93" s="508">
        <f>'Reforecast Q1 2026'!I109</f>
        <v/>
      </c>
      <c r="AA93" s="508">
        <f>IF(OR(7&gt;$B$3,ISBLANK(Actuals!I109)),"",Actuals!I109)</f>
        <v/>
      </c>
      <c r="AB93" s="509">
        <f>IF(OR(7&gt;$B$3,ISBLANK(Actuals!I109)),"",'Reforecast Q1 2026'!I109-Actuals!I109)</f>
        <v/>
      </c>
      <c r="AC93" s="509">
        <f>IFERROR(IF(OR(7&gt;$B$3,ISBLANK(Actuals!I109)),"",('Reforecast Q1 2026'!I109-Actuals!I109)/ABS('Reforecast Q1 2026'!I109)),"")</f>
        <v/>
      </c>
      <c r="AD93" s="508">
        <f>'Reforecast Q1 2026'!J109</f>
        <v/>
      </c>
      <c r="AE93" s="508">
        <f>IF(OR(8&gt;$B$3,ISBLANK(Actuals!J109)),"",Actuals!J109)</f>
        <v/>
      </c>
      <c r="AF93" s="509">
        <f>IF(OR(8&gt;$B$3,ISBLANK(Actuals!J109)),"",'Reforecast Q1 2026'!J109-Actuals!J109)</f>
        <v/>
      </c>
      <c r="AG93" s="509">
        <f>IFERROR(IF(OR(8&gt;$B$3,ISBLANK(Actuals!J109)),"",('Reforecast Q1 2026'!J109-Actuals!J109)/ABS('Reforecast Q1 2026'!J109)),"")</f>
        <v/>
      </c>
      <c r="AH93" s="508">
        <f>'Reforecast Q1 2026'!K109</f>
        <v/>
      </c>
      <c r="AI93" s="508">
        <f>IF(OR(9&gt;$B$3,ISBLANK(Actuals!K109)),"",Actuals!K109)</f>
        <v/>
      </c>
      <c r="AJ93" s="509">
        <f>IF(OR(9&gt;$B$3,ISBLANK(Actuals!K109)),"",'Reforecast Q1 2026'!K109-Actuals!K109)</f>
        <v/>
      </c>
      <c r="AK93" s="509">
        <f>IFERROR(IF(OR(9&gt;$B$3,ISBLANK(Actuals!K109)),"",('Reforecast Q1 2026'!K109-Actuals!K109)/ABS('Reforecast Q1 2026'!K109)),"")</f>
        <v/>
      </c>
      <c r="AL93" s="508">
        <f>'Reforecast Q1 2026'!L109</f>
        <v/>
      </c>
      <c r="AM93" s="508">
        <f>IF(OR(10&gt;$B$3,ISBLANK(Actuals!L109)),"",Actuals!L109)</f>
        <v/>
      </c>
      <c r="AN93" s="509">
        <f>IF(OR(10&gt;$B$3,ISBLANK(Actuals!L109)),"",'Reforecast Q1 2026'!L109-Actuals!L109)</f>
        <v/>
      </c>
      <c r="AO93" s="509">
        <f>IFERROR(IF(OR(10&gt;$B$3,ISBLANK(Actuals!L109)),"",('Reforecast Q1 2026'!L109-Actuals!L109)/ABS('Reforecast Q1 2026'!L109)),"")</f>
        <v/>
      </c>
      <c r="AP93" s="508">
        <f>'Reforecast Q1 2026'!M109</f>
        <v/>
      </c>
      <c r="AQ93" s="508">
        <f>IF(OR(11&gt;$B$3,ISBLANK(Actuals!M109)),"",Actuals!M109)</f>
        <v/>
      </c>
      <c r="AR93" s="509">
        <f>IF(OR(11&gt;$B$3,ISBLANK(Actuals!M109)),"",'Reforecast Q1 2026'!M109-Actuals!M109)</f>
        <v/>
      </c>
      <c r="AS93" s="509">
        <f>IFERROR(IF(OR(11&gt;$B$3,ISBLANK(Actuals!M109)),"",('Reforecast Q1 2026'!M109-Actuals!M109)/ABS('Reforecast Q1 2026'!M109)),"")</f>
        <v/>
      </c>
      <c r="AT93" s="508">
        <f>'Reforecast Q1 2026'!N109</f>
        <v/>
      </c>
      <c r="AU93" s="508">
        <f>IF(OR(12&gt;$B$3,ISBLANK(Actuals!N109)),"",Actuals!N109)</f>
        <v/>
      </c>
      <c r="AV93" s="509">
        <f>IF(OR(12&gt;$B$3,ISBLANK(Actuals!N109)),"",'Reforecast Q1 2026'!N109-Actuals!N109)</f>
        <v/>
      </c>
      <c r="AW93" s="509">
        <f>IFERROR(IF(OR(12&gt;$B$3,ISBLANK(Actuals!N109)),"",('Reforecast Q1 2026'!N109-Actuals!N109)/ABS('Reforecast Q1 2026'!N109)),"")</f>
        <v/>
      </c>
      <c r="AX93" s="510">
        <f>SUMPRODUCT((Actuals!C109:N109&lt;&gt;"")*('Reforecast Q1 2026'!C109:N109))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'Reforecast Q1 2026'!C110</f>
        <v/>
      </c>
      <c r="C94" s="508">
        <f>IF(OR(1&gt;$B$3,ISBLANK(Actuals!C110)),"",Actuals!C110)</f>
        <v/>
      </c>
      <c r="D94" s="509">
        <f>IF(OR(1&gt;$B$3,ISBLANK(Actuals!C110)),"",'Reforecast Q1 2026'!C110-Actuals!C110)</f>
        <v/>
      </c>
      <c r="E94" s="509">
        <f>IFERROR(IF(OR(1&gt;$B$3,ISBLANK(Actuals!C110)),"",('Reforecast Q1 2026'!C110-Actuals!C110)/ABS('Reforecast Q1 2026'!C110)),"")</f>
        <v/>
      </c>
      <c r="F94" s="508">
        <f>'Reforecast Q1 2026'!D110</f>
        <v/>
      </c>
      <c r="G94" s="508">
        <f>IF(OR(2&gt;$B$3,ISBLANK(Actuals!D110)),"",Actuals!D110)</f>
        <v/>
      </c>
      <c r="H94" s="509">
        <f>IF(OR(2&gt;$B$3,ISBLANK(Actuals!D110)),"",'Reforecast Q1 2026'!D110-Actuals!D110)</f>
        <v/>
      </c>
      <c r="I94" s="509">
        <f>IFERROR(IF(OR(2&gt;$B$3,ISBLANK(Actuals!D110)),"",('Reforecast Q1 2026'!D110-Actuals!D110)/ABS('Reforecast Q1 2026'!D110)),"")</f>
        <v/>
      </c>
      <c r="J94" s="508">
        <f>'Reforecast Q1 2026'!E110</f>
        <v/>
      </c>
      <c r="K94" s="508">
        <f>IF(OR(3&gt;$B$3,ISBLANK(Actuals!E110)),"",Actuals!E110)</f>
        <v/>
      </c>
      <c r="L94" s="509">
        <f>IF(OR(3&gt;$B$3,ISBLANK(Actuals!E110)),"",'Reforecast Q1 2026'!E110-Actuals!E110)</f>
        <v/>
      </c>
      <c r="M94" s="509">
        <f>IFERROR(IF(OR(3&gt;$B$3,ISBLANK(Actuals!E110)),"",('Reforecast Q1 2026'!E110-Actuals!E110)/ABS('Reforecast Q1 2026'!E110)),"")</f>
        <v/>
      </c>
      <c r="N94" s="508">
        <f>'Reforecast Q1 2026'!F110</f>
        <v/>
      </c>
      <c r="O94" s="508">
        <f>IF(OR(4&gt;$B$3,ISBLANK(Actuals!F110)),"",Actuals!F110)</f>
        <v/>
      </c>
      <c r="P94" s="509">
        <f>IF(OR(4&gt;$B$3,ISBLANK(Actuals!F110)),"",'Reforecast Q1 2026'!F110-Actuals!F110)</f>
        <v/>
      </c>
      <c r="Q94" s="509">
        <f>IFERROR(IF(OR(4&gt;$B$3,ISBLANK(Actuals!F110)),"",('Reforecast Q1 2026'!F110-Actuals!F110)/ABS('Reforecast Q1 2026'!F110)),"")</f>
        <v/>
      </c>
      <c r="R94" s="508">
        <f>'Reforecast Q1 2026'!G110</f>
        <v/>
      </c>
      <c r="S94" s="508">
        <f>IF(OR(5&gt;$B$3,ISBLANK(Actuals!G110)),"",Actuals!G110)</f>
        <v/>
      </c>
      <c r="T94" s="509">
        <f>IF(OR(5&gt;$B$3,ISBLANK(Actuals!G110)),"",'Reforecast Q1 2026'!G110-Actuals!G110)</f>
        <v/>
      </c>
      <c r="U94" s="509">
        <f>IFERROR(IF(OR(5&gt;$B$3,ISBLANK(Actuals!G110)),"",('Reforecast Q1 2026'!G110-Actuals!G110)/ABS('Reforecast Q1 2026'!G110)),"")</f>
        <v/>
      </c>
      <c r="V94" s="508">
        <f>'Reforecast Q1 2026'!H110</f>
        <v/>
      </c>
      <c r="W94" s="508">
        <f>IF(OR(6&gt;$B$3,ISBLANK(Actuals!H110)),"",Actuals!H110)</f>
        <v/>
      </c>
      <c r="X94" s="509">
        <f>IF(OR(6&gt;$B$3,ISBLANK(Actuals!H110)),"",'Reforecast Q1 2026'!H110-Actuals!H110)</f>
        <v/>
      </c>
      <c r="Y94" s="509">
        <f>IFERROR(IF(OR(6&gt;$B$3,ISBLANK(Actuals!H110)),"",('Reforecast Q1 2026'!H110-Actuals!H110)/ABS('Reforecast Q1 2026'!H110)),"")</f>
        <v/>
      </c>
      <c r="Z94" s="508">
        <f>'Reforecast Q1 2026'!I110</f>
        <v/>
      </c>
      <c r="AA94" s="508">
        <f>IF(OR(7&gt;$B$3,ISBLANK(Actuals!I110)),"",Actuals!I110)</f>
        <v/>
      </c>
      <c r="AB94" s="509">
        <f>IF(OR(7&gt;$B$3,ISBLANK(Actuals!I110)),"",'Reforecast Q1 2026'!I110-Actuals!I110)</f>
        <v/>
      </c>
      <c r="AC94" s="509">
        <f>IFERROR(IF(OR(7&gt;$B$3,ISBLANK(Actuals!I110)),"",('Reforecast Q1 2026'!I110-Actuals!I110)/ABS('Reforecast Q1 2026'!I110)),"")</f>
        <v/>
      </c>
      <c r="AD94" s="508">
        <f>'Reforecast Q1 2026'!J110</f>
        <v/>
      </c>
      <c r="AE94" s="508">
        <f>IF(OR(8&gt;$B$3,ISBLANK(Actuals!J110)),"",Actuals!J110)</f>
        <v/>
      </c>
      <c r="AF94" s="509">
        <f>IF(OR(8&gt;$B$3,ISBLANK(Actuals!J110)),"",'Reforecast Q1 2026'!J110-Actuals!J110)</f>
        <v/>
      </c>
      <c r="AG94" s="509">
        <f>IFERROR(IF(OR(8&gt;$B$3,ISBLANK(Actuals!J110)),"",('Reforecast Q1 2026'!J110-Actuals!J110)/ABS('Reforecast Q1 2026'!J110)),"")</f>
        <v/>
      </c>
      <c r="AH94" s="508">
        <f>'Reforecast Q1 2026'!K110</f>
        <v/>
      </c>
      <c r="AI94" s="508">
        <f>IF(OR(9&gt;$B$3,ISBLANK(Actuals!K110)),"",Actuals!K110)</f>
        <v/>
      </c>
      <c r="AJ94" s="509">
        <f>IF(OR(9&gt;$B$3,ISBLANK(Actuals!K110)),"",'Reforecast Q1 2026'!K110-Actuals!K110)</f>
        <v/>
      </c>
      <c r="AK94" s="509">
        <f>IFERROR(IF(OR(9&gt;$B$3,ISBLANK(Actuals!K110)),"",('Reforecast Q1 2026'!K110-Actuals!K110)/ABS('Reforecast Q1 2026'!K110)),"")</f>
        <v/>
      </c>
      <c r="AL94" s="508">
        <f>'Reforecast Q1 2026'!L110</f>
        <v/>
      </c>
      <c r="AM94" s="508">
        <f>IF(OR(10&gt;$B$3,ISBLANK(Actuals!L110)),"",Actuals!L110)</f>
        <v/>
      </c>
      <c r="AN94" s="509">
        <f>IF(OR(10&gt;$B$3,ISBLANK(Actuals!L110)),"",'Reforecast Q1 2026'!L110-Actuals!L110)</f>
        <v/>
      </c>
      <c r="AO94" s="509">
        <f>IFERROR(IF(OR(10&gt;$B$3,ISBLANK(Actuals!L110)),"",('Reforecast Q1 2026'!L110-Actuals!L110)/ABS('Reforecast Q1 2026'!L110)),"")</f>
        <v/>
      </c>
      <c r="AP94" s="508">
        <f>'Reforecast Q1 2026'!M110</f>
        <v/>
      </c>
      <c r="AQ94" s="508">
        <f>IF(OR(11&gt;$B$3,ISBLANK(Actuals!M110)),"",Actuals!M110)</f>
        <v/>
      </c>
      <c r="AR94" s="509">
        <f>IF(OR(11&gt;$B$3,ISBLANK(Actuals!M110)),"",'Reforecast Q1 2026'!M110-Actuals!M110)</f>
        <v/>
      </c>
      <c r="AS94" s="509">
        <f>IFERROR(IF(OR(11&gt;$B$3,ISBLANK(Actuals!M110)),"",('Reforecast Q1 2026'!M110-Actuals!M110)/ABS('Reforecast Q1 2026'!M110)),"")</f>
        <v/>
      </c>
      <c r="AT94" s="508">
        <f>'Reforecast Q1 2026'!N110</f>
        <v/>
      </c>
      <c r="AU94" s="508">
        <f>IF(OR(12&gt;$B$3,ISBLANK(Actuals!N110)),"",Actuals!N110)</f>
        <v/>
      </c>
      <c r="AV94" s="509">
        <f>IF(OR(12&gt;$B$3,ISBLANK(Actuals!N110)),"",'Reforecast Q1 2026'!N110-Actuals!N110)</f>
        <v/>
      </c>
      <c r="AW94" s="509">
        <f>IFERROR(IF(OR(12&gt;$B$3,ISBLANK(Actuals!N110)),"",('Reforecast Q1 2026'!N110-Actuals!N110)/ABS('Reforecast Q1 2026'!N110)),"")</f>
        <v/>
      </c>
      <c r="AX94" s="510">
        <f>SUMPRODUCT((Actuals!C110:N110&lt;&gt;"")*('Reforecast Q1 2026'!C110:N110))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'Reforecast Q1 2026'!C111</f>
        <v/>
      </c>
      <c r="C95" s="508">
        <f>IF(OR(1&gt;$B$3,ISBLANK(Actuals!C111)),"",Actuals!C111)</f>
        <v/>
      </c>
      <c r="D95" s="509">
        <f>IF(OR(1&gt;$B$3,ISBLANK(Actuals!C111)),"",'Reforecast Q1 2026'!C111-Actuals!C111)</f>
        <v/>
      </c>
      <c r="E95" s="509">
        <f>IFERROR(IF(OR(1&gt;$B$3,ISBLANK(Actuals!C111)),"",('Reforecast Q1 2026'!C111-Actuals!C111)/ABS('Reforecast Q1 2026'!C111)),"")</f>
        <v/>
      </c>
      <c r="F95" s="508">
        <f>'Reforecast Q1 2026'!D111</f>
        <v/>
      </c>
      <c r="G95" s="508">
        <f>IF(OR(2&gt;$B$3,ISBLANK(Actuals!D111)),"",Actuals!D111)</f>
        <v/>
      </c>
      <c r="H95" s="509">
        <f>IF(OR(2&gt;$B$3,ISBLANK(Actuals!D111)),"",'Reforecast Q1 2026'!D111-Actuals!D111)</f>
        <v/>
      </c>
      <c r="I95" s="509">
        <f>IFERROR(IF(OR(2&gt;$B$3,ISBLANK(Actuals!D111)),"",('Reforecast Q1 2026'!D111-Actuals!D111)/ABS('Reforecast Q1 2026'!D111)),"")</f>
        <v/>
      </c>
      <c r="J95" s="508">
        <f>'Reforecast Q1 2026'!E111</f>
        <v/>
      </c>
      <c r="K95" s="508">
        <f>IF(OR(3&gt;$B$3,ISBLANK(Actuals!E111)),"",Actuals!E111)</f>
        <v/>
      </c>
      <c r="L95" s="509">
        <f>IF(OR(3&gt;$B$3,ISBLANK(Actuals!E111)),"",'Reforecast Q1 2026'!E111-Actuals!E111)</f>
        <v/>
      </c>
      <c r="M95" s="509">
        <f>IFERROR(IF(OR(3&gt;$B$3,ISBLANK(Actuals!E111)),"",('Reforecast Q1 2026'!E111-Actuals!E111)/ABS('Reforecast Q1 2026'!E111)),"")</f>
        <v/>
      </c>
      <c r="N95" s="508">
        <f>'Reforecast Q1 2026'!F111</f>
        <v/>
      </c>
      <c r="O95" s="508">
        <f>IF(OR(4&gt;$B$3,ISBLANK(Actuals!F111)),"",Actuals!F111)</f>
        <v/>
      </c>
      <c r="P95" s="509">
        <f>IF(OR(4&gt;$B$3,ISBLANK(Actuals!F111)),"",'Reforecast Q1 2026'!F111-Actuals!F111)</f>
        <v/>
      </c>
      <c r="Q95" s="509">
        <f>IFERROR(IF(OR(4&gt;$B$3,ISBLANK(Actuals!F111)),"",('Reforecast Q1 2026'!F111-Actuals!F111)/ABS('Reforecast Q1 2026'!F111)),"")</f>
        <v/>
      </c>
      <c r="R95" s="508">
        <f>'Reforecast Q1 2026'!G111</f>
        <v/>
      </c>
      <c r="S95" s="508">
        <f>IF(OR(5&gt;$B$3,ISBLANK(Actuals!G111)),"",Actuals!G111)</f>
        <v/>
      </c>
      <c r="T95" s="509">
        <f>IF(OR(5&gt;$B$3,ISBLANK(Actuals!G111)),"",'Reforecast Q1 2026'!G111-Actuals!G111)</f>
        <v/>
      </c>
      <c r="U95" s="509">
        <f>IFERROR(IF(OR(5&gt;$B$3,ISBLANK(Actuals!G111)),"",('Reforecast Q1 2026'!G111-Actuals!G111)/ABS('Reforecast Q1 2026'!G111)),"")</f>
        <v/>
      </c>
      <c r="V95" s="508">
        <f>'Reforecast Q1 2026'!H111</f>
        <v/>
      </c>
      <c r="W95" s="508">
        <f>IF(OR(6&gt;$B$3,ISBLANK(Actuals!H111)),"",Actuals!H111)</f>
        <v/>
      </c>
      <c r="X95" s="509">
        <f>IF(OR(6&gt;$B$3,ISBLANK(Actuals!H111)),"",'Reforecast Q1 2026'!H111-Actuals!H111)</f>
        <v/>
      </c>
      <c r="Y95" s="509">
        <f>IFERROR(IF(OR(6&gt;$B$3,ISBLANK(Actuals!H111)),"",('Reforecast Q1 2026'!H111-Actuals!H111)/ABS('Reforecast Q1 2026'!H111)),"")</f>
        <v/>
      </c>
      <c r="Z95" s="508">
        <f>'Reforecast Q1 2026'!I111</f>
        <v/>
      </c>
      <c r="AA95" s="508">
        <f>IF(OR(7&gt;$B$3,ISBLANK(Actuals!I111)),"",Actuals!I111)</f>
        <v/>
      </c>
      <c r="AB95" s="509">
        <f>IF(OR(7&gt;$B$3,ISBLANK(Actuals!I111)),"",'Reforecast Q1 2026'!I111-Actuals!I111)</f>
        <v/>
      </c>
      <c r="AC95" s="509">
        <f>IFERROR(IF(OR(7&gt;$B$3,ISBLANK(Actuals!I111)),"",('Reforecast Q1 2026'!I111-Actuals!I111)/ABS('Reforecast Q1 2026'!I111)),"")</f>
        <v/>
      </c>
      <c r="AD95" s="508">
        <f>'Reforecast Q1 2026'!J111</f>
        <v/>
      </c>
      <c r="AE95" s="508">
        <f>IF(OR(8&gt;$B$3,ISBLANK(Actuals!J111)),"",Actuals!J111)</f>
        <v/>
      </c>
      <c r="AF95" s="509">
        <f>IF(OR(8&gt;$B$3,ISBLANK(Actuals!J111)),"",'Reforecast Q1 2026'!J111-Actuals!J111)</f>
        <v/>
      </c>
      <c r="AG95" s="509">
        <f>IFERROR(IF(OR(8&gt;$B$3,ISBLANK(Actuals!J111)),"",('Reforecast Q1 2026'!J111-Actuals!J111)/ABS('Reforecast Q1 2026'!J111)),"")</f>
        <v/>
      </c>
      <c r="AH95" s="508">
        <f>'Reforecast Q1 2026'!K111</f>
        <v/>
      </c>
      <c r="AI95" s="508">
        <f>IF(OR(9&gt;$B$3,ISBLANK(Actuals!K111)),"",Actuals!K111)</f>
        <v/>
      </c>
      <c r="AJ95" s="509">
        <f>IF(OR(9&gt;$B$3,ISBLANK(Actuals!K111)),"",'Reforecast Q1 2026'!K111-Actuals!K111)</f>
        <v/>
      </c>
      <c r="AK95" s="509">
        <f>IFERROR(IF(OR(9&gt;$B$3,ISBLANK(Actuals!K111)),"",('Reforecast Q1 2026'!K111-Actuals!K111)/ABS('Reforecast Q1 2026'!K111)),"")</f>
        <v/>
      </c>
      <c r="AL95" s="508">
        <f>'Reforecast Q1 2026'!L111</f>
        <v/>
      </c>
      <c r="AM95" s="508">
        <f>IF(OR(10&gt;$B$3,ISBLANK(Actuals!L111)),"",Actuals!L111)</f>
        <v/>
      </c>
      <c r="AN95" s="509">
        <f>IF(OR(10&gt;$B$3,ISBLANK(Actuals!L111)),"",'Reforecast Q1 2026'!L111-Actuals!L111)</f>
        <v/>
      </c>
      <c r="AO95" s="509">
        <f>IFERROR(IF(OR(10&gt;$B$3,ISBLANK(Actuals!L111)),"",('Reforecast Q1 2026'!L111-Actuals!L111)/ABS('Reforecast Q1 2026'!L111)),"")</f>
        <v/>
      </c>
      <c r="AP95" s="508">
        <f>'Reforecast Q1 2026'!M111</f>
        <v/>
      </c>
      <c r="AQ95" s="508">
        <f>IF(OR(11&gt;$B$3,ISBLANK(Actuals!M111)),"",Actuals!M111)</f>
        <v/>
      </c>
      <c r="AR95" s="509">
        <f>IF(OR(11&gt;$B$3,ISBLANK(Actuals!M111)),"",'Reforecast Q1 2026'!M111-Actuals!M111)</f>
        <v/>
      </c>
      <c r="AS95" s="509">
        <f>IFERROR(IF(OR(11&gt;$B$3,ISBLANK(Actuals!M111)),"",('Reforecast Q1 2026'!M111-Actuals!M111)/ABS('Reforecast Q1 2026'!M111)),"")</f>
        <v/>
      </c>
      <c r="AT95" s="508">
        <f>'Reforecast Q1 2026'!N111</f>
        <v/>
      </c>
      <c r="AU95" s="508">
        <f>IF(OR(12&gt;$B$3,ISBLANK(Actuals!N111)),"",Actuals!N111)</f>
        <v/>
      </c>
      <c r="AV95" s="509">
        <f>IF(OR(12&gt;$B$3,ISBLANK(Actuals!N111)),"",'Reforecast Q1 2026'!N111-Actuals!N111)</f>
        <v/>
      </c>
      <c r="AW95" s="509">
        <f>IFERROR(IF(OR(12&gt;$B$3,ISBLANK(Actuals!N111)),"",('Reforecast Q1 2026'!N111-Actuals!N111)/ABS('Reforecast Q1 2026'!N111)),"")</f>
        <v/>
      </c>
      <c r="AX95" s="510">
        <f>SUMPRODUCT((Actuals!C111:N111&lt;&gt;"")*('Reforecast Q1 2026'!C111:N111))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conditionalFormatting sqref="D6:D94">
    <cfRule type="cellIs" rank="0" priority="2" equalAverage="0" operator="greaterThan" aboveAverage="0" dxfId="1" text="" percent="0" bottom="0">
      <formula>0</formula>
    </cfRule>
    <cfRule type="cellIs" rank="0" priority="3" equalAverage="0" operator="lessThan" aboveAverage="0" dxfId="2" text="" percent="0" bottom="0">
      <formula>0</formula>
    </cfRule>
  </conditionalFormatting>
  <conditionalFormatting sqref="H6:H94">
    <cfRule type="cellIs" rank="0" priority="4" equalAverage="0" operator="greaterThan" aboveAverage="0" dxfId="1" text="" percent="0" bottom="0">
      <formula>0</formula>
    </cfRule>
    <cfRule type="cellIs" rank="0" priority="5" equalAverage="0" operator="lessThan" aboveAverage="0" dxfId="2" text="" percent="0" bottom="0">
      <formula>0</formula>
    </cfRule>
  </conditionalFormatting>
  <conditionalFormatting sqref="L6:L94">
    <cfRule type="cellIs" rank="0" priority="6" equalAverage="0" operator="greaterThan" aboveAverage="0" dxfId="1" text="" percent="0" bottom="0">
      <formula>0</formula>
    </cfRule>
    <cfRule type="cellIs" rank="0" priority="7" equalAverage="0" operator="lessThan" aboveAverage="0" dxfId="2" text="" percent="0" bottom="0">
      <formula>0</formula>
    </cfRule>
  </conditionalFormatting>
  <conditionalFormatting sqref="P6:P94">
    <cfRule type="cellIs" rank="0" priority="8" equalAverage="0" operator="greaterThan" aboveAverage="0" dxfId="1" text="" percent="0" bottom="0">
      <formula>0</formula>
    </cfRule>
    <cfRule type="cellIs" rank="0" priority="9" equalAverage="0" operator="lessThan" aboveAverage="0" dxfId="2" text="" percent="0" bottom="0">
      <formula>0</formula>
    </cfRule>
  </conditionalFormatting>
  <conditionalFormatting sqref="T6:T94">
    <cfRule type="cellIs" rank="0" priority="10" equalAverage="0" operator="greaterThan" aboveAverage="0" dxfId="1" text="" percent="0" bottom="0">
      <formula>0</formula>
    </cfRule>
    <cfRule type="cellIs" rank="0" priority="11" equalAverage="0" operator="lessThan" aboveAverage="0" dxfId="2" text="" percent="0" bottom="0">
      <formula>0</formula>
    </cfRule>
  </conditionalFormatting>
  <conditionalFormatting sqref="X6:X94">
    <cfRule type="cellIs" rank="0" priority="12" equalAverage="0" operator="greaterThan" aboveAverage="0" dxfId="1" text="" percent="0" bottom="0">
      <formula>0</formula>
    </cfRule>
    <cfRule type="cellIs" rank="0" priority="13" equalAverage="0" operator="lessThan" aboveAverage="0" dxfId="2" text="" percent="0" bottom="0">
      <formula>0</formula>
    </cfRule>
  </conditionalFormatting>
  <conditionalFormatting sqref="AB6:AB94">
    <cfRule type="cellIs" rank="0" priority="14" equalAverage="0" operator="greaterThan" aboveAverage="0" dxfId="1" text="" percent="0" bottom="0">
      <formula>0</formula>
    </cfRule>
    <cfRule type="cellIs" rank="0" priority="15" equalAverage="0" operator="lessThan" aboveAverage="0" dxfId="2" text="" percent="0" bottom="0">
      <formula>0</formula>
    </cfRule>
  </conditionalFormatting>
  <conditionalFormatting sqref="AF6:AF94">
    <cfRule type="cellIs" rank="0" priority="16" equalAverage="0" operator="greaterThan" aboveAverage="0" dxfId="1" text="" percent="0" bottom="0">
      <formula>0</formula>
    </cfRule>
    <cfRule type="cellIs" rank="0" priority="17" equalAverage="0" operator="lessThan" aboveAverage="0" dxfId="2" text="" percent="0" bottom="0">
      <formula>0</formula>
    </cfRule>
  </conditionalFormatting>
  <conditionalFormatting sqref="AJ6:AJ94">
    <cfRule type="cellIs" rank="0" priority="18" equalAverage="0" operator="greaterThan" aboveAverage="0" dxfId="1" text="" percent="0" bottom="0">
      <formula>0</formula>
    </cfRule>
    <cfRule type="cellIs" rank="0" priority="19" equalAverage="0" operator="lessThan" aboveAverage="0" dxfId="2" text="" percent="0" bottom="0">
      <formula>0</formula>
    </cfRule>
  </conditionalFormatting>
  <conditionalFormatting sqref="AN6:AN94">
    <cfRule type="cellIs" rank="0" priority="20" equalAverage="0" operator="greaterThan" aboveAverage="0" dxfId="1" text="" percent="0" bottom="0">
      <formula>0</formula>
    </cfRule>
    <cfRule type="cellIs" rank="0" priority="21" equalAverage="0" operator="lessThan" aboveAverage="0" dxfId="2" text="" percent="0" bottom="0">
      <formula>0</formula>
    </cfRule>
  </conditionalFormatting>
  <conditionalFormatting sqref="AR6:AR94">
    <cfRule type="cellIs" rank="0" priority="22" equalAverage="0" operator="greaterThan" aboveAverage="0" dxfId="1" text="" percent="0" bottom="0">
      <formula>0</formula>
    </cfRule>
    <cfRule type="cellIs" rank="0" priority="23" equalAverage="0" operator="lessThan" aboveAverage="0" dxfId="2" text="" percent="0" bottom="0">
      <formula>0</formula>
    </cfRule>
  </conditionalFormatting>
  <conditionalFormatting sqref="AV6:AV94">
    <cfRule type="cellIs" rank="0" priority="24" equalAverage="0" operator="greaterThan" aboveAverage="0" dxfId="1" text="" percent="0" bottom="0">
      <formula>0</formula>
    </cfRule>
    <cfRule type="cellIs" rank="0" priority="25" equalAverage="0" operator="lessThan" aboveAverage="0" dxfId="2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N12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48" customWidth="1" style="380" min="1" max="1"/>
    <col width="13" customWidth="1" style="380" min="3" max="14"/>
  </cols>
  <sheetData>
    <row r="1" ht="15" customFormat="1" customHeight="1" s="380">
      <c r="A1" s="473" t="inlineStr">
        <is>
          <t>BUDGET — approved November 2025</t>
        </is>
      </c>
    </row>
    <row r="2" ht="15" customFormat="1" customHeight="1" s="380">
      <c r="A2" s="452" t="inlineStr">
        <is>
          <t>Anchor for budget-vs-actual reporting. Mapped from the November 2025 consolidated projection model. Do not edit.</t>
        </is>
      </c>
      <c r="C2" s="499" t="n">
        <v>46023</v>
      </c>
      <c r="D2" s="499" t="n">
        <v>46054</v>
      </c>
      <c r="E2" s="499" t="n">
        <v>46082</v>
      </c>
      <c r="F2" s="499" t="n">
        <v>46113</v>
      </c>
      <c r="G2" s="499" t="n">
        <v>46143</v>
      </c>
      <c r="H2" s="499" t="n">
        <v>46174</v>
      </c>
      <c r="I2" s="499" t="n">
        <v>46204</v>
      </c>
      <c r="J2" s="499" t="n">
        <v>46235</v>
      </c>
      <c r="K2" s="499" t="n">
        <v>46266</v>
      </c>
      <c r="L2" s="499" t="n">
        <v>46296</v>
      </c>
      <c r="M2" s="499" t="n">
        <v>46327</v>
      </c>
      <c r="N2" s="499" t="n">
        <v>46357</v>
      </c>
    </row>
    <row r="3" ht="15" customFormat="1" customHeight="1" s="380">
      <c r="A3" s="380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</row>
    <row r="8" ht="15" customFormat="1" customHeight="1" s="380">
      <c r="A8" s="515" t="inlineStr">
        <is>
          <t>Other GC Income</t>
        </is>
      </c>
      <c r="C8" s="516" t="n">
        <v>189686.63</v>
      </c>
      <c r="D8" s="516" t="n">
        <v>189686.63</v>
      </c>
      <c r="E8" s="516" t="n">
        <v>189686.63</v>
      </c>
      <c r="F8" s="516" t="n">
        <v>189686.63</v>
      </c>
      <c r="G8" s="516" t="n">
        <v>293206.86</v>
      </c>
      <c r="H8" s="516" t="n">
        <v>293206.86</v>
      </c>
      <c r="I8" s="516" t="n">
        <v>293206.86</v>
      </c>
      <c r="J8" s="516" t="n">
        <v>293206.86</v>
      </c>
      <c r="K8" s="516" t="n">
        <v>293206.86</v>
      </c>
      <c r="L8" s="516" t="n">
        <v>293206.86</v>
      </c>
      <c r="M8" s="516" t="n">
        <v>293206.86</v>
      </c>
      <c r="N8" s="516" t="n">
        <v>260706.85</v>
      </c>
    </row>
    <row r="9" ht="15" customFormat="1" customHeight="1" s="380">
      <c r="A9" s="507" t="inlineStr">
        <is>
          <t>Project Supervision Revenue</t>
        </is>
      </c>
      <c r="C9" s="516" t="n">
        <v>0</v>
      </c>
      <c r="D9" s="516" t="n">
        <v>0</v>
      </c>
      <c r="E9" s="516" t="n">
        <v>0</v>
      </c>
      <c r="F9" s="516" t="n">
        <v>0</v>
      </c>
      <c r="G9" s="516" t="n">
        <v>0</v>
      </c>
      <c r="H9" s="516" t="n">
        <v>0</v>
      </c>
      <c r="I9" s="516" t="n">
        <v>0</v>
      </c>
      <c r="J9" s="516" t="n">
        <v>0</v>
      </c>
      <c r="K9" s="516" t="n">
        <v>0</v>
      </c>
      <c r="L9" s="516" t="n">
        <v>0</v>
      </c>
      <c r="M9" s="516" t="n">
        <v>0</v>
      </c>
      <c r="N9" s="516" t="n">
        <v>0</v>
      </c>
    </row>
    <row r="10" ht="15" customFormat="1" customHeight="1" s="380">
      <c r="A10" s="507" t="inlineStr">
        <is>
          <t>GC-CM Fee Revenue</t>
        </is>
      </c>
      <c r="C10" s="516" t="n">
        <v>134573.26</v>
      </c>
      <c r="D10" s="516" t="n">
        <v>149817.92</v>
      </c>
      <c r="E10" s="516" t="n">
        <v>164993.33</v>
      </c>
      <c r="F10" s="516" t="n">
        <v>179495.73</v>
      </c>
      <c r="G10" s="516" t="n">
        <v>230135.69</v>
      </c>
      <c r="H10" s="516" t="n">
        <v>246811.27</v>
      </c>
      <c r="I10" s="516" t="n">
        <v>261045.09</v>
      </c>
      <c r="J10" s="516" t="n">
        <v>272157.23</v>
      </c>
      <c r="K10" s="516" t="n">
        <v>279616.59</v>
      </c>
      <c r="L10" s="516" t="n">
        <v>283097.52</v>
      </c>
      <c r="M10" s="516" t="n">
        <v>282514.62</v>
      </c>
      <c r="N10" s="516" t="n">
        <v>266132.31</v>
      </c>
    </row>
    <row r="11" ht="15" customFormat="1" customHeight="1" s="380">
      <c r="A11" s="507" t="inlineStr">
        <is>
          <t>Project Administration Revenue</t>
        </is>
      </c>
      <c r="C11" s="516" t="n">
        <v>0</v>
      </c>
      <c r="D11" s="516" t="n">
        <v>0</v>
      </c>
      <c r="E11" s="516" t="n">
        <v>0</v>
      </c>
      <c r="F11" s="516" t="n">
        <v>0</v>
      </c>
      <c r="G11" s="516" t="n">
        <v>0</v>
      </c>
      <c r="H11" s="516" t="n">
        <v>0</v>
      </c>
      <c r="I11" s="516" t="n">
        <v>0</v>
      </c>
      <c r="J11" s="516" t="n">
        <v>0</v>
      </c>
      <c r="K11" s="516" t="n">
        <v>0</v>
      </c>
      <c r="L11" s="516" t="n">
        <v>0</v>
      </c>
      <c r="M11" s="516" t="n">
        <v>0</v>
      </c>
      <c r="N11" s="516" t="n">
        <v>0</v>
      </c>
    </row>
    <row r="12" ht="15" customFormat="1" customHeight="1" s="380">
      <c r="A12" s="515" t="inlineStr">
        <is>
          <t>Trades and Site Cost Billing</t>
        </is>
      </c>
      <c r="C12" s="516" t="n">
        <v>2653995.85</v>
      </c>
      <c r="D12" s="516" t="n">
        <v>2933528.7</v>
      </c>
      <c r="E12" s="516" t="n">
        <v>3209528.94</v>
      </c>
      <c r="F12" s="516" t="n">
        <v>3471205.82</v>
      </c>
      <c r="G12" s="516" t="n">
        <v>4411909.08</v>
      </c>
      <c r="H12" s="516" t="n">
        <v>4713320.79</v>
      </c>
      <c r="I12" s="516" t="n">
        <v>4969335.52</v>
      </c>
      <c r="J12" s="516" t="n">
        <v>5167809.94</v>
      </c>
      <c r="K12" s="516" t="n">
        <v>5299239.86</v>
      </c>
      <c r="L12" s="516" t="n">
        <v>5357779.86</v>
      </c>
      <c r="M12" s="516" t="n">
        <v>5341883.63</v>
      </c>
      <c r="N12" s="516" t="n">
        <v>4998563.51</v>
      </c>
    </row>
    <row r="13" ht="15" customFormat="1" customHeight="1" s="380">
      <c r="A13" s="493" t="inlineStr">
        <is>
          <t>Total Revenues</t>
        </is>
      </c>
      <c r="C13" s="516" t="n">
        <v>2978255.74</v>
      </c>
      <c r="D13" s="516" t="n">
        <v>3273033.25</v>
      </c>
      <c r="E13" s="516" t="n">
        <v>3564208.9</v>
      </c>
      <c r="F13" s="516" t="n">
        <v>3840388.18</v>
      </c>
      <c r="G13" s="516" t="n">
        <v>4935251.63</v>
      </c>
      <c r="H13" s="516" t="n">
        <v>5253338.92</v>
      </c>
      <c r="I13" s="516" t="n">
        <v>5523587.47</v>
      </c>
      <c r="J13" s="516" t="n">
        <v>5733174.03</v>
      </c>
      <c r="K13" s="516" t="n">
        <v>5872063.31</v>
      </c>
      <c r="L13" s="516" t="n">
        <v>5934084.24</v>
      </c>
      <c r="M13" s="516" t="n">
        <v>5917605.11</v>
      </c>
      <c r="N13" s="516" t="n">
        <v>5525402.67</v>
      </c>
    </row>
    <row r="14" ht="15" customFormat="1" customHeight="1" s="380">
      <c r="A14" s="495" t="inlineStr">
        <is>
          <t>COGS — Trades &amp; Site Costs</t>
        </is>
      </c>
      <c r="C14" s="516" t="n">
        <v>-2653995.85</v>
      </c>
      <c r="D14" s="516" t="n">
        <v>-2933528.7</v>
      </c>
      <c r="E14" s="516" t="n">
        <v>-3209528.94</v>
      </c>
      <c r="F14" s="516" t="n">
        <v>-3471205.82</v>
      </c>
      <c r="G14" s="516" t="n">
        <v>-4411909.08</v>
      </c>
      <c r="H14" s="516" t="n">
        <v>-4713320.79</v>
      </c>
      <c r="I14" s="516" t="n">
        <v>-4969335.52</v>
      </c>
      <c r="J14" s="516" t="n">
        <v>-5167809.94</v>
      </c>
      <c r="K14" s="516" t="n">
        <v>-5299239.86</v>
      </c>
      <c r="L14" s="516" t="n">
        <v>-5357779.86</v>
      </c>
      <c r="M14" s="516" t="n">
        <v>-5341883.63</v>
      </c>
      <c r="N14" s="516" t="n">
        <v>-4998563.51</v>
      </c>
    </row>
    <row r="15" ht="15" customFormat="1" customHeight="1" s="380">
      <c r="A15" s="507" t="inlineStr">
        <is>
          <t>Bonding Revenue</t>
        </is>
      </c>
      <c r="C15" s="516" t="n">
        <v>0</v>
      </c>
      <c r="D15" s="516" t="n">
        <v>0</v>
      </c>
      <c r="E15" s="516" t="n">
        <v>0</v>
      </c>
      <c r="F15" s="516" t="n">
        <v>0</v>
      </c>
      <c r="G15" s="516" t="n">
        <v>0</v>
      </c>
      <c r="H15" s="516" t="n">
        <v>0</v>
      </c>
      <c r="I15" s="516" t="n">
        <v>0</v>
      </c>
      <c r="J15" s="516" t="n">
        <v>0</v>
      </c>
      <c r="K15" s="516" t="n">
        <v>0</v>
      </c>
      <c r="L15" s="516" t="n">
        <v>0</v>
      </c>
      <c r="M15" s="516" t="n">
        <v>0</v>
      </c>
      <c r="N15" s="516" t="n">
        <v>0</v>
      </c>
    </row>
    <row r="16" ht="15" customFormat="1" customHeight="1" s="380">
      <c r="A16" s="507" t="inlineStr">
        <is>
          <t>Bonding Costs</t>
        </is>
      </c>
      <c r="C16" s="516" t="n">
        <v>0</v>
      </c>
      <c r="D16" s="516" t="n">
        <v>0</v>
      </c>
      <c r="E16" s="516" t="n">
        <v>0</v>
      </c>
      <c r="F16" s="516" t="n">
        <v>0</v>
      </c>
      <c r="G16" s="516" t="n">
        <v>0</v>
      </c>
      <c r="H16" s="516" t="n">
        <v>0</v>
      </c>
      <c r="I16" s="516" t="n">
        <v>0</v>
      </c>
      <c r="J16" s="516" t="n">
        <v>0</v>
      </c>
      <c r="K16" s="516" t="n">
        <v>0</v>
      </c>
      <c r="L16" s="516" t="n">
        <v>0</v>
      </c>
      <c r="M16" s="516" t="n">
        <v>0</v>
      </c>
      <c r="N16" s="516" t="n">
        <v>0</v>
      </c>
    </row>
    <row r="17" ht="15" customFormat="1" customHeight="1" s="380">
      <c r="A17" s="493" t="inlineStr">
        <is>
          <t>Gross Profit</t>
        </is>
      </c>
      <c r="C17" s="516" t="n">
        <v>324259.89</v>
      </c>
      <c r="D17" s="516" t="n">
        <v>339504.55</v>
      </c>
      <c r="E17" s="516" t="n">
        <v>354679.96</v>
      </c>
      <c r="F17" s="516" t="n">
        <v>369182.36</v>
      </c>
      <c r="G17" s="516" t="n">
        <v>523342.55</v>
      </c>
      <c r="H17" s="516" t="n">
        <v>540018.13</v>
      </c>
      <c r="I17" s="516" t="n">
        <v>554251.95</v>
      </c>
      <c r="J17" s="516" t="n">
        <v>565364.09</v>
      </c>
      <c r="K17" s="516" t="n">
        <v>572823.45</v>
      </c>
      <c r="L17" s="516" t="n">
        <v>576304.38</v>
      </c>
      <c r="M17" s="516" t="n">
        <v>575721.48</v>
      </c>
      <c r="N17" s="516" t="n">
        <v>526839.16</v>
      </c>
    </row>
    <row r="18" ht="15" customFormat="1" customHeight="1" s="380">
      <c r="A18" s="515" t="inlineStr">
        <is>
          <t>GC Gross Profit Margin %</t>
        </is>
      </c>
      <c r="C18" s="517" t="n">
        <v>0.11</v>
      </c>
      <c r="D18" s="517" t="n">
        <v>0.1</v>
      </c>
      <c r="E18" s="517" t="n">
        <v>0.1</v>
      </c>
      <c r="F18" s="517" t="n">
        <v>0.1</v>
      </c>
      <c r="G18" s="517" t="n">
        <v>0.11</v>
      </c>
      <c r="H18" s="517" t="n">
        <v>0.1</v>
      </c>
      <c r="I18" s="517" t="n">
        <v>0.1</v>
      </c>
      <c r="J18" s="517" t="n">
        <v>0.1</v>
      </c>
      <c r="K18" s="517" t="n">
        <v>0.1</v>
      </c>
      <c r="L18" s="517" t="n">
        <v>0.1</v>
      </c>
      <c r="M18" s="517" t="n">
        <v>0.1</v>
      </c>
      <c r="N18" s="517" t="n">
        <v>0.1</v>
      </c>
    </row>
    <row r="21" ht="15" customFormat="1" customHeight="1" s="380">
      <c r="A21" s="507" t="inlineStr">
        <is>
          <t>5000-1000 Payroll</t>
        </is>
      </c>
      <c r="C21" s="516" t="n">
        <v>-176250.01</v>
      </c>
      <c r="D21" s="516" t="n">
        <v>-176250.01</v>
      </c>
      <c r="E21" s="516" t="n">
        <v>-176250.01</v>
      </c>
      <c r="F21" s="516" t="n">
        <v>-176250.01</v>
      </c>
      <c r="G21" s="516" t="n">
        <v>-176250.01</v>
      </c>
      <c r="H21" s="516" t="n">
        <v>-176250.01</v>
      </c>
      <c r="I21" s="516" t="n">
        <v>-176250.01</v>
      </c>
      <c r="J21" s="516" t="n">
        <v>-176250.01</v>
      </c>
      <c r="K21" s="516" t="n">
        <v>-176250.01</v>
      </c>
      <c r="L21" s="516" t="n">
        <v>-176250.01</v>
      </c>
      <c r="M21" s="516" t="n">
        <v>-176250.01</v>
      </c>
      <c r="N21" s="516" t="n">
        <v>-176250.01</v>
      </c>
    </row>
    <row r="22" ht="15" customFormat="1" customHeight="1" s="380">
      <c r="A22" s="507" t="inlineStr">
        <is>
          <t>5000-1001 Payroll Taxes</t>
        </is>
      </c>
      <c r="C22" s="516" t="n">
        <v>-26437.5</v>
      </c>
      <c r="D22" s="516" t="n">
        <v>-26437.5</v>
      </c>
      <c r="E22" s="516" t="n">
        <v>-26437.5</v>
      </c>
      <c r="F22" s="516" t="n">
        <v>-26437.5</v>
      </c>
      <c r="G22" s="516" t="n">
        <v>-26437.5</v>
      </c>
      <c r="H22" s="516" t="n">
        <v>-26437.5</v>
      </c>
      <c r="I22" s="516" t="n">
        <v>-26437.5</v>
      </c>
      <c r="J22" s="516" t="n">
        <v>-26437.5</v>
      </c>
      <c r="K22" s="516" t="n">
        <v>-26437.5</v>
      </c>
      <c r="L22" s="516" t="n">
        <v>-26437.5</v>
      </c>
      <c r="M22" s="516" t="n">
        <v>-26437.5</v>
      </c>
      <c r="N22" s="516" t="n">
        <v>-26437.5</v>
      </c>
    </row>
    <row r="23" ht="15" customFormat="1" customHeight="1" s="380">
      <c r="A23" s="507" t="inlineStr">
        <is>
          <t>SP Allocated to LV</t>
        </is>
      </c>
      <c r="C23" s="516" t="n">
        <v>-58683.33</v>
      </c>
      <c r="D23" s="516" t="n">
        <v>-58683.33</v>
      </c>
      <c r="E23" s="516" t="n">
        <v>-58683.33</v>
      </c>
      <c r="F23" s="516" t="n">
        <v>-58683.33</v>
      </c>
      <c r="G23" s="516" t="n">
        <v>-58683.33</v>
      </c>
      <c r="H23" s="516" t="n">
        <v>-58683.33</v>
      </c>
      <c r="I23" s="516" t="n">
        <v>-58683.33</v>
      </c>
      <c r="J23" s="516" t="n">
        <v>-58683.33</v>
      </c>
      <c r="K23" s="516" t="n">
        <v>-58683.33</v>
      </c>
      <c r="L23" s="516" t="n">
        <v>-58683.33</v>
      </c>
      <c r="M23" s="516" t="n">
        <v>-58683.33</v>
      </c>
      <c r="N23" s="516" t="n">
        <v>-58683.33</v>
      </c>
    </row>
    <row r="24" ht="15" customFormat="1" customHeight="1" s="380">
      <c r="A24" s="507" t="inlineStr">
        <is>
          <t>5000-1002 Employee Benefits</t>
        </is>
      </c>
      <c r="C24" s="516" t="n">
        <v>-25071.7</v>
      </c>
      <c r="D24" s="516" t="n">
        <v>-25071.7</v>
      </c>
      <c r="E24" s="516" t="n">
        <v>-25071.7</v>
      </c>
      <c r="F24" s="516" t="n">
        <v>-25071.7</v>
      </c>
      <c r="G24" s="516" t="n">
        <v>-25071.7</v>
      </c>
      <c r="H24" s="516" t="n">
        <v>-25071.7</v>
      </c>
      <c r="I24" s="516" t="n">
        <v>-25071.7</v>
      </c>
      <c r="J24" s="516" t="n">
        <v>-25071.7</v>
      </c>
      <c r="K24" s="516" t="n">
        <v>-25071.7</v>
      </c>
      <c r="L24" s="516" t="n">
        <v>-25071.7</v>
      </c>
      <c r="M24" s="516" t="n">
        <v>-25071.7</v>
      </c>
      <c r="N24" s="516" t="n">
        <v>-25071.7</v>
      </c>
    </row>
    <row r="25" ht="15" customFormat="1" customHeight="1" s="380">
      <c r="A25" s="507" t="inlineStr">
        <is>
          <t>5000-1003 Workers Comp</t>
        </is>
      </c>
      <c r="C25" s="516" t="n">
        <v>-1731.41</v>
      </c>
      <c r="D25" s="516" t="n">
        <v>-1731.41</v>
      </c>
      <c r="E25" s="516" t="n">
        <v>-1731.41</v>
      </c>
      <c r="F25" s="516" t="n">
        <v>-1731.41</v>
      </c>
      <c r="G25" s="516" t="n">
        <v>-1731.41</v>
      </c>
      <c r="H25" s="516" t="n">
        <v>-1731.41</v>
      </c>
      <c r="I25" s="516" t="n">
        <v>-1731.41</v>
      </c>
      <c r="J25" s="516" t="n">
        <v>-1731.41</v>
      </c>
      <c r="K25" s="516" t="n">
        <v>-1731.41</v>
      </c>
      <c r="L25" s="516" t="n">
        <v>-1731.41</v>
      </c>
      <c r="M25" s="516" t="n">
        <v>-1731.41</v>
      </c>
      <c r="N25" s="516" t="n">
        <v>-1731.41</v>
      </c>
    </row>
    <row r="26" ht="15" customFormat="1" customHeight="1" s="380">
      <c r="A26" s="507" t="inlineStr">
        <is>
          <t>5000-1005 Payroll Servicing Fees</t>
        </is>
      </c>
      <c r="C26" s="516" t="n">
        <v>-1008</v>
      </c>
      <c r="D26" s="516" t="n">
        <v>-1008</v>
      </c>
      <c r="E26" s="516" t="n">
        <v>-1008</v>
      </c>
      <c r="F26" s="516" t="n">
        <v>-1008</v>
      </c>
      <c r="G26" s="516" t="n">
        <v>-1008</v>
      </c>
      <c r="H26" s="516" t="n">
        <v>-1008</v>
      </c>
      <c r="I26" s="516" t="n">
        <v>-1008</v>
      </c>
      <c r="J26" s="516" t="n">
        <v>-1008</v>
      </c>
      <c r="K26" s="516" t="n">
        <v>-1008</v>
      </c>
      <c r="L26" s="516" t="n">
        <v>-1008</v>
      </c>
      <c r="M26" s="516" t="n">
        <v>-1008</v>
      </c>
      <c r="N26" s="516" t="n">
        <v>-1008</v>
      </c>
    </row>
    <row r="27" ht="15" customFormat="1" customHeight="1" s="380">
      <c r="A27" s="507" t="inlineStr">
        <is>
          <t>5000-1007 Payroll - Consultants</t>
        </is>
      </c>
      <c r="C27" s="516" t="n">
        <v>0</v>
      </c>
      <c r="D27" s="516" t="n">
        <v>0</v>
      </c>
      <c r="E27" s="516" t="n">
        <v>0</v>
      </c>
      <c r="F27" s="516" t="n">
        <v>0</v>
      </c>
      <c r="G27" s="516" t="n">
        <v>0</v>
      </c>
      <c r="H27" s="516" t="n">
        <v>0</v>
      </c>
      <c r="I27" s="516" t="n">
        <v>0</v>
      </c>
      <c r="J27" s="516" t="n">
        <v>0</v>
      </c>
      <c r="K27" s="516" t="n">
        <v>0</v>
      </c>
      <c r="L27" s="516" t="n">
        <v>0</v>
      </c>
      <c r="M27" s="516" t="n">
        <v>0</v>
      </c>
      <c r="N27" s="516" t="n">
        <v>0</v>
      </c>
    </row>
    <row r="28" ht="15" customFormat="1" customHeight="1" s="380">
      <c r="A28" s="507" t="inlineStr">
        <is>
          <t>5000-1018 Payroll - Self Performed Trades</t>
        </is>
      </c>
      <c r="C28" s="516" t="n">
        <v>0</v>
      </c>
      <c r="D28" s="516" t="n">
        <v>0</v>
      </c>
      <c r="E28" s="516" t="n">
        <v>0</v>
      </c>
      <c r="F28" s="516" t="n">
        <v>0</v>
      </c>
      <c r="G28" s="516" t="n">
        <v>0</v>
      </c>
      <c r="H28" s="516" t="n">
        <v>0</v>
      </c>
      <c r="I28" s="516" t="n">
        <v>0</v>
      </c>
      <c r="J28" s="516" t="n">
        <v>0</v>
      </c>
      <c r="K28" s="516" t="n">
        <v>0</v>
      </c>
      <c r="L28" s="516" t="n">
        <v>0</v>
      </c>
      <c r="M28" s="516" t="n">
        <v>0</v>
      </c>
      <c r="N28" s="516" t="n">
        <v>0</v>
      </c>
    </row>
    <row r="29" ht="15" customFormat="1" customHeight="1" s="380">
      <c r="A29" s="507" t="inlineStr">
        <is>
          <t>5100-1000 Rent Expense</t>
        </is>
      </c>
      <c r="C29" s="516" t="n">
        <v>-10000</v>
      </c>
      <c r="D29" s="516" t="n">
        <v>-10000</v>
      </c>
      <c r="E29" s="516" t="n">
        <v>-10000</v>
      </c>
      <c r="F29" s="516" t="n">
        <v>-10000</v>
      </c>
      <c r="G29" s="516" t="n">
        <v>-10000</v>
      </c>
      <c r="H29" s="516" t="n">
        <v>-10000</v>
      </c>
      <c r="I29" s="516" t="n">
        <v>-10200</v>
      </c>
      <c r="J29" s="516" t="n">
        <v>-10200</v>
      </c>
      <c r="K29" s="516" t="n">
        <v>-10200</v>
      </c>
      <c r="L29" s="516" t="n">
        <v>-10200</v>
      </c>
      <c r="M29" s="516" t="n">
        <v>-10200</v>
      </c>
      <c r="N29" s="516" t="n">
        <v>-10200</v>
      </c>
    </row>
    <row r="30" ht="15" customFormat="1" customHeight="1" s="380">
      <c r="A30" s="507" t="inlineStr">
        <is>
          <t>5200-1000 Office Supplies and Expenses</t>
        </is>
      </c>
      <c r="C30" s="516" t="n">
        <v>-2800</v>
      </c>
      <c r="D30" s="516" t="n">
        <v>-2800</v>
      </c>
      <c r="E30" s="516" t="n">
        <v>-2800</v>
      </c>
      <c r="F30" s="516" t="n">
        <v>-2800</v>
      </c>
      <c r="G30" s="516" t="n">
        <v>-2800</v>
      </c>
      <c r="H30" s="516" t="n">
        <v>-2800</v>
      </c>
      <c r="I30" s="516" t="n">
        <v>-2856</v>
      </c>
      <c r="J30" s="516" t="n">
        <v>-2856</v>
      </c>
      <c r="K30" s="516" t="n">
        <v>-2856</v>
      </c>
      <c r="L30" s="516" t="n">
        <v>-2856</v>
      </c>
      <c r="M30" s="516" t="n">
        <v>-2856</v>
      </c>
      <c r="N30" s="516" t="n">
        <v>-2856</v>
      </c>
    </row>
    <row r="31" ht="15" customFormat="1" customHeight="1" s="380">
      <c r="A31" s="507" t="inlineStr">
        <is>
          <t>5200-1002 Printing and Reproduction</t>
        </is>
      </c>
      <c r="C31" s="516" t="n">
        <v>0</v>
      </c>
      <c r="D31" s="516" t="n">
        <v>0</v>
      </c>
      <c r="E31" s="516" t="n">
        <v>0</v>
      </c>
      <c r="F31" s="516" t="n">
        <v>0</v>
      </c>
      <c r="G31" s="516" t="n">
        <v>0</v>
      </c>
      <c r="H31" s="516" t="n">
        <v>0</v>
      </c>
      <c r="I31" s="516" t="n">
        <v>0</v>
      </c>
      <c r="J31" s="516" t="n">
        <v>0</v>
      </c>
      <c r="K31" s="516" t="n">
        <v>0</v>
      </c>
      <c r="L31" s="516" t="n">
        <v>0</v>
      </c>
      <c r="M31" s="516" t="n">
        <v>0</v>
      </c>
      <c r="N31" s="516" t="n">
        <v>0</v>
      </c>
    </row>
    <row r="32" ht="15" customFormat="1" customHeight="1" s="380">
      <c r="A32" s="515" t="inlineStr">
        <is>
          <t>5200-1050 Computer and IT Expenses</t>
        </is>
      </c>
      <c r="C32" s="516" t="n">
        <v>-3300</v>
      </c>
      <c r="D32" s="516" t="n">
        <v>-3300</v>
      </c>
      <c r="E32" s="516" t="n">
        <v>-3300</v>
      </c>
      <c r="F32" s="516" t="n">
        <v>-3300</v>
      </c>
      <c r="G32" s="516" t="n">
        <v>-3300</v>
      </c>
      <c r="H32" s="516" t="n">
        <v>-3300</v>
      </c>
      <c r="I32" s="516" t="n">
        <v>-3366</v>
      </c>
      <c r="J32" s="516" t="n">
        <v>-3366</v>
      </c>
      <c r="K32" s="516" t="n">
        <v>-3366</v>
      </c>
      <c r="L32" s="516" t="n">
        <v>-3366</v>
      </c>
      <c r="M32" s="516" t="n">
        <v>-3366</v>
      </c>
      <c r="N32" s="516" t="n">
        <v>-3366</v>
      </c>
    </row>
    <row r="33" ht="15" customFormat="1" customHeight="1" s="380">
      <c r="A33" s="507" t="inlineStr">
        <is>
          <t>5200-1053 IT Software and Subscriptions</t>
        </is>
      </c>
      <c r="C33" s="516" t="n">
        <v>0</v>
      </c>
      <c r="D33" s="516" t="n">
        <v>0</v>
      </c>
      <c r="E33" s="516" t="n">
        <v>0</v>
      </c>
      <c r="F33" s="516" t="n">
        <v>0</v>
      </c>
      <c r="G33" s="516" t="n">
        <v>0</v>
      </c>
      <c r="H33" s="516" t="n">
        <v>0</v>
      </c>
      <c r="I33" s="516" t="n">
        <v>0</v>
      </c>
      <c r="J33" s="516" t="n">
        <v>0</v>
      </c>
      <c r="K33" s="516" t="n">
        <v>0</v>
      </c>
      <c r="L33" s="516" t="n">
        <v>0</v>
      </c>
      <c r="M33" s="516" t="n">
        <v>0</v>
      </c>
      <c r="N33" s="516" t="n">
        <v>0</v>
      </c>
    </row>
    <row r="34" ht="15" customFormat="1" customHeight="1" s="380">
      <c r="A34" s="507" t="inlineStr">
        <is>
          <t>5200-1054 Telephone Expenses</t>
        </is>
      </c>
      <c r="C34" s="516" t="n">
        <v>-300</v>
      </c>
      <c r="D34" s="516" t="n">
        <v>-300</v>
      </c>
      <c r="E34" s="516" t="n">
        <v>-300</v>
      </c>
      <c r="F34" s="516" t="n">
        <v>-300</v>
      </c>
      <c r="G34" s="516" t="n">
        <v>-300</v>
      </c>
      <c r="H34" s="516" t="n">
        <v>-300</v>
      </c>
      <c r="I34" s="516" t="n">
        <v>-306</v>
      </c>
      <c r="J34" s="516" t="n">
        <v>-306</v>
      </c>
      <c r="K34" s="516" t="n">
        <v>-306</v>
      </c>
      <c r="L34" s="516" t="n">
        <v>-306</v>
      </c>
      <c r="M34" s="516" t="n">
        <v>-306</v>
      </c>
      <c r="N34" s="516" t="n">
        <v>-306</v>
      </c>
    </row>
    <row r="35" ht="15" customFormat="1" customHeight="1" s="380">
      <c r="A35" s="507" t="inlineStr">
        <is>
          <t>5300-1050 Meals and Entertainment</t>
        </is>
      </c>
      <c r="C35" s="516" t="n">
        <v>-1500</v>
      </c>
      <c r="D35" s="516" t="n">
        <v>-1500</v>
      </c>
      <c r="E35" s="516" t="n">
        <v>-1500</v>
      </c>
      <c r="F35" s="516" t="n">
        <v>-1500</v>
      </c>
      <c r="G35" s="516" t="n">
        <v>-1500</v>
      </c>
      <c r="H35" s="516" t="n">
        <v>-1500</v>
      </c>
      <c r="I35" s="516" t="n">
        <v>-1530</v>
      </c>
      <c r="J35" s="516" t="n">
        <v>-1530</v>
      </c>
      <c r="K35" s="516" t="n">
        <v>-1530</v>
      </c>
      <c r="L35" s="516" t="n">
        <v>-1530</v>
      </c>
      <c r="M35" s="516" t="n">
        <v>-1530</v>
      </c>
      <c r="N35" s="516" t="n">
        <v>-1530</v>
      </c>
    </row>
    <row r="36" ht="15" customFormat="1" customHeight="1" s="380">
      <c r="A36" s="507" t="inlineStr">
        <is>
          <t>5500-1000 Legal and Professional Fees</t>
        </is>
      </c>
      <c r="C36" s="516" t="n">
        <v>-1000</v>
      </c>
      <c r="D36" s="516" t="n">
        <v>-1000</v>
      </c>
      <c r="E36" s="516" t="n">
        <v>-1000</v>
      </c>
      <c r="F36" s="516" t="n">
        <v>-1000</v>
      </c>
      <c r="G36" s="516" t="n">
        <v>-1000</v>
      </c>
      <c r="H36" s="516" t="n">
        <v>-1000</v>
      </c>
      <c r="I36" s="516" t="n">
        <v>-1020</v>
      </c>
      <c r="J36" s="516" t="n">
        <v>-1020</v>
      </c>
      <c r="K36" s="516" t="n">
        <v>-1020</v>
      </c>
      <c r="L36" s="516" t="n">
        <v>-1020</v>
      </c>
      <c r="M36" s="516" t="n">
        <v>-1020</v>
      </c>
      <c r="N36" s="516" t="n">
        <v>-1020</v>
      </c>
    </row>
    <row r="37" ht="15" customFormat="1" customHeight="1" s="380">
      <c r="A37" s="507" t="inlineStr">
        <is>
          <t>5500-1002 Accounting Consulting and Overhead</t>
        </is>
      </c>
      <c r="C37" s="516" t="n">
        <v>-1000</v>
      </c>
      <c r="D37" s="516" t="n">
        <v>-1000</v>
      </c>
      <c r="E37" s="516" t="n">
        <v>-1000</v>
      </c>
      <c r="F37" s="516" t="n">
        <v>-1000</v>
      </c>
      <c r="G37" s="516" t="n">
        <v>-1000</v>
      </c>
      <c r="H37" s="516" t="n">
        <v>-1000</v>
      </c>
      <c r="I37" s="516" t="n">
        <v>-1020</v>
      </c>
      <c r="J37" s="516" t="n">
        <v>-1020</v>
      </c>
      <c r="K37" s="516" t="n">
        <v>-1020</v>
      </c>
      <c r="L37" s="516" t="n">
        <v>-1020</v>
      </c>
      <c r="M37" s="516" t="n">
        <v>-1020</v>
      </c>
      <c r="N37" s="516" t="n">
        <v>-1020</v>
      </c>
    </row>
    <row r="38" ht="15" customFormat="1" customHeight="1" s="380">
      <c r="A38" s="507" t="inlineStr">
        <is>
          <t>5500-1004 Consultants and Other Professional Expenses</t>
        </is>
      </c>
      <c r="C38" s="516" t="n">
        <v>0</v>
      </c>
      <c r="D38" s="516" t="n">
        <v>0</v>
      </c>
      <c r="E38" s="516" t="n">
        <v>0</v>
      </c>
      <c r="F38" s="516" t="n">
        <v>0</v>
      </c>
      <c r="G38" s="516" t="n">
        <v>0</v>
      </c>
      <c r="H38" s="516" t="n">
        <v>0</v>
      </c>
      <c r="I38" s="516" t="n">
        <v>0</v>
      </c>
      <c r="J38" s="516" t="n">
        <v>0</v>
      </c>
      <c r="K38" s="516" t="n">
        <v>0</v>
      </c>
      <c r="L38" s="516" t="n">
        <v>0</v>
      </c>
      <c r="M38" s="516" t="n">
        <v>0</v>
      </c>
      <c r="N38" s="516" t="n">
        <v>0</v>
      </c>
    </row>
    <row r="39" ht="15" customFormat="1" customHeight="1" s="380">
      <c r="A39" s="507" t="inlineStr">
        <is>
          <t>5500-1050 General Insurance</t>
        </is>
      </c>
      <c r="C39" s="516" t="n">
        <v>-1666.67</v>
      </c>
      <c r="D39" s="516" t="n">
        <v>-1666.67</v>
      </c>
      <c r="E39" s="516" t="n">
        <v>-1666.67</v>
      </c>
      <c r="F39" s="516" t="n">
        <v>-1666.67</v>
      </c>
      <c r="G39" s="516" t="n">
        <v>-1666.67</v>
      </c>
      <c r="H39" s="516" t="n">
        <v>-1666.67</v>
      </c>
      <c r="I39" s="516" t="n">
        <v>-1700</v>
      </c>
      <c r="J39" s="516" t="n">
        <v>-1700</v>
      </c>
      <c r="K39" s="516" t="n">
        <v>-1700</v>
      </c>
      <c r="L39" s="516" t="n">
        <v>-1700</v>
      </c>
      <c r="M39" s="516" t="n">
        <v>-1700</v>
      </c>
      <c r="N39" s="516" t="n">
        <v>-1700</v>
      </c>
    </row>
    <row r="40" ht="15" customFormat="1" customHeight="1" s="380">
      <c r="A40" s="507" t="inlineStr">
        <is>
          <t>5700-1003 Other Utilities</t>
        </is>
      </c>
      <c r="C40" s="516" t="n">
        <v>-1000</v>
      </c>
      <c r="D40" s="516" t="n">
        <v>-1000</v>
      </c>
      <c r="E40" s="516" t="n">
        <v>-1000</v>
      </c>
      <c r="F40" s="516" t="n">
        <v>-1000</v>
      </c>
      <c r="G40" s="516" t="n">
        <v>-1000</v>
      </c>
      <c r="H40" s="516" t="n">
        <v>-1000</v>
      </c>
      <c r="I40" s="516" t="n">
        <v>-1020</v>
      </c>
      <c r="J40" s="516" t="n">
        <v>-1020</v>
      </c>
      <c r="K40" s="516" t="n">
        <v>-1020</v>
      </c>
      <c r="L40" s="516" t="n">
        <v>-1020</v>
      </c>
      <c r="M40" s="516" t="n">
        <v>-1020</v>
      </c>
      <c r="N40" s="516" t="n">
        <v>-1020</v>
      </c>
    </row>
    <row r="41" ht="15" customFormat="1" customHeight="1" s="380">
      <c r="A41" s="507" t="inlineStr">
        <is>
          <t>5800-1003 Consulting Fee</t>
        </is>
      </c>
      <c r="C41" s="516" t="n">
        <v>0</v>
      </c>
      <c r="D41" s="516" t="n">
        <v>0</v>
      </c>
      <c r="E41" s="516" t="n">
        <v>0</v>
      </c>
      <c r="F41" s="516" t="n">
        <v>0</v>
      </c>
      <c r="G41" s="516" t="n">
        <v>0</v>
      </c>
      <c r="H41" s="516" t="n">
        <v>0</v>
      </c>
      <c r="I41" s="516" t="n">
        <v>0</v>
      </c>
      <c r="J41" s="516" t="n">
        <v>0</v>
      </c>
      <c r="K41" s="516" t="n">
        <v>0</v>
      </c>
      <c r="L41" s="516" t="n">
        <v>0</v>
      </c>
      <c r="M41" s="516" t="n">
        <v>0</v>
      </c>
      <c r="N41" s="516" t="n">
        <v>0</v>
      </c>
    </row>
    <row r="42" ht="15" customFormat="1" customHeight="1" s="380">
      <c r="A42" s="507" t="inlineStr">
        <is>
          <t>5900-1000 Security Monitoring</t>
        </is>
      </c>
      <c r="C42" s="516" t="n">
        <v>0</v>
      </c>
      <c r="D42" s="516" t="n">
        <v>0</v>
      </c>
      <c r="E42" s="516" t="n">
        <v>0</v>
      </c>
      <c r="F42" s="516" t="n">
        <v>0</v>
      </c>
      <c r="G42" s="516" t="n">
        <v>0</v>
      </c>
      <c r="H42" s="516" t="n">
        <v>0</v>
      </c>
      <c r="I42" s="516" t="n">
        <v>0</v>
      </c>
      <c r="J42" s="516" t="n">
        <v>0</v>
      </c>
      <c r="K42" s="516" t="n">
        <v>0</v>
      </c>
      <c r="L42" s="516" t="n">
        <v>0</v>
      </c>
      <c r="M42" s="516" t="n">
        <v>0</v>
      </c>
      <c r="N42" s="516" t="n">
        <v>0</v>
      </c>
    </row>
    <row r="43" ht="15" customFormat="1" customHeight="1" s="380">
      <c r="A43" s="507" t="inlineStr">
        <is>
          <t>5900-1002 Repairs and Maintenance</t>
        </is>
      </c>
      <c r="C43" s="516" t="n">
        <v>0</v>
      </c>
      <c r="D43" s="516" t="n">
        <v>0</v>
      </c>
      <c r="E43" s="516" t="n">
        <v>0</v>
      </c>
      <c r="F43" s="516" t="n">
        <v>0</v>
      </c>
      <c r="G43" s="516" t="n">
        <v>0</v>
      </c>
      <c r="H43" s="516" t="n">
        <v>0</v>
      </c>
      <c r="I43" s="516" t="n">
        <v>0</v>
      </c>
      <c r="J43" s="516" t="n">
        <v>0</v>
      </c>
      <c r="K43" s="516" t="n">
        <v>0</v>
      </c>
      <c r="L43" s="516" t="n">
        <v>0</v>
      </c>
      <c r="M43" s="516" t="n">
        <v>0</v>
      </c>
      <c r="N43" s="516" t="n">
        <v>0</v>
      </c>
    </row>
    <row r="44" ht="15" customFormat="1" customHeight="1" s="380">
      <c r="A44" s="507" t="inlineStr">
        <is>
          <t>5900-1003 Janitorial and Cleaning Expenses</t>
        </is>
      </c>
      <c r="C44" s="516" t="n">
        <v>0</v>
      </c>
      <c r="D44" s="516" t="n">
        <v>0</v>
      </c>
      <c r="E44" s="516" t="n">
        <v>0</v>
      </c>
      <c r="F44" s="516" t="n">
        <v>0</v>
      </c>
      <c r="G44" s="516" t="n">
        <v>0</v>
      </c>
      <c r="H44" s="516" t="n">
        <v>0</v>
      </c>
      <c r="I44" s="516" t="n">
        <v>0</v>
      </c>
      <c r="J44" s="516" t="n">
        <v>0</v>
      </c>
      <c r="K44" s="516" t="n">
        <v>0</v>
      </c>
      <c r="L44" s="516" t="n">
        <v>0</v>
      </c>
      <c r="M44" s="516" t="n">
        <v>0</v>
      </c>
      <c r="N44" s="516" t="n">
        <v>0</v>
      </c>
    </row>
    <row r="45" ht="15" customFormat="1" customHeight="1" s="380">
      <c r="A45" s="515" t="inlineStr">
        <is>
          <t>5900-1005 Supplies and Other Job Site Overhead</t>
        </is>
      </c>
      <c r="C45" s="516" t="n">
        <v>-4166.67</v>
      </c>
      <c r="D45" s="516" t="n">
        <v>-4166.67</v>
      </c>
      <c r="E45" s="516" t="n">
        <v>-4166.67</v>
      </c>
      <c r="F45" s="516" t="n">
        <v>-4166.67</v>
      </c>
      <c r="G45" s="516" t="n">
        <v>-4166.67</v>
      </c>
      <c r="H45" s="516" t="n">
        <v>-4166.67</v>
      </c>
      <c r="I45" s="516" t="n">
        <v>-4250</v>
      </c>
      <c r="J45" s="516" t="n">
        <v>-4250</v>
      </c>
      <c r="K45" s="516" t="n">
        <v>-4250</v>
      </c>
      <c r="L45" s="516" t="n">
        <v>-4250</v>
      </c>
      <c r="M45" s="516" t="n">
        <v>-4250</v>
      </c>
      <c r="N45" s="516" t="n">
        <v>-4250</v>
      </c>
    </row>
    <row r="46" ht="15" customFormat="1" customHeight="1" s="380">
      <c r="A46" s="515" t="inlineStr">
        <is>
          <t>5900-1006 Auto and Truck Expense</t>
        </is>
      </c>
      <c r="C46" s="516" t="n">
        <v>-1000</v>
      </c>
      <c r="D46" s="516" t="n">
        <v>-1000</v>
      </c>
      <c r="E46" s="516" t="n">
        <v>-1000</v>
      </c>
      <c r="F46" s="516" t="n">
        <v>-1000</v>
      </c>
      <c r="G46" s="516" t="n">
        <v>-1000</v>
      </c>
      <c r="H46" s="516" t="n">
        <v>-1000</v>
      </c>
      <c r="I46" s="516" t="n">
        <v>-1020</v>
      </c>
      <c r="J46" s="516" t="n">
        <v>-1020</v>
      </c>
      <c r="K46" s="516" t="n">
        <v>-1020</v>
      </c>
      <c r="L46" s="516" t="n">
        <v>-1020</v>
      </c>
      <c r="M46" s="516" t="n">
        <v>-1020</v>
      </c>
      <c r="N46" s="516" t="n">
        <v>-1020</v>
      </c>
    </row>
    <row r="47" ht="15" customFormat="1" customHeight="1" s="380">
      <c r="A47" s="515" t="inlineStr">
        <is>
          <t>5900-1007 Landscaping</t>
        </is>
      </c>
      <c r="C47" s="516" t="n">
        <v>0</v>
      </c>
      <c r="D47" s="516" t="n">
        <v>0</v>
      </c>
      <c r="E47" s="516" t="n">
        <v>0</v>
      </c>
      <c r="F47" s="516" t="n">
        <v>0</v>
      </c>
      <c r="G47" s="516" t="n">
        <v>0</v>
      </c>
      <c r="H47" s="516" t="n">
        <v>0</v>
      </c>
      <c r="I47" s="516" t="n">
        <v>0</v>
      </c>
      <c r="J47" s="516" t="n">
        <v>0</v>
      </c>
      <c r="K47" s="516" t="n">
        <v>0</v>
      </c>
      <c r="L47" s="516" t="n">
        <v>0</v>
      </c>
      <c r="M47" s="516" t="n">
        <v>0</v>
      </c>
      <c r="N47" s="516" t="n">
        <v>0</v>
      </c>
    </row>
    <row r="48" ht="15" customFormat="1" customHeight="1" s="380">
      <c r="A48" s="515" t="inlineStr">
        <is>
          <t>5900-1040 Warranty and Other Job Adjustments</t>
        </is>
      </c>
      <c r="C48" s="516" t="n">
        <v>-4166.67</v>
      </c>
      <c r="D48" s="516" t="n">
        <v>-4166.67</v>
      </c>
      <c r="E48" s="516" t="n">
        <v>-4166.67</v>
      </c>
      <c r="F48" s="516" t="n">
        <v>-4166.67</v>
      </c>
      <c r="G48" s="516" t="n">
        <v>-4166.67</v>
      </c>
      <c r="H48" s="516" t="n">
        <v>-4166.67</v>
      </c>
      <c r="I48" s="516" t="n">
        <v>-4250</v>
      </c>
      <c r="J48" s="516" t="n">
        <v>-4250</v>
      </c>
      <c r="K48" s="516" t="n">
        <v>-4250</v>
      </c>
      <c r="L48" s="516" t="n">
        <v>-4250</v>
      </c>
      <c r="M48" s="516" t="n">
        <v>-4250</v>
      </c>
      <c r="N48" s="516" t="n">
        <v>-4250</v>
      </c>
    </row>
    <row r="49" ht="15" customFormat="1" customHeight="1" s="380">
      <c r="A49" s="515" t="inlineStr">
        <is>
          <t>5900-1075 Miscellaneous Expense</t>
        </is>
      </c>
      <c r="C49" s="516" t="n">
        <v>0</v>
      </c>
      <c r="D49" s="516" t="n">
        <v>0</v>
      </c>
      <c r="E49" s="516" t="n">
        <v>0</v>
      </c>
      <c r="F49" s="516" t="n">
        <v>0</v>
      </c>
      <c r="G49" s="516" t="n">
        <v>0</v>
      </c>
      <c r="H49" s="516" t="n">
        <v>0</v>
      </c>
      <c r="I49" s="516" t="n">
        <v>0</v>
      </c>
      <c r="J49" s="516" t="n">
        <v>0</v>
      </c>
      <c r="K49" s="516" t="n">
        <v>0</v>
      </c>
      <c r="L49" s="516" t="n">
        <v>0</v>
      </c>
      <c r="M49" s="516" t="n">
        <v>0</v>
      </c>
      <c r="N49" s="516" t="n">
        <v>0</v>
      </c>
    </row>
    <row r="50" ht="15" customFormat="1" customHeight="1" s="380">
      <c r="A50" s="515" t="inlineStr">
        <is>
          <t>5900-1080 Bank Service Charges</t>
        </is>
      </c>
      <c r="C50" s="516" t="n">
        <v>-166.67</v>
      </c>
      <c r="D50" s="516" t="n">
        <v>-166.67</v>
      </c>
      <c r="E50" s="516" t="n">
        <v>-166.67</v>
      </c>
      <c r="F50" s="516" t="n">
        <v>-166.67</v>
      </c>
      <c r="G50" s="516" t="n">
        <v>-166.67</v>
      </c>
      <c r="H50" s="516" t="n">
        <v>-166.67</v>
      </c>
      <c r="I50" s="516" t="n">
        <v>-170</v>
      </c>
      <c r="J50" s="516" t="n">
        <v>-170</v>
      </c>
      <c r="K50" s="516" t="n">
        <v>-170</v>
      </c>
      <c r="L50" s="516" t="n">
        <v>-170</v>
      </c>
      <c r="M50" s="516" t="n">
        <v>-170</v>
      </c>
      <c r="N50" s="516" t="n">
        <v>-170</v>
      </c>
    </row>
    <row r="51" ht="15" customFormat="1" customHeight="1" s="380">
      <c r="A51" s="515" t="inlineStr">
        <is>
          <t>5900-3000 Charitable Contribution</t>
        </is>
      </c>
      <c r="C51" s="516" t="n">
        <v>0</v>
      </c>
      <c r="D51" s="516" t="n">
        <v>0</v>
      </c>
      <c r="E51" s="516" t="n">
        <v>0</v>
      </c>
      <c r="F51" s="516" t="n">
        <v>0</v>
      </c>
      <c r="G51" s="516" t="n">
        <v>0</v>
      </c>
      <c r="H51" s="516" t="n">
        <v>0</v>
      </c>
      <c r="I51" s="516" t="n">
        <v>0</v>
      </c>
      <c r="J51" s="516" t="n">
        <v>0</v>
      </c>
      <c r="K51" s="516" t="n">
        <v>0</v>
      </c>
      <c r="L51" s="516" t="n">
        <v>0</v>
      </c>
      <c r="M51" s="516" t="n">
        <v>0</v>
      </c>
      <c r="N51" s="516" t="n">
        <v>0</v>
      </c>
    </row>
    <row r="52" ht="15" customFormat="1" customHeight="1" s="380">
      <c r="A52" s="495" t="inlineStr">
        <is>
          <t>BD Commission</t>
        </is>
      </c>
      <c r="C52" s="516" t="n">
        <v>0</v>
      </c>
      <c r="D52" s="516" t="n">
        <v>0</v>
      </c>
      <c r="E52" s="516" t="n">
        <v>0</v>
      </c>
      <c r="F52" s="516" t="n">
        <v>0</v>
      </c>
      <c r="G52" s="516" t="n">
        <v>0</v>
      </c>
      <c r="H52" s="516" t="n">
        <v>0</v>
      </c>
      <c r="I52" s="516" t="n">
        <v>0</v>
      </c>
      <c r="J52" s="516" t="n">
        <v>0</v>
      </c>
      <c r="K52" s="516" t="n">
        <v>0</v>
      </c>
      <c r="L52" s="516" t="n">
        <v>0</v>
      </c>
      <c r="M52" s="516" t="n">
        <v>0</v>
      </c>
      <c r="N52" s="516" t="n">
        <v>0</v>
      </c>
    </row>
    <row r="53" ht="15" customFormat="1" customHeight="1" s="380">
      <c r="A53" s="518" t="inlineStr">
        <is>
          <t>8200-2000 State Tax and Fees</t>
        </is>
      </c>
      <c r="C53" s="516" t="n">
        <v>-416.67</v>
      </c>
      <c r="D53" s="516" t="n">
        <v>-416.67</v>
      </c>
      <c r="E53" s="516" t="n">
        <v>-416.67</v>
      </c>
      <c r="F53" s="516" t="n">
        <v>-416.67</v>
      </c>
      <c r="G53" s="516" t="n">
        <v>-416.67</v>
      </c>
      <c r="H53" s="516" t="n">
        <v>-416.67</v>
      </c>
      <c r="I53" s="516" t="n">
        <v>-425</v>
      </c>
      <c r="J53" s="516" t="n">
        <v>-425</v>
      </c>
      <c r="K53" s="516" t="n">
        <v>-425</v>
      </c>
      <c r="L53" s="516" t="n">
        <v>-425</v>
      </c>
      <c r="M53" s="516" t="n">
        <v>-425</v>
      </c>
      <c r="N53" s="516" t="n">
        <v>-425</v>
      </c>
    </row>
    <row r="54" ht="15" customFormat="1" customHeight="1" s="380">
      <c r="A54" s="518" t="inlineStr">
        <is>
          <t>GC Placeholder — Future Cost C</t>
        </is>
      </c>
      <c r="C54" s="516" t="n">
        <v>0</v>
      </c>
      <c r="D54" s="516" t="n">
        <v>0</v>
      </c>
      <c r="E54" s="516" t="n">
        <v>0</v>
      </c>
      <c r="F54" s="516" t="n">
        <v>0</v>
      </c>
      <c r="G54" s="516" t="n">
        <v>0</v>
      </c>
      <c r="H54" s="516" t="n">
        <v>0</v>
      </c>
      <c r="I54" s="516" t="n">
        <v>0</v>
      </c>
      <c r="J54" s="516" t="n">
        <v>0</v>
      </c>
      <c r="K54" s="516" t="n">
        <v>0</v>
      </c>
      <c r="L54" s="516" t="n">
        <v>0</v>
      </c>
      <c r="M54" s="516" t="n">
        <v>0</v>
      </c>
      <c r="N54" s="516" t="n">
        <v>0</v>
      </c>
    </row>
    <row r="55" ht="15" customFormat="1" customHeight="1" s="380">
      <c r="A55" s="493" t="inlineStr">
        <is>
          <t>Total GC Costs</t>
        </is>
      </c>
      <c r="C55" s="516" t="n">
        <v>-321665.3</v>
      </c>
      <c r="D55" s="516" t="n">
        <v>-321665.3</v>
      </c>
      <c r="E55" s="516" t="n">
        <v>-321665.3</v>
      </c>
      <c r="F55" s="516" t="n">
        <v>-321665.3</v>
      </c>
      <c r="G55" s="516" t="n">
        <v>-321665.3</v>
      </c>
      <c r="H55" s="516" t="n">
        <v>-321665.3</v>
      </c>
      <c r="I55" s="516" t="n">
        <v>-322314.95</v>
      </c>
      <c r="J55" s="516" t="n">
        <v>-322314.95</v>
      </c>
      <c r="K55" s="516" t="n">
        <v>-322314.95</v>
      </c>
      <c r="L55" s="516" t="n">
        <v>-322314.95</v>
      </c>
      <c r="M55" s="516" t="n">
        <v>-322314.95</v>
      </c>
      <c r="N55" s="516" t="n">
        <v>-322314.95</v>
      </c>
    </row>
    <row r="57" ht="15" customFormat="1" customHeight="1" s="380">
      <c r="A57" s="495" t="inlineStr">
        <is>
          <t>GC Net Income</t>
        </is>
      </c>
      <c r="C57" s="516" t="n">
        <v>2594.59</v>
      </c>
      <c r="D57" s="516" t="n">
        <v>17839.25</v>
      </c>
      <c r="E57" s="516" t="n">
        <v>33014.66</v>
      </c>
      <c r="F57" s="516" t="n">
        <v>47517.06</v>
      </c>
      <c r="G57" s="516" t="n">
        <v>201677.25</v>
      </c>
      <c r="H57" s="516" t="n">
        <v>218352.83</v>
      </c>
      <c r="I57" s="516" t="n">
        <v>231937</v>
      </c>
      <c r="J57" s="516" t="n">
        <v>243049.14</v>
      </c>
      <c r="K57" s="516" t="n">
        <v>250508.5</v>
      </c>
      <c r="L57" s="516" t="n">
        <v>253989.43</v>
      </c>
      <c r="M57" s="516" t="n">
        <v>253406.53</v>
      </c>
      <c r="N57" s="516" t="n">
        <v>204524.21</v>
      </c>
    </row>
    <row r="58" ht="15" customFormat="1" customHeight="1" s="380">
      <c r="A58" s="515" t="inlineStr">
        <is>
          <t>GC Net Profit Margin %</t>
        </is>
      </c>
      <c r="C58" s="517" t="n">
        <v>0</v>
      </c>
      <c r="D58" s="517" t="n">
        <v>0.01</v>
      </c>
      <c r="E58" s="517" t="n">
        <v>0.01</v>
      </c>
      <c r="F58" s="517" t="n">
        <v>0.01</v>
      </c>
      <c r="G58" s="517" t="n">
        <v>0.04</v>
      </c>
      <c r="H58" s="517" t="n">
        <v>0.04</v>
      </c>
      <c r="I58" s="517" t="n">
        <v>0.04</v>
      </c>
      <c r="J58" s="517" t="n">
        <v>0.04</v>
      </c>
      <c r="K58" s="517" t="n">
        <v>0.04</v>
      </c>
      <c r="L58" s="517" t="n">
        <v>0.04</v>
      </c>
      <c r="M58" s="517" t="n">
        <v>0.04</v>
      </c>
      <c r="N58" s="517" t="n">
        <v>0.04</v>
      </c>
    </row>
    <row r="63" ht="15" customFormat="1" customHeight="1" s="380">
      <c r="A63" s="507" t="inlineStr">
        <is>
          <t>Non-Cash Revenue Items</t>
        </is>
      </c>
      <c r="C63" s="516" t="n">
        <v>0</v>
      </c>
      <c r="D63" s="516" t="n">
        <v>0</v>
      </c>
      <c r="E63" s="516" t="n">
        <v>0</v>
      </c>
      <c r="F63" s="516" t="n">
        <v>0</v>
      </c>
      <c r="G63" s="516" t="n">
        <v>0</v>
      </c>
      <c r="H63" s="516" t="n">
        <v>0</v>
      </c>
      <c r="I63" s="516" t="n">
        <v>0</v>
      </c>
      <c r="J63" s="516" t="n">
        <v>0</v>
      </c>
      <c r="K63" s="516" t="n">
        <v>0</v>
      </c>
      <c r="L63" s="516" t="n">
        <v>0</v>
      </c>
      <c r="M63" s="516" t="n">
        <v>0</v>
      </c>
      <c r="N63" s="516" t="n">
        <v>0</v>
      </c>
    </row>
    <row r="64" ht="15" customFormat="1" customHeight="1" s="380">
      <c r="A64" s="507" t="inlineStr">
        <is>
          <t>Edgemont Management Fee</t>
        </is>
      </c>
      <c r="C64" s="516" t="n">
        <v>833.33</v>
      </c>
      <c r="D64" s="516" t="n">
        <v>833.33</v>
      </c>
      <c r="E64" s="516" t="n">
        <v>833.33</v>
      </c>
      <c r="F64" s="516" t="n">
        <v>833.33</v>
      </c>
      <c r="G64" s="516" t="n">
        <v>833.33</v>
      </c>
      <c r="H64" s="516" t="n">
        <v>833.33</v>
      </c>
      <c r="I64" s="516" t="n">
        <v>833.33</v>
      </c>
      <c r="J64" s="516" t="n">
        <v>833.33</v>
      </c>
      <c r="K64" s="516" t="n">
        <v>833.33</v>
      </c>
      <c r="L64" s="516" t="n">
        <v>833.33</v>
      </c>
      <c r="M64" s="516" t="n">
        <v>833.33</v>
      </c>
      <c r="N64" s="516" t="n">
        <v>833.33</v>
      </c>
    </row>
    <row r="65" ht="15" customFormat="1" customHeight="1" s="380">
      <c r="A65" s="507" t="inlineStr">
        <is>
          <t>Ramsgate Dev Fee - Construction</t>
        </is>
      </c>
      <c r="C65" s="516" t="n">
        <v>36538.46</v>
      </c>
      <c r="D65" s="516" t="n">
        <v>36538.46</v>
      </c>
      <c r="E65" s="516" t="n">
        <v>36538.46</v>
      </c>
      <c r="F65" s="516" t="n">
        <v>36538.46</v>
      </c>
      <c r="G65" s="516" t="n">
        <v>36538.46</v>
      </c>
      <c r="H65" s="516" t="n">
        <v>36538.46</v>
      </c>
      <c r="I65" s="516" t="n">
        <v>36538.46</v>
      </c>
      <c r="J65" s="516" t="n">
        <v>36538.46</v>
      </c>
      <c r="K65" s="516" t="n">
        <v>36538.46</v>
      </c>
      <c r="L65" s="516" t="n">
        <v>36538.46</v>
      </c>
      <c r="M65" s="516" t="n">
        <v>36538.46</v>
      </c>
      <c r="N65" s="516" t="n">
        <v>36538.46</v>
      </c>
    </row>
    <row r="66" ht="15" customFormat="1" customHeight="1" s="380">
      <c r="A66" s="507" t="inlineStr">
        <is>
          <t>Ramsgate Dev Fee - 20% Occ</t>
        </is>
      </c>
      <c r="C66" s="516" t="n">
        <v>0</v>
      </c>
      <c r="D66" s="516" t="n">
        <v>0</v>
      </c>
      <c r="E66" s="516" t="n">
        <v>0</v>
      </c>
      <c r="F66" s="516" t="n">
        <v>0</v>
      </c>
      <c r="G66" s="516" t="n">
        <v>0</v>
      </c>
      <c r="H66" s="516" t="n">
        <v>0</v>
      </c>
      <c r="I66" s="516" t="n">
        <v>0</v>
      </c>
      <c r="J66" s="516" t="n">
        <v>0</v>
      </c>
      <c r="K66" s="516" t="n">
        <v>0</v>
      </c>
      <c r="L66" s="516" t="n">
        <v>0</v>
      </c>
      <c r="M66" s="516" t="n">
        <v>0</v>
      </c>
      <c r="N66" s="516" t="n">
        <v>0</v>
      </c>
    </row>
    <row r="67" ht="15" customFormat="1" customHeight="1" s="380">
      <c r="A67" s="507" t="inlineStr">
        <is>
          <t>Ramsgate Dev Fee - 50% Occ</t>
        </is>
      </c>
      <c r="C67" s="516" t="n">
        <v>0</v>
      </c>
      <c r="D67" s="516" t="n">
        <v>0</v>
      </c>
      <c r="E67" s="516" t="n">
        <v>0</v>
      </c>
      <c r="F67" s="516" t="n">
        <v>0</v>
      </c>
      <c r="G67" s="516" t="n">
        <v>0</v>
      </c>
      <c r="H67" s="516" t="n">
        <v>0</v>
      </c>
      <c r="I67" s="516" t="n">
        <v>0</v>
      </c>
      <c r="J67" s="516" t="n">
        <v>0</v>
      </c>
      <c r="K67" s="516" t="n">
        <v>0</v>
      </c>
      <c r="L67" s="516" t="n">
        <v>0</v>
      </c>
      <c r="M67" s="516" t="n">
        <v>0</v>
      </c>
      <c r="N67" s="516" t="n">
        <v>0</v>
      </c>
    </row>
    <row r="68" ht="15" customFormat="1" customHeight="1" s="380">
      <c r="A68" s="507" t="inlineStr">
        <is>
          <t>Ramsgate Dev Fee - 90% Occ</t>
        </is>
      </c>
      <c r="C68" s="516" t="n">
        <v>0</v>
      </c>
      <c r="D68" s="516" t="n">
        <v>0</v>
      </c>
      <c r="E68" s="516" t="n">
        <v>0</v>
      </c>
      <c r="F68" s="516" t="n">
        <v>0</v>
      </c>
      <c r="G68" s="516" t="n">
        <v>0</v>
      </c>
      <c r="H68" s="516" t="n">
        <v>0</v>
      </c>
      <c r="I68" s="516" t="n">
        <v>0</v>
      </c>
      <c r="J68" s="516" t="n">
        <v>0</v>
      </c>
      <c r="K68" s="516" t="n">
        <v>0</v>
      </c>
      <c r="L68" s="516" t="n">
        <v>0</v>
      </c>
      <c r="M68" s="516" t="n">
        <v>0</v>
      </c>
      <c r="N68" s="516" t="n">
        <v>0</v>
      </c>
    </row>
    <row r="69" ht="15" customFormat="1" customHeight="1" s="380">
      <c r="A69" s="507" t="inlineStr">
        <is>
          <t>Crenshaw Development Fee</t>
        </is>
      </c>
      <c r="C69" s="516" t="n">
        <v>10227.27</v>
      </c>
      <c r="D69" s="516" t="n">
        <v>10227.27</v>
      </c>
      <c r="E69" s="516" t="n">
        <v>10227.27</v>
      </c>
      <c r="F69" s="516" t="n">
        <v>10227.27</v>
      </c>
      <c r="G69" s="516" t="n">
        <v>10227.27</v>
      </c>
      <c r="H69" s="516" t="n">
        <v>10227.27</v>
      </c>
      <c r="I69" s="516" t="n">
        <v>10227.27</v>
      </c>
      <c r="J69" s="516" t="n">
        <v>10227.27</v>
      </c>
      <c r="K69" s="516" t="n">
        <v>10227.27</v>
      </c>
      <c r="L69" s="516" t="n">
        <v>0</v>
      </c>
      <c r="M69" s="516" t="n">
        <v>0</v>
      </c>
      <c r="N69" s="516" t="n">
        <v>0</v>
      </c>
    </row>
    <row r="70" ht="15" customFormat="1" customHeight="1" s="380">
      <c r="A70" s="507" t="inlineStr">
        <is>
          <t>12th &amp; Fir Developer Fee</t>
        </is>
      </c>
      <c r="C70" s="516" t="n">
        <v>0</v>
      </c>
      <c r="D70" s="516" t="n">
        <v>0</v>
      </c>
      <c r="E70" s="516" t="n">
        <v>0</v>
      </c>
      <c r="F70" s="516" t="n">
        <v>11875</v>
      </c>
      <c r="G70" s="516" t="n">
        <v>11875</v>
      </c>
      <c r="H70" s="516" t="n">
        <v>11875</v>
      </c>
      <c r="I70" s="516" t="n">
        <v>11875</v>
      </c>
      <c r="J70" s="516" t="n">
        <v>11875</v>
      </c>
      <c r="K70" s="516" t="n">
        <v>11875</v>
      </c>
      <c r="L70" s="516" t="n">
        <v>11875</v>
      </c>
      <c r="M70" s="516" t="n">
        <v>11875</v>
      </c>
      <c r="N70" s="516" t="n">
        <v>11875</v>
      </c>
    </row>
    <row r="71" ht="15" customFormat="1" customHeight="1" s="380">
      <c r="A71" s="507" t="inlineStr">
        <is>
          <t>Klump Accounting Fee</t>
        </is>
      </c>
      <c r="C71" s="516" t="n">
        <v>0</v>
      </c>
      <c r="D71" s="516" t="n">
        <v>0</v>
      </c>
      <c r="E71" s="516" t="n">
        <v>0</v>
      </c>
      <c r="F71" s="516" t="n">
        <v>0</v>
      </c>
      <c r="G71" s="516" t="n">
        <v>0</v>
      </c>
      <c r="H71" s="516" t="n">
        <v>0</v>
      </c>
      <c r="I71" s="516" t="n">
        <v>0</v>
      </c>
      <c r="J71" s="516" t="n">
        <v>0</v>
      </c>
      <c r="K71" s="516" t="n">
        <v>0</v>
      </c>
      <c r="L71" s="516" t="n">
        <v>0</v>
      </c>
      <c r="M71" s="516" t="n">
        <v>0</v>
      </c>
      <c r="N71" s="516" t="n">
        <v>0</v>
      </c>
    </row>
    <row r="72" ht="15" customFormat="1" customHeight="1" s="380">
      <c r="A72" s="507" t="inlineStr">
        <is>
          <t>Klump Developer Fee</t>
        </is>
      </c>
      <c r="C72" s="516" t="n">
        <v>0</v>
      </c>
      <c r="D72" s="516" t="n">
        <v>0</v>
      </c>
      <c r="E72" s="516" t="n">
        <v>0</v>
      </c>
      <c r="F72" s="516" t="n">
        <v>0</v>
      </c>
      <c r="G72" s="516" t="n">
        <v>0</v>
      </c>
      <c r="H72" s="516" t="n">
        <v>0</v>
      </c>
      <c r="I72" s="516" t="n">
        <v>0</v>
      </c>
      <c r="J72" s="516" t="n">
        <v>0</v>
      </c>
      <c r="K72" s="516" t="n">
        <v>0</v>
      </c>
      <c r="L72" s="516" t="n">
        <v>0</v>
      </c>
      <c r="M72" s="516" t="n">
        <v>0</v>
      </c>
      <c r="N72" s="516" t="n">
        <v>0</v>
      </c>
    </row>
    <row r="73" ht="15" customFormat="1" customHeight="1" s="380">
      <c r="A73" s="507" t="inlineStr">
        <is>
          <t>Klump Guarantee Fee</t>
        </is>
      </c>
      <c r="C73" s="516" t="n">
        <v>0</v>
      </c>
      <c r="D73" s="516" t="n">
        <v>0</v>
      </c>
      <c r="E73" s="516" t="n">
        <v>0</v>
      </c>
      <c r="F73" s="516" t="n">
        <v>0</v>
      </c>
      <c r="G73" s="516" t="n">
        <v>0</v>
      </c>
      <c r="H73" s="516" t="n">
        <v>0</v>
      </c>
      <c r="I73" s="516" t="n">
        <v>0</v>
      </c>
      <c r="J73" s="516" t="n">
        <v>0</v>
      </c>
      <c r="K73" s="516" t="n">
        <v>0</v>
      </c>
      <c r="L73" s="516" t="n">
        <v>0</v>
      </c>
      <c r="M73" s="516" t="n">
        <v>0</v>
      </c>
      <c r="N73" s="516" t="n">
        <v>0</v>
      </c>
    </row>
    <row r="74" ht="15" customFormat="1" customHeight="1" s="380">
      <c r="A74" s="507" t="inlineStr">
        <is>
          <t>Scott Accounting Fee</t>
        </is>
      </c>
      <c r="C74" s="516" t="n">
        <v>0</v>
      </c>
      <c r="D74" s="516" t="n">
        <v>0</v>
      </c>
      <c r="E74" s="516" t="n">
        <v>0</v>
      </c>
      <c r="F74" s="516" t="n">
        <v>0</v>
      </c>
      <c r="G74" s="516" t="n">
        <v>0</v>
      </c>
      <c r="H74" s="516" t="n">
        <v>0</v>
      </c>
      <c r="I74" s="516" t="n">
        <v>0</v>
      </c>
      <c r="J74" s="516" t="n">
        <v>0</v>
      </c>
      <c r="K74" s="516" t="n">
        <v>0</v>
      </c>
      <c r="L74" s="516" t="n">
        <v>0</v>
      </c>
      <c r="M74" s="516" t="n">
        <v>0</v>
      </c>
      <c r="N74" s="516" t="n">
        <v>0</v>
      </c>
    </row>
    <row r="75" ht="15" customFormat="1" customHeight="1" s="380">
      <c r="A75" s="507" t="inlineStr">
        <is>
          <t>Scott Developer Fee</t>
        </is>
      </c>
      <c r="C75" s="516" t="n">
        <v>0</v>
      </c>
      <c r="D75" s="516" t="n">
        <v>0</v>
      </c>
      <c r="E75" s="516" t="n">
        <v>0</v>
      </c>
      <c r="F75" s="516" t="n">
        <v>0</v>
      </c>
      <c r="G75" s="516" t="n">
        <v>0</v>
      </c>
      <c r="H75" s="516" t="n">
        <v>0</v>
      </c>
      <c r="I75" s="516" t="n">
        <v>0</v>
      </c>
      <c r="J75" s="516" t="n">
        <v>0</v>
      </c>
      <c r="K75" s="516" t="n">
        <v>0</v>
      </c>
      <c r="L75" s="516" t="n">
        <v>0</v>
      </c>
      <c r="M75" s="516" t="n">
        <v>0</v>
      </c>
      <c r="N75" s="516" t="n">
        <v>0</v>
      </c>
    </row>
    <row r="76" ht="15" customFormat="1" customHeight="1" s="380">
      <c r="A76" s="507" t="inlineStr">
        <is>
          <t>Scott Guarantee Fee</t>
        </is>
      </c>
      <c r="C76" s="516" t="n">
        <v>0</v>
      </c>
      <c r="D76" s="516" t="n">
        <v>0</v>
      </c>
      <c r="E76" s="516" t="n">
        <v>0</v>
      </c>
      <c r="F76" s="516" t="n">
        <v>0</v>
      </c>
      <c r="G76" s="516" t="n">
        <v>0</v>
      </c>
      <c r="H76" s="516" t="n">
        <v>0</v>
      </c>
      <c r="I76" s="516" t="n">
        <v>0</v>
      </c>
      <c r="J76" s="516" t="n">
        <v>0</v>
      </c>
      <c r="K76" s="516" t="n">
        <v>0</v>
      </c>
      <c r="L76" s="516" t="n">
        <v>0</v>
      </c>
      <c r="M76" s="516" t="n">
        <v>0</v>
      </c>
      <c r="N76" s="516" t="n">
        <v>0</v>
      </c>
    </row>
    <row r="77" ht="15" customFormat="1" customHeight="1" s="380">
      <c r="A77" s="507" t="inlineStr">
        <is>
          <t>Francis LIHTC Revenue (SP Share)</t>
        </is>
      </c>
      <c r="C77" s="516" t="n">
        <v>0</v>
      </c>
      <c r="D77" s="516" t="n">
        <v>0</v>
      </c>
      <c r="E77" s="516" t="n">
        <v>0</v>
      </c>
      <c r="F77" s="516" t="n">
        <v>0</v>
      </c>
      <c r="G77" s="516" t="n">
        <v>0</v>
      </c>
      <c r="H77" s="516" t="n">
        <v>0</v>
      </c>
      <c r="I77" s="516" t="n">
        <v>0</v>
      </c>
      <c r="J77" s="516" t="n">
        <v>0</v>
      </c>
      <c r="K77" s="516" t="n">
        <v>0</v>
      </c>
      <c r="L77" s="516" t="n">
        <v>0</v>
      </c>
      <c r="M77" s="516" t="n">
        <v>0</v>
      </c>
      <c r="N77" s="516" t="n">
        <v>0</v>
      </c>
    </row>
    <row r="78" ht="15" customFormat="1" customHeight="1" s="380">
      <c r="A78" s="507" t="inlineStr">
        <is>
          <t>Reseda LIHTC Revenue (SP Share)</t>
        </is>
      </c>
      <c r="C78" s="516" t="n">
        <v>0</v>
      </c>
      <c r="D78" s="516" t="n">
        <v>0</v>
      </c>
      <c r="E78" s="516" t="n">
        <v>0</v>
      </c>
      <c r="F78" s="516" t="n">
        <v>0</v>
      </c>
      <c r="G78" s="516" t="n">
        <v>0</v>
      </c>
      <c r="H78" s="516" t="n">
        <v>0</v>
      </c>
      <c r="I78" s="516" t="n">
        <v>0</v>
      </c>
      <c r="J78" s="516" t="n">
        <v>0</v>
      </c>
      <c r="K78" s="516" t="n">
        <v>0</v>
      </c>
      <c r="L78" s="516" t="n">
        <v>0</v>
      </c>
      <c r="M78" s="516" t="n">
        <v>0</v>
      </c>
      <c r="N78" s="516" t="n">
        <v>0</v>
      </c>
    </row>
    <row r="79" ht="15" customFormat="1" customHeight="1" s="380">
      <c r="A79" s="507" t="inlineStr">
        <is>
          <t>3rd St LIHTC Revenue (SP Share)</t>
        </is>
      </c>
      <c r="C79" s="516" t="n">
        <v>0</v>
      </c>
      <c r="D79" s="516" t="n">
        <v>0</v>
      </c>
      <c r="E79" s="516" t="n">
        <v>0</v>
      </c>
      <c r="F79" s="516" t="n">
        <v>0</v>
      </c>
      <c r="G79" s="516" t="n">
        <v>0</v>
      </c>
      <c r="H79" s="516" t="n">
        <v>0</v>
      </c>
      <c r="I79" s="516" t="n">
        <v>0</v>
      </c>
      <c r="J79" s="516" t="n">
        <v>0</v>
      </c>
      <c r="K79" s="516" t="n">
        <v>0</v>
      </c>
      <c r="L79" s="516" t="n">
        <v>0</v>
      </c>
      <c r="M79" s="516" t="n">
        <v>0</v>
      </c>
      <c r="N79" s="516" t="n">
        <v>0</v>
      </c>
    </row>
    <row r="80" ht="15" customFormat="1" customHeight="1" s="380">
      <c r="A80" s="507" t="inlineStr">
        <is>
          <t>Uplifters Total to SP</t>
        </is>
      </c>
      <c r="C80" s="516" t="n">
        <v>0</v>
      </c>
      <c r="D80" s="516" t="n">
        <v>0</v>
      </c>
      <c r="E80" s="516" t="n">
        <v>0</v>
      </c>
      <c r="F80" s="516" t="n">
        <v>0</v>
      </c>
      <c r="G80" s="516" t="n">
        <v>0</v>
      </c>
      <c r="H80" s="516" t="n">
        <v>0</v>
      </c>
      <c r="I80" s="516" t="n">
        <v>0</v>
      </c>
      <c r="J80" s="516" t="n">
        <v>0</v>
      </c>
      <c r="K80" s="516" t="n">
        <v>0</v>
      </c>
      <c r="L80" s="516" t="n">
        <v>0</v>
      </c>
      <c r="M80" s="516" t="n">
        <v>0</v>
      </c>
      <c r="N80" s="516" t="n">
        <v>0</v>
      </c>
    </row>
    <row r="81" ht="15" customFormat="1" customHeight="1" s="380">
      <c r="A81" s="493" t="inlineStr">
        <is>
          <t>Total Six Peak Revenue</t>
        </is>
      </c>
      <c r="C81" s="516" t="n">
        <v>47599.06</v>
      </c>
      <c r="D81" s="516" t="n">
        <v>47599.06</v>
      </c>
      <c r="E81" s="516" t="n">
        <v>47599.06</v>
      </c>
      <c r="F81" s="516" t="n">
        <v>59474.06</v>
      </c>
      <c r="G81" s="516" t="n">
        <v>59474.06</v>
      </c>
      <c r="H81" s="516" t="n">
        <v>59474.06</v>
      </c>
      <c r="I81" s="516" t="n">
        <v>59474.06</v>
      </c>
      <c r="J81" s="516" t="n">
        <v>59474.06</v>
      </c>
      <c r="K81" s="516" t="n">
        <v>59474.06</v>
      </c>
      <c r="L81" s="516" t="n">
        <v>49246.79</v>
      </c>
      <c r="M81" s="516" t="n">
        <v>49246.79</v>
      </c>
      <c r="N81" s="516" t="n">
        <v>49246.79</v>
      </c>
    </row>
    <row r="83" ht="15" customFormat="1" customHeight="1" s="380">
      <c r="A83" s="507" t="inlineStr">
        <is>
          <t>5000-1000 Payroll</t>
        </is>
      </c>
      <c r="C83" s="516" t="n">
        <v>-90233.32000000001</v>
      </c>
      <c r="D83" s="516" t="n">
        <v>-90233.32000000001</v>
      </c>
      <c r="E83" s="516" t="n">
        <v>-90233.32000000001</v>
      </c>
      <c r="F83" s="516" t="n">
        <v>-90233.32000000001</v>
      </c>
      <c r="G83" s="516" t="n">
        <v>-90233.32000000001</v>
      </c>
      <c r="H83" s="516" t="n">
        <v>-90233.32000000001</v>
      </c>
      <c r="I83" s="516" t="n">
        <v>-89059.64999999999</v>
      </c>
      <c r="J83" s="516" t="n">
        <v>-89059.64999999999</v>
      </c>
      <c r="K83" s="516" t="n">
        <v>-89059.64999999999</v>
      </c>
      <c r="L83" s="516" t="n">
        <v>-89059.64999999999</v>
      </c>
      <c r="M83" s="516" t="n">
        <v>-89059.64999999999</v>
      </c>
      <c r="N83" s="516" t="n">
        <v>-89059.64999999999</v>
      </c>
    </row>
    <row r="84" ht="15" customFormat="1" customHeight="1" s="380">
      <c r="A84" s="507" t="inlineStr">
        <is>
          <t>5000-1001 Payroll Taxes</t>
        </is>
      </c>
      <c r="C84" s="516" t="n">
        <v>-8125</v>
      </c>
      <c r="D84" s="516" t="n">
        <v>-8125</v>
      </c>
      <c r="E84" s="516" t="n">
        <v>-8125</v>
      </c>
      <c r="F84" s="516" t="n">
        <v>-8125</v>
      </c>
      <c r="G84" s="516" t="n">
        <v>-8125</v>
      </c>
      <c r="H84" s="516" t="n">
        <v>-8125</v>
      </c>
      <c r="I84" s="516" t="n">
        <v>-8125</v>
      </c>
      <c r="J84" s="516" t="n">
        <v>-8125</v>
      </c>
      <c r="K84" s="516" t="n">
        <v>-8125</v>
      </c>
      <c r="L84" s="516" t="n">
        <v>-8125</v>
      </c>
      <c r="M84" s="516" t="n">
        <v>-8125</v>
      </c>
      <c r="N84" s="516" t="n">
        <v>-8125</v>
      </c>
    </row>
    <row r="85" ht="15" customFormat="1" customHeight="1" s="380">
      <c r="A85" s="507" t="inlineStr">
        <is>
          <t>5000-1002 Employee Benefits</t>
        </is>
      </c>
      <c r="C85" s="516" t="n">
        <v>-6554.17</v>
      </c>
      <c r="D85" s="516" t="n">
        <v>-6554.17</v>
      </c>
      <c r="E85" s="516" t="n">
        <v>-6554.17</v>
      </c>
      <c r="F85" s="516" t="n">
        <v>-6554.17</v>
      </c>
      <c r="G85" s="516" t="n">
        <v>-6554.17</v>
      </c>
      <c r="H85" s="516" t="n">
        <v>-6554.17</v>
      </c>
      <c r="I85" s="516" t="n">
        <v>-6554.17</v>
      </c>
      <c r="J85" s="516" t="n">
        <v>-6554.17</v>
      </c>
      <c r="K85" s="516" t="n">
        <v>-6554.17</v>
      </c>
      <c r="L85" s="516" t="n">
        <v>-6554.17</v>
      </c>
      <c r="M85" s="516" t="n">
        <v>-6554.17</v>
      </c>
      <c r="N85" s="516" t="n">
        <v>-6554.17</v>
      </c>
    </row>
    <row r="86" ht="15" customFormat="1" customHeight="1" s="380">
      <c r="A86" s="507" t="inlineStr">
        <is>
          <t>5000-1003 Workers Comp</t>
        </is>
      </c>
      <c r="C86" s="516" t="n">
        <v>-487.5</v>
      </c>
      <c r="D86" s="516" t="n">
        <v>-487.5</v>
      </c>
      <c r="E86" s="516" t="n">
        <v>-487.5</v>
      </c>
      <c r="F86" s="516" t="n">
        <v>-487.5</v>
      </c>
      <c r="G86" s="516" t="n">
        <v>-487.5</v>
      </c>
      <c r="H86" s="516" t="n">
        <v>-487.5</v>
      </c>
      <c r="I86" s="516" t="n">
        <v>-487.5</v>
      </c>
      <c r="J86" s="516" t="n">
        <v>-487.5</v>
      </c>
      <c r="K86" s="516" t="n">
        <v>-487.5</v>
      </c>
      <c r="L86" s="516" t="n">
        <v>-487.5</v>
      </c>
      <c r="M86" s="516" t="n">
        <v>-487.5</v>
      </c>
      <c r="N86" s="516" t="n">
        <v>-487.5</v>
      </c>
    </row>
    <row r="87" ht="15" customFormat="1" customHeight="1" s="380">
      <c r="A87" s="507" t="inlineStr">
        <is>
          <t>5000-1005 Payroll Servicing Fees</t>
        </is>
      </c>
      <c r="C87" s="516" t="n">
        <v>-270.83</v>
      </c>
      <c r="D87" s="516" t="n">
        <v>-270.83</v>
      </c>
      <c r="E87" s="516" t="n">
        <v>-270.83</v>
      </c>
      <c r="F87" s="516" t="n">
        <v>-270.83</v>
      </c>
      <c r="G87" s="516" t="n">
        <v>-270.83</v>
      </c>
      <c r="H87" s="516" t="n">
        <v>-270.83</v>
      </c>
      <c r="I87" s="516" t="n">
        <v>-270.83</v>
      </c>
      <c r="J87" s="516" t="n">
        <v>-270.83</v>
      </c>
      <c r="K87" s="516" t="n">
        <v>-270.83</v>
      </c>
      <c r="L87" s="516" t="n">
        <v>-270.83</v>
      </c>
      <c r="M87" s="516" t="n">
        <v>-270.83</v>
      </c>
      <c r="N87" s="516" t="n">
        <v>-270.83</v>
      </c>
    </row>
    <row r="88" ht="15" customFormat="1" customHeight="1" s="380">
      <c r="A88" s="507" t="inlineStr">
        <is>
          <t>5100-1000 Rent Expense</t>
        </is>
      </c>
      <c r="C88" s="516" t="n">
        <v>-8000</v>
      </c>
      <c r="D88" s="516" t="n">
        <v>-8000</v>
      </c>
      <c r="E88" s="516" t="n">
        <v>-8000</v>
      </c>
      <c r="F88" s="516" t="n">
        <v>-8000</v>
      </c>
      <c r="G88" s="516" t="n">
        <v>-8000</v>
      </c>
      <c r="H88" s="516" t="n">
        <v>-8000</v>
      </c>
      <c r="I88" s="516" t="n">
        <v>-8160</v>
      </c>
      <c r="J88" s="516" t="n">
        <v>-8160</v>
      </c>
      <c r="K88" s="516" t="n">
        <v>-8160</v>
      </c>
      <c r="L88" s="516" t="n">
        <v>-8160</v>
      </c>
      <c r="M88" s="516" t="n">
        <v>-8160</v>
      </c>
      <c r="N88" s="516" t="n">
        <v>-8160</v>
      </c>
    </row>
    <row r="89" ht="15" customFormat="1" customHeight="1" s="380">
      <c r="A89" s="507" t="inlineStr">
        <is>
          <t>5200-1000 Office Supplies and Expenses</t>
        </is>
      </c>
      <c r="C89" s="516" t="n">
        <v>-183.33</v>
      </c>
      <c r="D89" s="516" t="n">
        <v>-183.33</v>
      </c>
      <c r="E89" s="516" t="n">
        <v>-183.33</v>
      </c>
      <c r="F89" s="516" t="n">
        <v>-183.33</v>
      </c>
      <c r="G89" s="516" t="n">
        <v>-183.33</v>
      </c>
      <c r="H89" s="516" t="n">
        <v>-183.33</v>
      </c>
      <c r="I89" s="516" t="n">
        <v>-187</v>
      </c>
      <c r="J89" s="516" t="n">
        <v>-187</v>
      </c>
      <c r="K89" s="516" t="n">
        <v>-187</v>
      </c>
      <c r="L89" s="516" t="n">
        <v>-187</v>
      </c>
      <c r="M89" s="516" t="n">
        <v>-187</v>
      </c>
      <c r="N89" s="516" t="n">
        <v>-187</v>
      </c>
    </row>
    <row r="90" ht="15" customFormat="1" customHeight="1" s="380">
      <c r="A90" s="507" t="inlineStr">
        <is>
          <t>5200-1053 IT Software and Subscriptions</t>
        </is>
      </c>
      <c r="C90" s="516" t="n">
        <v>-3000</v>
      </c>
      <c r="D90" s="516" t="n">
        <v>-3000</v>
      </c>
      <c r="E90" s="516" t="n">
        <v>-3000</v>
      </c>
      <c r="F90" s="516" t="n">
        <v>-3000</v>
      </c>
      <c r="G90" s="516" t="n">
        <v>-3000</v>
      </c>
      <c r="H90" s="516" t="n">
        <v>-3000</v>
      </c>
      <c r="I90" s="516" t="n">
        <v>-3060</v>
      </c>
      <c r="J90" s="516" t="n">
        <v>-3060</v>
      </c>
      <c r="K90" s="516" t="n">
        <v>-3060</v>
      </c>
      <c r="L90" s="516" t="n">
        <v>-3060</v>
      </c>
      <c r="M90" s="516" t="n">
        <v>-3060</v>
      </c>
      <c r="N90" s="516" t="n">
        <v>-3060</v>
      </c>
    </row>
    <row r="91" ht="15" customFormat="1" customHeight="1" s="380">
      <c r="A91" s="507" t="inlineStr">
        <is>
          <t>5200-1060 Website Design</t>
        </is>
      </c>
      <c r="C91" s="516" t="n">
        <v>0</v>
      </c>
      <c r="D91" s="516" t="n">
        <v>0</v>
      </c>
      <c r="E91" s="516" t="n">
        <v>0</v>
      </c>
      <c r="F91" s="516" t="n">
        <v>0</v>
      </c>
      <c r="G91" s="516" t="n">
        <v>0</v>
      </c>
      <c r="H91" s="516" t="n">
        <v>0</v>
      </c>
      <c r="I91" s="516" t="n">
        <v>0</v>
      </c>
      <c r="J91" s="516" t="n">
        <v>0</v>
      </c>
      <c r="K91" s="516" t="n">
        <v>0</v>
      </c>
      <c r="L91" s="516" t="n">
        <v>0</v>
      </c>
      <c r="M91" s="516" t="n">
        <v>0</v>
      </c>
      <c r="N91" s="516" t="n">
        <v>0</v>
      </c>
    </row>
    <row r="92" ht="15" customFormat="1" customHeight="1" s="380">
      <c r="A92" s="515" t="inlineStr">
        <is>
          <t>5200-1061 Website Hosting</t>
        </is>
      </c>
      <c r="C92" s="516" t="n">
        <v>0</v>
      </c>
      <c r="D92" s="516" t="n">
        <v>0</v>
      </c>
      <c r="E92" s="516" t="n">
        <v>0</v>
      </c>
      <c r="F92" s="516" t="n">
        <v>0</v>
      </c>
      <c r="G92" s="516" t="n">
        <v>0</v>
      </c>
      <c r="H92" s="516" t="n">
        <v>0</v>
      </c>
      <c r="I92" s="516" t="n">
        <v>0</v>
      </c>
      <c r="J92" s="516" t="n">
        <v>0</v>
      </c>
      <c r="K92" s="516" t="n">
        <v>0</v>
      </c>
      <c r="L92" s="516" t="n">
        <v>0</v>
      </c>
      <c r="M92" s="516" t="n">
        <v>0</v>
      </c>
      <c r="N92" s="516" t="n">
        <v>0</v>
      </c>
    </row>
    <row r="93" ht="15" customFormat="1" customHeight="1" s="380">
      <c r="A93" s="515" t="inlineStr">
        <is>
          <t>5300-1000 Travel and Lodging</t>
        </is>
      </c>
      <c r="C93" s="516" t="n">
        <v>-3000</v>
      </c>
      <c r="D93" s="516" t="n">
        <v>-3000</v>
      </c>
      <c r="E93" s="516" t="n">
        <v>-3000</v>
      </c>
      <c r="F93" s="516" t="n">
        <v>-3000</v>
      </c>
      <c r="G93" s="516" t="n">
        <v>-3000</v>
      </c>
      <c r="H93" s="516" t="n">
        <v>-3000</v>
      </c>
      <c r="I93" s="516" t="n">
        <v>-3060</v>
      </c>
      <c r="J93" s="516" t="n">
        <v>-3060</v>
      </c>
      <c r="K93" s="516" t="n">
        <v>-3060</v>
      </c>
      <c r="L93" s="516" t="n">
        <v>-3060</v>
      </c>
      <c r="M93" s="516" t="n">
        <v>-3060</v>
      </c>
      <c r="N93" s="516" t="n">
        <v>-3060</v>
      </c>
    </row>
    <row r="94" ht="15" customFormat="1" customHeight="1" s="380">
      <c r="A94" s="515" t="inlineStr">
        <is>
          <t>5300-1001 Public Transportation</t>
        </is>
      </c>
      <c r="C94" s="516" t="n">
        <v>-833.33</v>
      </c>
      <c r="D94" s="516" t="n">
        <v>-833.33</v>
      </c>
      <c r="E94" s="516" t="n">
        <v>-833.33</v>
      </c>
      <c r="F94" s="516" t="n">
        <v>-833.33</v>
      </c>
      <c r="G94" s="516" t="n">
        <v>-833.33</v>
      </c>
      <c r="H94" s="516" t="n">
        <v>-833.33</v>
      </c>
      <c r="I94" s="516" t="n">
        <v>-850</v>
      </c>
      <c r="J94" s="516" t="n">
        <v>-850</v>
      </c>
      <c r="K94" s="516" t="n">
        <v>-850</v>
      </c>
      <c r="L94" s="516" t="n">
        <v>-850</v>
      </c>
      <c r="M94" s="516" t="n">
        <v>-850</v>
      </c>
      <c r="N94" s="516" t="n">
        <v>-850</v>
      </c>
    </row>
    <row r="95" ht="15" customFormat="1" customHeight="1" s="380">
      <c r="A95" s="515" t="inlineStr">
        <is>
          <t>5300-1002 Parking</t>
        </is>
      </c>
      <c r="C95" s="516" t="n">
        <v>0</v>
      </c>
      <c r="D95" s="516" t="n">
        <v>0</v>
      </c>
      <c r="E95" s="516" t="n">
        <v>0</v>
      </c>
      <c r="F95" s="516" t="n">
        <v>0</v>
      </c>
      <c r="G95" s="516" t="n">
        <v>0</v>
      </c>
      <c r="H95" s="516" t="n">
        <v>0</v>
      </c>
      <c r="I95" s="516" t="n">
        <v>0</v>
      </c>
      <c r="J95" s="516" t="n">
        <v>0</v>
      </c>
      <c r="K95" s="516" t="n">
        <v>0</v>
      </c>
      <c r="L95" s="516" t="n">
        <v>0</v>
      </c>
      <c r="M95" s="516" t="n">
        <v>0</v>
      </c>
      <c r="N95" s="516" t="n">
        <v>0</v>
      </c>
    </row>
    <row r="96" ht="15" customFormat="1" customHeight="1" s="380">
      <c r="A96" s="515" t="inlineStr">
        <is>
          <t>5300-1050 Meals and Entertainment</t>
        </is>
      </c>
      <c r="C96" s="516" t="n">
        <v>-3000</v>
      </c>
      <c r="D96" s="516" t="n">
        <v>-3000</v>
      </c>
      <c r="E96" s="516" t="n">
        <v>-3000</v>
      </c>
      <c r="F96" s="516" t="n">
        <v>-3000</v>
      </c>
      <c r="G96" s="516" t="n">
        <v>-3000</v>
      </c>
      <c r="H96" s="516" t="n">
        <v>-3000</v>
      </c>
      <c r="I96" s="516" t="n">
        <v>-3060</v>
      </c>
      <c r="J96" s="516" t="n">
        <v>-3060</v>
      </c>
      <c r="K96" s="516" t="n">
        <v>-3060</v>
      </c>
      <c r="L96" s="516" t="n">
        <v>-3060</v>
      </c>
      <c r="M96" s="516" t="n">
        <v>-3060</v>
      </c>
      <c r="N96" s="516" t="n">
        <v>-3060</v>
      </c>
    </row>
    <row r="97" ht="15" customFormat="1" customHeight="1" s="380">
      <c r="A97" s="515" t="inlineStr">
        <is>
          <t>5500-1000 Legal and Professional Fees</t>
        </is>
      </c>
      <c r="C97" s="516" t="n">
        <v>-500</v>
      </c>
      <c r="D97" s="516" t="n">
        <v>-500</v>
      </c>
      <c r="E97" s="516" t="n">
        <v>-500</v>
      </c>
      <c r="F97" s="516" t="n">
        <v>-500</v>
      </c>
      <c r="G97" s="516" t="n">
        <v>-500</v>
      </c>
      <c r="H97" s="516" t="n">
        <v>-500</v>
      </c>
      <c r="I97" s="516" t="n">
        <v>-510</v>
      </c>
      <c r="J97" s="516" t="n">
        <v>-510</v>
      </c>
      <c r="K97" s="516" t="n">
        <v>-510</v>
      </c>
      <c r="L97" s="516" t="n">
        <v>-510</v>
      </c>
      <c r="M97" s="516" t="n">
        <v>-510</v>
      </c>
      <c r="N97" s="516" t="n">
        <v>-510</v>
      </c>
    </row>
    <row r="98" ht="15" customFormat="1" customHeight="1" s="380">
      <c r="A98" s="507" t="inlineStr">
        <is>
          <t>5500-1002 Accounting Consulting and Overhead</t>
        </is>
      </c>
      <c r="C98" s="516" t="n">
        <v>-5500</v>
      </c>
      <c r="D98" s="516" t="n">
        <v>-5500</v>
      </c>
      <c r="E98" s="516" t="n">
        <v>-5500</v>
      </c>
      <c r="F98" s="516" t="n">
        <v>-5500</v>
      </c>
      <c r="G98" s="516" t="n">
        <v>-5500</v>
      </c>
      <c r="H98" s="516" t="n">
        <v>-5500</v>
      </c>
      <c r="I98" s="516" t="n">
        <v>-5610</v>
      </c>
      <c r="J98" s="516" t="n">
        <v>-5610</v>
      </c>
      <c r="K98" s="516" t="n">
        <v>-5610</v>
      </c>
      <c r="L98" s="516" t="n">
        <v>-5610</v>
      </c>
      <c r="M98" s="516" t="n">
        <v>-5610</v>
      </c>
      <c r="N98" s="516" t="n">
        <v>-5610</v>
      </c>
    </row>
    <row r="99" ht="15" customFormat="1" customHeight="1" s="380">
      <c r="A99" s="507" t="inlineStr">
        <is>
          <t>5500-1004 Consultants and Other Professional Expenses</t>
        </is>
      </c>
      <c r="C99" s="516" t="n">
        <v>-2083.33</v>
      </c>
      <c r="D99" s="516" t="n">
        <v>-2083.33</v>
      </c>
      <c r="E99" s="516" t="n">
        <v>-2083.33</v>
      </c>
      <c r="F99" s="516" t="n">
        <v>-2083.33</v>
      </c>
      <c r="G99" s="516" t="n">
        <v>-2083.33</v>
      </c>
      <c r="H99" s="516" t="n">
        <v>-2083.33</v>
      </c>
      <c r="I99" s="516" t="n">
        <v>-2125</v>
      </c>
      <c r="J99" s="516" t="n">
        <v>-2125</v>
      </c>
      <c r="K99" s="516" t="n">
        <v>-2125</v>
      </c>
      <c r="L99" s="516" t="n">
        <v>-2125</v>
      </c>
      <c r="M99" s="516" t="n">
        <v>-2125</v>
      </c>
      <c r="N99" s="516" t="n">
        <v>-2125</v>
      </c>
    </row>
    <row r="100" ht="15" customFormat="1" customHeight="1" s="380">
      <c r="A100" s="515" t="inlineStr">
        <is>
          <t>5500-1007 Dues and Subscriptions</t>
        </is>
      </c>
      <c r="C100" s="516" t="n">
        <v>-500</v>
      </c>
      <c r="D100" s="516" t="n">
        <v>-500</v>
      </c>
      <c r="E100" s="516" t="n">
        <v>-500</v>
      </c>
      <c r="F100" s="516" t="n">
        <v>-500</v>
      </c>
      <c r="G100" s="516" t="n">
        <v>-500</v>
      </c>
      <c r="H100" s="516" t="n">
        <v>-500</v>
      </c>
      <c r="I100" s="516" t="n">
        <v>-510</v>
      </c>
      <c r="J100" s="516" t="n">
        <v>-510</v>
      </c>
      <c r="K100" s="516" t="n">
        <v>-510</v>
      </c>
      <c r="L100" s="516" t="n">
        <v>-510</v>
      </c>
      <c r="M100" s="516" t="n">
        <v>-510</v>
      </c>
      <c r="N100" s="516" t="n">
        <v>-510</v>
      </c>
    </row>
    <row r="101" ht="15" customFormat="1" customHeight="1" s="380">
      <c r="A101" s="515" t="inlineStr">
        <is>
          <t>5500-1009 Entity Filing and Formation Fees</t>
        </is>
      </c>
      <c r="C101" s="516" t="n">
        <v>-2000</v>
      </c>
      <c r="D101" s="516" t="n">
        <v>-2000</v>
      </c>
      <c r="E101" s="516" t="n">
        <v>-2000</v>
      </c>
      <c r="F101" s="516" t="n">
        <v>-2000</v>
      </c>
      <c r="G101" s="516" t="n">
        <v>-2000</v>
      </c>
      <c r="H101" s="516" t="n">
        <v>-2000</v>
      </c>
      <c r="I101" s="516" t="n">
        <v>-2040</v>
      </c>
      <c r="J101" s="516" t="n">
        <v>-2040</v>
      </c>
      <c r="K101" s="516" t="n">
        <v>-2040</v>
      </c>
      <c r="L101" s="516" t="n">
        <v>-2040</v>
      </c>
      <c r="M101" s="516" t="n">
        <v>-2040</v>
      </c>
      <c r="N101" s="516" t="n">
        <v>-2040</v>
      </c>
    </row>
    <row r="102" ht="15" customFormat="1" customHeight="1" s="380">
      <c r="A102" s="518" t="inlineStr">
        <is>
          <t>5500-1010 Investment Management Software</t>
        </is>
      </c>
      <c r="C102" s="516" t="n">
        <v>-1541.67</v>
      </c>
      <c r="D102" s="516" t="n">
        <v>-1541.67</v>
      </c>
      <c r="E102" s="516" t="n">
        <v>-1541.67</v>
      </c>
      <c r="F102" s="516" t="n">
        <v>-1541.67</v>
      </c>
      <c r="G102" s="516" t="n">
        <v>-1541.67</v>
      </c>
      <c r="H102" s="516" t="n">
        <v>-1541.67</v>
      </c>
      <c r="I102" s="516" t="n">
        <v>-1572.5</v>
      </c>
      <c r="J102" s="516" t="n">
        <v>-1572.5</v>
      </c>
      <c r="K102" s="516" t="n">
        <v>-1572.5</v>
      </c>
      <c r="L102" s="516" t="n">
        <v>-1572.5</v>
      </c>
      <c r="M102" s="516" t="n">
        <v>-1572.5</v>
      </c>
      <c r="N102" s="516" t="n">
        <v>-1572.5</v>
      </c>
    </row>
    <row r="103" ht="15" customFormat="1" customHeight="1" s="380">
      <c r="A103" s="518" t="inlineStr">
        <is>
          <t>5500-1053 E&amp;O/D&amp;O Insurance</t>
        </is>
      </c>
      <c r="C103" s="516" t="n">
        <v>-2100</v>
      </c>
      <c r="D103" s="516" t="n">
        <v>-2100</v>
      </c>
      <c r="E103" s="516" t="n">
        <v>-2100</v>
      </c>
      <c r="F103" s="516" t="n">
        <v>-2100</v>
      </c>
      <c r="G103" s="516" t="n">
        <v>-2100</v>
      </c>
      <c r="H103" s="516" t="n">
        <v>-2100</v>
      </c>
      <c r="I103" s="516" t="n">
        <v>-2142</v>
      </c>
      <c r="J103" s="516" t="n">
        <v>-2142</v>
      </c>
      <c r="K103" s="516" t="n">
        <v>-2142</v>
      </c>
      <c r="L103" s="516" t="n">
        <v>-2142</v>
      </c>
      <c r="M103" s="516" t="n">
        <v>-2142</v>
      </c>
      <c r="N103" s="516" t="n">
        <v>-2142</v>
      </c>
    </row>
    <row r="104" ht="15" customFormat="1" customHeight="1" s="380">
      <c r="A104" s="518" t="inlineStr">
        <is>
          <t>5800-1003 Consulting Fee</t>
        </is>
      </c>
      <c r="C104" s="516" t="n">
        <v>0</v>
      </c>
      <c r="D104" s="516" t="n">
        <v>0</v>
      </c>
      <c r="E104" s="516" t="n">
        <v>0</v>
      </c>
      <c r="F104" s="516" t="n">
        <v>0</v>
      </c>
      <c r="G104" s="516" t="n">
        <v>0</v>
      </c>
      <c r="H104" s="516" t="n">
        <v>0</v>
      </c>
      <c r="I104" s="516" t="n">
        <v>0</v>
      </c>
      <c r="J104" s="516" t="n">
        <v>0</v>
      </c>
      <c r="K104" s="516" t="n">
        <v>0</v>
      </c>
      <c r="L104" s="516" t="n">
        <v>0</v>
      </c>
      <c r="M104" s="516" t="n">
        <v>0</v>
      </c>
      <c r="N104" s="516" t="n">
        <v>0</v>
      </c>
    </row>
    <row r="105" ht="15" customFormat="1" customHeight="1" s="380">
      <c r="A105" s="507" t="inlineStr">
        <is>
          <t>5900-1075 Miscellaneous Expense</t>
        </is>
      </c>
      <c r="C105" s="516" t="n">
        <v>0</v>
      </c>
      <c r="D105" s="516" t="n">
        <v>0</v>
      </c>
      <c r="E105" s="516" t="n">
        <v>0</v>
      </c>
      <c r="F105" s="516" t="n">
        <v>0</v>
      </c>
      <c r="G105" s="516" t="n">
        <v>0</v>
      </c>
      <c r="H105" s="516" t="n">
        <v>0</v>
      </c>
      <c r="I105" s="516" t="n">
        <v>0</v>
      </c>
      <c r="J105" s="516" t="n">
        <v>0</v>
      </c>
      <c r="K105" s="516" t="n">
        <v>0</v>
      </c>
      <c r="L105" s="516" t="n">
        <v>0</v>
      </c>
      <c r="M105" s="516" t="n">
        <v>0</v>
      </c>
      <c r="N105" s="516" t="n">
        <v>0</v>
      </c>
    </row>
    <row r="106" ht="15" customFormat="1" customHeight="1" s="380">
      <c r="A106" s="507" t="inlineStr">
        <is>
          <t>5900-1080 Bank Service Charges</t>
        </is>
      </c>
      <c r="C106" s="516" t="n">
        <v>-500</v>
      </c>
      <c r="D106" s="516" t="n">
        <v>-500</v>
      </c>
      <c r="E106" s="516" t="n">
        <v>-500</v>
      </c>
      <c r="F106" s="516" t="n">
        <v>-500</v>
      </c>
      <c r="G106" s="516" t="n">
        <v>-500</v>
      </c>
      <c r="H106" s="516" t="n">
        <v>-500</v>
      </c>
      <c r="I106" s="516" t="n">
        <v>-510</v>
      </c>
      <c r="J106" s="516" t="n">
        <v>-510</v>
      </c>
      <c r="K106" s="516" t="n">
        <v>-510</v>
      </c>
      <c r="L106" s="516" t="n">
        <v>-510</v>
      </c>
      <c r="M106" s="516" t="n">
        <v>-510</v>
      </c>
      <c r="N106" s="516" t="n">
        <v>-510</v>
      </c>
    </row>
    <row r="107" ht="15" customFormat="1" customHeight="1" s="380">
      <c r="A107" s="507" t="inlineStr">
        <is>
          <t>Steyn Group Guaranty Fee</t>
        </is>
      </c>
      <c r="C107" s="516" t="n">
        <v>0</v>
      </c>
      <c r="D107" s="516" t="n">
        <v>0</v>
      </c>
      <c r="E107" s="516" t="n">
        <v>0</v>
      </c>
      <c r="F107" s="516" t="n">
        <v>0</v>
      </c>
      <c r="G107" s="516" t="n">
        <v>0</v>
      </c>
      <c r="H107" s="516" t="n">
        <v>0</v>
      </c>
      <c r="I107" s="516" t="n">
        <v>0</v>
      </c>
      <c r="J107" s="516" t="n">
        <v>0</v>
      </c>
      <c r="K107" s="516" t="n">
        <v>0</v>
      </c>
      <c r="L107" s="516" t="n">
        <v>0</v>
      </c>
      <c r="M107" s="516" t="n">
        <v>0</v>
      </c>
      <c r="N107" s="516" t="n">
        <v>0</v>
      </c>
    </row>
    <row r="108" ht="15" customFormat="1" customHeight="1" s="380">
      <c r="A108" s="507" t="inlineStr">
        <is>
          <t>Steyn Liquidity Guarantee Fee</t>
        </is>
      </c>
      <c r="C108" s="516" t="n">
        <v>0</v>
      </c>
      <c r="D108" s="516" t="n">
        <v>0</v>
      </c>
      <c r="E108" s="516" t="n">
        <v>0</v>
      </c>
      <c r="F108" s="516" t="n">
        <v>0</v>
      </c>
      <c r="G108" s="516" t="n">
        <v>0</v>
      </c>
      <c r="H108" s="516" t="n">
        <v>0</v>
      </c>
      <c r="I108" s="516" t="n">
        <v>0</v>
      </c>
      <c r="J108" s="516" t="n">
        <v>0</v>
      </c>
      <c r="K108" s="516" t="n">
        <v>0</v>
      </c>
      <c r="L108" s="516" t="n">
        <v>0</v>
      </c>
      <c r="M108" s="516" t="n">
        <v>0</v>
      </c>
      <c r="N108" s="516" t="n">
        <v>0</v>
      </c>
    </row>
    <row r="109" ht="15" customFormat="1" customHeight="1" s="380">
      <c r="A109" s="507" t="inlineStr">
        <is>
          <t>Francis Steyn Fee + PIK (from LIHTC Revenue)</t>
        </is>
      </c>
      <c r="C109" s="516" t="n">
        <v>0</v>
      </c>
      <c r="D109" s="516" t="n">
        <v>0</v>
      </c>
      <c r="E109" s="516" t="n">
        <v>0</v>
      </c>
      <c r="F109" s="516" t="n">
        <v>0</v>
      </c>
      <c r="G109" s="516" t="n">
        <v>0</v>
      </c>
      <c r="H109" s="516" t="n">
        <v>0</v>
      </c>
      <c r="I109" s="516" t="n">
        <v>0</v>
      </c>
      <c r="J109" s="516" t="n">
        <v>0</v>
      </c>
      <c r="K109" s="516" t="n">
        <v>0</v>
      </c>
      <c r="L109" s="516" t="n">
        <v>0</v>
      </c>
      <c r="M109" s="516" t="n">
        <v>0</v>
      </c>
      <c r="N109" s="516" t="n">
        <v>0</v>
      </c>
    </row>
    <row r="110" ht="15" customFormat="1" customHeight="1" s="380">
      <c r="A110" s="507" t="inlineStr">
        <is>
          <t>Reseda Steyn Fee + PIK (from LIHTC Revenue)</t>
        </is>
      </c>
      <c r="C110" s="516" t="n">
        <v>0</v>
      </c>
      <c r="D110" s="516" t="n">
        <v>0</v>
      </c>
      <c r="E110" s="516" t="n">
        <v>0</v>
      </c>
      <c r="F110" s="516" t="n">
        <v>0</v>
      </c>
      <c r="G110" s="516" t="n">
        <v>0</v>
      </c>
      <c r="H110" s="516" t="n">
        <v>0</v>
      </c>
      <c r="I110" s="516" t="n">
        <v>0</v>
      </c>
      <c r="J110" s="516" t="n">
        <v>0</v>
      </c>
      <c r="K110" s="516" t="n">
        <v>0</v>
      </c>
      <c r="L110" s="516" t="n">
        <v>0</v>
      </c>
      <c r="M110" s="516" t="n">
        <v>0</v>
      </c>
      <c r="N110" s="516" t="n">
        <v>0</v>
      </c>
    </row>
    <row r="111" ht="15" customFormat="1" customHeight="1" s="380">
      <c r="A111" s="507" t="inlineStr">
        <is>
          <t>3rd St Steyn Fee + PIK (from LIHTC Revenue)</t>
        </is>
      </c>
      <c r="C111" s="516" t="n">
        <v>0</v>
      </c>
      <c r="D111" s="516" t="n">
        <v>0</v>
      </c>
      <c r="E111" s="516" t="n">
        <v>0</v>
      </c>
      <c r="F111" s="516" t="n">
        <v>0</v>
      </c>
      <c r="G111" s="516" t="n">
        <v>0</v>
      </c>
      <c r="H111" s="516" t="n">
        <v>0</v>
      </c>
      <c r="I111" s="516" t="n">
        <v>0</v>
      </c>
      <c r="J111" s="516" t="n">
        <v>0</v>
      </c>
      <c r="K111" s="516" t="n">
        <v>0</v>
      </c>
      <c r="L111" s="516" t="n">
        <v>0</v>
      </c>
      <c r="M111" s="516" t="n">
        <v>0</v>
      </c>
      <c r="N111" s="516" t="n">
        <v>0</v>
      </c>
    </row>
    <row r="112" ht="15" customFormat="1" customHeight="1" s="380">
      <c r="A112" s="493" t="inlineStr">
        <is>
          <t>Total Six Peak Expenses</t>
        </is>
      </c>
      <c r="C112" s="516" t="n">
        <v>-138412.48</v>
      </c>
      <c r="D112" s="516" t="n">
        <v>-138412.48</v>
      </c>
      <c r="E112" s="516" t="n">
        <v>-138412.48</v>
      </c>
      <c r="F112" s="516" t="n">
        <v>-138412.48</v>
      </c>
      <c r="G112" s="516" t="n">
        <v>-138412.48</v>
      </c>
      <c r="H112" s="516" t="n">
        <v>-138412.48</v>
      </c>
      <c r="I112" s="516" t="n">
        <v>-137893.65</v>
      </c>
      <c r="J112" s="516" t="n">
        <v>-137893.65</v>
      </c>
      <c r="K112" s="516" t="n">
        <v>-137893.65</v>
      </c>
      <c r="L112" s="516" t="n">
        <v>-137893.65</v>
      </c>
      <c r="M112" s="516" t="n">
        <v>-137893.65</v>
      </c>
      <c r="N112" s="516" t="n">
        <v>-137893.65</v>
      </c>
    </row>
    <row r="114" ht="15" customFormat="1" customHeight="1" s="380">
      <c r="A114" s="495" t="inlineStr">
        <is>
          <t>Six Peak Net Income</t>
        </is>
      </c>
      <c r="C114" s="516" t="n">
        <v>-90813.42</v>
      </c>
      <c r="D114" s="516" t="n">
        <v>-90813.42</v>
      </c>
      <c r="E114" s="516" t="n">
        <v>-90813.42</v>
      </c>
      <c r="F114" s="516" t="n">
        <v>-78938.42</v>
      </c>
      <c r="G114" s="516" t="n">
        <v>-78938.42</v>
      </c>
      <c r="H114" s="516" t="n">
        <v>-78938.42</v>
      </c>
      <c r="I114" s="516" t="n">
        <v>-78419.59</v>
      </c>
      <c r="J114" s="516" t="n">
        <v>-78419.59</v>
      </c>
      <c r="K114" s="516" t="n">
        <v>-78419.59</v>
      </c>
      <c r="L114" s="516" t="n">
        <v>-88646.86</v>
      </c>
      <c r="M114" s="516" t="n">
        <v>-88646.86</v>
      </c>
      <c r="N114" s="516" t="n">
        <v>-88646.86</v>
      </c>
    </row>
    <row r="117" ht="19.5" customFormat="1" customHeight="1" s="380">
      <c r="A117" s="519" t="inlineStr">
        <is>
          <t>KNOWN VARIANCE FROM SOURCE — documented, not corrected</t>
        </is>
      </c>
    </row>
    <row r="118" ht="45.75" customFormat="1" customHeight="1" s="380">
      <c r="A118" s="520" t="inlineStr">
        <is>
          <t>Finding: in the November 2025 budget model the Six Peak-to-LV payroll allocation does not net to zero on consolidation. LV is charged $704,200 for 2026 while Six Peak credits $711,242, a difference of $7,042.</t>
        </is>
      </c>
    </row>
    <row r="119" ht="45.75" customFormat="1" customHeight="1" s="380">
      <c r="A119" s="520" t="inlineStr">
        <is>
          <t>Cause: the November model escalates Six Peak salaries 2.0% effective July 2026 and the credit follows ($58,683 to $59,857 per month), but the offsetting charge to LV was left flat at $58,683 for all twelve months. The two sides are not driven off a single input, so the escalation was applied to one and not the other. January through June agree exactly; every month from July carries $1,174 of the gap.</t>
        </is>
      </c>
    </row>
    <row r="120" ht="45.75" customFormat="1" customHeight="1" s="380">
      <c r="A120" s="520" t="inlineStr">
        <is>
          <t>Treatment: each entity is carried at its own approved figure, so LV and Six Peak both tie exactly to the November model. The $7,042 remains as a favorable overstatement at the consolidated line only. Rows 23 (SP Allocated to LV) and 83 (Six Peak payroll, net of the contra) are the affected lines.</t>
        </is>
      </c>
    </row>
    <row r="121" ht="45.75" customFormat="1" customHeight="1" s="380">
      <c r="A121" s="520" t="inlineStr">
        <is>
          <t>Decision (C. Aiello, 8/13/2026): do not restate. The budget is an approved, frozen anchor and its value depends on not moving. The gap is 0.74% of budgeted consolidated net income of $947,956 and does not affect entity-level reporting.</t>
        </is>
      </c>
    </row>
    <row r="122" ht="45.75" customFormat="1" customHeight="1" s="380">
      <c r="A122" s="520" t="inlineStr">
        <is>
          <t>Action for the FY 2027 budget build: drive the allocation from a single input referenced by both entities so an escalation cannot be applied to one side alone.</t>
        </is>
      </c>
    </row>
  </sheetData>
  <mergeCells count="6">
    <mergeCell ref="A120:N120"/>
    <mergeCell ref="A122:N122"/>
    <mergeCell ref="A121:N121"/>
    <mergeCell ref="A117:N117"/>
    <mergeCell ref="A119:N119"/>
    <mergeCell ref="A118:N11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DF11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S35" activeCellId="0" sqref="S35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110"/>
  </cols>
  <sheetData>
    <row r="1" ht="17.25" customFormat="1" customHeight="1" s="380">
      <c r="A1" s="473" t="inlineStr">
        <is>
          <t>REFORECAST Q1 2026 — frozen v26 forecast snapshot</t>
        </is>
      </c>
    </row>
    <row r="2" ht="15" customFormat="1" customHeight="1" s="380">
      <c r="A2" s="452" t="inlineStr">
        <is>
          <t>Static reforecast struck with Q1 2026 actuals loaded. Anchor for reforecast-vs-actual reporting. Do not edit.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  <c r="CU2" s="474" t="n">
        <v>48945</v>
      </c>
      <c r="CV2" s="474" t="n">
        <v>48976</v>
      </c>
      <c r="CW2" s="474" t="n">
        <v>49004</v>
      </c>
      <c r="CX2" s="474" t="n">
        <v>49035</v>
      </c>
      <c r="CY2" s="474" t="n">
        <v>49065</v>
      </c>
      <c r="CZ2" s="474" t="n">
        <v>49096</v>
      </c>
      <c r="DA2" s="474" t="n">
        <v>49126</v>
      </c>
      <c r="DB2" s="474" t="n">
        <v>49157</v>
      </c>
      <c r="DC2" s="474" t="n">
        <v>49188</v>
      </c>
      <c r="DD2" s="474" t="n">
        <v>49218</v>
      </c>
      <c r="DE2" s="474" t="n">
        <v>49249</v>
      </c>
      <c r="DF2" s="474" t="n">
        <v>49279</v>
      </c>
    </row>
    <row r="3" ht="15" customFormat="1" customHeight="1" s="380">
      <c r="A3" s="521" t="inlineStr">
        <is>
          <t>Month #</t>
        </is>
      </c>
      <c r="C3" s="521" t="n">
        <v>-2</v>
      </c>
      <c r="D3" s="521" t="n">
        <v>-1</v>
      </c>
      <c r="E3" s="521" t="n">
        <v>0</v>
      </c>
      <c r="F3" s="521" t="n">
        <v>1</v>
      </c>
      <c r="G3" s="521" t="n">
        <v>2</v>
      </c>
      <c r="H3" s="521" t="n">
        <v>3</v>
      </c>
      <c r="I3" s="521" t="n">
        <v>4</v>
      </c>
      <c r="J3" s="521" t="n">
        <v>5</v>
      </c>
      <c r="K3" s="521" t="n">
        <v>6</v>
      </c>
      <c r="L3" s="521" t="n">
        <v>7</v>
      </c>
      <c r="M3" s="521" t="n">
        <v>8</v>
      </c>
      <c r="N3" s="521" t="n">
        <v>9</v>
      </c>
      <c r="O3" s="521" t="n">
        <v>10</v>
      </c>
      <c r="P3" s="521" t="n">
        <v>11</v>
      </c>
      <c r="Q3" s="521" t="n">
        <v>12</v>
      </c>
      <c r="R3" s="521" t="n">
        <v>13</v>
      </c>
      <c r="S3" s="521" t="n">
        <v>14</v>
      </c>
      <c r="T3" s="521" t="n">
        <v>15</v>
      </c>
      <c r="U3" s="521" t="n">
        <v>16</v>
      </c>
      <c r="V3" s="521" t="n">
        <v>17</v>
      </c>
      <c r="W3" s="521" t="n">
        <v>18</v>
      </c>
      <c r="X3" s="521" t="n">
        <v>19</v>
      </c>
      <c r="Y3" s="521" t="n">
        <v>20</v>
      </c>
      <c r="Z3" s="521" t="n">
        <v>21</v>
      </c>
      <c r="AA3" s="521" t="n">
        <v>22</v>
      </c>
      <c r="AB3" s="521" t="n">
        <v>23</v>
      </c>
      <c r="AC3" s="521" t="n">
        <v>24</v>
      </c>
      <c r="AD3" s="521" t="n">
        <v>25</v>
      </c>
      <c r="AE3" s="521" t="n">
        <v>26</v>
      </c>
      <c r="AF3" s="521" t="n">
        <v>27</v>
      </c>
      <c r="AG3" s="521" t="n">
        <v>28</v>
      </c>
      <c r="AH3" s="521" t="n">
        <v>29</v>
      </c>
      <c r="AI3" s="521" t="n">
        <v>30</v>
      </c>
      <c r="AJ3" s="521" t="n">
        <v>31</v>
      </c>
      <c r="AK3" s="521" t="n">
        <v>32</v>
      </c>
      <c r="AL3" s="521" t="n">
        <v>33</v>
      </c>
      <c r="AM3" s="521" t="n">
        <v>34</v>
      </c>
      <c r="AN3" s="521" t="n">
        <v>35</v>
      </c>
      <c r="AO3" s="521" t="n">
        <v>36</v>
      </c>
      <c r="AP3" s="521" t="n">
        <v>37</v>
      </c>
      <c r="AQ3" s="521" t="n">
        <v>38</v>
      </c>
      <c r="AR3" s="521" t="n">
        <v>39</v>
      </c>
      <c r="AS3" s="521" t="n">
        <v>40</v>
      </c>
      <c r="AT3" s="521" t="n">
        <v>41</v>
      </c>
      <c r="AU3" s="521" t="n">
        <v>42</v>
      </c>
      <c r="AV3" s="521" t="n">
        <v>43</v>
      </c>
      <c r="AW3" s="521" t="n">
        <v>44</v>
      </c>
      <c r="AX3" s="521" t="n">
        <v>45</v>
      </c>
      <c r="AY3" s="521" t="n">
        <v>46</v>
      </c>
      <c r="AZ3" s="521" t="n">
        <v>47</v>
      </c>
      <c r="BA3" s="521" t="n">
        <v>48</v>
      </c>
      <c r="BB3" s="521" t="n">
        <v>49</v>
      </c>
      <c r="BC3" s="521" t="n">
        <v>50</v>
      </c>
      <c r="BD3" s="521" t="n">
        <v>51</v>
      </c>
      <c r="BE3" s="521" t="n">
        <v>52</v>
      </c>
      <c r="BF3" s="521" t="n">
        <v>53</v>
      </c>
      <c r="BG3" s="521" t="n">
        <v>54</v>
      </c>
      <c r="BH3" s="521" t="n">
        <v>55</v>
      </c>
      <c r="BI3" s="521" t="n">
        <v>56</v>
      </c>
      <c r="BJ3" s="521" t="n">
        <v>57</v>
      </c>
      <c r="BK3" s="521" t="n">
        <v>58</v>
      </c>
      <c r="BL3" s="521" t="n">
        <v>59</v>
      </c>
      <c r="BM3" s="521" t="n">
        <v>60</v>
      </c>
      <c r="BN3" s="521" t="n">
        <v>61</v>
      </c>
      <c r="BO3" s="521" t="n">
        <v>62</v>
      </c>
      <c r="BP3" s="521" t="n">
        <v>63</v>
      </c>
      <c r="BQ3" s="521" t="n">
        <v>64</v>
      </c>
      <c r="BR3" s="521" t="n">
        <v>65</v>
      </c>
      <c r="BS3" s="521" t="n">
        <v>66</v>
      </c>
      <c r="BT3" s="521" t="n">
        <v>67</v>
      </c>
      <c r="BU3" s="521" t="n">
        <v>68</v>
      </c>
      <c r="BV3" s="521" t="n">
        <v>69</v>
      </c>
      <c r="BW3" s="521" t="n">
        <v>70</v>
      </c>
      <c r="BX3" s="521" t="n">
        <v>71</v>
      </c>
      <c r="BY3" s="521" t="n">
        <v>72</v>
      </c>
      <c r="BZ3" s="521" t="n">
        <v>73</v>
      </c>
      <c r="CA3" s="521" t="n">
        <v>74</v>
      </c>
      <c r="CB3" s="521" t="n">
        <v>75</v>
      </c>
      <c r="CC3" s="521" t="n">
        <v>76</v>
      </c>
      <c r="CD3" s="521" t="n">
        <v>77</v>
      </c>
      <c r="CE3" s="521" t="n">
        <v>78</v>
      </c>
      <c r="CF3" s="521" t="n">
        <v>79</v>
      </c>
      <c r="CG3" s="521" t="n">
        <v>80</v>
      </c>
      <c r="CH3" s="521" t="n">
        <v>81</v>
      </c>
      <c r="CI3" s="521" t="n">
        <v>82</v>
      </c>
      <c r="CJ3" s="521" t="n">
        <v>83</v>
      </c>
      <c r="CK3" s="521" t="n">
        <v>84</v>
      </c>
      <c r="CL3" s="521" t="n">
        <v>85</v>
      </c>
      <c r="CM3" s="521" t="n">
        <v>86</v>
      </c>
      <c r="CN3" s="521" t="n">
        <v>87</v>
      </c>
      <c r="CO3" s="521" t="n">
        <v>88</v>
      </c>
      <c r="CP3" s="521" t="n">
        <v>89</v>
      </c>
      <c r="CQ3" s="521" t="n">
        <v>90</v>
      </c>
      <c r="CR3" s="521" t="n">
        <v>91</v>
      </c>
      <c r="CS3" s="521" t="n">
        <v>92</v>
      </c>
      <c r="CT3" s="521" t="n">
        <v>93</v>
      </c>
      <c r="CU3" s="521" t="n">
        <v>94</v>
      </c>
      <c r="CV3" s="521" t="n">
        <v>95</v>
      </c>
      <c r="CW3" s="521" t="n">
        <v>96</v>
      </c>
      <c r="CX3" s="521" t="n">
        <v>97</v>
      </c>
      <c r="CY3" s="521" t="n">
        <v>98</v>
      </c>
      <c r="CZ3" s="521" t="n">
        <v>99</v>
      </c>
      <c r="DA3" s="521" t="n">
        <v>100</v>
      </c>
      <c r="DB3" s="521" t="n">
        <v>101</v>
      </c>
      <c r="DC3" s="521" t="n">
        <v>102</v>
      </c>
      <c r="DD3" s="521" t="n">
        <v>103</v>
      </c>
      <c r="DE3" s="521" t="n">
        <v>104</v>
      </c>
      <c r="DF3" s="521" t="n">
        <v>105</v>
      </c>
    </row>
    <row r="7" ht="15" customFormat="1" customHeight="1" s="380">
      <c r="A7" s="468" t="n"/>
      <c r="C7" s="483" t="n"/>
      <c r="D7" s="483" t="n"/>
      <c r="E7" s="483" t="n"/>
      <c r="F7" s="522" t="n"/>
      <c r="G7" s="522" t="n"/>
      <c r="H7" s="522" t="n"/>
      <c r="I7" s="522" t="n"/>
      <c r="J7" s="522" t="n"/>
      <c r="K7" s="522" t="n"/>
      <c r="L7" s="522" t="n"/>
      <c r="M7" s="522" t="n"/>
      <c r="N7" s="522" t="n"/>
      <c r="O7" s="522" t="n"/>
      <c r="P7" s="522" t="n"/>
      <c r="Q7" s="522" t="n"/>
      <c r="R7" s="522" t="n"/>
      <c r="S7" s="522" t="n"/>
      <c r="T7" s="522" t="n"/>
      <c r="U7" s="522" t="n"/>
      <c r="V7" s="522" t="n"/>
      <c r="W7" s="522" t="n"/>
      <c r="X7" s="522" t="n"/>
      <c r="Y7" s="522" t="n"/>
      <c r="Z7" s="522" t="n"/>
      <c r="AA7" s="522" t="n"/>
      <c r="AB7" s="522" t="n"/>
      <c r="AC7" s="522" t="n"/>
      <c r="AD7" s="522" t="n"/>
      <c r="AE7" s="522" t="n"/>
      <c r="AF7" s="522" t="n"/>
      <c r="AG7" s="522" t="n"/>
      <c r="AH7" s="522" t="n"/>
      <c r="AI7" s="522" t="n"/>
      <c r="AJ7" s="522" t="n"/>
      <c r="AK7" s="522" t="n"/>
      <c r="AL7" s="522" t="n"/>
      <c r="AM7" s="522" t="n"/>
      <c r="AN7" s="522" t="n"/>
      <c r="AO7" s="522" t="n"/>
      <c r="AP7" s="522" t="n"/>
      <c r="AQ7" s="522" t="n"/>
      <c r="AR7" s="522" t="n"/>
      <c r="AS7" s="522" t="n"/>
      <c r="AT7" s="522" t="n"/>
      <c r="AU7" s="522" t="n"/>
      <c r="AV7" s="522" t="n"/>
      <c r="AW7" s="522" t="n"/>
      <c r="AX7" s="522" t="n"/>
      <c r="AY7" s="522" t="n"/>
      <c r="AZ7" s="522" t="n"/>
      <c r="BA7" s="522" t="n"/>
      <c r="BB7" s="522" t="n"/>
      <c r="BC7" s="522" t="n"/>
      <c r="BD7" s="522" t="n"/>
      <c r="BE7" s="522" t="n"/>
      <c r="BF7" s="522" t="n"/>
      <c r="BG7" s="522" t="n"/>
      <c r="BH7" s="522" t="n"/>
      <c r="BI7" s="522" t="n"/>
      <c r="BJ7" s="522" t="n"/>
      <c r="BK7" s="522" t="n"/>
      <c r="BL7" s="522" t="n"/>
      <c r="BM7" s="522" t="n"/>
      <c r="BN7" s="522" t="n"/>
      <c r="BO7" s="522" t="n"/>
      <c r="BP7" s="522" t="n"/>
      <c r="BQ7" s="522" t="n"/>
      <c r="BR7" s="522" t="n"/>
      <c r="BS7" s="522" t="n"/>
      <c r="BT7" s="522" t="n"/>
      <c r="BU7" s="522" t="n"/>
      <c r="BV7" s="522" t="n"/>
      <c r="BW7" s="522" t="n"/>
      <c r="BX7" s="522" t="n"/>
      <c r="BY7" s="522" t="n"/>
      <c r="BZ7" s="522" t="n"/>
      <c r="CA7" s="522" t="n"/>
      <c r="CB7" s="522" t="n"/>
      <c r="CC7" s="522" t="n"/>
      <c r="CD7" s="522" t="n"/>
      <c r="CE7" s="522" t="n"/>
      <c r="CF7" s="522" t="n"/>
      <c r="CG7" s="522" t="n"/>
      <c r="CH7" s="522" t="n"/>
      <c r="CI7" s="522" t="n"/>
      <c r="CJ7" s="522" t="n"/>
      <c r="CK7" s="522" t="n"/>
      <c r="CL7" s="522" t="n"/>
      <c r="CM7" s="522" t="n"/>
      <c r="CN7" s="522" t="n"/>
      <c r="CO7" s="522" t="n"/>
      <c r="CP7" s="522" t="n"/>
      <c r="CQ7" s="522" t="n"/>
      <c r="CR7" s="522" t="n"/>
      <c r="CS7" s="522" t="n"/>
      <c r="CT7" s="522" t="n"/>
      <c r="CU7" s="522" t="n"/>
      <c r="CV7" s="522" t="n"/>
      <c r="CW7" s="522" t="n"/>
      <c r="CX7" s="522" t="n"/>
      <c r="CY7" s="522" t="n"/>
      <c r="CZ7" s="522" t="n"/>
      <c r="DA7" s="522" t="n"/>
      <c r="DB7" s="522" t="n"/>
      <c r="DC7" s="522" t="n"/>
      <c r="DD7" s="522" t="n"/>
      <c r="DE7" s="522" t="n"/>
      <c r="DF7" s="522" t="n"/>
    </row>
    <row r="8" ht="15" customFormat="1" customHeight="1" s="380">
      <c r="A8" s="478" t="inlineStr">
        <is>
          <t>Other GC Income</t>
        </is>
      </c>
      <c r="C8" s="523" t="n">
        <v>116363.3</v>
      </c>
      <c r="D8" s="523" t="n">
        <v>138801.52</v>
      </c>
      <c r="E8" s="523" t="n">
        <v>219366.88</v>
      </c>
      <c r="F8" s="524" t="n">
        <v>267934.879957489</v>
      </c>
      <c r="G8" s="524" t="n">
        <v>267934.879957489</v>
      </c>
      <c r="H8" s="524" t="n">
        <v>267934.879957489</v>
      </c>
      <c r="I8" s="524" t="n">
        <v>361542.001995889</v>
      </c>
      <c r="J8" s="524" t="n">
        <v>361542.001995889</v>
      </c>
      <c r="K8" s="524" t="n">
        <v>361542.001995889</v>
      </c>
      <c r="L8" s="524" t="n">
        <v>442929.46088908</v>
      </c>
      <c r="M8" s="524" t="n">
        <v>525344.508604757</v>
      </c>
      <c r="N8" s="524" t="n">
        <v>442616.790480539</v>
      </c>
      <c r="O8" s="524" t="n">
        <v>442616.790480539</v>
      </c>
      <c r="P8" s="524" t="n">
        <v>442616.790480539</v>
      </c>
      <c r="Q8" s="524" t="n">
        <v>442616.790480539</v>
      </c>
      <c r="R8" s="524" t="n">
        <v>541230.826148622</v>
      </c>
      <c r="S8" s="524" t="n">
        <v>541230.826148622</v>
      </c>
      <c r="T8" s="524" t="n">
        <v>631894.944867622</v>
      </c>
      <c r="U8" s="524" t="n">
        <v>495791.549552305</v>
      </c>
      <c r="V8" s="524" t="n">
        <v>343974.804822852</v>
      </c>
      <c r="W8" s="524" t="n">
        <v>343974.804822852</v>
      </c>
      <c r="X8" s="524" t="n">
        <v>356437.861811602</v>
      </c>
      <c r="Y8" s="524" t="n">
        <v>331511.747834102</v>
      </c>
      <c r="Z8" s="524" t="n">
        <v>331511.747834102</v>
      </c>
      <c r="AA8" s="524" t="n">
        <v>331511.747834102</v>
      </c>
      <c r="AB8" s="524" t="n">
        <v>331511.747834102</v>
      </c>
      <c r="AC8" s="524" t="n">
        <v>331511.747834102</v>
      </c>
      <c r="AD8" s="524" t="n">
        <v>378380.997071102</v>
      </c>
      <c r="AE8" s="524" t="n">
        <v>284642.498597102</v>
      </c>
      <c r="AF8" s="524" t="n">
        <v>374733.909031035</v>
      </c>
      <c r="AG8" s="524" t="n">
        <v>374733.909031035</v>
      </c>
      <c r="AH8" s="524" t="n">
        <v>374733.909031035</v>
      </c>
      <c r="AI8" s="524" t="n">
        <v>374733.909031035</v>
      </c>
      <c r="AJ8" s="524" t="n">
        <v>447874.706379785</v>
      </c>
      <c r="AK8" s="524" t="n">
        <v>316830.777796608</v>
      </c>
      <c r="AL8" s="524" t="n">
        <v>464631.496804608</v>
      </c>
      <c r="AM8" s="524" t="n">
        <v>223223.655758208</v>
      </c>
      <c r="AN8" s="524" t="n">
        <v>223223.655758208</v>
      </c>
      <c r="AO8" s="524" t="n">
        <v>277726.092057458</v>
      </c>
      <c r="AP8" s="524" t="n">
        <v>188705.446102017</v>
      </c>
      <c r="AQ8" s="524" t="n">
        <v>188705.446102017</v>
      </c>
      <c r="AR8" s="524" t="n">
        <v>188705.446102017</v>
      </c>
      <c r="AS8" s="524" t="n">
        <v>188705.446102017</v>
      </c>
      <c r="AT8" s="524" t="n">
        <v>188705.446102017</v>
      </c>
      <c r="AU8" s="524" t="n">
        <v>344411.818209517</v>
      </c>
      <c r="AV8" s="524" t="n">
        <v>90091.4104339333</v>
      </c>
      <c r="AW8" s="524" t="n">
        <v>90091.4104339333</v>
      </c>
      <c r="AX8" s="524" t="n">
        <v>90091.4104339333</v>
      </c>
      <c r="AY8" s="524" t="n">
        <v>90091.4104339333</v>
      </c>
      <c r="AZ8" s="524" t="n">
        <v>90091.4104339333</v>
      </c>
      <c r="BA8" s="524" t="n">
        <v>90091.4104339333</v>
      </c>
      <c r="BB8" s="524" t="n">
        <v>90091.4104339333</v>
      </c>
      <c r="BC8" s="524" t="n">
        <v>90091.4104339333</v>
      </c>
      <c r="BD8" s="524" t="n">
        <v>90091.4104339333</v>
      </c>
      <c r="BE8" s="524" t="n">
        <v>90091.4104339333</v>
      </c>
      <c r="BF8" s="524" t="n">
        <v>90091.4104339333</v>
      </c>
      <c r="BG8" s="524" t="n">
        <v>90091.4104339333</v>
      </c>
      <c r="BH8" s="524" t="n">
        <v>90091.4104339333</v>
      </c>
      <c r="BI8" s="524" t="n">
        <v>232341.005855933</v>
      </c>
      <c r="BJ8" s="524" t="n">
        <v>0</v>
      </c>
      <c r="BK8" s="524" t="n">
        <v>0</v>
      </c>
      <c r="BL8" s="524" t="n">
        <v>0</v>
      </c>
      <c r="BM8" s="524" t="n">
        <v>0</v>
      </c>
      <c r="BN8" s="524" t="n">
        <v>0</v>
      </c>
      <c r="BO8" s="524" t="n">
        <v>0</v>
      </c>
      <c r="BP8" s="524" t="n">
        <v>0</v>
      </c>
      <c r="BQ8" s="524" t="n">
        <v>0</v>
      </c>
      <c r="BR8" s="524" t="n">
        <v>0</v>
      </c>
      <c r="BS8" s="524" t="n">
        <v>0</v>
      </c>
      <c r="BT8" s="524" t="n">
        <v>0</v>
      </c>
      <c r="BU8" s="524" t="n">
        <v>0</v>
      </c>
      <c r="BV8" s="524" t="n">
        <v>0</v>
      </c>
      <c r="BW8" s="524" t="n">
        <v>0</v>
      </c>
      <c r="BX8" s="524" t="n">
        <v>0</v>
      </c>
      <c r="BY8" s="524" t="n">
        <v>0</v>
      </c>
      <c r="BZ8" s="524" t="n">
        <v>0</v>
      </c>
      <c r="CA8" s="524" t="n">
        <v>0</v>
      </c>
      <c r="CB8" s="524" t="n">
        <v>0</v>
      </c>
      <c r="CC8" s="524" t="n">
        <v>0</v>
      </c>
      <c r="CD8" s="524" t="n">
        <v>0</v>
      </c>
      <c r="CE8" s="524" t="n">
        <v>0</v>
      </c>
      <c r="CF8" s="524" t="n">
        <v>0</v>
      </c>
      <c r="CG8" s="524" t="n">
        <v>0</v>
      </c>
      <c r="CH8" s="524" t="n">
        <v>0</v>
      </c>
      <c r="CI8" s="524" t="n">
        <v>0</v>
      </c>
      <c r="CJ8" s="524" t="n">
        <v>0</v>
      </c>
      <c r="CK8" s="524" t="n">
        <v>0</v>
      </c>
      <c r="CL8" s="524" t="n">
        <v>0</v>
      </c>
      <c r="CM8" s="524" t="n">
        <v>0</v>
      </c>
      <c r="CN8" s="524" t="n">
        <v>0</v>
      </c>
      <c r="CO8" s="524" t="n">
        <v>0</v>
      </c>
      <c r="CP8" s="524" t="n">
        <v>0</v>
      </c>
      <c r="CQ8" s="524" t="n">
        <v>0</v>
      </c>
      <c r="CR8" s="524" t="n">
        <v>0</v>
      </c>
      <c r="CS8" s="524" t="n">
        <v>0</v>
      </c>
      <c r="CT8" s="524" t="n">
        <v>0</v>
      </c>
      <c r="CU8" s="524" t="n">
        <v>0</v>
      </c>
      <c r="CV8" s="524" t="n">
        <v>0</v>
      </c>
      <c r="CW8" s="524" t="n">
        <v>0</v>
      </c>
      <c r="CX8" s="524" t="n">
        <v>0</v>
      </c>
      <c r="CY8" s="524" t="n">
        <v>0</v>
      </c>
      <c r="CZ8" s="524" t="n">
        <v>0</v>
      </c>
      <c r="DA8" s="524" t="n">
        <v>0</v>
      </c>
      <c r="DB8" s="524" t="n">
        <v>0</v>
      </c>
      <c r="DC8" s="524" t="n">
        <v>0</v>
      </c>
      <c r="DD8" s="524" t="n">
        <v>0</v>
      </c>
      <c r="DE8" s="524" t="n">
        <v>0</v>
      </c>
      <c r="DF8" s="524" t="n">
        <v>0</v>
      </c>
    </row>
    <row r="9" ht="15" customFormat="1" customHeight="1" s="380">
      <c r="A9" s="468" t="inlineStr">
        <is>
          <t>Project Supervision Revenue</t>
        </is>
      </c>
      <c r="C9" s="483" t="n">
        <v>0</v>
      </c>
      <c r="D9" s="483" t="n">
        <v>0</v>
      </c>
      <c r="E9" s="483" t="n">
        <v>0</v>
      </c>
      <c r="F9" s="522" t="n">
        <v>0</v>
      </c>
      <c r="G9" s="522" t="n">
        <v>0</v>
      </c>
      <c r="H9" s="522" t="n">
        <v>0</v>
      </c>
      <c r="I9" s="522" t="n">
        <v>0</v>
      </c>
      <c r="J9" s="522" t="n">
        <v>0</v>
      </c>
      <c r="K9" s="522" t="n">
        <v>0</v>
      </c>
      <c r="L9" s="522" t="n">
        <v>0</v>
      </c>
      <c r="M9" s="522" t="n">
        <v>0</v>
      </c>
      <c r="N9" s="522" t="n">
        <v>0</v>
      </c>
      <c r="O9" s="522" t="n">
        <v>0</v>
      </c>
      <c r="P9" s="522" t="n">
        <v>0</v>
      </c>
      <c r="Q9" s="522" t="n">
        <v>0</v>
      </c>
      <c r="R9" s="522" t="n">
        <v>0</v>
      </c>
      <c r="S9" s="522" t="n">
        <v>0</v>
      </c>
      <c r="T9" s="522" t="n">
        <v>0</v>
      </c>
      <c r="U9" s="522" t="n">
        <v>0</v>
      </c>
      <c r="V9" s="522" t="n">
        <v>0</v>
      </c>
      <c r="W9" s="522" t="n">
        <v>0</v>
      </c>
      <c r="X9" s="522" t="n">
        <v>0</v>
      </c>
      <c r="Y9" s="522" t="n">
        <v>0</v>
      </c>
      <c r="Z9" s="522" t="n">
        <v>0</v>
      </c>
      <c r="AA9" s="522" t="n">
        <v>0</v>
      </c>
      <c r="AB9" s="522" t="n">
        <v>0</v>
      </c>
      <c r="AC9" s="522" t="n">
        <v>0</v>
      </c>
      <c r="AD9" s="522" t="n">
        <v>0</v>
      </c>
      <c r="AE9" s="522" t="n">
        <v>0</v>
      </c>
      <c r="AF9" s="522" t="n">
        <v>0</v>
      </c>
      <c r="AG9" s="522" t="n">
        <v>0</v>
      </c>
      <c r="AH9" s="522" t="n">
        <v>0</v>
      </c>
      <c r="AI9" s="522" t="n">
        <v>0</v>
      </c>
      <c r="AJ9" s="522" t="n">
        <v>0</v>
      </c>
      <c r="AK9" s="522" t="n">
        <v>0</v>
      </c>
      <c r="AL9" s="522" t="n">
        <v>0</v>
      </c>
      <c r="AM9" s="522" t="n">
        <v>0</v>
      </c>
      <c r="AN9" s="522" t="n">
        <v>0</v>
      </c>
      <c r="AO9" s="522" t="n">
        <v>0</v>
      </c>
      <c r="AP9" s="522" t="n">
        <v>0</v>
      </c>
      <c r="AQ9" s="522" t="n">
        <v>0</v>
      </c>
      <c r="AR9" s="522" t="n">
        <v>0</v>
      </c>
      <c r="AS9" s="522" t="n">
        <v>0</v>
      </c>
      <c r="AT9" s="522" t="n">
        <v>0</v>
      </c>
      <c r="AU9" s="522" t="n">
        <v>0</v>
      </c>
      <c r="AV9" s="522" t="n">
        <v>0</v>
      </c>
      <c r="AW9" s="522" t="n">
        <v>0</v>
      </c>
      <c r="AX9" s="522" t="n">
        <v>0</v>
      </c>
      <c r="AY9" s="522" t="n">
        <v>0</v>
      </c>
      <c r="AZ9" s="522" t="n">
        <v>0</v>
      </c>
      <c r="BA9" s="522" t="n">
        <v>0</v>
      </c>
      <c r="BB9" s="522" t="n">
        <v>0</v>
      </c>
      <c r="BC9" s="522" t="n">
        <v>0</v>
      </c>
      <c r="BD9" s="522" t="n">
        <v>0</v>
      </c>
      <c r="BE9" s="522" t="n">
        <v>0</v>
      </c>
      <c r="BF9" s="522" t="n">
        <v>0</v>
      </c>
      <c r="BG9" s="522" t="n">
        <v>0</v>
      </c>
      <c r="BH9" s="522" t="n">
        <v>0</v>
      </c>
      <c r="BI9" s="522" t="n">
        <v>0</v>
      </c>
      <c r="BJ9" s="522" t="n">
        <v>0</v>
      </c>
      <c r="BK9" s="522" t="n">
        <v>0</v>
      </c>
      <c r="BL9" s="522" t="n">
        <v>0</v>
      </c>
      <c r="BM9" s="522" t="n">
        <v>0</v>
      </c>
      <c r="BN9" s="522" t="n">
        <v>0</v>
      </c>
      <c r="BO9" s="522" t="n">
        <v>0</v>
      </c>
      <c r="BP9" s="522" t="n">
        <v>0</v>
      </c>
      <c r="BQ9" s="522" t="n">
        <v>0</v>
      </c>
      <c r="BR9" s="522" t="n">
        <v>0</v>
      </c>
      <c r="BS9" s="522" t="n">
        <v>0</v>
      </c>
      <c r="BT9" s="522" t="n">
        <v>0</v>
      </c>
      <c r="BU9" s="522" t="n">
        <v>0</v>
      </c>
      <c r="BV9" s="522" t="n">
        <v>0</v>
      </c>
      <c r="BW9" s="522" t="n">
        <v>0</v>
      </c>
      <c r="BX9" s="522" t="n">
        <v>0</v>
      </c>
      <c r="BY9" s="522" t="n">
        <v>0</v>
      </c>
      <c r="BZ9" s="522" t="n">
        <v>0</v>
      </c>
      <c r="CA9" s="522" t="n">
        <v>0</v>
      </c>
      <c r="CB9" s="522" t="n">
        <v>0</v>
      </c>
      <c r="CC9" s="522" t="n">
        <v>0</v>
      </c>
      <c r="CD9" s="522" t="n">
        <v>0</v>
      </c>
      <c r="CE9" s="522" t="n">
        <v>0</v>
      </c>
      <c r="CF9" s="522" t="n">
        <v>0</v>
      </c>
      <c r="CG9" s="522" t="n">
        <v>0</v>
      </c>
      <c r="CH9" s="522" t="n">
        <v>0</v>
      </c>
      <c r="CI9" s="522" t="n">
        <v>0</v>
      </c>
      <c r="CJ9" s="522" t="n">
        <v>0</v>
      </c>
      <c r="CK9" s="522" t="n">
        <v>0</v>
      </c>
      <c r="CL9" s="522" t="n">
        <v>0</v>
      </c>
      <c r="CM9" s="522" t="n">
        <v>0</v>
      </c>
      <c r="CN9" s="522" t="n">
        <v>0</v>
      </c>
      <c r="CO9" s="522" t="n">
        <v>0</v>
      </c>
      <c r="CP9" s="522" t="n">
        <v>0</v>
      </c>
      <c r="CQ9" s="522" t="n">
        <v>0</v>
      </c>
      <c r="CR9" s="522" t="n">
        <v>0</v>
      </c>
      <c r="CS9" s="522" t="n">
        <v>0</v>
      </c>
      <c r="CT9" s="522" t="n">
        <v>0</v>
      </c>
      <c r="CU9" s="522" t="n">
        <v>0</v>
      </c>
      <c r="CV9" s="522" t="n">
        <v>0</v>
      </c>
      <c r="CW9" s="522" t="n">
        <v>0</v>
      </c>
      <c r="CX9" s="522" t="n">
        <v>0</v>
      </c>
      <c r="CY9" s="522" t="n">
        <v>0</v>
      </c>
      <c r="CZ9" s="522" t="n">
        <v>0</v>
      </c>
      <c r="DA9" s="522" t="n">
        <v>0</v>
      </c>
      <c r="DB9" s="522" t="n">
        <v>0</v>
      </c>
      <c r="DC9" s="522" t="n">
        <v>0</v>
      </c>
      <c r="DD9" s="522" t="n">
        <v>0</v>
      </c>
      <c r="DE9" s="522" t="n">
        <v>0</v>
      </c>
      <c r="DF9" s="522" t="n">
        <v>0</v>
      </c>
    </row>
    <row r="10" ht="15" customFormat="1" customHeight="1" s="380">
      <c r="A10" s="468" t="inlineStr">
        <is>
          <t>GC-CM Fee Revenue</t>
        </is>
      </c>
      <c r="C10" s="483" t="n">
        <v>95370.25</v>
      </c>
      <c r="D10" s="483" t="n">
        <v>173282.89</v>
      </c>
      <c r="E10" s="483" t="n">
        <v>50438.85</v>
      </c>
      <c r="F10" s="522" t="n">
        <v>200950.186296774</v>
      </c>
      <c r="G10" s="522" t="n">
        <v>200950.186296774</v>
      </c>
      <c r="H10" s="522" t="n">
        <v>200950.186296774</v>
      </c>
      <c r="I10" s="522" t="n">
        <v>271155.187658694</v>
      </c>
      <c r="J10" s="522" t="n">
        <v>271155.187658694</v>
      </c>
      <c r="K10" s="522" t="n">
        <v>271155.187658694</v>
      </c>
      <c r="L10" s="522" t="n">
        <v>332195.486067781</v>
      </c>
      <c r="M10" s="522" t="n">
        <v>394006.472359489</v>
      </c>
      <c r="N10" s="522" t="n">
        <v>331960.984397614</v>
      </c>
      <c r="O10" s="522" t="n">
        <v>331960.984397614</v>
      </c>
      <c r="P10" s="522" t="n">
        <v>331960.984397614</v>
      </c>
      <c r="Q10" s="522" t="n">
        <v>331960.984397614</v>
      </c>
      <c r="R10" s="522" t="n">
        <v>405921.152786748</v>
      </c>
      <c r="S10" s="522" t="n">
        <v>405921.152786748</v>
      </c>
      <c r="T10" s="522" t="n">
        <v>473918.912353948</v>
      </c>
      <c r="U10" s="522" t="n">
        <v>371841.860465161</v>
      </c>
      <c r="V10" s="522" t="n">
        <v>257979.853617848</v>
      </c>
      <c r="W10" s="522" t="n">
        <v>257979.853617848</v>
      </c>
      <c r="X10" s="522" t="n">
        <v>267327.101068848</v>
      </c>
      <c r="Y10" s="522" t="n">
        <v>248632.606166848</v>
      </c>
      <c r="Z10" s="522" t="n">
        <v>248632.606166848</v>
      </c>
      <c r="AA10" s="522" t="n">
        <v>248632.606166848</v>
      </c>
      <c r="AB10" s="522" t="n">
        <v>248632.606166848</v>
      </c>
      <c r="AC10" s="522" t="n">
        <v>248632.606166848</v>
      </c>
      <c r="AD10" s="522" t="n">
        <v>283784.372772448</v>
      </c>
      <c r="AE10" s="522" t="n">
        <v>213480.839561248</v>
      </c>
      <c r="AF10" s="522" t="n">
        <v>281049.069995862</v>
      </c>
      <c r="AG10" s="522" t="n">
        <v>281049.069995862</v>
      </c>
      <c r="AH10" s="522" t="n">
        <v>281049.069995862</v>
      </c>
      <c r="AI10" s="522" t="n">
        <v>281049.069995862</v>
      </c>
      <c r="AJ10" s="522" t="n">
        <v>335904.402214862</v>
      </c>
      <c r="AK10" s="522" t="n">
        <v>237621.931989153</v>
      </c>
      <c r="AL10" s="522" t="n">
        <v>348471.934139553</v>
      </c>
      <c r="AM10" s="522" t="n">
        <v>167416.930627233</v>
      </c>
      <c r="AN10" s="522" t="n">
        <v>167416.930627233</v>
      </c>
      <c r="AO10" s="522" t="n">
        <v>208293.559790633</v>
      </c>
      <c r="AP10" s="522" t="n">
        <v>141528.398823747</v>
      </c>
      <c r="AQ10" s="522" t="n">
        <v>141528.398823747</v>
      </c>
      <c r="AR10" s="522" t="n">
        <v>141528.398823747</v>
      </c>
      <c r="AS10" s="522" t="n">
        <v>141528.398823747</v>
      </c>
      <c r="AT10" s="522" t="n">
        <v>141528.398823747</v>
      </c>
      <c r="AU10" s="522" t="n">
        <v>258307.612069747</v>
      </c>
      <c r="AV10" s="522" t="n">
        <v>67568.2304346134</v>
      </c>
      <c r="AW10" s="522" t="n">
        <v>67568.2304346134</v>
      </c>
      <c r="AX10" s="522" t="n">
        <v>67568.2304346134</v>
      </c>
      <c r="AY10" s="522" t="n">
        <v>67568.2304346134</v>
      </c>
      <c r="AZ10" s="522" t="n">
        <v>67568.2304346134</v>
      </c>
      <c r="BA10" s="522" t="n">
        <v>67568.2304346134</v>
      </c>
      <c r="BB10" s="522" t="n">
        <v>67568.2304346134</v>
      </c>
      <c r="BC10" s="522" t="n">
        <v>67568.2304346134</v>
      </c>
      <c r="BD10" s="522" t="n">
        <v>67568.2304346134</v>
      </c>
      <c r="BE10" s="522" t="n">
        <v>67568.2304346134</v>
      </c>
      <c r="BF10" s="522" t="n">
        <v>67568.2304346134</v>
      </c>
      <c r="BG10" s="522" t="n">
        <v>67568.2304346134</v>
      </c>
      <c r="BH10" s="522" t="n">
        <v>67568.2304346134</v>
      </c>
      <c r="BI10" s="522" t="n">
        <v>174254.910068213</v>
      </c>
      <c r="BJ10" s="522" t="n">
        <v>0</v>
      </c>
      <c r="BK10" s="522" t="n">
        <v>0</v>
      </c>
      <c r="BL10" s="522" t="n">
        <v>0</v>
      </c>
      <c r="BM10" s="522" t="n">
        <v>0</v>
      </c>
      <c r="BN10" s="522" t="n">
        <v>0</v>
      </c>
      <c r="BO10" s="522" t="n">
        <v>0</v>
      </c>
      <c r="BP10" s="522" t="n">
        <v>0</v>
      </c>
      <c r="BQ10" s="522" t="n">
        <v>0</v>
      </c>
      <c r="BR10" s="522" t="n">
        <v>0</v>
      </c>
      <c r="BS10" s="522" t="n">
        <v>0</v>
      </c>
      <c r="BT10" s="522" t="n">
        <v>0</v>
      </c>
      <c r="BU10" s="522" t="n">
        <v>0</v>
      </c>
      <c r="BV10" s="522" t="n">
        <v>0</v>
      </c>
      <c r="BW10" s="522" t="n">
        <v>0</v>
      </c>
      <c r="BX10" s="522" t="n">
        <v>0</v>
      </c>
      <c r="BY10" s="522" t="n">
        <v>0</v>
      </c>
      <c r="BZ10" s="522" t="n">
        <v>0</v>
      </c>
      <c r="CA10" s="522" t="n">
        <v>0</v>
      </c>
      <c r="CB10" s="522" t="n">
        <v>0</v>
      </c>
      <c r="CC10" s="522" t="n">
        <v>0</v>
      </c>
      <c r="CD10" s="522" t="n">
        <v>0</v>
      </c>
      <c r="CE10" s="522" t="n">
        <v>0</v>
      </c>
      <c r="CF10" s="522" t="n">
        <v>0</v>
      </c>
      <c r="CG10" s="522" t="n">
        <v>0</v>
      </c>
      <c r="CH10" s="522" t="n">
        <v>0</v>
      </c>
      <c r="CI10" s="522" t="n">
        <v>0</v>
      </c>
      <c r="CJ10" s="522" t="n">
        <v>0</v>
      </c>
      <c r="CK10" s="522" t="n">
        <v>0</v>
      </c>
      <c r="CL10" s="522" t="n">
        <v>0</v>
      </c>
      <c r="CM10" s="522" t="n">
        <v>0</v>
      </c>
      <c r="CN10" s="522" t="n">
        <v>0</v>
      </c>
      <c r="CO10" s="522" t="n">
        <v>0</v>
      </c>
      <c r="CP10" s="522" t="n">
        <v>0</v>
      </c>
      <c r="CQ10" s="522" t="n">
        <v>0</v>
      </c>
      <c r="CR10" s="522" t="n">
        <v>0</v>
      </c>
      <c r="CS10" s="522" t="n">
        <v>0</v>
      </c>
      <c r="CT10" s="522" t="n">
        <v>0</v>
      </c>
      <c r="CU10" s="522" t="n">
        <v>0</v>
      </c>
      <c r="CV10" s="522" t="n">
        <v>0</v>
      </c>
      <c r="CW10" s="522" t="n">
        <v>0</v>
      </c>
      <c r="CX10" s="522" t="n">
        <v>0</v>
      </c>
      <c r="CY10" s="522" t="n">
        <v>0</v>
      </c>
      <c r="CZ10" s="522" t="n">
        <v>0</v>
      </c>
      <c r="DA10" s="522" t="n">
        <v>0</v>
      </c>
      <c r="DB10" s="522" t="n">
        <v>0</v>
      </c>
      <c r="DC10" s="522" t="n">
        <v>0</v>
      </c>
      <c r="DD10" s="522" t="n">
        <v>0</v>
      </c>
      <c r="DE10" s="522" t="n">
        <v>0</v>
      </c>
      <c r="DF10" s="522" t="n">
        <v>0</v>
      </c>
    </row>
    <row r="11" ht="15" customFormat="1" customHeight="1" s="380">
      <c r="A11" s="468" t="inlineStr">
        <is>
          <t>Project Administration Revenue</t>
        </is>
      </c>
      <c r="C11" s="525" t="n">
        <v>0</v>
      </c>
      <c r="D11" s="525" t="n">
        <v>0</v>
      </c>
      <c r="E11" s="525" t="n">
        <v>0</v>
      </c>
      <c r="F11" s="522" t="n">
        <v>0</v>
      </c>
      <c r="G11" s="522" t="n">
        <v>0</v>
      </c>
      <c r="H11" s="522" t="n">
        <v>0</v>
      </c>
      <c r="I11" s="522" t="n">
        <v>0</v>
      </c>
      <c r="J11" s="522" t="n">
        <v>0</v>
      </c>
      <c r="K11" s="522" t="n">
        <v>0</v>
      </c>
      <c r="L11" s="522" t="n">
        <v>0</v>
      </c>
      <c r="M11" s="522" t="n">
        <v>0</v>
      </c>
      <c r="N11" s="522" t="n">
        <v>0</v>
      </c>
      <c r="O11" s="522" t="n">
        <v>0</v>
      </c>
      <c r="P11" s="522" t="n">
        <v>0</v>
      </c>
      <c r="Q11" s="522" t="n">
        <v>0</v>
      </c>
      <c r="R11" s="522" t="n">
        <v>0</v>
      </c>
      <c r="S11" s="522" t="n">
        <v>0</v>
      </c>
      <c r="T11" s="522" t="n">
        <v>0</v>
      </c>
      <c r="U11" s="522" t="n">
        <v>0</v>
      </c>
      <c r="V11" s="522" t="n">
        <v>0</v>
      </c>
      <c r="W11" s="522" t="n">
        <v>0</v>
      </c>
      <c r="X11" s="522" t="n">
        <v>0</v>
      </c>
      <c r="Y11" s="522" t="n">
        <v>0</v>
      </c>
      <c r="Z11" s="522" t="n">
        <v>0</v>
      </c>
      <c r="AA11" s="522" t="n">
        <v>0</v>
      </c>
      <c r="AB11" s="522" t="n">
        <v>0</v>
      </c>
      <c r="AC11" s="522" t="n">
        <v>0</v>
      </c>
      <c r="AD11" s="522" t="n">
        <v>0</v>
      </c>
      <c r="AE11" s="522" t="n">
        <v>0</v>
      </c>
      <c r="AF11" s="522" t="n">
        <v>0</v>
      </c>
      <c r="AG11" s="522" t="n">
        <v>0</v>
      </c>
      <c r="AH11" s="522" t="n">
        <v>0</v>
      </c>
      <c r="AI11" s="522" t="n">
        <v>0</v>
      </c>
      <c r="AJ11" s="522" t="n">
        <v>0</v>
      </c>
      <c r="AK11" s="522" t="n">
        <v>0</v>
      </c>
      <c r="AL11" s="522" t="n">
        <v>0</v>
      </c>
      <c r="AM11" s="522" t="n">
        <v>0</v>
      </c>
      <c r="AN11" s="522" t="n">
        <v>0</v>
      </c>
      <c r="AO11" s="522" t="n">
        <v>0</v>
      </c>
      <c r="AP11" s="522" t="n">
        <v>0</v>
      </c>
      <c r="AQ11" s="522" t="n">
        <v>0</v>
      </c>
      <c r="AR11" s="522" t="n">
        <v>0</v>
      </c>
      <c r="AS11" s="522" t="n">
        <v>0</v>
      </c>
      <c r="AT11" s="522" t="n">
        <v>0</v>
      </c>
      <c r="AU11" s="522" t="n">
        <v>0</v>
      </c>
      <c r="AV11" s="522" t="n">
        <v>0</v>
      </c>
      <c r="AW11" s="522" t="n">
        <v>0</v>
      </c>
      <c r="AX11" s="522" t="n">
        <v>0</v>
      </c>
      <c r="AY11" s="522" t="n">
        <v>0</v>
      </c>
      <c r="AZ11" s="522" t="n">
        <v>0</v>
      </c>
      <c r="BA11" s="522" t="n">
        <v>0</v>
      </c>
      <c r="BB11" s="522" t="n">
        <v>0</v>
      </c>
      <c r="BC11" s="522" t="n">
        <v>0</v>
      </c>
      <c r="BD11" s="522" t="n">
        <v>0</v>
      </c>
      <c r="BE11" s="522" t="n">
        <v>0</v>
      </c>
      <c r="BF11" s="522" t="n">
        <v>0</v>
      </c>
      <c r="BG11" s="522" t="n">
        <v>0</v>
      </c>
      <c r="BH11" s="522" t="n">
        <v>0</v>
      </c>
      <c r="BI11" s="522" t="n">
        <v>0</v>
      </c>
      <c r="BJ11" s="522" t="n">
        <v>0</v>
      </c>
      <c r="BK11" s="522" t="n">
        <v>0</v>
      </c>
      <c r="BL11" s="522" t="n">
        <v>0</v>
      </c>
      <c r="BM11" s="522" t="n">
        <v>0</v>
      </c>
      <c r="BN11" s="522" t="n">
        <v>0</v>
      </c>
      <c r="BO11" s="522" t="n">
        <v>0</v>
      </c>
      <c r="BP11" s="522" t="n">
        <v>0</v>
      </c>
      <c r="BQ11" s="522" t="n">
        <v>0</v>
      </c>
      <c r="BR11" s="522" t="n">
        <v>0</v>
      </c>
      <c r="BS11" s="522" t="n">
        <v>0</v>
      </c>
      <c r="BT11" s="522" t="n">
        <v>0</v>
      </c>
      <c r="BU11" s="522" t="n">
        <v>0</v>
      </c>
      <c r="BV11" s="522" t="n">
        <v>0</v>
      </c>
      <c r="BW11" s="522" t="n">
        <v>0</v>
      </c>
      <c r="BX11" s="522" t="n">
        <v>0</v>
      </c>
      <c r="BY11" s="522" t="n">
        <v>0</v>
      </c>
      <c r="BZ11" s="522" t="n">
        <v>0</v>
      </c>
      <c r="CA11" s="522" t="n">
        <v>0</v>
      </c>
      <c r="CB11" s="522" t="n">
        <v>0</v>
      </c>
      <c r="CC11" s="522" t="n">
        <v>0</v>
      </c>
      <c r="CD11" s="522" t="n">
        <v>0</v>
      </c>
      <c r="CE11" s="522" t="n">
        <v>0</v>
      </c>
      <c r="CF11" s="522" t="n">
        <v>0</v>
      </c>
      <c r="CG11" s="522" t="n">
        <v>0</v>
      </c>
      <c r="CH11" s="522" t="n">
        <v>0</v>
      </c>
      <c r="CI11" s="522" t="n">
        <v>0</v>
      </c>
      <c r="CJ11" s="522" t="n">
        <v>0</v>
      </c>
      <c r="CK11" s="522" t="n">
        <v>0</v>
      </c>
      <c r="CL11" s="522" t="n">
        <v>0</v>
      </c>
      <c r="CM11" s="522" t="n">
        <v>0</v>
      </c>
      <c r="CN11" s="522" t="n">
        <v>0</v>
      </c>
      <c r="CO11" s="522" t="n">
        <v>0</v>
      </c>
      <c r="CP11" s="522" t="n">
        <v>0</v>
      </c>
      <c r="CQ11" s="522" t="n">
        <v>0</v>
      </c>
      <c r="CR11" s="522" t="n">
        <v>0</v>
      </c>
      <c r="CS11" s="522" t="n">
        <v>0</v>
      </c>
      <c r="CT11" s="522" t="n">
        <v>0</v>
      </c>
      <c r="CU11" s="522" t="n">
        <v>0</v>
      </c>
      <c r="CV11" s="522" t="n">
        <v>0</v>
      </c>
      <c r="CW11" s="522" t="n">
        <v>0</v>
      </c>
      <c r="CX11" s="522" t="n">
        <v>0</v>
      </c>
      <c r="CY11" s="522" t="n">
        <v>0</v>
      </c>
      <c r="CZ11" s="522" t="n">
        <v>0</v>
      </c>
      <c r="DA11" s="522" t="n">
        <v>0</v>
      </c>
      <c r="DB11" s="522" t="n">
        <v>0</v>
      </c>
      <c r="DC11" s="522" t="n">
        <v>0</v>
      </c>
      <c r="DD11" s="522" t="n">
        <v>0</v>
      </c>
      <c r="DE11" s="522" t="n">
        <v>0</v>
      </c>
      <c r="DF11" s="522" t="n">
        <v>0</v>
      </c>
    </row>
    <row r="12" ht="15" customFormat="1" customHeight="1" s="380">
      <c r="A12" s="478" t="inlineStr">
        <is>
          <t>Trades and Site Cost Billing</t>
        </is>
      </c>
      <c r="C12" s="523" t="n">
        <v>1242053.19</v>
      </c>
      <c r="D12" s="523" t="n">
        <v>2710434.48</v>
      </c>
      <c r="E12" s="523" t="n">
        <v>2402410.43</v>
      </c>
      <c r="F12" s="523" t="n">
        <v>3985482.58</v>
      </c>
      <c r="G12" s="523" t="n">
        <v>4178441.93</v>
      </c>
      <c r="H12" s="523" t="n">
        <v>4314673.98</v>
      </c>
      <c r="I12" s="523" t="n">
        <v>5100719.4</v>
      </c>
      <c r="J12" s="523" t="n">
        <v>5260214.26</v>
      </c>
      <c r="K12" s="523" t="n">
        <v>5352854.32</v>
      </c>
      <c r="L12" s="523" t="n">
        <v>5849570.15</v>
      </c>
      <c r="M12" s="523" t="n">
        <v>6345476.13</v>
      </c>
      <c r="N12" s="523" t="n">
        <v>6208239.26</v>
      </c>
      <c r="O12" s="523" t="n">
        <v>6395725.66</v>
      </c>
      <c r="P12" s="523" t="n">
        <v>6526715.61</v>
      </c>
      <c r="Q12" s="523" t="n">
        <v>6598279.77</v>
      </c>
      <c r="R12" s="523" t="n">
        <v>7163160.25</v>
      </c>
      <c r="S12" s="523" t="n">
        <v>7214523.9</v>
      </c>
      <c r="T12" s="523" t="n">
        <v>7044289.83</v>
      </c>
      <c r="U12" s="523" t="n">
        <v>6558946.87</v>
      </c>
      <c r="V12" s="523" t="n">
        <v>6351724.99</v>
      </c>
      <c r="W12" s="523" t="n">
        <v>6350910.58</v>
      </c>
      <c r="X12" s="523" t="n">
        <v>6231956.53</v>
      </c>
      <c r="Y12" s="523" t="n">
        <v>6016281.88</v>
      </c>
      <c r="Z12" s="523" t="n">
        <v>5778039.55</v>
      </c>
      <c r="AA12" s="523" t="n">
        <v>5481055.51</v>
      </c>
      <c r="AB12" s="523" t="n">
        <v>5142476.89</v>
      </c>
      <c r="AC12" s="523" t="n">
        <v>4779056.04</v>
      </c>
      <c r="AD12" s="523" t="n">
        <v>4323487.76</v>
      </c>
      <c r="AE12" s="523" t="n">
        <v>3830756.31</v>
      </c>
      <c r="AF12" s="523" t="n">
        <v>3598719.36</v>
      </c>
      <c r="AG12" s="523" t="n">
        <v>2781458.46</v>
      </c>
      <c r="AH12" s="523" t="n">
        <v>2827130.02</v>
      </c>
      <c r="AI12" s="523" t="n">
        <v>2855162.63</v>
      </c>
      <c r="AJ12" s="523" t="n">
        <v>2738010.36</v>
      </c>
      <c r="AK12" s="523" t="n">
        <v>2961685.5</v>
      </c>
      <c r="AL12" s="523" t="n">
        <v>2681612.9</v>
      </c>
      <c r="AM12" s="523" t="n">
        <v>3067683.88</v>
      </c>
      <c r="AN12" s="523" t="n">
        <v>3017131.53</v>
      </c>
      <c r="AO12" s="523" t="n">
        <v>2857832.82</v>
      </c>
      <c r="AP12" s="523" t="n">
        <v>2717434.99</v>
      </c>
      <c r="AQ12" s="523" t="n">
        <v>2661368.69</v>
      </c>
      <c r="AR12" s="523" t="n">
        <v>2590847.28</v>
      </c>
      <c r="AS12" s="523" t="n">
        <v>2506479.9</v>
      </c>
      <c r="AT12" s="523" t="n">
        <v>2409088.63</v>
      </c>
      <c r="AU12" s="523" t="n">
        <v>2027193.27</v>
      </c>
      <c r="AV12" s="523" t="n">
        <v>1724513.73</v>
      </c>
      <c r="AW12" s="523" t="n">
        <v>1687294.56</v>
      </c>
      <c r="AX12" s="523" t="n">
        <v>1632789.15</v>
      </c>
      <c r="AY12" s="523" t="n">
        <v>1562651.7</v>
      </c>
      <c r="AZ12" s="523" t="n">
        <v>1478825.86</v>
      </c>
      <c r="BA12" s="523" t="n">
        <v>1383586.14</v>
      </c>
      <c r="BB12" s="523" t="n">
        <v>1279496.53</v>
      </c>
      <c r="BC12" s="523" t="n">
        <v>1169079.66</v>
      </c>
      <c r="BD12" s="523" t="n">
        <v>1054982.23</v>
      </c>
      <c r="BE12" s="523" t="n">
        <v>939685.52</v>
      </c>
      <c r="BF12" s="523" t="n">
        <v>825464.03</v>
      </c>
      <c r="BG12" s="523" t="n">
        <v>714385.48</v>
      </c>
      <c r="BH12" s="523" t="n">
        <v>608145.4300000001</v>
      </c>
      <c r="BI12" s="523" t="n">
        <v>259255.01</v>
      </c>
      <c r="BJ12" s="523" t="n">
        <v>0</v>
      </c>
      <c r="BK12" s="523" t="n">
        <v>0</v>
      </c>
      <c r="BL12" s="523" t="n">
        <v>0</v>
      </c>
      <c r="BM12" s="523" t="n">
        <v>0</v>
      </c>
      <c r="BN12" s="523" t="n">
        <v>0</v>
      </c>
      <c r="BO12" s="523" t="n">
        <v>0</v>
      </c>
      <c r="BP12" s="523" t="n">
        <v>0</v>
      </c>
      <c r="BQ12" s="523" t="n">
        <v>0</v>
      </c>
      <c r="BR12" s="523" t="n">
        <v>0</v>
      </c>
      <c r="BS12" s="523" t="n">
        <v>0</v>
      </c>
      <c r="BT12" s="523" t="n">
        <v>0</v>
      </c>
      <c r="BU12" s="523" t="n">
        <v>0</v>
      </c>
      <c r="BV12" s="523" t="n">
        <v>0</v>
      </c>
      <c r="BW12" s="523" t="n">
        <v>0</v>
      </c>
      <c r="BX12" s="523" t="n">
        <v>0</v>
      </c>
      <c r="BY12" s="523" t="n">
        <v>0</v>
      </c>
      <c r="BZ12" s="523" t="n">
        <v>0</v>
      </c>
      <c r="CA12" s="523" t="n">
        <v>0</v>
      </c>
      <c r="CB12" s="523" t="n">
        <v>0</v>
      </c>
      <c r="CC12" s="523" t="n">
        <v>0</v>
      </c>
      <c r="CD12" s="523" t="n">
        <v>0</v>
      </c>
      <c r="CE12" s="523" t="n">
        <v>0</v>
      </c>
      <c r="CF12" s="523" t="n">
        <v>0</v>
      </c>
      <c r="CG12" s="523" t="n">
        <v>0</v>
      </c>
      <c r="CH12" s="523" t="n">
        <v>0</v>
      </c>
      <c r="CI12" s="523" t="n">
        <v>0</v>
      </c>
      <c r="CJ12" s="523" t="n">
        <v>0</v>
      </c>
      <c r="CK12" s="523" t="n">
        <v>0</v>
      </c>
      <c r="CL12" s="523" t="n">
        <v>0</v>
      </c>
      <c r="CM12" s="523" t="n">
        <v>0</v>
      </c>
      <c r="CN12" s="523" t="n">
        <v>0</v>
      </c>
      <c r="CO12" s="523" t="n">
        <v>0</v>
      </c>
      <c r="CP12" s="523" t="n">
        <v>0</v>
      </c>
      <c r="CQ12" s="523" t="n">
        <v>0</v>
      </c>
      <c r="CR12" s="523" t="n">
        <v>0</v>
      </c>
      <c r="CS12" s="523" t="n">
        <v>0</v>
      </c>
      <c r="CT12" s="523" t="n">
        <v>0</v>
      </c>
      <c r="CU12" s="523" t="n">
        <v>0</v>
      </c>
      <c r="CV12" s="523" t="n">
        <v>0</v>
      </c>
      <c r="CW12" s="523" t="n">
        <v>0</v>
      </c>
      <c r="CX12" s="523" t="n">
        <v>0</v>
      </c>
      <c r="CY12" s="523" t="n">
        <v>0</v>
      </c>
      <c r="CZ12" s="523" t="n">
        <v>0</v>
      </c>
      <c r="DA12" s="523" t="n">
        <v>0</v>
      </c>
      <c r="DB12" s="523" t="n">
        <v>0</v>
      </c>
      <c r="DC12" s="523" t="n">
        <v>0</v>
      </c>
      <c r="DD12" s="523" t="n">
        <v>0</v>
      </c>
      <c r="DE12" s="523" t="n">
        <v>0</v>
      </c>
      <c r="DF12" s="523" t="n">
        <v>0</v>
      </c>
    </row>
    <row r="13" ht="15" customFormat="1" customHeight="1" s="380">
      <c r="A13" s="473" t="inlineStr">
        <is>
          <t>Total Revenues</t>
        </is>
      </c>
      <c r="C13" s="526">
        <f>C8+C10+C12</f>
        <v/>
      </c>
      <c r="D13" s="526">
        <f>D8+D10+D12</f>
        <v/>
      </c>
      <c r="E13" s="526">
        <f>E8+E10+E12</f>
        <v/>
      </c>
      <c r="F13" s="526">
        <f>F8+F10+F12</f>
        <v/>
      </c>
      <c r="G13" s="526">
        <f>G8+G10+G12</f>
        <v/>
      </c>
      <c r="H13" s="526">
        <f>H8+H10+H12</f>
        <v/>
      </c>
      <c r="I13" s="526">
        <f>I8+I10+I12</f>
        <v/>
      </c>
      <c r="J13" s="526">
        <f>J8+J10+J12</f>
        <v/>
      </c>
      <c r="K13" s="526">
        <f>K8+K10+K12</f>
        <v/>
      </c>
      <c r="L13" s="526">
        <f>L8+L10+L12</f>
        <v/>
      </c>
      <c r="M13" s="526">
        <f>M8+M10+M12</f>
        <v/>
      </c>
      <c r="N13" s="526">
        <f>N8+N10+N12</f>
        <v/>
      </c>
      <c r="O13" s="526">
        <f>O8+O10+O12</f>
        <v/>
      </c>
      <c r="P13" s="526">
        <f>P8+P10+P12</f>
        <v/>
      </c>
      <c r="Q13" s="526">
        <f>Q8+Q10+Q12</f>
        <v/>
      </c>
      <c r="R13" s="526">
        <f>R8+R10+R12</f>
        <v/>
      </c>
      <c r="S13" s="526">
        <f>S8+S10+S12</f>
        <v/>
      </c>
      <c r="T13" s="526">
        <f>T8+T10+T12</f>
        <v/>
      </c>
      <c r="U13" s="526">
        <f>U8+U10+U12</f>
        <v/>
      </c>
      <c r="V13" s="526">
        <f>V8+V10+V12</f>
        <v/>
      </c>
      <c r="W13" s="526">
        <f>W8+W10+W12</f>
        <v/>
      </c>
      <c r="X13" s="526">
        <f>X8+X10+X12</f>
        <v/>
      </c>
      <c r="Y13" s="526">
        <f>Y8+Y10+Y12</f>
        <v/>
      </c>
      <c r="Z13" s="526">
        <f>Z8+Z10+Z12</f>
        <v/>
      </c>
      <c r="AA13" s="526">
        <f>AA8+AA10+AA12</f>
        <v/>
      </c>
      <c r="AB13" s="526">
        <f>AB8+AB10+AB12</f>
        <v/>
      </c>
      <c r="AC13" s="526">
        <f>AC8+AC10+AC12</f>
        <v/>
      </c>
      <c r="AD13" s="526">
        <f>AD8+AD10+AD12</f>
        <v/>
      </c>
      <c r="AE13" s="526">
        <f>AE8+AE10+AE12</f>
        <v/>
      </c>
      <c r="AF13" s="526">
        <f>AF8+AF10+AF12</f>
        <v/>
      </c>
      <c r="AG13" s="526">
        <f>AG8+AG10+AG12</f>
        <v/>
      </c>
      <c r="AH13" s="526">
        <f>AH8+AH10+AH12</f>
        <v/>
      </c>
      <c r="AI13" s="526">
        <f>AI8+AI10+AI12</f>
        <v/>
      </c>
      <c r="AJ13" s="526">
        <f>AJ8+AJ10+AJ12</f>
        <v/>
      </c>
      <c r="AK13" s="526">
        <f>AK8+AK10+AK12</f>
        <v/>
      </c>
      <c r="AL13" s="526">
        <f>AL8+AL10+AL12</f>
        <v/>
      </c>
      <c r="AM13" s="526">
        <f>AM8+AM10+AM12</f>
        <v/>
      </c>
      <c r="AN13" s="526">
        <f>AN8+AN10+AN12</f>
        <v/>
      </c>
      <c r="AO13" s="526">
        <f>AO8+AO10+AO12</f>
        <v/>
      </c>
      <c r="AP13" s="526">
        <f>AP8+AP10+AP12</f>
        <v/>
      </c>
      <c r="AQ13" s="526">
        <f>AQ8+AQ10+AQ12</f>
        <v/>
      </c>
      <c r="AR13" s="526">
        <f>AR8+AR10+AR12</f>
        <v/>
      </c>
      <c r="AS13" s="526">
        <f>AS8+AS10+AS12</f>
        <v/>
      </c>
      <c r="AT13" s="526">
        <f>AT8+AT10+AT12</f>
        <v/>
      </c>
      <c r="AU13" s="526">
        <f>AU8+AU10+AU12</f>
        <v/>
      </c>
      <c r="AV13" s="526">
        <f>AV8+AV10+AV12</f>
        <v/>
      </c>
      <c r="AW13" s="526">
        <f>AW8+AW10+AW12</f>
        <v/>
      </c>
      <c r="AX13" s="526">
        <f>AX8+AX10+AX12</f>
        <v/>
      </c>
      <c r="AY13" s="526">
        <f>AY8+AY10+AY12</f>
        <v/>
      </c>
      <c r="AZ13" s="526">
        <f>AZ8+AZ10+AZ12</f>
        <v/>
      </c>
      <c r="BA13" s="526">
        <f>BA8+BA10+BA12</f>
        <v/>
      </c>
      <c r="BB13" s="526">
        <f>BB8+BB10+BB12</f>
        <v/>
      </c>
      <c r="BC13" s="526">
        <f>BC8+BC10+BC12</f>
        <v/>
      </c>
      <c r="BD13" s="526">
        <f>BD8+BD10+BD12</f>
        <v/>
      </c>
      <c r="BE13" s="526">
        <f>BE8+BE10+BE12</f>
        <v/>
      </c>
      <c r="BF13" s="526">
        <f>BF8+BF10+BF12</f>
        <v/>
      </c>
      <c r="BG13" s="526">
        <f>BG8+BG10+BG12</f>
        <v/>
      </c>
      <c r="BH13" s="526">
        <f>BH8+BH10+BH12</f>
        <v/>
      </c>
      <c r="BI13" s="526">
        <f>BI8+BI10+BI12</f>
        <v/>
      </c>
      <c r="BJ13" s="526">
        <f>BJ8+BJ10+BJ12</f>
        <v/>
      </c>
      <c r="BK13" s="526">
        <f>BK8+BK10+BK12</f>
        <v/>
      </c>
      <c r="BL13" s="526">
        <f>BL8+BL10+BL12</f>
        <v/>
      </c>
      <c r="BM13" s="526">
        <f>BM8+BM10+BM12</f>
        <v/>
      </c>
      <c r="BN13" s="526">
        <f>BN8+BN10+BN12</f>
        <v/>
      </c>
      <c r="BO13" s="526">
        <f>BO8+BO10+BO12</f>
        <v/>
      </c>
      <c r="BP13" s="526">
        <f>BP8+BP10+BP12</f>
        <v/>
      </c>
      <c r="BQ13" s="526">
        <f>BQ8+BQ10+BQ12</f>
        <v/>
      </c>
      <c r="BR13" s="526">
        <f>BR8+BR10+BR12</f>
        <v/>
      </c>
      <c r="BS13" s="526">
        <f>BS8+BS10+BS12</f>
        <v/>
      </c>
      <c r="BT13" s="526">
        <f>BT8+BT10+BT12</f>
        <v/>
      </c>
      <c r="BU13" s="526">
        <f>BU8+BU10+BU12</f>
        <v/>
      </c>
      <c r="BV13" s="526">
        <f>BV8+BV10+BV12</f>
        <v/>
      </c>
      <c r="BW13" s="526">
        <f>BW8+BW10+BW12</f>
        <v/>
      </c>
      <c r="BX13" s="526">
        <f>BX8+BX10+BX12</f>
        <v/>
      </c>
      <c r="BY13" s="526">
        <f>BY8+BY10+BY12</f>
        <v/>
      </c>
      <c r="BZ13" s="526">
        <f>BZ8+BZ10+BZ12</f>
        <v/>
      </c>
      <c r="CA13" s="526">
        <f>CA8+CA10+CA12</f>
        <v/>
      </c>
      <c r="CB13" s="526">
        <f>CB8+CB10+CB12</f>
        <v/>
      </c>
      <c r="CC13" s="526">
        <f>CC8+CC10+CC12</f>
        <v/>
      </c>
      <c r="CD13" s="526">
        <f>CD8+CD10+CD12</f>
        <v/>
      </c>
      <c r="CE13" s="526">
        <f>CE8+CE10+CE12</f>
        <v/>
      </c>
      <c r="CF13" s="526">
        <f>CF8+CF10+CF12</f>
        <v/>
      </c>
      <c r="CG13" s="526">
        <f>CG8+CG10+CG12</f>
        <v/>
      </c>
      <c r="CH13" s="526">
        <f>CH8+CH10+CH12</f>
        <v/>
      </c>
      <c r="CI13" s="526">
        <f>CI8+CI10+CI12</f>
        <v/>
      </c>
      <c r="CJ13" s="526">
        <f>CJ8+CJ10+CJ12</f>
        <v/>
      </c>
      <c r="CK13" s="526">
        <f>CK8+CK10+CK12</f>
        <v/>
      </c>
      <c r="CL13" s="526">
        <f>CL8+CL10+CL12</f>
        <v/>
      </c>
      <c r="CM13" s="526">
        <f>CM8+CM10+CM12</f>
        <v/>
      </c>
      <c r="CN13" s="526">
        <f>CN8+CN10+CN12</f>
        <v/>
      </c>
      <c r="CO13" s="526">
        <f>CO8+CO10+CO12</f>
        <v/>
      </c>
      <c r="CP13" s="526">
        <f>CP8+CP10+CP12</f>
        <v/>
      </c>
      <c r="CQ13" s="526">
        <f>CQ8+CQ10+CQ12</f>
        <v/>
      </c>
      <c r="CR13" s="526">
        <f>CR8+CR10+CR12</f>
        <v/>
      </c>
      <c r="CS13" s="526">
        <f>CS8+CS10+CS12</f>
        <v/>
      </c>
      <c r="CT13" s="526">
        <f>CT8+CT10+CT12</f>
        <v/>
      </c>
      <c r="CU13" s="526">
        <f>CU8+CU10+CU12</f>
        <v/>
      </c>
      <c r="CV13" s="526">
        <f>CV8+CV10+CV12</f>
        <v/>
      </c>
      <c r="CW13" s="526">
        <f>CW8+CW10+CW12</f>
        <v/>
      </c>
      <c r="CX13" s="526">
        <f>CX8+CX10+CX12</f>
        <v/>
      </c>
      <c r="CY13" s="526">
        <f>CY8+CY10+CY12</f>
        <v/>
      </c>
      <c r="CZ13" s="526">
        <f>CZ8+CZ10+CZ12</f>
        <v/>
      </c>
      <c r="DA13" s="526">
        <f>DA8+DA10+DA12</f>
        <v/>
      </c>
      <c r="DB13" s="526">
        <f>DB8+DB10+DB12</f>
        <v/>
      </c>
      <c r="DC13" s="526">
        <f>DC8+DC10+DC12</f>
        <v/>
      </c>
      <c r="DD13" s="526">
        <f>DD8+DD10+DD12</f>
        <v/>
      </c>
      <c r="DE13" s="526">
        <f>DE8+DE10+DE12</f>
        <v/>
      </c>
      <c r="DF13" s="526">
        <f>DF8+DF10+DF12</f>
        <v/>
      </c>
    </row>
    <row r="14" ht="15" customFormat="1" customHeight="1" s="380">
      <c r="A14" s="480" t="inlineStr">
        <is>
          <t>COGS — Trades &amp; Site Costs</t>
        </is>
      </c>
      <c r="C14" s="525" t="n">
        <v>-1233067.43</v>
      </c>
      <c r="D14" s="525" t="n">
        <v>-3073522.36</v>
      </c>
      <c r="E14" s="525" t="n">
        <v>-2078031.64</v>
      </c>
      <c r="F14" s="527" t="n">
        <v>-3985482.58403402</v>
      </c>
      <c r="G14" s="527" t="n">
        <v>-4178441.93467641</v>
      </c>
      <c r="H14" s="527" t="n">
        <v>-4314673.98179329</v>
      </c>
      <c r="I14" s="527" t="n">
        <v>-5100719.40418529</v>
      </c>
      <c r="J14" s="527" t="n">
        <v>-5260214.25623971</v>
      </c>
      <c r="K14" s="527" t="n">
        <v>-5352854.31833945</v>
      </c>
      <c r="L14" s="527" t="n">
        <v>-5849570.14613038</v>
      </c>
      <c r="M14" s="527" t="n">
        <v>-6345476.13239193</v>
      </c>
      <c r="N14" s="527" t="n">
        <v>-6208239.26255321</v>
      </c>
      <c r="O14" s="527" t="n">
        <v>-6395725.66434017</v>
      </c>
      <c r="P14" s="527" t="n">
        <v>-6526715.60885338</v>
      </c>
      <c r="Q14" s="527" t="n">
        <v>-6598279.76517372</v>
      </c>
      <c r="R14" s="527" t="n">
        <v>-7163160.25198472</v>
      </c>
      <c r="S14" s="527" t="n">
        <v>-7214523.89541135</v>
      </c>
      <c r="T14" s="527" t="n">
        <v>-7044289.82829815</v>
      </c>
      <c r="U14" s="527" t="n">
        <v>-6558946.86638782</v>
      </c>
      <c r="V14" s="527" t="n">
        <v>-6351724.9937303</v>
      </c>
      <c r="W14" s="527" t="n">
        <v>-6350910.5797313</v>
      </c>
      <c r="X14" s="527" t="n">
        <v>-6231956.52523155</v>
      </c>
      <c r="Y14" s="527" t="n">
        <v>-6016281.88355905</v>
      </c>
      <c r="Z14" s="527" t="n">
        <v>-5778039.55108905</v>
      </c>
      <c r="AA14" s="527" t="n">
        <v>-5481055.51416705</v>
      </c>
      <c r="AB14" s="527" t="n">
        <v>-5142476.88514805</v>
      </c>
      <c r="AC14" s="527" t="n">
        <v>-4779056.03641005</v>
      </c>
      <c r="AD14" s="527" t="n">
        <v>-4323487.76034045</v>
      </c>
      <c r="AE14" s="527" t="n">
        <v>-3830756.31368165</v>
      </c>
      <c r="AF14" s="527" t="n">
        <v>-3598719.3564371</v>
      </c>
      <c r="AG14" s="527" t="n">
        <v>-2781458.4577761</v>
      </c>
      <c r="AH14" s="527" t="n">
        <v>-2827130.0229831</v>
      </c>
      <c r="AI14" s="527" t="n">
        <v>-2855162.6339251</v>
      </c>
      <c r="AJ14" s="527" t="n">
        <v>-2738010.36288435</v>
      </c>
      <c r="AK14" s="527" t="n">
        <v>-2961685.49998524</v>
      </c>
      <c r="AL14" s="527" t="n">
        <v>-2681612.89887884</v>
      </c>
      <c r="AM14" s="527" t="n">
        <v>-3067683.88382956</v>
      </c>
      <c r="AN14" s="527" t="n">
        <v>-3017131.52805656</v>
      </c>
      <c r="AO14" s="527" t="n">
        <v>-2857832.82197891</v>
      </c>
      <c r="AP14" s="527" t="n">
        <v>-2717434.98835224</v>
      </c>
      <c r="AQ14" s="527" t="n">
        <v>-2661368.68946424</v>
      </c>
      <c r="AR14" s="527" t="n">
        <v>-2590847.27570024</v>
      </c>
      <c r="AS14" s="527" t="n">
        <v>-2506479.90028024</v>
      </c>
      <c r="AT14" s="527" t="n">
        <v>-2409088.63497424</v>
      </c>
      <c r="AU14" s="527" t="n">
        <v>-2027193.26653074</v>
      </c>
      <c r="AV14" s="527" t="n">
        <v>-1724513.72534745</v>
      </c>
      <c r="AW14" s="527" t="n">
        <v>-1687294.55654745</v>
      </c>
      <c r="AX14" s="527" t="n">
        <v>-1632789.15157145</v>
      </c>
      <c r="AY14" s="527" t="n">
        <v>-1562651.69569945</v>
      </c>
      <c r="AZ14" s="527" t="n">
        <v>-1478825.85663545</v>
      </c>
      <c r="BA14" s="527" t="n">
        <v>-1383586.13913945</v>
      </c>
      <c r="BB14" s="527" t="n">
        <v>-1279496.53039545</v>
      </c>
      <c r="BC14" s="527" t="n">
        <v>-1169079.66295545</v>
      </c>
      <c r="BD14" s="527" t="n">
        <v>-1054982.23326745</v>
      </c>
      <c r="BE14" s="527" t="n">
        <v>-939685.519251453</v>
      </c>
      <c r="BF14" s="527" t="n">
        <v>-825464.025667453</v>
      </c>
      <c r="BG14" s="527" t="n">
        <v>-714385.484115453</v>
      </c>
      <c r="BH14" s="527" t="n">
        <v>-608145.434507453</v>
      </c>
      <c r="BI14" s="527" t="n">
        <v>-259255.013907853</v>
      </c>
      <c r="BJ14" s="527" t="n">
        <v>0</v>
      </c>
      <c r="BK14" s="527" t="n">
        <v>0</v>
      </c>
      <c r="BL14" s="527" t="n">
        <v>0</v>
      </c>
      <c r="BM14" s="527" t="n">
        <v>0</v>
      </c>
      <c r="BN14" s="527" t="n">
        <v>0</v>
      </c>
      <c r="BO14" s="527" t="n">
        <v>0</v>
      </c>
      <c r="BP14" s="527" t="n">
        <v>0</v>
      </c>
      <c r="BQ14" s="527" t="n">
        <v>0</v>
      </c>
      <c r="BR14" s="527" t="n">
        <v>0</v>
      </c>
      <c r="BS14" s="527" t="n">
        <v>0</v>
      </c>
      <c r="BT14" s="527" t="n">
        <v>0</v>
      </c>
      <c r="BU14" s="527" t="n">
        <v>0</v>
      </c>
      <c r="BV14" s="527" t="n">
        <v>0</v>
      </c>
      <c r="BW14" s="527" t="n">
        <v>0</v>
      </c>
      <c r="BX14" s="527" t="n">
        <v>0</v>
      </c>
      <c r="BY14" s="527" t="n">
        <v>0</v>
      </c>
      <c r="BZ14" s="527" t="n">
        <v>0</v>
      </c>
      <c r="CA14" s="527" t="n">
        <v>0</v>
      </c>
      <c r="CB14" s="527" t="n">
        <v>0</v>
      </c>
      <c r="CC14" s="527" t="n">
        <v>0</v>
      </c>
      <c r="CD14" s="527" t="n">
        <v>0</v>
      </c>
      <c r="CE14" s="527" t="n">
        <v>0</v>
      </c>
      <c r="CF14" s="527" t="n">
        <v>0</v>
      </c>
      <c r="CG14" s="527" t="n">
        <v>0</v>
      </c>
      <c r="CH14" s="527" t="n">
        <v>0</v>
      </c>
      <c r="CI14" s="527" t="n">
        <v>0</v>
      </c>
      <c r="CJ14" s="527" t="n">
        <v>0</v>
      </c>
      <c r="CK14" s="527" t="n">
        <v>0</v>
      </c>
      <c r="CL14" s="527" t="n">
        <v>0</v>
      </c>
      <c r="CM14" s="527" t="n">
        <v>0</v>
      </c>
      <c r="CN14" s="527" t="n">
        <v>0</v>
      </c>
      <c r="CO14" s="527" t="n">
        <v>0</v>
      </c>
      <c r="CP14" s="527" t="n">
        <v>0</v>
      </c>
      <c r="CQ14" s="527" t="n">
        <v>0</v>
      </c>
      <c r="CR14" s="527" t="n">
        <v>0</v>
      </c>
      <c r="CS14" s="527" t="n">
        <v>0</v>
      </c>
      <c r="CT14" s="527" t="n">
        <v>0</v>
      </c>
      <c r="CU14" s="527" t="n">
        <v>0</v>
      </c>
      <c r="CV14" s="527" t="n">
        <v>0</v>
      </c>
      <c r="CW14" s="527" t="n">
        <v>0</v>
      </c>
      <c r="CX14" s="527" t="n">
        <v>0</v>
      </c>
      <c r="CY14" s="527" t="n">
        <v>0</v>
      </c>
      <c r="CZ14" s="527" t="n">
        <v>0</v>
      </c>
      <c r="DA14" s="527" t="n">
        <v>0</v>
      </c>
      <c r="DB14" s="527" t="n">
        <v>0</v>
      </c>
      <c r="DC14" s="527" t="n">
        <v>0</v>
      </c>
      <c r="DD14" s="527" t="n">
        <v>0</v>
      </c>
      <c r="DE14" s="527" t="n">
        <v>0</v>
      </c>
      <c r="DF14" s="527" t="n">
        <v>0</v>
      </c>
    </row>
    <row r="15" ht="15" customFormat="1" customHeight="1" s="380">
      <c r="A15" s="468" t="inlineStr">
        <is>
          <t>Bonding Revenue</t>
        </is>
      </c>
      <c r="C15" s="483" t="n">
        <v>0</v>
      </c>
      <c r="D15" s="483" t="n">
        <v>0</v>
      </c>
      <c r="E15" s="483" t="n">
        <v>0</v>
      </c>
      <c r="F15" s="522" t="n">
        <v>0</v>
      </c>
      <c r="G15" s="522" t="n">
        <v>0</v>
      </c>
      <c r="H15" s="522" t="n">
        <v>0</v>
      </c>
      <c r="I15" s="522" t="n">
        <v>644526.72</v>
      </c>
      <c r="J15" s="522" t="n">
        <v>0</v>
      </c>
      <c r="K15" s="522" t="n">
        <v>0</v>
      </c>
      <c r="L15" s="522" t="n">
        <v>442059.825</v>
      </c>
      <c r="M15" s="522" t="n">
        <v>318951.075</v>
      </c>
      <c r="N15" s="522" t="n">
        <v>0</v>
      </c>
      <c r="O15" s="522" t="n">
        <v>0</v>
      </c>
      <c r="P15" s="522" t="n">
        <v>0</v>
      </c>
      <c r="Q15" s="522" t="n">
        <v>0</v>
      </c>
      <c r="R15" s="522" t="n">
        <v>679001.55</v>
      </c>
      <c r="S15" s="522" t="n">
        <v>0</v>
      </c>
      <c r="T15" s="522" t="n">
        <v>0</v>
      </c>
      <c r="U15" s="522" t="n">
        <v>0</v>
      </c>
      <c r="V15" s="522" t="n">
        <v>0</v>
      </c>
      <c r="W15" s="522" t="n">
        <v>0</v>
      </c>
      <c r="X15" s="522" t="n">
        <v>0</v>
      </c>
      <c r="Y15" s="522" t="n">
        <v>0</v>
      </c>
      <c r="Z15" s="522" t="n">
        <v>0</v>
      </c>
      <c r="AA15" s="522" t="n">
        <v>0</v>
      </c>
      <c r="AB15" s="522" t="n">
        <v>0</v>
      </c>
      <c r="AC15" s="522" t="n">
        <v>0</v>
      </c>
      <c r="AD15" s="522" t="n">
        <v>0</v>
      </c>
      <c r="AE15" s="522" t="n">
        <v>0</v>
      </c>
      <c r="AF15" s="522" t="n">
        <v>620319.48</v>
      </c>
      <c r="AG15" s="522" t="n">
        <v>0</v>
      </c>
      <c r="AH15" s="522" t="n">
        <v>0</v>
      </c>
      <c r="AI15" s="522" t="n">
        <v>0</v>
      </c>
      <c r="AJ15" s="522" t="n">
        <v>0</v>
      </c>
      <c r="AK15" s="522" t="n">
        <v>0</v>
      </c>
      <c r="AL15" s="522" t="n">
        <v>0</v>
      </c>
      <c r="AM15" s="522" t="n">
        <v>0</v>
      </c>
      <c r="AN15" s="522" t="n">
        <v>0</v>
      </c>
      <c r="AO15" s="522" t="n">
        <v>0</v>
      </c>
      <c r="AP15" s="522" t="n">
        <v>0</v>
      </c>
      <c r="AQ15" s="522" t="n">
        <v>0</v>
      </c>
      <c r="AR15" s="522" t="n">
        <v>0</v>
      </c>
      <c r="AS15" s="522" t="n">
        <v>0</v>
      </c>
      <c r="AT15" s="522" t="n">
        <v>0</v>
      </c>
      <c r="AU15" s="522" t="n">
        <v>0</v>
      </c>
      <c r="AV15" s="522" t="n">
        <v>0</v>
      </c>
      <c r="AW15" s="522" t="n">
        <v>0</v>
      </c>
      <c r="AX15" s="522" t="n">
        <v>0</v>
      </c>
      <c r="AY15" s="522" t="n">
        <v>0</v>
      </c>
      <c r="AZ15" s="522" t="n">
        <v>0</v>
      </c>
      <c r="BA15" s="522" t="n">
        <v>0</v>
      </c>
      <c r="BB15" s="522" t="n">
        <v>0</v>
      </c>
      <c r="BC15" s="522" t="n">
        <v>0</v>
      </c>
      <c r="BD15" s="522" t="n">
        <v>0</v>
      </c>
      <c r="BE15" s="522" t="n">
        <v>0</v>
      </c>
      <c r="BF15" s="522" t="n">
        <v>0</v>
      </c>
      <c r="BG15" s="522" t="n">
        <v>0</v>
      </c>
      <c r="BH15" s="522" t="n">
        <v>0</v>
      </c>
      <c r="BI15" s="522" t="n">
        <v>0</v>
      </c>
      <c r="BJ15" s="522" t="n">
        <v>0</v>
      </c>
      <c r="BK15" s="522" t="n">
        <v>0</v>
      </c>
      <c r="BL15" s="522" t="n">
        <v>0</v>
      </c>
      <c r="BM15" s="522" t="n">
        <v>0</v>
      </c>
      <c r="BN15" s="522" t="n">
        <v>0</v>
      </c>
      <c r="BO15" s="522" t="n">
        <v>0</v>
      </c>
      <c r="BP15" s="522" t="n">
        <v>0</v>
      </c>
      <c r="BQ15" s="522" t="n">
        <v>0</v>
      </c>
      <c r="BR15" s="522" t="n">
        <v>0</v>
      </c>
      <c r="BS15" s="522" t="n">
        <v>0</v>
      </c>
      <c r="BT15" s="522" t="n">
        <v>0</v>
      </c>
      <c r="BU15" s="522" t="n">
        <v>0</v>
      </c>
      <c r="BV15" s="522" t="n">
        <v>0</v>
      </c>
      <c r="BW15" s="522" t="n">
        <v>0</v>
      </c>
      <c r="BX15" s="522" t="n">
        <v>0</v>
      </c>
      <c r="BY15" s="522" t="n">
        <v>0</v>
      </c>
      <c r="BZ15" s="522" t="n">
        <v>0</v>
      </c>
      <c r="CA15" s="522" t="n">
        <v>0</v>
      </c>
      <c r="CB15" s="522" t="n">
        <v>0</v>
      </c>
      <c r="CC15" s="522" t="n">
        <v>0</v>
      </c>
      <c r="CD15" s="522" t="n">
        <v>0</v>
      </c>
      <c r="CE15" s="522" t="n">
        <v>0</v>
      </c>
      <c r="CF15" s="522" t="n">
        <v>0</v>
      </c>
      <c r="CG15" s="522" t="n">
        <v>0</v>
      </c>
      <c r="CH15" s="522" t="n">
        <v>0</v>
      </c>
      <c r="CI15" s="522" t="n">
        <v>0</v>
      </c>
      <c r="CJ15" s="522" t="n">
        <v>0</v>
      </c>
      <c r="CK15" s="522" t="n">
        <v>0</v>
      </c>
      <c r="CL15" s="522" t="n">
        <v>0</v>
      </c>
      <c r="CM15" s="522" t="n">
        <v>0</v>
      </c>
      <c r="CN15" s="522" t="n">
        <v>0</v>
      </c>
      <c r="CO15" s="522" t="n">
        <v>0</v>
      </c>
      <c r="CP15" s="522" t="n">
        <v>0</v>
      </c>
      <c r="CQ15" s="522" t="n">
        <v>0</v>
      </c>
      <c r="CR15" s="522" t="n">
        <v>0</v>
      </c>
      <c r="CS15" s="522" t="n">
        <v>0</v>
      </c>
      <c r="CT15" s="522" t="n">
        <v>0</v>
      </c>
      <c r="CU15" s="522" t="n">
        <v>0</v>
      </c>
      <c r="CV15" s="522" t="n">
        <v>0</v>
      </c>
      <c r="CW15" s="522" t="n">
        <v>0</v>
      </c>
      <c r="CX15" s="522" t="n">
        <v>0</v>
      </c>
      <c r="CY15" s="522" t="n">
        <v>0</v>
      </c>
      <c r="CZ15" s="522" t="n">
        <v>0</v>
      </c>
      <c r="DA15" s="522" t="n">
        <v>0</v>
      </c>
      <c r="DB15" s="522" t="n">
        <v>0</v>
      </c>
      <c r="DC15" s="522" t="n">
        <v>0</v>
      </c>
      <c r="DD15" s="522" t="n">
        <v>0</v>
      </c>
      <c r="DE15" s="522" t="n">
        <v>0</v>
      </c>
      <c r="DF15" s="522" t="n">
        <v>0</v>
      </c>
    </row>
    <row r="16" ht="15" customFormat="1" customHeight="1" s="380">
      <c r="A16" s="468" t="inlineStr">
        <is>
          <t>Bonding Costs</t>
        </is>
      </c>
      <c r="C16" s="526" t="n">
        <v>-1966.5</v>
      </c>
      <c r="D16" s="526" t="n">
        <v>0</v>
      </c>
      <c r="E16" s="526" t="n">
        <v>0</v>
      </c>
      <c r="F16" s="522" t="n">
        <v>0</v>
      </c>
      <c r="G16" s="522" t="n">
        <v>0</v>
      </c>
      <c r="H16" s="522" t="n">
        <v>0</v>
      </c>
      <c r="I16" s="522" t="n">
        <v>-317966.5152</v>
      </c>
      <c r="J16" s="522" t="n">
        <v>0</v>
      </c>
      <c r="K16" s="522" t="n">
        <v>0</v>
      </c>
      <c r="L16" s="522" t="n">
        <v>-218082.847</v>
      </c>
      <c r="M16" s="522" t="n">
        <v>-157349.197</v>
      </c>
      <c r="N16" s="522" t="n">
        <v>0</v>
      </c>
      <c r="O16" s="522" t="n">
        <v>0</v>
      </c>
      <c r="P16" s="522" t="n">
        <v>0</v>
      </c>
      <c r="Q16" s="522" t="n">
        <v>0</v>
      </c>
      <c r="R16" s="522" t="n">
        <v>-1471170.025</v>
      </c>
      <c r="S16" s="522" t="n">
        <v>0</v>
      </c>
      <c r="T16" s="522" t="n">
        <v>0</v>
      </c>
      <c r="U16" s="522" t="n">
        <v>0</v>
      </c>
      <c r="V16" s="522" t="n">
        <v>0</v>
      </c>
      <c r="W16" s="522" t="n">
        <v>0</v>
      </c>
      <c r="X16" s="522" t="n">
        <v>0</v>
      </c>
      <c r="Y16" s="522" t="n">
        <v>0</v>
      </c>
      <c r="Z16" s="522" t="n">
        <v>0</v>
      </c>
      <c r="AA16" s="522" t="n">
        <v>0</v>
      </c>
      <c r="AB16" s="522" t="n">
        <v>0</v>
      </c>
      <c r="AC16" s="522" t="n">
        <v>0</v>
      </c>
      <c r="AD16" s="522" t="n">
        <v>0</v>
      </c>
      <c r="AE16" s="522" t="n">
        <v>0</v>
      </c>
      <c r="AF16" s="522" t="n">
        <v>-1344025.54</v>
      </c>
      <c r="AG16" s="522" t="n">
        <v>0</v>
      </c>
      <c r="AH16" s="522" t="n">
        <v>0</v>
      </c>
      <c r="AI16" s="522" t="n">
        <v>0</v>
      </c>
      <c r="AJ16" s="522" t="n">
        <v>0</v>
      </c>
      <c r="AK16" s="522" t="n">
        <v>0</v>
      </c>
      <c r="AL16" s="522" t="n">
        <v>0</v>
      </c>
      <c r="AM16" s="522" t="n">
        <v>0</v>
      </c>
      <c r="AN16" s="522" t="n">
        <v>0</v>
      </c>
      <c r="AO16" s="522" t="n">
        <v>0</v>
      </c>
      <c r="AP16" s="522" t="n">
        <v>0</v>
      </c>
      <c r="AQ16" s="522" t="n">
        <v>0</v>
      </c>
      <c r="AR16" s="522" t="n">
        <v>0</v>
      </c>
      <c r="AS16" s="522" t="n">
        <v>0</v>
      </c>
      <c r="AT16" s="522" t="n">
        <v>0</v>
      </c>
      <c r="AU16" s="522" t="n">
        <v>0</v>
      </c>
      <c r="AV16" s="522" t="n">
        <v>0</v>
      </c>
      <c r="AW16" s="522" t="n">
        <v>0</v>
      </c>
      <c r="AX16" s="522" t="n">
        <v>0</v>
      </c>
      <c r="AY16" s="522" t="n">
        <v>0</v>
      </c>
      <c r="AZ16" s="522" t="n">
        <v>0</v>
      </c>
      <c r="BA16" s="522" t="n">
        <v>0</v>
      </c>
      <c r="BB16" s="522" t="n">
        <v>0</v>
      </c>
      <c r="BC16" s="522" t="n">
        <v>0</v>
      </c>
      <c r="BD16" s="522" t="n">
        <v>0</v>
      </c>
      <c r="BE16" s="522" t="n">
        <v>0</v>
      </c>
      <c r="BF16" s="522" t="n">
        <v>0</v>
      </c>
      <c r="BG16" s="522" t="n">
        <v>0</v>
      </c>
      <c r="BH16" s="522" t="n">
        <v>0</v>
      </c>
      <c r="BI16" s="522" t="n">
        <v>0</v>
      </c>
      <c r="BJ16" s="522" t="n">
        <v>0</v>
      </c>
      <c r="BK16" s="522" t="n">
        <v>0</v>
      </c>
      <c r="BL16" s="522" t="n">
        <v>0</v>
      </c>
      <c r="BM16" s="522" t="n">
        <v>0</v>
      </c>
      <c r="BN16" s="522" t="n">
        <v>0</v>
      </c>
      <c r="BO16" s="522" t="n">
        <v>0</v>
      </c>
      <c r="BP16" s="522" t="n">
        <v>0</v>
      </c>
      <c r="BQ16" s="522" t="n">
        <v>0</v>
      </c>
      <c r="BR16" s="522" t="n">
        <v>0</v>
      </c>
      <c r="BS16" s="522" t="n">
        <v>0</v>
      </c>
      <c r="BT16" s="522" t="n">
        <v>0</v>
      </c>
      <c r="BU16" s="522" t="n">
        <v>0</v>
      </c>
      <c r="BV16" s="522" t="n">
        <v>0</v>
      </c>
      <c r="BW16" s="522" t="n">
        <v>0</v>
      </c>
      <c r="BX16" s="522" t="n">
        <v>0</v>
      </c>
      <c r="BY16" s="522" t="n">
        <v>0</v>
      </c>
      <c r="BZ16" s="522" t="n">
        <v>0</v>
      </c>
      <c r="CA16" s="522" t="n">
        <v>0</v>
      </c>
      <c r="CB16" s="522" t="n">
        <v>0</v>
      </c>
      <c r="CC16" s="522" t="n">
        <v>0</v>
      </c>
      <c r="CD16" s="522" t="n">
        <v>0</v>
      </c>
      <c r="CE16" s="522" t="n">
        <v>0</v>
      </c>
      <c r="CF16" s="522" t="n">
        <v>0</v>
      </c>
      <c r="CG16" s="522" t="n">
        <v>0</v>
      </c>
      <c r="CH16" s="522" t="n">
        <v>0</v>
      </c>
      <c r="CI16" s="522" t="n">
        <v>0</v>
      </c>
      <c r="CJ16" s="522" t="n">
        <v>0</v>
      </c>
      <c r="CK16" s="522" t="n">
        <v>0</v>
      </c>
      <c r="CL16" s="522" t="n">
        <v>0</v>
      </c>
      <c r="CM16" s="522" t="n">
        <v>0</v>
      </c>
      <c r="CN16" s="522" t="n">
        <v>0</v>
      </c>
      <c r="CO16" s="522" t="n">
        <v>0</v>
      </c>
      <c r="CP16" s="522" t="n">
        <v>0</v>
      </c>
      <c r="CQ16" s="522" t="n">
        <v>0</v>
      </c>
      <c r="CR16" s="522" t="n">
        <v>0</v>
      </c>
      <c r="CS16" s="522" t="n">
        <v>0</v>
      </c>
      <c r="CT16" s="522" t="n">
        <v>0</v>
      </c>
      <c r="CU16" s="522" t="n">
        <v>0</v>
      </c>
      <c r="CV16" s="522" t="n">
        <v>0</v>
      </c>
      <c r="CW16" s="522" t="n">
        <v>0</v>
      </c>
      <c r="CX16" s="522" t="n">
        <v>0</v>
      </c>
      <c r="CY16" s="522" t="n">
        <v>0</v>
      </c>
      <c r="CZ16" s="522" t="n">
        <v>0</v>
      </c>
      <c r="DA16" s="522" t="n">
        <v>0</v>
      </c>
      <c r="DB16" s="522" t="n">
        <v>0</v>
      </c>
      <c r="DC16" s="522" t="n">
        <v>0</v>
      </c>
      <c r="DD16" s="522" t="n">
        <v>0</v>
      </c>
      <c r="DE16" s="522" t="n">
        <v>0</v>
      </c>
      <c r="DF16" s="522" t="n">
        <v>0</v>
      </c>
    </row>
    <row r="17" ht="15" customFormat="1" customHeight="1" s="380">
      <c r="A17" s="473" t="inlineStr">
        <is>
          <t>Gross Profit</t>
        </is>
      </c>
      <c r="C17" s="526">
        <f>C8+C9+C10+C11+C12+C14+C15+C16</f>
        <v/>
      </c>
      <c r="D17" s="526">
        <f>D8+D9+D10+D11+D12+D14+D15+D16</f>
        <v/>
      </c>
      <c r="E17" s="526">
        <f>E8+E9+E10+E11+E12+E14+E15+E16</f>
        <v/>
      </c>
      <c r="F17" s="528">
        <f>F8+F9+F10+F11+F12+F14+F15+F16</f>
        <v/>
      </c>
      <c r="G17" s="528">
        <f>G8+G9+G10+G11+G12+G14+G15+G16</f>
        <v/>
      </c>
      <c r="H17" s="528">
        <f>H8+H9+H10+H11+H12+H14+H15+H16</f>
        <v/>
      </c>
      <c r="I17" s="528">
        <f>I8+I9+I10+I11+I12+I14+I15+I16</f>
        <v/>
      </c>
      <c r="J17" s="528">
        <f>J8+J9+J10+J11+J12+J14+J15+J16</f>
        <v/>
      </c>
      <c r="K17" s="528">
        <f>K8+K9+K10+K11+K12+K14+K15+K16</f>
        <v/>
      </c>
      <c r="L17" s="528">
        <f>L8+L9+L10+L11+L12+L14+L15+L16</f>
        <v/>
      </c>
      <c r="M17" s="528">
        <f>M8+M9+M10+M11+M12+M14+M15+M16</f>
        <v/>
      </c>
      <c r="N17" s="528">
        <f>N8+N9+N10+N11+N12+N14+N15+N16</f>
        <v/>
      </c>
      <c r="O17" s="528">
        <f>O8+O9+O10+O11+O12+O14+O15+O16</f>
        <v/>
      </c>
      <c r="P17" s="528">
        <f>P8+P9+P10+P11+P12+P14+P15+P16</f>
        <v/>
      </c>
      <c r="Q17" s="528">
        <f>Q8+Q9+Q10+Q11+Q12+Q14+Q15+Q16</f>
        <v/>
      </c>
      <c r="R17" s="528">
        <f>R8+R9+R10+R11+R12+R14+R15+R16</f>
        <v/>
      </c>
      <c r="S17" s="528">
        <f>S8+S9+S10+S11+S12+S14+S15+S16</f>
        <v/>
      </c>
      <c r="T17" s="528">
        <f>T8+T9+T10+T11+T12+T14+T15+T16</f>
        <v/>
      </c>
      <c r="U17" s="528">
        <f>U8+U9+U10+U11+U12+U14+U15+U16</f>
        <v/>
      </c>
      <c r="V17" s="528">
        <f>V8+V9+V10+V11+V12+V14+V15+V16</f>
        <v/>
      </c>
      <c r="W17" s="528">
        <f>W8+W9+W10+W11+W12+W14+W15+W16</f>
        <v/>
      </c>
      <c r="X17" s="528">
        <f>X8+X9+X10+X11+X12+X14+X15+X16</f>
        <v/>
      </c>
      <c r="Y17" s="528">
        <f>Y8+Y9+Y10+Y11+Y12+Y14+Y15+Y16</f>
        <v/>
      </c>
      <c r="Z17" s="528">
        <f>Z8+Z9+Z10+Z11+Z12+Z14+Z15+Z16</f>
        <v/>
      </c>
      <c r="AA17" s="528">
        <f>AA8+AA9+AA10+AA11+AA12+AA14+AA15+AA16</f>
        <v/>
      </c>
      <c r="AB17" s="528">
        <f>AB8+AB9+AB10+AB11+AB12+AB14+AB15+AB16</f>
        <v/>
      </c>
      <c r="AC17" s="528">
        <f>AC8+AC9+AC10+AC11+AC12+AC14+AC15+AC16</f>
        <v/>
      </c>
      <c r="AD17" s="528">
        <f>AD8+AD9+AD10+AD11+AD12+AD14+AD15+AD16</f>
        <v/>
      </c>
      <c r="AE17" s="528">
        <f>AE8+AE9+AE10+AE11+AE12+AE14+AE15+AE16</f>
        <v/>
      </c>
      <c r="AF17" s="528">
        <f>AF8+AF9+AF10+AF11+AF12+AF14+AF15+AF16</f>
        <v/>
      </c>
      <c r="AG17" s="528">
        <f>AG8+AG9+AG10+AG11+AG12+AG14+AG15+AG16</f>
        <v/>
      </c>
      <c r="AH17" s="528">
        <f>AH8+AH9+AH10+AH11+AH12+AH14+AH15+AH16</f>
        <v/>
      </c>
      <c r="AI17" s="528">
        <f>AI8+AI9+AI10+AI11+AI12+AI14+AI15+AI16</f>
        <v/>
      </c>
      <c r="AJ17" s="528">
        <f>AJ8+AJ9+AJ10+AJ11+AJ12+AJ14+AJ15+AJ16</f>
        <v/>
      </c>
      <c r="AK17" s="528">
        <f>AK8+AK9+AK10+AK11+AK12+AK14+AK15+AK16</f>
        <v/>
      </c>
      <c r="AL17" s="528">
        <f>AL8+AL9+AL10+AL11+AL12+AL14+AL15+AL16</f>
        <v/>
      </c>
      <c r="AM17" s="528">
        <f>AM8+AM9+AM10+AM11+AM12+AM14+AM15+AM16</f>
        <v/>
      </c>
      <c r="AN17" s="528">
        <f>AN8+AN9+AN10+AN11+AN12+AN14+AN15+AN16</f>
        <v/>
      </c>
      <c r="AO17" s="528">
        <f>AO8+AO9+AO10+AO11+AO12+AO14+AO15+AO16</f>
        <v/>
      </c>
      <c r="AP17" s="528">
        <f>AP8+AP9+AP10+AP11+AP12+AP14+AP15+AP16</f>
        <v/>
      </c>
      <c r="AQ17" s="528">
        <f>AQ8+AQ9+AQ10+AQ11+AQ12+AQ14+AQ15+AQ16</f>
        <v/>
      </c>
      <c r="AR17" s="528">
        <f>AR8+AR9+AR10+AR11+AR12+AR14+AR15+AR16</f>
        <v/>
      </c>
      <c r="AS17" s="528">
        <f>AS8+AS9+AS10+AS11+AS12+AS14+AS15+AS16</f>
        <v/>
      </c>
      <c r="AT17" s="528">
        <f>AT8+AT9+AT10+AT11+AT12+AT14+AT15+AT16</f>
        <v/>
      </c>
      <c r="AU17" s="528">
        <f>AU8+AU9+AU10+AU11+AU12+AU14+AU15+AU16</f>
        <v/>
      </c>
      <c r="AV17" s="528">
        <f>AV8+AV9+AV10+AV11+AV12+AV14+AV15+AV16</f>
        <v/>
      </c>
      <c r="AW17" s="528">
        <f>AW8+AW9+AW10+AW11+AW12+AW14+AW15+AW16</f>
        <v/>
      </c>
      <c r="AX17" s="528">
        <f>AX8+AX9+AX10+AX11+AX12+AX14+AX15+AX16</f>
        <v/>
      </c>
      <c r="AY17" s="528">
        <f>AY8+AY9+AY10+AY11+AY12+AY14+AY15+AY16</f>
        <v/>
      </c>
      <c r="AZ17" s="528">
        <f>AZ8+AZ9+AZ10+AZ11+AZ12+AZ14+AZ15+AZ16</f>
        <v/>
      </c>
      <c r="BA17" s="528">
        <f>BA8+BA9+BA10+BA11+BA12+BA14+BA15+BA16</f>
        <v/>
      </c>
      <c r="BB17" s="528">
        <f>BB8+BB9+BB10+BB11+BB12+BB14+BB15+BB16</f>
        <v/>
      </c>
      <c r="BC17" s="528">
        <f>BC8+BC9+BC10+BC11+BC12+BC14+BC15+BC16</f>
        <v/>
      </c>
      <c r="BD17" s="528">
        <f>BD8+BD9+BD10+BD11+BD12+BD14+BD15+BD16</f>
        <v/>
      </c>
      <c r="BE17" s="528">
        <f>BE8+BE9+BE10+BE11+BE12+BE14+BE15+BE16</f>
        <v/>
      </c>
      <c r="BF17" s="528">
        <f>BF8+BF9+BF10+BF11+BF12+BF14+BF15+BF16</f>
        <v/>
      </c>
      <c r="BG17" s="528">
        <f>BG8+BG9+BG10+BG11+BG12+BG14+BG15+BG16</f>
        <v/>
      </c>
      <c r="BH17" s="528">
        <f>BH8+BH9+BH10+BH11+BH12+BH14+BH15+BH16</f>
        <v/>
      </c>
      <c r="BI17" s="528">
        <f>BI8+BI9+BI10+BI11+BI12+BI14+BI15+BI16</f>
        <v/>
      </c>
      <c r="BJ17" s="528">
        <f>BJ8+BJ9+BJ10+BJ11+BJ12+BJ14+BJ15+BJ16</f>
        <v/>
      </c>
      <c r="BK17" s="528">
        <f>BK8+BK9+BK10+BK11+BK12+BK14+BK15+BK16</f>
        <v/>
      </c>
      <c r="BL17" s="528">
        <f>BL8+BL9+BL10+BL11+BL12+BL14+BL15+BL16</f>
        <v/>
      </c>
      <c r="BM17" s="528">
        <f>BM8+BM9+BM10+BM11+BM12+BM14+BM15+BM16</f>
        <v/>
      </c>
      <c r="BN17" s="528">
        <f>BN8+BN9+BN10+BN11+BN12+BN14+BN15+BN16</f>
        <v/>
      </c>
      <c r="BO17" s="528">
        <f>BO8+BO9+BO10+BO11+BO12+BO14+BO15+BO16</f>
        <v/>
      </c>
      <c r="BP17" s="528">
        <f>BP8+BP9+BP10+BP11+BP12+BP14+BP15+BP16</f>
        <v/>
      </c>
      <c r="BQ17" s="528">
        <f>BQ8+BQ9+BQ10+BQ11+BQ12+BQ14+BQ15+BQ16</f>
        <v/>
      </c>
      <c r="BR17" s="528">
        <f>BR8+BR9+BR10+BR11+BR12+BR14+BR15+BR16</f>
        <v/>
      </c>
      <c r="BS17" s="528">
        <f>BS8+BS9+BS10+BS11+BS12+BS14+BS15+BS16</f>
        <v/>
      </c>
      <c r="BT17" s="528">
        <f>BT8+BT9+BT10+BT11+BT12+BT14+BT15+BT16</f>
        <v/>
      </c>
      <c r="BU17" s="528">
        <f>BU8+BU9+BU10+BU11+BU12+BU14+BU15+BU16</f>
        <v/>
      </c>
      <c r="BV17" s="528">
        <f>BV8+BV9+BV10+BV11+BV12+BV14+BV15+BV16</f>
        <v/>
      </c>
      <c r="BW17" s="528">
        <f>BW8+BW9+BW10+BW11+BW12+BW14+BW15+BW16</f>
        <v/>
      </c>
      <c r="BX17" s="528">
        <f>BX8+BX9+BX10+BX11+BX12+BX14+BX15+BX16</f>
        <v/>
      </c>
      <c r="BY17" s="528">
        <f>BY8+BY9+BY10+BY11+BY12+BY14+BY15+BY16</f>
        <v/>
      </c>
      <c r="BZ17" s="528">
        <f>BZ8+BZ9+BZ10+BZ11+BZ12+BZ14+BZ15+BZ16</f>
        <v/>
      </c>
      <c r="CA17" s="528">
        <f>CA8+CA9+CA10+CA11+CA12+CA14+CA15+CA16</f>
        <v/>
      </c>
      <c r="CB17" s="528">
        <f>CB8+CB9+CB10+CB11+CB12+CB14+CB15+CB16</f>
        <v/>
      </c>
      <c r="CC17" s="528">
        <f>CC8+CC9+CC10+CC11+CC12+CC14+CC15+CC16</f>
        <v/>
      </c>
      <c r="CD17" s="528">
        <f>CD8+CD9+CD10+CD11+CD12+CD14+CD15+CD16</f>
        <v/>
      </c>
      <c r="CE17" s="528">
        <f>CE8+CE9+CE10+CE11+CE12+CE14+CE15+CE16</f>
        <v/>
      </c>
      <c r="CF17" s="528">
        <f>CF8+CF9+CF10+CF11+CF12+CF14+CF15+CF16</f>
        <v/>
      </c>
      <c r="CG17" s="528">
        <f>CG8+CG9+CG10+CG11+CG12+CG14+CG15+CG16</f>
        <v/>
      </c>
      <c r="CH17" s="528">
        <f>CH8+CH9+CH10+CH11+CH12+CH14+CH15+CH16</f>
        <v/>
      </c>
      <c r="CI17" s="528">
        <f>CI8+CI9+CI10+CI11+CI12+CI14+CI15+CI16</f>
        <v/>
      </c>
      <c r="CJ17" s="528">
        <f>CJ8+CJ9+CJ10+CJ11+CJ12+CJ14+CJ15+CJ16</f>
        <v/>
      </c>
      <c r="CK17" s="528">
        <f>CK8+CK9+CK10+CK11+CK12+CK14+CK15+CK16</f>
        <v/>
      </c>
      <c r="CL17" s="528">
        <f>CL8+CL9+CL10+CL11+CL12+CL14+CL15+CL16</f>
        <v/>
      </c>
      <c r="CM17" s="528">
        <f>CM8+CM9+CM10+CM11+CM12+CM14+CM15+CM16</f>
        <v/>
      </c>
      <c r="CN17" s="528">
        <f>CN8+CN9+CN10+CN11+CN12+CN14+CN15+CN16</f>
        <v/>
      </c>
      <c r="CO17" s="528">
        <f>CO8+CO9+CO10+CO11+CO12+CO14+CO15+CO16</f>
        <v/>
      </c>
      <c r="CP17" s="528">
        <f>CP8+CP9+CP10+CP11+CP12+CP14+CP15+CP16</f>
        <v/>
      </c>
      <c r="CQ17" s="528">
        <f>CQ8+CQ9+CQ10+CQ11+CQ12+CQ14+CQ15+CQ16</f>
        <v/>
      </c>
      <c r="CR17" s="528">
        <f>CR8+CR9+CR10+CR11+CR12+CR14+CR15+CR16</f>
        <v/>
      </c>
      <c r="CS17" s="528">
        <f>CS8+CS9+CS10+CS11+CS12+CS14+CS15+CS16</f>
        <v/>
      </c>
      <c r="CT17" s="528">
        <f>CT8+CT9+CT10+CT11+CT12+CT14+CT15+CT16</f>
        <v/>
      </c>
      <c r="CU17" s="528">
        <f>CU8+CU9+CU10+CU11+CU12+CU14+CU15+CU16</f>
        <v/>
      </c>
      <c r="CV17" s="528">
        <f>CV8+CV9+CV10+CV11+CV12+CV14+CV15+CV16</f>
        <v/>
      </c>
      <c r="CW17" s="528">
        <f>CW8+CW9+CW10+CW11+CW12+CW14+CW15+CW16</f>
        <v/>
      </c>
      <c r="CX17" s="528">
        <f>CX8+CX9+CX10+CX11+CX12+CX14+CX15+CX16</f>
        <v/>
      </c>
      <c r="CY17" s="528">
        <f>CY8+CY9+CY10+CY11+CY12+CY14+CY15+CY16</f>
        <v/>
      </c>
      <c r="CZ17" s="528">
        <f>CZ8+CZ9+CZ10+CZ11+CZ12+CZ14+CZ15+CZ16</f>
        <v/>
      </c>
      <c r="DA17" s="528">
        <f>DA8+DA9+DA10+DA11+DA12+DA14+DA15+DA16</f>
        <v/>
      </c>
      <c r="DB17" s="528">
        <f>DB8+DB9+DB10+DB11+DB12+DB14+DB15+DB16</f>
        <v/>
      </c>
      <c r="DC17" s="528">
        <f>DC8+DC9+DC10+DC11+DC12+DC14+DC15+DC16</f>
        <v/>
      </c>
      <c r="DD17" s="528">
        <f>DD8+DD9+DD10+DD11+DD12+DD14+DD15+DD16</f>
        <v/>
      </c>
      <c r="DE17" s="528">
        <f>DE8+DE9+DE10+DE11+DE12+DE14+DE15+DE16</f>
        <v/>
      </c>
      <c r="DF17" s="528">
        <f>DF8+DF9+DF10+DF11+DF12+DF14+DF15+DF16</f>
        <v/>
      </c>
    </row>
    <row r="18" ht="15" customFormat="1" customHeight="1" s="380">
      <c r="A18" s="478" t="inlineStr">
        <is>
          <t>GC Gross Profit Margin %</t>
        </is>
      </c>
      <c r="C18" s="529">
        <f>IFERROR(C17/C13,0)</f>
        <v/>
      </c>
      <c r="D18" s="529">
        <f>IFERROR(D17/D13,0)</f>
        <v/>
      </c>
      <c r="E18" s="529">
        <f>IFERROR(E17/E13,0)</f>
        <v/>
      </c>
      <c r="F18" s="529">
        <f>IFERROR(F17/F13,0)</f>
        <v/>
      </c>
      <c r="G18" s="529">
        <f>IFERROR(G17/G13,0)</f>
        <v/>
      </c>
      <c r="H18" s="529">
        <f>IFERROR(H17/H13,0)</f>
        <v/>
      </c>
      <c r="I18" s="529">
        <f>IFERROR(I17/I13,0)</f>
        <v/>
      </c>
      <c r="J18" s="529">
        <f>IFERROR(J17/J13,0)</f>
        <v/>
      </c>
      <c r="K18" s="529">
        <f>IFERROR(K17/K13,0)</f>
        <v/>
      </c>
      <c r="L18" s="529">
        <f>IFERROR(L17/L13,0)</f>
        <v/>
      </c>
      <c r="M18" s="529">
        <f>IFERROR(M17/M13,0)</f>
        <v/>
      </c>
      <c r="N18" s="529">
        <f>IFERROR(N17/N13,0)</f>
        <v/>
      </c>
      <c r="O18" s="529">
        <f>IFERROR(O17/O13,0)</f>
        <v/>
      </c>
      <c r="P18" s="529">
        <f>IFERROR(P17/P13,0)</f>
        <v/>
      </c>
      <c r="Q18" s="529">
        <f>IFERROR(Q17/Q13,0)</f>
        <v/>
      </c>
      <c r="R18" s="529">
        <f>IFERROR(R17/R13,0)</f>
        <v/>
      </c>
      <c r="S18" s="529">
        <f>IFERROR(S17/S13,0)</f>
        <v/>
      </c>
      <c r="T18" s="529">
        <f>IFERROR(T17/T13,0)</f>
        <v/>
      </c>
      <c r="U18" s="529">
        <f>IFERROR(U17/U13,0)</f>
        <v/>
      </c>
      <c r="V18" s="529">
        <f>IFERROR(V17/V13,0)</f>
        <v/>
      </c>
      <c r="W18" s="529">
        <f>IFERROR(W17/W13,0)</f>
        <v/>
      </c>
      <c r="X18" s="529">
        <f>IFERROR(X17/X13,0)</f>
        <v/>
      </c>
      <c r="Y18" s="529">
        <f>IFERROR(Y17/Y13,0)</f>
        <v/>
      </c>
      <c r="Z18" s="529">
        <f>IFERROR(Z17/Z13,0)</f>
        <v/>
      </c>
      <c r="AA18" s="529">
        <f>IFERROR(AA17/AA13,0)</f>
        <v/>
      </c>
      <c r="AB18" s="529">
        <f>IFERROR(AB17/AB13,0)</f>
        <v/>
      </c>
      <c r="AC18" s="529">
        <f>IFERROR(AC17/AC13,0)</f>
        <v/>
      </c>
      <c r="AD18" s="529">
        <f>IFERROR(AD17/AD13,0)</f>
        <v/>
      </c>
      <c r="AE18" s="529">
        <f>IFERROR(AE17/AE13,0)</f>
        <v/>
      </c>
      <c r="AF18" s="529">
        <f>IFERROR(AF17/AF13,0)</f>
        <v/>
      </c>
      <c r="AG18" s="529">
        <f>IFERROR(AG17/AG13,0)</f>
        <v/>
      </c>
      <c r="AH18" s="529">
        <f>IFERROR(AH17/AH13,0)</f>
        <v/>
      </c>
      <c r="AI18" s="529">
        <f>IFERROR(AI17/AI13,0)</f>
        <v/>
      </c>
      <c r="AJ18" s="529">
        <f>IFERROR(AJ17/AJ13,0)</f>
        <v/>
      </c>
      <c r="AK18" s="529">
        <f>IFERROR(AK17/AK13,0)</f>
        <v/>
      </c>
      <c r="AL18" s="529">
        <f>IFERROR(AL17/AL13,0)</f>
        <v/>
      </c>
      <c r="AM18" s="529">
        <f>IFERROR(AM17/AM13,0)</f>
        <v/>
      </c>
      <c r="AN18" s="529">
        <f>IFERROR(AN17/AN13,0)</f>
        <v/>
      </c>
      <c r="AO18" s="529">
        <f>IFERROR(AO17/AO13,0)</f>
        <v/>
      </c>
      <c r="AP18" s="529">
        <f>IFERROR(AP17/AP13,0)</f>
        <v/>
      </c>
      <c r="AQ18" s="529">
        <f>IFERROR(AQ17/AQ13,0)</f>
        <v/>
      </c>
      <c r="AR18" s="529">
        <f>IFERROR(AR17/AR13,0)</f>
        <v/>
      </c>
      <c r="AS18" s="529">
        <f>IFERROR(AS17/AS13,0)</f>
        <v/>
      </c>
      <c r="AT18" s="529">
        <f>IFERROR(AT17/AT13,0)</f>
        <v/>
      </c>
      <c r="AU18" s="529">
        <f>IFERROR(AU17/AU13,0)</f>
        <v/>
      </c>
      <c r="AV18" s="529">
        <f>IFERROR(AV17/AV13,0)</f>
        <v/>
      </c>
      <c r="AW18" s="529">
        <f>IFERROR(AW17/AW13,0)</f>
        <v/>
      </c>
      <c r="AX18" s="529">
        <f>IFERROR(AX17/AX13,0)</f>
        <v/>
      </c>
      <c r="AY18" s="529">
        <f>IFERROR(AY17/AY13,0)</f>
        <v/>
      </c>
      <c r="AZ18" s="529">
        <f>IFERROR(AZ17/AZ13,0)</f>
        <v/>
      </c>
      <c r="BA18" s="529">
        <f>IFERROR(BA17/BA13,0)</f>
        <v/>
      </c>
      <c r="BB18" s="529">
        <f>IFERROR(BB17/BB13,0)</f>
        <v/>
      </c>
      <c r="BC18" s="529">
        <f>IFERROR(BC17/BC13,0)</f>
        <v/>
      </c>
      <c r="BD18" s="529">
        <f>IFERROR(BD17/BD13,0)</f>
        <v/>
      </c>
      <c r="BE18" s="529">
        <f>IFERROR(BE17/BE13,0)</f>
        <v/>
      </c>
      <c r="BF18" s="529">
        <f>IFERROR(BF17/BF13,0)</f>
        <v/>
      </c>
      <c r="BG18" s="529">
        <f>IFERROR(BG17/BG13,0)</f>
        <v/>
      </c>
      <c r="BH18" s="529">
        <f>IFERROR(BH17/BH13,0)</f>
        <v/>
      </c>
      <c r="BI18" s="529">
        <f>IFERROR(BI17/BI13,0)</f>
        <v/>
      </c>
      <c r="BJ18" s="529">
        <f>IFERROR(BJ17/BJ13,0)</f>
        <v/>
      </c>
      <c r="BK18" s="529">
        <f>IFERROR(BK17/BK13,0)</f>
        <v/>
      </c>
      <c r="BL18" s="529">
        <f>IFERROR(BL17/BL13,0)</f>
        <v/>
      </c>
      <c r="BM18" s="529">
        <f>IFERROR(BM17/BM13,0)</f>
        <v/>
      </c>
      <c r="BN18" s="529">
        <f>IFERROR(BN17/BN13,0)</f>
        <v/>
      </c>
      <c r="BO18" s="529">
        <f>IFERROR(BO17/BO13,0)</f>
        <v/>
      </c>
      <c r="BP18" s="529">
        <f>IFERROR(BP17/BP13,0)</f>
        <v/>
      </c>
      <c r="BQ18" s="529">
        <f>IFERROR(BQ17/BQ13,0)</f>
        <v/>
      </c>
      <c r="BR18" s="529">
        <f>IFERROR(BR17/BR13,0)</f>
        <v/>
      </c>
      <c r="BS18" s="529">
        <f>IFERROR(BS17/BS13,0)</f>
        <v/>
      </c>
      <c r="BT18" s="529">
        <f>IFERROR(BT17/BT13,0)</f>
        <v/>
      </c>
      <c r="BU18" s="529">
        <f>IFERROR(BU17/BU13,0)</f>
        <v/>
      </c>
      <c r="BV18" s="529">
        <f>IFERROR(BV17/BV13,0)</f>
        <v/>
      </c>
      <c r="BW18" s="529">
        <f>IFERROR(BW17/BW13,0)</f>
        <v/>
      </c>
      <c r="BX18" s="529">
        <f>IFERROR(BX17/BX13,0)</f>
        <v/>
      </c>
      <c r="BY18" s="529">
        <f>IFERROR(BY17/BY13,0)</f>
        <v/>
      </c>
      <c r="BZ18" s="529">
        <f>IFERROR(BZ17/BZ13,0)</f>
        <v/>
      </c>
      <c r="CA18" s="529">
        <f>IFERROR(CA17/CA13,0)</f>
        <v/>
      </c>
      <c r="CB18" s="529">
        <f>IFERROR(CB17/CB13,0)</f>
        <v/>
      </c>
      <c r="CC18" s="529">
        <f>IFERROR(CC17/CC13,0)</f>
        <v/>
      </c>
      <c r="CD18" s="529">
        <f>IFERROR(CD17/CD13,0)</f>
        <v/>
      </c>
      <c r="CE18" s="529">
        <f>IFERROR(CE17/CE13,0)</f>
        <v/>
      </c>
      <c r="CF18" s="529">
        <f>IFERROR(CF17/CF13,0)</f>
        <v/>
      </c>
      <c r="CG18" s="529">
        <f>IFERROR(CG17/CG13,0)</f>
        <v/>
      </c>
      <c r="CH18" s="529">
        <f>IFERROR(CH17/CH13,0)</f>
        <v/>
      </c>
      <c r="CI18" s="529">
        <f>IFERROR(CI17/CI13,0)</f>
        <v/>
      </c>
      <c r="CJ18" s="529">
        <f>IFERROR(CJ17/CJ13,0)</f>
        <v/>
      </c>
      <c r="CK18" s="529">
        <f>IFERROR(CK17/CK13,0)</f>
        <v/>
      </c>
      <c r="CL18" s="529">
        <f>IFERROR(CL17/CL13,0)</f>
        <v/>
      </c>
      <c r="CM18" s="529">
        <f>IFERROR(CM17/CM13,0)</f>
        <v/>
      </c>
      <c r="CN18" s="529">
        <f>IFERROR(CN17/CN13,0)</f>
        <v/>
      </c>
      <c r="CO18" s="529">
        <f>IFERROR(CO17/CO13,0)</f>
        <v/>
      </c>
      <c r="CP18" s="529">
        <f>IFERROR(CP17/CP13,0)</f>
        <v/>
      </c>
      <c r="CQ18" s="529">
        <f>IFERROR(CQ17/CQ13,0)</f>
        <v/>
      </c>
      <c r="CR18" s="529">
        <f>IFERROR(CR17/CR13,0)</f>
        <v/>
      </c>
      <c r="CS18" s="529">
        <f>IFERROR(CS17/CS13,0)</f>
        <v/>
      </c>
      <c r="CT18" s="529">
        <f>IFERROR(CT17/CT13,0)</f>
        <v/>
      </c>
      <c r="CU18" s="529">
        <f>IFERROR(CU17/CU13,0)</f>
        <v/>
      </c>
      <c r="CV18" s="529">
        <f>IFERROR(CV17/CV13,0)</f>
        <v/>
      </c>
      <c r="CW18" s="529">
        <f>IFERROR(CW17/CW13,0)</f>
        <v/>
      </c>
      <c r="CX18" s="529">
        <f>IFERROR(CX17/CX13,0)</f>
        <v/>
      </c>
      <c r="CY18" s="529">
        <f>IFERROR(CY17/CY13,0)</f>
        <v/>
      </c>
      <c r="CZ18" s="529">
        <f>IFERROR(CZ17/CZ13,0)</f>
        <v/>
      </c>
      <c r="DA18" s="529">
        <f>IFERROR(DA17/DA13,0)</f>
        <v/>
      </c>
      <c r="DB18" s="529">
        <f>IFERROR(DB17/DB13,0)</f>
        <v/>
      </c>
      <c r="DC18" s="529">
        <f>IFERROR(DC17/DC13,0)</f>
        <v/>
      </c>
      <c r="DD18" s="529">
        <f>IFERROR(DD17/DD13,0)</f>
        <v/>
      </c>
      <c r="DE18" s="529">
        <f>IFERROR(DE17/DE13,0)</f>
        <v/>
      </c>
      <c r="DF18" s="529">
        <f>IFERROR(DF17/DF13,0)</f>
        <v/>
      </c>
    </row>
    <row r="19" ht="15" customFormat="1" customHeight="1" s="380">
      <c r="A19" s="468" t="n"/>
      <c r="C19" s="483" t="n"/>
      <c r="D19" s="483" t="n"/>
      <c r="E19" s="483" t="n"/>
      <c r="F19" s="522" t="n"/>
      <c r="G19" s="522" t="n"/>
      <c r="H19" s="522" t="n"/>
      <c r="I19" s="522" t="n"/>
      <c r="J19" s="522" t="n"/>
      <c r="K19" s="522" t="n"/>
      <c r="L19" s="522" t="n"/>
      <c r="M19" s="522" t="n"/>
      <c r="N19" s="522" t="n"/>
      <c r="O19" s="522" t="n"/>
      <c r="P19" s="522" t="n"/>
      <c r="Q19" s="522" t="n"/>
      <c r="R19" s="522" t="n"/>
      <c r="S19" s="522" t="n"/>
      <c r="T19" s="522" t="n"/>
      <c r="U19" s="522" t="n"/>
      <c r="V19" s="522" t="n"/>
      <c r="W19" s="522" t="n"/>
      <c r="X19" s="522" t="n"/>
      <c r="Y19" s="522" t="n"/>
      <c r="Z19" s="522" t="n"/>
      <c r="AA19" s="522" t="n"/>
      <c r="AB19" s="522" t="n"/>
      <c r="AC19" s="522" t="n"/>
      <c r="AD19" s="522" t="n"/>
      <c r="AE19" s="522" t="n"/>
      <c r="AF19" s="522" t="n"/>
      <c r="AG19" s="522" t="n"/>
      <c r="AH19" s="522" t="n"/>
      <c r="AI19" s="522" t="n"/>
      <c r="AJ19" s="522" t="n"/>
      <c r="AK19" s="522" t="n"/>
      <c r="AL19" s="522" t="n"/>
      <c r="AM19" s="522" t="n"/>
      <c r="AN19" s="522" t="n"/>
      <c r="AO19" s="522" t="n"/>
      <c r="AP19" s="522" t="n"/>
      <c r="AQ19" s="522" t="n"/>
      <c r="AR19" s="522" t="n"/>
      <c r="AS19" s="522" t="n"/>
      <c r="AT19" s="522" t="n"/>
      <c r="AU19" s="522" t="n"/>
      <c r="AV19" s="522" t="n"/>
      <c r="AW19" s="522" t="n"/>
      <c r="AX19" s="522" t="n"/>
      <c r="AY19" s="522" t="n"/>
      <c r="AZ19" s="522" t="n"/>
      <c r="BA19" s="522" t="n"/>
      <c r="BB19" s="522" t="n"/>
      <c r="BC19" s="522" t="n"/>
      <c r="BD19" s="522" t="n"/>
      <c r="BE19" s="522" t="n"/>
      <c r="BF19" s="522" t="n"/>
      <c r="BG19" s="522" t="n"/>
      <c r="BH19" s="522" t="n"/>
      <c r="BI19" s="522" t="n"/>
      <c r="BJ19" s="522" t="n"/>
      <c r="BK19" s="522" t="n"/>
      <c r="BL19" s="522" t="n"/>
      <c r="BM19" s="522" t="n"/>
      <c r="BN19" s="522" t="n"/>
      <c r="BO19" s="522" t="n"/>
      <c r="BP19" s="522" t="n"/>
      <c r="BQ19" s="522" t="n"/>
      <c r="BR19" s="522" t="n"/>
      <c r="BS19" s="522" t="n"/>
      <c r="BT19" s="522" t="n"/>
      <c r="BU19" s="522" t="n"/>
      <c r="BV19" s="522" t="n"/>
      <c r="BW19" s="522" t="n"/>
      <c r="BX19" s="522" t="n"/>
      <c r="BY19" s="522" t="n"/>
      <c r="BZ19" s="522" t="n"/>
      <c r="CA19" s="522" t="n"/>
      <c r="CB19" s="522" t="n"/>
      <c r="CC19" s="522" t="n"/>
      <c r="CD19" s="522" t="n"/>
      <c r="CE19" s="522" t="n"/>
      <c r="CF19" s="522" t="n"/>
      <c r="CG19" s="522" t="n"/>
      <c r="CH19" s="522" t="n"/>
      <c r="CI19" s="522" t="n"/>
      <c r="CJ19" s="522" t="n"/>
      <c r="CK19" s="522" t="n"/>
      <c r="CL19" s="522" t="n"/>
      <c r="CM19" s="522" t="n"/>
      <c r="CN19" s="522" t="n"/>
      <c r="CO19" s="522" t="n"/>
      <c r="CP19" s="522" t="n"/>
      <c r="CQ19" s="522" t="n"/>
      <c r="CR19" s="522" t="n"/>
      <c r="CS19" s="522" t="n"/>
      <c r="CT19" s="522" t="n"/>
      <c r="CU19" s="522" t="n"/>
      <c r="CV19" s="522" t="n"/>
      <c r="CW19" s="522" t="n"/>
      <c r="CX19" s="522" t="n"/>
      <c r="CY19" s="522" t="n"/>
      <c r="CZ19" s="522" t="n"/>
      <c r="DA19" s="522" t="n"/>
      <c r="DB19" s="522" t="n"/>
      <c r="DC19" s="522" t="n"/>
      <c r="DD19" s="522" t="n"/>
      <c r="DE19" s="522" t="n"/>
      <c r="DF19" s="522" t="n"/>
    </row>
    <row r="20" ht="15" customFormat="1" customHeight="1" s="380">
      <c r="A20" s="468" t="n"/>
      <c r="C20" s="483" t="n"/>
      <c r="D20" s="483" t="n"/>
      <c r="E20" s="483" t="n"/>
      <c r="F20" s="522" t="n"/>
      <c r="G20" s="522" t="n"/>
      <c r="H20" s="522" t="n"/>
      <c r="I20" s="522" t="n"/>
      <c r="J20" s="522" t="n"/>
      <c r="K20" s="522" t="n"/>
      <c r="L20" s="522" t="n"/>
      <c r="M20" s="522" t="n"/>
      <c r="N20" s="522" t="n"/>
      <c r="O20" s="522" t="n"/>
      <c r="P20" s="522" t="n"/>
      <c r="Q20" s="522" t="n"/>
      <c r="R20" s="522" t="n"/>
      <c r="S20" s="522" t="n"/>
      <c r="T20" s="522" t="n"/>
      <c r="U20" s="522" t="n"/>
      <c r="V20" s="522" t="n"/>
      <c r="W20" s="522" t="n"/>
      <c r="X20" s="522" t="n"/>
      <c r="Y20" s="522" t="n"/>
      <c r="Z20" s="522" t="n"/>
      <c r="AA20" s="522" t="n"/>
      <c r="AB20" s="522" t="n"/>
      <c r="AC20" s="522" t="n"/>
      <c r="AD20" s="522" t="n"/>
      <c r="AE20" s="522" t="n"/>
      <c r="AF20" s="522" t="n"/>
      <c r="AG20" s="522" t="n"/>
      <c r="AH20" s="522" t="n"/>
      <c r="AI20" s="522" t="n"/>
      <c r="AJ20" s="522" t="n"/>
      <c r="AK20" s="522" t="n"/>
      <c r="AL20" s="522" t="n"/>
      <c r="AM20" s="522" t="n"/>
      <c r="AN20" s="522" t="n"/>
      <c r="AO20" s="522" t="n"/>
      <c r="AP20" s="522" t="n"/>
      <c r="AQ20" s="522" t="n"/>
      <c r="AR20" s="522" t="n"/>
      <c r="AS20" s="522" t="n"/>
      <c r="AT20" s="522" t="n"/>
      <c r="AU20" s="522" t="n"/>
      <c r="AV20" s="522" t="n"/>
      <c r="AW20" s="522" t="n"/>
      <c r="AX20" s="522" t="n"/>
      <c r="AY20" s="522" t="n"/>
      <c r="AZ20" s="522" t="n"/>
      <c r="BA20" s="522" t="n"/>
      <c r="BB20" s="522" t="n"/>
      <c r="BC20" s="522" t="n"/>
      <c r="BD20" s="522" t="n"/>
      <c r="BE20" s="522" t="n"/>
      <c r="BF20" s="522" t="n"/>
      <c r="BG20" s="522" t="n"/>
      <c r="BH20" s="522" t="n"/>
      <c r="BI20" s="522" t="n"/>
      <c r="BJ20" s="522" t="n"/>
      <c r="BK20" s="522" t="n"/>
      <c r="BL20" s="522" t="n"/>
      <c r="BM20" s="522" t="n"/>
      <c r="BN20" s="522" t="n"/>
      <c r="BO20" s="522" t="n"/>
      <c r="BP20" s="522" t="n"/>
      <c r="BQ20" s="522" t="n"/>
      <c r="BR20" s="522" t="n"/>
      <c r="BS20" s="522" t="n"/>
      <c r="BT20" s="522" t="n"/>
      <c r="BU20" s="522" t="n"/>
      <c r="BV20" s="522" t="n"/>
      <c r="BW20" s="522" t="n"/>
      <c r="BX20" s="522" t="n"/>
      <c r="BY20" s="522" t="n"/>
      <c r="BZ20" s="522" t="n"/>
      <c r="CA20" s="522" t="n"/>
      <c r="CB20" s="522" t="n"/>
      <c r="CC20" s="522" t="n"/>
      <c r="CD20" s="522" t="n"/>
      <c r="CE20" s="522" t="n"/>
      <c r="CF20" s="522" t="n"/>
      <c r="CG20" s="522" t="n"/>
      <c r="CH20" s="522" t="n"/>
      <c r="CI20" s="522" t="n"/>
      <c r="CJ20" s="522" t="n"/>
      <c r="CK20" s="522" t="n"/>
      <c r="CL20" s="522" t="n"/>
      <c r="CM20" s="522" t="n"/>
      <c r="CN20" s="522" t="n"/>
      <c r="CO20" s="522" t="n"/>
      <c r="CP20" s="522" t="n"/>
      <c r="CQ20" s="522" t="n"/>
      <c r="CR20" s="522" t="n"/>
      <c r="CS20" s="522" t="n"/>
      <c r="CT20" s="522" t="n"/>
      <c r="CU20" s="522" t="n"/>
      <c r="CV20" s="522" t="n"/>
      <c r="CW20" s="522" t="n"/>
      <c r="CX20" s="522" t="n"/>
      <c r="CY20" s="522" t="n"/>
      <c r="CZ20" s="522" t="n"/>
      <c r="DA20" s="522" t="n"/>
      <c r="DB20" s="522" t="n"/>
      <c r="DC20" s="522" t="n"/>
      <c r="DD20" s="522" t="n"/>
      <c r="DE20" s="522" t="n"/>
      <c r="DF20" s="522" t="n"/>
    </row>
    <row r="21" ht="15" customFormat="1" customHeight="1" s="380">
      <c r="A21" s="468" t="inlineStr">
        <is>
          <t>5000-1000 Payroll</t>
        </is>
      </c>
      <c r="C21" s="483" t="n">
        <v>-144550.9</v>
      </c>
      <c r="D21" s="483" t="n">
        <v>-150672.84</v>
      </c>
      <c r="E21" s="483" t="n">
        <v>-178867.86</v>
      </c>
      <c r="F21" s="522" t="n">
        <v>-164791.666666667</v>
      </c>
      <c r="G21" s="522" t="n">
        <v>-189375</v>
      </c>
      <c r="H21" s="522" t="n">
        <v>-214375</v>
      </c>
      <c r="I21" s="522" t="n">
        <v>-225208.333333333</v>
      </c>
      <c r="J21" s="522" t="n">
        <v>-225208.333333333</v>
      </c>
      <c r="K21" s="522" t="n">
        <v>-225208.333333333</v>
      </c>
      <c r="L21" s="522" t="n">
        <v>-246041.666666667</v>
      </c>
      <c r="M21" s="522" t="n">
        <v>-276041.666666667</v>
      </c>
      <c r="N21" s="522" t="n">
        <v>-276041.666666667</v>
      </c>
      <c r="O21" s="522" t="n">
        <v>-276041.666666667</v>
      </c>
      <c r="P21" s="522" t="n">
        <v>-276041.666666667</v>
      </c>
      <c r="Q21" s="522" t="n">
        <v>-276041.666666667</v>
      </c>
      <c r="R21" s="522" t="n">
        <v>-295162.5</v>
      </c>
      <c r="S21" s="522" t="n">
        <v>-295162.5</v>
      </c>
      <c r="T21" s="522" t="n">
        <v>-295162.5</v>
      </c>
      <c r="U21" s="522" t="n">
        <v>-295162.5</v>
      </c>
      <c r="V21" s="522" t="n">
        <v>-295162.5</v>
      </c>
      <c r="W21" s="522" t="n">
        <v>-295162.5</v>
      </c>
      <c r="X21" s="522" t="n">
        <v>-295162.5</v>
      </c>
      <c r="Y21" s="522" t="n">
        <v>-295162.5</v>
      </c>
      <c r="Z21" s="522" t="n">
        <v>-295162.5</v>
      </c>
      <c r="AA21" s="522" t="n">
        <v>-295162.5</v>
      </c>
      <c r="AB21" s="522" t="n">
        <v>-295162.5</v>
      </c>
      <c r="AC21" s="522" t="n">
        <v>-295162.5</v>
      </c>
      <c r="AD21" s="522" t="n">
        <v>-301065.75</v>
      </c>
      <c r="AE21" s="522" t="n">
        <v>-301065.75</v>
      </c>
      <c r="AF21" s="522" t="n">
        <v>-301065.75</v>
      </c>
      <c r="AG21" s="522" t="n">
        <v>-301065.75</v>
      </c>
      <c r="AH21" s="522" t="n">
        <v>-301065.75</v>
      </c>
      <c r="AI21" s="522" t="n">
        <v>-301065.75</v>
      </c>
      <c r="AJ21" s="522" t="n">
        <v>-301065.75</v>
      </c>
      <c r="AK21" s="522" t="n">
        <v>-301065.75</v>
      </c>
      <c r="AL21" s="522" t="n">
        <v>-301065.75</v>
      </c>
      <c r="AM21" s="522" t="n">
        <v>-301065.75</v>
      </c>
      <c r="AN21" s="522" t="n">
        <v>-301065.75</v>
      </c>
      <c r="AO21" s="522" t="n">
        <v>-301065.75</v>
      </c>
      <c r="AP21" s="522" t="n">
        <v>-307087.065</v>
      </c>
      <c r="AQ21" s="522" t="n">
        <v>-307087.065</v>
      </c>
      <c r="AR21" s="522" t="n">
        <v>-307087.065</v>
      </c>
      <c r="AS21" s="522" t="n">
        <v>-307087.065</v>
      </c>
      <c r="AT21" s="522" t="n">
        <v>-307087.065</v>
      </c>
      <c r="AU21" s="522" t="n">
        <v>-307087.065</v>
      </c>
      <c r="AV21" s="522" t="n">
        <v>-307087.065</v>
      </c>
      <c r="AW21" s="522" t="n">
        <v>-307087.065</v>
      </c>
      <c r="AX21" s="522" t="n">
        <v>-307087.065</v>
      </c>
      <c r="AY21" s="522" t="n">
        <v>-307087.065</v>
      </c>
      <c r="AZ21" s="522" t="n">
        <v>-307087.065</v>
      </c>
      <c r="BA21" s="522" t="n">
        <v>-307087.065</v>
      </c>
      <c r="BB21" s="522" t="n">
        <v>-313228.8063</v>
      </c>
      <c r="BC21" s="522" t="n">
        <v>-313228.8063</v>
      </c>
      <c r="BD21" s="522" t="n">
        <v>-313228.8063</v>
      </c>
      <c r="BE21" s="522" t="n">
        <v>-313228.8063</v>
      </c>
      <c r="BF21" s="522" t="n">
        <v>-313228.8063</v>
      </c>
      <c r="BG21" s="522" t="n">
        <v>-313228.8063</v>
      </c>
      <c r="BH21" s="522" t="n">
        <v>-313228.8063</v>
      </c>
      <c r="BI21" s="522" t="n">
        <v>-313228.8063</v>
      </c>
      <c r="BJ21" s="522" t="n">
        <v>-313228.8063</v>
      </c>
      <c r="BK21" s="522" t="n">
        <v>-313228.8063</v>
      </c>
      <c r="BL21" s="522" t="n">
        <v>-313228.8063</v>
      </c>
      <c r="BM21" s="522" t="n">
        <v>-313228.8063</v>
      </c>
      <c r="BN21" s="522" t="n">
        <v>-319493.382426</v>
      </c>
      <c r="BO21" s="522" t="n">
        <v>-319493.382426</v>
      </c>
      <c r="BP21" s="522" t="n">
        <v>-319493.382426</v>
      </c>
      <c r="BQ21" s="522" t="n">
        <v>-319493.382426</v>
      </c>
      <c r="BR21" s="522" t="n">
        <v>-319493.382426</v>
      </c>
      <c r="BS21" s="522" t="n">
        <v>-319493.382426</v>
      </c>
      <c r="BT21" s="522" t="n">
        <v>-319493.382426</v>
      </c>
      <c r="BU21" s="522" t="n">
        <v>-319493.382426</v>
      </c>
      <c r="BV21" s="522" t="n">
        <v>-319493.382426</v>
      </c>
      <c r="BW21" s="522" t="n">
        <v>-319493.382426</v>
      </c>
      <c r="BX21" s="522" t="n">
        <v>-319493.382426</v>
      </c>
      <c r="BY21" s="522" t="n">
        <v>-319493.382426</v>
      </c>
      <c r="BZ21" s="522" t="n">
        <v>-325883.25007452</v>
      </c>
      <c r="CA21" s="522" t="n">
        <v>-325883.25007452</v>
      </c>
      <c r="CB21" s="522" t="n">
        <v>-325883.25007452</v>
      </c>
      <c r="CC21" s="522" t="n">
        <v>-325883.25007452</v>
      </c>
      <c r="CD21" s="522" t="n">
        <v>-325883.25007452</v>
      </c>
      <c r="CE21" s="522" t="n">
        <v>-325883.25007452</v>
      </c>
      <c r="CF21" s="522" t="n">
        <v>-325883.25007452</v>
      </c>
      <c r="CG21" s="522" t="n">
        <v>-325883.25007452</v>
      </c>
      <c r="CH21" s="522" t="n">
        <v>-325883.25007452</v>
      </c>
      <c r="CI21" s="522" t="n">
        <v>-325883.25007452</v>
      </c>
      <c r="CJ21" s="522" t="n">
        <v>-325883.25007452</v>
      </c>
      <c r="CK21" s="522" t="n">
        <v>-325883.25007452</v>
      </c>
      <c r="CL21" s="522" t="n">
        <v>-332400.91507601</v>
      </c>
      <c r="CM21" s="522" t="n">
        <v>-332400.91507601</v>
      </c>
      <c r="CN21" s="522" t="n">
        <v>-332400.91507601</v>
      </c>
      <c r="CO21" s="522" t="n">
        <v>-332400.91507601</v>
      </c>
      <c r="CP21" s="522" t="n">
        <v>-332400.91507601</v>
      </c>
      <c r="CQ21" s="522" t="n">
        <v>-332400.91507601</v>
      </c>
      <c r="CR21" s="522" t="n">
        <v>-332400.91507601</v>
      </c>
      <c r="CS21" s="522" t="n">
        <v>-332400.91507601</v>
      </c>
      <c r="CT21" s="522" t="n">
        <v>-332400.91507601</v>
      </c>
      <c r="CU21" s="522" t="n">
        <v>-332400.91507601</v>
      </c>
      <c r="CV21" s="522" t="n">
        <v>-332400.91507601</v>
      </c>
      <c r="CW21" s="522" t="n">
        <v>-332400.91507601</v>
      </c>
      <c r="CX21" s="522" t="n">
        <v>-339048.933377531</v>
      </c>
      <c r="CY21" s="522" t="n">
        <v>-339048.933377531</v>
      </c>
      <c r="CZ21" s="522" t="n">
        <v>-339048.933377531</v>
      </c>
      <c r="DA21" s="522" t="n">
        <v>-339048.933377531</v>
      </c>
      <c r="DB21" s="522" t="n">
        <v>-339048.933377531</v>
      </c>
      <c r="DC21" s="522" t="n">
        <v>-339048.933377531</v>
      </c>
      <c r="DD21" s="522" t="n">
        <v>-339048.933377531</v>
      </c>
      <c r="DE21" s="522" t="n">
        <v>-339048.933377531</v>
      </c>
      <c r="DF21" s="522" t="n">
        <v>-339048.933377531</v>
      </c>
    </row>
    <row r="22" ht="15" customFormat="1" customHeight="1" s="380">
      <c r="A22" s="468" t="inlineStr">
        <is>
          <t>5000-1001 Payroll Taxes</t>
        </is>
      </c>
      <c r="C22" s="483" t="n">
        <v>-7450.37</v>
      </c>
      <c r="D22" s="483" t="n">
        <v>-10567.2</v>
      </c>
      <c r="E22" s="483" t="n">
        <v>-17033.3</v>
      </c>
      <c r="F22" s="522" t="n">
        <v>-15327.0833333333</v>
      </c>
      <c r="G22" s="522" t="n">
        <v>-17047.9166666667</v>
      </c>
      <c r="H22" s="522" t="n">
        <v>-18797.9166666667</v>
      </c>
      <c r="I22" s="522" t="n">
        <v>-19556.25</v>
      </c>
      <c r="J22" s="522" t="n">
        <v>-19556.25</v>
      </c>
      <c r="K22" s="522" t="n">
        <v>-19556.25</v>
      </c>
      <c r="L22" s="522" t="n">
        <v>-21014.5833333333</v>
      </c>
      <c r="M22" s="522" t="n">
        <v>-23114.5833333333</v>
      </c>
      <c r="N22" s="522" t="n">
        <v>-23114.5833333333</v>
      </c>
      <c r="O22" s="522" t="n">
        <v>-23114.5833333333</v>
      </c>
      <c r="P22" s="522" t="n">
        <v>-23114.5833333333</v>
      </c>
      <c r="Q22" s="522" t="n">
        <v>-23114.5833333333</v>
      </c>
      <c r="R22" s="522" t="n">
        <v>-24528.875</v>
      </c>
      <c r="S22" s="522" t="n">
        <v>-24528.875</v>
      </c>
      <c r="T22" s="522" t="n">
        <v>-24528.875</v>
      </c>
      <c r="U22" s="522" t="n">
        <v>-24528.875</v>
      </c>
      <c r="V22" s="522" t="n">
        <v>-24528.875</v>
      </c>
      <c r="W22" s="522" t="n">
        <v>-24528.875</v>
      </c>
      <c r="X22" s="522" t="n">
        <v>-24528.875</v>
      </c>
      <c r="Y22" s="522" t="n">
        <v>-24528.875</v>
      </c>
      <c r="Z22" s="522" t="n">
        <v>-24528.875</v>
      </c>
      <c r="AA22" s="522" t="n">
        <v>-24528.875</v>
      </c>
      <c r="AB22" s="522" t="n">
        <v>-24528.875</v>
      </c>
      <c r="AC22" s="522" t="n">
        <v>-24528.875</v>
      </c>
      <c r="AD22" s="522" t="n">
        <v>-25019.4525</v>
      </c>
      <c r="AE22" s="522" t="n">
        <v>-25019.4525</v>
      </c>
      <c r="AF22" s="522" t="n">
        <v>-25019.4525</v>
      </c>
      <c r="AG22" s="522" t="n">
        <v>-25019.4525</v>
      </c>
      <c r="AH22" s="522" t="n">
        <v>-25019.4525</v>
      </c>
      <c r="AI22" s="522" t="n">
        <v>-25019.4525</v>
      </c>
      <c r="AJ22" s="522" t="n">
        <v>-25019.4525</v>
      </c>
      <c r="AK22" s="522" t="n">
        <v>-25019.4525</v>
      </c>
      <c r="AL22" s="522" t="n">
        <v>-25019.4525</v>
      </c>
      <c r="AM22" s="522" t="n">
        <v>-25019.4525</v>
      </c>
      <c r="AN22" s="522" t="n">
        <v>-25019.4525</v>
      </c>
      <c r="AO22" s="522" t="n">
        <v>-25019.4525</v>
      </c>
      <c r="AP22" s="522" t="n">
        <v>-25519.84155</v>
      </c>
      <c r="AQ22" s="522" t="n">
        <v>-25519.84155</v>
      </c>
      <c r="AR22" s="522" t="n">
        <v>-25519.84155</v>
      </c>
      <c r="AS22" s="522" t="n">
        <v>-25519.84155</v>
      </c>
      <c r="AT22" s="522" t="n">
        <v>-25519.84155</v>
      </c>
      <c r="AU22" s="522" t="n">
        <v>-25519.84155</v>
      </c>
      <c r="AV22" s="522" t="n">
        <v>-25519.84155</v>
      </c>
      <c r="AW22" s="522" t="n">
        <v>-25519.84155</v>
      </c>
      <c r="AX22" s="522" t="n">
        <v>-25519.84155</v>
      </c>
      <c r="AY22" s="522" t="n">
        <v>-25519.84155</v>
      </c>
      <c r="AZ22" s="522" t="n">
        <v>-25519.84155</v>
      </c>
      <c r="BA22" s="522" t="n">
        <v>-25519.84155</v>
      </c>
      <c r="BB22" s="522" t="n">
        <v>-26030.238381</v>
      </c>
      <c r="BC22" s="522" t="n">
        <v>-26030.238381</v>
      </c>
      <c r="BD22" s="522" t="n">
        <v>-26030.238381</v>
      </c>
      <c r="BE22" s="522" t="n">
        <v>-26030.238381</v>
      </c>
      <c r="BF22" s="522" t="n">
        <v>-26030.238381</v>
      </c>
      <c r="BG22" s="522" t="n">
        <v>-26030.238381</v>
      </c>
      <c r="BH22" s="522" t="n">
        <v>-26030.238381</v>
      </c>
      <c r="BI22" s="522" t="n">
        <v>-26030.238381</v>
      </c>
      <c r="BJ22" s="522" t="n">
        <v>-26030.238381</v>
      </c>
      <c r="BK22" s="522" t="n">
        <v>-26030.238381</v>
      </c>
      <c r="BL22" s="522" t="n">
        <v>-26030.238381</v>
      </c>
      <c r="BM22" s="522" t="n">
        <v>-26030.238381</v>
      </c>
      <c r="BN22" s="522" t="n">
        <v>-26550.84314862</v>
      </c>
      <c r="BO22" s="522" t="n">
        <v>-26550.84314862</v>
      </c>
      <c r="BP22" s="522" t="n">
        <v>-26550.84314862</v>
      </c>
      <c r="BQ22" s="522" t="n">
        <v>-26550.84314862</v>
      </c>
      <c r="BR22" s="522" t="n">
        <v>-26550.84314862</v>
      </c>
      <c r="BS22" s="522" t="n">
        <v>-26550.84314862</v>
      </c>
      <c r="BT22" s="522" t="n">
        <v>-26550.84314862</v>
      </c>
      <c r="BU22" s="522" t="n">
        <v>-26550.84314862</v>
      </c>
      <c r="BV22" s="522" t="n">
        <v>-26550.84314862</v>
      </c>
      <c r="BW22" s="522" t="n">
        <v>-26550.84314862</v>
      </c>
      <c r="BX22" s="522" t="n">
        <v>-26550.84314862</v>
      </c>
      <c r="BY22" s="522" t="n">
        <v>-26550.84314862</v>
      </c>
      <c r="BZ22" s="522" t="n">
        <v>-27081.8600115924</v>
      </c>
      <c r="CA22" s="522" t="n">
        <v>-27081.8600115924</v>
      </c>
      <c r="CB22" s="522" t="n">
        <v>-27081.8600115924</v>
      </c>
      <c r="CC22" s="522" t="n">
        <v>-27081.8600115924</v>
      </c>
      <c r="CD22" s="522" t="n">
        <v>-27081.8600115924</v>
      </c>
      <c r="CE22" s="522" t="n">
        <v>-27081.8600115924</v>
      </c>
      <c r="CF22" s="522" t="n">
        <v>-27081.8600115924</v>
      </c>
      <c r="CG22" s="522" t="n">
        <v>-27081.8600115924</v>
      </c>
      <c r="CH22" s="522" t="n">
        <v>-27081.8600115924</v>
      </c>
      <c r="CI22" s="522" t="n">
        <v>-27081.8600115924</v>
      </c>
      <c r="CJ22" s="522" t="n">
        <v>-27081.8600115924</v>
      </c>
      <c r="CK22" s="522" t="n">
        <v>-27081.8600115924</v>
      </c>
      <c r="CL22" s="522" t="n">
        <v>-27623.4972118242</v>
      </c>
      <c r="CM22" s="522" t="n">
        <v>-27623.4972118242</v>
      </c>
      <c r="CN22" s="522" t="n">
        <v>-27623.4972118242</v>
      </c>
      <c r="CO22" s="522" t="n">
        <v>-27623.4972118242</v>
      </c>
      <c r="CP22" s="522" t="n">
        <v>-27623.4972118242</v>
      </c>
      <c r="CQ22" s="522" t="n">
        <v>-27623.4972118242</v>
      </c>
      <c r="CR22" s="522" t="n">
        <v>-27623.4972118242</v>
      </c>
      <c r="CS22" s="522" t="n">
        <v>-27623.4972118242</v>
      </c>
      <c r="CT22" s="522" t="n">
        <v>-27623.4972118242</v>
      </c>
      <c r="CU22" s="522" t="n">
        <v>0</v>
      </c>
      <c r="CV22" s="522" t="n">
        <v>0</v>
      </c>
      <c r="CW22" s="522" t="n">
        <v>0</v>
      </c>
      <c r="CX22" s="522" t="n">
        <v>0</v>
      </c>
      <c r="CY22" s="522" t="n">
        <v>0</v>
      </c>
      <c r="CZ22" s="522" t="n">
        <v>0</v>
      </c>
      <c r="DA22" s="522" t="n">
        <v>0</v>
      </c>
      <c r="DB22" s="522" t="n">
        <v>0</v>
      </c>
      <c r="DC22" s="522" t="n">
        <v>0</v>
      </c>
      <c r="DD22" s="522" t="n">
        <v>0</v>
      </c>
      <c r="DE22" s="522" t="n">
        <v>0</v>
      </c>
      <c r="DF22" s="522" t="n">
        <v>0</v>
      </c>
    </row>
    <row r="23" ht="15" customFormat="1" customHeight="1" s="380">
      <c r="A23" s="468" t="inlineStr">
        <is>
          <t>SP Allocated to LV</t>
        </is>
      </c>
      <c r="C23" s="483" t="n">
        <v>0</v>
      </c>
      <c r="D23" s="483" t="n">
        <v>0</v>
      </c>
      <c r="E23" s="483" t="n">
        <v>0</v>
      </c>
      <c r="F23" s="522" t="n">
        <v>-103833.333333333</v>
      </c>
      <c r="G23" s="522" t="n">
        <v>-103833.333333333</v>
      </c>
      <c r="H23" s="522" t="n">
        <v>-103833.333333333</v>
      </c>
      <c r="I23" s="522" t="n">
        <v>-103833.333333333</v>
      </c>
      <c r="J23" s="522" t="n">
        <v>-103833.333333333</v>
      </c>
      <c r="K23" s="522" t="n">
        <v>-103833.333333333</v>
      </c>
      <c r="L23" s="522" t="n">
        <v>-103833.333333333</v>
      </c>
      <c r="M23" s="522" t="n">
        <v>-103833.333333333</v>
      </c>
      <c r="N23" s="522" t="n">
        <v>-103833.333333333</v>
      </c>
      <c r="O23" s="522" t="n">
        <v>-103833.333333333</v>
      </c>
      <c r="P23" s="522" t="n">
        <v>-103833.333333333</v>
      </c>
      <c r="Q23" s="522" t="n">
        <v>-103833.333333333</v>
      </c>
      <c r="R23" s="522" t="n">
        <v>-103833.333333333</v>
      </c>
      <c r="S23" s="522" t="n">
        <v>-103833.333333333</v>
      </c>
      <c r="T23" s="522" t="n">
        <v>-103833.333333333</v>
      </c>
      <c r="U23" s="522" t="n">
        <v>-103833.333333333</v>
      </c>
      <c r="V23" s="522" t="n">
        <v>-103833.333333333</v>
      </c>
      <c r="W23" s="522" t="n">
        <v>-103833.333333333</v>
      </c>
      <c r="X23" s="522" t="n">
        <v>-103833.333333333</v>
      </c>
      <c r="Y23" s="522" t="n">
        <v>-103833.333333333</v>
      </c>
      <c r="Z23" s="522" t="n">
        <v>-103833.333333333</v>
      </c>
      <c r="AA23" s="522" t="n">
        <v>-103833.333333333</v>
      </c>
      <c r="AB23" s="522" t="n">
        <v>-103833.333333333</v>
      </c>
      <c r="AC23" s="522" t="n">
        <v>-103833.333333333</v>
      </c>
      <c r="AD23" s="522" t="n">
        <v>-103833.333333333</v>
      </c>
      <c r="AE23" s="522" t="n">
        <v>-103833.333333333</v>
      </c>
      <c r="AF23" s="522" t="n">
        <v>-103833.333333333</v>
      </c>
      <c r="AG23" s="522" t="n">
        <v>-103833.333333333</v>
      </c>
      <c r="AH23" s="522" t="n">
        <v>-103833.333333333</v>
      </c>
      <c r="AI23" s="522" t="n">
        <v>-103833.333333333</v>
      </c>
      <c r="AJ23" s="522" t="n">
        <v>-103833.333333333</v>
      </c>
      <c r="AK23" s="522" t="n">
        <v>-103833.333333333</v>
      </c>
      <c r="AL23" s="522" t="n">
        <v>-103833.333333333</v>
      </c>
      <c r="AM23" s="522" t="n">
        <v>-103833.333333333</v>
      </c>
      <c r="AN23" s="522" t="n">
        <v>-103833.333333333</v>
      </c>
      <c r="AO23" s="522" t="n">
        <v>-103833.333333333</v>
      </c>
      <c r="AP23" s="522" t="n">
        <v>-103833.333333333</v>
      </c>
      <c r="AQ23" s="522" t="n">
        <v>-103833.333333333</v>
      </c>
      <c r="AR23" s="522" t="n">
        <v>-103833.333333333</v>
      </c>
      <c r="AS23" s="522" t="n">
        <v>-103833.333333333</v>
      </c>
      <c r="AT23" s="522" t="n">
        <v>-103833.333333333</v>
      </c>
      <c r="AU23" s="522" t="n">
        <v>-103833.333333333</v>
      </c>
      <c r="AV23" s="522" t="n">
        <v>-103833.333333333</v>
      </c>
      <c r="AW23" s="522" t="n">
        <v>-103833.333333333</v>
      </c>
      <c r="AX23" s="522" t="n">
        <v>-103833.333333333</v>
      </c>
      <c r="AY23" s="522" t="n">
        <v>-103833.333333333</v>
      </c>
      <c r="AZ23" s="522" t="n">
        <v>-103833.333333333</v>
      </c>
      <c r="BA23" s="522" t="n">
        <v>-103833.333333333</v>
      </c>
      <c r="BB23" s="522" t="n">
        <v>-103833.333333333</v>
      </c>
      <c r="BC23" s="522" t="n">
        <v>-103833.333333333</v>
      </c>
      <c r="BD23" s="522" t="n">
        <v>-103833.333333333</v>
      </c>
      <c r="BE23" s="522" t="n">
        <v>-103833.333333333</v>
      </c>
      <c r="BF23" s="522" t="n">
        <v>-103833.333333333</v>
      </c>
      <c r="BG23" s="522" t="n">
        <v>-103833.333333333</v>
      </c>
      <c r="BH23" s="522" t="n">
        <v>-103833.333333333</v>
      </c>
      <c r="BI23" s="522" t="n">
        <v>-103833.333333333</v>
      </c>
      <c r="BJ23" s="522" t="n">
        <v>-103833.333333333</v>
      </c>
      <c r="BK23" s="522" t="n">
        <v>-103833.333333333</v>
      </c>
      <c r="BL23" s="522" t="n">
        <v>-103833.333333333</v>
      </c>
      <c r="BM23" s="522" t="n">
        <v>-103833.333333333</v>
      </c>
      <c r="BN23" s="522" t="n">
        <v>-103833.333333333</v>
      </c>
      <c r="BO23" s="522" t="n">
        <v>-103833.333333333</v>
      </c>
      <c r="BP23" s="522" t="n">
        <v>-103833.333333333</v>
      </c>
      <c r="BQ23" s="522" t="n">
        <v>-103833.333333333</v>
      </c>
      <c r="BR23" s="522" t="n">
        <v>-103833.333333333</v>
      </c>
      <c r="BS23" s="522" t="n">
        <v>-103833.333333333</v>
      </c>
      <c r="BT23" s="522" t="n">
        <v>-103833.333333333</v>
      </c>
      <c r="BU23" s="522" t="n">
        <v>-103833.333333333</v>
      </c>
      <c r="BV23" s="522" t="n">
        <v>-103833.333333333</v>
      </c>
      <c r="BW23" s="522" t="n">
        <v>-103833.333333333</v>
      </c>
      <c r="BX23" s="522" t="n">
        <v>-103833.333333333</v>
      </c>
      <c r="BY23" s="522" t="n">
        <v>-103833.333333333</v>
      </c>
      <c r="BZ23" s="522" t="n">
        <v>-103833.333333333</v>
      </c>
      <c r="CA23" s="522" t="n">
        <v>-103833.333333333</v>
      </c>
      <c r="CB23" s="522" t="n">
        <v>-103833.333333333</v>
      </c>
      <c r="CC23" s="522" t="n">
        <v>-103833.333333333</v>
      </c>
      <c r="CD23" s="522" t="n">
        <v>-103833.333333333</v>
      </c>
      <c r="CE23" s="522" t="n">
        <v>-103833.333333333</v>
      </c>
      <c r="CF23" s="522" t="n">
        <v>-103833.333333333</v>
      </c>
      <c r="CG23" s="522" t="n">
        <v>-103833.333333333</v>
      </c>
      <c r="CH23" s="522" t="n">
        <v>-103833.333333333</v>
      </c>
      <c r="CI23" s="522" t="n">
        <v>-103833.333333333</v>
      </c>
      <c r="CJ23" s="522" t="n">
        <v>-103833.333333333</v>
      </c>
      <c r="CK23" s="522" t="n">
        <v>-103833.333333333</v>
      </c>
      <c r="CL23" s="522" t="n">
        <v>-103833.333333333</v>
      </c>
      <c r="CM23" s="522" t="n">
        <v>-103833.333333333</v>
      </c>
      <c r="CN23" s="522" t="n">
        <v>-103833.333333333</v>
      </c>
      <c r="CO23" s="522" t="n">
        <v>-103833.333333333</v>
      </c>
      <c r="CP23" s="522" t="n">
        <v>-103833.333333333</v>
      </c>
      <c r="CQ23" s="522" t="n">
        <v>-103833.333333333</v>
      </c>
      <c r="CR23" s="522" t="n">
        <v>-103833.333333333</v>
      </c>
      <c r="CS23" s="522" t="n">
        <v>-103833.333333333</v>
      </c>
      <c r="CT23" s="522" t="n">
        <v>-103833.333333333</v>
      </c>
      <c r="CU23" s="522" t="n">
        <v>-103833.333333333</v>
      </c>
      <c r="CV23" s="522" t="n">
        <v>-103833.333333333</v>
      </c>
      <c r="CW23" s="522" t="n">
        <v>-103833.333333333</v>
      </c>
      <c r="CX23" s="522" t="n">
        <v>-103833.333333333</v>
      </c>
      <c r="CY23" s="522" t="n">
        <v>-103833.333333333</v>
      </c>
      <c r="CZ23" s="522" t="n">
        <v>-103833.333333333</v>
      </c>
      <c r="DA23" s="522" t="n">
        <v>-103833.333333333</v>
      </c>
      <c r="DB23" s="522" t="n">
        <v>-103833.333333333</v>
      </c>
      <c r="DC23" s="522" t="n">
        <v>-103833.333333333</v>
      </c>
      <c r="DD23" s="522" t="n">
        <v>-103833.333333333</v>
      </c>
      <c r="DE23" s="522" t="n">
        <v>-103833.333333333</v>
      </c>
      <c r="DF23" s="522" t="n">
        <v>-103833.333333333</v>
      </c>
    </row>
    <row r="24" ht="15" customFormat="1" customHeight="1" s="380">
      <c r="A24" s="468" t="inlineStr">
        <is>
          <t>5000-1002 Employee Benefits</t>
        </is>
      </c>
      <c r="C24" s="483" t="n">
        <v>-9482.969999999999</v>
      </c>
      <c r="D24" s="483" t="n">
        <v>-10343.29</v>
      </c>
      <c r="E24" s="483" t="n">
        <v>-3729.48</v>
      </c>
      <c r="F24" s="522" t="n">
        <v>-10947.9166666667</v>
      </c>
      <c r="G24" s="522" t="n">
        <v>-12177.0833333333</v>
      </c>
      <c r="H24" s="522" t="n">
        <v>-13427.0833333333</v>
      </c>
      <c r="I24" s="522" t="n">
        <v>-13968.75</v>
      </c>
      <c r="J24" s="522" t="n">
        <v>-13968.75</v>
      </c>
      <c r="K24" s="522" t="n">
        <v>-13968.75</v>
      </c>
      <c r="L24" s="522" t="n">
        <v>-15010.4166666667</v>
      </c>
      <c r="M24" s="522" t="n">
        <v>-16510.4166666667</v>
      </c>
      <c r="N24" s="522" t="n">
        <v>-16510.4166666667</v>
      </c>
      <c r="O24" s="522" t="n">
        <v>-16510.4166666667</v>
      </c>
      <c r="P24" s="522" t="n">
        <v>-16510.4166666667</v>
      </c>
      <c r="Q24" s="522" t="n">
        <v>-16510.4166666667</v>
      </c>
      <c r="R24" s="522" t="n">
        <v>-17520.625</v>
      </c>
      <c r="S24" s="522" t="n">
        <v>-17520.625</v>
      </c>
      <c r="T24" s="522" t="n">
        <v>-17520.625</v>
      </c>
      <c r="U24" s="522" t="n">
        <v>-17520.625</v>
      </c>
      <c r="V24" s="522" t="n">
        <v>-17520.625</v>
      </c>
      <c r="W24" s="522" t="n">
        <v>-17520.625</v>
      </c>
      <c r="X24" s="522" t="n">
        <v>-17520.625</v>
      </c>
      <c r="Y24" s="522" t="n">
        <v>-17520.625</v>
      </c>
      <c r="Z24" s="522" t="n">
        <v>-17520.625</v>
      </c>
      <c r="AA24" s="522" t="n">
        <v>-17520.625</v>
      </c>
      <c r="AB24" s="522" t="n">
        <v>-17520.625</v>
      </c>
      <c r="AC24" s="522" t="n">
        <v>-17520.625</v>
      </c>
      <c r="AD24" s="522" t="n">
        <v>-17871.0375</v>
      </c>
      <c r="AE24" s="522" t="n">
        <v>-17871.0375</v>
      </c>
      <c r="AF24" s="522" t="n">
        <v>-17871.0375</v>
      </c>
      <c r="AG24" s="522" t="n">
        <v>-17871.0375</v>
      </c>
      <c r="AH24" s="522" t="n">
        <v>-17871.0375</v>
      </c>
      <c r="AI24" s="522" t="n">
        <v>-17871.0375</v>
      </c>
      <c r="AJ24" s="522" t="n">
        <v>-17871.0375</v>
      </c>
      <c r="AK24" s="522" t="n">
        <v>-17871.0375</v>
      </c>
      <c r="AL24" s="522" t="n">
        <v>-17871.0375</v>
      </c>
      <c r="AM24" s="522" t="n">
        <v>-17871.0375</v>
      </c>
      <c r="AN24" s="522" t="n">
        <v>-17871.0375</v>
      </c>
      <c r="AO24" s="522" t="n">
        <v>-17871.0375</v>
      </c>
      <c r="AP24" s="522" t="n">
        <v>-18228.45825</v>
      </c>
      <c r="AQ24" s="522" t="n">
        <v>-18228.45825</v>
      </c>
      <c r="AR24" s="522" t="n">
        <v>-18228.45825</v>
      </c>
      <c r="AS24" s="522" t="n">
        <v>-18228.45825</v>
      </c>
      <c r="AT24" s="522" t="n">
        <v>-18228.45825</v>
      </c>
      <c r="AU24" s="522" t="n">
        <v>-18228.45825</v>
      </c>
      <c r="AV24" s="522" t="n">
        <v>-18228.45825</v>
      </c>
      <c r="AW24" s="522" t="n">
        <v>-18228.45825</v>
      </c>
      <c r="AX24" s="522" t="n">
        <v>-18228.45825</v>
      </c>
      <c r="AY24" s="522" t="n">
        <v>-18228.45825</v>
      </c>
      <c r="AZ24" s="522" t="n">
        <v>-18228.45825</v>
      </c>
      <c r="BA24" s="522" t="n">
        <v>-18228.45825</v>
      </c>
      <c r="BB24" s="522" t="n">
        <v>-18593.027415</v>
      </c>
      <c r="BC24" s="522" t="n">
        <v>-18593.027415</v>
      </c>
      <c r="BD24" s="522" t="n">
        <v>-18593.027415</v>
      </c>
      <c r="BE24" s="522" t="n">
        <v>-18593.027415</v>
      </c>
      <c r="BF24" s="522" t="n">
        <v>-18593.027415</v>
      </c>
      <c r="BG24" s="522" t="n">
        <v>-18593.027415</v>
      </c>
      <c r="BH24" s="522" t="n">
        <v>-18593.027415</v>
      </c>
      <c r="BI24" s="522" t="n">
        <v>-18593.027415</v>
      </c>
      <c r="BJ24" s="522" t="n">
        <v>-18593.027415</v>
      </c>
      <c r="BK24" s="522" t="n">
        <v>-18593.027415</v>
      </c>
      <c r="BL24" s="522" t="n">
        <v>-18593.027415</v>
      </c>
      <c r="BM24" s="522" t="n">
        <v>-18593.027415</v>
      </c>
      <c r="BN24" s="522" t="n">
        <v>-18964.8879633</v>
      </c>
      <c r="BO24" s="522" t="n">
        <v>-18964.8879633</v>
      </c>
      <c r="BP24" s="522" t="n">
        <v>-18964.8879633</v>
      </c>
      <c r="BQ24" s="522" t="n">
        <v>-18964.8879633</v>
      </c>
      <c r="BR24" s="522" t="n">
        <v>-18964.8879633</v>
      </c>
      <c r="BS24" s="522" t="n">
        <v>-18964.8879633</v>
      </c>
      <c r="BT24" s="522" t="n">
        <v>-18964.8879633</v>
      </c>
      <c r="BU24" s="522" t="n">
        <v>-18964.8879633</v>
      </c>
      <c r="BV24" s="522" t="n">
        <v>-18964.8879633</v>
      </c>
      <c r="BW24" s="522" t="n">
        <v>-18964.8879633</v>
      </c>
      <c r="BX24" s="522" t="n">
        <v>-18964.8879633</v>
      </c>
      <c r="BY24" s="522" t="n">
        <v>-18964.8879633</v>
      </c>
      <c r="BZ24" s="522" t="n">
        <v>-19344.185722566</v>
      </c>
      <c r="CA24" s="522" t="n">
        <v>-19344.185722566</v>
      </c>
      <c r="CB24" s="522" t="n">
        <v>-19344.185722566</v>
      </c>
      <c r="CC24" s="522" t="n">
        <v>-19344.185722566</v>
      </c>
      <c r="CD24" s="522" t="n">
        <v>-19344.185722566</v>
      </c>
      <c r="CE24" s="522" t="n">
        <v>-19344.185722566</v>
      </c>
      <c r="CF24" s="522" t="n">
        <v>-19344.185722566</v>
      </c>
      <c r="CG24" s="522" t="n">
        <v>-19344.185722566</v>
      </c>
      <c r="CH24" s="522" t="n">
        <v>-19344.185722566</v>
      </c>
      <c r="CI24" s="522" t="n">
        <v>-19344.185722566</v>
      </c>
      <c r="CJ24" s="522" t="n">
        <v>-19344.185722566</v>
      </c>
      <c r="CK24" s="522" t="n">
        <v>-19344.185722566</v>
      </c>
      <c r="CL24" s="522" t="n">
        <v>-19731.0694370173</v>
      </c>
      <c r="CM24" s="522" t="n">
        <v>-19731.0694370173</v>
      </c>
      <c r="CN24" s="522" t="n">
        <v>-19731.0694370173</v>
      </c>
      <c r="CO24" s="522" t="n">
        <v>-19731.0694370173</v>
      </c>
      <c r="CP24" s="522" t="n">
        <v>-19731.0694370173</v>
      </c>
      <c r="CQ24" s="522" t="n">
        <v>-19731.0694370173</v>
      </c>
      <c r="CR24" s="522" t="n">
        <v>-19731.0694370173</v>
      </c>
      <c r="CS24" s="522" t="n">
        <v>-19731.0694370173</v>
      </c>
      <c r="CT24" s="522" t="n">
        <v>-19731.0694370173</v>
      </c>
      <c r="CU24" s="522" t="n">
        <v>0</v>
      </c>
      <c r="CV24" s="522" t="n">
        <v>0</v>
      </c>
      <c r="CW24" s="522" t="n">
        <v>0</v>
      </c>
      <c r="CX24" s="522" t="n">
        <v>0</v>
      </c>
      <c r="CY24" s="522" t="n">
        <v>0</v>
      </c>
      <c r="CZ24" s="522" t="n">
        <v>0</v>
      </c>
      <c r="DA24" s="522" t="n">
        <v>0</v>
      </c>
      <c r="DB24" s="522" t="n">
        <v>0</v>
      </c>
      <c r="DC24" s="522" t="n">
        <v>0</v>
      </c>
      <c r="DD24" s="522" t="n">
        <v>0</v>
      </c>
      <c r="DE24" s="522" t="n">
        <v>0</v>
      </c>
      <c r="DF24" s="522" t="n">
        <v>0</v>
      </c>
    </row>
    <row r="25" ht="15" customFormat="1" customHeight="1" s="380">
      <c r="A25" s="468" t="inlineStr">
        <is>
          <t>5000-1003 Workers Comp</t>
        </is>
      </c>
      <c r="C25" s="483" t="n">
        <v>-2542.47</v>
      </c>
      <c r="D25" s="483" t="n">
        <v>-1618.75</v>
      </c>
      <c r="E25" s="483" t="n">
        <v>3406.77</v>
      </c>
      <c r="F25" s="522" t="n">
        <v>-4379.16666666667</v>
      </c>
      <c r="G25" s="522" t="n">
        <v>-4870.83333333333</v>
      </c>
      <c r="H25" s="522" t="n">
        <v>-5370.83333333333</v>
      </c>
      <c r="I25" s="522" t="n">
        <v>-5587.5</v>
      </c>
      <c r="J25" s="522" t="n">
        <v>-5587.5</v>
      </c>
      <c r="K25" s="522" t="n">
        <v>-5587.5</v>
      </c>
      <c r="L25" s="522" t="n">
        <v>-6004.16666666667</v>
      </c>
      <c r="M25" s="522" t="n">
        <v>-6604.16666666666</v>
      </c>
      <c r="N25" s="522" t="n">
        <v>-6604.16666666666</v>
      </c>
      <c r="O25" s="522" t="n">
        <v>-6604.16666666666</v>
      </c>
      <c r="P25" s="522" t="n">
        <v>-6604.16666666666</v>
      </c>
      <c r="Q25" s="522" t="n">
        <v>-6604.16666666666</v>
      </c>
      <c r="R25" s="522" t="n">
        <v>-7008.25</v>
      </c>
      <c r="S25" s="522" t="n">
        <v>-7008.25</v>
      </c>
      <c r="T25" s="522" t="n">
        <v>-7008.25</v>
      </c>
      <c r="U25" s="522" t="n">
        <v>-7008.25</v>
      </c>
      <c r="V25" s="522" t="n">
        <v>-7008.25</v>
      </c>
      <c r="W25" s="522" t="n">
        <v>-7008.25</v>
      </c>
      <c r="X25" s="522" t="n">
        <v>-7008.25</v>
      </c>
      <c r="Y25" s="522" t="n">
        <v>-7008.25</v>
      </c>
      <c r="Z25" s="522" t="n">
        <v>-7008.25</v>
      </c>
      <c r="AA25" s="522" t="n">
        <v>-7008.25</v>
      </c>
      <c r="AB25" s="522" t="n">
        <v>-7008.25</v>
      </c>
      <c r="AC25" s="522" t="n">
        <v>-7008.25</v>
      </c>
      <c r="AD25" s="522" t="n">
        <v>-7148.415</v>
      </c>
      <c r="AE25" s="522" t="n">
        <v>-7148.415</v>
      </c>
      <c r="AF25" s="522" t="n">
        <v>-7148.415</v>
      </c>
      <c r="AG25" s="522" t="n">
        <v>-7148.415</v>
      </c>
      <c r="AH25" s="522" t="n">
        <v>-7148.415</v>
      </c>
      <c r="AI25" s="522" t="n">
        <v>-7148.415</v>
      </c>
      <c r="AJ25" s="522" t="n">
        <v>-7148.415</v>
      </c>
      <c r="AK25" s="522" t="n">
        <v>-7148.415</v>
      </c>
      <c r="AL25" s="522" t="n">
        <v>-7148.415</v>
      </c>
      <c r="AM25" s="522" t="n">
        <v>-7148.415</v>
      </c>
      <c r="AN25" s="522" t="n">
        <v>-7148.415</v>
      </c>
      <c r="AO25" s="522" t="n">
        <v>-7148.415</v>
      </c>
      <c r="AP25" s="522" t="n">
        <v>-7291.3833</v>
      </c>
      <c r="AQ25" s="522" t="n">
        <v>-7291.3833</v>
      </c>
      <c r="AR25" s="522" t="n">
        <v>-7291.3833</v>
      </c>
      <c r="AS25" s="522" t="n">
        <v>-7291.3833</v>
      </c>
      <c r="AT25" s="522" t="n">
        <v>-7291.3833</v>
      </c>
      <c r="AU25" s="522" t="n">
        <v>-7291.3833</v>
      </c>
      <c r="AV25" s="522" t="n">
        <v>-7291.3833</v>
      </c>
      <c r="AW25" s="522" t="n">
        <v>-7291.3833</v>
      </c>
      <c r="AX25" s="522" t="n">
        <v>-7291.3833</v>
      </c>
      <c r="AY25" s="522" t="n">
        <v>-7291.3833</v>
      </c>
      <c r="AZ25" s="522" t="n">
        <v>-7291.3833</v>
      </c>
      <c r="BA25" s="522" t="n">
        <v>-7291.3833</v>
      </c>
      <c r="BB25" s="522" t="n">
        <v>-7437.210966</v>
      </c>
      <c r="BC25" s="522" t="n">
        <v>-7437.210966</v>
      </c>
      <c r="BD25" s="522" t="n">
        <v>-7437.210966</v>
      </c>
      <c r="BE25" s="522" t="n">
        <v>-7437.210966</v>
      </c>
      <c r="BF25" s="522" t="n">
        <v>-7437.210966</v>
      </c>
      <c r="BG25" s="522" t="n">
        <v>-7437.210966</v>
      </c>
      <c r="BH25" s="522" t="n">
        <v>-7437.210966</v>
      </c>
      <c r="BI25" s="522" t="n">
        <v>-7437.210966</v>
      </c>
      <c r="BJ25" s="522" t="n">
        <v>-7437.210966</v>
      </c>
      <c r="BK25" s="522" t="n">
        <v>-7437.210966</v>
      </c>
      <c r="BL25" s="522" t="n">
        <v>-7437.210966</v>
      </c>
      <c r="BM25" s="522" t="n">
        <v>-7437.210966</v>
      </c>
      <c r="BN25" s="522" t="n">
        <v>-7585.95518532</v>
      </c>
      <c r="BO25" s="522" t="n">
        <v>-7585.95518532</v>
      </c>
      <c r="BP25" s="522" t="n">
        <v>-7585.95518532</v>
      </c>
      <c r="BQ25" s="522" t="n">
        <v>-7585.95518532</v>
      </c>
      <c r="BR25" s="522" t="n">
        <v>-7585.95518532</v>
      </c>
      <c r="BS25" s="522" t="n">
        <v>-7585.95518532</v>
      </c>
      <c r="BT25" s="522" t="n">
        <v>-7585.95518532</v>
      </c>
      <c r="BU25" s="522" t="n">
        <v>-7585.95518532</v>
      </c>
      <c r="BV25" s="522" t="n">
        <v>-7585.95518532</v>
      </c>
      <c r="BW25" s="522" t="n">
        <v>-7585.95518532</v>
      </c>
      <c r="BX25" s="522" t="n">
        <v>-7585.95518532</v>
      </c>
      <c r="BY25" s="522" t="n">
        <v>-7585.95518532</v>
      </c>
      <c r="BZ25" s="522" t="n">
        <v>-7737.6742890264</v>
      </c>
      <c r="CA25" s="522" t="n">
        <v>-7737.6742890264</v>
      </c>
      <c r="CB25" s="522" t="n">
        <v>-7737.6742890264</v>
      </c>
      <c r="CC25" s="522" t="n">
        <v>-7737.6742890264</v>
      </c>
      <c r="CD25" s="522" t="n">
        <v>-7737.6742890264</v>
      </c>
      <c r="CE25" s="522" t="n">
        <v>-7737.6742890264</v>
      </c>
      <c r="CF25" s="522" t="n">
        <v>-7737.6742890264</v>
      </c>
      <c r="CG25" s="522" t="n">
        <v>-7737.6742890264</v>
      </c>
      <c r="CH25" s="522" t="n">
        <v>-7737.6742890264</v>
      </c>
      <c r="CI25" s="522" t="n">
        <v>-7737.6742890264</v>
      </c>
      <c r="CJ25" s="522" t="n">
        <v>-7737.6742890264</v>
      </c>
      <c r="CK25" s="522" t="n">
        <v>-7737.6742890264</v>
      </c>
      <c r="CL25" s="522" t="n">
        <v>-7892.42777480693</v>
      </c>
      <c r="CM25" s="522" t="n">
        <v>-7892.42777480693</v>
      </c>
      <c r="CN25" s="522" t="n">
        <v>-7892.42777480693</v>
      </c>
      <c r="CO25" s="522" t="n">
        <v>-7892.42777480693</v>
      </c>
      <c r="CP25" s="522" t="n">
        <v>-7892.42777480693</v>
      </c>
      <c r="CQ25" s="522" t="n">
        <v>-7892.42777480693</v>
      </c>
      <c r="CR25" s="522" t="n">
        <v>-7892.42777480693</v>
      </c>
      <c r="CS25" s="522" t="n">
        <v>-7892.42777480693</v>
      </c>
      <c r="CT25" s="522" t="n">
        <v>-7892.42777480693</v>
      </c>
      <c r="CU25" s="522" t="n">
        <v>0</v>
      </c>
      <c r="CV25" s="522" t="n">
        <v>0</v>
      </c>
      <c r="CW25" s="522" t="n">
        <v>0</v>
      </c>
      <c r="CX25" s="522" t="n">
        <v>0</v>
      </c>
      <c r="CY25" s="522" t="n">
        <v>0</v>
      </c>
      <c r="CZ25" s="522" t="n">
        <v>0</v>
      </c>
      <c r="DA25" s="522" t="n">
        <v>0</v>
      </c>
      <c r="DB25" s="522" t="n">
        <v>0</v>
      </c>
      <c r="DC25" s="522" t="n">
        <v>0</v>
      </c>
      <c r="DD25" s="522" t="n">
        <v>0</v>
      </c>
      <c r="DE25" s="522" t="n">
        <v>0</v>
      </c>
      <c r="DF25" s="522" t="n">
        <v>0</v>
      </c>
    </row>
    <row r="26" ht="15" customFormat="1" customHeight="1" s="380">
      <c r="A26" s="468" t="inlineStr">
        <is>
          <t>5000-1005 Payroll Servicing Fees</t>
        </is>
      </c>
      <c r="C26" s="483" t="n">
        <v>-195</v>
      </c>
      <c r="D26" s="483" t="n">
        <v>-200</v>
      </c>
      <c r="E26" s="483" t="n">
        <v>0</v>
      </c>
      <c r="F26" s="522" t="n">
        <v>-1094.79166666667</v>
      </c>
      <c r="G26" s="522" t="n">
        <v>-1217.70833333333</v>
      </c>
      <c r="H26" s="522" t="n">
        <v>-1342.70833333333</v>
      </c>
      <c r="I26" s="522" t="n">
        <v>-1396.875</v>
      </c>
      <c r="J26" s="522" t="n">
        <v>-1396.875</v>
      </c>
      <c r="K26" s="522" t="n">
        <v>-1396.875</v>
      </c>
      <c r="L26" s="522" t="n">
        <v>-1501.04166666667</v>
      </c>
      <c r="M26" s="522" t="n">
        <v>-1651.04166666667</v>
      </c>
      <c r="N26" s="522" t="n">
        <v>-1651.04166666667</v>
      </c>
      <c r="O26" s="522" t="n">
        <v>-1651.04166666667</v>
      </c>
      <c r="P26" s="522" t="n">
        <v>-1651.04166666667</v>
      </c>
      <c r="Q26" s="522" t="n">
        <v>-1651.04166666667</v>
      </c>
      <c r="R26" s="522" t="n">
        <v>-1752.0625</v>
      </c>
      <c r="S26" s="522" t="n">
        <v>-1752.0625</v>
      </c>
      <c r="T26" s="522" t="n">
        <v>-1752.0625</v>
      </c>
      <c r="U26" s="522" t="n">
        <v>-1752.0625</v>
      </c>
      <c r="V26" s="522" t="n">
        <v>-1752.0625</v>
      </c>
      <c r="W26" s="522" t="n">
        <v>-1752.0625</v>
      </c>
      <c r="X26" s="522" t="n">
        <v>-1752.0625</v>
      </c>
      <c r="Y26" s="522" t="n">
        <v>-1752.0625</v>
      </c>
      <c r="Z26" s="522" t="n">
        <v>-1752.0625</v>
      </c>
      <c r="AA26" s="522" t="n">
        <v>-1752.0625</v>
      </c>
      <c r="AB26" s="522" t="n">
        <v>-1752.0625</v>
      </c>
      <c r="AC26" s="522" t="n">
        <v>-1752.0625</v>
      </c>
      <c r="AD26" s="522" t="n">
        <v>-1787.10375</v>
      </c>
      <c r="AE26" s="522" t="n">
        <v>-1787.10375</v>
      </c>
      <c r="AF26" s="522" t="n">
        <v>-1787.10375</v>
      </c>
      <c r="AG26" s="522" t="n">
        <v>-1787.10375</v>
      </c>
      <c r="AH26" s="522" t="n">
        <v>-1787.10375</v>
      </c>
      <c r="AI26" s="522" t="n">
        <v>-1787.10375</v>
      </c>
      <c r="AJ26" s="522" t="n">
        <v>-1787.10375</v>
      </c>
      <c r="AK26" s="522" t="n">
        <v>-1787.10375</v>
      </c>
      <c r="AL26" s="522" t="n">
        <v>-1787.10375</v>
      </c>
      <c r="AM26" s="522" t="n">
        <v>-1787.10375</v>
      </c>
      <c r="AN26" s="522" t="n">
        <v>-1787.10375</v>
      </c>
      <c r="AO26" s="522" t="n">
        <v>-1787.10375</v>
      </c>
      <c r="AP26" s="522" t="n">
        <v>-1822.845825</v>
      </c>
      <c r="AQ26" s="522" t="n">
        <v>-1822.845825</v>
      </c>
      <c r="AR26" s="522" t="n">
        <v>-1822.845825</v>
      </c>
      <c r="AS26" s="522" t="n">
        <v>-1822.845825</v>
      </c>
      <c r="AT26" s="522" t="n">
        <v>-1822.845825</v>
      </c>
      <c r="AU26" s="522" t="n">
        <v>-1822.845825</v>
      </c>
      <c r="AV26" s="522" t="n">
        <v>-1822.845825</v>
      </c>
      <c r="AW26" s="522" t="n">
        <v>-1822.845825</v>
      </c>
      <c r="AX26" s="522" t="n">
        <v>-1822.845825</v>
      </c>
      <c r="AY26" s="522" t="n">
        <v>-1822.845825</v>
      </c>
      <c r="AZ26" s="522" t="n">
        <v>-1822.845825</v>
      </c>
      <c r="BA26" s="522" t="n">
        <v>-1822.845825</v>
      </c>
      <c r="BB26" s="522" t="n">
        <v>-1859.3027415</v>
      </c>
      <c r="BC26" s="522" t="n">
        <v>-1859.3027415</v>
      </c>
      <c r="BD26" s="522" t="n">
        <v>-1859.3027415</v>
      </c>
      <c r="BE26" s="522" t="n">
        <v>-1859.3027415</v>
      </c>
      <c r="BF26" s="522" t="n">
        <v>-1859.3027415</v>
      </c>
      <c r="BG26" s="522" t="n">
        <v>-1859.3027415</v>
      </c>
      <c r="BH26" s="522" t="n">
        <v>-1859.3027415</v>
      </c>
      <c r="BI26" s="522" t="n">
        <v>-1859.3027415</v>
      </c>
      <c r="BJ26" s="522" t="n">
        <v>-1859.3027415</v>
      </c>
      <c r="BK26" s="522" t="n">
        <v>-1859.3027415</v>
      </c>
      <c r="BL26" s="522" t="n">
        <v>-1859.3027415</v>
      </c>
      <c r="BM26" s="522" t="n">
        <v>-1859.3027415</v>
      </c>
      <c r="BN26" s="522" t="n">
        <v>-1896.48879633</v>
      </c>
      <c r="BO26" s="522" t="n">
        <v>-1896.48879633</v>
      </c>
      <c r="BP26" s="522" t="n">
        <v>-1896.48879633</v>
      </c>
      <c r="BQ26" s="522" t="n">
        <v>-1896.48879633</v>
      </c>
      <c r="BR26" s="522" t="n">
        <v>-1896.48879633</v>
      </c>
      <c r="BS26" s="522" t="n">
        <v>-1896.48879633</v>
      </c>
      <c r="BT26" s="522" t="n">
        <v>-1896.48879633</v>
      </c>
      <c r="BU26" s="522" t="n">
        <v>-1896.48879633</v>
      </c>
      <c r="BV26" s="522" t="n">
        <v>-1896.48879633</v>
      </c>
      <c r="BW26" s="522" t="n">
        <v>-1896.48879633</v>
      </c>
      <c r="BX26" s="522" t="n">
        <v>-1896.48879633</v>
      </c>
      <c r="BY26" s="522" t="n">
        <v>-1896.48879633</v>
      </c>
      <c r="BZ26" s="522" t="n">
        <v>-1934.4185722566</v>
      </c>
      <c r="CA26" s="522" t="n">
        <v>-1934.4185722566</v>
      </c>
      <c r="CB26" s="522" t="n">
        <v>-1934.4185722566</v>
      </c>
      <c r="CC26" s="522" t="n">
        <v>-1934.4185722566</v>
      </c>
      <c r="CD26" s="522" t="n">
        <v>-1934.4185722566</v>
      </c>
      <c r="CE26" s="522" t="n">
        <v>-1934.4185722566</v>
      </c>
      <c r="CF26" s="522" t="n">
        <v>-1934.4185722566</v>
      </c>
      <c r="CG26" s="522" t="n">
        <v>-1934.4185722566</v>
      </c>
      <c r="CH26" s="522" t="n">
        <v>-1934.4185722566</v>
      </c>
      <c r="CI26" s="522" t="n">
        <v>-1934.4185722566</v>
      </c>
      <c r="CJ26" s="522" t="n">
        <v>-1934.4185722566</v>
      </c>
      <c r="CK26" s="522" t="n">
        <v>-1934.4185722566</v>
      </c>
      <c r="CL26" s="522" t="n">
        <v>-1973.10694370173</v>
      </c>
      <c r="CM26" s="522" t="n">
        <v>-1973.10694370173</v>
      </c>
      <c r="CN26" s="522" t="n">
        <v>-1973.10694370173</v>
      </c>
      <c r="CO26" s="522" t="n">
        <v>-1973.10694370173</v>
      </c>
      <c r="CP26" s="522" t="n">
        <v>-1973.10694370173</v>
      </c>
      <c r="CQ26" s="522" t="n">
        <v>-1973.10694370173</v>
      </c>
      <c r="CR26" s="522" t="n">
        <v>-1973.10694370173</v>
      </c>
      <c r="CS26" s="522" t="n">
        <v>-1973.10694370173</v>
      </c>
      <c r="CT26" s="522" t="n">
        <v>-1973.10694370173</v>
      </c>
      <c r="CU26" s="522" t="n">
        <v>0</v>
      </c>
      <c r="CV26" s="522" t="n">
        <v>0</v>
      </c>
      <c r="CW26" s="522" t="n">
        <v>0</v>
      </c>
      <c r="CX26" s="522" t="n">
        <v>0</v>
      </c>
      <c r="CY26" s="522" t="n">
        <v>0</v>
      </c>
      <c r="CZ26" s="522" t="n">
        <v>0</v>
      </c>
      <c r="DA26" s="522" t="n">
        <v>0</v>
      </c>
      <c r="DB26" s="522" t="n">
        <v>0</v>
      </c>
      <c r="DC26" s="522" t="n">
        <v>0</v>
      </c>
      <c r="DD26" s="522" t="n">
        <v>0</v>
      </c>
      <c r="DE26" s="522" t="n">
        <v>0</v>
      </c>
      <c r="DF26" s="522" t="n">
        <v>0</v>
      </c>
    </row>
    <row r="27" ht="15" customFormat="1" customHeight="1" s="380">
      <c r="A27" s="468" t="inlineStr">
        <is>
          <t>5000-1007 Payroll - Consultants</t>
        </is>
      </c>
      <c r="C27" s="483" t="n">
        <v>-33002.28</v>
      </c>
      <c r="D27" s="483" t="n">
        <v>-29166.66</v>
      </c>
      <c r="E27" s="483" t="n">
        <v>-41666.66</v>
      </c>
      <c r="F27" s="522" t="n">
        <v>-29166.66</v>
      </c>
      <c r="G27" s="522" t="n">
        <v>-29166.66</v>
      </c>
      <c r="H27" s="522" t="n">
        <v>-29166.66</v>
      </c>
      <c r="I27" s="522" t="n">
        <v>-29166.66</v>
      </c>
      <c r="J27" s="522" t="n">
        <v>-29166.66</v>
      </c>
      <c r="K27" s="522" t="n">
        <v>-29166.66</v>
      </c>
      <c r="L27" s="522" t="n">
        <v>-29166.66</v>
      </c>
      <c r="M27" s="522" t="n">
        <v>-29166.66</v>
      </c>
      <c r="N27" s="522" t="n">
        <v>-29166.66</v>
      </c>
      <c r="O27" s="522" t="n">
        <v>-29166.66</v>
      </c>
      <c r="P27" s="522" t="n">
        <v>-29166.66</v>
      </c>
      <c r="Q27" s="522" t="n">
        <v>-29166.66</v>
      </c>
      <c r="R27" s="522" t="n">
        <v>-29749.9932</v>
      </c>
      <c r="S27" s="522" t="n">
        <v>-29749.9932</v>
      </c>
      <c r="T27" s="522" t="n">
        <v>-29749.9932</v>
      </c>
      <c r="U27" s="522" t="n">
        <v>-29749.9932</v>
      </c>
      <c r="V27" s="522" t="n">
        <v>-29749.9932</v>
      </c>
      <c r="W27" s="522" t="n">
        <v>-29749.9932</v>
      </c>
      <c r="X27" s="522" t="n">
        <v>-29749.9932</v>
      </c>
      <c r="Y27" s="522" t="n">
        <v>-29749.9932</v>
      </c>
      <c r="Z27" s="522" t="n">
        <v>-29749.9932</v>
      </c>
      <c r="AA27" s="522" t="n">
        <v>-29749.9932</v>
      </c>
      <c r="AB27" s="522" t="n">
        <v>-29749.9932</v>
      </c>
      <c r="AC27" s="522" t="n">
        <v>-29749.9932</v>
      </c>
      <c r="AD27" s="522" t="n">
        <v>-30344.993064</v>
      </c>
      <c r="AE27" s="522" t="n">
        <v>-30344.993064</v>
      </c>
      <c r="AF27" s="522" t="n">
        <v>-30344.993064</v>
      </c>
      <c r="AG27" s="522" t="n">
        <v>-30344.993064</v>
      </c>
      <c r="AH27" s="522" t="n">
        <v>-30344.993064</v>
      </c>
      <c r="AI27" s="522" t="n">
        <v>-30344.993064</v>
      </c>
      <c r="AJ27" s="522" t="n">
        <v>-30344.993064</v>
      </c>
      <c r="AK27" s="522" t="n">
        <v>-30344.993064</v>
      </c>
      <c r="AL27" s="522" t="n">
        <v>-30344.993064</v>
      </c>
      <c r="AM27" s="522" t="n">
        <v>-30344.993064</v>
      </c>
      <c r="AN27" s="522" t="n">
        <v>-30344.993064</v>
      </c>
      <c r="AO27" s="522" t="n">
        <v>-30344.993064</v>
      </c>
      <c r="AP27" s="522" t="n">
        <v>-30951.89292528</v>
      </c>
      <c r="AQ27" s="522" t="n">
        <v>-30951.89292528</v>
      </c>
      <c r="AR27" s="522" t="n">
        <v>-30951.89292528</v>
      </c>
      <c r="AS27" s="522" t="n">
        <v>-30951.89292528</v>
      </c>
      <c r="AT27" s="522" t="n">
        <v>-30951.89292528</v>
      </c>
      <c r="AU27" s="522" t="n">
        <v>-30951.89292528</v>
      </c>
      <c r="AV27" s="522" t="n">
        <v>-30951.89292528</v>
      </c>
      <c r="AW27" s="522" t="n">
        <v>-30951.89292528</v>
      </c>
      <c r="AX27" s="522" t="n">
        <v>-30951.89292528</v>
      </c>
      <c r="AY27" s="522" t="n">
        <v>-30951.89292528</v>
      </c>
      <c r="AZ27" s="522" t="n">
        <v>-30951.89292528</v>
      </c>
      <c r="BA27" s="522" t="n">
        <v>-30951.89292528</v>
      </c>
      <c r="BB27" s="522" t="n">
        <v>-31570.9307837856</v>
      </c>
      <c r="BC27" s="522" t="n">
        <v>-31570.9307837856</v>
      </c>
      <c r="BD27" s="522" t="n">
        <v>-31570.9307837856</v>
      </c>
      <c r="BE27" s="522" t="n">
        <v>-31570.9307837856</v>
      </c>
      <c r="BF27" s="522" t="n">
        <v>-31570.9307837856</v>
      </c>
      <c r="BG27" s="522" t="n">
        <v>-31570.9307837856</v>
      </c>
      <c r="BH27" s="522" t="n">
        <v>-31570.9307837856</v>
      </c>
      <c r="BI27" s="522" t="n">
        <v>-31570.9307837856</v>
      </c>
      <c r="BJ27" s="522" t="n">
        <v>-31570.9307837856</v>
      </c>
      <c r="BK27" s="522" t="n">
        <v>-31570.9307837856</v>
      </c>
      <c r="BL27" s="522" t="n">
        <v>-31570.9307837856</v>
      </c>
      <c r="BM27" s="522" t="n">
        <v>-31570.9307837856</v>
      </c>
      <c r="BN27" s="522" t="n">
        <v>-32202.3493994613</v>
      </c>
      <c r="BO27" s="522" t="n">
        <v>-32202.3493994613</v>
      </c>
      <c r="BP27" s="522" t="n">
        <v>-32202.3493994613</v>
      </c>
      <c r="BQ27" s="522" t="n">
        <v>-32202.3493994613</v>
      </c>
      <c r="BR27" s="522" t="n">
        <v>-32202.3493994613</v>
      </c>
      <c r="BS27" s="522" t="n">
        <v>-32202.3493994613</v>
      </c>
      <c r="BT27" s="522" t="n">
        <v>-32202.3493994613</v>
      </c>
      <c r="BU27" s="522" t="n">
        <v>-32202.3493994613</v>
      </c>
      <c r="BV27" s="522" t="n">
        <v>-32202.3493994613</v>
      </c>
      <c r="BW27" s="522" t="n">
        <v>-32202.3493994613</v>
      </c>
      <c r="BX27" s="522" t="n">
        <v>-32202.3493994613</v>
      </c>
      <c r="BY27" s="522" t="n">
        <v>-32202.3493994613</v>
      </c>
      <c r="BZ27" s="522" t="n">
        <v>-32846.3963874505</v>
      </c>
      <c r="CA27" s="522" t="n">
        <v>-32846.3963874505</v>
      </c>
      <c r="CB27" s="522" t="n">
        <v>-32846.3963874505</v>
      </c>
      <c r="CC27" s="522" t="n">
        <v>-32846.3963874505</v>
      </c>
      <c r="CD27" s="522" t="n">
        <v>-32846.3963874505</v>
      </c>
      <c r="CE27" s="522" t="n">
        <v>-32846.3963874505</v>
      </c>
      <c r="CF27" s="522" t="n">
        <v>-32846.3963874505</v>
      </c>
      <c r="CG27" s="522" t="n">
        <v>-32846.3963874505</v>
      </c>
      <c r="CH27" s="522" t="n">
        <v>-32846.3963874505</v>
      </c>
      <c r="CI27" s="522" t="n">
        <v>-32846.3963874505</v>
      </c>
      <c r="CJ27" s="522" t="n">
        <v>-32846.3963874505</v>
      </c>
      <c r="CK27" s="522" t="n">
        <v>-32846.3963874505</v>
      </c>
      <c r="CL27" s="522" t="n">
        <v>-33503.3243151996</v>
      </c>
      <c r="CM27" s="522" t="n">
        <v>-33503.3243151996</v>
      </c>
      <c r="CN27" s="522" t="n">
        <v>-33503.3243151996</v>
      </c>
      <c r="CO27" s="522" t="n">
        <v>-33503.3243151996</v>
      </c>
      <c r="CP27" s="522" t="n">
        <v>-33503.3243151996</v>
      </c>
      <c r="CQ27" s="522" t="n">
        <v>-33503.3243151996</v>
      </c>
      <c r="CR27" s="522" t="n">
        <v>-33503.3243151996</v>
      </c>
      <c r="CS27" s="522" t="n">
        <v>-33503.3243151996</v>
      </c>
      <c r="CT27" s="522" t="n">
        <v>-33503.3243151996</v>
      </c>
      <c r="CU27" s="522" t="n">
        <v>-33503.3243151996</v>
      </c>
      <c r="CV27" s="522" t="n">
        <v>-33503.3243151996</v>
      </c>
      <c r="CW27" s="522" t="n">
        <v>-33503.3243151996</v>
      </c>
      <c r="CX27" s="522" t="n">
        <v>-34173.3908015035</v>
      </c>
      <c r="CY27" s="522" t="n">
        <v>-34173.3908015035</v>
      </c>
      <c r="CZ27" s="522" t="n">
        <v>-34173.3908015035</v>
      </c>
      <c r="DA27" s="522" t="n">
        <v>-34173.3908015035</v>
      </c>
      <c r="DB27" s="522" t="n">
        <v>-34173.3908015035</v>
      </c>
      <c r="DC27" s="522" t="n">
        <v>-34173.3908015035</v>
      </c>
      <c r="DD27" s="522" t="n">
        <v>-34173.3908015035</v>
      </c>
      <c r="DE27" s="522" t="n">
        <v>-34173.3908015035</v>
      </c>
      <c r="DF27" s="522" t="n">
        <v>-34173.3908015035</v>
      </c>
    </row>
    <row r="28" ht="15" customFormat="1" customHeight="1" s="380">
      <c r="A28" s="468" t="inlineStr">
        <is>
          <t>5000-1018 Payroll - Self Performed Trades</t>
        </is>
      </c>
      <c r="C28" s="483" t="n">
        <v>0</v>
      </c>
      <c r="D28" s="483" t="n">
        <v>0</v>
      </c>
      <c r="E28" s="483" t="n">
        <v>0</v>
      </c>
      <c r="F28" s="522" t="n">
        <v>0</v>
      </c>
      <c r="G28" s="522" t="n">
        <v>0</v>
      </c>
      <c r="H28" s="522" t="n">
        <v>0</v>
      </c>
      <c r="I28" s="522" t="n">
        <v>0</v>
      </c>
      <c r="J28" s="522" t="n">
        <v>0</v>
      </c>
      <c r="K28" s="522" t="n">
        <v>0</v>
      </c>
      <c r="L28" s="522" t="n">
        <v>0</v>
      </c>
      <c r="M28" s="522" t="n">
        <v>0</v>
      </c>
      <c r="N28" s="522" t="n">
        <v>0</v>
      </c>
      <c r="O28" s="522" t="n">
        <v>0</v>
      </c>
      <c r="P28" s="522" t="n">
        <v>0</v>
      </c>
      <c r="Q28" s="522" t="n">
        <v>0</v>
      </c>
      <c r="R28" s="522" t="n">
        <v>0</v>
      </c>
      <c r="S28" s="522" t="n">
        <v>0</v>
      </c>
      <c r="T28" s="522" t="n">
        <v>0</v>
      </c>
      <c r="U28" s="522" t="n">
        <v>0</v>
      </c>
      <c r="V28" s="522" t="n">
        <v>0</v>
      </c>
      <c r="W28" s="522" t="n">
        <v>0</v>
      </c>
      <c r="X28" s="522" t="n">
        <v>0</v>
      </c>
      <c r="Y28" s="522" t="n">
        <v>0</v>
      </c>
      <c r="Z28" s="522" t="n">
        <v>0</v>
      </c>
      <c r="AA28" s="522" t="n">
        <v>0</v>
      </c>
      <c r="AB28" s="522" t="n">
        <v>0</v>
      </c>
      <c r="AC28" s="522" t="n">
        <v>0</v>
      </c>
      <c r="AD28" s="522" t="n">
        <v>0</v>
      </c>
      <c r="AE28" s="522" t="n">
        <v>0</v>
      </c>
      <c r="AF28" s="522" t="n">
        <v>0</v>
      </c>
      <c r="AG28" s="522" t="n">
        <v>0</v>
      </c>
      <c r="AH28" s="522" t="n">
        <v>0</v>
      </c>
      <c r="AI28" s="522" t="n">
        <v>0</v>
      </c>
      <c r="AJ28" s="522" t="n">
        <v>0</v>
      </c>
      <c r="AK28" s="522" t="n">
        <v>0</v>
      </c>
      <c r="AL28" s="522" t="n">
        <v>0</v>
      </c>
      <c r="AM28" s="522" t="n">
        <v>0</v>
      </c>
      <c r="AN28" s="522" t="n">
        <v>0</v>
      </c>
      <c r="AO28" s="522" t="n">
        <v>0</v>
      </c>
      <c r="AP28" s="522" t="n">
        <v>0</v>
      </c>
      <c r="AQ28" s="522" t="n">
        <v>0</v>
      </c>
      <c r="AR28" s="522" t="n">
        <v>0</v>
      </c>
      <c r="AS28" s="522" t="n">
        <v>0</v>
      </c>
      <c r="AT28" s="522" t="n">
        <v>0</v>
      </c>
      <c r="AU28" s="522" t="n">
        <v>0</v>
      </c>
      <c r="AV28" s="522" t="n">
        <v>0</v>
      </c>
      <c r="AW28" s="522" t="n">
        <v>0</v>
      </c>
      <c r="AX28" s="522" t="n">
        <v>0</v>
      </c>
      <c r="AY28" s="522" t="n">
        <v>0</v>
      </c>
      <c r="AZ28" s="522" t="n">
        <v>0</v>
      </c>
      <c r="BA28" s="522" t="n">
        <v>0</v>
      </c>
      <c r="BB28" s="522" t="n">
        <v>0</v>
      </c>
      <c r="BC28" s="522" t="n">
        <v>0</v>
      </c>
      <c r="BD28" s="522" t="n">
        <v>0</v>
      </c>
      <c r="BE28" s="522" t="n">
        <v>0</v>
      </c>
      <c r="BF28" s="522" t="n">
        <v>0</v>
      </c>
      <c r="BG28" s="522" t="n">
        <v>0</v>
      </c>
      <c r="BH28" s="522" t="n">
        <v>0</v>
      </c>
      <c r="BI28" s="522" t="n">
        <v>0</v>
      </c>
      <c r="BJ28" s="522" t="n">
        <v>0</v>
      </c>
      <c r="BK28" s="522" t="n">
        <v>0</v>
      </c>
      <c r="BL28" s="522" t="n">
        <v>0</v>
      </c>
      <c r="BM28" s="522" t="n">
        <v>0</v>
      </c>
      <c r="BN28" s="522" t="n">
        <v>0</v>
      </c>
      <c r="BO28" s="522" t="n">
        <v>0</v>
      </c>
      <c r="BP28" s="522" t="n">
        <v>0</v>
      </c>
      <c r="BQ28" s="522" t="n">
        <v>0</v>
      </c>
      <c r="BR28" s="522" t="n">
        <v>0</v>
      </c>
      <c r="BS28" s="522" t="n">
        <v>0</v>
      </c>
      <c r="BT28" s="522" t="n">
        <v>0</v>
      </c>
      <c r="BU28" s="522" t="n">
        <v>0</v>
      </c>
      <c r="BV28" s="522" t="n">
        <v>0</v>
      </c>
      <c r="BW28" s="522" t="n">
        <v>0</v>
      </c>
      <c r="BX28" s="522" t="n">
        <v>0</v>
      </c>
      <c r="BY28" s="522" t="n">
        <v>0</v>
      </c>
      <c r="BZ28" s="522" t="n">
        <v>0</v>
      </c>
      <c r="CA28" s="522" t="n">
        <v>0</v>
      </c>
      <c r="CB28" s="522" t="n">
        <v>0</v>
      </c>
      <c r="CC28" s="522" t="n">
        <v>0</v>
      </c>
      <c r="CD28" s="522" t="n">
        <v>0</v>
      </c>
      <c r="CE28" s="522" t="n">
        <v>0</v>
      </c>
      <c r="CF28" s="522" t="n">
        <v>0</v>
      </c>
      <c r="CG28" s="522" t="n">
        <v>0</v>
      </c>
      <c r="CH28" s="522" t="n">
        <v>0</v>
      </c>
      <c r="CI28" s="522" t="n">
        <v>0</v>
      </c>
      <c r="CJ28" s="522" t="n">
        <v>0</v>
      </c>
      <c r="CK28" s="522" t="n">
        <v>0</v>
      </c>
      <c r="CL28" s="522" t="n">
        <v>0</v>
      </c>
      <c r="CM28" s="522" t="n">
        <v>0</v>
      </c>
      <c r="CN28" s="522" t="n">
        <v>0</v>
      </c>
      <c r="CO28" s="522" t="n">
        <v>0</v>
      </c>
      <c r="CP28" s="522" t="n">
        <v>0</v>
      </c>
      <c r="CQ28" s="522" t="n">
        <v>0</v>
      </c>
      <c r="CR28" s="522" t="n">
        <v>0</v>
      </c>
      <c r="CS28" s="522" t="n">
        <v>0</v>
      </c>
      <c r="CT28" s="522" t="n">
        <v>0</v>
      </c>
      <c r="CU28" s="522" t="n">
        <v>0</v>
      </c>
      <c r="CV28" s="522" t="n">
        <v>0</v>
      </c>
      <c r="CW28" s="522" t="n">
        <v>0</v>
      </c>
      <c r="CX28" s="522" t="n">
        <v>0</v>
      </c>
      <c r="CY28" s="522" t="n">
        <v>0</v>
      </c>
      <c r="CZ28" s="522" t="n">
        <v>0</v>
      </c>
      <c r="DA28" s="522" t="n">
        <v>0</v>
      </c>
      <c r="DB28" s="522" t="n">
        <v>0</v>
      </c>
      <c r="DC28" s="522" t="n">
        <v>0</v>
      </c>
      <c r="DD28" s="522" t="n">
        <v>0</v>
      </c>
      <c r="DE28" s="522" t="n">
        <v>0</v>
      </c>
      <c r="DF28" s="522" t="n">
        <v>0</v>
      </c>
    </row>
    <row r="29" ht="15" customFormat="1" customHeight="1" s="380">
      <c r="A29" s="468" t="inlineStr">
        <is>
          <t>5100-1000 Rent Expense</t>
        </is>
      </c>
      <c r="C29" s="483" t="n">
        <v>-10400</v>
      </c>
      <c r="D29" s="483" t="n">
        <v>-10400</v>
      </c>
      <c r="E29" s="483" t="n">
        <v>-400</v>
      </c>
      <c r="F29" s="522" t="n">
        <v>-10400</v>
      </c>
      <c r="G29" s="522" t="n">
        <v>-10400</v>
      </c>
      <c r="H29" s="522" t="n">
        <v>-10400</v>
      </c>
      <c r="I29" s="522" t="n">
        <v>-10400</v>
      </c>
      <c r="J29" s="522" t="n">
        <v>-10400</v>
      </c>
      <c r="K29" s="522" t="n">
        <v>-10400</v>
      </c>
      <c r="L29" s="522" t="n">
        <v>-10400</v>
      </c>
      <c r="M29" s="522" t="n">
        <v>-10400</v>
      </c>
      <c r="N29" s="522" t="n">
        <v>-10400</v>
      </c>
      <c r="O29" s="522" t="n">
        <v>-10400</v>
      </c>
      <c r="P29" s="522" t="n">
        <v>-10400</v>
      </c>
      <c r="Q29" s="522" t="n">
        <v>-10400</v>
      </c>
      <c r="R29" s="522" t="n">
        <v>-10608</v>
      </c>
      <c r="S29" s="522" t="n">
        <v>-10608</v>
      </c>
      <c r="T29" s="522" t="n">
        <v>-10608</v>
      </c>
      <c r="U29" s="522" t="n">
        <v>-10608</v>
      </c>
      <c r="V29" s="522" t="n">
        <v>-10608</v>
      </c>
      <c r="W29" s="522" t="n">
        <v>-10608</v>
      </c>
      <c r="X29" s="522" t="n">
        <v>-10608</v>
      </c>
      <c r="Y29" s="522" t="n">
        <v>-10608</v>
      </c>
      <c r="Z29" s="522" t="n">
        <v>-10608</v>
      </c>
      <c r="AA29" s="522" t="n">
        <v>-10608</v>
      </c>
      <c r="AB29" s="522" t="n">
        <v>-10608</v>
      </c>
      <c r="AC29" s="522" t="n">
        <v>-10608</v>
      </c>
      <c r="AD29" s="522" t="n">
        <v>-10820.16</v>
      </c>
      <c r="AE29" s="522" t="n">
        <v>-10820.16</v>
      </c>
      <c r="AF29" s="522" t="n">
        <v>-10820.16</v>
      </c>
      <c r="AG29" s="522" t="n">
        <v>-10820.16</v>
      </c>
      <c r="AH29" s="522" t="n">
        <v>-10820.16</v>
      </c>
      <c r="AI29" s="522" t="n">
        <v>-10820.16</v>
      </c>
      <c r="AJ29" s="522" t="n">
        <v>-10820.16</v>
      </c>
      <c r="AK29" s="522" t="n">
        <v>-10820.16</v>
      </c>
      <c r="AL29" s="522" t="n">
        <v>-10820.16</v>
      </c>
      <c r="AM29" s="522" t="n">
        <v>-10820.16</v>
      </c>
      <c r="AN29" s="522" t="n">
        <v>-10820.16</v>
      </c>
      <c r="AO29" s="522" t="n">
        <v>-10820.16</v>
      </c>
      <c r="AP29" s="522" t="n">
        <v>-11036.5632</v>
      </c>
      <c r="AQ29" s="522" t="n">
        <v>-11036.5632</v>
      </c>
      <c r="AR29" s="522" t="n">
        <v>-11036.5632</v>
      </c>
      <c r="AS29" s="522" t="n">
        <v>-11036.5632</v>
      </c>
      <c r="AT29" s="522" t="n">
        <v>-11036.5632</v>
      </c>
      <c r="AU29" s="522" t="n">
        <v>-11036.5632</v>
      </c>
      <c r="AV29" s="522" t="n">
        <v>-11036.5632</v>
      </c>
      <c r="AW29" s="522" t="n">
        <v>-11036.5632</v>
      </c>
      <c r="AX29" s="522" t="n">
        <v>-11036.5632</v>
      </c>
      <c r="AY29" s="522" t="n">
        <v>-11036.5632</v>
      </c>
      <c r="AZ29" s="522" t="n">
        <v>-11036.5632</v>
      </c>
      <c r="BA29" s="522" t="n">
        <v>-11036.5632</v>
      </c>
      <c r="BB29" s="522" t="n">
        <v>-11257.294464</v>
      </c>
      <c r="BC29" s="522" t="n">
        <v>-11257.294464</v>
      </c>
      <c r="BD29" s="522" t="n">
        <v>-11257.294464</v>
      </c>
      <c r="BE29" s="522" t="n">
        <v>-11257.294464</v>
      </c>
      <c r="BF29" s="522" t="n">
        <v>-11257.294464</v>
      </c>
      <c r="BG29" s="522" t="n">
        <v>-11257.294464</v>
      </c>
      <c r="BH29" s="522" t="n">
        <v>-11257.294464</v>
      </c>
      <c r="BI29" s="522" t="n">
        <v>-11257.294464</v>
      </c>
      <c r="BJ29" s="522" t="n">
        <v>-11257.294464</v>
      </c>
      <c r="BK29" s="522" t="n">
        <v>-11257.294464</v>
      </c>
      <c r="BL29" s="522" t="n">
        <v>-11257.294464</v>
      </c>
      <c r="BM29" s="522" t="n">
        <v>-11257.294464</v>
      </c>
      <c r="BN29" s="522" t="n">
        <v>-11482.44035328</v>
      </c>
      <c r="BO29" s="522" t="n">
        <v>-11482.44035328</v>
      </c>
      <c r="BP29" s="522" t="n">
        <v>-11482.44035328</v>
      </c>
      <c r="BQ29" s="522" t="n">
        <v>-11482.44035328</v>
      </c>
      <c r="BR29" s="522" t="n">
        <v>-11482.44035328</v>
      </c>
      <c r="BS29" s="522" t="n">
        <v>-11482.44035328</v>
      </c>
      <c r="BT29" s="522" t="n">
        <v>-11482.44035328</v>
      </c>
      <c r="BU29" s="522" t="n">
        <v>-11482.44035328</v>
      </c>
      <c r="BV29" s="522" t="n">
        <v>-11482.44035328</v>
      </c>
      <c r="BW29" s="522" t="n">
        <v>-11482.44035328</v>
      </c>
      <c r="BX29" s="522" t="n">
        <v>-11482.44035328</v>
      </c>
      <c r="BY29" s="522" t="n">
        <v>-11482.44035328</v>
      </c>
      <c r="BZ29" s="522" t="n">
        <v>-11712.0891603456</v>
      </c>
      <c r="CA29" s="522" t="n">
        <v>-11712.0891603456</v>
      </c>
      <c r="CB29" s="522" t="n">
        <v>-11712.0891603456</v>
      </c>
      <c r="CC29" s="522" t="n">
        <v>-11712.0891603456</v>
      </c>
      <c r="CD29" s="522" t="n">
        <v>-11712.0891603456</v>
      </c>
      <c r="CE29" s="522" t="n">
        <v>-11712.0891603456</v>
      </c>
      <c r="CF29" s="522" t="n">
        <v>-11712.0891603456</v>
      </c>
      <c r="CG29" s="522" t="n">
        <v>-11712.0891603456</v>
      </c>
      <c r="CH29" s="522" t="n">
        <v>-11712.0891603456</v>
      </c>
      <c r="CI29" s="522" t="n">
        <v>-11712.0891603456</v>
      </c>
      <c r="CJ29" s="522" t="n">
        <v>-11712.0891603456</v>
      </c>
      <c r="CK29" s="522" t="n">
        <v>-11712.0891603456</v>
      </c>
      <c r="CL29" s="522" t="n">
        <v>-11946.3309435525</v>
      </c>
      <c r="CM29" s="522" t="n">
        <v>-11946.3309435525</v>
      </c>
      <c r="CN29" s="522" t="n">
        <v>-11946.3309435525</v>
      </c>
      <c r="CO29" s="522" t="n">
        <v>-11946.3309435525</v>
      </c>
      <c r="CP29" s="522" t="n">
        <v>-11946.3309435525</v>
      </c>
      <c r="CQ29" s="522" t="n">
        <v>-11946.3309435525</v>
      </c>
      <c r="CR29" s="522" t="n">
        <v>-11946.3309435525</v>
      </c>
      <c r="CS29" s="522" t="n">
        <v>-11946.3309435525</v>
      </c>
      <c r="CT29" s="522" t="n">
        <v>-11946.3309435525</v>
      </c>
      <c r="CU29" s="522" t="n">
        <v>-11946.3309435525</v>
      </c>
      <c r="CV29" s="522" t="n">
        <v>-11946.3309435525</v>
      </c>
      <c r="CW29" s="522" t="n">
        <v>-11946.3309435525</v>
      </c>
      <c r="CX29" s="522" t="n">
        <v>-12185.2575624236</v>
      </c>
      <c r="CY29" s="522" t="n">
        <v>-12185.2575624236</v>
      </c>
      <c r="CZ29" s="522" t="n">
        <v>-12185.2575624236</v>
      </c>
      <c r="DA29" s="522" t="n">
        <v>-12185.2575624236</v>
      </c>
      <c r="DB29" s="522" t="n">
        <v>-12185.2575624236</v>
      </c>
      <c r="DC29" s="522" t="n">
        <v>-12185.2575624236</v>
      </c>
      <c r="DD29" s="522" t="n">
        <v>-12185.2575624236</v>
      </c>
      <c r="DE29" s="522" t="n">
        <v>-12185.2575624236</v>
      </c>
      <c r="DF29" s="522" t="n">
        <v>-12185.2575624236</v>
      </c>
    </row>
    <row r="30" ht="15" customFormat="1" customHeight="1" s="380">
      <c r="A30" s="468" t="inlineStr">
        <is>
          <t>5200-1000 Office Supplies and Expenses</t>
        </is>
      </c>
      <c r="C30" s="483" t="n">
        <v>-1988</v>
      </c>
      <c r="D30" s="483" t="n">
        <v>-955.3200000000001</v>
      </c>
      <c r="E30" s="483" t="n">
        <v>-9130.610000000001</v>
      </c>
      <c r="F30" s="522" t="n">
        <v>-4024.64</v>
      </c>
      <c r="G30" s="522" t="n">
        <v>-4024.64</v>
      </c>
      <c r="H30" s="522" t="n">
        <v>-4024.64</v>
      </c>
      <c r="I30" s="522" t="n">
        <v>-4024.64</v>
      </c>
      <c r="J30" s="522" t="n">
        <v>-4024.64</v>
      </c>
      <c r="K30" s="522" t="n">
        <v>-4024.64</v>
      </c>
      <c r="L30" s="522" t="n">
        <v>-4024.64</v>
      </c>
      <c r="M30" s="522" t="n">
        <v>-4024.64</v>
      </c>
      <c r="N30" s="522" t="n">
        <v>-4024.64</v>
      </c>
      <c r="O30" s="522" t="n">
        <v>-4024.64</v>
      </c>
      <c r="P30" s="522" t="n">
        <v>-4024.64</v>
      </c>
      <c r="Q30" s="522" t="n">
        <v>-4024.64</v>
      </c>
      <c r="R30" s="522" t="n">
        <v>-4105.1328</v>
      </c>
      <c r="S30" s="522" t="n">
        <v>-4105.1328</v>
      </c>
      <c r="T30" s="522" t="n">
        <v>-4105.1328</v>
      </c>
      <c r="U30" s="522" t="n">
        <v>-4105.1328</v>
      </c>
      <c r="V30" s="522" t="n">
        <v>-4105.1328</v>
      </c>
      <c r="W30" s="522" t="n">
        <v>-4105.1328</v>
      </c>
      <c r="X30" s="522" t="n">
        <v>-4105.1328</v>
      </c>
      <c r="Y30" s="522" t="n">
        <v>-4105.1328</v>
      </c>
      <c r="Z30" s="522" t="n">
        <v>-4105.1328</v>
      </c>
      <c r="AA30" s="522" t="n">
        <v>-4105.1328</v>
      </c>
      <c r="AB30" s="522" t="n">
        <v>-4105.1328</v>
      </c>
      <c r="AC30" s="522" t="n">
        <v>-4105.1328</v>
      </c>
      <c r="AD30" s="522" t="n">
        <v>-4187.235456</v>
      </c>
      <c r="AE30" s="522" t="n">
        <v>-4187.235456</v>
      </c>
      <c r="AF30" s="522" t="n">
        <v>-4187.235456</v>
      </c>
      <c r="AG30" s="522" t="n">
        <v>-4187.235456</v>
      </c>
      <c r="AH30" s="522" t="n">
        <v>-4187.235456</v>
      </c>
      <c r="AI30" s="522" t="n">
        <v>-4187.235456</v>
      </c>
      <c r="AJ30" s="522" t="n">
        <v>-4187.235456</v>
      </c>
      <c r="AK30" s="522" t="n">
        <v>-4187.235456</v>
      </c>
      <c r="AL30" s="522" t="n">
        <v>-4187.235456</v>
      </c>
      <c r="AM30" s="522" t="n">
        <v>-4187.235456</v>
      </c>
      <c r="AN30" s="522" t="n">
        <v>-4187.235456</v>
      </c>
      <c r="AO30" s="522" t="n">
        <v>-4187.235456</v>
      </c>
      <c r="AP30" s="522" t="n">
        <v>-4270.98016512</v>
      </c>
      <c r="AQ30" s="522" t="n">
        <v>-4270.98016512</v>
      </c>
      <c r="AR30" s="522" t="n">
        <v>-4270.98016512</v>
      </c>
      <c r="AS30" s="522" t="n">
        <v>-4270.98016512</v>
      </c>
      <c r="AT30" s="522" t="n">
        <v>-4270.98016512</v>
      </c>
      <c r="AU30" s="522" t="n">
        <v>-4270.98016512</v>
      </c>
      <c r="AV30" s="522" t="n">
        <v>-4270.98016512</v>
      </c>
      <c r="AW30" s="522" t="n">
        <v>-4270.98016512</v>
      </c>
      <c r="AX30" s="522" t="n">
        <v>-4270.98016512</v>
      </c>
      <c r="AY30" s="522" t="n">
        <v>-4270.98016512</v>
      </c>
      <c r="AZ30" s="522" t="n">
        <v>-4270.98016512</v>
      </c>
      <c r="BA30" s="522" t="n">
        <v>-4270.98016512</v>
      </c>
      <c r="BB30" s="522" t="n">
        <v>-4356.3997684224</v>
      </c>
      <c r="BC30" s="522" t="n">
        <v>-4356.3997684224</v>
      </c>
      <c r="BD30" s="522" t="n">
        <v>-4356.3997684224</v>
      </c>
      <c r="BE30" s="522" t="n">
        <v>-4356.3997684224</v>
      </c>
      <c r="BF30" s="522" t="n">
        <v>-4356.3997684224</v>
      </c>
      <c r="BG30" s="522" t="n">
        <v>-4356.3997684224</v>
      </c>
      <c r="BH30" s="522" t="n">
        <v>-4356.3997684224</v>
      </c>
      <c r="BI30" s="522" t="n">
        <v>-4356.3997684224</v>
      </c>
      <c r="BJ30" s="522" t="n">
        <v>-4356.3997684224</v>
      </c>
      <c r="BK30" s="522" t="n">
        <v>-4356.3997684224</v>
      </c>
      <c r="BL30" s="522" t="n">
        <v>-4356.3997684224</v>
      </c>
      <c r="BM30" s="522" t="n">
        <v>-4356.3997684224</v>
      </c>
      <c r="BN30" s="522" t="n">
        <v>-4443.52776379085</v>
      </c>
      <c r="BO30" s="522" t="n">
        <v>-4443.52776379085</v>
      </c>
      <c r="BP30" s="522" t="n">
        <v>-4443.52776379085</v>
      </c>
      <c r="BQ30" s="522" t="n">
        <v>-4443.52776379085</v>
      </c>
      <c r="BR30" s="522" t="n">
        <v>-4443.52776379085</v>
      </c>
      <c r="BS30" s="522" t="n">
        <v>-4443.52776379085</v>
      </c>
      <c r="BT30" s="522" t="n">
        <v>-4443.52776379085</v>
      </c>
      <c r="BU30" s="522" t="n">
        <v>-4443.52776379085</v>
      </c>
      <c r="BV30" s="522" t="n">
        <v>-4443.52776379085</v>
      </c>
      <c r="BW30" s="522" t="n">
        <v>-4443.52776379085</v>
      </c>
      <c r="BX30" s="522" t="n">
        <v>-4443.52776379085</v>
      </c>
      <c r="BY30" s="522" t="n">
        <v>-4443.52776379085</v>
      </c>
      <c r="BZ30" s="522" t="n">
        <v>-4532.39831906667</v>
      </c>
      <c r="CA30" s="522" t="n">
        <v>-4532.39831906667</v>
      </c>
      <c r="CB30" s="522" t="n">
        <v>-4532.39831906667</v>
      </c>
      <c r="CC30" s="522" t="n">
        <v>-4532.39831906667</v>
      </c>
      <c r="CD30" s="522" t="n">
        <v>-4532.39831906667</v>
      </c>
      <c r="CE30" s="522" t="n">
        <v>-4532.39831906667</v>
      </c>
      <c r="CF30" s="522" t="n">
        <v>-4532.39831906667</v>
      </c>
      <c r="CG30" s="522" t="n">
        <v>-4532.39831906667</v>
      </c>
      <c r="CH30" s="522" t="n">
        <v>-4532.39831906667</v>
      </c>
      <c r="CI30" s="522" t="n">
        <v>-4532.39831906667</v>
      </c>
      <c r="CJ30" s="522" t="n">
        <v>-4532.39831906667</v>
      </c>
      <c r="CK30" s="522" t="n">
        <v>-4532.39831906667</v>
      </c>
      <c r="CL30" s="522" t="n">
        <v>-4623.046285448</v>
      </c>
      <c r="CM30" s="522" t="n">
        <v>-4623.046285448</v>
      </c>
      <c r="CN30" s="522" t="n">
        <v>-4623.046285448</v>
      </c>
      <c r="CO30" s="522" t="n">
        <v>-4623.046285448</v>
      </c>
      <c r="CP30" s="522" t="n">
        <v>-4623.046285448</v>
      </c>
      <c r="CQ30" s="522" t="n">
        <v>-4623.046285448</v>
      </c>
      <c r="CR30" s="522" t="n">
        <v>-4623.046285448</v>
      </c>
      <c r="CS30" s="522" t="n">
        <v>-4623.046285448</v>
      </c>
      <c r="CT30" s="522" t="n">
        <v>-4623.046285448</v>
      </c>
      <c r="CU30" s="522" t="n">
        <v>-4623.046285448</v>
      </c>
      <c r="CV30" s="522" t="n">
        <v>-4623.046285448</v>
      </c>
      <c r="CW30" s="522" t="n">
        <v>-4623.046285448</v>
      </c>
      <c r="CX30" s="522" t="n">
        <v>-4715.50721115696</v>
      </c>
      <c r="CY30" s="522" t="n">
        <v>-4715.50721115696</v>
      </c>
      <c r="CZ30" s="522" t="n">
        <v>-4715.50721115696</v>
      </c>
      <c r="DA30" s="522" t="n">
        <v>-4715.50721115696</v>
      </c>
      <c r="DB30" s="522" t="n">
        <v>-4715.50721115696</v>
      </c>
      <c r="DC30" s="522" t="n">
        <v>-4715.50721115696</v>
      </c>
      <c r="DD30" s="522" t="n">
        <v>-4715.50721115696</v>
      </c>
      <c r="DE30" s="522" t="n">
        <v>-4715.50721115696</v>
      </c>
      <c r="DF30" s="522" t="n">
        <v>-4715.50721115696</v>
      </c>
    </row>
    <row r="31" ht="15" customFormat="1" customHeight="1" s="380">
      <c r="A31" s="468" t="inlineStr">
        <is>
          <t>5200-1002 Printing and Reproduction</t>
        </is>
      </c>
      <c r="C31" s="483" t="n">
        <v>0</v>
      </c>
      <c r="D31" s="483" t="n">
        <v>0</v>
      </c>
      <c r="E31" s="483" t="n">
        <v>-1077.38</v>
      </c>
      <c r="F31" s="522" t="n">
        <v>-359.13</v>
      </c>
      <c r="G31" s="522" t="n">
        <v>-359.13</v>
      </c>
      <c r="H31" s="522" t="n">
        <v>-359.13</v>
      </c>
      <c r="I31" s="522" t="n">
        <v>-359.13</v>
      </c>
      <c r="J31" s="522" t="n">
        <v>-359.13</v>
      </c>
      <c r="K31" s="522" t="n">
        <v>-359.13</v>
      </c>
      <c r="L31" s="522" t="n">
        <v>-359.13</v>
      </c>
      <c r="M31" s="522" t="n">
        <v>-359.13</v>
      </c>
      <c r="N31" s="522" t="n">
        <v>-359.13</v>
      </c>
      <c r="O31" s="522" t="n">
        <v>-359.13</v>
      </c>
      <c r="P31" s="522" t="n">
        <v>-359.13</v>
      </c>
      <c r="Q31" s="522" t="n">
        <v>-359.13</v>
      </c>
      <c r="R31" s="522" t="n">
        <v>-366.3126</v>
      </c>
      <c r="S31" s="522" t="n">
        <v>-366.3126</v>
      </c>
      <c r="T31" s="522" t="n">
        <v>-366.3126</v>
      </c>
      <c r="U31" s="522" t="n">
        <v>-366.3126</v>
      </c>
      <c r="V31" s="522" t="n">
        <v>-366.3126</v>
      </c>
      <c r="W31" s="522" t="n">
        <v>-366.3126</v>
      </c>
      <c r="X31" s="522" t="n">
        <v>-366.3126</v>
      </c>
      <c r="Y31" s="522" t="n">
        <v>-366.3126</v>
      </c>
      <c r="Z31" s="522" t="n">
        <v>-366.3126</v>
      </c>
      <c r="AA31" s="522" t="n">
        <v>-366.3126</v>
      </c>
      <c r="AB31" s="522" t="n">
        <v>-366.3126</v>
      </c>
      <c r="AC31" s="522" t="n">
        <v>-366.3126</v>
      </c>
      <c r="AD31" s="522" t="n">
        <v>-373.638852</v>
      </c>
      <c r="AE31" s="522" t="n">
        <v>-373.638852</v>
      </c>
      <c r="AF31" s="522" t="n">
        <v>-373.638852</v>
      </c>
      <c r="AG31" s="522" t="n">
        <v>-373.638852</v>
      </c>
      <c r="AH31" s="522" t="n">
        <v>-373.638852</v>
      </c>
      <c r="AI31" s="522" t="n">
        <v>-373.638852</v>
      </c>
      <c r="AJ31" s="522" t="n">
        <v>-373.638852</v>
      </c>
      <c r="AK31" s="522" t="n">
        <v>-373.638852</v>
      </c>
      <c r="AL31" s="522" t="n">
        <v>-373.638852</v>
      </c>
      <c r="AM31" s="522" t="n">
        <v>-373.638852</v>
      </c>
      <c r="AN31" s="522" t="n">
        <v>-373.638852</v>
      </c>
      <c r="AO31" s="522" t="n">
        <v>-373.638852</v>
      </c>
      <c r="AP31" s="522" t="n">
        <v>-381.11162904</v>
      </c>
      <c r="AQ31" s="522" t="n">
        <v>-381.11162904</v>
      </c>
      <c r="AR31" s="522" t="n">
        <v>-381.11162904</v>
      </c>
      <c r="AS31" s="522" t="n">
        <v>-381.11162904</v>
      </c>
      <c r="AT31" s="522" t="n">
        <v>-381.11162904</v>
      </c>
      <c r="AU31" s="522" t="n">
        <v>-381.11162904</v>
      </c>
      <c r="AV31" s="522" t="n">
        <v>-381.11162904</v>
      </c>
      <c r="AW31" s="522" t="n">
        <v>-381.11162904</v>
      </c>
      <c r="AX31" s="522" t="n">
        <v>-381.11162904</v>
      </c>
      <c r="AY31" s="522" t="n">
        <v>-381.11162904</v>
      </c>
      <c r="AZ31" s="522" t="n">
        <v>-381.11162904</v>
      </c>
      <c r="BA31" s="522" t="n">
        <v>-381.11162904</v>
      </c>
      <c r="BB31" s="522" t="n">
        <v>-388.7338616208</v>
      </c>
      <c r="BC31" s="522" t="n">
        <v>-388.7338616208</v>
      </c>
      <c r="BD31" s="522" t="n">
        <v>-388.7338616208</v>
      </c>
      <c r="BE31" s="522" t="n">
        <v>-388.7338616208</v>
      </c>
      <c r="BF31" s="522" t="n">
        <v>-388.7338616208</v>
      </c>
      <c r="BG31" s="522" t="n">
        <v>-388.7338616208</v>
      </c>
      <c r="BH31" s="522" t="n">
        <v>-388.7338616208</v>
      </c>
      <c r="BI31" s="522" t="n">
        <v>-388.7338616208</v>
      </c>
      <c r="BJ31" s="522" t="n">
        <v>-388.7338616208</v>
      </c>
      <c r="BK31" s="522" t="n">
        <v>-388.7338616208</v>
      </c>
      <c r="BL31" s="522" t="n">
        <v>-388.7338616208</v>
      </c>
      <c r="BM31" s="522" t="n">
        <v>-388.7338616208</v>
      </c>
      <c r="BN31" s="522" t="n">
        <v>-396.508538853216</v>
      </c>
      <c r="BO31" s="522" t="n">
        <v>-396.508538853216</v>
      </c>
      <c r="BP31" s="522" t="n">
        <v>-396.508538853216</v>
      </c>
      <c r="BQ31" s="522" t="n">
        <v>-396.508538853216</v>
      </c>
      <c r="BR31" s="522" t="n">
        <v>-396.508538853216</v>
      </c>
      <c r="BS31" s="522" t="n">
        <v>-396.508538853216</v>
      </c>
      <c r="BT31" s="522" t="n">
        <v>-396.508538853216</v>
      </c>
      <c r="BU31" s="522" t="n">
        <v>-396.508538853216</v>
      </c>
      <c r="BV31" s="522" t="n">
        <v>-396.508538853216</v>
      </c>
      <c r="BW31" s="522" t="n">
        <v>-396.508538853216</v>
      </c>
      <c r="BX31" s="522" t="n">
        <v>-396.508538853216</v>
      </c>
      <c r="BY31" s="522" t="n">
        <v>-396.508538853216</v>
      </c>
      <c r="BZ31" s="522" t="n">
        <v>-404.43870963028</v>
      </c>
      <c r="CA31" s="522" t="n">
        <v>-404.43870963028</v>
      </c>
      <c r="CB31" s="522" t="n">
        <v>-404.43870963028</v>
      </c>
      <c r="CC31" s="522" t="n">
        <v>-404.43870963028</v>
      </c>
      <c r="CD31" s="522" t="n">
        <v>-404.43870963028</v>
      </c>
      <c r="CE31" s="522" t="n">
        <v>-404.43870963028</v>
      </c>
      <c r="CF31" s="522" t="n">
        <v>-404.43870963028</v>
      </c>
      <c r="CG31" s="522" t="n">
        <v>-404.43870963028</v>
      </c>
      <c r="CH31" s="522" t="n">
        <v>-404.43870963028</v>
      </c>
      <c r="CI31" s="522" t="n">
        <v>-404.43870963028</v>
      </c>
      <c r="CJ31" s="522" t="n">
        <v>-404.43870963028</v>
      </c>
      <c r="CK31" s="522" t="n">
        <v>-404.43870963028</v>
      </c>
      <c r="CL31" s="522" t="n">
        <v>-412.527483822886</v>
      </c>
      <c r="CM31" s="522" t="n">
        <v>-412.527483822886</v>
      </c>
      <c r="CN31" s="522" t="n">
        <v>-412.527483822886</v>
      </c>
      <c r="CO31" s="522" t="n">
        <v>-412.527483822886</v>
      </c>
      <c r="CP31" s="522" t="n">
        <v>-412.527483822886</v>
      </c>
      <c r="CQ31" s="522" t="n">
        <v>-412.527483822886</v>
      </c>
      <c r="CR31" s="522" t="n">
        <v>-412.527483822886</v>
      </c>
      <c r="CS31" s="522" t="n">
        <v>-412.527483822886</v>
      </c>
      <c r="CT31" s="522" t="n">
        <v>-412.527483822886</v>
      </c>
      <c r="CU31" s="522" t="n">
        <v>-412.527483822886</v>
      </c>
      <c r="CV31" s="522" t="n">
        <v>-412.527483822886</v>
      </c>
      <c r="CW31" s="522" t="n">
        <v>-412.527483822886</v>
      </c>
      <c r="CX31" s="522" t="n">
        <v>-420.778033499344</v>
      </c>
      <c r="CY31" s="522" t="n">
        <v>-420.778033499344</v>
      </c>
      <c r="CZ31" s="522" t="n">
        <v>-420.778033499344</v>
      </c>
      <c r="DA31" s="522" t="n">
        <v>-420.778033499344</v>
      </c>
      <c r="DB31" s="522" t="n">
        <v>-420.778033499344</v>
      </c>
      <c r="DC31" s="522" t="n">
        <v>-420.778033499344</v>
      </c>
      <c r="DD31" s="522" t="n">
        <v>-420.778033499344</v>
      </c>
      <c r="DE31" s="522" t="n">
        <v>-420.778033499344</v>
      </c>
      <c r="DF31" s="522" t="n">
        <v>-420.778033499344</v>
      </c>
    </row>
    <row r="32" ht="15" customFormat="1" customHeight="1" s="380">
      <c r="A32" s="478" t="inlineStr">
        <is>
          <t>5200-1050 Computer and IT Expenses</t>
        </is>
      </c>
      <c r="C32" s="523" t="n">
        <v>-79</v>
      </c>
      <c r="D32" s="523" t="n">
        <v>0</v>
      </c>
      <c r="E32" s="523" t="n">
        <v>0</v>
      </c>
      <c r="F32" s="524" t="n">
        <v>-26.33</v>
      </c>
      <c r="G32" s="524" t="n">
        <v>-26.33</v>
      </c>
      <c r="H32" s="524" t="n">
        <v>-26.33</v>
      </c>
      <c r="I32" s="524" t="n">
        <v>-26.33</v>
      </c>
      <c r="J32" s="524" t="n">
        <v>-26.33</v>
      </c>
      <c r="K32" s="524" t="n">
        <v>-26.33</v>
      </c>
      <c r="L32" s="524" t="n">
        <v>-26.33</v>
      </c>
      <c r="M32" s="524" t="n">
        <v>-26.33</v>
      </c>
      <c r="N32" s="524" t="n">
        <v>-26.33</v>
      </c>
      <c r="O32" s="524" t="n">
        <v>-26.33</v>
      </c>
      <c r="P32" s="524" t="n">
        <v>-26.33</v>
      </c>
      <c r="Q32" s="524" t="n">
        <v>-26.33</v>
      </c>
      <c r="R32" s="524" t="n">
        <v>-26.8566</v>
      </c>
      <c r="S32" s="524" t="n">
        <v>-26.8566</v>
      </c>
      <c r="T32" s="524" t="n">
        <v>-26.8566</v>
      </c>
      <c r="U32" s="524" t="n">
        <v>-26.8566</v>
      </c>
      <c r="V32" s="524" t="n">
        <v>-26.8566</v>
      </c>
      <c r="W32" s="524" t="n">
        <v>-26.8566</v>
      </c>
      <c r="X32" s="524" t="n">
        <v>-26.8566</v>
      </c>
      <c r="Y32" s="524" t="n">
        <v>-26.8566</v>
      </c>
      <c r="Z32" s="524" t="n">
        <v>-26.8566</v>
      </c>
      <c r="AA32" s="524" t="n">
        <v>-26.8566</v>
      </c>
      <c r="AB32" s="524" t="n">
        <v>-26.8566</v>
      </c>
      <c r="AC32" s="524" t="n">
        <v>-26.8566</v>
      </c>
      <c r="AD32" s="524" t="n">
        <v>-27.393732</v>
      </c>
      <c r="AE32" s="524" t="n">
        <v>-27.393732</v>
      </c>
      <c r="AF32" s="524" t="n">
        <v>-27.393732</v>
      </c>
      <c r="AG32" s="524" t="n">
        <v>-27.393732</v>
      </c>
      <c r="AH32" s="524" t="n">
        <v>-27.393732</v>
      </c>
      <c r="AI32" s="524" t="n">
        <v>-27.393732</v>
      </c>
      <c r="AJ32" s="524" t="n">
        <v>-27.393732</v>
      </c>
      <c r="AK32" s="524" t="n">
        <v>-27.393732</v>
      </c>
      <c r="AL32" s="524" t="n">
        <v>-27.393732</v>
      </c>
      <c r="AM32" s="524" t="n">
        <v>-27.393732</v>
      </c>
      <c r="AN32" s="524" t="n">
        <v>-27.393732</v>
      </c>
      <c r="AO32" s="524" t="n">
        <v>-27.393732</v>
      </c>
      <c r="AP32" s="524" t="n">
        <v>-27.94160664</v>
      </c>
      <c r="AQ32" s="524" t="n">
        <v>-27.94160664</v>
      </c>
      <c r="AR32" s="524" t="n">
        <v>-27.94160664</v>
      </c>
      <c r="AS32" s="524" t="n">
        <v>-27.94160664</v>
      </c>
      <c r="AT32" s="524" t="n">
        <v>-27.94160664</v>
      </c>
      <c r="AU32" s="524" t="n">
        <v>-27.94160664</v>
      </c>
      <c r="AV32" s="524" t="n">
        <v>-27.94160664</v>
      </c>
      <c r="AW32" s="524" t="n">
        <v>-27.94160664</v>
      </c>
      <c r="AX32" s="524" t="n">
        <v>-27.94160664</v>
      </c>
      <c r="AY32" s="524" t="n">
        <v>-27.94160664</v>
      </c>
      <c r="AZ32" s="524" t="n">
        <v>-27.94160664</v>
      </c>
      <c r="BA32" s="524" t="n">
        <v>-27.94160664</v>
      </c>
      <c r="BB32" s="524" t="n">
        <v>-28.5004387728</v>
      </c>
      <c r="BC32" s="524" t="n">
        <v>-28.5004387728</v>
      </c>
      <c r="BD32" s="524" t="n">
        <v>-28.5004387728</v>
      </c>
      <c r="BE32" s="524" t="n">
        <v>-28.5004387728</v>
      </c>
      <c r="BF32" s="524" t="n">
        <v>-28.5004387728</v>
      </c>
      <c r="BG32" s="524" t="n">
        <v>-28.5004387728</v>
      </c>
      <c r="BH32" s="524" t="n">
        <v>-28.5004387728</v>
      </c>
      <c r="BI32" s="524" t="n">
        <v>-28.5004387728</v>
      </c>
      <c r="BJ32" s="524" t="n">
        <v>-28.5004387728</v>
      </c>
      <c r="BK32" s="524" t="n">
        <v>-28.5004387728</v>
      </c>
      <c r="BL32" s="524" t="n">
        <v>-28.5004387728</v>
      </c>
      <c r="BM32" s="524" t="n">
        <v>-28.5004387728</v>
      </c>
      <c r="BN32" s="524" t="n">
        <v>-29.070447548256</v>
      </c>
      <c r="BO32" s="524" t="n">
        <v>-29.070447548256</v>
      </c>
      <c r="BP32" s="524" t="n">
        <v>-29.070447548256</v>
      </c>
      <c r="BQ32" s="524" t="n">
        <v>-29.070447548256</v>
      </c>
      <c r="BR32" s="524" t="n">
        <v>-29.070447548256</v>
      </c>
      <c r="BS32" s="524" t="n">
        <v>-29.070447548256</v>
      </c>
      <c r="BT32" s="524" t="n">
        <v>-29.070447548256</v>
      </c>
      <c r="BU32" s="524" t="n">
        <v>-29.070447548256</v>
      </c>
      <c r="BV32" s="524" t="n">
        <v>-29.070447548256</v>
      </c>
      <c r="BW32" s="524" t="n">
        <v>-29.070447548256</v>
      </c>
      <c r="BX32" s="524" t="n">
        <v>-29.070447548256</v>
      </c>
      <c r="BY32" s="524" t="n">
        <v>-29.070447548256</v>
      </c>
      <c r="BZ32" s="524" t="n">
        <v>-29.6518564992211</v>
      </c>
      <c r="CA32" s="524" t="n">
        <v>-29.6518564992211</v>
      </c>
      <c r="CB32" s="524" t="n">
        <v>-29.6518564992211</v>
      </c>
      <c r="CC32" s="524" t="n">
        <v>-29.6518564992211</v>
      </c>
      <c r="CD32" s="524" t="n">
        <v>-29.6518564992211</v>
      </c>
      <c r="CE32" s="524" t="n">
        <v>-29.6518564992211</v>
      </c>
      <c r="CF32" s="524" t="n">
        <v>-29.6518564992211</v>
      </c>
      <c r="CG32" s="524" t="n">
        <v>-29.6518564992211</v>
      </c>
      <c r="CH32" s="524" t="n">
        <v>-29.6518564992211</v>
      </c>
      <c r="CI32" s="524" t="n">
        <v>-29.6518564992211</v>
      </c>
      <c r="CJ32" s="524" t="n">
        <v>-29.6518564992211</v>
      </c>
      <c r="CK32" s="524" t="n">
        <v>-29.6518564992211</v>
      </c>
      <c r="CL32" s="524" t="n">
        <v>-30.2448936292055</v>
      </c>
      <c r="CM32" s="524" t="n">
        <v>-30.2448936292055</v>
      </c>
      <c r="CN32" s="524" t="n">
        <v>-30.2448936292055</v>
      </c>
      <c r="CO32" s="524" t="n">
        <v>-30.2448936292055</v>
      </c>
      <c r="CP32" s="524" t="n">
        <v>-30.2448936292055</v>
      </c>
      <c r="CQ32" s="524" t="n">
        <v>-30.2448936292055</v>
      </c>
      <c r="CR32" s="524" t="n">
        <v>-30.2448936292055</v>
      </c>
      <c r="CS32" s="524" t="n">
        <v>-30.2448936292055</v>
      </c>
      <c r="CT32" s="524" t="n">
        <v>-30.2448936292055</v>
      </c>
      <c r="CU32" s="524" t="n">
        <v>-30.2448936292055</v>
      </c>
      <c r="CV32" s="524" t="n">
        <v>-30.2448936292055</v>
      </c>
      <c r="CW32" s="524" t="n">
        <v>-30.2448936292055</v>
      </c>
      <c r="CX32" s="524" t="n">
        <v>-30.8497915017897</v>
      </c>
      <c r="CY32" s="524" t="n">
        <v>-30.8497915017897</v>
      </c>
      <c r="CZ32" s="524" t="n">
        <v>-30.8497915017897</v>
      </c>
      <c r="DA32" s="524" t="n">
        <v>-30.8497915017897</v>
      </c>
      <c r="DB32" s="524" t="n">
        <v>-30.8497915017897</v>
      </c>
      <c r="DC32" s="524" t="n">
        <v>-30.8497915017897</v>
      </c>
      <c r="DD32" s="524" t="n">
        <v>-30.8497915017897</v>
      </c>
      <c r="DE32" s="524" t="n">
        <v>-30.8497915017897</v>
      </c>
      <c r="DF32" s="524" t="n">
        <v>-30.8497915017897</v>
      </c>
    </row>
    <row r="33" ht="15" customFormat="1" customHeight="1" s="380">
      <c r="A33" s="468" t="inlineStr">
        <is>
          <t>5200-1053 IT Software and Subscriptions</t>
        </is>
      </c>
      <c r="C33" s="483" t="n">
        <v>-3405.64</v>
      </c>
      <c r="D33" s="483" t="n">
        <v>-5015.38</v>
      </c>
      <c r="E33" s="483" t="n">
        <v>-7481.39</v>
      </c>
      <c r="F33" s="522" t="n">
        <v>-5300.8</v>
      </c>
      <c r="G33" s="522" t="n">
        <v>-5300.8</v>
      </c>
      <c r="H33" s="522" t="n">
        <v>-5300.8</v>
      </c>
      <c r="I33" s="522" t="n">
        <v>-5300.8</v>
      </c>
      <c r="J33" s="522" t="n">
        <v>-5300.8</v>
      </c>
      <c r="K33" s="522" t="n">
        <v>-5300.8</v>
      </c>
      <c r="L33" s="522" t="n">
        <v>-5300.8</v>
      </c>
      <c r="M33" s="522" t="n">
        <v>-5300.8</v>
      </c>
      <c r="N33" s="522" t="n">
        <v>-5300.8</v>
      </c>
      <c r="O33" s="522" t="n">
        <v>-5300.8</v>
      </c>
      <c r="P33" s="522" t="n">
        <v>-5300.8</v>
      </c>
      <c r="Q33" s="522" t="n">
        <v>-5300.8</v>
      </c>
      <c r="R33" s="522" t="n">
        <v>-5406.816</v>
      </c>
      <c r="S33" s="522" t="n">
        <v>-5406.816</v>
      </c>
      <c r="T33" s="522" t="n">
        <v>-5406.816</v>
      </c>
      <c r="U33" s="522" t="n">
        <v>-5406.816</v>
      </c>
      <c r="V33" s="522" t="n">
        <v>-5406.816</v>
      </c>
      <c r="W33" s="522" t="n">
        <v>-5406.816</v>
      </c>
      <c r="X33" s="522" t="n">
        <v>-5406.816</v>
      </c>
      <c r="Y33" s="522" t="n">
        <v>-5406.816</v>
      </c>
      <c r="Z33" s="522" t="n">
        <v>-5406.816</v>
      </c>
      <c r="AA33" s="522" t="n">
        <v>-5406.816</v>
      </c>
      <c r="AB33" s="522" t="n">
        <v>-5406.816</v>
      </c>
      <c r="AC33" s="522" t="n">
        <v>-5406.816</v>
      </c>
      <c r="AD33" s="522" t="n">
        <v>-5514.95232</v>
      </c>
      <c r="AE33" s="522" t="n">
        <v>-5514.95232</v>
      </c>
      <c r="AF33" s="522" t="n">
        <v>-5514.95232</v>
      </c>
      <c r="AG33" s="522" t="n">
        <v>-5514.95232</v>
      </c>
      <c r="AH33" s="522" t="n">
        <v>-5514.95232</v>
      </c>
      <c r="AI33" s="522" t="n">
        <v>-5514.95232</v>
      </c>
      <c r="AJ33" s="522" t="n">
        <v>-5514.95232</v>
      </c>
      <c r="AK33" s="522" t="n">
        <v>-5514.95232</v>
      </c>
      <c r="AL33" s="522" t="n">
        <v>-5514.95232</v>
      </c>
      <c r="AM33" s="522" t="n">
        <v>-5514.95232</v>
      </c>
      <c r="AN33" s="522" t="n">
        <v>-5514.95232</v>
      </c>
      <c r="AO33" s="522" t="n">
        <v>-5514.95232</v>
      </c>
      <c r="AP33" s="522" t="n">
        <v>-5625.2513664</v>
      </c>
      <c r="AQ33" s="522" t="n">
        <v>-5625.2513664</v>
      </c>
      <c r="AR33" s="522" t="n">
        <v>-5625.2513664</v>
      </c>
      <c r="AS33" s="522" t="n">
        <v>-5625.2513664</v>
      </c>
      <c r="AT33" s="522" t="n">
        <v>-5625.2513664</v>
      </c>
      <c r="AU33" s="522" t="n">
        <v>-5625.2513664</v>
      </c>
      <c r="AV33" s="522" t="n">
        <v>-5625.2513664</v>
      </c>
      <c r="AW33" s="522" t="n">
        <v>-5625.2513664</v>
      </c>
      <c r="AX33" s="522" t="n">
        <v>-5625.2513664</v>
      </c>
      <c r="AY33" s="522" t="n">
        <v>-5625.2513664</v>
      </c>
      <c r="AZ33" s="522" t="n">
        <v>-5625.2513664</v>
      </c>
      <c r="BA33" s="522" t="n">
        <v>-5625.2513664</v>
      </c>
      <c r="BB33" s="522" t="n">
        <v>-5737.756393728</v>
      </c>
      <c r="BC33" s="522" t="n">
        <v>-5737.756393728</v>
      </c>
      <c r="BD33" s="522" t="n">
        <v>-5737.756393728</v>
      </c>
      <c r="BE33" s="522" t="n">
        <v>-5737.756393728</v>
      </c>
      <c r="BF33" s="522" t="n">
        <v>-5737.756393728</v>
      </c>
      <c r="BG33" s="522" t="n">
        <v>-5737.756393728</v>
      </c>
      <c r="BH33" s="522" t="n">
        <v>-5737.756393728</v>
      </c>
      <c r="BI33" s="522" t="n">
        <v>-5737.756393728</v>
      </c>
      <c r="BJ33" s="522" t="n">
        <v>-5737.756393728</v>
      </c>
      <c r="BK33" s="522" t="n">
        <v>-5737.756393728</v>
      </c>
      <c r="BL33" s="522" t="n">
        <v>-5737.756393728</v>
      </c>
      <c r="BM33" s="522" t="n">
        <v>-5737.756393728</v>
      </c>
      <c r="BN33" s="522" t="n">
        <v>-5852.51152160256</v>
      </c>
      <c r="BO33" s="522" t="n">
        <v>-5852.51152160256</v>
      </c>
      <c r="BP33" s="522" t="n">
        <v>-5852.51152160256</v>
      </c>
      <c r="BQ33" s="522" t="n">
        <v>-5852.51152160256</v>
      </c>
      <c r="BR33" s="522" t="n">
        <v>-5852.51152160256</v>
      </c>
      <c r="BS33" s="522" t="n">
        <v>-5852.51152160256</v>
      </c>
      <c r="BT33" s="522" t="n">
        <v>-5852.51152160256</v>
      </c>
      <c r="BU33" s="522" t="n">
        <v>-5852.51152160256</v>
      </c>
      <c r="BV33" s="522" t="n">
        <v>-5852.51152160256</v>
      </c>
      <c r="BW33" s="522" t="n">
        <v>-5852.51152160256</v>
      </c>
      <c r="BX33" s="522" t="n">
        <v>-5852.51152160256</v>
      </c>
      <c r="BY33" s="522" t="n">
        <v>-5852.51152160256</v>
      </c>
      <c r="BZ33" s="522" t="n">
        <v>-5969.56175203461</v>
      </c>
      <c r="CA33" s="522" t="n">
        <v>-5969.56175203461</v>
      </c>
      <c r="CB33" s="522" t="n">
        <v>-5969.56175203461</v>
      </c>
      <c r="CC33" s="522" t="n">
        <v>-5969.56175203461</v>
      </c>
      <c r="CD33" s="522" t="n">
        <v>-5969.56175203461</v>
      </c>
      <c r="CE33" s="522" t="n">
        <v>-5969.56175203461</v>
      </c>
      <c r="CF33" s="522" t="n">
        <v>-5969.56175203461</v>
      </c>
      <c r="CG33" s="522" t="n">
        <v>-5969.56175203461</v>
      </c>
      <c r="CH33" s="522" t="n">
        <v>-5969.56175203461</v>
      </c>
      <c r="CI33" s="522" t="n">
        <v>-5969.56175203461</v>
      </c>
      <c r="CJ33" s="522" t="n">
        <v>-5969.56175203461</v>
      </c>
      <c r="CK33" s="522" t="n">
        <v>-5969.56175203461</v>
      </c>
      <c r="CL33" s="522" t="n">
        <v>-6088.9529870753</v>
      </c>
      <c r="CM33" s="522" t="n">
        <v>-6088.9529870753</v>
      </c>
      <c r="CN33" s="522" t="n">
        <v>-6088.9529870753</v>
      </c>
      <c r="CO33" s="522" t="n">
        <v>-6088.9529870753</v>
      </c>
      <c r="CP33" s="522" t="n">
        <v>-6088.9529870753</v>
      </c>
      <c r="CQ33" s="522" t="n">
        <v>-6088.9529870753</v>
      </c>
      <c r="CR33" s="522" t="n">
        <v>-6088.9529870753</v>
      </c>
      <c r="CS33" s="522" t="n">
        <v>-6088.9529870753</v>
      </c>
      <c r="CT33" s="522" t="n">
        <v>-6088.9529870753</v>
      </c>
      <c r="CU33" s="522" t="n">
        <v>-6088.9529870753</v>
      </c>
      <c r="CV33" s="522" t="n">
        <v>-6088.9529870753</v>
      </c>
      <c r="CW33" s="522" t="n">
        <v>-6088.9529870753</v>
      </c>
      <c r="CX33" s="522" t="n">
        <v>-6210.73204681681</v>
      </c>
      <c r="CY33" s="522" t="n">
        <v>-6210.73204681681</v>
      </c>
      <c r="CZ33" s="522" t="n">
        <v>-6210.73204681681</v>
      </c>
      <c r="DA33" s="522" t="n">
        <v>-6210.73204681681</v>
      </c>
      <c r="DB33" s="522" t="n">
        <v>-6210.73204681681</v>
      </c>
      <c r="DC33" s="522" t="n">
        <v>-6210.73204681681</v>
      </c>
      <c r="DD33" s="522" t="n">
        <v>-6210.73204681681</v>
      </c>
      <c r="DE33" s="522" t="n">
        <v>-6210.73204681681</v>
      </c>
      <c r="DF33" s="522" t="n">
        <v>-6210.73204681681</v>
      </c>
    </row>
    <row r="34" ht="15" customFormat="1" customHeight="1" s="380">
      <c r="A34" s="468" t="inlineStr">
        <is>
          <t>5200-1054 Telephone Expenses</t>
        </is>
      </c>
      <c r="C34" s="483" t="n">
        <v>0</v>
      </c>
      <c r="D34" s="483" t="n">
        <v>-1766.48</v>
      </c>
      <c r="E34" s="483" t="n">
        <v>-441.62</v>
      </c>
      <c r="F34" s="522" t="n">
        <v>-736.03</v>
      </c>
      <c r="G34" s="522" t="n">
        <v>-736.03</v>
      </c>
      <c r="H34" s="522" t="n">
        <v>-736.03</v>
      </c>
      <c r="I34" s="522" t="n">
        <v>-736.03</v>
      </c>
      <c r="J34" s="522" t="n">
        <v>-736.03</v>
      </c>
      <c r="K34" s="522" t="n">
        <v>-736.03</v>
      </c>
      <c r="L34" s="522" t="n">
        <v>-736.03</v>
      </c>
      <c r="M34" s="522" t="n">
        <v>-736.03</v>
      </c>
      <c r="N34" s="522" t="n">
        <v>-736.03</v>
      </c>
      <c r="O34" s="522" t="n">
        <v>-736.03</v>
      </c>
      <c r="P34" s="522" t="n">
        <v>-736.03</v>
      </c>
      <c r="Q34" s="522" t="n">
        <v>-736.03</v>
      </c>
      <c r="R34" s="522" t="n">
        <v>-750.7506</v>
      </c>
      <c r="S34" s="522" t="n">
        <v>-750.7506</v>
      </c>
      <c r="T34" s="522" t="n">
        <v>-750.7506</v>
      </c>
      <c r="U34" s="522" t="n">
        <v>-750.7506</v>
      </c>
      <c r="V34" s="522" t="n">
        <v>-750.7506</v>
      </c>
      <c r="W34" s="522" t="n">
        <v>-750.7506</v>
      </c>
      <c r="X34" s="522" t="n">
        <v>-750.7506</v>
      </c>
      <c r="Y34" s="522" t="n">
        <v>-750.7506</v>
      </c>
      <c r="Z34" s="522" t="n">
        <v>-750.7506</v>
      </c>
      <c r="AA34" s="522" t="n">
        <v>-750.7506</v>
      </c>
      <c r="AB34" s="522" t="n">
        <v>-750.7506</v>
      </c>
      <c r="AC34" s="522" t="n">
        <v>-750.7506</v>
      </c>
      <c r="AD34" s="522" t="n">
        <v>-765.765612</v>
      </c>
      <c r="AE34" s="522" t="n">
        <v>-765.765612</v>
      </c>
      <c r="AF34" s="522" t="n">
        <v>-765.765612</v>
      </c>
      <c r="AG34" s="522" t="n">
        <v>-765.765612</v>
      </c>
      <c r="AH34" s="522" t="n">
        <v>-765.765612</v>
      </c>
      <c r="AI34" s="522" t="n">
        <v>-765.765612</v>
      </c>
      <c r="AJ34" s="522" t="n">
        <v>-765.765612</v>
      </c>
      <c r="AK34" s="522" t="n">
        <v>-765.765612</v>
      </c>
      <c r="AL34" s="522" t="n">
        <v>-765.765612</v>
      </c>
      <c r="AM34" s="522" t="n">
        <v>-765.765612</v>
      </c>
      <c r="AN34" s="522" t="n">
        <v>-765.765612</v>
      </c>
      <c r="AO34" s="522" t="n">
        <v>-765.765612</v>
      </c>
      <c r="AP34" s="522" t="n">
        <v>-781.0809242399999</v>
      </c>
      <c r="AQ34" s="522" t="n">
        <v>-781.0809242399999</v>
      </c>
      <c r="AR34" s="522" t="n">
        <v>-781.0809242399999</v>
      </c>
      <c r="AS34" s="522" t="n">
        <v>-781.0809242399999</v>
      </c>
      <c r="AT34" s="522" t="n">
        <v>-781.0809242399999</v>
      </c>
      <c r="AU34" s="522" t="n">
        <v>-781.0809242399999</v>
      </c>
      <c r="AV34" s="522" t="n">
        <v>-781.0809242399999</v>
      </c>
      <c r="AW34" s="522" t="n">
        <v>-781.0809242399999</v>
      </c>
      <c r="AX34" s="522" t="n">
        <v>-781.0809242399999</v>
      </c>
      <c r="AY34" s="522" t="n">
        <v>-781.0809242399999</v>
      </c>
      <c r="AZ34" s="522" t="n">
        <v>-781.0809242399999</v>
      </c>
      <c r="BA34" s="522" t="n">
        <v>-781.0809242399999</v>
      </c>
      <c r="BB34" s="522" t="n">
        <v>-796.7025427248</v>
      </c>
      <c r="BC34" s="522" t="n">
        <v>-796.7025427248</v>
      </c>
      <c r="BD34" s="522" t="n">
        <v>-796.7025427248</v>
      </c>
      <c r="BE34" s="522" t="n">
        <v>-796.7025427248</v>
      </c>
      <c r="BF34" s="522" t="n">
        <v>-796.7025427248</v>
      </c>
      <c r="BG34" s="522" t="n">
        <v>-796.7025427248</v>
      </c>
      <c r="BH34" s="522" t="n">
        <v>-796.7025427248</v>
      </c>
      <c r="BI34" s="522" t="n">
        <v>-796.7025427248</v>
      </c>
      <c r="BJ34" s="522" t="n">
        <v>-796.7025427248</v>
      </c>
      <c r="BK34" s="522" t="n">
        <v>-796.7025427248</v>
      </c>
      <c r="BL34" s="522" t="n">
        <v>-796.7025427248</v>
      </c>
      <c r="BM34" s="522" t="n">
        <v>-796.7025427248</v>
      </c>
      <c r="BN34" s="522" t="n">
        <v>-812.636593579296</v>
      </c>
      <c r="BO34" s="522" t="n">
        <v>-812.636593579296</v>
      </c>
      <c r="BP34" s="522" t="n">
        <v>-812.636593579296</v>
      </c>
      <c r="BQ34" s="522" t="n">
        <v>-812.636593579296</v>
      </c>
      <c r="BR34" s="522" t="n">
        <v>-812.636593579296</v>
      </c>
      <c r="BS34" s="522" t="n">
        <v>-812.636593579296</v>
      </c>
      <c r="BT34" s="522" t="n">
        <v>-812.636593579296</v>
      </c>
      <c r="BU34" s="522" t="n">
        <v>-812.636593579296</v>
      </c>
      <c r="BV34" s="522" t="n">
        <v>-812.636593579296</v>
      </c>
      <c r="BW34" s="522" t="n">
        <v>-812.636593579296</v>
      </c>
      <c r="BX34" s="522" t="n">
        <v>-812.636593579296</v>
      </c>
      <c r="BY34" s="522" t="n">
        <v>-812.636593579296</v>
      </c>
      <c r="BZ34" s="522" t="n">
        <v>-828.889325450882</v>
      </c>
      <c r="CA34" s="522" t="n">
        <v>-828.889325450882</v>
      </c>
      <c r="CB34" s="522" t="n">
        <v>-828.889325450882</v>
      </c>
      <c r="CC34" s="522" t="n">
        <v>-828.889325450882</v>
      </c>
      <c r="CD34" s="522" t="n">
        <v>-828.889325450882</v>
      </c>
      <c r="CE34" s="522" t="n">
        <v>-828.889325450882</v>
      </c>
      <c r="CF34" s="522" t="n">
        <v>-828.889325450882</v>
      </c>
      <c r="CG34" s="522" t="n">
        <v>-828.889325450882</v>
      </c>
      <c r="CH34" s="522" t="n">
        <v>-828.889325450882</v>
      </c>
      <c r="CI34" s="522" t="n">
        <v>-828.889325450882</v>
      </c>
      <c r="CJ34" s="522" t="n">
        <v>-828.889325450882</v>
      </c>
      <c r="CK34" s="522" t="n">
        <v>-828.889325450882</v>
      </c>
      <c r="CL34" s="522" t="n">
        <v>-845.4671119599</v>
      </c>
      <c r="CM34" s="522" t="n">
        <v>-845.4671119599</v>
      </c>
      <c r="CN34" s="522" t="n">
        <v>-845.4671119599</v>
      </c>
      <c r="CO34" s="522" t="n">
        <v>-845.4671119599</v>
      </c>
      <c r="CP34" s="522" t="n">
        <v>-845.4671119599</v>
      </c>
      <c r="CQ34" s="522" t="n">
        <v>-845.4671119599</v>
      </c>
      <c r="CR34" s="522" t="n">
        <v>-845.4671119599</v>
      </c>
      <c r="CS34" s="522" t="n">
        <v>-845.4671119599</v>
      </c>
      <c r="CT34" s="522" t="n">
        <v>-845.4671119599</v>
      </c>
      <c r="CU34" s="522" t="n">
        <v>-845.4671119599</v>
      </c>
      <c r="CV34" s="522" t="n">
        <v>-845.4671119599</v>
      </c>
      <c r="CW34" s="522" t="n">
        <v>-845.4671119599</v>
      </c>
      <c r="CX34" s="522" t="n">
        <v>-862.376454199098</v>
      </c>
      <c r="CY34" s="522" t="n">
        <v>-862.376454199098</v>
      </c>
      <c r="CZ34" s="522" t="n">
        <v>-862.376454199098</v>
      </c>
      <c r="DA34" s="522" t="n">
        <v>-862.376454199098</v>
      </c>
      <c r="DB34" s="522" t="n">
        <v>-862.376454199098</v>
      </c>
      <c r="DC34" s="522" t="n">
        <v>-862.376454199098</v>
      </c>
      <c r="DD34" s="522" t="n">
        <v>-862.376454199098</v>
      </c>
      <c r="DE34" s="522" t="n">
        <v>-862.376454199098</v>
      </c>
      <c r="DF34" s="522" t="n">
        <v>-862.376454199098</v>
      </c>
    </row>
    <row r="35" ht="15" customFormat="1" customHeight="1" s="380">
      <c r="A35" s="468" t="inlineStr">
        <is>
          <t>5300-1050 Meals and Entertainment</t>
        </is>
      </c>
      <c r="C35" s="483" t="n">
        <v>-681.77</v>
      </c>
      <c r="D35" s="483" t="n">
        <v>-600.14</v>
      </c>
      <c r="E35" s="483" t="n">
        <v>-2121.95</v>
      </c>
      <c r="F35" s="522" t="n">
        <v>-1134.62</v>
      </c>
      <c r="G35" s="522" t="n">
        <v>-1134.62</v>
      </c>
      <c r="H35" s="522" t="n">
        <v>-1134.62</v>
      </c>
      <c r="I35" s="522" t="n">
        <v>-1134.62</v>
      </c>
      <c r="J35" s="522" t="n">
        <v>-1134.62</v>
      </c>
      <c r="K35" s="522" t="n">
        <v>-1134.62</v>
      </c>
      <c r="L35" s="522" t="n">
        <v>-1134.62</v>
      </c>
      <c r="M35" s="522" t="n">
        <v>-1134.62</v>
      </c>
      <c r="N35" s="522" t="n">
        <v>-1134.62</v>
      </c>
      <c r="O35" s="522" t="n">
        <v>-1134.62</v>
      </c>
      <c r="P35" s="522" t="n">
        <v>-1134.62</v>
      </c>
      <c r="Q35" s="522" t="n">
        <v>-1134.62</v>
      </c>
      <c r="R35" s="522" t="n">
        <v>-1157.3124</v>
      </c>
      <c r="S35" s="522" t="n">
        <v>-1157.3124</v>
      </c>
      <c r="T35" s="522" t="n">
        <v>-1157.3124</v>
      </c>
      <c r="U35" s="522" t="n">
        <v>-1157.3124</v>
      </c>
      <c r="V35" s="522" t="n">
        <v>-1157.3124</v>
      </c>
      <c r="W35" s="522" t="n">
        <v>-1157.3124</v>
      </c>
      <c r="X35" s="522" t="n">
        <v>-1157.3124</v>
      </c>
      <c r="Y35" s="522" t="n">
        <v>-1157.3124</v>
      </c>
      <c r="Z35" s="522" t="n">
        <v>-1157.3124</v>
      </c>
      <c r="AA35" s="522" t="n">
        <v>-1157.3124</v>
      </c>
      <c r="AB35" s="522" t="n">
        <v>-1157.3124</v>
      </c>
      <c r="AC35" s="522" t="n">
        <v>-1157.3124</v>
      </c>
      <c r="AD35" s="522" t="n">
        <v>-1180.458648</v>
      </c>
      <c r="AE35" s="522" t="n">
        <v>-1180.458648</v>
      </c>
      <c r="AF35" s="522" t="n">
        <v>-1180.458648</v>
      </c>
      <c r="AG35" s="522" t="n">
        <v>-1180.458648</v>
      </c>
      <c r="AH35" s="522" t="n">
        <v>-1180.458648</v>
      </c>
      <c r="AI35" s="522" t="n">
        <v>-1180.458648</v>
      </c>
      <c r="AJ35" s="522" t="n">
        <v>-1180.458648</v>
      </c>
      <c r="AK35" s="522" t="n">
        <v>-1180.458648</v>
      </c>
      <c r="AL35" s="522" t="n">
        <v>-1180.458648</v>
      </c>
      <c r="AM35" s="522" t="n">
        <v>-1180.458648</v>
      </c>
      <c r="AN35" s="522" t="n">
        <v>-1180.458648</v>
      </c>
      <c r="AO35" s="522" t="n">
        <v>-1180.458648</v>
      </c>
      <c r="AP35" s="522" t="n">
        <v>-1204.06782096</v>
      </c>
      <c r="AQ35" s="522" t="n">
        <v>-1204.06782096</v>
      </c>
      <c r="AR35" s="522" t="n">
        <v>-1204.06782096</v>
      </c>
      <c r="AS35" s="522" t="n">
        <v>-1204.06782096</v>
      </c>
      <c r="AT35" s="522" t="n">
        <v>-1204.06782096</v>
      </c>
      <c r="AU35" s="522" t="n">
        <v>-1204.06782096</v>
      </c>
      <c r="AV35" s="522" t="n">
        <v>-1204.06782096</v>
      </c>
      <c r="AW35" s="522" t="n">
        <v>-1204.06782096</v>
      </c>
      <c r="AX35" s="522" t="n">
        <v>-1204.06782096</v>
      </c>
      <c r="AY35" s="522" t="n">
        <v>-1204.06782096</v>
      </c>
      <c r="AZ35" s="522" t="n">
        <v>-1204.06782096</v>
      </c>
      <c r="BA35" s="522" t="n">
        <v>-1204.06782096</v>
      </c>
      <c r="BB35" s="522" t="n">
        <v>-1228.1491773792</v>
      </c>
      <c r="BC35" s="522" t="n">
        <v>-1228.1491773792</v>
      </c>
      <c r="BD35" s="522" t="n">
        <v>-1228.1491773792</v>
      </c>
      <c r="BE35" s="522" t="n">
        <v>-1228.1491773792</v>
      </c>
      <c r="BF35" s="522" t="n">
        <v>-1228.1491773792</v>
      </c>
      <c r="BG35" s="522" t="n">
        <v>-1228.1491773792</v>
      </c>
      <c r="BH35" s="522" t="n">
        <v>-1228.1491773792</v>
      </c>
      <c r="BI35" s="522" t="n">
        <v>-1228.1491773792</v>
      </c>
      <c r="BJ35" s="522" t="n">
        <v>-1228.1491773792</v>
      </c>
      <c r="BK35" s="522" t="n">
        <v>-1228.1491773792</v>
      </c>
      <c r="BL35" s="522" t="n">
        <v>-1228.1491773792</v>
      </c>
      <c r="BM35" s="522" t="n">
        <v>-1228.1491773792</v>
      </c>
      <c r="BN35" s="522" t="n">
        <v>-1252.71216092678</v>
      </c>
      <c r="BO35" s="522" t="n">
        <v>-1252.71216092678</v>
      </c>
      <c r="BP35" s="522" t="n">
        <v>-1252.71216092678</v>
      </c>
      <c r="BQ35" s="522" t="n">
        <v>-1252.71216092678</v>
      </c>
      <c r="BR35" s="522" t="n">
        <v>-1252.71216092678</v>
      </c>
      <c r="BS35" s="522" t="n">
        <v>-1252.71216092678</v>
      </c>
      <c r="BT35" s="522" t="n">
        <v>-1252.71216092678</v>
      </c>
      <c r="BU35" s="522" t="n">
        <v>-1252.71216092678</v>
      </c>
      <c r="BV35" s="522" t="n">
        <v>-1252.71216092678</v>
      </c>
      <c r="BW35" s="522" t="n">
        <v>-1252.71216092678</v>
      </c>
      <c r="BX35" s="522" t="n">
        <v>-1252.71216092678</v>
      </c>
      <c r="BY35" s="522" t="n">
        <v>-1252.71216092678</v>
      </c>
      <c r="BZ35" s="522" t="n">
        <v>-1277.76640414532</v>
      </c>
      <c r="CA35" s="522" t="n">
        <v>-1277.76640414532</v>
      </c>
      <c r="CB35" s="522" t="n">
        <v>-1277.76640414532</v>
      </c>
      <c r="CC35" s="522" t="n">
        <v>-1277.76640414532</v>
      </c>
      <c r="CD35" s="522" t="n">
        <v>-1277.76640414532</v>
      </c>
      <c r="CE35" s="522" t="n">
        <v>-1277.76640414532</v>
      </c>
      <c r="CF35" s="522" t="n">
        <v>-1277.76640414532</v>
      </c>
      <c r="CG35" s="522" t="n">
        <v>-1277.76640414532</v>
      </c>
      <c r="CH35" s="522" t="n">
        <v>-1277.76640414532</v>
      </c>
      <c r="CI35" s="522" t="n">
        <v>-1277.76640414532</v>
      </c>
      <c r="CJ35" s="522" t="n">
        <v>-1277.76640414532</v>
      </c>
      <c r="CK35" s="522" t="n">
        <v>-1277.76640414532</v>
      </c>
      <c r="CL35" s="522" t="n">
        <v>-1303.32173222823</v>
      </c>
      <c r="CM35" s="522" t="n">
        <v>-1303.32173222823</v>
      </c>
      <c r="CN35" s="522" t="n">
        <v>-1303.32173222823</v>
      </c>
      <c r="CO35" s="522" t="n">
        <v>-1303.32173222823</v>
      </c>
      <c r="CP35" s="522" t="n">
        <v>-1303.32173222823</v>
      </c>
      <c r="CQ35" s="522" t="n">
        <v>-1303.32173222823</v>
      </c>
      <c r="CR35" s="522" t="n">
        <v>-1303.32173222823</v>
      </c>
      <c r="CS35" s="522" t="n">
        <v>-1303.32173222823</v>
      </c>
      <c r="CT35" s="522" t="n">
        <v>-1303.32173222823</v>
      </c>
      <c r="CU35" s="522" t="n">
        <v>-1303.32173222823</v>
      </c>
      <c r="CV35" s="522" t="n">
        <v>-1303.32173222823</v>
      </c>
      <c r="CW35" s="522" t="n">
        <v>-1303.32173222823</v>
      </c>
      <c r="CX35" s="522" t="n">
        <v>-1329.38816687279</v>
      </c>
      <c r="CY35" s="522" t="n">
        <v>-1329.38816687279</v>
      </c>
      <c r="CZ35" s="522" t="n">
        <v>-1329.38816687279</v>
      </c>
      <c r="DA35" s="522" t="n">
        <v>-1329.38816687279</v>
      </c>
      <c r="DB35" s="522" t="n">
        <v>-1329.38816687279</v>
      </c>
      <c r="DC35" s="522" t="n">
        <v>-1329.38816687279</v>
      </c>
      <c r="DD35" s="522" t="n">
        <v>-1329.38816687279</v>
      </c>
      <c r="DE35" s="522" t="n">
        <v>-1329.38816687279</v>
      </c>
      <c r="DF35" s="522" t="n">
        <v>-1329.38816687279</v>
      </c>
    </row>
    <row r="36" ht="15" customFormat="1" customHeight="1" s="380">
      <c r="A36" s="468" t="inlineStr">
        <is>
          <t>5500-1000 Legal and Professional Fees</t>
        </is>
      </c>
      <c r="C36" s="483" t="n">
        <v>-2187.5</v>
      </c>
      <c r="D36" s="483" t="n">
        <v>0</v>
      </c>
      <c r="E36" s="483" t="n">
        <v>-1625</v>
      </c>
      <c r="F36" s="522" t="n">
        <v>-1270.83</v>
      </c>
      <c r="G36" s="522" t="n">
        <v>-1270.83</v>
      </c>
      <c r="H36" s="522" t="n">
        <v>-1270.83</v>
      </c>
      <c r="I36" s="522" t="n">
        <v>-1270.83</v>
      </c>
      <c r="J36" s="522" t="n">
        <v>-1270.83</v>
      </c>
      <c r="K36" s="522" t="n">
        <v>-1270.83</v>
      </c>
      <c r="L36" s="522" t="n">
        <v>-1270.83</v>
      </c>
      <c r="M36" s="522" t="n">
        <v>-1270.83</v>
      </c>
      <c r="N36" s="522" t="n">
        <v>-1270.83</v>
      </c>
      <c r="O36" s="522" t="n">
        <v>-1270.83</v>
      </c>
      <c r="P36" s="522" t="n">
        <v>-1270.83</v>
      </c>
      <c r="Q36" s="522" t="n">
        <v>-1270.83</v>
      </c>
      <c r="R36" s="522" t="n">
        <v>-1296.2466</v>
      </c>
      <c r="S36" s="522" t="n">
        <v>-1296.2466</v>
      </c>
      <c r="T36" s="522" t="n">
        <v>-1296.2466</v>
      </c>
      <c r="U36" s="522" t="n">
        <v>-1296.2466</v>
      </c>
      <c r="V36" s="522" t="n">
        <v>-1296.2466</v>
      </c>
      <c r="W36" s="522" t="n">
        <v>-1296.2466</v>
      </c>
      <c r="X36" s="522" t="n">
        <v>-1296.2466</v>
      </c>
      <c r="Y36" s="522" t="n">
        <v>-1296.2466</v>
      </c>
      <c r="Z36" s="522" t="n">
        <v>-1296.2466</v>
      </c>
      <c r="AA36" s="522" t="n">
        <v>-1296.2466</v>
      </c>
      <c r="AB36" s="522" t="n">
        <v>-1296.2466</v>
      </c>
      <c r="AC36" s="522" t="n">
        <v>-1296.2466</v>
      </c>
      <c r="AD36" s="522" t="n">
        <v>-1322.171532</v>
      </c>
      <c r="AE36" s="522" t="n">
        <v>-1322.171532</v>
      </c>
      <c r="AF36" s="522" t="n">
        <v>-1322.171532</v>
      </c>
      <c r="AG36" s="522" t="n">
        <v>-1322.171532</v>
      </c>
      <c r="AH36" s="522" t="n">
        <v>-1322.171532</v>
      </c>
      <c r="AI36" s="522" t="n">
        <v>-1322.171532</v>
      </c>
      <c r="AJ36" s="522" t="n">
        <v>-1322.171532</v>
      </c>
      <c r="AK36" s="522" t="n">
        <v>-1322.171532</v>
      </c>
      <c r="AL36" s="522" t="n">
        <v>-1322.171532</v>
      </c>
      <c r="AM36" s="522" t="n">
        <v>-1322.171532</v>
      </c>
      <c r="AN36" s="522" t="n">
        <v>-1322.171532</v>
      </c>
      <c r="AO36" s="522" t="n">
        <v>-1322.171532</v>
      </c>
      <c r="AP36" s="522" t="n">
        <v>-1348.61496264</v>
      </c>
      <c r="AQ36" s="522" t="n">
        <v>-1348.61496264</v>
      </c>
      <c r="AR36" s="522" t="n">
        <v>-1348.61496264</v>
      </c>
      <c r="AS36" s="522" t="n">
        <v>-1348.61496264</v>
      </c>
      <c r="AT36" s="522" t="n">
        <v>-1348.61496264</v>
      </c>
      <c r="AU36" s="522" t="n">
        <v>-1348.61496264</v>
      </c>
      <c r="AV36" s="522" t="n">
        <v>-1348.61496264</v>
      </c>
      <c r="AW36" s="522" t="n">
        <v>-1348.61496264</v>
      </c>
      <c r="AX36" s="522" t="n">
        <v>-1348.61496264</v>
      </c>
      <c r="AY36" s="522" t="n">
        <v>-1348.61496264</v>
      </c>
      <c r="AZ36" s="522" t="n">
        <v>-1348.61496264</v>
      </c>
      <c r="BA36" s="522" t="n">
        <v>-1348.61496264</v>
      </c>
      <c r="BB36" s="522" t="n">
        <v>-1375.5872618928</v>
      </c>
      <c r="BC36" s="522" t="n">
        <v>-1375.5872618928</v>
      </c>
      <c r="BD36" s="522" t="n">
        <v>-1375.5872618928</v>
      </c>
      <c r="BE36" s="522" t="n">
        <v>-1375.5872618928</v>
      </c>
      <c r="BF36" s="522" t="n">
        <v>-1375.5872618928</v>
      </c>
      <c r="BG36" s="522" t="n">
        <v>-1375.5872618928</v>
      </c>
      <c r="BH36" s="522" t="n">
        <v>-1375.5872618928</v>
      </c>
      <c r="BI36" s="522" t="n">
        <v>-1375.5872618928</v>
      </c>
      <c r="BJ36" s="522" t="n">
        <v>-1375.5872618928</v>
      </c>
      <c r="BK36" s="522" t="n">
        <v>-1375.5872618928</v>
      </c>
      <c r="BL36" s="522" t="n">
        <v>-1375.5872618928</v>
      </c>
      <c r="BM36" s="522" t="n">
        <v>-1375.5872618928</v>
      </c>
      <c r="BN36" s="522" t="n">
        <v>-1403.09900713066</v>
      </c>
      <c r="BO36" s="522" t="n">
        <v>-1403.09900713066</v>
      </c>
      <c r="BP36" s="522" t="n">
        <v>-1403.09900713066</v>
      </c>
      <c r="BQ36" s="522" t="n">
        <v>-1403.09900713066</v>
      </c>
      <c r="BR36" s="522" t="n">
        <v>-1403.09900713066</v>
      </c>
      <c r="BS36" s="522" t="n">
        <v>-1403.09900713066</v>
      </c>
      <c r="BT36" s="522" t="n">
        <v>-1403.09900713066</v>
      </c>
      <c r="BU36" s="522" t="n">
        <v>-1403.09900713066</v>
      </c>
      <c r="BV36" s="522" t="n">
        <v>-1403.09900713066</v>
      </c>
      <c r="BW36" s="522" t="n">
        <v>-1403.09900713066</v>
      </c>
      <c r="BX36" s="522" t="n">
        <v>-1403.09900713066</v>
      </c>
      <c r="BY36" s="522" t="n">
        <v>-1403.09900713066</v>
      </c>
      <c r="BZ36" s="522" t="n">
        <v>-1431.16098727327</v>
      </c>
      <c r="CA36" s="522" t="n">
        <v>-1431.16098727327</v>
      </c>
      <c r="CB36" s="522" t="n">
        <v>-1431.16098727327</v>
      </c>
      <c r="CC36" s="522" t="n">
        <v>-1431.16098727327</v>
      </c>
      <c r="CD36" s="522" t="n">
        <v>-1431.16098727327</v>
      </c>
      <c r="CE36" s="522" t="n">
        <v>-1431.16098727327</v>
      </c>
      <c r="CF36" s="522" t="n">
        <v>-1431.16098727327</v>
      </c>
      <c r="CG36" s="522" t="n">
        <v>-1431.16098727327</v>
      </c>
      <c r="CH36" s="522" t="n">
        <v>-1431.16098727327</v>
      </c>
      <c r="CI36" s="522" t="n">
        <v>-1431.16098727327</v>
      </c>
      <c r="CJ36" s="522" t="n">
        <v>-1431.16098727327</v>
      </c>
      <c r="CK36" s="522" t="n">
        <v>-1431.16098727327</v>
      </c>
      <c r="CL36" s="522" t="n">
        <v>-1459.78420701873</v>
      </c>
      <c r="CM36" s="522" t="n">
        <v>-1459.78420701873</v>
      </c>
      <c r="CN36" s="522" t="n">
        <v>-1459.78420701873</v>
      </c>
      <c r="CO36" s="522" t="n">
        <v>-1459.78420701873</v>
      </c>
      <c r="CP36" s="522" t="n">
        <v>-1459.78420701873</v>
      </c>
      <c r="CQ36" s="522" t="n">
        <v>-1459.78420701873</v>
      </c>
      <c r="CR36" s="522" t="n">
        <v>-1459.78420701873</v>
      </c>
      <c r="CS36" s="522" t="n">
        <v>-1459.78420701873</v>
      </c>
      <c r="CT36" s="522" t="n">
        <v>-1459.78420701873</v>
      </c>
      <c r="CU36" s="522" t="n">
        <v>-1459.78420701873</v>
      </c>
      <c r="CV36" s="522" t="n">
        <v>-1459.78420701873</v>
      </c>
      <c r="CW36" s="522" t="n">
        <v>-1459.78420701873</v>
      </c>
      <c r="CX36" s="522" t="n">
        <v>-1488.97989115911</v>
      </c>
      <c r="CY36" s="522" t="n">
        <v>-1488.97989115911</v>
      </c>
      <c r="CZ36" s="522" t="n">
        <v>-1488.97989115911</v>
      </c>
      <c r="DA36" s="522" t="n">
        <v>-1488.97989115911</v>
      </c>
      <c r="DB36" s="522" t="n">
        <v>-1488.97989115911</v>
      </c>
      <c r="DC36" s="522" t="n">
        <v>-1488.97989115911</v>
      </c>
      <c r="DD36" s="522" t="n">
        <v>-1488.97989115911</v>
      </c>
      <c r="DE36" s="522" t="n">
        <v>-1488.97989115911</v>
      </c>
      <c r="DF36" s="522" t="n">
        <v>-1488.97989115911</v>
      </c>
    </row>
    <row r="37" ht="15" customFormat="1" customHeight="1" s="380">
      <c r="A37" s="468" t="inlineStr">
        <is>
          <t>5500-1002 Accounting Consulting and Overhead</t>
        </is>
      </c>
      <c r="C37" s="483" t="n">
        <v>0</v>
      </c>
      <c r="D37" s="483" t="n">
        <v>-12349</v>
      </c>
      <c r="E37" s="483" t="n">
        <v>-5400</v>
      </c>
      <c r="F37" s="522" t="n">
        <v>-5916.33</v>
      </c>
      <c r="G37" s="522" t="n">
        <v>-5916.33</v>
      </c>
      <c r="H37" s="522" t="n">
        <v>-5916.33</v>
      </c>
      <c r="I37" s="522" t="n">
        <v>-5916.33</v>
      </c>
      <c r="J37" s="522" t="n">
        <v>-5916.33</v>
      </c>
      <c r="K37" s="522" t="n">
        <v>-5916.33</v>
      </c>
      <c r="L37" s="522" t="n">
        <v>-5916.33</v>
      </c>
      <c r="M37" s="522" t="n">
        <v>-5916.33</v>
      </c>
      <c r="N37" s="522" t="n">
        <v>-5916.33</v>
      </c>
      <c r="O37" s="522" t="n">
        <v>-5916.33</v>
      </c>
      <c r="P37" s="522" t="n">
        <v>-5916.33</v>
      </c>
      <c r="Q37" s="522" t="n">
        <v>-5916.33</v>
      </c>
      <c r="R37" s="522" t="n">
        <v>-6034.6566</v>
      </c>
      <c r="S37" s="522" t="n">
        <v>-6034.6566</v>
      </c>
      <c r="T37" s="522" t="n">
        <v>-6034.6566</v>
      </c>
      <c r="U37" s="522" t="n">
        <v>-6034.6566</v>
      </c>
      <c r="V37" s="522" t="n">
        <v>-6034.6566</v>
      </c>
      <c r="W37" s="522" t="n">
        <v>-6034.6566</v>
      </c>
      <c r="X37" s="522" t="n">
        <v>-6034.6566</v>
      </c>
      <c r="Y37" s="522" t="n">
        <v>-6034.6566</v>
      </c>
      <c r="Z37" s="522" t="n">
        <v>-6034.6566</v>
      </c>
      <c r="AA37" s="522" t="n">
        <v>-6034.6566</v>
      </c>
      <c r="AB37" s="522" t="n">
        <v>-6034.6566</v>
      </c>
      <c r="AC37" s="522" t="n">
        <v>-6034.6566</v>
      </c>
      <c r="AD37" s="522" t="n">
        <v>-6155.349732</v>
      </c>
      <c r="AE37" s="522" t="n">
        <v>-6155.349732</v>
      </c>
      <c r="AF37" s="522" t="n">
        <v>-6155.349732</v>
      </c>
      <c r="AG37" s="522" t="n">
        <v>-6155.349732</v>
      </c>
      <c r="AH37" s="522" t="n">
        <v>-6155.349732</v>
      </c>
      <c r="AI37" s="522" t="n">
        <v>-6155.349732</v>
      </c>
      <c r="AJ37" s="522" t="n">
        <v>-6155.349732</v>
      </c>
      <c r="AK37" s="522" t="n">
        <v>-6155.349732</v>
      </c>
      <c r="AL37" s="522" t="n">
        <v>-6155.349732</v>
      </c>
      <c r="AM37" s="522" t="n">
        <v>-6155.349732</v>
      </c>
      <c r="AN37" s="522" t="n">
        <v>-6155.349732</v>
      </c>
      <c r="AO37" s="522" t="n">
        <v>-6155.349732</v>
      </c>
      <c r="AP37" s="522" t="n">
        <v>-6278.45672664</v>
      </c>
      <c r="AQ37" s="522" t="n">
        <v>-6278.45672664</v>
      </c>
      <c r="AR37" s="522" t="n">
        <v>-6278.45672664</v>
      </c>
      <c r="AS37" s="522" t="n">
        <v>-6278.45672664</v>
      </c>
      <c r="AT37" s="522" t="n">
        <v>-6278.45672664</v>
      </c>
      <c r="AU37" s="522" t="n">
        <v>-6278.45672664</v>
      </c>
      <c r="AV37" s="522" t="n">
        <v>-6278.45672664</v>
      </c>
      <c r="AW37" s="522" t="n">
        <v>-6278.45672664</v>
      </c>
      <c r="AX37" s="522" t="n">
        <v>-6278.45672664</v>
      </c>
      <c r="AY37" s="522" t="n">
        <v>-6278.45672664</v>
      </c>
      <c r="AZ37" s="522" t="n">
        <v>-6278.45672664</v>
      </c>
      <c r="BA37" s="522" t="n">
        <v>-6278.45672664</v>
      </c>
      <c r="BB37" s="522" t="n">
        <v>-6404.0258611728</v>
      </c>
      <c r="BC37" s="522" t="n">
        <v>-6404.0258611728</v>
      </c>
      <c r="BD37" s="522" t="n">
        <v>-6404.0258611728</v>
      </c>
      <c r="BE37" s="522" t="n">
        <v>-6404.0258611728</v>
      </c>
      <c r="BF37" s="522" t="n">
        <v>-6404.0258611728</v>
      </c>
      <c r="BG37" s="522" t="n">
        <v>-6404.0258611728</v>
      </c>
      <c r="BH37" s="522" t="n">
        <v>-6404.0258611728</v>
      </c>
      <c r="BI37" s="522" t="n">
        <v>-6404.0258611728</v>
      </c>
      <c r="BJ37" s="522" t="n">
        <v>-6404.0258611728</v>
      </c>
      <c r="BK37" s="522" t="n">
        <v>-6404.0258611728</v>
      </c>
      <c r="BL37" s="522" t="n">
        <v>-6404.0258611728</v>
      </c>
      <c r="BM37" s="522" t="n">
        <v>-6404.0258611728</v>
      </c>
      <c r="BN37" s="522" t="n">
        <v>-6532.10637839626</v>
      </c>
      <c r="BO37" s="522" t="n">
        <v>-6532.10637839626</v>
      </c>
      <c r="BP37" s="522" t="n">
        <v>-6532.10637839626</v>
      </c>
      <c r="BQ37" s="522" t="n">
        <v>-6532.10637839626</v>
      </c>
      <c r="BR37" s="522" t="n">
        <v>-6532.10637839626</v>
      </c>
      <c r="BS37" s="522" t="n">
        <v>-6532.10637839626</v>
      </c>
      <c r="BT37" s="522" t="n">
        <v>-6532.10637839626</v>
      </c>
      <c r="BU37" s="522" t="n">
        <v>-6532.10637839626</v>
      </c>
      <c r="BV37" s="522" t="n">
        <v>-6532.10637839626</v>
      </c>
      <c r="BW37" s="522" t="n">
        <v>-6532.10637839626</v>
      </c>
      <c r="BX37" s="522" t="n">
        <v>-6532.10637839626</v>
      </c>
      <c r="BY37" s="522" t="n">
        <v>-6532.10637839626</v>
      </c>
      <c r="BZ37" s="522" t="n">
        <v>-6662.74850596418</v>
      </c>
      <c r="CA37" s="522" t="n">
        <v>-6662.74850596418</v>
      </c>
      <c r="CB37" s="522" t="n">
        <v>-6662.74850596418</v>
      </c>
      <c r="CC37" s="522" t="n">
        <v>-6662.74850596418</v>
      </c>
      <c r="CD37" s="522" t="n">
        <v>-6662.74850596418</v>
      </c>
      <c r="CE37" s="522" t="n">
        <v>-6662.74850596418</v>
      </c>
      <c r="CF37" s="522" t="n">
        <v>-6662.74850596418</v>
      </c>
      <c r="CG37" s="522" t="n">
        <v>-6662.74850596418</v>
      </c>
      <c r="CH37" s="522" t="n">
        <v>-6662.74850596418</v>
      </c>
      <c r="CI37" s="522" t="n">
        <v>-6662.74850596418</v>
      </c>
      <c r="CJ37" s="522" t="n">
        <v>-6662.74850596418</v>
      </c>
      <c r="CK37" s="522" t="n">
        <v>-6662.74850596418</v>
      </c>
      <c r="CL37" s="522" t="n">
        <v>-6796.00347608347</v>
      </c>
      <c r="CM37" s="522" t="n">
        <v>-6796.00347608347</v>
      </c>
      <c r="CN37" s="522" t="n">
        <v>-6796.00347608347</v>
      </c>
      <c r="CO37" s="522" t="n">
        <v>-6796.00347608347</v>
      </c>
      <c r="CP37" s="522" t="n">
        <v>-6796.00347608347</v>
      </c>
      <c r="CQ37" s="522" t="n">
        <v>-6796.00347608347</v>
      </c>
      <c r="CR37" s="522" t="n">
        <v>-6796.00347608347</v>
      </c>
      <c r="CS37" s="522" t="n">
        <v>-6796.00347608347</v>
      </c>
      <c r="CT37" s="522" t="n">
        <v>-6796.00347608347</v>
      </c>
      <c r="CU37" s="522" t="n">
        <v>-6796.00347608347</v>
      </c>
      <c r="CV37" s="522" t="n">
        <v>-6796.00347608347</v>
      </c>
      <c r="CW37" s="522" t="n">
        <v>-6796.00347608347</v>
      </c>
      <c r="CX37" s="522" t="n">
        <v>-6931.92354560514</v>
      </c>
      <c r="CY37" s="522" t="n">
        <v>-6931.92354560514</v>
      </c>
      <c r="CZ37" s="522" t="n">
        <v>-6931.92354560514</v>
      </c>
      <c r="DA37" s="522" t="n">
        <v>-6931.92354560514</v>
      </c>
      <c r="DB37" s="522" t="n">
        <v>-6931.92354560514</v>
      </c>
      <c r="DC37" s="522" t="n">
        <v>-6931.92354560514</v>
      </c>
      <c r="DD37" s="522" t="n">
        <v>-6931.92354560514</v>
      </c>
      <c r="DE37" s="522" t="n">
        <v>-6931.92354560514</v>
      </c>
      <c r="DF37" s="522" t="n">
        <v>-6931.92354560514</v>
      </c>
    </row>
    <row r="38" ht="15" customFormat="1" customHeight="1" s="380">
      <c r="A38" s="468" t="inlineStr">
        <is>
          <t>5500-1004 Consultants and Other Professional Expenses</t>
        </is>
      </c>
      <c r="C38" s="483" t="n">
        <v>0</v>
      </c>
      <c r="D38" s="483" t="n">
        <v>0</v>
      </c>
      <c r="E38" s="483" t="n">
        <v>-750.4</v>
      </c>
      <c r="F38" s="522" t="n">
        <v>-250.13</v>
      </c>
      <c r="G38" s="522" t="n">
        <v>-250.13</v>
      </c>
      <c r="H38" s="522" t="n">
        <v>-250.13</v>
      </c>
      <c r="I38" s="522" t="n">
        <v>-250.13</v>
      </c>
      <c r="J38" s="522" t="n">
        <v>-250.13</v>
      </c>
      <c r="K38" s="522" t="n">
        <v>-250.13</v>
      </c>
      <c r="L38" s="522" t="n">
        <v>-250.13</v>
      </c>
      <c r="M38" s="522" t="n">
        <v>-250.13</v>
      </c>
      <c r="N38" s="522" t="n">
        <v>-250.13</v>
      </c>
      <c r="O38" s="522" t="n">
        <v>-250.13</v>
      </c>
      <c r="P38" s="522" t="n">
        <v>-250.13</v>
      </c>
      <c r="Q38" s="522" t="n">
        <v>-250.13</v>
      </c>
      <c r="R38" s="522" t="n">
        <v>-255.1326</v>
      </c>
      <c r="S38" s="522" t="n">
        <v>-255.1326</v>
      </c>
      <c r="T38" s="522" t="n">
        <v>-255.1326</v>
      </c>
      <c r="U38" s="522" t="n">
        <v>-255.1326</v>
      </c>
      <c r="V38" s="522" t="n">
        <v>-255.1326</v>
      </c>
      <c r="W38" s="522" t="n">
        <v>-255.1326</v>
      </c>
      <c r="X38" s="522" t="n">
        <v>-255.1326</v>
      </c>
      <c r="Y38" s="522" t="n">
        <v>-255.1326</v>
      </c>
      <c r="Z38" s="522" t="n">
        <v>-255.1326</v>
      </c>
      <c r="AA38" s="522" t="n">
        <v>-255.1326</v>
      </c>
      <c r="AB38" s="522" t="n">
        <v>-255.1326</v>
      </c>
      <c r="AC38" s="522" t="n">
        <v>-255.1326</v>
      </c>
      <c r="AD38" s="522" t="n">
        <v>-260.235252</v>
      </c>
      <c r="AE38" s="522" t="n">
        <v>-260.235252</v>
      </c>
      <c r="AF38" s="522" t="n">
        <v>-260.235252</v>
      </c>
      <c r="AG38" s="522" t="n">
        <v>-260.235252</v>
      </c>
      <c r="AH38" s="522" t="n">
        <v>-260.235252</v>
      </c>
      <c r="AI38" s="522" t="n">
        <v>-260.235252</v>
      </c>
      <c r="AJ38" s="522" t="n">
        <v>-260.235252</v>
      </c>
      <c r="AK38" s="522" t="n">
        <v>-260.235252</v>
      </c>
      <c r="AL38" s="522" t="n">
        <v>-260.235252</v>
      </c>
      <c r="AM38" s="522" t="n">
        <v>-260.235252</v>
      </c>
      <c r="AN38" s="522" t="n">
        <v>-260.235252</v>
      </c>
      <c r="AO38" s="522" t="n">
        <v>-260.235252</v>
      </c>
      <c r="AP38" s="522" t="n">
        <v>-265.43995704</v>
      </c>
      <c r="AQ38" s="522" t="n">
        <v>-265.43995704</v>
      </c>
      <c r="AR38" s="522" t="n">
        <v>-265.43995704</v>
      </c>
      <c r="AS38" s="522" t="n">
        <v>-265.43995704</v>
      </c>
      <c r="AT38" s="522" t="n">
        <v>-265.43995704</v>
      </c>
      <c r="AU38" s="522" t="n">
        <v>-265.43995704</v>
      </c>
      <c r="AV38" s="522" t="n">
        <v>-265.43995704</v>
      </c>
      <c r="AW38" s="522" t="n">
        <v>-265.43995704</v>
      </c>
      <c r="AX38" s="522" t="n">
        <v>-265.43995704</v>
      </c>
      <c r="AY38" s="522" t="n">
        <v>-265.43995704</v>
      </c>
      <c r="AZ38" s="522" t="n">
        <v>-265.43995704</v>
      </c>
      <c r="BA38" s="522" t="n">
        <v>-265.43995704</v>
      </c>
      <c r="BB38" s="522" t="n">
        <v>-270.7487561808</v>
      </c>
      <c r="BC38" s="522" t="n">
        <v>-270.7487561808</v>
      </c>
      <c r="BD38" s="522" t="n">
        <v>-270.7487561808</v>
      </c>
      <c r="BE38" s="522" t="n">
        <v>-270.7487561808</v>
      </c>
      <c r="BF38" s="522" t="n">
        <v>-270.7487561808</v>
      </c>
      <c r="BG38" s="522" t="n">
        <v>-270.7487561808</v>
      </c>
      <c r="BH38" s="522" t="n">
        <v>-270.7487561808</v>
      </c>
      <c r="BI38" s="522" t="n">
        <v>-270.7487561808</v>
      </c>
      <c r="BJ38" s="522" t="n">
        <v>-270.7487561808</v>
      </c>
      <c r="BK38" s="522" t="n">
        <v>-270.7487561808</v>
      </c>
      <c r="BL38" s="522" t="n">
        <v>-270.7487561808</v>
      </c>
      <c r="BM38" s="522" t="n">
        <v>-270.7487561808</v>
      </c>
      <c r="BN38" s="522" t="n">
        <v>-276.163731304416</v>
      </c>
      <c r="BO38" s="522" t="n">
        <v>-276.163731304416</v>
      </c>
      <c r="BP38" s="522" t="n">
        <v>-276.163731304416</v>
      </c>
      <c r="BQ38" s="522" t="n">
        <v>-276.163731304416</v>
      </c>
      <c r="BR38" s="522" t="n">
        <v>-276.163731304416</v>
      </c>
      <c r="BS38" s="522" t="n">
        <v>-276.163731304416</v>
      </c>
      <c r="BT38" s="522" t="n">
        <v>-276.163731304416</v>
      </c>
      <c r="BU38" s="522" t="n">
        <v>-276.163731304416</v>
      </c>
      <c r="BV38" s="522" t="n">
        <v>-276.163731304416</v>
      </c>
      <c r="BW38" s="522" t="n">
        <v>-276.163731304416</v>
      </c>
      <c r="BX38" s="522" t="n">
        <v>-276.163731304416</v>
      </c>
      <c r="BY38" s="522" t="n">
        <v>-276.163731304416</v>
      </c>
      <c r="BZ38" s="522" t="n">
        <v>-281.687005930504</v>
      </c>
      <c r="CA38" s="522" t="n">
        <v>-281.687005930504</v>
      </c>
      <c r="CB38" s="522" t="n">
        <v>-281.687005930504</v>
      </c>
      <c r="CC38" s="522" t="n">
        <v>-281.687005930504</v>
      </c>
      <c r="CD38" s="522" t="n">
        <v>-281.687005930504</v>
      </c>
      <c r="CE38" s="522" t="n">
        <v>-281.687005930504</v>
      </c>
      <c r="CF38" s="522" t="n">
        <v>-281.687005930504</v>
      </c>
      <c r="CG38" s="522" t="n">
        <v>-281.687005930504</v>
      </c>
      <c r="CH38" s="522" t="n">
        <v>-281.687005930504</v>
      </c>
      <c r="CI38" s="522" t="n">
        <v>-281.687005930504</v>
      </c>
      <c r="CJ38" s="522" t="n">
        <v>-281.687005930504</v>
      </c>
      <c r="CK38" s="522" t="n">
        <v>-281.687005930504</v>
      </c>
      <c r="CL38" s="522" t="n">
        <v>-287.320746049114</v>
      </c>
      <c r="CM38" s="522" t="n">
        <v>-287.320746049114</v>
      </c>
      <c r="CN38" s="522" t="n">
        <v>-287.320746049114</v>
      </c>
      <c r="CO38" s="522" t="n">
        <v>-287.320746049114</v>
      </c>
      <c r="CP38" s="522" t="n">
        <v>-287.320746049114</v>
      </c>
      <c r="CQ38" s="522" t="n">
        <v>-287.320746049114</v>
      </c>
      <c r="CR38" s="522" t="n">
        <v>-287.320746049114</v>
      </c>
      <c r="CS38" s="522" t="n">
        <v>-287.320746049114</v>
      </c>
      <c r="CT38" s="522" t="n">
        <v>-287.320746049114</v>
      </c>
      <c r="CU38" s="522" t="n">
        <v>-287.320746049114</v>
      </c>
      <c r="CV38" s="522" t="n">
        <v>-287.320746049114</v>
      </c>
      <c r="CW38" s="522" t="n">
        <v>-287.320746049114</v>
      </c>
      <c r="CX38" s="522" t="n">
        <v>-293.067160970097</v>
      </c>
      <c r="CY38" s="522" t="n">
        <v>-293.067160970097</v>
      </c>
      <c r="CZ38" s="522" t="n">
        <v>-293.067160970097</v>
      </c>
      <c r="DA38" s="522" t="n">
        <v>-293.067160970097</v>
      </c>
      <c r="DB38" s="522" t="n">
        <v>-293.067160970097</v>
      </c>
      <c r="DC38" s="522" t="n">
        <v>-293.067160970097</v>
      </c>
      <c r="DD38" s="522" t="n">
        <v>-293.067160970097</v>
      </c>
      <c r="DE38" s="522" t="n">
        <v>-293.067160970097</v>
      </c>
      <c r="DF38" s="522" t="n">
        <v>-293.067160970097</v>
      </c>
    </row>
    <row r="39" ht="15" customFormat="1" customHeight="1" s="380">
      <c r="A39" s="468" t="inlineStr">
        <is>
          <t>5500-1050 General Insurance</t>
        </is>
      </c>
      <c r="C39" s="483" t="n">
        <v>-1474.63</v>
      </c>
      <c r="D39" s="483" t="n">
        <v>-1449.33</v>
      </c>
      <c r="E39" s="483" t="n">
        <v>-2328.76</v>
      </c>
      <c r="F39" s="522" t="n">
        <v>-1750.91</v>
      </c>
      <c r="G39" s="522" t="n">
        <v>-1750.91</v>
      </c>
      <c r="H39" s="522" t="n">
        <v>-1750.91</v>
      </c>
      <c r="I39" s="522" t="n">
        <v>-1750.91</v>
      </c>
      <c r="J39" s="522" t="n">
        <v>-1750.91</v>
      </c>
      <c r="K39" s="522" t="n">
        <v>-1750.91</v>
      </c>
      <c r="L39" s="522" t="n">
        <v>-1750.91</v>
      </c>
      <c r="M39" s="522" t="n">
        <v>-1750.91</v>
      </c>
      <c r="N39" s="522" t="n">
        <v>-1750.91</v>
      </c>
      <c r="O39" s="522" t="n">
        <v>-1750.91</v>
      </c>
      <c r="P39" s="522" t="n">
        <v>-1750.91</v>
      </c>
      <c r="Q39" s="522" t="n">
        <v>-1750.91</v>
      </c>
      <c r="R39" s="522" t="n">
        <v>-1785.9282</v>
      </c>
      <c r="S39" s="522" t="n">
        <v>-1785.9282</v>
      </c>
      <c r="T39" s="522" t="n">
        <v>-1785.9282</v>
      </c>
      <c r="U39" s="522" t="n">
        <v>-1785.9282</v>
      </c>
      <c r="V39" s="522" t="n">
        <v>-1785.9282</v>
      </c>
      <c r="W39" s="522" t="n">
        <v>-1785.9282</v>
      </c>
      <c r="X39" s="522" t="n">
        <v>-1785.9282</v>
      </c>
      <c r="Y39" s="522" t="n">
        <v>-1785.9282</v>
      </c>
      <c r="Z39" s="522" t="n">
        <v>-1785.9282</v>
      </c>
      <c r="AA39" s="522" t="n">
        <v>-1785.9282</v>
      </c>
      <c r="AB39" s="522" t="n">
        <v>-1785.9282</v>
      </c>
      <c r="AC39" s="522" t="n">
        <v>-1785.9282</v>
      </c>
      <c r="AD39" s="522" t="n">
        <v>-1821.646764</v>
      </c>
      <c r="AE39" s="522" t="n">
        <v>-1821.646764</v>
      </c>
      <c r="AF39" s="522" t="n">
        <v>-1821.646764</v>
      </c>
      <c r="AG39" s="522" t="n">
        <v>-1821.646764</v>
      </c>
      <c r="AH39" s="522" t="n">
        <v>-1821.646764</v>
      </c>
      <c r="AI39" s="522" t="n">
        <v>-1821.646764</v>
      </c>
      <c r="AJ39" s="522" t="n">
        <v>-1821.646764</v>
      </c>
      <c r="AK39" s="522" t="n">
        <v>-1821.646764</v>
      </c>
      <c r="AL39" s="522" t="n">
        <v>-1821.646764</v>
      </c>
      <c r="AM39" s="522" t="n">
        <v>-1821.646764</v>
      </c>
      <c r="AN39" s="522" t="n">
        <v>-1821.646764</v>
      </c>
      <c r="AO39" s="522" t="n">
        <v>-1821.646764</v>
      </c>
      <c r="AP39" s="522" t="n">
        <v>-1858.07969928</v>
      </c>
      <c r="AQ39" s="522" t="n">
        <v>-1858.07969928</v>
      </c>
      <c r="AR39" s="522" t="n">
        <v>-1858.07969928</v>
      </c>
      <c r="AS39" s="522" t="n">
        <v>-1858.07969928</v>
      </c>
      <c r="AT39" s="522" t="n">
        <v>-1858.07969928</v>
      </c>
      <c r="AU39" s="522" t="n">
        <v>-1858.07969928</v>
      </c>
      <c r="AV39" s="522" t="n">
        <v>-1858.07969928</v>
      </c>
      <c r="AW39" s="522" t="n">
        <v>-1858.07969928</v>
      </c>
      <c r="AX39" s="522" t="n">
        <v>-1858.07969928</v>
      </c>
      <c r="AY39" s="522" t="n">
        <v>-1858.07969928</v>
      </c>
      <c r="AZ39" s="522" t="n">
        <v>-1858.07969928</v>
      </c>
      <c r="BA39" s="522" t="n">
        <v>-1858.07969928</v>
      </c>
      <c r="BB39" s="522" t="n">
        <v>-1895.2412932656</v>
      </c>
      <c r="BC39" s="522" t="n">
        <v>-1895.2412932656</v>
      </c>
      <c r="BD39" s="522" t="n">
        <v>-1895.2412932656</v>
      </c>
      <c r="BE39" s="522" t="n">
        <v>-1895.2412932656</v>
      </c>
      <c r="BF39" s="522" t="n">
        <v>-1895.2412932656</v>
      </c>
      <c r="BG39" s="522" t="n">
        <v>-1895.2412932656</v>
      </c>
      <c r="BH39" s="522" t="n">
        <v>-1895.2412932656</v>
      </c>
      <c r="BI39" s="522" t="n">
        <v>-1895.2412932656</v>
      </c>
      <c r="BJ39" s="522" t="n">
        <v>-1895.2412932656</v>
      </c>
      <c r="BK39" s="522" t="n">
        <v>-1895.2412932656</v>
      </c>
      <c r="BL39" s="522" t="n">
        <v>-1895.2412932656</v>
      </c>
      <c r="BM39" s="522" t="n">
        <v>-1895.2412932656</v>
      </c>
      <c r="BN39" s="522" t="n">
        <v>-1933.14611913091</v>
      </c>
      <c r="BO39" s="522" t="n">
        <v>-1933.14611913091</v>
      </c>
      <c r="BP39" s="522" t="n">
        <v>-1933.14611913091</v>
      </c>
      <c r="BQ39" s="522" t="n">
        <v>-1933.14611913091</v>
      </c>
      <c r="BR39" s="522" t="n">
        <v>-1933.14611913091</v>
      </c>
      <c r="BS39" s="522" t="n">
        <v>-1933.14611913091</v>
      </c>
      <c r="BT39" s="522" t="n">
        <v>-1933.14611913091</v>
      </c>
      <c r="BU39" s="522" t="n">
        <v>-1933.14611913091</v>
      </c>
      <c r="BV39" s="522" t="n">
        <v>-1933.14611913091</v>
      </c>
      <c r="BW39" s="522" t="n">
        <v>-1933.14611913091</v>
      </c>
      <c r="BX39" s="522" t="n">
        <v>-1933.14611913091</v>
      </c>
      <c r="BY39" s="522" t="n">
        <v>-1933.14611913091</v>
      </c>
      <c r="BZ39" s="522" t="n">
        <v>-1971.80904151353</v>
      </c>
      <c r="CA39" s="522" t="n">
        <v>-1971.80904151353</v>
      </c>
      <c r="CB39" s="522" t="n">
        <v>-1971.80904151353</v>
      </c>
      <c r="CC39" s="522" t="n">
        <v>-1971.80904151353</v>
      </c>
      <c r="CD39" s="522" t="n">
        <v>-1971.80904151353</v>
      </c>
      <c r="CE39" s="522" t="n">
        <v>-1971.80904151353</v>
      </c>
      <c r="CF39" s="522" t="n">
        <v>-1971.80904151353</v>
      </c>
      <c r="CG39" s="522" t="n">
        <v>-1971.80904151353</v>
      </c>
      <c r="CH39" s="522" t="n">
        <v>-1971.80904151353</v>
      </c>
      <c r="CI39" s="522" t="n">
        <v>-1971.80904151353</v>
      </c>
      <c r="CJ39" s="522" t="n">
        <v>-1971.80904151353</v>
      </c>
      <c r="CK39" s="522" t="n">
        <v>-1971.80904151353</v>
      </c>
      <c r="CL39" s="522" t="n">
        <v>-2011.2452223438</v>
      </c>
      <c r="CM39" s="522" t="n">
        <v>-2011.2452223438</v>
      </c>
      <c r="CN39" s="522" t="n">
        <v>-2011.2452223438</v>
      </c>
      <c r="CO39" s="522" t="n">
        <v>-2011.2452223438</v>
      </c>
      <c r="CP39" s="522" t="n">
        <v>-2011.2452223438</v>
      </c>
      <c r="CQ39" s="522" t="n">
        <v>-2011.2452223438</v>
      </c>
      <c r="CR39" s="522" t="n">
        <v>-2011.2452223438</v>
      </c>
      <c r="CS39" s="522" t="n">
        <v>-2011.2452223438</v>
      </c>
      <c r="CT39" s="522" t="n">
        <v>-2011.2452223438</v>
      </c>
      <c r="CU39" s="522" t="n">
        <v>-2011.2452223438</v>
      </c>
      <c r="CV39" s="522" t="n">
        <v>-2011.2452223438</v>
      </c>
      <c r="CW39" s="522" t="n">
        <v>-2011.2452223438</v>
      </c>
      <c r="CX39" s="522" t="n">
        <v>-2051.47012679068</v>
      </c>
      <c r="CY39" s="522" t="n">
        <v>-2051.47012679068</v>
      </c>
      <c r="CZ39" s="522" t="n">
        <v>-2051.47012679068</v>
      </c>
      <c r="DA39" s="522" t="n">
        <v>-2051.47012679068</v>
      </c>
      <c r="DB39" s="522" t="n">
        <v>-2051.47012679068</v>
      </c>
      <c r="DC39" s="522" t="n">
        <v>-2051.47012679068</v>
      </c>
      <c r="DD39" s="522" t="n">
        <v>-2051.47012679068</v>
      </c>
      <c r="DE39" s="522" t="n">
        <v>-2051.47012679068</v>
      </c>
      <c r="DF39" s="522" t="n">
        <v>-2051.47012679068</v>
      </c>
    </row>
    <row r="40" ht="15" customFormat="1" customHeight="1" s="380">
      <c r="A40" s="468" t="inlineStr">
        <is>
          <t>5700-1003 Other Utilities</t>
        </is>
      </c>
      <c r="C40" s="483" t="n">
        <v>-1417.61</v>
      </c>
      <c r="D40" s="483" t="n">
        <v>-2730.36</v>
      </c>
      <c r="E40" s="483" t="n">
        <v>-1818.05</v>
      </c>
      <c r="F40" s="522" t="n">
        <v>-1988.67</v>
      </c>
      <c r="G40" s="522" t="n">
        <v>-1988.67</v>
      </c>
      <c r="H40" s="522" t="n">
        <v>-1988.67</v>
      </c>
      <c r="I40" s="522" t="n">
        <v>-1988.67</v>
      </c>
      <c r="J40" s="522" t="n">
        <v>-1988.67</v>
      </c>
      <c r="K40" s="522" t="n">
        <v>-1988.67</v>
      </c>
      <c r="L40" s="522" t="n">
        <v>-1988.67</v>
      </c>
      <c r="M40" s="522" t="n">
        <v>-1988.67</v>
      </c>
      <c r="N40" s="522" t="n">
        <v>-1988.67</v>
      </c>
      <c r="O40" s="522" t="n">
        <v>-1988.67</v>
      </c>
      <c r="P40" s="522" t="n">
        <v>-1988.67</v>
      </c>
      <c r="Q40" s="522" t="n">
        <v>-1988.67</v>
      </c>
      <c r="R40" s="522" t="n">
        <v>-2028.4434</v>
      </c>
      <c r="S40" s="522" t="n">
        <v>-2028.4434</v>
      </c>
      <c r="T40" s="522" t="n">
        <v>-2028.4434</v>
      </c>
      <c r="U40" s="522" t="n">
        <v>-2028.4434</v>
      </c>
      <c r="V40" s="522" t="n">
        <v>-2028.4434</v>
      </c>
      <c r="W40" s="522" t="n">
        <v>-2028.4434</v>
      </c>
      <c r="X40" s="522" t="n">
        <v>-2028.4434</v>
      </c>
      <c r="Y40" s="522" t="n">
        <v>-2028.4434</v>
      </c>
      <c r="Z40" s="522" t="n">
        <v>-2028.4434</v>
      </c>
      <c r="AA40" s="522" t="n">
        <v>-2028.4434</v>
      </c>
      <c r="AB40" s="522" t="n">
        <v>-2028.4434</v>
      </c>
      <c r="AC40" s="522" t="n">
        <v>-2028.4434</v>
      </c>
      <c r="AD40" s="522" t="n">
        <v>-2069.012268</v>
      </c>
      <c r="AE40" s="522" t="n">
        <v>-2069.012268</v>
      </c>
      <c r="AF40" s="522" t="n">
        <v>-2069.012268</v>
      </c>
      <c r="AG40" s="522" t="n">
        <v>-2069.012268</v>
      </c>
      <c r="AH40" s="522" t="n">
        <v>-2069.012268</v>
      </c>
      <c r="AI40" s="522" t="n">
        <v>-2069.012268</v>
      </c>
      <c r="AJ40" s="522" t="n">
        <v>-2069.012268</v>
      </c>
      <c r="AK40" s="522" t="n">
        <v>-2069.012268</v>
      </c>
      <c r="AL40" s="522" t="n">
        <v>-2069.012268</v>
      </c>
      <c r="AM40" s="522" t="n">
        <v>-2069.012268</v>
      </c>
      <c r="AN40" s="522" t="n">
        <v>-2069.012268</v>
      </c>
      <c r="AO40" s="522" t="n">
        <v>-2069.012268</v>
      </c>
      <c r="AP40" s="522" t="n">
        <v>-2110.39251336</v>
      </c>
      <c r="AQ40" s="522" t="n">
        <v>-2110.39251336</v>
      </c>
      <c r="AR40" s="522" t="n">
        <v>-2110.39251336</v>
      </c>
      <c r="AS40" s="522" t="n">
        <v>-2110.39251336</v>
      </c>
      <c r="AT40" s="522" t="n">
        <v>-2110.39251336</v>
      </c>
      <c r="AU40" s="522" t="n">
        <v>-2110.39251336</v>
      </c>
      <c r="AV40" s="522" t="n">
        <v>-2110.39251336</v>
      </c>
      <c r="AW40" s="522" t="n">
        <v>-2110.39251336</v>
      </c>
      <c r="AX40" s="522" t="n">
        <v>-2110.39251336</v>
      </c>
      <c r="AY40" s="522" t="n">
        <v>-2110.39251336</v>
      </c>
      <c r="AZ40" s="522" t="n">
        <v>-2110.39251336</v>
      </c>
      <c r="BA40" s="522" t="n">
        <v>-2110.39251336</v>
      </c>
      <c r="BB40" s="522" t="n">
        <v>-2152.6003636272</v>
      </c>
      <c r="BC40" s="522" t="n">
        <v>-2152.6003636272</v>
      </c>
      <c r="BD40" s="522" t="n">
        <v>-2152.6003636272</v>
      </c>
      <c r="BE40" s="522" t="n">
        <v>-2152.6003636272</v>
      </c>
      <c r="BF40" s="522" t="n">
        <v>-2152.6003636272</v>
      </c>
      <c r="BG40" s="522" t="n">
        <v>-2152.6003636272</v>
      </c>
      <c r="BH40" s="522" t="n">
        <v>-2152.6003636272</v>
      </c>
      <c r="BI40" s="522" t="n">
        <v>-2152.6003636272</v>
      </c>
      <c r="BJ40" s="522" t="n">
        <v>-2152.6003636272</v>
      </c>
      <c r="BK40" s="522" t="n">
        <v>-2152.6003636272</v>
      </c>
      <c r="BL40" s="522" t="n">
        <v>-2152.6003636272</v>
      </c>
      <c r="BM40" s="522" t="n">
        <v>-2152.6003636272</v>
      </c>
      <c r="BN40" s="522" t="n">
        <v>-2195.65237089974</v>
      </c>
      <c r="BO40" s="522" t="n">
        <v>-2195.65237089974</v>
      </c>
      <c r="BP40" s="522" t="n">
        <v>-2195.65237089974</v>
      </c>
      <c r="BQ40" s="522" t="n">
        <v>-2195.65237089974</v>
      </c>
      <c r="BR40" s="522" t="n">
        <v>-2195.65237089974</v>
      </c>
      <c r="BS40" s="522" t="n">
        <v>-2195.65237089974</v>
      </c>
      <c r="BT40" s="522" t="n">
        <v>-2195.65237089974</v>
      </c>
      <c r="BU40" s="522" t="n">
        <v>-2195.65237089974</v>
      </c>
      <c r="BV40" s="522" t="n">
        <v>-2195.65237089974</v>
      </c>
      <c r="BW40" s="522" t="n">
        <v>-2195.65237089974</v>
      </c>
      <c r="BX40" s="522" t="n">
        <v>-2195.65237089974</v>
      </c>
      <c r="BY40" s="522" t="n">
        <v>-2195.65237089974</v>
      </c>
      <c r="BZ40" s="522" t="n">
        <v>-2239.56541831774</v>
      </c>
      <c r="CA40" s="522" t="n">
        <v>-2239.56541831774</v>
      </c>
      <c r="CB40" s="522" t="n">
        <v>-2239.56541831774</v>
      </c>
      <c r="CC40" s="522" t="n">
        <v>-2239.56541831774</v>
      </c>
      <c r="CD40" s="522" t="n">
        <v>-2239.56541831774</v>
      </c>
      <c r="CE40" s="522" t="n">
        <v>-2239.56541831774</v>
      </c>
      <c r="CF40" s="522" t="n">
        <v>-2239.56541831774</v>
      </c>
      <c r="CG40" s="522" t="n">
        <v>-2239.56541831774</v>
      </c>
      <c r="CH40" s="522" t="n">
        <v>-2239.56541831774</v>
      </c>
      <c r="CI40" s="522" t="n">
        <v>-2239.56541831774</v>
      </c>
      <c r="CJ40" s="522" t="n">
        <v>-2239.56541831774</v>
      </c>
      <c r="CK40" s="522" t="n">
        <v>-2239.56541831774</v>
      </c>
      <c r="CL40" s="522" t="n">
        <v>-2284.35672668409</v>
      </c>
      <c r="CM40" s="522" t="n">
        <v>-2284.35672668409</v>
      </c>
      <c r="CN40" s="522" t="n">
        <v>-2284.35672668409</v>
      </c>
      <c r="CO40" s="522" t="n">
        <v>-2284.35672668409</v>
      </c>
      <c r="CP40" s="522" t="n">
        <v>-2284.35672668409</v>
      </c>
      <c r="CQ40" s="522" t="n">
        <v>-2284.35672668409</v>
      </c>
      <c r="CR40" s="522" t="n">
        <v>-2284.35672668409</v>
      </c>
      <c r="CS40" s="522" t="n">
        <v>-2284.35672668409</v>
      </c>
      <c r="CT40" s="522" t="n">
        <v>-2284.35672668409</v>
      </c>
      <c r="CU40" s="522" t="n">
        <v>-2284.35672668409</v>
      </c>
      <c r="CV40" s="522" t="n">
        <v>-2284.35672668409</v>
      </c>
      <c r="CW40" s="522" t="n">
        <v>-2284.35672668409</v>
      </c>
      <c r="CX40" s="522" t="n">
        <v>-2330.04386121778</v>
      </c>
      <c r="CY40" s="522" t="n">
        <v>-2330.04386121778</v>
      </c>
      <c r="CZ40" s="522" t="n">
        <v>-2330.04386121778</v>
      </c>
      <c r="DA40" s="522" t="n">
        <v>-2330.04386121778</v>
      </c>
      <c r="DB40" s="522" t="n">
        <v>-2330.04386121778</v>
      </c>
      <c r="DC40" s="522" t="n">
        <v>-2330.04386121778</v>
      </c>
      <c r="DD40" s="522" t="n">
        <v>-2330.04386121778</v>
      </c>
      <c r="DE40" s="522" t="n">
        <v>-2330.04386121778</v>
      </c>
      <c r="DF40" s="522" t="n">
        <v>-2330.04386121778</v>
      </c>
    </row>
    <row r="41" ht="15" customFormat="1" customHeight="1" s="380">
      <c r="A41" s="468" t="inlineStr">
        <is>
          <t>5800-1003 Consulting Fee</t>
        </is>
      </c>
      <c r="C41" s="483" t="n">
        <v>0</v>
      </c>
      <c r="D41" s="483" t="n">
        <v>0</v>
      </c>
      <c r="E41" s="483" t="n">
        <v>-41990</v>
      </c>
      <c r="F41" s="522" t="n">
        <v>0</v>
      </c>
      <c r="G41" s="522" t="n">
        <v>-44250</v>
      </c>
      <c r="H41" s="522" t="n">
        <v>-45000</v>
      </c>
      <c r="I41" s="522" t="n">
        <v>-19500</v>
      </c>
      <c r="J41" s="522" t="n">
        <v>0</v>
      </c>
      <c r="K41" s="522" t="n">
        <v>0</v>
      </c>
      <c r="L41" s="522" t="n">
        <v>-37500</v>
      </c>
      <c r="M41" s="522" t="n">
        <v>-54000</v>
      </c>
      <c r="N41" s="522" t="n">
        <v>0</v>
      </c>
      <c r="O41" s="522" t="n">
        <v>0</v>
      </c>
      <c r="P41" s="522" t="n">
        <v>0</v>
      </c>
      <c r="Q41" s="522" t="n">
        <v>0</v>
      </c>
      <c r="R41" s="522" t="n">
        <v>-24000</v>
      </c>
      <c r="S41" s="522" t="n">
        <v>0</v>
      </c>
      <c r="T41" s="522" t="n">
        <v>0</v>
      </c>
      <c r="U41" s="522" t="n">
        <v>0</v>
      </c>
      <c r="V41" s="522" t="n">
        <v>0</v>
      </c>
      <c r="W41" s="522" t="n">
        <v>0</v>
      </c>
      <c r="X41" s="522" t="n">
        <v>0</v>
      </c>
      <c r="Y41" s="522" t="n">
        <v>0</v>
      </c>
      <c r="Z41" s="522" t="n">
        <v>0</v>
      </c>
      <c r="AA41" s="522" t="n">
        <v>0</v>
      </c>
      <c r="AB41" s="522" t="n">
        <v>0</v>
      </c>
      <c r="AC41" s="522" t="n">
        <v>0</v>
      </c>
      <c r="AD41" s="522" t="n">
        <v>0</v>
      </c>
      <c r="AE41" s="522" t="n">
        <v>0</v>
      </c>
      <c r="AF41" s="522" t="n">
        <v>0</v>
      </c>
      <c r="AG41" s="522" t="n">
        <v>0</v>
      </c>
      <c r="AH41" s="522" t="n">
        <v>0</v>
      </c>
      <c r="AI41" s="522" t="n">
        <v>0</v>
      </c>
      <c r="AJ41" s="522" t="n">
        <v>0</v>
      </c>
      <c r="AK41" s="522" t="n">
        <v>0</v>
      </c>
      <c r="AL41" s="522" t="n">
        <v>0</v>
      </c>
      <c r="AM41" s="522" t="n">
        <v>0</v>
      </c>
      <c r="AN41" s="522" t="n">
        <v>0</v>
      </c>
      <c r="AO41" s="522" t="n">
        <v>0</v>
      </c>
      <c r="AP41" s="522" t="n">
        <v>0</v>
      </c>
      <c r="AQ41" s="522" t="n">
        <v>0</v>
      </c>
      <c r="AR41" s="522" t="n">
        <v>0</v>
      </c>
      <c r="AS41" s="522" t="n">
        <v>0</v>
      </c>
      <c r="AT41" s="522" t="n">
        <v>0</v>
      </c>
      <c r="AU41" s="522" t="n">
        <v>0</v>
      </c>
      <c r="AV41" s="522" t="n">
        <v>0</v>
      </c>
      <c r="AW41" s="522" t="n">
        <v>0</v>
      </c>
      <c r="AX41" s="522" t="n">
        <v>0</v>
      </c>
      <c r="AY41" s="522" t="n">
        <v>0</v>
      </c>
      <c r="AZ41" s="522" t="n">
        <v>0</v>
      </c>
      <c r="BA41" s="522" t="n">
        <v>0</v>
      </c>
      <c r="BB41" s="522" t="n">
        <v>0</v>
      </c>
      <c r="BC41" s="522" t="n">
        <v>0</v>
      </c>
      <c r="BD41" s="522" t="n">
        <v>0</v>
      </c>
      <c r="BE41" s="522" t="n">
        <v>0</v>
      </c>
      <c r="BF41" s="522" t="n">
        <v>0</v>
      </c>
      <c r="BG41" s="522" t="n">
        <v>0</v>
      </c>
      <c r="BH41" s="522" t="n">
        <v>0</v>
      </c>
      <c r="BI41" s="522" t="n">
        <v>0</v>
      </c>
      <c r="BJ41" s="522" t="n">
        <v>0</v>
      </c>
      <c r="BK41" s="522" t="n">
        <v>0</v>
      </c>
      <c r="BL41" s="522" t="n">
        <v>0</v>
      </c>
      <c r="BM41" s="522" t="n">
        <v>0</v>
      </c>
      <c r="BN41" s="522" t="n">
        <v>0</v>
      </c>
      <c r="BO41" s="522" t="n">
        <v>0</v>
      </c>
      <c r="BP41" s="522" t="n">
        <v>0</v>
      </c>
      <c r="BQ41" s="522" t="n">
        <v>0</v>
      </c>
      <c r="BR41" s="522" t="n">
        <v>0</v>
      </c>
      <c r="BS41" s="522" t="n">
        <v>0</v>
      </c>
      <c r="BT41" s="522" t="n">
        <v>0</v>
      </c>
      <c r="BU41" s="522" t="n">
        <v>0</v>
      </c>
      <c r="BV41" s="522" t="n">
        <v>0</v>
      </c>
      <c r="BW41" s="522" t="n">
        <v>0</v>
      </c>
      <c r="BX41" s="522" t="n">
        <v>0</v>
      </c>
      <c r="BY41" s="522" t="n">
        <v>0</v>
      </c>
      <c r="BZ41" s="522" t="n">
        <v>0</v>
      </c>
      <c r="CA41" s="522" t="n">
        <v>0</v>
      </c>
      <c r="CB41" s="522" t="n">
        <v>0</v>
      </c>
      <c r="CC41" s="522" t="n">
        <v>0</v>
      </c>
      <c r="CD41" s="522" t="n">
        <v>0</v>
      </c>
      <c r="CE41" s="522" t="n">
        <v>0</v>
      </c>
      <c r="CF41" s="522" t="n">
        <v>0</v>
      </c>
      <c r="CG41" s="522" t="n">
        <v>0</v>
      </c>
      <c r="CH41" s="522" t="n">
        <v>0</v>
      </c>
      <c r="CI41" s="522" t="n">
        <v>0</v>
      </c>
      <c r="CJ41" s="522" t="n">
        <v>0</v>
      </c>
      <c r="CK41" s="522" t="n">
        <v>0</v>
      </c>
      <c r="CL41" s="522" t="n">
        <v>0</v>
      </c>
      <c r="CM41" s="522" t="n">
        <v>0</v>
      </c>
      <c r="CN41" s="522" t="n">
        <v>0</v>
      </c>
      <c r="CO41" s="522" t="n">
        <v>0</v>
      </c>
      <c r="CP41" s="522" t="n">
        <v>0</v>
      </c>
      <c r="CQ41" s="522" t="n">
        <v>0</v>
      </c>
      <c r="CR41" s="522" t="n">
        <v>0</v>
      </c>
      <c r="CS41" s="522" t="n">
        <v>0</v>
      </c>
      <c r="CT41" s="522" t="n">
        <v>0</v>
      </c>
      <c r="CU41" s="522" t="n">
        <v>0</v>
      </c>
      <c r="CV41" s="522" t="n">
        <v>0</v>
      </c>
      <c r="CW41" s="522" t="n">
        <v>0</v>
      </c>
      <c r="CX41" s="522" t="n">
        <v>0</v>
      </c>
      <c r="CY41" s="522" t="n">
        <v>0</v>
      </c>
      <c r="CZ41" s="522" t="n">
        <v>0</v>
      </c>
      <c r="DA41" s="522" t="n">
        <v>0</v>
      </c>
      <c r="DB41" s="522" t="n">
        <v>0</v>
      </c>
      <c r="DC41" s="522" t="n">
        <v>0</v>
      </c>
      <c r="DD41" s="522" t="n">
        <v>0</v>
      </c>
      <c r="DE41" s="522" t="n">
        <v>0</v>
      </c>
      <c r="DF41" s="522" t="n">
        <v>0</v>
      </c>
    </row>
    <row r="42" ht="15" customFormat="1" customHeight="1" s="380">
      <c r="A42" s="468" t="inlineStr">
        <is>
          <t>5900-1000 Security Monitoring</t>
        </is>
      </c>
      <c r="C42" s="483" t="n">
        <v>-165</v>
      </c>
      <c r="D42" s="483" t="n">
        <v>0</v>
      </c>
      <c r="E42" s="483" t="n">
        <v>0</v>
      </c>
      <c r="F42" s="522" t="n">
        <v>-55</v>
      </c>
      <c r="G42" s="522" t="n">
        <v>-55</v>
      </c>
      <c r="H42" s="522" t="n">
        <v>-55</v>
      </c>
      <c r="I42" s="522" t="n">
        <v>-55</v>
      </c>
      <c r="J42" s="522" t="n">
        <v>-55</v>
      </c>
      <c r="K42" s="522" t="n">
        <v>-55</v>
      </c>
      <c r="L42" s="522" t="n">
        <v>-55</v>
      </c>
      <c r="M42" s="522" t="n">
        <v>-55</v>
      </c>
      <c r="N42" s="522" t="n">
        <v>-55</v>
      </c>
      <c r="O42" s="522" t="n">
        <v>-55</v>
      </c>
      <c r="P42" s="522" t="n">
        <v>-55</v>
      </c>
      <c r="Q42" s="522" t="n">
        <v>-55</v>
      </c>
      <c r="R42" s="522" t="n">
        <v>-56.1</v>
      </c>
      <c r="S42" s="522" t="n">
        <v>-56.1</v>
      </c>
      <c r="T42" s="522" t="n">
        <v>-56.1</v>
      </c>
      <c r="U42" s="522" t="n">
        <v>-56.1</v>
      </c>
      <c r="V42" s="522" t="n">
        <v>-56.1</v>
      </c>
      <c r="W42" s="522" t="n">
        <v>-56.1</v>
      </c>
      <c r="X42" s="522" t="n">
        <v>-56.1</v>
      </c>
      <c r="Y42" s="522" t="n">
        <v>-56.1</v>
      </c>
      <c r="Z42" s="522" t="n">
        <v>-56.1</v>
      </c>
      <c r="AA42" s="522" t="n">
        <v>-56.1</v>
      </c>
      <c r="AB42" s="522" t="n">
        <v>-56.1</v>
      </c>
      <c r="AC42" s="522" t="n">
        <v>-56.1</v>
      </c>
      <c r="AD42" s="522" t="n">
        <v>-57.222</v>
      </c>
      <c r="AE42" s="522" t="n">
        <v>-57.222</v>
      </c>
      <c r="AF42" s="522" t="n">
        <v>-57.222</v>
      </c>
      <c r="AG42" s="522" t="n">
        <v>-57.222</v>
      </c>
      <c r="AH42" s="522" t="n">
        <v>-57.222</v>
      </c>
      <c r="AI42" s="522" t="n">
        <v>-57.222</v>
      </c>
      <c r="AJ42" s="522" t="n">
        <v>-57.222</v>
      </c>
      <c r="AK42" s="522" t="n">
        <v>-57.222</v>
      </c>
      <c r="AL42" s="522" t="n">
        <v>-57.222</v>
      </c>
      <c r="AM42" s="522" t="n">
        <v>-57.222</v>
      </c>
      <c r="AN42" s="522" t="n">
        <v>-57.222</v>
      </c>
      <c r="AO42" s="522" t="n">
        <v>-57.222</v>
      </c>
      <c r="AP42" s="522" t="n">
        <v>-58.36644</v>
      </c>
      <c r="AQ42" s="522" t="n">
        <v>-58.36644</v>
      </c>
      <c r="AR42" s="522" t="n">
        <v>-58.36644</v>
      </c>
      <c r="AS42" s="522" t="n">
        <v>-58.36644</v>
      </c>
      <c r="AT42" s="522" t="n">
        <v>-58.36644</v>
      </c>
      <c r="AU42" s="522" t="n">
        <v>-58.36644</v>
      </c>
      <c r="AV42" s="522" t="n">
        <v>-58.36644</v>
      </c>
      <c r="AW42" s="522" t="n">
        <v>-58.36644</v>
      </c>
      <c r="AX42" s="522" t="n">
        <v>-58.36644</v>
      </c>
      <c r="AY42" s="522" t="n">
        <v>-58.36644</v>
      </c>
      <c r="AZ42" s="522" t="n">
        <v>-58.36644</v>
      </c>
      <c r="BA42" s="522" t="n">
        <v>-58.36644</v>
      </c>
      <c r="BB42" s="522" t="n">
        <v>-59.5337688</v>
      </c>
      <c r="BC42" s="522" t="n">
        <v>-59.5337688</v>
      </c>
      <c r="BD42" s="522" t="n">
        <v>-59.5337688</v>
      </c>
      <c r="BE42" s="522" t="n">
        <v>-59.5337688</v>
      </c>
      <c r="BF42" s="522" t="n">
        <v>-59.5337688</v>
      </c>
      <c r="BG42" s="522" t="n">
        <v>-59.5337688</v>
      </c>
      <c r="BH42" s="522" t="n">
        <v>-59.5337688</v>
      </c>
      <c r="BI42" s="522" t="n">
        <v>-59.5337688</v>
      </c>
      <c r="BJ42" s="522" t="n">
        <v>-59.5337688</v>
      </c>
      <c r="BK42" s="522" t="n">
        <v>-59.5337688</v>
      </c>
      <c r="BL42" s="522" t="n">
        <v>-59.5337688</v>
      </c>
      <c r="BM42" s="522" t="n">
        <v>-59.5337688</v>
      </c>
      <c r="BN42" s="522" t="n">
        <v>-60.724444176</v>
      </c>
      <c r="BO42" s="522" t="n">
        <v>-60.724444176</v>
      </c>
      <c r="BP42" s="522" t="n">
        <v>-60.724444176</v>
      </c>
      <c r="BQ42" s="522" t="n">
        <v>-60.724444176</v>
      </c>
      <c r="BR42" s="522" t="n">
        <v>-60.724444176</v>
      </c>
      <c r="BS42" s="522" t="n">
        <v>-60.724444176</v>
      </c>
      <c r="BT42" s="522" t="n">
        <v>-60.724444176</v>
      </c>
      <c r="BU42" s="522" t="n">
        <v>-60.724444176</v>
      </c>
      <c r="BV42" s="522" t="n">
        <v>-60.724444176</v>
      </c>
      <c r="BW42" s="522" t="n">
        <v>-60.724444176</v>
      </c>
      <c r="BX42" s="522" t="n">
        <v>-60.724444176</v>
      </c>
      <c r="BY42" s="522" t="n">
        <v>-60.724444176</v>
      </c>
      <c r="BZ42" s="522" t="n">
        <v>-61.93893305952</v>
      </c>
      <c r="CA42" s="522" t="n">
        <v>-61.93893305952</v>
      </c>
      <c r="CB42" s="522" t="n">
        <v>-61.93893305952</v>
      </c>
      <c r="CC42" s="522" t="n">
        <v>-61.93893305952</v>
      </c>
      <c r="CD42" s="522" t="n">
        <v>-61.93893305952</v>
      </c>
      <c r="CE42" s="522" t="n">
        <v>-61.93893305952</v>
      </c>
      <c r="CF42" s="522" t="n">
        <v>-61.93893305952</v>
      </c>
      <c r="CG42" s="522" t="n">
        <v>-61.93893305952</v>
      </c>
      <c r="CH42" s="522" t="n">
        <v>-61.93893305952</v>
      </c>
      <c r="CI42" s="522" t="n">
        <v>-61.93893305952</v>
      </c>
      <c r="CJ42" s="522" t="n">
        <v>-61.93893305952</v>
      </c>
      <c r="CK42" s="522" t="n">
        <v>-61.93893305952</v>
      </c>
      <c r="CL42" s="522" t="n">
        <v>-63.1777117207104</v>
      </c>
      <c r="CM42" s="522" t="n">
        <v>-63.1777117207104</v>
      </c>
      <c r="CN42" s="522" t="n">
        <v>-63.1777117207104</v>
      </c>
      <c r="CO42" s="522" t="n">
        <v>-63.1777117207104</v>
      </c>
      <c r="CP42" s="522" t="n">
        <v>-63.1777117207104</v>
      </c>
      <c r="CQ42" s="522" t="n">
        <v>-63.1777117207104</v>
      </c>
      <c r="CR42" s="522" t="n">
        <v>-63.1777117207104</v>
      </c>
      <c r="CS42" s="522" t="n">
        <v>-63.1777117207104</v>
      </c>
      <c r="CT42" s="522" t="n">
        <v>-63.1777117207104</v>
      </c>
      <c r="CU42" s="522" t="n">
        <v>-63.1777117207104</v>
      </c>
      <c r="CV42" s="522" t="n">
        <v>-63.1777117207104</v>
      </c>
      <c r="CW42" s="522" t="n">
        <v>-63.1777117207104</v>
      </c>
      <c r="CX42" s="522" t="n">
        <v>-64.44126595512461</v>
      </c>
      <c r="CY42" s="522" t="n">
        <v>-64.44126595512461</v>
      </c>
      <c r="CZ42" s="522" t="n">
        <v>-64.44126595512461</v>
      </c>
      <c r="DA42" s="522" t="n">
        <v>-64.44126595512461</v>
      </c>
      <c r="DB42" s="522" t="n">
        <v>-64.44126595512461</v>
      </c>
      <c r="DC42" s="522" t="n">
        <v>-64.44126595512461</v>
      </c>
      <c r="DD42" s="522" t="n">
        <v>-64.44126595512461</v>
      </c>
      <c r="DE42" s="522" t="n">
        <v>-64.44126595512461</v>
      </c>
      <c r="DF42" s="522" t="n">
        <v>-64.44126595512461</v>
      </c>
    </row>
    <row r="43" ht="15" customFormat="1" customHeight="1" s="380">
      <c r="A43" s="468" t="inlineStr">
        <is>
          <t>5900-1002 Repairs and Maintenance</t>
        </is>
      </c>
      <c r="C43" s="526" t="n">
        <v>0</v>
      </c>
      <c r="D43" s="526" t="n">
        <v>0</v>
      </c>
      <c r="E43" s="526" t="n">
        <v>0</v>
      </c>
      <c r="F43" s="522" t="n">
        <v>0</v>
      </c>
      <c r="G43" s="522" t="n">
        <v>0</v>
      </c>
      <c r="H43" s="522" t="n">
        <v>0</v>
      </c>
      <c r="I43" s="522" t="n">
        <v>0</v>
      </c>
      <c r="J43" s="522" t="n">
        <v>0</v>
      </c>
      <c r="K43" s="522" t="n">
        <v>0</v>
      </c>
      <c r="L43" s="522" t="n">
        <v>0</v>
      </c>
      <c r="M43" s="522" t="n">
        <v>0</v>
      </c>
      <c r="N43" s="522" t="n">
        <v>0</v>
      </c>
      <c r="O43" s="522" t="n">
        <v>0</v>
      </c>
      <c r="P43" s="522" t="n">
        <v>0</v>
      </c>
      <c r="Q43" s="522" t="n">
        <v>0</v>
      </c>
      <c r="R43" s="522" t="n">
        <v>0</v>
      </c>
      <c r="S43" s="522" t="n">
        <v>0</v>
      </c>
      <c r="T43" s="522" t="n">
        <v>0</v>
      </c>
      <c r="U43" s="522" t="n">
        <v>0</v>
      </c>
      <c r="V43" s="522" t="n">
        <v>0</v>
      </c>
      <c r="W43" s="522" t="n">
        <v>0</v>
      </c>
      <c r="X43" s="522" t="n">
        <v>0</v>
      </c>
      <c r="Y43" s="522" t="n">
        <v>0</v>
      </c>
      <c r="Z43" s="522" t="n">
        <v>0</v>
      </c>
      <c r="AA43" s="522" t="n">
        <v>0</v>
      </c>
      <c r="AB43" s="522" t="n">
        <v>0</v>
      </c>
      <c r="AC43" s="522" t="n">
        <v>0</v>
      </c>
      <c r="AD43" s="522" t="n">
        <v>0</v>
      </c>
      <c r="AE43" s="522" t="n">
        <v>0</v>
      </c>
      <c r="AF43" s="522" t="n">
        <v>0</v>
      </c>
      <c r="AG43" s="522" t="n">
        <v>0</v>
      </c>
      <c r="AH43" s="522" t="n">
        <v>0</v>
      </c>
      <c r="AI43" s="522" t="n">
        <v>0</v>
      </c>
      <c r="AJ43" s="522" t="n">
        <v>0</v>
      </c>
      <c r="AK43" s="522" t="n">
        <v>0</v>
      </c>
      <c r="AL43" s="522" t="n">
        <v>0</v>
      </c>
      <c r="AM43" s="522" t="n">
        <v>0</v>
      </c>
      <c r="AN43" s="522" t="n">
        <v>0</v>
      </c>
      <c r="AO43" s="522" t="n">
        <v>0</v>
      </c>
      <c r="AP43" s="522" t="n">
        <v>0</v>
      </c>
      <c r="AQ43" s="522" t="n">
        <v>0</v>
      </c>
      <c r="AR43" s="522" t="n">
        <v>0</v>
      </c>
      <c r="AS43" s="522" t="n">
        <v>0</v>
      </c>
      <c r="AT43" s="522" t="n">
        <v>0</v>
      </c>
      <c r="AU43" s="522" t="n">
        <v>0</v>
      </c>
      <c r="AV43" s="522" t="n">
        <v>0</v>
      </c>
      <c r="AW43" s="522" t="n">
        <v>0</v>
      </c>
      <c r="AX43" s="522" t="n">
        <v>0</v>
      </c>
      <c r="AY43" s="522" t="n">
        <v>0</v>
      </c>
      <c r="AZ43" s="522" t="n">
        <v>0</v>
      </c>
      <c r="BA43" s="522" t="n">
        <v>0</v>
      </c>
      <c r="BB43" s="522" t="n">
        <v>0</v>
      </c>
      <c r="BC43" s="522" t="n">
        <v>0</v>
      </c>
      <c r="BD43" s="522" t="n">
        <v>0</v>
      </c>
      <c r="BE43" s="522" t="n">
        <v>0</v>
      </c>
      <c r="BF43" s="522" t="n">
        <v>0</v>
      </c>
      <c r="BG43" s="522" t="n">
        <v>0</v>
      </c>
      <c r="BH43" s="522" t="n">
        <v>0</v>
      </c>
      <c r="BI43" s="522" t="n">
        <v>0</v>
      </c>
      <c r="BJ43" s="522" t="n">
        <v>0</v>
      </c>
      <c r="BK43" s="522" t="n">
        <v>0</v>
      </c>
      <c r="BL43" s="522" t="n">
        <v>0</v>
      </c>
      <c r="BM43" s="522" t="n">
        <v>0</v>
      </c>
      <c r="BN43" s="522" t="n">
        <v>0</v>
      </c>
      <c r="BO43" s="522" t="n">
        <v>0</v>
      </c>
      <c r="BP43" s="522" t="n">
        <v>0</v>
      </c>
      <c r="BQ43" s="522" t="n">
        <v>0</v>
      </c>
      <c r="BR43" s="522" t="n">
        <v>0</v>
      </c>
      <c r="BS43" s="522" t="n">
        <v>0</v>
      </c>
      <c r="BT43" s="522" t="n">
        <v>0</v>
      </c>
      <c r="BU43" s="522" t="n">
        <v>0</v>
      </c>
      <c r="BV43" s="522" t="n">
        <v>0</v>
      </c>
      <c r="BW43" s="522" t="n">
        <v>0</v>
      </c>
      <c r="BX43" s="522" t="n">
        <v>0</v>
      </c>
      <c r="BY43" s="522" t="n">
        <v>0</v>
      </c>
      <c r="BZ43" s="522" t="n">
        <v>0</v>
      </c>
      <c r="CA43" s="522" t="n">
        <v>0</v>
      </c>
      <c r="CB43" s="522" t="n">
        <v>0</v>
      </c>
      <c r="CC43" s="522" t="n">
        <v>0</v>
      </c>
      <c r="CD43" s="522" t="n">
        <v>0</v>
      </c>
      <c r="CE43" s="522" t="n">
        <v>0</v>
      </c>
      <c r="CF43" s="522" t="n">
        <v>0</v>
      </c>
      <c r="CG43" s="522" t="n">
        <v>0</v>
      </c>
      <c r="CH43" s="522" t="n">
        <v>0</v>
      </c>
      <c r="CI43" s="522" t="n">
        <v>0</v>
      </c>
      <c r="CJ43" s="522" t="n">
        <v>0</v>
      </c>
      <c r="CK43" s="522" t="n">
        <v>0</v>
      </c>
      <c r="CL43" s="522" t="n">
        <v>0</v>
      </c>
      <c r="CM43" s="522" t="n">
        <v>0</v>
      </c>
      <c r="CN43" s="522" t="n">
        <v>0</v>
      </c>
      <c r="CO43" s="522" t="n">
        <v>0</v>
      </c>
      <c r="CP43" s="522" t="n">
        <v>0</v>
      </c>
      <c r="CQ43" s="522" t="n">
        <v>0</v>
      </c>
      <c r="CR43" s="522" t="n">
        <v>0</v>
      </c>
      <c r="CS43" s="522" t="n">
        <v>0</v>
      </c>
      <c r="CT43" s="522" t="n">
        <v>0</v>
      </c>
      <c r="CU43" s="522" t="n">
        <v>0</v>
      </c>
      <c r="CV43" s="522" t="n">
        <v>0</v>
      </c>
      <c r="CW43" s="522" t="n">
        <v>0</v>
      </c>
      <c r="CX43" s="522" t="n">
        <v>0</v>
      </c>
      <c r="CY43" s="522" t="n">
        <v>0</v>
      </c>
      <c r="CZ43" s="522" t="n">
        <v>0</v>
      </c>
      <c r="DA43" s="522" t="n">
        <v>0</v>
      </c>
      <c r="DB43" s="522" t="n">
        <v>0</v>
      </c>
      <c r="DC43" s="522" t="n">
        <v>0</v>
      </c>
      <c r="DD43" s="522" t="n">
        <v>0</v>
      </c>
      <c r="DE43" s="522" t="n">
        <v>0</v>
      </c>
      <c r="DF43" s="522" t="n">
        <v>0</v>
      </c>
    </row>
    <row r="44" ht="15" customFormat="1" customHeight="1" s="380">
      <c r="A44" s="468" t="inlineStr">
        <is>
          <t>5900-1003 Janitorial and Cleaning Expenses</t>
        </is>
      </c>
      <c r="C44" s="483" t="n">
        <v>-550</v>
      </c>
      <c r="D44" s="483" t="n">
        <v>-550</v>
      </c>
      <c r="E44" s="483" t="n">
        <v>-550</v>
      </c>
      <c r="F44" s="522" t="n">
        <v>-550</v>
      </c>
      <c r="G44" s="522" t="n">
        <v>-550</v>
      </c>
      <c r="H44" s="522" t="n">
        <v>-550</v>
      </c>
      <c r="I44" s="522" t="n">
        <v>-550</v>
      </c>
      <c r="J44" s="522" t="n">
        <v>-550</v>
      </c>
      <c r="K44" s="522" t="n">
        <v>-550</v>
      </c>
      <c r="L44" s="522" t="n">
        <v>-550</v>
      </c>
      <c r="M44" s="522" t="n">
        <v>-550</v>
      </c>
      <c r="N44" s="522" t="n">
        <v>-550</v>
      </c>
      <c r="O44" s="522" t="n">
        <v>-550</v>
      </c>
      <c r="P44" s="522" t="n">
        <v>-550</v>
      </c>
      <c r="Q44" s="522" t="n">
        <v>-550</v>
      </c>
      <c r="R44" s="522" t="n">
        <v>-561</v>
      </c>
      <c r="S44" s="522" t="n">
        <v>-561</v>
      </c>
      <c r="T44" s="522" t="n">
        <v>-561</v>
      </c>
      <c r="U44" s="522" t="n">
        <v>-561</v>
      </c>
      <c r="V44" s="522" t="n">
        <v>-561</v>
      </c>
      <c r="W44" s="522" t="n">
        <v>-561</v>
      </c>
      <c r="X44" s="522" t="n">
        <v>-561</v>
      </c>
      <c r="Y44" s="522" t="n">
        <v>-561</v>
      </c>
      <c r="Z44" s="522" t="n">
        <v>-561</v>
      </c>
      <c r="AA44" s="522" t="n">
        <v>-561</v>
      </c>
      <c r="AB44" s="522" t="n">
        <v>-561</v>
      </c>
      <c r="AC44" s="522" t="n">
        <v>-561</v>
      </c>
      <c r="AD44" s="522" t="n">
        <v>-572.22</v>
      </c>
      <c r="AE44" s="522" t="n">
        <v>-572.22</v>
      </c>
      <c r="AF44" s="522" t="n">
        <v>-572.22</v>
      </c>
      <c r="AG44" s="522" t="n">
        <v>-572.22</v>
      </c>
      <c r="AH44" s="522" t="n">
        <v>-572.22</v>
      </c>
      <c r="AI44" s="522" t="n">
        <v>-572.22</v>
      </c>
      <c r="AJ44" s="522" t="n">
        <v>-572.22</v>
      </c>
      <c r="AK44" s="522" t="n">
        <v>-572.22</v>
      </c>
      <c r="AL44" s="522" t="n">
        <v>-572.22</v>
      </c>
      <c r="AM44" s="522" t="n">
        <v>-572.22</v>
      </c>
      <c r="AN44" s="522" t="n">
        <v>-572.22</v>
      </c>
      <c r="AO44" s="522" t="n">
        <v>-572.22</v>
      </c>
      <c r="AP44" s="522" t="n">
        <v>-583.6644</v>
      </c>
      <c r="AQ44" s="522" t="n">
        <v>-583.6644</v>
      </c>
      <c r="AR44" s="522" t="n">
        <v>-583.6644</v>
      </c>
      <c r="AS44" s="522" t="n">
        <v>-583.6644</v>
      </c>
      <c r="AT44" s="522" t="n">
        <v>-583.6644</v>
      </c>
      <c r="AU44" s="522" t="n">
        <v>-583.6644</v>
      </c>
      <c r="AV44" s="522" t="n">
        <v>-583.6644</v>
      </c>
      <c r="AW44" s="522" t="n">
        <v>-583.6644</v>
      </c>
      <c r="AX44" s="522" t="n">
        <v>-583.6644</v>
      </c>
      <c r="AY44" s="522" t="n">
        <v>-583.6644</v>
      </c>
      <c r="AZ44" s="522" t="n">
        <v>-583.6644</v>
      </c>
      <c r="BA44" s="522" t="n">
        <v>-583.6644</v>
      </c>
      <c r="BB44" s="522" t="n">
        <v>-595.337688</v>
      </c>
      <c r="BC44" s="522" t="n">
        <v>-595.337688</v>
      </c>
      <c r="BD44" s="522" t="n">
        <v>-595.337688</v>
      </c>
      <c r="BE44" s="522" t="n">
        <v>-595.337688</v>
      </c>
      <c r="BF44" s="522" t="n">
        <v>-595.337688</v>
      </c>
      <c r="BG44" s="522" t="n">
        <v>-595.337688</v>
      </c>
      <c r="BH44" s="522" t="n">
        <v>-595.337688</v>
      </c>
      <c r="BI44" s="522" t="n">
        <v>-595.337688</v>
      </c>
      <c r="BJ44" s="522" t="n">
        <v>-595.337688</v>
      </c>
      <c r="BK44" s="522" t="n">
        <v>-595.337688</v>
      </c>
      <c r="BL44" s="522" t="n">
        <v>-595.337688</v>
      </c>
      <c r="BM44" s="522" t="n">
        <v>-595.337688</v>
      </c>
      <c r="BN44" s="522" t="n">
        <v>-607.24444176</v>
      </c>
      <c r="BO44" s="522" t="n">
        <v>-607.24444176</v>
      </c>
      <c r="BP44" s="522" t="n">
        <v>-607.24444176</v>
      </c>
      <c r="BQ44" s="522" t="n">
        <v>-607.24444176</v>
      </c>
      <c r="BR44" s="522" t="n">
        <v>-607.24444176</v>
      </c>
      <c r="BS44" s="522" t="n">
        <v>-607.24444176</v>
      </c>
      <c r="BT44" s="522" t="n">
        <v>-607.24444176</v>
      </c>
      <c r="BU44" s="522" t="n">
        <v>-607.24444176</v>
      </c>
      <c r="BV44" s="522" t="n">
        <v>-607.24444176</v>
      </c>
      <c r="BW44" s="522" t="n">
        <v>-607.24444176</v>
      </c>
      <c r="BX44" s="522" t="n">
        <v>-607.24444176</v>
      </c>
      <c r="BY44" s="522" t="n">
        <v>-607.24444176</v>
      </c>
      <c r="BZ44" s="522" t="n">
        <v>-619.3893305952</v>
      </c>
      <c r="CA44" s="522" t="n">
        <v>-619.3893305952</v>
      </c>
      <c r="CB44" s="522" t="n">
        <v>-619.3893305952</v>
      </c>
      <c r="CC44" s="522" t="n">
        <v>-619.3893305952</v>
      </c>
      <c r="CD44" s="522" t="n">
        <v>-619.3893305952</v>
      </c>
      <c r="CE44" s="522" t="n">
        <v>-619.3893305952</v>
      </c>
      <c r="CF44" s="522" t="n">
        <v>-619.3893305952</v>
      </c>
      <c r="CG44" s="522" t="n">
        <v>-619.3893305952</v>
      </c>
      <c r="CH44" s="522" t="n">
        <v>-619.3893305952</v>
      </c>
      <c r="CI44" s="522" t="n">
        <v>-619.3893305952</v>
      </c>
      <c r="CJ44" s="522" t="n">
        <v>-619.3893305952</v>
      </c>
      <c r="CK44" s="522" t="n">
        <v>-619.3893305952</v>
      </c>
      <c r="CL44" s="522" t="n">
        <v>-631.777117207104</v>
      </c>
      <c r="CM44" s="522" t="n">
        <v>-631.777117207104</v>
      </c>
      <c r="CN44" s="522" t="n">
        <v>-631.777117207104</v>
      </c>
      <c r="CO44" s="522" t="n">
        <v>-631.777117207104</v>
      </c>
      <c r="CP44" s="522" t="n">
        <v>-631.777117207104</v>
      </c>
      <c r="CQ44" s="522" t="n">
        <v>-631.777117207104</v>
      </c>
      <c r="CR44" s="522" t="n">
        <v>-631.777117207104</v>
      </c>
      <c r="CS44" s="522" t="n">
        <v>-631.777117207104</v>
      </c>
      <c r="CT44" s="522" t="n">
        <v>-631.777117207104</v>
      </c>
      <c r="CU44" s="522" t="n">
        <v>-631.777117207104</v>
      </c>
      <c r="CV44" s="522" t="n">
        <v>-631.777117207104</v>
      </c>
      <c r="CW44" s="522" t="n">
        <v>-631.777117207104</v>
      </c>
      <c r="CX44" s="522" t="n">
        <v>-644.412659551246</v>
      </c>
      <c r="CY44" s="522" t="n">
        <v>-644.412659551246</v>
      </c>
      <c r="CZ44" s="522" t="n">
        <v>-644.412659551246</v>
      </c>
      <c r="DA44" s="522" t="n">
        <v>-644.412659551246</v>
      </c>
      <c r="DB44" s="522" t="n">
        <v>-644.412659551246</v>
      </c>
      <c r="DC44" s="522" t="n">
        <v>-644.412659551246</v>
      </c>
      <c r="DD44" s="522" t="n">
        <v>-644.412659551246</v>
      </c>
      <c r="DE44" s="522" t="n">
        <v>-644.412659551246</v>
      </c>
      <c r="DF44" s="522" t="n">
        <v>-644.412659551246</v>
      </c>
    </row>
    <row r="45" ht="15" customFormat="1" customHeight="1" s="380">
      <c r="A45" s="478" t="inlineStr">
        <is>
          <t>5900-1005 Supplies and Other Job Site Overhead</t>
        </is>
      </c>
      <c r="C45" s="523" t="n">
        <v>-19223.75</v>
      </c>
      <c r="D45" s="523" t="n">
        <v>-13381.97</v>
      </c>
      <c r="E45" s="523" t="n">
        <v>-20308.69</v>
      </c>
      <c r="F45" s="523" t="n">
        <v>-17638.14</v>
      </c>
      <c r="G45" s="523" t="n">
        <v>-17638.14</v>
      </c>
      <c r="H45" s="523" t="n">
        <v>-17638.14</v>
      </c>
      <c r="I45" s="523" t="n">
        <v>-17638.14</v>
      </c>
      <c r="J45" s="523" t="n">
        <v>-17638.14</v>
      </c>
      <c r="K45" s="523" t="n">
        <v>-17638.14</v>
      </c>
      <c r="L45" s="523" t="n">
        <v>-17638.14</v>
      </c>
      <c r="M45" s="523" t="n">
        <v>-17638.14</v>
      </c>
      <c r="N45" s="523" t="n">
        <v>-17638.14</v>
      </c>
      <c r="O45" s="523" t="n">
        <v>-17638.14</v>
      </c>
      <c r="P45" s="523" t="n">
        <v>-17638.14</v>
      </c>
      <c r="Q45" s="523" t="n">
        <v>-17638.14</v>
      </c>
      <c r="R45" s="523" t="n">
        <v>-17990.9028</v>
      </c>
      <c r="S45" s="523" t="n">
        <v>-17990.9028</v>
      </c>
      <c r="T45" s="523" t="n">
        <v>-17990.9028</v>
      </c>
      <c r="U45" s="523" t="n">
        <v>-17990.9028</v>
      </c>
      <c r="V45" s="523" t="n">
        <v>-17990.9028</v>
      </c>
      <c r="W45" s="523" t="n">
        <v>-17990.9028</v>
      </c>
      <c r="X45" s="523" t="n">
        <v>-17990.9028</v>
      </c>
      <c r="Y45" s="523" t="n">
        <v>-17990.9028</v>
      </c>
      <c r="Z45" s="523" t="n">
        <v>-17990.9028</v>
      </c>
      <c r="AA45" s="523" t="n">
        <v>-17990.9028</v>
      </c>
      <c r="AB45" s="523" t="n">
        <v>-17990.9028</v>
      </c>
      <c r="AC45" s="523" t="n">
        <v>-17990.9028</v>
      </c>
      <c r="AD45" s="523" t="n">
        <v>-18350.720856</v>
      </c>
      <c r="AE45" s="523" t="n">
        <v>-18350.720856</v>
      </c>
      <c r="AF45" s="523" t="n">
        <v>-18350.720856</v>
      </c>
      <c r="AG45" s="523" t="n">
        <v>-18350.720856</v>
      </c>
      <c r="AH45" s="523" t="n">
        <v>-18350.720856</v>
      </c>
      <c r="AI45" s="523" t="n">
        <v>-18350.720856</v>
      </c>
      <c r="AJ45" s="523" t="n">
        <v>-18350.720856</v>
      </c>
      <c r="AK45" s="523" t="n">
        <v>-18350.720856</v>
      </c>
      <c r="AL45" s="523" t="n">
        <v>-18350.720856</v>
      </c>
      <c r="AM45" s="523" t="n">
        <v>-18350.720856</v>
      </c>
      <c r="AN45" s="523" t="n">
        <v>-18350.720856</v>
      </c>
      <c r="AO45" s="523" t="n">
        <v>-18350.720856</v>
      </c>
      <c r="AP45" s="523" t="n">
        <v>-18717.73527312</v>
      </c>
      <c r="AQ45" s="523" t="n">
        <v>-18717.73527312</v>
      </c>
      <c r="AR45" s="523" t="n">
        <v>-18717.73527312</v>
      </c>
      <c r="AS45" s="523" t="n">
        <v>-18717.73527312</v>
      </c>
      <c r="AT45" s="523" t="n">
        <v>-18717.73527312</v>
      </c>
      <c r="AU45" s="523" t="n">
        <v>-18717.73527312</v>
      </c>
      <c r="AV45" s="523" t="n">
        <v>-18717.73527312</v>
      </c>
      <c r="AW45" s="523" t="n">
        <v>-18717.73527312</v>
      </c>
      <c r="AX45" s="523" t="n">
        <v>-18717.73527312</v>
      </c>
      <c r="AY45" s="523" t="n">
        <v>-18717.73527312</v>
      </c>
      <c r="AZ45" s="523" t="n">
        <v>-18717.73527312</v>
      </c>
      <c r="BA45" s="523" t="n">
        <v>-18717.73527312</v>
      </c>
      <c r="BB45" s="523" t="n">
        <v>-19092.0899785824</v>
      </c>
      <c r="BC45" s="523" t="n">
        <v>-19092.0899785824</v>
      </c>
      <c r="BD45" s="523" t="n">
        <v>-19092.0899785824</v>
      </c>
      <c r="BE45" s="523" t="n">
        <v>-19092.0899785824</v>
      </c>
      <c r="BF45" s="523" t="n">
        <v>-19092.0899785824</v>
      </c>
      <c r="BG45" s="523" t="n">
        <v>-19092.0899785824</v>
      </c>
      <c r="BH45" s="523" t="n">
        <v>-19092.0899785824</v>
      </c>
      <c r="BI45" s="523" t="n">
        <v>-19092.0899785824</v>
      </c>
      <c r="BJ45" s="523" t="n">
        <v>-19092.0899785824</v>
      </c>
      <c r="BK45" s="523" t="n">
        <v>-19092.0899785824</v>
      </c>
      <c r="BL45" s="523" t="n">
        <v>-19092.0899785824</v>
      </c>
      <c r="BM45" s="523" t="n">
        <v>-19092.0899785824</v>
      </c>
      <c r="BN45" s="523" t="n">
        <v>-19473.9317781541</v>
      </c>
      <c r="BO45" s="523" t="n">
        <v>-19473.9317781541</v>
      </c>
      <c r="BP45" s="523" t="n">
        <v>-19473.9317781541</v>
      </c>
      <c r="BQ45" s="523" t="n">
        <v>-19473.9317781541</v>
      </c>
      <c r="BR45" s="523" t="n">
        <v>-19473.9317781541</v>
      </c>
      <c r="BS45" s="523" t="n">
        <v>-19473.9317781541</v>
      </c>
      <c r="BT45" s="523" t="n">
        <v>-19473.9317781541</v>
      </c>
      <c r="BU45" s="523" t="n">
        <v>-19473.9317781541</v>
      </c>
      <c r="BV45" s="523" t="n">
        <v>-19473.9317781541</v>
      </c>
      <c r="BW45" s="523" t="n">
        <v>-19473.9317781541</v>
      </c>
      <c r="BX45" s="523" t="n">
        <v>-19473.9317781541</v>
      </c>
      <c r="BY45" s="523" t="n">
        <v>-19473.9317781541</v>
      </c>
      <c r="BZ45" s="523" t="n">
        <v>-19863.4104137171</v>
      </c>
      <c r="CA45" s="523" t="n">
        <v>-19863.4104137171</v>
      </c>
      <c r="CB45" s="523" t="n">
        <v>-19863.4104137171</v>
      </c>
      <c r="CC45" s="523" t="n">
        <v>-19863.4104137171</v>
      </c>
      <c r="CD45" s="523" t="n">
        <v>-19863.4104137171</v>
      </c>
      <c r="CE45" s="523" t="n">
        <v>-19863.4104137171</v>
      </c>
      <c r="CF45" s="523" t="n">
        <v>-19863.4104137171</v>
      </c>
      <c r="CG45" s="523" t="n">
        <v>-19863.4104137171</v>
      </c>
      <c r="CH45" s="523" t="n">
        <v>-19863.4104137171</v>
      </c>
      <c r="CI45" s="523" t="n">
        <v>-19863.4104137171</v>
      </c>
      <c r="CJ45" s="523" t="n">
        <v>-19863.4104137171</v>
      </c>
      <c r="CK45" s="523" t="n">
        <v>-19863.4104137171</v>
      </c>
      <c r="CL45" s="523" t="n">
        <v>-20260.6786219915</v>
      </c>
      <c r="CM45" s="523" t="n">
        <v>-20260.6786219915</v>
      </c>
      <c r="CN45" s="523" t="n">
        <v>-20260.6786219915</v>
      </c>
      <c r="CO45" s="523" t="n">
        <v>-20260.6786219915</v>
      </c>
      <c r="CP45" s="523" t="n">
        <v>-20260.6786219915</v>
      </c>
      <c r="CQ45" s="523" t="n">
        <v>-20260.6786219915</v>
      </c>
      <c r="CR45" s="523" t="n">
        <v>-20260.6786219915</v>
      </c>
      <c r="CS45" s="523" t="n">
        <v>-20260.6786219915</v>
      </c>
      <c r="CT45" s="523" t="n">
        <v>-20260.6786219915</v>
      </c>
      <c r="CU45" s="523" t="n">
        <v>-20260.6786219915</v>
      </c>
      <c r="CV45" s="523" t="n">
        <v>-20260.6786219915</v>
      </c>
      <c r="CW45" s="523" t="n">
        <v>-20260.6786219915</v>
      </c>
      <c r="CX45" s="523" t="n">
        <v>-20665.8921944313</v>
      </c>
      <c r="CY45" s="523" t="n">
        <v>-20665.8921944313</v>
      </c>
      <c r="CZ45" s="523" t="n">
        <v>-20665.8921944313</v>
      </c>
      <c r="DA45" s="523" t="n">
        <v>-20665.8921944313</v>
      </c>
      <c r="DB45" s="523" t="n">
        <v>-20665.8921944313</v>
      </c>
      <c r="DC45" s="523" t="n">
        <v>-20665.8921944313</v>
      </c>
      <c r="DD45" s="523" t="n">
        <v>-20665.8921944313</v>
      </c>
      <c r="DE45" s="523" t="n">
        <v>-20665.8921944313</v>
      </c>
      <c r="DF45" s="523" t="n">
        <v>-20665.8921944313</v>
      </c>
    </row>
    <row r="46" ht="15" customFormat="1" customHeight="1" s="380">
      <c r="A46" s="478" t="inlineStr">
        <is>
          <t>5900-1006 Auto and Truck Expense</t>
        </is>
      </c>
      <c r="C46" s="523" t="n">
        <v>-1909.98</v>
      </c>
      <c r="D46" s="523" t="n">
        <v>-190.1</v>
      </c>
      <c r="E46" s="523" t="n">
        <v>-2166.92</v>
      </c>
      <c r="F46" s="523" t="n">
        <v>-1422.33</v>
      </c>
      <c r="G46" s="523" t="n">
        <v>-1422.33</v>
      </c>
      <c r="H46" s="523" t="n">
        <v>-1422.33</v>
      </c>
      <c r="I46" s="523" t="n">
        <v>-1422.33</v>
      </c>
      <c r="J46" s="523" t="n">
        <v>-1422.33</v>
      </c>
      <c r="K46" s="523" t="n">
        <v>-1422.33</v>
      </c>
      <c r="L46" s="523" t="n">
        <v>-1422.33</v>
      </c>
      <c r="M46" s="523" t="n">
        <v>-1422.33</v>
      </c>
      <c r="N46" s="523" t="n">
        <v>-1422.33</v>
      </c>
      <c r="O46" s="523" t="n">
        <v>-1422.33</v>
      </c>
      <c r="P46" s="523" t="n">
        <v>-1422.33</v>
      </c>
      <c r="Q46" s="523" t="n">
        <v>-1422.33</v>
      </c>
      <c r="R46" s="523" t="n">
        <v>-1450.7766</v>
      </c>
      <c r="S46" s="523" t="n">
        <v>-1450.7766</v>
      </c>
      <c r="T46" s="523" t="n">
        <v>-1450.7766</v>
      </c>
      <c r="U46" s="523" t="n">
        <v>-1450.7766</v>
      </c>
      <c r="V46" s="523" t="n">
        <v>-1450.7766</v>
      </c>
      <c r="W46" s="523" t="n">
        <v>-1450.7766</v>
      </c>
      <c r="X46" s="523" t="n">
        <v>-1450.7766</v>
      </c>
      <c r="Y46" s="523" t="n">
        <v>-1450.7766</v>
      </c>
      <c r="Z46" s="523" t="n">
        <v>-1450.7766</v>
      </c>
      <c r="AA46" s="523" t="n">
        <v>-1450.7766</v>
      </c>
      <c r="AB46" s="523" t="n">
        <v>-1450.7766</v>
      </c>
      <c r="AC46" s="523" t="n">
        <v>-1450.7766</v>
      </c>
      <c r="AD46" s="523" t="n">
        <v>-1479.792132</v>
      </c>
      <c r="AE46" s="523" t="n">
        <v>-1479.792132</v>
      </c>
      <c r="AF46" s="523" t="n">
        <v>-1479.792132</v>
      </c>
      <c r="AG46" s="523" t="n">
        <v>-1479.792132</v>
      </c>
      <c r="AH46" s="523" t="n">
        <v>-1479.792132</v>
      </c>
      <c r="AI46" s="523" t="n">
        <v>-1479.792132</v>
      </c>
      <c r="AJ46" s="523" t="n">
        <v>-1479.792132</v>
      </c>
      <c r="AK46" s="523" t="n">
        <v>-1479.792132</v>
      </c>
      <c r="AL46" s="523" t="n">
        <v>-1479.792132</v>
      </c>
      <c r="AM46" s="523" t="n">
        <v>-1479.792132</v>
      </c>
      <c r="AN46" s="523" t="n">
        <v>-1479.792132</v>
      </c>
      <c r="AO46" s="523" t="n">
        <v>-1479.792132</v>
      </c>
      <c r="AP46" s="523" t="n">
        <v>-1509.38797464</v>
      </c>
      <c r="AQ46" s="523" t="n">
        <v>-1509.38797464</v>
      </c>
      <c r="AR46" s="523" t="n">
        <v>-1509.38797464</v>
      </c>
      <c r="AS46" s="523" t="n">
        <v>-1509.38797464</v>
      </c>
      <c r="AT46" s="523" t="n">
        <v>-1509.38797464</v>
      </c>
      <c r="AU46" s="523" t="n">
        <v>-1509.38797464</v>
      </c>
      <c r="AV46" s="523" t="n">
        <v>-1509.38797464</v>
      </c>
      <c r="AW46" s="523" t="n">
        <v>-1509.38797464</v>
      </c>
      <c r="AX46" s="523" t="n">
        <v>-1509.38797464</v>
      </c>
      <c r="AY46" s="523" t="n">
        <v>-1509.38797464</v>
      </c>
      <c r="AZ46" s="523" t="n">
        <v>-1509.38797464</v>
      </c>
      <c r="BA46" s="523" t="n">
        <v>-1509.38797464</v>
      </c>
      <c r="BB46" s="523" t="n">
        <v>-1539.5757341328</v>
      </c>
      <c r="BC46" s="523" t="n">
        <v>-1539.5757341328</v>
      </c>
      <c r="BD46" s="523" t="n">
        <v>-1539.5757341328</v>
      </c>
      <c r="BE46" s="523" t="n">
        <v>-1539.5757341328</v>
      </c>
      <c r="BF46" s="523" t="n">
        <v>-1539.5757341328</v>
      </c>
      <c r="BG46" s="523" t="n">
        <v>-1539.5757341328</v>
      </c>
      <c r="BH46" s="523" t="n">
        <v>-1539.5757341328</v>
      </c>
      <c r="BI46" s="523" t="n">
        <v>-1539.5757341328</v>
      </c>
      <c r="BJ46" s="523" t="n">
        <v>-1539.5757341328</v>
      </c>
      <c r="BK46" s="523" t="n">
        <v>-1539.5757341328</v>
      </c>
      <c r="BL46" s="523" t="n">
        <v>-1539.5757341328</v>
      </c>
      <c r="BM46" s="523" t="n">
        <v>-1539.5757341328</v>
      </c>
      <c r="BN46" s="523" t="n">
        <v>-1570.36724881546</v>
      </c>
      <c r="BO46" s="523" t="n">
        <v>-1570.36724881546</v>
      </c>
      <c r="BP46" s="523" t="n">
        <v>-1570.36724881546</v>
      </c>
      <c r="BQ46" s="523" t="n">
        <v>-1570.36724881546</v>
      </c>
      <c r="BR46" s="523" t="n">
        <v>-1570.36724881546</v>
      </c>
      <c r="BS46" s="523" t="n">
        <v>-1570.36724881546</v>
      </c>
      <c r="BT46" s="523" t="n">
        <v>-1570.36724881546</v>
      </c>
      <c r="BU46" s="523" t="n">
        <v>-1570.36724881546</v>
      </c>
      <c r="BV46" s="523" t="n">
        <v>-1570.36724881546</v>
      </c>
      <c r="BW46" s="523" t="n">
        <v>-1570.36724881546</v>
      </c>
      <c r="BX46" s="523" t="n">
        <v>-1570.36724881546</v>
      </c>
      <c r="BY46" s="523" t="n">
        <v>-1570.36724881546</v>
      </c>
      <c r="BZ46" s="523" t="n">
        <v>-1601.77459379177</v>
      </c>
      <c r="CA46" s="523" t="n">
        <v>-1601.77459379177</v>
      </c>
      <c r="CB46" s="523" t="n">
        <v>-1601.77459379177</v>
      </c>
      <c r="CC46" s="523" t="n">
        <v>-1601.77459379177</v>
      </c>
      <c r="CD46" s="523" t="n">
        <v>-1601.77459379177</v>
      </c>
      <c r="CE46" s="523" t="n">
        <v>-1601.77459379177</v>
      </c>
      <c r="CF46" s="523" t="n">
        <v>-1601.77459379177</v>
      </c>
      <c r="CG46" s="523" t="n">
        <v>-1601.77459379177</v>
      </c>
      <c r="CH46" s="523" t="n">
        <v>-1601.77459379177</v>
      </c>
      <c r="CI46" s="523" t="n">
        <v>-1601.77459379177</v>
      </c>
      <c r="CJ46" s="523" t="n">
        <v>-1601.77459379177</v>
      </c>
      <c r="CK46" s="523" t="n">
        <v>-1601.77459379177</v>
      </c>
      <c r="CL46" s="523" t="n">
        <v>-1633.8100856676</v>
      </c>
      <c r="CM46" s="523" t="n">
        <v>-1633.8100856676</v>
      </c>
      <c r="CN46" s="523" t="n">
        <v>-1633.8100856676</v>
      </c>
      <c r="CO46" s="523" t="n">
        <v>-1633.8100856676</v>
      </c>
      <c r="CP46" s="523" t="n">
        <v>-1633.8100856676</v>
      </c>
      <c r="CQ46" s="523" t="n">
        <v>-1633.8100856676</v>
      </c>
      <c r="CR46" s="523" t="n">
        <v>-1633.8100856676</v>
      </c>
      <c r="CS46" s="523" t="n">
        <v>-1633.8100856676</v>
      </c>
      <c r="CT46" s="523" t="n">
        <v>-1633.8100856676</v>
      </c>
      <c r="CU46" s="523" t="n">
        <v>-1633.8100856676</v>
      </c>
      <c r="CV46" s="523" t="n">
        <v>-1633.8100856676</v>
      </c>
      <c r="CW46" s="523" t="n">
        <v>-1633.8100856676</v>
      </c>
      <c r="CX46" s="523" t="n">
        <v>-1666.48628738095</v>
      </c>
      <c r="CY46" s="523" t="n">
        <v>-1666.48628738095</v>
      </c>
      <c r="CZ46" s="523" t="n">
        <v>-1666.48628738095</v>
      </c>
      <c r="DA46" s="523" t="n">
        <v>-1666.48628738095</v>
      </c>
      <c r="DB46" s="523" t="n">
        <v>-1666.48628738095</v>
      </c>
      <c r="DC46" s="523" t="n">
        <v>-1666.48628738095</v>
      </c>
      <c r="DD46" s="523" t="n">
        <v>-1666.48628738095</v>
      </c>
      <c r="DE46" s="523" t="n">
        <v>-1666.48628738095</v>
      </c>
      <c r="DF46" s="523" t="n">
        <v>-1666.48628738095</v>
      </c>
    </row>
    <row r="47" ht="15" customFormat="1" customHeight="1" s="380">
      <c r="A47" s="478" t="inlineStr">
        <is>
          <t>5900-1007 Landscaping</t>
        </is>
      </c>
      <c r="C47" s="523" t="n">
        <v>-320</v>
      </c>
      <c r="D47" s="523" t="n">
        <v>-160</v>
      </c>
      <c r="E47" s="523" t="n">
        <v>0</v>
      </c>
      <c r="F47" s="523" t="n">
        <v>-160</v>
      </c>
      <c r="G47" s="523" t="n">
        <v>-160</v>
      </c>
      <c r="H47" s="523" t="n">
        <v>-160</v>
      </c>
      <c r="I47" s="523" t="n">
        <v>-160</v>
      </c>
      <c r="J47" s="523" t="n">
        <v>-160</v>
      </c>
      <c r="K47" s="523" t="n">
        <v>-160</v>
      </c>
      <c r="L47" s="523" t="n">
        <v>-160</v>
      </c>
      <c r="M47" s="523" t="n">
        <v>-160</v>
      </c>
      <c r="N47" s="523" t="n">
        <v>-160</v>
      </c>
      <c r="O47" s="523" t="n">
        <v>-160</v>
      </c>
      <c r="P47" s="523" t="n">
        <v>-160</v>
      </c>
      <c r="Q47" s="523" t="n">
        <v>-160</v>
      </c>
      <c r="R47" s="523" t="n">
        <v>-163.2</v>
      </c>
      <c r="S47" s="523" t="n">
        <v>-163.2</v>
      </c>
      <c r="T47" s="523" t="n">
        <v>-163.2</v>
      </c>
      <c r="U47" s="523" t="n">
        <v>-163.2</v>
      </c>
      <c r="V47" s="523" t="n">
        <v>-163.2</v>
      </c>
      <c r="W47" s="523" t="n">
        <v>-163.2</v>
      </c>
      <c r="X47" s="523" t="n">
        <v>-163.2</v>
      </c>
      <c r="Y47" s="523" t="n">
        <v>-163.2</v>
      </c>
      <c r="Z47" s="523" t="n">
        <v>-163.2</v>
      </c>
      <c r="AA47" s="523" t="n">
        <v>-163.2</v>
      </c>
      <c r="AB47" s="523" t="n">
        <v>-163.2</v>
      </c>
      <c r="AC47" s="523" t="n">
        <v>-163.2</v>
      </c>
      <c r="AD47" s="523" t="n">
        <v>-166.464</v>
      </c>
      <c r="AE47" s="523" t="n">
        <v>-166.464</v>
      </c>
      <c r="AF47" s="523" t="n">
        <v>-166.464</v>
      </c>
      <c r="AG47" s="523" t="n">
        <v>-166.464</v>
      </c>
      <c r="AH47" s="523" t="n">
        <v>-166.464</v>
      </c>
      <c r="AI47" s="523" t="n">
        <v>-166.464</v>
      </c>
      <c r="AJ47" s="523" t="n">
        <v>-166.464</v>
      </c>
      <c r="AK47" s="523" t="n">
        <v>-166.464</v>
      </c>
      <c r="AL47" s="523" t="n">
        <v>-166.464</v>
      </c>
      <c r="AM47" s="523" t="n">
        <v>-166.464</v>
      </c>
      <c r="AN47" s="523" t="n">
        <v>-166.464</v>
      </c>
      <c r="AO47" s="523" t="n">
        <v>-166.464</v>
      </c>
      <c r="AP47" s="523" t="n">
        <v>-169.79328</v>
      </c>
      <c r="AQ47" s="523" t="n">
        <v>-169.79328</v>
      </c>
      <c r="AR47" s="523" t="n">
        <v>-169.79328</v>
      </c>
      <c r="AS47" s="523" t="n">
        <v>-169.79328</v>
      </c>
      <c r="AT47" s="523" t="n">
        <v>-169.79328</v>
      </c>
      <c r="AU47" s="523" t="n">
        <v>-169.79328</v>
      </c>
      <c r="AV47" s="523" t="n">
        <v>-169.79328</v>
      </c>
      <c r="AW47" s="523" t="n">
        <v>-169.79328</v>
      </c>
      <c r="AX47" s="523" t="n">
        <v>-169.79328</v>
      </c>
      <c r="AY47" s="523" t="n">
        <v>-169.79328</v>
      </c>
      <c r="AZ47" s="523" t="n">
        <v>-169.79328</v>
      </c>
      <c r="BA47" s="523" t="n">
        <v>-169.79328</v>
      </c>
      <c r="BB47" s="523" t="n">
        <v>-173.1891456</v>
      </c>
      <c r="BC47" s="523" t="n">
        <v>-173.1891456</v>
      </c>
      <c r="BD47" s="523" t="n">
        <v>-173.1891456</v>
      </c>
      <c r="BE47" s="523" t="n">
        <v>-173.1891456</v>
      </c>
      <c r="BF47" s="523" t="n">
        <v>-173.1891456</v>
      </c>
      <c r="BG47" s="523" t="n">
        <v>-173.1891456</v>
      </c>
      <c r="BH47" s="523" t="n">
        <v>-173.1891456</v>
      </c>
      <c r="BI47" s="523" t="n">
        <v>-173.1891456</v>
      </c>
      <c r="BJ47" s="523" t="n">
        <v>-173.1891456</v>
      </c>
      <c r="BK47" s="523" t="n">
        <v>-173.1891456</v>
      </c>
      <c r="BL47" s="523" t="n">
        <v>-173.1891456</v>
      </c>
      <c r="BM47" s="523" t="n">
        <v>-173.1891456</v>
      </c>
      <c r="BN47" s="523" t="n">
        <v>-176.652928512</v>
      </c>
      <c r="BO47" s="523" t="n">
        <v>-176.652928512</v>
      </c>
      <c r="BP47" s="523" t="n">
        <v>-176.652928512</v>
      </c>
      <c r="BQ47" s="523" t="n">
        <v>-176.652928512</v>
      </c>
      <c r="BR47" s="523" t="n">
        <v>-176.652928512</v>
      </c>
      <c r="BS47" s="523" t="n">
        <v>-176.652928512</v>
      </c>
      <c r="BT47" s="523" t="n">
        <v>-176.652928512</v>
      </c>
      <c r="BU47" s="523" t="n">
        <v>-176.652928512</v>
      </c>
      <c r="BV47" s="523" t="n">
        <v>-176.652928512</v>
      </c>
      <c r="BW47" s="523" t="n">
        <v>-176.652928512</v>
      </c>
      <c r="BX47" s="523" t="n">
        <v>-176.652928512</v>
      </c>
      <c r="BY47" s="523" t="n">
        <v>-176.652928512</v>
      </c>
      <c r="BZ47" s="523" t="n">
        <v>-180.18598708224</v>
      </c>
      <c r="CA47" s="523" t="n">
        <v>-180.18598708224</v>
      </c>
      <c r="CB47" s="523" t="n">
        <v>-180.18598708224</v>
      </c>
      <c r="CC47" s="523" t="n">
        <v>-180.18598708224</v>
      </c>
      <c r="CD47" s="523" t="n">
        <v>-180.18598708224</v>
      </c>
      <c r="CE47" s="523" t="n">
        <v>-180.18598708224</v>
      </c>
      <c r="CF47" s="523" t="n">
        <v>-180.18598708224</v>
      </c>
      <c r="CG47" s="523" t="n">
        <v>-180.18598708224</v>
      </c>
      <c r="CH47" s="523" t="n">
        <v>-180.18598708224</v>
      </c>
      <c r="CI47" s="523" t="n">
        <v>-180.18598708224</v>
      </c>
      <c r="CJ47" s="523" t="n">
        <v>-180.18598708224</v>
      </c>
      <c r="CK47" s="523" t="n">
        <v>-180.18598708224</v>
      </c>
      <c r="CL47" s="523" t="n">
        <v>-183.789706823885</v>
      </c>
      <c r="CM47" s="523" t="n">
        <v>-183.789706823885</v>
      </c>
      <c r="CN47" s="523" t="n">
        <v>-183.789706823885</v>
      </c>
      <c r="CO47" s="523" t="n">
        <v>-183.789706823885</v>
      </c>
      <c r="CP47" s="523" t="n">
        <v>-183.789706823885</v>
      </c>
      <c r="CQ47" s="523" t="n">
        <v>-183.789706823885</v>
      </c>
      <c r="CR47" s="523" t="n">
        <v>-183.789706823885</v>
      </c>
      <c r="CS47" s="523" t="n">
        <v>-183.789706823885</v>
      </c>
      <c r="CT47" s="523" t="n">
        <v>-183.789706823885</v>
      </c>
      <c r="CU47" s="523" t="n">
        <v>-183.789706823885</v>
      </c>
      <c r="CV47" s="523" t="n">
        <v>-183.789706823885</v>
      </c>
      <c r="CW47" s="523" t="n">
        <v>-183.789706823885</v>
      </c>
      <c r="CX47" s="523" t="n">
        <v>-187.465500960363</v>
      </c>
      <c r="CY47" s="523" t="n">
        <v>-187.465500960363</v>
      </c>
      <c r="CZ47" s="523" t="n">
        <v>-187.465500960363</v>
      </c>
      <c r="DA47" s="523" t="n">
        <v>-187.465500960363</v>
      </c>
      <c r="DB47" s="523" t="n">
        <v>-187.465500960363</v>
      </c>
      <c r="DC47" s="523" t="n">
        <v>-187.465500960363</v>
      </c>
      <c r="DD47" s="523" t="n">
        <v>-187.465500960363</v>
      </c>
      <c r="DE47" s="523" t="n">
        <v>-187.465500960363</v>
      </c>
      <c r="DF47" s="523" t="n">
        <v>-187.465500960363</v>
      </c>
    </row>
    <row r="48" ht="15" customFormat="1" customHeight="1" s="380">
      <c r="A48" s="478" t="inlineStr">
        <is>
          <t>5900-1040 Warranty and Other Job Adjustments</t>
        </is>
      </c>
      <c r="C48" s="523" t="n">
        <v>-17660.72</v>
      </c>
      <c r="D48" s="523" t="n">
        <v>-5799</v>
      </c>
      <c r="E48" s="523" t="n">
        <v>-3432.18</v>
      </c>
      <c r="F48" s="523" t="n">
        <v>-5000</v>
      </c>
      <c r="G48" s="523" t="n">
        <v>-5000</v>
      </c>
      <c r="H48" s="523" t="n">
        <v>-5000</v>
      </c>
      <c r="I48" s="523" t="n">
        <v>-5000</v>
      </c>
      <c r="J48" s="523" t="n">
        <v>-5000</v>
      </c>
      <c r="K48" s="523" t="n">
        <v>-5000</v>
      </c>
      <c r="L48" s="523" t="n">
        <v>-5000</v>
      </c>
      <c r="M48" s="523" t="n">
        <v>-5000</v>
      </c>
      <c r="N48" s="523" t="n">
        <v>-5000</v>
      </c>
      <c r="O48" s="523" t="n">
        <v>-5000</v>
      </c>
      <c r="P48" s="523" t="n">
        <v>-5000</v>
      </c>
      <c r="Q48" s="523" t="n">
        <v>-5000</v>
      </c>
      <c r="R48" s="523" t="n">
        <v>-5100</v>
      </c>
      <c r="S48" s="523" t="n">
        <v>-5100</v>
      </c>
      <c r="T48" s="523" t="n">
        <v>-5100</v>
      </c>
      <c r="U48" s="523" t="n">
        <v>-5100</v>
      </c>
      <c r="V48" s="523" t="n">
        <v>-5100</v>
      </c>
      <c r="W48" s="523" t="n">
        <v>-5100</v>
      </c>
      <c r="X48" s="523" t="n">
        <v>-5100</v>
      </c>
      <c r="Y48" s="523" t="n">
        <v>-5100</v>
      </c>
      <c r="Z48" s="523" t="n">
        <v>-5100</v>
      </c>
      <c r="AA48" s="523" t="n">
        <v>-5100</v>
      </c>
      <c r="AB48" s="523" t="n">
        <v>-5100</v>
      </c>
      <c r="AC48" s="523" t="n">
        <v>-5100</v>
      </c>
      <c r="AD48" s="523" t="n">
        <v>-5202</v>
      </c>
      <c r="AE48" s="523" t="n">
        <v>-5202</v>
      </c>
      <c r="AF48" s="523" t="n">
        <v>-5202</v>
      </c>
      <c r="AG48" s="523" t="n">
        <v>-5202</v>
      </c>
      <c r="AH48" s="523" t="n">
        <v>-5202</v>
      </c>
      <c r="AI48" s="523" t="n">
        <v>-5202</v>
      </c>
      <c r="AJ48" s="523" t="n">
        <v>-5202</v>
      </c>
      <c r="AK48" s="523" t="n">
        <v>-5202</v>
      </c>
      <c r="AL48" s="523" t="n">
        <v>-5202</v>
      </c>
      <c r="AM48" s="523" t="n">
        <v>-5202</v>
      </c>
      <c r="AN48" s="523" t="n">
        <v>-5202</v>
      </c>
      <c r="AO48" s="523" t="n">
        <v>-5202</v>
      </c>
      <c r="AP48" s="523" t="n">
        <v>-5306.04</v>
      </c>
      <c r="AQ48" s="523" t="n">
        <v>-5306.04</v>
      </c>
      <c r="AR48" s="523" t="n">
        <v>-5306.04</v>
      </c>
      <c r="AS48" s="523" t="n">
        <v>-5306.04</v>
      </c>
      <c r="AT48" s="523" t="n">
        <v>-5306.04</v>
      </c>
      <c r="AU48" s="523" t="n">
        <v>-5306.04</v>
      </c>
      <c r="AV48" s="523" t="n">
        <v>-5306.04</v>
      </c>
      <c r="AW48" s="523" t="n">
        <v>-5306.04</v>
      </c>
      <c r="AX48" s="523" t="n">
        <v>-5306.04</v>
      </c>
      <c r="AY48" s="523" t="n">
        <v>-5306.04</v>
      </c>
      <c r="AZ48" s="523" t="n">
        <v>-5306.04</v>
      </c>
      <c r="BA48" s="523" t="n">
        <v>-5306.04</v>
      </c>
      <c r="BB48" s="523" t="n">
        <v>-5412.1608</v>
      </c>
      <c r="BC48" s="523" t="n">
        <v>-5412.1608</v>
      </c>
      <c r="BD48" s="523" t="n">
        <v>-5412.1608</v>
      </c>
      <c r="BE48" s="523" t="n">
        <v>-5412.1608</v>
      </c>
      <c r="BF48" s="523" t="n">
        <v>-5412.1608</v>
      </c>
      <c r="BG48" s="523" t="n">
        <v>-5412.1608</v>
      </c>
      <c r="BH48" s="523" t="n">
        <v>-5412.1608</v>
      </c>
      <c r="BI48" s="523" t="n">
        <v>-5412.1608</v>
      </c>
      <c r="BJ48" s="523" t="n">
        <v>-5412.1608</v>
      </c>
      <c r="BK48" s="523" t="n">
        <v>-5412.1608</v>
      </c>
      <c r="BL48" s="523" t="n">
        <v>-5412.1608</v>
      </c>
      <c r="BM48" s="523" t="n">
        <v>-5412.1608</v>
      </c>
      <c r="BN48" s="523" t="n">
        <v>-5520.404016</v>
      </c>
      <c r="BO48" s="523" t="n">
        <v>-5520.404016</v>
      </c>
      <c r="BP48" s="523" t="n">
        <v>-5520.404016</v>
      </c>
      <c r="BQ48" s="523" t="n">
        <v>-5520.404016</v>
      </c>
      <c r="BR48" s="523" t="n">
        <v>-5520.404016</v>
      </c>
      <c r="BS48" s="523" t="n">
        <v>-5520.404016</v>
      </c>
      <c r="BT48" s="523" t="n">
        <v>-5520.404016</v>
      </c>
      <c r="BU48" s="523" t="n">
        <v>-5520.404016</v>
      </c>
      <c r="BV48" s="523" t="n">
        <v>-5520.404016</v>
      </c>
      <c r="BW48" s="523" t="n">
        <v>-5520.404016</v>
      </c>
      <c r="BX48" s="523" t="n">
        <v>-5520.404016</v>
      </c>
      <c r="BY48" s="523" t="n">
        <v>-5520.404016</v>
      </c>
      <c r="BZ48" s="523" t="n">
        <v>-5630.81209632</v>
      </c>
      <c r="CA48" s="523" t="n">
        <v>-5630.81209632</v>
      </c>
      <c r="CB48" s="523" t="n">
        <v>-5630.81209632</v>
      </c>
      <c r="CC48" s="523" t="n">
        <v>-5630.81209632</v>
      </c>
      <c r="CD48" s="523" t="n">
        <v>-5630.81209632</v>
      </c>
      <c r="CE48" s="523" t="n">
        <v>-5630.81209632</v>
      </c>
      <c r="CF48" s="523" t="n">
        <v>-5630.81209632</v>
      </c>
      <c r="CG48" s="523" t="n">
        <v>-5630.81209632</v>
      </c>
      <c r="CH48" s="523" t="n">
        <v>-5630.81209632</v>
      </c>
      <c r="CI48" s="523" t="n">
        <v>-5630.81209632</v>
      </c>
      <c r="CJ48" s="523" t="n">
        <v>-5630.81209632</v>
      </c>
      <c r="CK48" s="523" t="n">
        <v>-5630.81209632</v>
      </c>
      <c r="CL48" s="523" t="n">
        <v>-5743.4283382464</v>
      </c>
      <c r="CM48" s="523" t="n">
        <v>-5743.4283382464</v>
      </c>
      <c r="CN48" s="523" t="n">
        <v>-5743.4283382464</v>
      </c>
      <c r="CO48" s="523" t="n">
        <v>-5743.4283382464</v>
      </c>
      <c r="CP48" s="523" t="n">
        <v>-5743.4283382464</v>
      </c>
      <c r="CQ48" s="523" t="n">
        <v>-5743.4283382464</v>
      </c>
      <c r="CR48" s="523" t="n">
        <v>-5743.4283382464</v>
      </c>
      <c r="CS48" s="523" t="n">
        <v>-5743.4283382464</v>
      </c>
      <c r="CT48" s="523" t="n">
        <v>-5743.4283382464</v>
      </c>
      <c r="CU48" s="523" t="n">
        <v>-5743.4283382464</v>
      </c>
      <c r="CV48" s="523" t="n">
        <v>-5743.4283382464</v>
      </c>
      <c r="CW48" s="523" t="n">
        <v>-5743.4283382464</v>
      </c>
      <c r="CX48" s="523" t="n">
        <v>-5858.29690501133</v>
      </c>
      <c r="CY48" s="523" t="n">
        <v>-5858.29690501133</v>
      </c>
      <c r="CZ48" s="523" t="n">
        <v>-5858.29690501133</v>
      </c>
      <c r="DA48" s="523" t="n">
        <v>-5858.29690501133</v>
      </c>
      <c r="DB48" s="523" t="n">
        <v>-5858.29690501133</v>
      </c>
      <c r="DC48" s="523" t="n">
        <v>-5858.29690501133</v>
      </c>
      <c r="DD48" s="523" t="n">
        <v>-5858.29690501133</v>
      </c>
      <c r="DE48" s="523" t="n">
        <v>-5858.29690501133</v>
      </c>
      <c r="DF48" s="523" t="n">
        <v>-5858.29690501133</v>
      </c>
    </row>
    <row r="49" ht="15" customFormat="1" customHeight="1" s="380">
      <c r="A49" s="478" t="inlineStr">
        <is>
          <t>5900-1075 Miscellaneous Expense</t>
        </is>
      </c>
      <c r="C49" s="523" t="n">
        <v>-304</v>
      </c>
      <c r="D49" s="523" t="n">
        <v>-644.8099999999999</v>
      </c>
      <c r="E49" s="523" t="n">
        <v>-304</v>
      </c>
      <c r="F49" s="524" t="n">
        <v>-417.6</v>
      </c>
      <c r="G49" s="524" t="n">
        <v>-417.6</v>
      </c>
      <c r="H49" s="524" t="n">
        <v>-417.6</v>
      </c>
      <c r="I49" s="524" t="n">
        <v>-417.6</v>
      </c>
      <c r="J49" s="524" t="n">
        <v>-417.6</v>
      </c>
      <c r="K49" s="524" t="n">
        <v>-417.6</v>
      </c>
      <c r="L49" s="524" t="n">
        <v>-417.6</v>
      </c>
      <c r="M49" s="524" t="n">
        <v>-417.6</v>
      </c>
      <c r="N49" s="524" t="n">
        <v>-417.6</v>
      </c>
      <c r="O49" s="524" t="n">
        <v>-417.6</v>
      </c>
      <c r="P49" s="524" t="n">
        <v>-417.6</v>
      </c>
      <c r="Q49" s="524" t="n">
        <v>-417.6</v>
      </c>
      <c r="R49" s="524" t="n">
        <v>-425.952</v>
      </c>
      <c r="S49" s="524" t="n">
        <v>-425.952</v>
      </c>
      <c r="T49" s="524" t="n">
        <v>-425.952</v>
      </c>
      <c r="U49" s="524" t="n">
        <v>-425.952</v>
      </c>
      <c r="V49" s="524" t="n">
        <v>-425.952</v>
      </c>
      <c r="W49" s="524" t="n">
        <v>-425.952</v>
      </c>
      <c r="X49" s="524" t="n">
        <v>-425.952</v>
      </c>
      <c r="Y49" s="524" t="n">
        <v>-425.952</v>
      </c>
      <c r="Z49" s="524" t="n">
        <v>-425.952</v>
      </c>
      <c r="AA49" s="524" t="n">
        <v>-425.952</v>
      </c>
      <c r="AB49" s="524" t="n">
        <v>-425.952</v>
      </c>
      <c r="AC49" s="524" t="n">
        <v>-425.952</v>
      </c>
      <c r="AD49" s="524" t="n">
        <v>-434.47104</v>
      </c>
      <c r="AE49" s="524" t="n">
        <v>-434.47104</v>
      </c>
      <c r="AF49" s="524" t="n">
        <v>-434.47104</v>
      </c>
      <c r="AG49" s="524" t="n">
        <v>-434.47104</v>
      </c>
      <c r="AH49" s="524" t="n">
        <v>-434.47104</v>
      </c>
      <c r="AI49" s="524" t="n">
        <v>-434.47104</v>
      </c>
      <c r="AJ49" s="524" t="n">
        <v>-434.47104</v>
      </c>
      <c r="AK49" s="524" t="n">
        <v>-434.47104</v>
      </c>
      <c r="AL49" s="524" t="n">
        <v>-434.47104</v>
      </c>
      <c r="AM49" s="524" t="n">
        <v>-434.47104</v>
      </c>
      <c r="AN49" s="524" t="n">
        <v>-434.47104</v>
      </c>
      <c r="AO49" s="524" t="n">
        <v>-434.47104</v>
      </c>
      <c r="AP49" s="524" t="n">
        <v>-443.1604608</v>
      </c>
      <c r="AQ49" s="524" t="n">
        <v>-443.1604608</v>
      </c>
      <c r="AR49" s="524" t="n">
        <v>-443.1604608</v>
      </c>
      <c r="AS49" s="524" t="n">
        <v>-443.1604608</v>
      </c>
      <c r="AT49" s="524" t="n">
        <v>-443.1604608</v>
      </c>
      <c r="AU49" s="524" t="n">
        <v>-443.1604608</v>
      </c>
      <c r="AV49" s="524" t="n">
        <v>-443.1604608</v>
      </c>
      <c r="AW49" s="524" t="n">
        <v>-443.1604608</v>
      </c>
      <c r="AX49" s="524" t="n">
        <v>-443.1604608</v>
      </c>
      <c r="AY49" s="524" t="n">
        <v>-443.1604608</v>
      </c>
      <c r="AZ49" s="524" t="n">
        <v>-443.1604608</v>
      </c>
      <c r="BA49" s="524" t="n">
        <v>-443.1604608</v>
      </c>
      <c r="BB49" s="524" t="n">
        <v>-452.023670016</v>
      </c>
      <c r="BC49" s="524" t="n">
        <v>-452.023670016</v>
      </c>
      <c r="BD49" s="524" t="n">
        <v>-452.023670016</v>
      </c>
      <c r="BE49" s="524" t="n">
        <v>-452.023670016</v>
      </c>
      <c r="BF49" s="524" t="n">
        <v>-452.023670016</v>
      </c>
      <c r="BG49" s="524" t="n">
        <v>-452.023670016</v>
      </c>
      <c r="BH49" s="524" t="n">
        <v>-452.023670016</v>
      </c>
      <c r="BI49" s="524" t="n">
        <v>-452.023670016</v>
      </c>
      <c r="BJ49" s="524" t="n">
        <v>-452.023670016</v>
      </c>
      <c r="BK49" s="524" t="n">
        <v>-452.023670016</v>
      </c>
      <c r="BL49" s="524" t="n">
        <v>-452.023670016</v>
      </c>
      <c r="BM49" s="524" t="n">
        <v>-452.023670016</v>
      </c>
      <c r="BN49" s="524" t="n">
        <v>-461.06414341632</v>
      </c>
      <c r="BO49" s="524" t="n">
        <v>-461.06414341632</v>
      </c>
      <c r="BP49" s="524" t="n">
        <v>-461.06414341632</v>
      </c>
      <c r="BQ49" s="524" t="n">
        <v>-461.06414341632</v>
      </c>
      <c r="BR49" s="524" t="n">
        <v>-461.06414341632</v>
      </c>
      <c r="BS49" s="524" t="n">
        <v>-461.06414341632</v>
      </c>
      <c r="BT49" s="524" t="n">
        <v>-461.06414341632</v>
      </c>
      <c r="BU49" s="524" t="n">
        <v>-461.06414341632</v>
      </c>
      <c r="BV49" s="524" t="n">
        <v>-461.06414341632</v>
      </c>
      <c r="BW49" s="524" t="n">
        <v>-461.06414341632</v>
      </c>
      <c r="BX49" s="524" t="n">
        <v>-461.06414341632</v>
      </c>
      <c r="BY49" s="524" t="n">
        <v>-461.06414341632</v>
      </c>
      <c r="BZ49" s="524" t="n">
        <v>-470.285426284646</v>
      </c>
      <c r="CA49" s="524" t="n">
        <v>-470.285426284646</v>
      </c>
      <c r="CB49" s="524" t="n">
        <v>-470.285426284646</v>
      </c>
      <c r="CC49" s="524" t="n">
        <v>-470.285426284646</v>
      </c>
      <c r="CD49" s="524" t="n">
        <v>-470.285426284646</v>
      </c>
      <c r="CE49" s="524" t="n">
        <v>-470.285426284646</v>
      </c>
      <c r="CF49" s="524" t="n">
        <v>-470.285426284646</v>
      </c>
      <c r="CG49" s="524" t="n">
        <v>-470.285426284646</v>
      </c>
      <c r="CH49" s="524" t="n">
        <v>-470.285426284646</v>
      </c>
      <c r="CI49" s="524" t="n">
        <v>-470.285426284646</v>
      </c>
      <c r="CJ49" s="524" t="n">
        <v>-470.285426284646</v>
      </c>
      <c r="CK49" s="524" t="n">
        <v>-470.285426284646</v>
      </c>
      <c r="CL49" s="524" t="n">
        <v>-479.691134810339</v>
      </c>
      <c r="CM49" s="524" t="n">
        <v>-479.691134810339</v>
      </c>
      <c r="CN49" s="524" t="n">
        <v>-479.691134810339</v>
      </c>
      <c r="CO49" s="524" t="n">
        <v>-479.691134810339</v>
      </c>
      <c r="CP49" s="524" t="n">
        <v>-479.691134810339</v>
      </c>
      <c r="CQ49" s="524" t="n">
        <v>-479.691134810339</v>
      </c>
      <c r="CR49" s="524" t="n">
        <v>-479.691134810339</v>
      </c>
      <c r="CS49" s="524" t="n">
        <v>-479.691134810339</v>
      </c>
      <c r="CT49" s="524" t="n">
        <v>-479.691134810339</v>
      </c>
      <c r="CU49" s="524" t="n">
        <v>-479.691134810339</v>
      </c>
      <c r="CV49" s="524" t="n">
        <v>-479.691134810339</v>
      </c>
      <c r="CW49" s="524" t="n">
        <v>-479.691134810339</v>
      </c>
      <c r="CX49" s="524" t="n">
        <v>-489.284957506546</v>
      </c>
      <c r="CY49" s="524" t="n">
        <v>-489.284957506546</v>
      </c>
      <c r="CZ49" s="524" t="n">
        <v>-489.284957506546</v>
      </c>
      <c r="DA49" s="524" t="n">
        <v>-489.284957506546</v>
      </c>
      <c r="DB49" s="524" t="n">
        <v>-489.284957506546</v>
      </c>
      <c r="DC49" s="524" t="n">
        <v>-489.284957506546</v>
      </c>
      <c r="DD49" s="524" t="n">
        <v>-489.284957506546</v>
      </c>
      <c r="DE49" s="524" t="n">
        <v>-489.284957506546</v>
      </c>
      <c r="DF49" s="524" t="n">
        <v>-489.284957506546</v>
      </c>
    </row>
    <row r="50" ht="15" customFormat="1" customHeight="1" s="380">
      <c r="A50" s="478" t="inlineStr">
        <is>
          <t>5900-1080 Bank Service Charges</t>
        </is>
      </c>
      <c r="C50" s="523" t="n">
        <v>0</v>
      </c>
      <c r="D50" s="523" t="n">
        <v>-75</v>
      </c>
      <c r="E50" s="523" t="n">
        <v>-5</v>
      </c>
      <c r="F50" s="524" t="n">
        <v>-26.67</v>
      </c>
      <c r="G50" s="524" t="n">
        <v>-26.67</v>
      </c>
      <c r="H50" s="524" t="n">
        <v>-26.67</v>
      </c>
      <c r="I50" s="524" t="n">
        <v>-26.67</v>
      </c>
      <c r="J50" s="524" t="n">
        <v>-26.67</v>
      </c>
      <c r="K50" s="524" t="n">
        <v>-26.67</v>
      </c>
      <c r="L50" s="524" t="n">
        <v>-26.67</v>
      </c>
      <c r="M50" s="524" t="n">
        <v>-26.67</v>
      </c>
      <c r="N50" s="524" t="n">
        <v>-26.67</v>
      </c>
      <c r="O50" s="524" t="n">
        <v>-26.67</v>
      </c>
      <c r="P50" s="524" t="n">
        <v>-26.67</v>
      </c>
      <c r="Q50" s="524" t="n">
        <v>-26.67</v>
      </c>
      <c r="R50" s="524" t="n">
        <v>-27.2034</v>
      </c>
      <c r="S50" s="524" t="n">
        <v>-27.2034</v>
      </c>
      <c r="T50" s="524" t="n">
        <v>-27.2034</v>
      </c>
      <c r="U50" s="524" t="n">
        <v>-27.2034</v>
      </c>
      <c r="V50" s="524" t="n">
        <v>-27.2034</v>
      </c>
      <c r="W50" s="524" t="n">
        <v>-27.2034</v>
      </c>
      <c r="X50" s="524" t="n">
        <v>-27.2034</v>
      </c>
      <c r="Y50" s="524" t="n">
        <v>-27.2034</v>
      </c>
      <c r="Z50" s="524" t="n">
        <v>-27.2034</v>
      </c>
      <c r="AA50" s="524" t="n">
        <v>-27.2034</v>
      </c>
      <c r="AB50" s="524" t="n">
        <v>-27.2034</v>
      </c>
      <c r="AC50" s="524" t="n">
        <v>-27.2034</v>
      </c>
      <c r="AD50" s="524" t="n">
        <v>-27.747468</v>
      </c>
      <c r="AE50" s="524" t="n">
        <v>-27.747468</v>
      </c>
      <c r="AF50" s="524" t="n">
        <v>-27.747468</v>
      </c>
      <c r="AG50" s="524" t="n">
        <v>-27.747468</v>
      </c>
      <c r="AH50" s="524" t="n">
        <v>-27.747468</v>
      </c>
      <c r="AI50" s="524" t="n">
        <v>-27.747468</v>
      </c>
      <c r="AJ50" s="524" t="n">
        <v>-27.747468</v>
      </c>
      <c r="AK50" s="524" t="n">
        <v>-27.747468</v>
      </c>
      <c r="AL50" s="524" t="n">
        <v>-27.747468</v>
      </c>
      <c r="AM50" s="524" t="n">
        <v>-27.747468</v>
      </c>
      <c r="AN50" s="524" t="n">
        <v>-27.747468</v>
      </c>
      <c r="AO50" s="524" t="n">
        <v>-27.747468</v>
      </c>
      <c r="AP50" s="524" t="n">
        <v>-28.30241736</v>
      </c>
      <c r="AQ50" s="524" t="n">
        <v>-28.30241736</v>
      </c>
      <c r="AR50" s="524" t="n">
        <v>-28.30241736</v>
      </c>
      <c r="AS50" s="524" t="n">
        <v>-28.30241736</v>
      </c>
      <c r="AT50" s="524" t="n">
        <v>-28.30241736</v>
      </c>
      <c r="AU50" s="524" t="n">
        <v>-28.30241736</v>
      </c>
      <c r="AV50" s="524" t="n">
        <v>-28.30241736</v>
      </c>
      <c r="AW50" s="524" t="n">
        <v>-28.30241736</v>
      </c>
      <c r="AX50" s="524" t="n">
        <v>-28.30241736</v>
      </c>
      <c r="AY50" s="524" t="n">
        <v>-28.30241736</v>
      </c>
      <c r="AZ50" s="524" t="n">
        <v>-28.30241736</v>
      </c>
      <c r="BA50" s="524" t="n">
        <v>-28.30241736</v>
      </c>
      <c r="BB50" s="524" t="n">
        <v>-28.8684657072</v>
      </c>
      <c r="BC50" s="524" t="n">
        <v>-28.8684657072</v>
      </c>
      <c r="BD50" s="524" t="n">
        <v>-28.8684657072</v>
      </c>
      <c r="BE50" s="524" t="n">
        <v>-28.8684657072</v>
      </c>
      <c r="BF50" s="524" t="n">
        <v>-28.8684657072</v>
      </c>
      <c r="BG50" s="524" t="n">
        <v>-28.8684657072</v>
      </c>
      <c r="BH50" s="524" t="n">
        <v>-28.8684657072</v>
      </c>
      <c r="BI50" s="524" t="n">
        <v>-28.8684657072</v>
      </c>
      <c r="BJ50" s="524" t="n">
        <v>-28.8684657072</v>
      </c>
      <c r="BK50" s="524" t="n">
        <v>-28.8684657072</v>
      </c>
      <c r="BL50" s="524" t="n">
        <v>-28.8684657072</v>
      </c>
      <c r="BM50" s="524" t="n">
        <v>-28.8684657072</v>
      </c>
      <c r="BN50" s="524" t="n">
        <v>-29.445835021344</v>
      </c>
      <c r="BO50" s="524" t="n">
        <v>-29.445835021344</v>
      </c>
      <c r="BP50" s="524" t="n">
        <v>-29.445835021344</v>
      </c>
      <c r="BQ50" s="524" t="n">
        <v>-29.445835021344</v>
      </c>
      <c r="BR50" s="524" t="n">
        <v>-29.445835021344</v>
      </c>
      <c r="BS50" s="524" t="n">
        <v>-29.445835021344</v>
      </c>
      <c r="BT50" s="524" t="n">
        <v>-29.445835021344</v>
      </c>
      <c r="BU50" s="524" t="n">
        <v>-29.445835021344</v>
      </c>
      <c r="BV50" s="524" t="n">
        <v>-29.445835021344</v>
      </c>
      <c r="BW50" s="524" t="n">
        <v>-29.445835021344</v>
      </c>
      <c r="BX50" s="524" t="n">
        <v>-29.445835021344</v>
      </c>
      <c r="BY50" s="524" t="n">
        <v>-29.445835021344</v>
      </c>
      <c r="BZ50" s="524" t="n">
        <v>-30.0347517217709</v>
      </c>
      <c r="CA50" s="524" t="n">
        <v>-30.0347517217709</v>
      </c>
      <c r="CB50" s="524" t="n">
        <v>-30.0347517217709</v>
      </c>
      <c r="CC50" s="524" t="n">
        <v>-30.0347517217709</v>
      </c>
      <c r="CD50" s="524" t="n">
        <v>-30.0347517217709</v>
      </c>
      <c r="CE50" s="524" t="n">
        <v>-30.0347517217709</v>
      </c>
      <c r="CF50" s="524" t="n">
        <v>-30.0347517217709</v>
      </c>
      <c r="CG50" s="524" t="n">
        <v>-30.0347517217709</v>
      </c>
      <c r="CH50" s="524" t="n">
        <v>-30.0347517217709</v>
      </c>
      <c r="CI50" s="524" t="n">
        <v>-30.0347517217709</v>
      </c>
      <c r="CJ50" s="524" t="n">
        <v>-30.0347517217709</v>
      </c>
      <c r="CK50" s="524" t="n">
        <v>-30.0347517217709</v>
      </c>
      <c r="CL50" s="524" t="n">
        <v>-30.6354467562063</v>
      </c>
      <c r="CM50" s="524" t="n">
        <v>-30.6354467562063</v>
      </c>
      <c r="CN50" s="524" t="n">
        <v>-30.6354467562063</v>
      </c>
      <c r="CO50" s="524" t="n">
        <v>-30.6354467562063</v>
      </c>
      <c r="CP50" s="524" t="n">
        <v>-30.6354467562063</v>
      </c>
      <c r="CQ50" s="524" t="n">
        <v>-30.6354467562063</v>
      </c>
      <c r="CR50" s="524" t="n">
        <v>-30.6354467562063</v>
      </c>
      <c r="CS50" s="524" t="n">
        <v>-30.6354467562063</v>
      </c>
      <c r="CT50" s="524" t="n">
        <v>-30.6354467562063</v>
      </c>
      <c r="CU50" s="524" t="n">
        <v>-30.6354467562063</v>
      </c>
      <c r="CV50" s="524" t="n">
        <v>-30.6354467562063</v>
      </c>
      <c r="CW50" s="524" t="n">
        <v>-30.6354467562063</v>
      </c>
      <c r="CX50" s="524" t="n">
        <v>-31.2481556913304</v>
      </c>
      <c r="CY50" s="524" t="n">
        <v>-31.2481556913304</v>
      </c>
      <c r="CZ50" s="524" t="n">
        <v>-31.2481556913304</v>
      </c>
      <c r="DA50" s="524" t="n">
        <v>-31.2481556913304</v>
      </c>
      <c r="DB50" s="524" t="n">
        <v>-31.2481556913304</v>
      </c>
      <c r="DC50" s="524" t="n">
        <v>-31.2481556913304</v>
      </c>
      <c r="DD50" s="524" t="n">
        <v>-31.2481556913304</v>
      </c>
      <c r="DE50" s="524" t="n">
        <v>-31.2481556913304</v>
      </c>
      <c r="DF50" s="524" t="n">
        <v>-31.2481556913304</v>
      </c>
    </row>
    <row r="51" ht="15" customFormat="1" customHeight="1" s="380">
      <c r="A51" s="478" t="inlineStr">
        <is>
          <t>5900-3000 Charitable Contribution</t>
        </is>
      </c>
      <c r="C51" s="523" t="n">
        <v>0</v>
      </c>
      <c r="D51" s="523" t="n">
        <v>-63</v>
      </c>
      <c r="E51" s="523" t="n">
        <v>0</v>
      </c>
      <c r="F51" s="524" t="n">
        <v>-21</v>
      </c>
      <c r="G51" s="524" t="n">
        <v>-21</v>
      </c>
      <c r="H51" s="524" t="n">
        <v>-21</v>
      </c>
      <c r="I51" s="524" t="n">
        <v>-21</v>
      </c>
      <c r="J51" s="524" t="n">
        <v>-21</v>
      </c>
      <c r="K51" s="524" t="n">
        <v>-21</v>
      </c>
      <c r="L51" s="524" t="n">
        <v>-21</v>
      </c>
      <c r="M51" s="524" t="n">
        <v>-21</v>
      </c>
      <c r="N51" s="524" t="n">
        <v>-21</v>
      </c>
      <c r="O51" s="524" t="n">
        <v>-21</v>
      </c>
      <c r="P51" s="524" t="n">
        <v>-21</v>
      </c>
      <c r="Q51" s="524" t="n">
        <v>-21</v>
      </c>
      <c r="R51" s="524" t="n">
        <v>-21.42</v>
      </c>
      <c r="S51" s="524" t="n">
        <v>-21.42</v>
      </c>
      <c r="T51" s="524" t="n">
        <v>-21.42</v>
      </c>
      <c r="U51" s="524" t="n">
        <v>-21.42</v>
      </c>
      <c r="V51" s="524" t="n">
        <v>-21.42</v>
      </c>
      <c r="W51" s="524" t="n">
        <v>-21.42</v>
      </c>
      <c r="X51" s="524" t="n">
        <v>-21.42</v>
      </c>
      <c r="Y51" s="524" t="n">
        <v>-21.42</v>
      </c>
      <c r="Z51" s="524" t="n">
        <v>-21.42</v>
      </c>
      <c r="AA51" s="524" t="n">
        <v>-21.42</v>
      </c>
      <c r="AB51" s="524" t="n">
        <v>-21.42</v>
      </c>
      <c r="AC51" s="524" t="n">
        <v>-21.42</v>
      </c>
      <c r="AD51" s="524" t="n">
        <v>-21.8484</v>
      </c>
      <c r="AE51" s="524" t="n">
        <v>-21.8484</v>
      </c>
      <c r="AF51" s="524" t="n">
        <v>-21.8484</v>
      </c>
      <c r="AG51" s="524" t="n">
        <v>-21.8484</v>
      </c>
      <c r="AH51" s="524" t="n">
        <v>-21.8484</v>
      </c>
      <c r="AI51" s="524" t="n">
        <v>-21.8484</v>
      </c>
      <c r="AJ51" s="524" t="n">
        <v>-21.8484</v>
      </c>
      <c r="AK51" s="524" t="n">
        <v>-21.8484</v>
      </c>
      <c r="AL51" s="524" t="n">
        <v>-21.8484</v>
      </c>
      <c r="AM51" s="524" t="n">
        <v>-21.8484</v>
      </c>
      <c r="AN51" s="524" t="n">
        <v>-21.8484</v>
      </c>
      <c r="AO51" s="524" t="n">
        <v>-21.8484</v>
      </c>
      <c r="AP51" s="524" t="n">
        <v>-22.285368</v>
      </c>
      <c r="AQ51" s="524" t="n">
        <v>-22.285368</v>
      </c>
      <c r="AR51" s="524" t="n">
        <v>-22.285368</v>
      </c>
      <c r="AS51" s="524" t="n">
        <v>-22.285368</v>
      </c>
      <c r="AT51" s="524" t="n">
        <v>-22.285368</v>
      </c>
      <c r="AU51" s="524" t="n">
        <v>-22.285368</v>
      </c>
      <c r="AV51" s="524" t="n">
        <v>-22.285368</v>
      </c>
      <c r="AW51" s="524" t="n">
        <v>-22.285368</v>
      </c>
      <c r="AX51" s="524" t="n">
        <v>-22.285368</v>
      </c>
      <c r="AY51" s="524" t="n">
        <v>-22.285368</v>
      </c>
      <c r="AZ51" s="524" t="n">
        <v>-22.285368</v>
      </c>
      <c r="BA51" s="524" t="n">
        <v>-22.285368</v>
      </c>
      <c r="BB51" s="524" t="n">
        <v>-22.73107536</v>
      </c>
      <c r="BC51" s="524" t="n">
        <v>-22.73107536</v>
      </c>
      <c r="BD51" s="524" t="n">
        <v>-22.73107536</v>
      </c>
      <c r="BE51" s="524" t="n">
        <v>-22.73107536</v>
      </c>
      <c r="BF51" s="524" t="n">
        <v>-22.73107536</v>
      </c>
      <c r="BG51" s="524" t="n">
        <v>-22.73107536</v>
      </c>
      <c r="BH51" s="524" t="n">
        <v>-22.73107536</v>
      </c>
      <c r="BI51" s="524" t="n">
        <v>-22.73107536</v>
      </c>
      <c r="BJ51" s="524" t="n">
        <v>-22.73107536</v>
      </c>
      <c r="BK51" s="524" t="n">
        <v>-22.73107536</v>
      </c>
      <c r="BL51" s="524" t="n">
        <v>-22.73107536</v>
      </c>
      <c r="BM51" s="524" t="n">
        <v>-22.73107536</v>
      </c>
      <c r="BN51" s="524" t="n">
        <v>-23.1856968672</v>
      </c>
      <c r="BO51" s="524" t="n">
        <v>-23.1856968672</v>
      </c>
      <c r="BP51" s="524" t="n">
        <v>-23.1856968672</v>
      </c>
      <c r="BQ51" s="524" t="n">
        <v>-23.1856968672</v>
      </c>
      <c r="BR51" s="524" t="n">
        <v>-23.1856968672</v>
      </c>
      <c r="BS51" s="524" t="n">
        <v>-23.1856968672</v>
      </c>
      <c r="BT51" s="524" t="n">
        <v>-23.1856968672</v>
      </c>
      <c r="BU51" s="524" t="n">
        <v>-23.1856968672</v>
      </c>
      <c r="BV51" s="524" t="n">
        <v>-23.1856968672</v>
      </c>
      <c r="BW51" s="524" t="n">
        <v>-23.1856968672</v>
      </c>
      <c r="BX51" s="524" t="n">
        <v>-23.1856968672</v>
      </c>
      <c r="BY51" s="524" t="n">
        <v>-23.1856968672</v>
      </c>
      <c r="BZ51" s="524" t="n">
        <v>-23.649410804544</v>
      </c>
      <c r="CA51" s="524" t="n">
        <v>-23.649410804544</v>
      </c>
      <c r="CB51" s="524" t="n">
        <v>-23.649410804544</v>
      </c>
      <c r="CC51" s="524" t="n">
        <v>-23.649410804544</v>
      </c>
      <c r="CD51" s="524" t="n">
        <v>-23.649410804544</v>
      </c>
      <c r="CE51" s="524" t="n">
        <v>-23.649410804544</v>
      </c>
      <c r="CF51" s="524" t="n">
        <v>-23.649410804544</v>
      </c>
      <c r="CG51" s="524" t="n">
        <v>-23.649410804544</v>
      </c>
      <c r="CH51" s="524" t="n">
        <v>-23.649410804544</v>
      </c>
      <c r="CI51" s="524" t="n">
        <v>-23.649410804544</v>
      </c>
      <c r="CJ51" s="524" t="n">
        <v>-23.649410804544</v>
      </c>
      <c r="CK51" s="524" t="n">
        <v>-23.649410804544</v>
      </c>
      <c r="CL51" s="524" t="n">
        <v>-24.1223990206349</v>
      </c>
      <c r="CM51" s="524" t="n">
        <v>-24.1223990206349</v>
      </c>
      <c r="CN51" s="524" t="n">
        <v>-24.1223990206349</v>
      </c>
      <c r="CO51" s="524" t="n">
        <v>-24.1223990206349</v>
      </c>
      <c r="CP51" s="524" t="n">
        <v>-24.1223990206349</v>
      </c>
      <c r="CQ51" s="524" t="n">
        <v>-24.1223990206349</v>
      </c>
      <c r="CR51" s="524" t="n">
        <v>-24.1223990206349</v>
      </c>
      <c r="CS51" s="524" t="n">
        <v>-24.1223990206349</v>
      </c>
      <c r="CT51" s="524" t="n">
        <v>-24.1223990206349</v>
      </c>
      <c r="CU51" s="524" t="n">
        <v>-24.1223990206349</v>
      </c>
      <c r="CV51" s="524" t="n">
        <v>-24.1223990206349</v>
      </c>
      <c r="CW51" s="524" t="n">
        <v>-24.1223990206349</v>
      </c>
      <c r="CX51" s="524" t="n">
        <v>-24.6048470010476</v>
      </c>
      <c r="CY51" s="524" t="n">
        <v>-24.6048470010476</v>
      </c>
      <c r="CZ51" s="524" t="n">
        <v>-24.6048470010476</v>
      </c>
      <c r="DA51" s="524" t="n">
        <v>-24.6048470010476</v>
      </c>
      <c r="DB51" s="524" t="n">
        <v>-24.6048470010476</v>
      </c>
      <c r="DC51" s="524" t="n">
        <v>-24.6048470010476</v>
      </c>
      <c r="DD51" s="524" t="n">
        <v>-24.6048470010476</v>
      </c>
      <c r="DE51" s="524" t="n">
        <v>-24.6048470010476</v>
      </c>
      <c r="DF51" s="524" t="n">
        <v>-24.6048470010476</v>
      </c>
    </row>
    <row r="52" ht="18" customFormat="1" customHeight="1" s="380">
      <c r="A52" s="480" t="inlineStr">
        <is>
          <t>BD Commission</t>
        </is>
      </c>
      <c r="B52" s="483" t="n"/>
      <c r="C52" s="523" t="n">
        <v>0</v>
      </c>
      <c r="D52" s="523" t="n">
        <v>0</v>
      </c>
      <c r="E52" s="523" t="n">
        <v>0</v>
      </c>
      <c r="F52" s="524" t="n">
        <v>0</v>
      </c>
      <c r="G52" s="524" t="n">
        <v>0</v>
      </c>
      <c r="H52" s="524" t="n">
        <v>0</v>
      </c>
      <c r="I52" s="524" t="n">
        <v>0</v>
      </c>
      <c r="J52" s="524" t="n">
        <v>0</v>
      </c>
      <c r="K52" s="524" t="n">
        <v>0</v>
      </c>
      <c r="L52" s="524" t="n">
        <v>0</v>
      </c>
      <c r="M52" s="524" t="n">
        <v>0</v>
      </c>
      <c r="N52" s="524" t="n">
        <v>0</v>
      </c>
      <c r="O52" s="524" t="n">
        <v>0</v>
      </c>
      <c r="P52" s="524" t="n">
        <v>0</v>
      </c>
      <c r="Q52" s="524" t="n">
        <v>0</v>
      </c>
      <c r="R52" s="524" t="n">
        <v>0</v>
      </c>
      <c r="S52" s="524" t="n">
        <v>0</v>
      </c>
      <c r="T52" s="524" t="n">
        <v>0</v>
      </c>
      <c r="U52" s="524" t="n">
        <v>0</v>
      </c>
      <c r="V52" s="524" t="n">
        <v>0</v>
      </c>
      <c r="W52" s="524" t="n">
        <v>0</v>
      </c>
      <c r="X52" s="524" t="n">
        <v>0</v>
      </c>
      <c r="Y52" s="524" t="n">
        <v>0</v>
      </c>
      <c r="Z52" s="524" t="n">
        <v>0</v>
      </c>
      <c r="AA52" s="524" t="n">
        <v>0</v>
      </c>
      <c r="AB52" s="524" t="n">
        <v>0</v>
      </c>
      <c r="AC52" s="524" t="n">
        <v>0</v>
      </c>
      <c r="AD52" s="524" t="n">
        <v>0</v>
      </c>
      <c r="AE52" s="524" t="n">
        <v>0</v>
      </c>
      <c r="AF52" s="524" t="n">
        <v>0</v>
      </c>
      <c r="AG52" s="524" t="n">
        <v>0</v>
      </c>
      <c r="AH52" s="524" t="n">
        <v>0</v>
      </c>
      <c r="AI52" s="524" t="n">
        <v>0</v>
      </c>
      <c r="AJ52" s="524" t="n">
        <v>0</v>
      </c>
      <c r="AK52" s="524" t="n">
        <v>0</v>
      </c>
      <c r="AL52" s="524" t="n">
        <v>0</v>
      </c>
      <c r="AM52" s="524" t="n">
        <v>0</v>
      </c>
      <c r="AN52" s="524" t="n">
        <v>0</v>
      </c>
      <c r="AO52" s="524" t="n">
        <v>0</v>
      </c>
      <c r="AP52" s="524" t="n">
        <v>0</v>
      </c>
      <c r="AQ52" s="524" t="n">
        <v>0</v>
      </c>
      <c r="AR52" s="524" t="n">
        <v>0</v>
      </c>
      <c r="AS52" s="524" t="n">
        <v>0</v>
      </c>
      <c r="AT52" s="524" t="n">
        <v>0</v>
      </c>
      <c r="AU52" s="524" t="n">
        <v>0</v>
      </c>
      <c r="AV52" s="524" t="n">
        <v>0</v>
      </c>
      <c r="AW52" s="524" t="n">
        <v>0</v>
      </c>
      <c r="AX52" s="524" t="n">
        <v>0</v>
      </c>
      <c r="AY52" s="524" t="n">
        <v>0</v>
      </c>
      <c r="AZ52" s="524" t="n">
        <v>0</v>
      </c>
      <c r="BA52" s="524" t="n">
        <v>0</v>
      </c>
      <c r="BB52" s="524" t="n">
        <v>0</v>
      </c>
      <c r="BC52" s="524" t="n">
        <v>0</v>
      </c>
      <c r="BD52" s="524" t="n">
        <v>0</v>
      </c>
      <c r="BE52" s="524" t="n">
        <v>0</v>
      </c>
      <c r="BF52" s="524" t="n">
        <v>0</v>
      </c>
      <c r="BG52" s="524" t="n">
        <v>0</v>
      </c>
      <c r="BH52" s="524" t="n">
        <v>0</v>
      </c>
      <c r="BI52" s="524" t="n">
        <v>0</v>
      </c>
      <c r="BJ52" s="524" t="n">
        <v>0</v>
      </c>
      <c r="BK52" s="524" t="n">
        <v>0</v>
      </c>
      <c r="BL52" s="524" t="n">
        <v>0</v>
      </c>
      <c r="BM52" s="524" t="n">
        <v>0</v>
      </c>
      <c r="BN52" s="524" t="n">
        <v>0</v>
      </c>
      <c r="BO52" s="524" t="n">
        <v>0</v>
      </c>
      <c r="BP52" s="524" t="n">
        <v>0</v>
      </c>
      <c r="BQ52" s="524" t="n">
        <v>0</v>
      </c>
      <c r="BR52" s="524" t="n">
        <v>0</v>
      </c>
      <c r="BS52" s="524" t="n">
        <v>0</v>
      </c>
      <c r="BT52" s="524" t="n">
        <v>0</v>
      </c>
      <c r="BU52" s="524" t="n">
        <v>0</v>
      </c>
      <c r="BV52" s="524" t="n">
        <v>0</v>
      </c>
      <c r="BW52" s="524" t="n">
        <v>0</v>
      </c>
      <c r="BX52" s="524" t="n">
        <v>0</v>
      </c>
      <c r="BY52" s="524" t="n">
        <v>0</v>
      </c>
      <c r="BZ52" s="524" t="n">
        <v>0</v>
      </c>
      <c r="CA52" s="524" t="n">
        <v>0</v>
      </c>
      <c r="CB52" s="524" t="n">
        <v>0</v>
      </c>
      <c r="CC52" s="524" t="n">
        <v>0</v>
      </c>
      <c r="CD52" s="524" t="n">
        <v>0</v>
      </c>
      <c r="CE52" s="524" t="n">
        <v>0</v>
      </c>
      <c r="CF52" s="524" t="n">
        <v>0</v>
      </c>
      <c r="CG52" s="524" t="n">
        <v>0</v>
      </c>
      <c r="CH52" s="524" t="n">
        <v>0</v>
      </c>
      <c r="CI52" s="524" t="n">
        <v>0</v>
      </c>
      <c r="CJ52" s="524" t="n">
        <v>0</v>
      </c>
      <c r="CK52" s="524" t="n">
        <v>0</v>
      </c>
      <c r="CL52" s="524" t="n">
        <v>0</v>
      </c>
      <c r="CM52" s="524" t="n">
        <v>0</v>
      </c>
      <c r="CN52" s="524" t="n">
        <v>0</v>
      </c>
      <c r="CO52" s="524" t="n">
        <v>0</v>
      </c>
      <c r="CP52" s="524" t="n">
        <v>0</v>
      </c>
      <c r="CQ52" s="524" t="n">
        <v>0</v>
      </c>
      <c r="CR52" s="524" t="n">
        <v>0</v>
      </c>
      <c r="CS52" s="524" t="n">
        <v>0</v>
      </c>
      <c r="CT52" s="524" t="n">
        <v>0</v>
      </c>
      <c r="CU52" s="524" t="n">
        <v>0</v>
      </c>
      <c r="CV52" s="524" t="n">
        <v>0</v>
      </c>
      <c r="CW52" s="524" t="n">
        <v>0</v>
      </c>
      <c r="CX52" s="524" t="n">
        <v>0</v>
      </c>
      <c r="CY52" s="524" t="n">
        <v>0</v>
      </c>
      <c r="CZ52" s="524" t="n">
        <v>0</v>
      </c>
      <c r="DA52" s="524" t="n">
        <v>0</v>
      </c>
      <c r="DB52" s="524" t="n">
        <v>0</v>
      </c>
      <c r="DC52" s="524" t="n">
        <v>0</v>
      </c>
      <c r="DD52" s="524" t="n">
        <v>0</v>
      </c>
      <c r="DE52" s="524" t="n">
        <v>0</v>
      </c>
      <c r="DF52" s="524" t="n">
        <v>0</v>
      </c>
    </row>
    <row r="53" ht="15" customFormat="1" customHeight="1" s="380">
      <c r="A53" s="485" t="inlineStr">
        <is>
          <t>8200-2000 State Tax and Fees</t>
        </is>
      </c>
      <c r="C53" s="523" t="n">
        <v>0</v>
      </c>
      <c r="D53" s="523" t="n">
        <v>0</v>
      </c>
      <c r="E53" s="523" t="n">
        <v>-11105.35</v>
      </c>
      <c r="F53" s="524" t="n">
        <v>-3701.78</v>
      </c>
      <c r="G53" s="524" t="n">
        <v>-3701.78</v>
      </c>
      <c r="H53" s="524" t="n">
        <v>-3701.78</v>
      </c>
      <c r="I53" s="524" t="n">
        <v>-3701.78</v>
      </c>
      <c r="J53" s="524" t="n">
        <v>-3701.78</v>
      </c>
      <c r="K53" s="524" t="n">
        <v>-3701.78</v>
      </c>
      <c r="L53" s="524" t="n">
        <v>-3701.78</v>
      </c>
      <c r="M53" s="524" t="n">
        <v>-3701.78</v>
      </c>
      <c r="N53" s="524" t="n">
        <v>-3701.78</v>
      </c>
      <c r="O53" s="524" t="n">
        <v>-3701.78</v>
      </c>
      <c r="P53" s="524" t="n">
        <v>-3701.78</v>
      </c>
      <c r="Q53" s="524" t="n">
        <v>-3701.78</v>
      </c>
      <c r="R53" s="524" t="n">
        <v>-3775.8156</v>
      </c>
      <c r="S53" s="524" t="n">
        <v>-3775.8156</v>
      </c>
      <c r="T53" s="524" t="n">
        <v>-3775.8156</v>
      </c>
      <c r="U53" s="524" t="n">
        <v>-3775.8156</v>
      </c>
      <c r="V53" s="524" t="n">
        <v>-3775.8156</v>
      </c>
      <c r="W53" s="524" t="n">
        <v>-3775.8156</v>
      </c>
      <c r="X53" s="524" t="n">
        <v>-3775.8156</v>
      </c>
      <c r="Y53" s="524" t="n">
        <v>-3775.8156</v>
      </c>
      <c r="Z53" s="524" t="n">
        <v>-3775.8156</v>
      </c>
      <c r="AA53" s="524" t="n">
        <v>-3775.8156</v>
      </c>
      <c r="AB53" s="524" t="n">
        <v>-3775.8156</v>
      </c>
      <c r="AC53" s="524" t="n">
        <v>-3775.8156</v>
      </c>
      <c r="AD53" s="524" t="n">
        <v>-3851.331912</v>
      </c>
      <c r="AE53" s="524" t="n">
        <v>-3851.331912</v>
      </c>
      <c r="AF53" s="524" t="n">
        <v>-3851.331912</v>
      </c>
      <c r="AG53" s="524" t="n">
        <v>-3851.331912</v>
      </c>
      <c r="AH53" s="524" t="n">
        <v>-3851.331912</v>
      </c>
      <c r="AI53" s="524" t="n">
        <v>-3851.331912</v>
      </c>
      <c r="AJ53" s="524" t="n">
        <v>-3851.331912</v>
      </c>
      <c r="AK53" s="524" t="n">
        <v>-3851.331912</v>
      </c>
      <c r="AL53" s="524" t="n">
        <v>-3851.331912</v>
      </c>
      <c r="AM53" s="524" t="n">
        <v>-3851.331912</v>
      </c>
      <c r="AN53" s="524" t="n">
        <v>-3851.331912</v>
      </c>
      <c r="AO53" s="524" t="n">
        <v>-3851.331912</v>
      </c>
      <c r="AP53" s="524" t="n">
        <v>-3928.35855024</v>
      </c>
      <c r="AQ53" s="524" t="n">
        <v>-3928.35855024</v>
      </c>
      <c r="AR53" s="524" t="n">
        <v>-3928.35855024</v>
      </c>
      <c r="AS53" s="524" t="n">
        <v>-3928.35855024</v>
      </c>
      <c r="AT53" s="524" t="n">
        <v>-3928.35855024</v>
      </c>
      <c r="AU53" s="524" t="n">
        <v>-3928.35855024</v>
      </c>
      <c r="AV53" s="524" t="n">
        <v>-3928.35855024</v>
      </c>
      <c r="AW53" s="524" t="n">
        <v>-3928.35855024</v>
      </c>
      <c r="AX53" s="524" t="n">
        <v>-3928.35855024</v>
      </c>
      <c r="AY53" s="524" t="n">
        <v>-3928.35855024</v>
      </c>
      <c r="AZ53" s="524" t="n">
        <v>-3928.35855024</v>
      </c>
      <c r="BA53" s="524" t="n">
        <v>-3928.35855024</v>
      </c>
      <c r="BB53" s="524" t="n">
        <v>-4006.9257212448</v>
      </c>
      <c r="BC53" s="524" t="n">
        <v>-4006.9257212448</v>
      </c>
      <c r="BD53" s="524" t="n">
        <v>-4006.9257212448</v>
      </c>
      <c r="BE53" s="524" t="n">
        <v>-4006.9257212448</v>
      </c>
      <c r="BF53" s="524" t="n">
        <v>-4006.9257212448</v>
      </c>
      <c r="BG53" s="524" t="n">
        <v>-4006.9257212448</v>
      </c>
      <c r="BH53" s="524" t="n">
        <v>-4006.9257212448</v>
      </c>
      <c r="BI53" s="524" t="n">
        <v>-4006.9257212448</v>
      </c>
      <c r="BJ53" s="524" t="n">
        <v>-4006.9257212448</v>
      </c>
      <c r="BK53" s="524" t="n">
        <v>-4006.9257212448</v>
      </c>
      <c r="BL53" s="524" t="n">
        <v>-4006.9257212448</v>
      </c>
      <c r="BM53" s="524" t="n">
        <v>-4006.9257212448</v>
      </c>
      <c r="BN53" s="524" t="n">
        <v>-4087.0642356697</v>
      </c>
      <c r="BO53" s="524" t="n">
        <v>-4087.0642356697</v>
      </c>
      <c r="BP53" s="524" t="n">
        <v>-4087.0642356697</v>
      </c>
      <c r="BQ53" s="524" t="n">
        <v>-4087.0642356697</v>
      </c>
      <c r="BR53" s="524" t="n">
        <v>-4087.0642356697</v>
      </c>
      <c r="BS53" s="524" t="n">
        <v>-4087.0642356697</v>
      </c>
      <c r="BT53" s="524" t="n">
        <v>-4087.0642356697</v>
      </c>
      <c r="BU53" s="524" t="n">
        <v>-4087.0642356697</v>
      </c>
      <c r="BV53" s="524" t="n">
        <v>-4087.0642356697</v>
      </c>
      <c r="BW53" s="524" t="n">
        <v>-4087.0642356697</v>
      </c>
      <c r="BX53" s="524" t="n">
        <v>-4087.0642356697</v>
      </c>
      <c r="BY53" s="524" t="n">
        <v>-4087.0642356697</v>
      </c>
      <c r="BZ53" s="524" t="n">
        <v>-4168.80552038309</v>
      </c>
      <c r="CA53" s="524" t="n">
        <v>-4168.80552038309</v>
      </c>
      <c r="CB53" s="524" t="n">
        <v>-4168.80552038309</v>
      </c>
      <c r="CC53" s="524" t="n">
        <v>-4168.80552038309</v>
      </c>
      <c r="CD53" s="524" t="n">
        <v>-4168.80552038309</v>
      </c>
      <c r="CE53" s="524" t="n">
        <v>-4168.80552038309</v>
      </c>
      <c r="CF53" s="524" t="n">
        <v>-4168.80552038309</v>
      </c>
      <c r="CG53" s="524" t="n">
        <v>-4168.80552038309</v>
      </c>
      <c r="CH53" s="524" t="n">
        <v>-4168.80552038309</v>
      </c>
      <c r="CI53" s="524" t="n">
        <v>-4168.80552038309</v>
      </c>
      <c r="CJ53" s="524" t="n">
        <v>-4168.80552038309</v>
      </c>
      <c r="CK53" s="524" t="n">
        <v>-4168.80552038309</v>
      </c>
      <c r="CL53" s="524" t="n">
        <v>-4252.18163079075</v>
      </c>
      <c r="CM53" s="524" t="n">
        <v>-4252.18163079075</v>
      </c>
      <c r="CN53" s="524" t="n">
        <v>-4252.18163079075</v>
      </c>
      <c r="CO53" s="524" t="n">
        <v>-4252.18163079075</v>
      </c>
      <c r="CP53" s="524" t="n">
        <v>-4252.18163079075</v>
      </c>
      <c r="CQ53" s="524" t="n">
        <v>-4252.18163079075</v>
      </c>
      <c r="CR53" s="524" t="n">
        <v>-4252.18163079075</v>
      </c>
      <c r="CS53" s="524" t="n">
        <v>-4252.18163079075</v>
      </c>
      <c r="CT53" s="524" t="n">
        <v>-4252.18163079075</v>
      </c>
      <c r="CU53" s="524" t="n">
        <v>-4252.18163079075</v>
      </c>
      <c r="CV53" s="524" t="n">
        <v>-4252.18163079075</v>
      </c>
      <c r="CW53" s="524" t="n">
        <v>-4252.18163079075</v>
      </c>
      <c r="CX53" s="524" t="n">
        <v>-4337.22526340657</v>
      </c>
      <c r="CY53" s="524" t="n">
        <v>-4337.22526340657</v>
      </c>
      <c r="CZ53" s="524" t="n">
        <v>-4337.22526340657</v>
      </c>
      <c r="DA53" s="524" t="n">
        <v>-4337.22526340657</v>
      </c>
      <c r="DB53" s="524" t="n">
        <v>-4337.22526340657</v>
      </c>
      <c r="DC53" s="524" t="n">
        <v>-4337.22526340657</v>
      </c>
      <c r="DD53" s="524" t="n">
        <v>-4337.22526340657</v>
      </c>
      <c r="DE53" s="524" t="n">
        <v>-4337.22526340657</v>
      </c>
      <c r="DF53" s="524" t="n">
        <v>-4337.22526340657</v>
      </c>
    </row>
    <row r="54" ht="15" customFormat="1" customHeight="1" s="380">
      <c r="A54" s="485" t="inlineStr">
        <is>
          <t>GC Placeholder — Future Cost C</t>
        </is>
      </c>
      <c r="C54" s="523" t="n">
        <v>0</v>
      </c>
      <c r="D54" s="523" t="n">
        <v>0</v>
      </c>
      <c r="E54" s="523" t="n">
        <v>0</v>
      </c>
      <c r="F54" s="524" t="n">
        <v>0</v>
      </c>
      <c r="G54" s="524" t="n">
        <v>0</v>
      </c>
      <c r="H54" s="524" t="n">
        <v>0</v>
      </c>
      <c r="I54" s="524" t="n">
        <v>0</v>
      </c>
      <c r="J54" s="524" t="n">
        <v>0</v>
      </c>
      <c r="K54" s="524" t="n">
        <v>0</v>
      </c>
      <c r="L54" s="524" t="n">
        <v>0</v>
      </c>
      <c r="M54" s="524" t="n">
        <v>0</v>
      </c>
      <c r="N54" s="524" t="n">
        <v>0</v>
      </c>
      <c r="O54" s="524" t="n">
        <v>0</v>
      </c>
      <c r="P54" s="524" t="n">
        <v>0</v>
      </c>
      <c r="Q54" s="524" t="n">
        <v>0</v>
      </c>
      <c r="R54" s="524" t="n">
        <v>0</v>
      </c>
      <c r="S54" s="524" t="n">
        <v>0</v>
      </c>
      <c r="T54" s="524" t="n">
        <v>0</v>
      </c>
      <c r="U54" s="524" t="n">
        <v>0</v>
      </c>
      <c r="V54" s="524" t="n">
        <v>0</v>
      </c>
      <c r="W54" s="524" t="n">
        <v>0</v>
      </c>
      <c r="X54" s="524" t="n">
        <v>0</v>
      </c>
      <c r="Y54" s="524" t="n">
        <v>0</v>
      </c>
      <c r="Z54" s="524" t="n">
        <v>0</v>
      </c>
      <c r="AA54" s="524" t="n">
        <v>0</v>
      </c>
      <c r="AB54" s="524" t="n">
        <v>0</v>
      </c>
      <c r="AC54" s="524" t="n">
        <v>0</v>
      </c>
      <c r="AD54" s="524" t="n">
        <v>0</v>
      </c>
      <c r="AE54" s="524" t="n">
        <v>0</v>
      </c>
      <c r="AF54" s="524" t="n">
        <v>0</v>
      </c>
      <c r="AG54" s="524" t="n">
        <v>0</v>
      </c>
      <c r="AH54" s="524" t="n">
        <v>0</v>
      </c>
      <c r="AI54" s="524" t="n">
        <v>0</v>
      </c>
      <c r="AJ54" s="524" t="n">
        <v>0</v>
      </c>
      <c r="AK54" s="524" t="n">
        <v>0</v>
      </c>
      <c r="AL54" s="524" t="n">
        <v>0</v>
      </c>
      <c r="AM54" s="524" t="n">
        <v>0</v>
      </c>
      <c r="AN54" s="524" t="n">
        <v>0</v>
      </c>
      <c r="AO54" s="524" t="n">
        <v>0</v>
      </c>
      <c r="AP54" s="524" t="n">
        <v>0</v>
      </c>
      <c r="AQ54" s="524" t="n">
        <v>0</v>
      </c>
      <c r="AR54" s="524" t="n">
        <v>0</v>
      </c>
      <c r="AS54" s="524" t="n">
        <v>0</v>
      </c>
      <c r="AT54" s="524" t="n">
        <v>0</v>
      </c>
      <c r="AU54" s="524" t="n">
        <v>0</v>
      </c>
      <c r="AV54" s="524" t="n">
        <v>0</v>
      </c>
      <c r="AW54" s="524" t="n">
        <v>0</v>
      </c>
      <c r="AX54" s="524" t="n">
        <v>0</v>
      </c>
      <c r="AY54" s="524" t="n">
        <v>0</v>
      </c>
      <c r="AZ54" s="524" t="n">
        <v>0</v>
      </c>
      <c r="BA54" s="524" t="n">
        <v>0</v>
      </c>
      <c r="BB54" s="524" t="n">
        <v>0</v>
      </c>
      <c r="BC54" s="524" t="n">
        <v>0</v>
      </c>
      <c r="BD54" s="524" t="n">
        <v>0</v>
      </c>
      <c r="BE54" s="524" t="n">
        <v>0</v>
      </c>
      <c r="BF54" s="524" t="n">
        <v>0</v>
      </c>
      <c r="BG54" s="524" t="n">
        <v>0</v>
      </c>
      <c r="BH54" s="524" t="n">
        <v>0</v>
      </c>
      <c r="BI54" s="524" t="n">
        <v>0</v>
      </c>
      <c r="BJ54" s="524" t="n">
        <v>0</v>
      </c>
      <c r="BK54" s="524" t="n">
        <v>0</v>
      </c>
      <c r="BL54" s="524" t="n">
        <v>0</v>
      </c>
      <c r="BM54" s="524" t="n">
        <v>0</v>
      </c>
      <c r="BN54" s="524" t="n">
        <v>0</v>
      </c>
      <c r="BO54" s="524" t="n">
        <v>0</v>
      </c>
      <c r="BP54" s="524" t="n">
        <v>0</v>
      </c>
      <c r="BQ54" s="524" t="n">
        <v>0</v>
      </c>
      <c r="BR54" s="524" t="n">
        <v>0</v>
      </c>
      <c r="BS54" s="524" t="n">
        <v>0</v>
      </c>
      <c r="BT54" s="524" t="n">
        <v>0</v>
      </c>
      <c r="BU54" s="524" t="n">
        <v>0</v>
      </c>
      <c r="BV54" s="524" t="n">
        <v>0</v>
      </c>
      <c r="BW54" s="524" t="n">
        <v>0</v>
      </c>
      <c r="BX54" s="524" t="n">
        <v>0</v>
      </c>
      <c r="BY54" s="524" t="n">
        <v>0</v>
      </c>
      <c r="BZ54" s="524" t="n">
        <v>0</v>
      </c>
      <c r="CA54" s="524" t="n">
        <v>0</v>
      </c>
      <c r="CB54" s="524" t="n">
        <v>0</v>
      </c>
      <c r="CC54" s="524" t="n">
        <v>0</v>
      </c>
      <c r="CD54" s="524" t="n">
        <v>0</v>
      </c>
      <c r="CE54" s="524" t="n">
        <v>0</v>
      </c>
      <c r="CF54" s="524" t="n">
        <v>0</v>
      </c>
      <c r="CG54" s="524" t="n">
        <v>0</v>
      </c>
      <c r="CH54" s="524" t="n">
        <v>0</v>
      </c>
      <c r="CI54" s="524" t="n">
        <v>0</v>
      </c>
      <c r="CJ54" s="524" t="n">
        <v>0</v>
      </c>
      <c r="CK54" s="524" t="n">
        <v>0</v>
      </c>
      <c r="CL54" s="524" t="n">
        <v>0</v>
      </c>
      <c r="CM54" s="524" t="n">
        <v>0</v>
      </c>
      <c r="CN54" s="524" t="n">
        <v>0</v>
      </c>
      <c r="CO54" s="524" t="n">
        <v>0</v>
      </c>
      <c r="CP54" s="524" t="n">
        <v>0</v>
      </c>
      <c r="CQ54" s="524" t="n">
        <v>0</v>
      </c>
      <c r="CR54" s="524" t="n">
        <v>0</v>
      </c>
      <c r="CS54" s="524" t="n">
        <v>0</v>
      </c>
      <c r="CT54" s="524" t="n">
        <v>0</v>
      </c>
      <c r="CU54" s="524" t="n">
        <v>0</v>
      </c>
      <c r="CV54" s="524" t="n">
        <v>0</v>
      </c>
      <c r="CW54" s="524" t="n">
        <v>0</v>
      </c>
      <c r="CX54" s="524" t="n">
        <v>0</v>
      </c>
      <c r="CY54" s="524" t="n">
        <v>0</v>
      </c>
      <c r="CZ54" s="524" t="n">
        <v>0</v>
      </c>
      <c r="DA54" s="524" t="n">
        <v>0</v>
      </c>
      <c r="DB54" s="524" t="n">
        <v>0</v>
      </c>
      <c r="DC54" s="524" t="n">
        <v>0</v>
      </c>
      <c r="DD54" s="524" t="n">
        <v>0</v>
      </c>
      <c r="DE54" s="524" t="n">
        <v>0</v>
      </c>
      <c r="DF54" s="524" t="n">
        <v>0</v>
      </c>
    </row>
    <row r="55" ht="15" customFormat="1" customHeight="1" s="380">
      <c r="A55" s="473" t="inlineStr">
        <is>
          <t>Total GC Costs</t>
        </is>
      </c>
      <c r="C55" s="526" t="n">
        <v>-258991.59</v>
      </c>
      <c r="D55" s="526" t="n">
        <v>-258698.63</v>
      </c>
      <c r="E55" s="526" t="n">
        <v>-350327.83</v>
      </c>
      <c r="F55" s="526" t="n">
        <v>-391691.558333333</v>
      </c>
      <c r="G55" s="526" t="n">
        <v>-464089.475</v>
      </c>
      <c r="H55" s="526" t="n">
        <v>-493464.475</v>
      </c>
      <c r="I55" s="526" t="n">
        <v>-480368.641666666</v>
      </c>
      <c r="J55" s="526" t="n">
        <v>-460868.641666666</v>
      </c>
      <c r="K55" s="526" t="n">
        <v>-460868.641666666</v>
      </c>
      <c r="L55" s="526" t="n">
        <v>-522222.808333333</v>
      </c>
      <c r="M55" s="526" t="n">
        <v>-573072.808333333</v>
      </c>
      <c r="N55" s="526" t="n">
        <v>-519072.808333333</v>
      </c>
      <c r="O55" s="526" t="n">
        <v>-519072.808333333</v>
      </c>
      <c r="P55" s="526" t="n">
        <v>-519072.808333333</v>
      </c>
      <c r="Q55" s="526" t="n">
        <v>-519072.808333333</v>
      </c>
      <c r="R55" s="526" t="n">
        <v>-566949.597833333</v>
      </c>
      <c r="S55" s="526" t="n">
        <v>-542949.597833333</v>
      </c>
      <c r="T55" s="526" t="n">
        <v>-542949.597833333</v>
      </c>
      <c r="U55" s="526" t="n">
        <v>-542949.597833333</v>
      </c>
      <c r="V55" s="526" t="n">
        <v>-542949.597833333</v>
      </c>
      <c r="W55" s="526" t="n">
        <v>-542949.597833333</v>
      </c>
      <c r="X55" s="526" t="n">
        <v>-542949.597833333</v>
      </c>
      <c r="Y55" s="526" t="n">
        <v>-542949.597833333</v>
      </c>
      <c r="Z55" s="526" t="n">
        <v>-542949.597833333</v>
      </c>
      <c r="AA55" s="526" t="n">
        <v>-542949.597833333</v>
      </c>
      <c r="AB55" s="526" t="n">
        <v>-542949.597833333</v>
      </c>
      <c r="AC55" s="526" t="n">
        <v>-542949.597833333</v>
      </c>
      <c r="AD55" s="526" t="n">
        <v>-551731.923123333</v>
      </c>
      <c r="AE55" s="526" t="n">
        <v>-551731.923123333</v>
      </c>
      <c r="AF55" s="526" t="n">
        <v>-551731.923123333</v>
      </c>
      <c r="AG55" s="526" t="n">
        <v>-551731.923123333</v>
      </c>
      <c r="AH55" s="526" t="n">
        <v>-551731.923123333</v>
      </c>
      <c r="AI55" s="526" t="n">
        <v>-551731.923123333</v>
      </c>
      <c r="AJ55" s="526" t="n">
        <v>-551731.923123333</v>
      </c>
      <c r="AK55" s="526" t="n">
        <v>-551731.923123333</v>
      </c>
      <c r="AL55" s="526" t="n">
        <v>-551731.923123333</v>
      </c>
      <c r="AM55" s="526" t="n">
        <v>-551731.923123333</v>
      </c>
      <c r="AN55" s="526" t="n">
        <v>-551731.923123333</v>
      </c>
      <c r="AO55" s="526" t="n">
        <v>-551731.923123333</v>
      </c>
      <c r="AP55" s="526" t="n">
        <v>-560689.894919133</v>
      </c>
      <c r="AQ55" s="526" t="n">
        <v>-560689.894919133</v>
      </c>
      <c r="AR55" s="526" t="n">
        <v>-560689.894919133</v>
      </c>
      <c r="AS55" s="526" t="n">
        <v>-560689.894919133</v>
      </c>
      <c r="AT55" s="526" t="n">
        <v>-560689.894919133</v>
      </c>
      <c r="AU55" s="526" t="n">
        <v>-560689.894919133</v>
      </c>
      <c r="AV55" s="526" t="n">
        <v>-560689.894919133</v>
      </c>
      <c r="AW55" s="526" t="n">
        <v>-560689.894919133</v>
      </c>
      <c r="AX55" s="526" t="n">
        <v>-560689.894919133</v>
      </c>
      <c r="AY55" s="526" t="n">
        <v>-560689.894919133</v>
      </c>
      <c r="AZ55" s="526" t="n">
        <v>-560689.894919133</v>
      </c>
      <c r="BA55" s="526" t="n">
        <v>-560689.894919133</v>
      </c>
      <c r="BB55" s="526" t="n">
        <v>-569827.0261508489</v>
      </c>
      <c r="BC55" s="526" t="n">
        <v>-569827.0261508489</v>
      </c>
      <c r="BD55" s="526" t="n">
        <v>-569827.0261508489</v>
      </c>
      <c r="BE55" s="526" t="n">
        <v>-569827.0261508489</v>
      </c>
      <c r="BF55" s="526" t="n">
        <v>-569827.0261508489</v>
      </c>
      <c r="BG55" s="526" t="n">
        <v>-569827.0261508489</v>
      </c>
      <c r="BH55" s="526" t="n">
        <v>-569827.0261508489</v>
      </c>
      <c r="BI55" s="526" t="n">
        <v>-569827.0261508489</v>
      </c>
      <c r="BJ55" s="526" t="n">
        <v>-569827.0261508489</v>
      </c>
      <c r="BK55" s="526" t="n">
        <v>-569827.0261508489</v>
      </c>
      <c r="BL55" s="526" t="n">
        <v>-569827.0261508489</v>
      </c>
      <c r="BM55" s="526" t="n">
        <v>-569827.0261508489</v>
      </c>
      <c r="BN55" s="526" t="n">
        <v>-579146.900007199</v>
      </c>
      <c r="BO55" s="526" t="n">
        <v>-579146.900007199</v>
      </c>
      <c r="BP55" s="526" t="n">
        <v>-579146.900007199</v>
      </c>
      <c r="BQ55" s="526" t="n">
        <v>-579146.900007199</v>
      </c>
      <c r="BR55" s="526" t="n">
        <v>-579146.900007199</v>
      </c>
      <c r="BS55" s="526" t="n">
        <v>-579146.900007199</v>
      </c>
      <c r="BT55" s="526" t="n">
        <v>-579146.900007199</v>
      </c>
      <c r="BU55" s="526" t="n">
        <v>-579146.900007199</v>
      </c>
      <c r="BV55" s="526" t="n">
        <v>-579146.900007199</v>
      </c>
      <c r="BW55" s="526" t="n">
        <v>-579146.900007199</v>
      </c>
      <c r="BX55" s="526" t="n">
        <v>-579146.900007199</v>
      </c>
      <c r="BY55" s="526" t="n">
        <v>-579146.900007199</v>
      </c>
      <c r="BZ55" s="526" t="n">
        <v>-588653.171340677</v>
      </c>
      <c r="CA55" s="526" t="n">
        <v>-588653.171340677</v>
      </c>
      <c r="CB55" s="526" t="n">
        <v>-588653.171340677</v>
      </c>
      <c r="CC55" s="526" t="n">
        <v>-588653.171340677</v>
      </c>
      <c r="CD55" s="526" t="n">
        <v>-588653.171340677</v>
      </c>
      <c r="CE55" s="526" t="n">
        <v>-588653.171340677</v>
      </c>
      <c r="CF55" s="526" t="n">
        <v>-588653.171340677</v>
      </c>
      <c r="CG55" s="526" t="n">
        <v>-588653.171340677</v>
      </c>
      <c r="CH55" s="526" t="n">
        <v>-588653.171340677</v>
      </c>
      <c r="CI55" s="526" t="n">
        <v>-588653.171340677</v>
      </c>
      <c r="CJ55" s="526" t="n">
        <v>-588653.171340677</v>
      </c>
      <c r="CK55" s="526" t="n">
        <v>-588653.171340677</v>
      </c>
      <c r="CL55" s="526" t="n">
        <v>-598349.568100823</v>
      </c>
      <c r="CM55" s="526" t="n">
        <v>-598349.568100823</v>
      </c>
      <c r="CN55" s="526" t="n">
        <v>-598349.568100823</v>
      </c>
      <c r="CO55" s="526" t="n">
        <v>-598349.568100823</v>
      </c>
      <c r="CP55" s="526" t="n">
        <v>-598349.568100823</v>
      </c>
      <c r="CQ55" s="526" t="n">
        <v>-598349.568100823</v>
      </c>
      <c r="CR55" s="526" t="n">
        <v>-598349.568100823</v>
      </c>
      <c r="CS55" s="526" t="n">
        <v>-598349.568100823</v>
      </c>
      <c r="CT55" s="526" t="n">
        <v>-598349.568100823</v>
      </c>
      <c r="CU55" s="526" t="n">
        <v>-541129.466733473</v>
      </c>
      <c r="CV55" s="526" t="n">
        <v>-541129.466733473</v>
      </c>
      <c r="CW55" s="526" t="n">
        <v>-541129.466733473</v>
      </c>
      <c r="CX55" s="526" t="n">
        <v>-549875.389401476</v>
      </c>
      <c r="CY55" s="526" t="n">
        <v>-549875.389401476</v>
      </c>
      <c r="CZ55" s="526" t="n">
        <v>-549875.389401476</v>
      </c>
      <c r="DA55" s="526" t="n">
        <v>-549875.389401476</v>
      </c>
      <c r="DB55" s="526" t="n">
        <v>-549875.389401476</v>
      </c>
      <c r="DC55" s="526" t="n">
        <v>-549875.389401476</v>
      </c>
      <c r="DD55" s="526" t="n">
        <v>-549875.389401476</v>
      </c>
      <c r="DE55" s="526" t="n">
        <v>-549875.389401476</v>
      </c>
      <c r="DF55" s="526" t="n">
        <v>-549875.389401476</v>
      </c>
    </row>
    <row r="56" ht="15" customFormat="1" customHeight="1" s="380">
      <c r="A56" s="468" t="n"/>
      <c r="C56" s="483" t="n"/>
      <c r="D56" s="483" t="n"/>
      <c r="E56" s="483" t="n"/>
      <c r="F56" s="522" t="n"/>
      <c r="G56" s="522" t="n"/>
      <c r="H56" s="522" t="n"/>
      <c r="I56" s="522" t="n"/>
      <c r="J56" s="522" t="n"/>
      <c r="K56" s="522" t="n"/>
      <c r="L56" s="522" t="n"/>
      <c r="M56" s="522" t="n"/>
      <c r="N56" s="522" t="n"/>
      <c r="O56" s="522" t="n"/>
      <c r="P56" s="522" t="n"/>
      <c r="Q56" s="522" t="n"/>
      <c r="R56" s="522" t="n"/>
      <c r="S56" s="522" t="n"/>
      <c r="T56" s="522" t="n"/>
      <c r="U56" s="522" t="n"/>
      <c r="V56" s="522" t="n"/>
      <c r="W56" s="522" t="n"/>
      <c r="X56" s="522" t="n"/>
      <c r="Y56" s="522" t="n"/>
      <c r="Z56" s="522" t="n"/>
      <c r="AA56" s="522" t="n"/>
      <c r="AB56" s="522" t="n"/>
      <c r="AC56" s="522" t="n"/>
      <c r="AD56" s="522" t="n"/>
      <c r="AE56" s="522" t="n"/>
      <c r="AF56" s="522" t="n"/>
      <c r="AG56" s="522" t="n"/>
      <c r="AH56" s="522" t="n"/>
      <c r="AI56" s="522" t="n"/>
      <c r="AJ56" s="522" t="n"/>
      <c r="AK56" s="522" t="n"/>
      <c r="AL56" s="522" t="n"/>
      <c r="AM56" s="522" t="n"/>
      <c r="AN56" s="522" t="n"/>
      <c r="AO56" s="522" t="n"/>
      <c r="AP56" s="522" t="n"/>
      <c r="AQ56" s="522" t="n"/>
      <c r="AR56" s="522" t="n"/>
      <c r="AS56" s="522" t="n"/>
      <c r="AT56" s="522" t="n"/>
      <c r="AU56" s="522" t="n"/>
      <c r="AV56" s="522" t="n"/>
      <c r="AW56" s="522" t="n"/>
      <c r="AX56" s="522" t="n"/>
      <c r="AY56" s="522" t="n"/>
      <c r="AZ56" s="522" t="n"/>
      <c r="BA56" s="522" t="n"/>
      <c r="BB56" s="522" t="n"/>
      <c r="BC56" s="522" t="n"/>
      <c r="BD56" s="522" t="n"/>
      <c r="BE56" s="522" t="n"/>
      <c r="BF56" s="522" t="n"/>
      <c r="BG56" s="522" t="n"/>
      <c r="BH56" s="522" t="n"/>
      <c r="BI56" s="522" t="n"/>
      <c r="BJ56" s="522" t="n"/>
      <c r="BK56" s="522" t="n"/>
      <c r="BL56" s="522" t="n"/>
      <c r="BM56" s="522" t="n"/>
      <c r="BN56" s="522" t="n"/>
      <c r="BO56" s="522" t="n"/>
      <c r="BP56" s="522" t="n"/>
      <c r="BQ56" s="522" t="n"/>
      <c r="BR56" s="522" t="n"/>
      <c r="BS56" s="522" t="n"/>
      <c r="BT56" s="522" t="n"/>
      <c r="BU56" s="522" t="n"/>
      <c r="BV56" s="522" t="n"/>
      <c r="BW56" s="522" t="n"/>
      <c r="BX56" s="522" t="n"/>
      <c r="BY56" s="522" t="n"/>
      <c r="BZ56" s="522" t="n"/>
      <c r="CA56" s="522" t="n"/>
      <c r="CB56" s="522" t="n"/>
      <c r="CC56" s="522" t="n"/>
      <c r="CD56" s="522" t="n"/>
      <c r="CE56" s="522" t="n"/>
      <c r="CF56" s="522" t="n"/>
      <c r="CG56" s="522" t="n"/>
      <c r="CH56" s="522" t="n"/>
      <c r="CI56" s="522" t="n"/>
      <c r="CJ56" s="522" t="n"/>
      <c r="CK56" s="522" t="n"/>
      <c r="CL56" s="522" t="n"/>
      <c r="CM56" s="522" t="n"/>
      <c r="CN56" s="522" t="n"/>
      <c r="CO56" s="522" t="n"/>
      <c r="CP56" s="522" t="n"/>
      <c r="CQ56" s="522" t="n"/>
      <c r="CR56" s="522" t="n"/>
      <c r="CS56" s="522" t="n"/>
      <c r="CT56" s="522" t="n"/>
      <c r="CU56" s="522" t="n"/>
      <c r="CV56" s="522" t="n"/>
      <c r="CW56" s="522" t="n"/>
      <c r="CX56" s="522" t="n"/>
      <c r="CY56" s="522" t="n"/>
      <c r="CZ56" s="522" t="n"/>
      <c r="DA56" s="522" t="n"/>
      <c r="DB56" s="522" t="n"/>
      <c r="DC56" s="522" t="n"/>
      <c r="DD56" s="522" t="n"/>
      <c r="DE56" s="522" t="n"/>
      <c r="DF56" s="522" t="n"/>
    </row>
    <row r="57" ht="15" customFormat="1" customHeight="1" s="380">
      <c r="A57" s="480" t="inlineStr">
        <is>
          <t>GC Net Income</t>
        </is>
      </c>
      <c r="C57" s="530" t="n">
        <v>-40238.7799999999</v>
      </c>
      <c r="D57" s="530" t="n">
        <v>-309702.1</v>
      </c>
      <c r="E57" s="530" t="n">
        <v>243856.69</v>
      </c>
      <c r="F57" s="530" t="n">
        <v>77193.5079209369</v>
      </c>
      <c r="G57" s="530" t="n">
        <v>4795.59125425993</v>
      </c>
      <c r="H57" s="530" t="n">
        <v>-24579.4087457396</v>
      </c>
      <c r="I57" s="530" t="n">
        <v>478888.752787913</v>
      </c>
      <c r="J57" s="530" t="n">
        <v>171828.547987913</v>
      </c>
      <c r="K57" s="530" t="n">
        <v>171828.547987913</v>
      </c>
      <c r="L57" s="530" t="n">
        <v>476879.116623526</v>
      </c>
      <c r="M57" s="530" t="n">
        <v>507880.050630907</v>
      </c>
      <c r="N57" s="530" t="n">
        <v>255504.966544817</v>
      </c>
      <c r="O57" s="530" t="n">
        <v>255504.966544827</v>
      </c>
      <c r="P57" s="530" t="n">
        <v>255504.966544827</v>
      </c>
      <c r="Q57" s="530" t="n">
        <v>255504.966544817</v>
      </c>
      <c r="R57" s="530" t="n">
        <v>-411966.093897963</v>
      </c>
      <c r="S57" s="530" t="n">
        <v>404202.381102027</v>
      </c>
      <c r="T57" s="530" t="n">
        <v>562864.259388238</v>
      </c>
      <c r="U57" s="530" t="n">
        <v>324683.812184128</v>
      </c>
      <c r="V57" s="530" t="n">
        <v>59005.0606073667</v>
      </c>
      <c r="W57" s="530" t="n">
        <v>59005.0606073677</v>
      </c>
      <c r="X57" s="530" t="n">
        <v>80815.3650471163</v>
      </c>
      <c r="Y57" s="530" t="n">
        <v>37194.7561676172</v>
      </c>
      <c r="Z57" s="530" t="n">
        <v>37194.7561676162</v>
      </c>
      <c r="AA57" s="530" t="n">
        <v>37194.7561676172</v>
      </c>
      <c r="AB57" s="530" t="n">
        <v>37194.7561676162</v>
      </c>
      <c r="AC57" s="530" t="n">
        <v>37194.7561676172</v>
      </c>
      <c r="AD57" s="530" t="n">
        <v>110433.446720217</v>
      </c>
      <c r="AE57" s="530" t="n">
        <v>-53608.5849649826</v>
      </c>
      <c r="AF57" s="530" t="n">
        <v>-619655.0040964331</v>
      </c>
      <c r="AG57" s="530" t="n">
        <v>104051.055903567</v>
      </c>
      <c r="AH57" s="530" t="n">
        <v>104051.055903567</v>
      </c>
      <c r="AI57" s="530" t="n">
        <v>104051.055903567</v>
      </c>
      <c r="AJ57" s="530" t="n">
        <v>232047.185471317</v>
      </c>
      <c r="AK57" s="530" t="n">
        <v>2720.78666242689</v>
      </c>
      <c r="AL57" s="530" t="n">
        <v>261371.507820827</v>
      </c>
      <c r="AM57" s="530" t="n">
        <v>-161091.336737893</v>
      </c>
      <c r="AN57" s="530" t="n">
        <v>-161091.336737893</v>
      </c>
      <c r="AO57" s="530" t="n">
        <v>-65712.2712752431</v>
      </c>
      <c r="AP57" s="530" t="n">
        <v>-230456.049993373</v>
      </c>
      <c r="AQ57" s="530" t="n">
        <v>-230456.049993373</v>
      </c>
      <c r="AR57" s="530" t="n">
        <v>-230456.049993373</v>
      </c>
      <c r="AS57" s="530" t="n">
        <v>-230456.049993373</v>
      </c>
      <c r="AT57" s="530" t="n">
        <v>-230456.049993373</v>
      </c>
      <c r="AU57" s="530" t="n">
        <v>42029.5353601269</v>
      </c>
      <c r="AV57" s="530" t="n">
        <v>-403030.254050583</v>
      </c>
      <c r="AW57" s="530" t="n">
        <v>-403030.254050583</v>
      </c>
      <c r="AX57" s="530" t="n">
        <v>-403030.254050583</v>
      </c>
      <c r="AY57" s="530" t="n">
        <v>-403030.254050583</v>
      </c>
      <c r="AZ57" s="530" t="n">
        <v>-403030.254050583</v>
      </c>
      <c r="BA57" s="530" t="n">
        <v>-403030.254050583</v>
      </c>
      <c r="BB57" s="530" t="n">
        <v>-412167.385282299</v>
      </c>
      <c r="BC57" s="530" t="n">
        <v>-412167.385282299</v>
      </c>
      <c r="BD57" s="530" t="n">
        <v>-412167.385282299</v>
      </c>
      <c r="BE57" s="530" t="n">
        <v>-412167.385282302</v>
      </c>
      <c r="BF57" s="530" t="n">
        <v>-412167.385282302</v>
      </c>
      <c r="BG57" s="530" t="n">
        <v>-412167.385282302</v>
      </c>
      <c r="BH57" s="530" t="n">
        <v>-412167.385282302</v>
      </c>
      <c r="BI57" s="530" t="n">
        <v>-163231.110226702</v>
      </c>
      <c r="BJ57" s="530" t="n">
        <v>-569827.0261508489</v>
      </c>
      <c r="BK57" s="530" t="n">
        <v>-569827.0261508489</v>
      </c>
      <c r="BL57" s="530" t="n">
        <v>-569827.0261508489</v>
      </c>
      <c r="BM57" s="530" t="n">
        <v>-569827.0261508489</v>
      </c>
      <c r="BN57" s="530" t="n">
        <v>-579146.900007199</v>
      </c>
      <c r="BO57" s="530" t="n">
        <v>-579146.900007199</v>
      </c>
      <c r="BP57" s="530" t="n">
        <v>-579146.900007199</v>
      </c>
      <c r="BQ57" s="530" t="n">
        <v>-579146.900007199</v>
      </c>
      <c r="BR57" s="530" t="n">
        <v>-579146.900007199</v>
      </c>
      <c r="BS57" s="530" t="n">
        <v>-579146.900007199</v>
      </c>
      <c r="BT57" s="530" t="n">
        <v>-579146.900007199</v>
      </c>
      <c r="BU57" s="530" t="n">
        <v>-579146.900007199</v>
      </c>
      <c r="BV57" s="530" t="n">
        <v>-579146.900007199</v>
      </c>
      <c r="BW57" s="530" t="n">
        <v>-579146.900007199</v>
      </c>
      <c r="BX57" s="530" t="n">
        <v>-579146.900007199</v>
      </c>
      <c r="BY57" s="530" t="n">
        <v>-579146.900007199</v>
      </c>
      <c r="BZ57" s="530" t="n">
        <v>-588653.171340677</v>
      </c>
      <c r="CA57" s="530" t="n">
        <v>-588653.171340677</v>
      </c>
      <c r="CB57" s="530" t="n">
        <v>-588653.171340677</v>
      </c>
      <c r="CC57" s="530" t="n">
        <v>-588653.171340677</v>
      </c>
      <c r="CD57" s="530" t="n">
        <v>-588653.171340677</v>
      </c>
      <c r="CE57" s="530" t="n">
        <v>-588653.171340677</v>
      </c>
      <c r="CF57" s="530" t="n">
        <v>-588653.171340677</v>
      </c>
      <c r="CG57" s="530" t="n">
        <v>-588653.171340677</v>
      </c>
      <c r="CH57" s="530" t="n">
        <v>-588653.171340677</v>
      </c>
      <c r="CI57" s="530" t="n">
        <v>-588653.171340677</v>
      </c>
      <c r="CJ57" s="530" t="n">
        <v>-588653.171340677</v>
      </c>
      <c r="CK57" s="530" t="n">
        <v>-588653.171340677</v>
      </c>
      <c r="CL57" s="530" t="n">
        <v>-598349.568100823</v>
      </c>
      <c r="CM57" s="530" t="n">
        <v>-598349.568100823</v>
      </c>
      <c r="CN57" s="530" t="n">
        <v>-598349.568100823</v>
      </c>
      <c r="CO57" s="530" t="n">
        <v>-598349.568100823</v>
      </c>
      <c r="CP57" s="530" t="n">
        <v>-598349.568100823</v>
      </c>
      <c r="CQ57" s="530" t="n">
        <v>-598349.568100823</v>
      </c>
      <c r="CR57" s="530" t="n">
        <v>-598349.568100823</v>
      </c>
      <c r="CS57" s="530" t="n">
        <v>-598349.568100823</v>
      </c>
      <c r="CT57" s="530" t="n">
        <v>-598349.568100823</v>
      </c>
      <c r="CU57" s="530" t="n">
        <v>-541129.466733473</v>
      </c>
      <c r="CV57" s="530" t="n">
        <v>-541129.466733473</v>
      </c>
      <c r="CW57" s="530" t="n">
        <v>-541129.466733473</v>
      </c>
      <c r="CX57" s="530" t="n">
        <v>-549875.389401476</v>
      </c>
      <c r="CY57" s="530" t="n">
        <v>-549875.389401476</v>
      </c>
      <c r="CZ57" s="530" t="n">
        <v>-549875.389401476</v>
      </c>
      <c r="DA57" s="530" t="n">
        <v>-549875.389401476</v>
      </c>
      <c r="DB57" s="530" t="n">
        <v>-549875.389401476</v>
      </c>
      <c r="DC57" s="530" t="n">
        <v>-549875.389401476</v>
      </c>
      <c r="DD57" s="530" t="n">
        <v>-549875.389401476</v>
      </c>
      <c r="DE57" s="530" t="n">
        <v>-549875.389401476</v>
      </c>
      <c r="DF57" s="530" t="n">
        <v>-549875.389401476</v>
      </c>
    </row>
    <row r="58" ht="15" customFormat="1" customHeight="1" s="380">
      <c r="A58" s="478" t="inlineStr">
        <is>
          <t>GC Net Profit Margin %</t>
        </is>
      </c>
      <c r="C58" s="529">
        <f>IFERROR(C57/C13,0)</f>
        <v/>
      </c>
      <c r="D58" s="529">
        <f>IFERROR(D57/D13,0)</f>
        <v/>
      </c>
      <c r="E58" s="529">
        <f>IFERROR(E57/E13,0)</f>
        <v/>
      </c>
      <c r="F58" s="529">
        <f>IFERROR(F57/F13,0)</f>
        <v/>
      </c>
      <c r="G58" s="529">
        <f>IFERROR(G57/G13,0)</f>
        <v/>
      </c>
      <c r="H58" s="529">
        <f>IFERROR(H57/H13,0)</f>
        <v/>
      </c>
      <c r="I58" s="529">
        <f>IFERROR(I57/I13,0)</f>
        <v/>
      </c>
      <c r="J58" s="529">
        <f>IFERROR(J57/J13,0)</f>
        <v/>
      </c>
      <c r="K58" s="529">
        <f>IFERROR(K57/K13,0)</f>
        <v/>
      </c>
      <c r="L58" s="529">
        <f>IFERROR(L57/L13,0)</f>
        <v/>
      </c>
      <c r="M58" s="529">
        <f>IFERROR(M57/M13,0)</f>
        <v/>
      </c>
      <c r="N58" s="529">
        <f>IFERROR(N57/N13,0)</f>
        <v/>
      </c>
      <c r="O58" s="529">
        <f>IFERROR(O57/O13,0)</f>
        <v/>
      </c>
      <c r="P58" s="529">
        <f>IFERROR(P57/P13,0)</f>
        <v/>
      </c>
      <c r="Q58" s="529">
        <f>IFERROR(Q57/Q13,0)</f>
        <v/>
      </c>
      <c r="R58" s="529">
        <f>IFERROR(R57/R13,0)</f>
        <v/>
      </c>
      <c r="S58" s="529">
        <f>IFERROR(S57/S13,0)</f>
        <v/>
      </c>
      <c r="T58" s="529">
        <f>IFERROR(T57/T13,0)</f>
        <v/>
      </c>
      <c r="U58" s="529">
        <f>IFERROR(U57/U13,0)</f>
        <v/>
      </c>
      <c r="V58" s="529">
        <f>IFERROR(V57/V13,0)</f>
        <v/>
      </c>
      <c r="W58" s="529">
        <f>IFERROR(W57/W13,0)</f>
        <v/>
      </c>
      <c r="X58" s="529">
        <f>IFERROR(X57/X13,0)</f>
        <v/>
      </c>
      <c r="Y58" s="529">
        <f>IFERROR(Y57/Y13,0)</f>
        <v/>
      </c>
      <c r="Z58" s="529">
        <f>IFERROR(Z57/Z13,0)</f>
        <v/>
      </c>
      <c r="AA58" s="529">
        <f>IFERROR(AA57/AA13,0)</f>
        <v/>
      </c>
      <c r="AB58" s="529">
        <f>IFERROR(AB57/AB13,0)</f>
        <v/>
      </c>
      <c r="AC58" s="529">
        <f>IFERROR(AC57/AC13,0)</f>
        <v/>
      </c>
      <c r="AD58" s="529">
        <f>IFERROR(AD57/AD13,0)</f>
        <v/>
      </c>
      <c r="AE58" s="529">
        <f>IFERROR(AE57/AE13,0)</f>
        <v/>
      </c>
      <c r="AF58" s="529">
        <f>IFERROR(AF57/AF13,0)</f>
        <v/>
      </c>
      <c r="AG58" s="529">
        <f>IFERROR(AG57/AG13,0)</f>
        <v/>
      </c>
      <c r="AH58" s="529">
        <f>IFERROR(AH57/AH13,0)</f>
        <v/>
      </c>
      <c r="AI58" s="529">
        <f>IFERROR(AI57/AI13,0)</f>
        <v/>
      </c>
      <c r="AJ58" s="529">
        <f>IFERROR(AJ57/AJ13,0)</f>
        <v/>
      </c>
      <c r="AK58" s="529">
        <f>IFERROR(AK57/AK13,0)</f>
        <v/>
      </c>
      <c r="AL58" s="529">
        <f>IFERROR(AL57/AL13,0)</f>
        <v/>
      </c>
      <c r="AM58" s="529">
        <f>IFERROR(AM57/AM13,0)</f>
        <v/>
      </c>
      <c r="AN58" s="529">
        <f>IFERROR(AN57/AN13,0)</f>
        <v/>
      </c>
      <c r="AO58" s="529">
        <f>IFERROR(AO57/AO13,0)</f>
        <v/>
      </c>
      <c r="AP58" s="529">
        <f>IFERROR(AP57/AP13,0)</f>
        <v/>
      </c>
      <c r="AQ58" s="529">
        <f>IFERROR(AQ57/AQ13,0)</f>
        <v/>
      </c>
      <c r="AR58" s="529">
        <f>IFERROR(AR57/AR13,0)</f>
        <v/>
      </c>
      <c r="AS58" s="529">
        <f>IFERROR(AS57/AS13,0)</f>
        <v/>
      </c>
      <c r="AT58" s="529">
        <f>IFERROR(AT57/AT13,0)</f>
        <v/>
      </c>
      <c r="AU58" s="529">
        <f>IFERROR(AU57/AU13,0)</f>
        <v/>
      </c>
      <c r="AV58" s="529">
        <f>IFERROR(AV57/AV13,0)</f>
        <v/>
      </c>
      <c r="AW58" s="529">
        <f>IFERROR(AW57/AW13,0)</f>
        <v/>
      </c>
      <c r="AX58" s="529">
        <f>IFERROR(AX57/AX13,0)</f>
        <v/>
      </c>
      <c r="AY58" s="529">
        <f>IFERROR(AY57/AY13,0)</f>
        <v/>
      </c>
      <c r="AZ58" s="529">
        <f>IFERROR(AZ57/AZ13,0)</f>
        <v/>
      </c>
      <c r="BA58" s="529">
        <f>IFERROR(BA57/BA13,0)</f>
        <v/>
      </c>
      <c r="BB58" s="529">
        <f>IFERROR(BB57/BB13,0)</f>
        <v/>
      </c>
      <c r="BC58" s="529">
        <f>IFERROR(BC57/BC13,0)</f>
        <v/>
      </c>
      <c r="BD58" s="529">
        <f>IFERROR(BD57/BD13,0)</f>
        <v/>
      </c>
      <c r="BE58" s="529">
        <f>IFERROR(BE57/BE13,0)</f>
        <v/>
      </c>
      <c r="BF58" s="529">
        <f>IFERROR(BF57/BF13,0)</f>
        <v/>
      </c>
      <c r="BG58" s="529">
        <f>IFERROR(BG57/BG13,0)</f>
        <v/>
      </c>
      <c r="BH58" s="529">
        <f>IFERROR(BH57/BH13,0)</f>
        <v/>
      </c>
      <c r="BI58" s="529">
        <f>IFERROR(BI57/BI13,0)</f>
        <v/>
      </c>
      <c r="BJ58" s="529">
        <f>IFERROR(BJ57/BJ13,0)</f>
        <v/>
      </c>
      <c r="BK58" s="529">
        <f>IFERROR(BK57/BK13,0)</f>
        <v/>
      </c>
      <c r="BL58" s="529">
        <f>IFERROR(BL57/BL13,0)</f>
        <v/>
      </c>
      <c r="BM58" s="529">
        <f>IFERROR(BM57/BM13,0)</f>
        <v/>
      </c>
      <c r="BN58" s="529">
        <f>IFERROR(BN57/BN13,0)</f>
        <v/>
      </c>
      <c r="BO58" s="529">
        <f>IFERROR(BO57/BO13,0)</f>
        <v/>
      </c>
      <c r="BP58" s="529">
        <f>IFERROR(BP57/BP13,0)</f>
        <v/>
      </c>
      <c r="BQ58" s="529">
        <f>IFERROR(BQ57/BQ13,0)</f>
        <v/>
      </c>
      <c r="BR58" s="529">
        <f>IFERROR(BR57/BR13,0)</f>
        <v/>
      </c>
      <c r="BS58" s="529">
        <f>IFERROR(BS57/BS13,0)</f>
        <v/>
      </c>
      <c r="BT58" s="529">
        <f>IFERROR(BT57/BT13,0)</f>
        <v/>
      </c>
      <c r="BU58" s="529">
        <f>IFERROR(BU57/BU13,0)</f>
        <v/>
      </c>
      <c r="BV58" s="529">
        <f>IFERROR(BV57/BV13,0)</f>
        <v/>
      </c>
      <c r="BW58" s="529">
        <f>IFERROR(BW57/BW13,0)</f>
        <v/>
      </c>
      <c r="BX58" s="529">
        <f>IFERROR(BX57/BX13,0)</f>
        <v/>
      </c>
      <c r="BY58" s="529">
        <f>IFERROR(BY57/BY13,0)</f>
        <v/>
      </c>
      <c r="BZ58" s="529">
        <f>IFERROR(BZ57/BZ13,0)</f>
        <v/>
      </c>
      <c r="CA58" s="529">
        <f>IFERROR(CA57/CA13,0)</f>
        <v/>
      </c>
      <c r="CB58" s="529">
        <f>IFERROR(CB57/CB13,0)</f>
        <v/>
      </c>
      <c r="CC58" s="529">
        <f>IFERROR(CC57/CC13,0)</f>
        <v/>
      </c>
      <c r="CD58" s="529">
        <f>IFERROR(CD57/CD13,0)</f>
        <v/>
      </c>
      <c r="CE58" s="529">
        <f>IFERROR(CE57/CE13,0)</f>
        <v/>
      </c>
      <c r="CF58" s="529">
        <f>IFERROR(CF57/CF13,0)</f>
        <v/>
      </c>
      <c r="CG58" s="529">
        <f>IFERROR(CG57/CG13,0)</f>
        <v/>
      </c>
      <c r="CH58" s="529">
        <f>IFERROR(CH57/CH13,0)</f>
        <v/>
      </c>
      <c r="CI58" s="529">
        <f>IFERROR(CI57/CI13,0)</f>
        <v/>
      </c>
      <c r="CJ58" s="529">
        <f>IFERROR(CJ57/CJ13,0)</f>
        <v/>
      </c>
      <c r="CK58" s="529">
        <f>IFERROR(CK57/CK13,0)</f>
        <v/>
      </c>
      <c r="CL58" s="529">
        <f>IFERROR(CL57/CL13,0)</f>
        <v/>
      </c>
      <c r="CM58" s="529">
        <f>IFERROR(CM57/CM13,0)</f>
        <v/>
      </c>
      <c r="CN58" s="529">
        <f>IFERROR(CN57/CN13,0)</f>
        <v/>
      </c>
      <c r="CO58" s="529">
        <f>IFERROR(CO57/CO13,0)</f>
        <v/>
      </c>
      <c r="CP58" s="529">
        <f>IFERROR(CP57/CP13,0)</f>
        <v/>
      </c>
      <c r="CQ58" s="529">
        <f>IFERROR(CQ57/CQ13,0)</f>
        <v/>
      </c>
      <c r="CR58" s="529">
        <f>IFERROR(CR57/CR13,0)</f>
        <v/>
      </c>
      <c r="CS58" s="529">
        <f>IFERROR(CS57/CS13,0)</f>
        <v/>
      </c>
      <c r="CT58" s="529">
        <f>IFERROR(CT57/CT13,0)</f>
        <v/>
      </c>
      <c r="CU58" s="529">
        <f>IFERROR(CU57/CU13,0)</f>
        <v/>
      </c>
      <c r="CV58" s="529">
        <f>IFERROR(CV57/CV13,0)</f>
        <v/>
      </c>
      <c r="CW58" s="529">
        <f>IFERROR(CW57/CW13,0)</f>
        <v/>
      </c>
      <c r="CX58" s="529">
        <f>IFERROR(CX57/CX13,0)</f>
        <v/>
      </c>
      <c r="CY58" s="529">
        <f>IFERROR(CY57/CY13,0)</f>
        <v/>
      </c>
      <c r="CZ58" s="529">
        <f>IFERROR(CZ57/CZ13,0)</f>
        <v/>
      </c>
      <c r="DA58" s="529">
        <f>IFERROR(DA57/DA13,0)</f>
        <v/>
      </c>
      <c r="DB58" s="529">
        <f>IFERROR(DB57/DB13,0)</f>
        <v/>
      </c>
      <c r="DC58" s="529">
        <f>IFERROR(DC57/DC13,0)</f>
        <v/>
      </c>
      <c r="DD58" s="529">
        <f>IFERROR(DD57/DD13,0)</f>
        <v/>
      </c>
      <c r="DE58" s="529">
        <f>IFERROR(DE57/DE13,0)</f>
        <v/>
      </c>
      <c r="DF58" s="529">
        <f>IFERROR(DF57/DF13,0)</f>
        <v/>
      </c>
    </row>
    <row r="59" ht="15" customFormat="1" customHeight="1" s="380">
      <c r="A59" s="468" t="n"/>
      <c r="C59" s="483" t="n"/>
      <c r="D59" s="483" t="n"/>
      <c r="E59" s="483" t="n"/>
      <c r="F59" s="522" t="n"/>
      <c r="G59" s="522" t="n"/>
      <c r="H59" s="522" t="n"/>
      <c r="I59" s="522" t="n"/>
      <c r="J59" s="522" t="n"/>
      <c r="K59" s="522" t="n"/>
      <c r="L59" s="522" t="n"/>
      <c r="M59" s="522" t="n"/>
      <c r="N59" s="522" t="n"/>
      <c r="O59" s="522" t="n"/>
      <c r="P59" s="522" t="n"/>
      <c r="Q59" s="522" t="n"/>
      <c r="R59" s="522" t="n"/>
      <c r="S59" s="522" t="n"/>
      <c r="T59" s="522" t="n"/>
      <c r="U59" s="522" t="n"/>
      <c r="V59" s="522" t="n"/>
      <c r="W59" s="522" t="n"/>
      <c r="X59" s="522" t="n"/>
      <c r="Y59" s="522" t="n"/>
      <c r="Z59" s="522" t="n"/>
      <c r="AA59" s="522" t="n"/>
      <c r="AB59" s="522" t="n"/>
      <c r="AC59" s="522" t="n"/>
      <c r="AD59" s="522" t="n"/>
      <c r="AE59" s="522" t="n"/>
      <c r="AF59" s="522" t="n"/>
      <c r="AG59" s="522" t="n"/>
      <c r="AH59" s="522" t="n"/>
      <c r="AI59" s="522" t="n"/>
      <c r="AJ59" s="522" t="n"/>
      <c r="AK59" s="522" t="n"/>
      <c r="AL59" s="522" t="n"/>
      <c r="AM59" s="522" t="n"/>
      <c r="AN59" s="522" t="n"/>
      <c r="AO59" s="522" t="n"/>
      <c r="AP59" s="522" t="n"/>
      <c r="AQ59" s="522" t="n"/>
      <c r="AR59" s="522" t="n"/>
      <c r="AS59" s="522" t="n"/>
      <c r="AT59" s="522" t="n"/>
      <c r="AU59" s="522" t="n"/>
      <c r="AV59" s="522" t="n"/>
      <c r="AW59" s="522" t="n"/>
      <c r="AX59" s="522" t="n"/>
      <c r="AY59" s="522" t="n"/>
      <c r="AZ59" s="522" t="n"/>
      <c r="BA59" s="522" t="n"/>
      <c r="BB59" s="522" t="n"/>
      <c r="BC59" s="522" t="n"/>
      <c r="BD59" s="522" t="n"/>
      <c r="BE59" s="522" t="n"/>
      <c r="BF59" s="522" t="n"/>
      <c r="BG59" s="522" t="n"/>
      <c r="BH59" s="522" t="n"/>
      <c r="BI59" s="522" t="n"/>
      <c r="BJ59" s="522" t="n"/>
      <c r="BK59" s="522" t="n"/>
      <c r="BL59" s="522" t="n"/>
      <c r="BM59" s="522" t="n"/>
      <c r="BN59" s="522" t="n"/>
      <c r="BO59" s="522" t="n"/>
      <c r="BP59" s="522" t="n"/>
      <c r="BQ59" s="522" t="n"/>
      <c r="BR59" s="522" t="n"/>
      <c r="BS59" s="522" t="n"/>
      <c r="BT59" s="522" t="n"/>
      <c r="BU59" s="522" t="n"/>
      <c r="BV59" s="522" t="n"/>
      <c r="BW59" s="522" t="n"/>
      <c r="BX59" s="522" t="n"/>
      <c r="BY59" s="522" t="n"/>
      <c r="BZ59" s="522" t="n"/>
      <c r="CA59" s="522" t="n"/>
      <c r="CB59" s="522" t="n"/>
      <c r="CC59" s="522" t="n"/>
      <c r="CD59" s="522" t="n"/>
      <c r="CE59" s="522" t="n"/>
      <c r="CF59" s="522" t="n"/>
      <c r="CG59" s="522" t="n"/>
      <c r="CH59" s="522" t="n"/>
      <c r="CI59" s="522" t="n"/>
      <c r="CJ59" s="522" t="n"/>
      <c r="CK59" s="522" t="n"/>
      <c r="CL59" s="522" t="n"/>
      <c r="CM59" s="522" t="n"/>
      <c r="CN59" s="522" t="n"/>
      <c r="CO59" s="522" t="n"/>
      <c r="CP59" s="522" t="n"/>
      <c r="CQ59" s="522" t="n"/>
      <c r="CR59" s="522" t="n"/>
      <c r="CS59" s="522" t="n"/>
      <c r="CT59" s="522" t="n"/>
      <c r="CU59" s="522" t="n"/>
      <c r="CV59" s="522" t="n"/>
      <c r="CW59" s="522" t="n"/>
      <c r="CX59" s="522" t="n"/>
      <c r="CY59" s="522" t="n"/>
      <c r="CZ59" s="522" t="n"/>
      <c r="DA59" s="522" t="n"/>
      <c r="DB59" s="522" t="n"/>
      <c r="DC59" s="522" t="n"/>
      <c r="DD59" s="522" t="n"/>
      <c r="DE59" s="522" t="n"/>
      <c r="DF59" s="522" t="n"/>
    </row>
    <row r="60" ht="15" customFormat="1" customHeight="1" s="380">
      <c r="A60" s="468" t="n"/>
      <c r="C60" s="483" t="n"/>
      <c r="D60" s="483" t="n"/>
      <c r="E60" s="483" t="n"/>
      <c r="F60" s="522" t="n"/>
      <c r="G60" s="522" t="n"/>
      <c r="H60" s="522" t="n"/>
      <c r="I60" s="522" t="n"/>
      <c r="J60" s="522" t="n"/>
      <c r="K60" s="522" t="n"/>
      <c r="L60" s="522" t="n"/>
      <c r="M60" s="522" t="n"/>
      <c r="N60" s="522" t="n"/>
      <c r="O60" s="522" t="n"/>
      <c r="P60" s="522" t="n"/>
      <c r="Q60" s="522" t="n"/>
      <c r="R60" s="522" t="n"/>
      <c r="S60" s="522" t="n"/>
      <c r="T60" s="522" t="n"/>
      <c r="U60" s="522" t="n"/>
      <c r="V60" s="522" t="n"/>
      <c r="W60" s="522" t="n"/>
      <c r="X60" s="522" t="n"/>
      <c r="Y60" s="522" t="n"/>
      <c r="Z60" s="522" t="n"/>
      <c r="AA60" s="522" t="n"/>
      <c r="AB60" s="522" t="n"/>
      <c r="AC60" s="522" t="n"/>
      <c r="AD60" s="522" t="n"/>
      <c r="AE60" s="522" t="n"/>
      <c r="AF60" s="522" t="n"/>
      <c r="AG60" s="522" t="n"/>
      <c r="AH60" s="522" t="n"/>
      <c r="AI60" s="522" t="n"/>
      <c r="AJ60" s="522" t="n"/>
      <c r="AK60" s="522" t="n"/>
      <c r="AL60" s="522" t="n"/>
      <c r="AM60" s="522" t="n"/>
      <c r="AN60" s="522" t="n"/>
      <c r="AO60" s="522" t="n"/>
      <c r="AP60" s="522" t="n"/>
      <c r="AQ60" s="522" t="n"/>
      <c r="AR60" s="522" t="n"/>
      <c r="AS60" s="522" t="n"/>
      <c r="AT60" s="522" t="n"/>
      <c r="AU60" s="522" t="n"/>
      <c r="AV60" s="522" t="n"/>
      <c r="AW60" s="522" t="n"/>
      <c r="AX60" s="522" t="n"/>
      <c r="AY60" s="522" t="n"/>
      <c r="AZ60" s="522" t="n"/>
      <c r="BA60" s="522" t="n"/>
      <c r="BB60" s="522" t="n"/>
      <c r="BC60" s="522" t="n"/>
      <c r="BD60" s="522" t="n"/>
      <c r="BE60" s="522" t="n"/>
      <c r="BF60" s="522" t="n"/>
      <c r="BG60" s="522" t="n"/>
      <c r="BH60" s="522" t="n"/>
      <c r="BI60" s="522" t="n"/>
      <c r="BJ60" s="522" t="n"/>
      <c r="BK60" s="522" t="n"/>
      <c r="BL60" s="522" t="n"/>
      <c r="BM60" s="522" t="n"/>
      <c r="BN60" s="522" t="n"/>
      <c r="BO60" s="522" t="n"/>
      <c r="BP60" s="522" t="n"/>
      <c r="BQ60" s="522" t="n"/>
      <c r="BR60" s="522" t="n"/>
      <c r="BS60" s="522" t="n"/>
      <c r="BT60" s="522" t="n"/>
      <c r="BU60" s="522" t="n"/>
      <c r="BV60" s="522" t="n"/>
      <c r="BW60" s="522" t="n"/>
      <c r="BX60" s="522" t="n"/>
      <c r="BY60" s="522" t="n"/>
      <c r="BZ60" s="522" t="n"/>
      <c r="CA60" s="522" t="n"/>
      <c r="CB60" s="522" t="n"/>
      <c r="CC60" s="522" t="n"/>
      <c r="CD60" s="522" t="n"/>
      <c r="CE60" s="522" t="n"/>
      <c r="CF60" s="522" t="n"/>
      <c r="CG60" s="522" t="n"/>
      <c r="CH60" s="522" t="n"/>
      <c r="CI60" s="522" t="n"/>
      <c r="CJ60" s="522" t="n"/>
      <c r="CK60" s="522" t="n"/>
      <c r="CL60" s="522" t="n"/>
      <c r="CM60" s="522" t="n"/>
      <c r="CN60" s="522" t="n"/>
      <c r="CO60" s="522" t="n"/>
      <c r="CP60" s="522" t="n"/>
      <c r="CQ60" s="522" t="n"/>
      <c r="CR60" s="522" t="n"/>
      <c r="CS60" s="522" t="n"/>
      <c r="CT60" s="522" t="n"/>
      <c r="CU60" s="522" t="n"/>
      <c r="CV60" s="522" t="n"/>
      <c r="CW60" s="522" t="n"/>
      <c r="CX60" s="522" t="n"/>
      <c r="CY60" s="522" t="n"/>
      <c r="CZ60" s="522" t="n"/>
      <c r="DA60" s="522" t="n"/>
      <c r="DB60" s="522" t="n"/>
      <c r="DC60" s="522" t="n"/>
      <c r="DD60" s="522" t="n"/>
      <c r="DE60" s="522" t="n"/>
      <c r="DF60" s="522" t="n"/>
    </row>
    <row r="61" ht="15" customFormat="1" customHeight="1" s="380">
      <c r="A61" s="468" t="n"/>
      <c r="C61" s="483" t="n"/>
      <c r="D61" s="483" t="n"/>
      <c r="E61" s="483" t="n"/>
      <c r="F61" s="522" t="n"/>
      <c r="G61" s="522" t="n"/>
      <c r="H61" s="522" t="n"/>
      <c r="I61" s="522" t="n"/>
      <c r="J61" s="522" t="n"/>
      <c r="K61" s="522" t="n"/>
      <c r="L61" s="522" t="n"/>
      <c r="M61" s="522" t="n"/>
      <c r="N61" s="522" t="n"/>
      <c r="O61" s="522" t="n"/>
      <c r="P61" s="522" t="n"/>
      <c r="Q61" s="522" t="n"/>
      <c r="R61" s="522" t="n"/>
      <c r="S61" s="522" t="n"/>
      <c r="T61" s="522" t="n"/>
      <c r="U61" s="522" t="n"/>
      <c r="V61" s="522" t="n"/>
      <c r="W61" s="522" t="n"/>
      <c r="X61" s="522" t="n"/>
      <c r="Y61" s="522" t="n"/>
      <c r="Z61" s="522" t="n"/>
      <c r="AA61" s="522" t="n"/>
      <c r="AB61" s="522" t="n"/>
      <c r="AC61" s="522" t="n"/>
      <c r="AD61" s="522" t="n"/>
      <c r="AE61" s="522" t="n"/>
      <c r="AF61" s="522" t="n"/>
      <c r="AG61" s="522" t="n"/>
      <c r="AH61" s="522" t="n"/>
      <c r="AI61" s="522" t="n"/>
      <c r="AJ61" s="522" t="n"/>
      <c r="AK61" s="522" t="n"/>
      <c r="AL61" s="522" t="n"/>
      <c r="AM61" s="522" t="n"/>
      <c r="AN61" s="522" t="n"/>
      <c r="AO61" s="522" t="n"/>
      <c r="AP61" s="522" t="n"/>
      <c r="AQ61" s="522" t="n"/>
      <c r="AR61" s="522" t="n"/>
      <c r="AS61" s="522" t="n"/>
      <c r="AT61" s="522" t="n"/>
      <c r="AU61" s="522" t="n"/>
      <c r="AV61" s="522" t="n"/>
      <c r="AW61" s="522" t="n"/>
      <c r="AX61" s="522" t="n"/>
      <c r="AY61" s="522" t="n"/>
      <c r="AZ61" s="522" t="n"/>
      <c r="BA61" s="522" t="n"/>
      <c r="BB61" s="522" t="n"/>
      <c r="BC61" s="522" t="n"/>
      <c r="BD61" s="522" t="n"/>
      <c r="BE61" s="522" t="n"/>
      <c r="BF61" s="522" t="n"/>
      <c r="BG61" s="522" t="n"/>
      <c r="BH61" s="522" t="n"/>
      <c r="BI61" s="522" t="n"/>
      <c r="BJ61" s="522" t="n"/>
      <c r="BK61" s="522" t="n"/>
      <c r="BL61" s="522" t="n"/>
      <c r="BM61" s="522" t="n"/>
      <c r="BN61" s="522" t="n"/>
      <c r="BO61" s="522" t="n"/>
      <c r="BP61" s="522" t="n"/>
      <c r="BQ61" s="522" t="n"/>
      <c r="BR61" s="522" t="n"/>
      <c r="BS61" s="522" t="n"/>
      <c r="BT61" s="522" t="n"/>
      <c r="BU61" s="522" t="n"/>
      <c r="BV61" s="522" t="n"/>
      <c r="BW61" s="522" t="n"/>
      <c r="BX61" s="522" t="n"/>
      <c r="BY61" s="522" t="n"/>
      <c r="BZ61" s="522" t="n"/>
      <c r="CA61" s="522" t="n"/>
      <c r="CB61" s="522" t="n"/>
      <c r="CC61" s="522" t="n"/>
      <c r="CD61" s="522" t="n"/>
      <c r="CE61" s="522" t="n"/>
      <c r="CF61" s="522" t="n"/>
      <c r="CG61" s="522" t="n"/>
      <c r="CH61" s="522" t="n"/>
      <c r="CI61" s="522" t="n"/>
      <c r="CJ61" s="522" t="n"/>
      <c r="CK61" s="522" t="n"/>
      <c r="CL61" s="522" t="n"/>
      <c r="CM61" s="522" t="n"/>
      <c r="CN61" s="522" t="n"/>
      <c r="CO61" s="522" t="n"/>
      <c r="CP61" s="522" t="n"/>
      <c r="CQ61" s="522" t="n"/>
      <c r="CR61" s="522" t="n"/>
      <c r="CS61" s="522" t="n"/>
      <c r="CT61" s="522" t="n"/>
      <c r="CU61" s="522" t="n"/>
      <c r="CV61" s="522" t="n"/>
      <c r="CW61" s="522" t="n"/>
      <c r="CX61" s="522" t="n"/>
      <c r="CY61" s="522" t="n"/>
      <c r="CZ61" s="522" t="n"/>
      <c r="DA61" s="522" t="n"/>
      <c r="DB61" s="522" t="n"/>
      <c r="DC61" s="522" t="n"/>
      <c r="DD61" s="522" t="n"/>
      <c r="DE61" s="522" t="n"/>
      <c r="DF61" s="522" t="n"/>
    </row>
    <row r="62" ht="15" customFormat="1" customHeight="1" s="380">
      <c r="A62" s="468" t="n"/>
      <c r="C62" s="483" t="n"/>
      <c r="D62" s="483" t="n"/>
      <c r="E62" s="483" t="n"/>
      <c r="F62" s="522" t="n"/>
      <c r="G62" s="522" t="n"/>
      <c r="H62" s="522" t="n"/>
      <c r="I62" s="522" t="n"/>
      <c r="J62" s="522" t="n"/>
      <c r="K62" s="522" t="n"/>
      <c r="L62" s="522" t="n"/>
      <c r="M62" s="522" t="n"/>
      <c r="N62" s="522" t="n"/>
      <c r="O62" s="522" t="n"/>
      <c r="P62" s="522" t="n"/>
      <c r="Q62" s="522" t="n"/>
      <c r="R62" s="522" t="n"/>
      <c r="S62" s="522" t="n"/>
      <c r="T62" s="522" t="n"/>
      <c r="U62" s="522" t="n"/>
      <c r="V62" s="522" t="n"/>
      <c r="W62" s="522" t="n"/>
      <c r="X62" s="522" t="n"/>
      <c r="Y62" s="522" t="n"/>
      <c r="Z62" s="522" t="n"/>
      <c r="AA62" s="522" t="n"/>
      <c r="AB62" s="522" t="n"/>
      <c r="AC62" s="522" t="n"/>
      <c r="AD62" s="522" t="n"/>
      <c r="AE62" s="522" t="n"/>
      <c r="AF62" s="522" t="n"/>
      <c r="AG62" s="522" t="n"/>
      <c r="AH62" s="522" t="n"/>
      <c r="AI62" s="522" t="n"/>
      <c r="AJ62" s="522" t="n"/>
      <c r="AK62" s="522" t="n"/>
      <c r="AL62" s="522" t="n"/>
      <c r="AM62" s="522" t="n"/>
      <c r="AN62" s="522" t="n"/>
      <c r="AO62" s="522" t="n"/>
      <c r="AP62" s="522" t="n"/>
      <c r="AQ62" s="522" t="n"/>
      <c r="AR62" s="522" t="n"/>
      <c r="AS62" s="522" t="n"/>
      <c r="AT62" s="522" t="n"/>
      <c r="AU62" s="522" t="n"/>
      <c r="AV62" s="522" t="n"/>
      <c r="AW62" s="522" t="n"/>
      <c r="AX62" s="522" t="n"/>
      <c r="AY62" s="522" t="n"/>
      <c r="AZ62" s="522" t="n"/>
      <c r="BA62" s="522" t="n"/>
      <c r="BB62" s="522" t="n"/>
      <c r="BC62" s="522" t="n"/>
      <c r="BD62" s="522" t="n"/>
      <c r="BE62" s="522" t="n"/>
      <c r="BF62" s="522" t="n"/>
      <c r="BG62" s="522" t="n"/>
      <c r="BH62" s="522" t="n"/>
      <c r="BI62" s="522" t="n"/>
      <c r="BJ62" s="522" t="n"/>
      <c r="BK62" s="522" t="n"/>
      <c r="BL62" s="522" t="n"/>
      <c r="BM62" s="522" t="n"/>
      <c r="BN62" s="522" t="n"/>
      <c r="BO62" s="522" t="n"/>
      <c r="BP62" s="522" t="n"/>
      <c r="BQ62" s="522" t="n"/>
      <c r="BR62" s="522" t="n"/>
      <c r="BS62" s="522" t="n"/>
      <c r="BT62" s="522" t="n"/>
      <c r="BU62" s="522" t="n"/>
      <c r="BV62" s="522" t="n"/>
      <c r="BW62" s="522" t="n"/>
      <c r="BX62" s="522" t="n"/>
      <c r="BY62" s="522" t="n"/>
      <c r="BZ62" s="522" t="n"/>
      <c r="CA62" s="522" t="n"/>
      <c r="CB62" s="522" t="n"/>
      <c r="CC62" s="522" t="n"/>
      <c r="CD62" s="522" t="n"/>
      <c r="CE62" s="522" t="n"/>
      <c r="CF62" s="522" t="n"/>
      <c r="CG62" s="522" t="n"/>
      <c r="CH62" s="522" t="n"/>
      <c r="CI62" s="522" t="n"/>
      <c r="CJ62" s="522" t="n"/>
      <c r="CK62" s="522" t="n"/>
      <c r="CL62" s="522" t="n"/>
      <c r="CM62" s="522" t="n"/>
      <c r="CN62" s="522" t="n"/>
      <c r="CO62" s="522" t="n"/>
      <c r="CP62" s="522" t="n"/>
      <c r="CQ62" s="522" t="n"/>
      <c r="CR62" s="522" t="n"/>
      <c r="CS62" s="522" t="n"/>
      <c r="CT62" s="522" t="n"/>
      <c r="CU62" s="522" t="n"/>
      <c r="CV62" s="522" t="n"/>
      <c r="CW62" s="522" t="n"/>
      <c r="CX62" s="522" t="n"/>
      <c r="CY62" s="522" t="n"/>
      <c r="CZ62" s="522" t="n"/>
      <c r="DA62" s="522" t="n"/>
      <c r="DB62" s="522" t="n"/>
      <c r="DC62" s="522" t="n"/>
      <c r="DD62" s="522" t="n"/>
      <c r="DE62" s="522" t="n"/>
      <c r="DF62" s="522" t="n"/>
    </row>
    <row r="63" ht="15" customFormat="1" customHeight="1" s="380">
      <c r="A63" s="468" t="inlineStr">
        <is>
          <t>Non-Cash Revenue Items</t>
        </is>
      </c>
      <c r="C63" s="483" t="n">
        <v>0</v>
      </c>
      <c r="D63" s="483" t="n">
        <v>0</v>
      </c>
      <c r="E63" s="483" t="n">
        <v>0</v>
      </c>
      <c r="F63" s="522" t="n">
        <v>0</v>
      </c>
      <c r="G63" s="522" t="n">
        <v>0</v>
      </c>
      <c r="H63" s="522" t="n">
        <v>0</v>
      </c>
      <c r="I63" s="522" t="n">
        <v>0</v>
      </c>
      <c r="J63" s="522" t="n">
        <v>0</v>
      </c>
      <c r="K63" s="522" t="n">
        <v>0</v>
      </c>
      <c r="L63" s="522" t="n">
        <v>0</v>
      </c>
      <c r="M63" s="522" t="n">
        <v>0</v>
      </c>
      <c r="N63" s="522" t="n">
        <v>0</v>
      </c>
      <c r="O63" s="522" t="n">
        <v>0</v>
      </c>
      <c r="P63" s="522" t="n">
        <v>0</v>
      </c>
      <c r="Q63" s="522" t="n">
        <v>0</v>
      </c>
      <c r="R63" s="522" t="n">
        <v>0</v>
      </c>
      <c r="S63" s="522" t="n">
        <v>0</v>
      </c>
      <c r="T63" s="522" t="n">
        <v>0</v>
      </c>
      <c r="U63" s="522" t="n">
        <v>0</v>
      </c>
      <c r="V63" s="522" t="n">
        <v>0</v>
      </c>
      <c r="W63" s="522" t="n">
        <v>0</v>
      </c>
      <c r="X63" s="522" t="n">
        <v>0</v>
      </c>
      <c r="Y63" s="522" t="n">
        <v>0</v>
      </c>
      <c r="Z63" s="522" t="n">
        <v>0</v>
      </c>
      <c r="AA63" s="522" t="n">
        <v>0</v>
      </c>
      <c r="AB63" s="522" t="n">
        <v>0</v>
      </c>
      <c r="AC63" s="522" t="n">
        <v>0</v>
      </c>
      <c r="AD63" s="522" t="n">
        <v>0</v>
      </c>
      <c r="AE63" s="522" t="n">
        <v>0</v>
      </c>
      <c r="AF63" s="522" t="n">
        <v>0</v>
      </c>
      <c r="AG63" s="522" t="n">
        <v>0</v>
      </c>
      <c r="AH63" s="522" t="n">
        <v>0</v>
      </c>
      <c r="AI63" s="522" t="n">
        <v>0</v>
      </c>
      <c r="AJ63" s="522" t="n">
        <v>0</v>
      </c>
      <c r="AK63" s="522" t="n">
        <v>0</v>
      </c>
      <c r="AL63" s="522" t="n">
        <v>0</v>
      </c>
      <c r="AM63" s="522" t="n">
        <v>0</v>
      </c>
      <c r="AN63" s="522" t="n">
        <v>0</v>
      </c>
      <c r="AO63" s="522" t="n">
        <v>0</v>
      </c>
      <c r="AP63" s="522" t="n">
        <v>0</v>
      </c>
      <c r="AQ63" s="522" t="n">
        <v>0</v>
      </c>
      <c r="AR63" s="522" t="n">
        <v>0</v>
      </c>
      <c r="AS63" s="522" t="n">
        <v>0</v>
      </c>
      <c r="AT63" s="522" t="n">
        <v>0</v>
      </c>
      <c r="AU63" s="522" t="n">
        <v>0</v>
      </c>
      <c r="AV63" s="522" t="n">
        <v>0</v>
      </c>
      <c r="AW63" s="522" t="n">
        <v>0</v>
      </c>
      <c r="AX63" s="522" t="n">
        <v>0</v>
      </c>
      <c r="AY63" s="522" t="n">
        <v>0</v>
      </c>
      <c r="AZ63" s="522" t="n">
        <v>0</v>
      </c>
      <c r="BA63" s="522" t="n">
        <v>0</v>
      </c>
      <c r="BB63" s="522" t="n">
        <v>0</v>
      </c>
      <c r="BC63" s="522" t="n">
        <v>0</v>
      </c>
      <c r="BD63" s="522" t="n">
        <v>0</v>
      </c>
      <c r="BE63" s="522" t="n">
        <v>0</v>
      </c>
      <c r="BF63" s="522" t="n">
        <v>0</v>
      </c>
      <c r="BG63" s="522" t="n">
        <v>0</v>
      </c>
      <c r="BH63" s="522" t="n">
        <v>0</v>
      </c>
      <c r="BI63" s="522" t="n">
        <v>0</v>
      </c>
      <c r="BJ63" s="522" t="n">
        <v>0</v>
      </c>
      <c r="BK63" s="522" t="n">
        <v>0</v>
      </c>
      <c r="BL63" s="522" t="n">
        <v>0</v>
      </c>
      <c r="BM63" s="522" t="n">
        <v>0</v>
      </c>
      <c r="BN63" s="522" t="n">
        <v>0</v>
      </c>
      <c r="BO63" s="522" t="n">
        <v>0</v>
      </c>
      <c r="BP63" s="522" t="n">
        <v>0</v>
      </c>
      <c r="BQ63" s="522" t="n">
        <v>0</v>
      </c>
      <c r="BR63" s="522" t="n">
        <v>0</v>
      </c>
      <c r="BS63" s="522" t="n">
        <v>0</v>
      </c>
      <c r="BT63" s="522" t="n">
        <v>0</v>
      </c>
      <c r="BU63" s="522" t="n">
        <v>0</v>
      </c>
      <c r="BV63" s="522" t="n">
        <v>0</v>
      </c>
      <c r="BW63" s="522" t="n">
        <v>0</v>
      </c>
      <c r="BX63" s="522" t="n">
        <v>0</v>
      </c>
      <c r="BY63" s="522" t="n">
        <v>0</v>
      </c>
      <c r="BZ63" s="522" t="n">
        <v>0</v>
      </c>
      <c r="CA63" s="522" t="n">
        <v>0</v>
      </c>
      <c r="CB63" s="522" t="n">
        <v>0</v>
      </c>
      <c r="CC63" s="522" t="n">
        <v>0</v>
      </c>
      <c r="CD63" s="522" t="n">
        <v>0</v>
      </c>
      <c r="CE63" s="522" t="n">
        <v>0</v>
      </c>
      <c r="CF63" s="522" t="n">
        <v>0</v>
      </c>
      <c r="CG63" s="522" t="n">
        <v>0</v>
      </c>
      <c r="CH63" s="522" t="n">
        <v>0</v>
      </c>
      <c r="CI63" s="522" t="n">
        <v>0</v>
      </c>
      <c r="CJ63" s="522" t="n">
        <v>0</v>
      </c>
      <c r="CK63" s="522" t="n">
        <v>0</v>
      </c>
      <c r="CL63" s="522" t="n">
        <v>0</v>
      </c>
      <c r="CM63" s="522" t="n">
        <v>0</v>
      </c>
      <c r="CN63" s="522" t="n">
        <v>0</v>
      </c>
      <c r="CO63" s="522" t="n">
        <v>0</v>
      </c>
      <c r="CP63" s="522" t="n">
        <v>0</v>
      </c>
      <c r="CQ63" s="522" t="n">
        <v>0</v>
      </c>
      <c r="CR63" s="522" t="n">
        <v>0</v>
      </c>
      <c r="CS63" s="522" t="n">
        <v>0</v>
      </c>
      <c r="CT63" s="522" t="n">
        <v>0</v>
      </c>
      <c r="CU63" s="522" t="n">
        <v>0</v>
      </c>
      <c r="CV63" s="522" t="n">
        <v>0</v>
      </c>
      <c r="CW63" s="522" t="n">
        <v>0</v>
      </c>
      <c r="CX63" s="522" t="n">
        <v>0</v>
      </c>
      <c r="CY63" s="522" t="n">
        <v>0</v>
      </c>
      <c r="CZ63" s="522" t="n">
        <v>0</v>
      </c>
      <c r="DA63" s="522" t="n">
        <v>0</v>
      </c>
      <c r="DB63" s="522" t="n">
        <v>0</v>
      </c>
      <c r="DC63" s="522" t="n">
        <v>0</v>
      </c>
      <c r="DD63" s="522" t="n">
        <v>0</v>
      </c>
      <c r="DE63" s="522" t="n">
        <v>0</v>
      </c>
      <c r="DF63" s="522" t="n">
        <v>0</v>
      </c>
    </row>
    <row r="64" ht="15" customFormat="1" customHeight="1" s="380">
      <c r="A64" s="468" t="inlineStr">
        <is>
          <t>Edgemont Management Fee</t>
        </is>
      </c>
      <c r="C64" s="483" t="n">
        <v>833.33</v>
      </c>
      <c r="D64" s="483" t="n">
        <v>833.33</v>
      </c>
      <c r="E64" s="483" t="n">
        <v>833.33</v>
      </c>
      <c r="F64" s="522" t="n">
        <v>833.33</v>
      </c>
      <c r="G64" s="522" t="n">
        <v>833.33</v>
      </c>
      <c r="H64" s="522" t="n">
        <v>833.33</v>
      </c>
      <c r="I64" s="522" t="n">
        <v>833.33</v>
      </c>
      <c r="J64" s="522" t="n">
        <v>833.33</v>
      </c>
      <c r="K64" s="522" t="n">
        <v>0</v>
      </c>
      <c r="L64" s="522" t="n">
        <v>0</v>
      </c>
      <c r="M64" s="522" t="n">
        <v>0</v>
      </c>
      <c r="N64" s="522" t="n">
        <v>0</v>
      </c>
      <c r="O64" s="522" t="n">
        <v>0</v>
      </c>
      <c r="P64" s="522" t="n">
        <v>0</v>
      </c>
      <c r="Q64" s="522" t="n">
        <v>0</v>
      </c>
      <c r="R64" s="522" t="n">
        <v>0</v>
      </c>
      <c r="S64" s="522" t="n">
        <v>0</v>
      </c>
      <c r="T64" s="522" t="n">
        <v>0</v>
      </c>
      <c r="U64" s="522" t="n">
        <v>0</v>
      </c>
      <c r="V64" s="522" t="n">
        <v>0</v>
      </c>
      <c r="W64" s="522" t="n">
        <v>0</v>
      </c>
      <c r="X64" s="522" t="n">
        <v>0</v>
      </c>
      <c r="Y64" s="522" t="n">
        <v>0</v>
      </c>
      <c r="Z64" s="522" t="n">
        <v>0</v>
      </c>
      <c r="AA64" s="522" t="n">
        <v>0</v>
      </c>
      <c r="AB64" s="522" t="n">
        <v>0</v>
      </c>
      <c r="AC64" s="522" t="n">
        <v>0</v>
      </c>
      <c r="AD64" s="522" t="n">
        <v>0</v>
      </c>
      <c r="AE64" s="522" t="n">
        <v>0</v>
      </c>
      <c r="AF64" s="522" t="n">
        <v>0</v>
      </c>
      <c r="AG64" s="522" t="n">
        <v>0</v>
      </c>
      <c r="AH64" s="522" t="n">
        <v>0</v>
      </c>
      <c r="AI64" s="522" t="n">
        <v>0</v>
      </c>
      <c r="AJ64" s="522" t="n">
        <v>0</v>
      </c>
      <c r="AK64" s="522" t="n">
        <v>0</v>
      </c>
      <c r="AL64" s="522" t="n">
        <v>0</v>
      </c>
      <c r="AM64" s="522" t="n">
        <v>0</v>
      </c>
      <c r="AN64" s="522" t="n">
        <v>0</v>
      </c>
      <c r="AO64" s="522" t="n">
        <v>0</v>
      </c>
      <c r="AP64" s="522" t="n">
        <v>0</v>
      </c>
      <c r="AQ64" s="522" t="n">
        <v>0</v>
      </c>
      <c r="AR64" s="522" t="n">
        <v>0</v>
      </c>
      <c r="AS64" s="522" t="n">
        <v>0</v>
      </c>
      <c r="AT64" s="522" t="n">
        <v>0</v>
      </c>
      <c r="AU64" s="522" t="n">
        <v>0</v>
      </c>
      <c r="AV64" s="522" t="n">
        <v>0</v>
      </c>
      <c r="AW64" s="522" t="n">
        <v>0</v>
      </c>
      <c r="AX64" s="522" t="n">
        <v>0</v>
      </c>
      <c r="AY64" s="522" t="n">
        <v>0</v>
      </c>
      <c r="AZ64" s="522" t="n">
        <v>0</v>
      </c>
      <c r="BA64" s="522" t="n">
        <v>0</v>
      </c>
      <c r="BB64" s="522" t="n">
        <v>0</v>
      </c>
      <c r="BC64" s="522" t="n">
        <v>0</v>
      </c>
      <c r="BD64" s="522" t="n">
        <v>0</v>
      </c>
      <c r="BE64" s="522" t="n">
        <v>0</v>
      </c>
      <c r="BF64" s="522" t="n">
        <v>0</v>
      </c>
      <c r="BG64" s="522" t="n">
        <v>0</v>
      </c>
      <c r="BH64" s="522" t="n">
        <v>0</v>
      </c>
      <c r="BI64" s="522" t="n">
        <v>0</v>
      </c>
      <c r="BJ64" s="522" t="n">
        <v>0</v>
      </c>
      <c r="BK64" s="522" t="n">
        <v>0</v>
      </c>
      <c r="BL64" s="522" t="n">
        <v>0</v>
      </c>
      <c r="BM64" s="522" t="n">
        <v>0</v>
      </c>
      <c r="BN64" s="522" t="n">
        <v>0</v>
      </c>
      <c r="BO64" s="522" t="n">
        <v>0</v>
      </c>
      <c r="BP64" s="522" t="n">
        <v>0</v>
      </c>
      <c r="BQ64" s="522" t="n">
        <v>0</v>
      </c>
      <c r="BR64" s="522" t="n">
        <v>0</v>
      </c>
      <c r="BS64" s="522" t="n">
        <v>0</v>
      </c>
      <c r="BT64" s="522" t="n">
        <v>0</v>
      </c>
      <c r="BU64" s="522" t="n">
        <v>0</v>
      </c>
      <c r="BV64" s="522" t="n">
        <v>0</v>
      </c>
      <c r="BW64" s="522" t="n">
        <v>0</v>
      </c>
      <c r="BX64" s="522" t="n">
        <v>0</v>
      </c>
      <c r="BY64" s="522" t="n">
        <v>0</v>
      </c>
      <c r="BZ64" s="522" t="n">
        <v>0</v>
      </c>
      <c r="CA64" s="522" t="n">
        <v>0</v>
      </c>
      <c r="CB64" s="522" t="n">
        <v>0</v>
      </c>
      <c r="CC64" s="522" t="n">
        <v>0</v>
      </c>
      <c r="CD64" s="522" t="n">
        <v>0</v>
      </c>
      <c r="CE64" s="522" t="n">
        <v>0</v>
      </c>
      <c r="CF64" s="522" t="n">
        <v>0</v>
      </c>
      <c r="CG64" s="522" t="n">
        <v>0</v>
      </c>
      <c r="CH64" s="522" t="n">
        <v>0</v>
      </c>
      <c r="CI64" s="522" t="n">
        <v>0</v>
      </c>
      <c r="CJ64" s="522" t="n">
        <v>0</v>
      </c>
      <c r="CK64" s="522" t="n">
        <v>0</v>
      </c>
      <c r="CL64" s="522" t="n">
        <v>0</v>
      </c>
      <c r="CM64" s="522" t="n">
        <v>0</v>
      </c>
      <c r="CN64" s="522" t="n">
        <v>0</v>
      </c>
      <c r="CO64" s="522" t="n">
        <v>0</v>
      </c>
      <c r="CP64" s="522" t="n">
        <v>0</v>
      </c>
      <c r="CQ64" s="522" t="n">
        <v>0</v>
      </c>
      <c r="CR64" s="522" t="n">
        <v>0</v>
      </c>
      <c r="CS64" s="522" t="n">
        <v>0</v>
      </c>
      <c r="CT64" s="522" t="n">
        <v>0</v>
      </c>
      <c r="CU64" s="522" t="n">
        <v>0</v>
      </c>
      <c r="CV64" s="522" t="n">
        <v>0</v>
      </c>
      <c r="CW64" s="522" t="n">
        <v>0</v>
      </c>
      <c r="CX64" s="522" t="n">
        <v>0</v>
      </c>
      <c r="CY64" s="522" t="n">
        <v>0</v>
      </c>
      <c r="CZ64" s="522" t="n">
        <v>0</v>
      </c>
      <c r="DA64" s="522" t="n">
        <v>0</v>
      </c>
      <c r="DB64" s="522" t="n">
        <v>0</v>
      </c>
      <c r="DC64" s="522" t="n">
        <v>0</v>
      </c>
      <c r="DD64" s="522" t="n">
        <v>0</v>
      </c>
      <c r="DE64" s="522" t="n">
        <v>0</v>
      </c>
      <c r="DF64" s="522" t="n">
        <v>0</v>
      </c>
    </row>
    <row r="65" ht="15" customFormat="1" customHeight="1" s="380">
      <c r="A65" s="468" t="inlineStr">
        <is>
          <t>Ramsgate Dev Fee - Construction</t>
        </is>
      </c>
      <c r="C65" s="483" t="n">
        <v>23906.25</v>
      </c>
      <c r="D65" s="483" t="n">
        <v>23906.25</v>
      </c>
      <c r="E65" s="483" t="n">
        <v>23906.25</v>
      </c>
      <c r="F65" s="522" t="n">
        <v>23906.25</v>
      </c>
      <c r="G65" s="522" t="n">
        <v>23906.25</v>
      </c>
      <c r="H65" s="522" t="n">
        <v>23906.25</v>
      </c>
      <c r="I65" s="522" t="n">
        <v>23906.25</v>
      </c>
      <c r="J65" s="522" t="n">
        <v>23906.25</v>
      </c>
      <c r="K65" s="522" t="n">
        <v>23906.25</v>
      </c>
      <c r="L65" s="522" t="n">
        <v>23906.25</v>
      </c>
      <c r="M65" s="522" t="n">
        <v>23906.25</v>
      </c>
      <c r="N65" s="522" t="n">
        <v>23906.25</v>
      </c>
      <c r="O65" s="522" t="n">
        <v>23906.25</v>
      </c>
      <c r="P65" s="522" t="n">
        <v>23906.25</v>
      </c>
      <c r="Q65" s="522" t="n">
        <v>23906.25</v>
      </c>
      <c r="R65" s="522" t="n">
        <v>23906.25</v>
      </c>
      <c r="S65" s="522" t="n">
        <v>23906.25</v>
      </c>
      <c r="T65" s="522" t="n">
        <v>23906.25</v>
      </c>
      <c r="U65" s="522" t="n">
        <v>0</v>
      </c>
      <c r="V65" s="522" t="n">
        <v>0</v>
      </c>
      <c r="W65" s="522" t="n">
        <v>0</v>
      </c>
      <c r="X65" s="522" t="n">
        <v>0</v>
      </c>
      <c r="Y65" s="522" t="n">
        <v>0</v>
      </c>
      <c r="Z65" s="522" t="n">
        <v>0</v>
      </c>
      <c r="AA65" s="522" t="n">
        <v>0</v>
      </c>
      <c r="AB65" s="522" t="n">
        <v>0</v>
      </c>
      <c r="AC65" s="522" t="n">
        <v>0</v>
      </c>
      <c r="AD65" s="522" t="n">
        <v>0</v>
      </c>
      <c r="AE65" s="522" t="n">
        <v>0</v>
      </c>
      <c r="AF65" s="522" t="n">
        <v>0</v>
      </c>
      <c r="AG65" s="522" t="n">
        <v>0</v>
      </c>
      <c r="AH65" s="522" t="n">
        <v>0</v>
      </c>
      <c r="AI65" s="522" t="n">
        <v>0</v>
      </c>
      <c r="AJ65" s="522" t="n">
        <v>0</v>
      </c>
      <c r="AK65" s="522" t="n">
        <v>0</v>
      </c>
      <c r="AL65" s="522" t="n">
        <v>0</v>
      </c>
      <c r="AM65" s="522" t="n">
        <v>0</v>
      </c>
      <c r="AN65" s="522" t="n">
        <v>0</v>
      </c>
      <c r="AO65" s="522" t="n">
        <v>0</v>
      </c>
      <c r="AP65" s="522" t="n">
        <v>0</v>
      </c>
      <c r="AQ65" s="522" t="n">
        <v>0</v>
      </c>
      <c r="AR65" s="522" t="n">
        <v>0</v>
      </c>
      <c r="AS65" s="522" t="n">
        <v>0</v>
      </c>
      <c r="AT65" s="522" t="n">
        <v>0</v>
      </c>
      <c r="AU65" s="522" t="n">
        <v>0</v>
      </c>
      <c r="AV65" s="522" t="n">
        <v>0</v>
      </c>
      <c r="AW65" s="522" t="n">
        <v>0</v>
      </c>
      <c r="AX65" s="522" t="n">
        <v>0</v>
      </c>
      <c r="AY65" s="522" t="n">
        <v>0</v>
      </c>
      <c r="AZ65" s="522" t="n">
        <v>0</v>
      </c>
      <c r="BA65" s="522" t="n">
        <v>0</v>
      </c>
      <c r="BB65" s="522" t="n">
        <v>0</v>
      </c>
      <c r="BC65" s="522" t="n">
        <v>0</v>
      </c>
      <c r="BD65" s="522" t="n">
        <v>0</v>
      </c>
      <c r="BE65" s="522" t="n">
        <v>0</v>
      </c>
      <c r="BF65" s="522" t="n">
        <v>0</v>
      </c>
      <c r="BG65" s="522" t="n">
        <v>0</v>
      </c>
      <c r="BH65" s="522" t="n">
        <v>0</v>
      </c>
      <c r="BI65" s="522" t="n">
        <v>0</v>
      </c>
      <c r="BJ65" s="522" t="n">
        <v>0</v>
      </c>
      <c r="BK65" s="522" t="n">
        <v>0</v>
      </c>
      <c r="BL65" s="522" t="n">
        <v>0</v>
      </c>
      <c r="BM65" s="522" t="n">
        <v>0</v>
      </c>
      <c r="BN65" s="522" t="n">
        <v>0</v>
      </c>
      <c r="BO65" s="522" t="n">
        <v>0</v>
      </c>
      <c r="BP65" s="522" t="n">
        <v>0</v>
      </c>
      <c r="BQ65" s="522" t="n">
        <v>0</v>
      </c>
      <c r="BR65" s="522" t="n">
        <v>0</v>
      </c>
      <c r="BS65" s="522" t="n">
        <v>0</v>
      </c>
      <c r="BT65" s="522" t="n">
        <v>0</v>
      </c>
      <c r="BU65" s="522" t="n">
        <v>0</v>
      </c>
      <c r="BV65" s="522" t="n">
        <v>0</v>
      </c>
      <c r="BW65" s="522" t="n">
        <v>0</v>
      </c>
      <c r="BX65" s="522" t="n">
        <v>0</v>
      </c>
      <c r="BY65" s="522" t="n">
        <v>0</v>
      </c>
      <c r="BZ65" s="522" t="n">
        <v>0</v>
      </c>
      <c r="CA65" s="522" t="n">
        <v>0</v>
      </c>
      <c r="CB65" s="522" t="n">
        <v>0</v>
      </c>
      <c r="CC65" s="522" t="n">
        <v>0</v>
      </c>
      <c r="CD65" s="522" t="n">
        <v>0</v>
      </c>
      <c r="CE65" s="522" t="n">
        <v>0</v>
      </c>
      <c r="CF65" s="522" t="n">
        <v>0</v>
      </c>
      <c r="CG65" s="522" t="n">
        <v>0</v>
      </c>
      <c r="CH65" s="522" t="n">
        <v>0</v>
      </c>
      <c r="CI65" s="522" t="n">
        <v>0</v>
      </c>
      <c r="CJ65" s="522" t="n">
        <v>0</v>
      </c>
      <c r="CK65" s="522" t="n">
        <v>0</v>
      </c>
      <c r="CL65" s="522" t="n">
        <v>0</v>
      </c>
      <c r="CM65" s="522" t="n">
        <v>0</v>
      </c>
      <c r="CN65" s="522" t="n">
        <v>0</v>
      </c>
      <c r="CO65" s="522" t="n">
        <v>0</v>
      </c>
      <c r="CP65" s="522" t="n">
        <v>0</v>
      </c>
      <c r="CQ65" s="522" t="n">
        <v>0</v>
      </c>
      <c r="CR65" s="522" t="n">
        <v>0</v>
      </c>
      <c r="CS65" s="522" t="n">
        <v>0</v>
      </c>
      <c r="CT65" s="522" t="n">
        <v>0</v>
      </c>
      <c r="CU65" s="522" t="n">
        <v>0</v>
      </c>
      <c r="CV65" s="522" t="n">
        <v>0</v>
      </c>
      <c r="CW65" s="522" t="n">
        <v>0</v>
      </c>
      <c r="CX65" s="522" t="n">
        <v>0</v>
      </c>
      <c r="CY65" s="522" t="n">
        <v>0</v>
      </c>
      <c r="CZ65" s="522" t="n">
        <v>0</v>
      </c>
      <c r="DA65" s="522" t="n">
        <v>0</v>
      </c>
      <c r="DB65" s="522" t="n">
        <v>0</v>
      </c>
      <c r="DC65" s="522" t="n">
        <v>0</v>
      </c>
      <c r="DD65" s="522" t="n">
        <v>0</v>
      </c>
      <c r="DE65" s="522" t="n">
        <v>0</v>
      </c>
      <c r="DF65" s="522" t="n">
        <v>0</v>
      </c>
    </row>
    <row r="66" ht="15" customFormat="1" customHeight="1" s="380">
      <c r="A66" s="468" t="inlineStr">
        <is>
          <t>Ramsgate Dev Fee - 20% Occ</t>
        </is>
      </c>
      <c r="C66" s="483" t="n">
        <v>0</v>
      </c>
      <c r="D66" s="483" t="n">
        <v>0</v>
      </c>
      <c r="E66" s="483" t="n">
        <v>0</v>
      </c>
      <c r="F66" s="522" t="n">
        <v>0</v>
      </c>
      <c r="G66" s="522" t="n">
        <v>0</v>
      </c>
      <c r="H66" s="522" t="n">
        <v>0</v>
      </c>
      <c r="I66" s="522" t="n">
        <v>0</v>
      </c>
      <c r="J66" s="522" t="n">
        <v>0</v>
      </c>
      <c r="K66" s="522" t="n">
        <v>0</v>
      </c>
      <c r="L66" s="522" t="n">
        <v>0</v>
      </c>
      <c r="M66" s="522" t="n">
        <v>0</v>
      </c>
      <c r="N66" s="522" t="n">
        <v>0</v>
      </c>
      <c r="O66" s="522" t="n">
        <v>0</v>
      </c>
      <c r="P66" s="522" t="n">
        <v>0</v>
      </c>
      <c r="Q66" s="522" t="n">
        <v>0</v>
      </c>
      <c r="R66" s="522" t="n">
        <v>0</v>
      </c>
      <c r="S66" s="522" t="n">
        <v>0</v>
      </c>
      <c r="T66" s="522" t="n">
        <v>0</v>
      </c>
      <c r="U66" s="522" t="n">
        <v>0</v>
      </c>
      <c r="V66" s="522" t="n">
        <v>0</v>
      </c>
      <c r="W66" s="522" t="n">
        <v>0</v>
      </c>
      <c r="X66" s="522" t="n">
        <v>0</v>
      </c>
      <c r="Y66" s="522" t="n">
        <v>0</v>
      </c>
      <c r="Z66" s="522" t="n">
        <v>57375</v>
      </c>
      <c r="AA66" s="522" t="n">
        <v>0</v>
      </c>
      <c r="AB66" s="522" t="n">
        <v>0</v>
      </c>
      <c r="AC66" s="522" t="n">
        <v>0</v>
      </c>
      <c r="AD66" s="522" t="n">
        <v>0</v>
      </c>
      <c r="AE66" s="522" t="n">
        <v>0</v>
      </c>
      <c r="AF66" s="522" t="n">
        <v>0</v>
      </c>
      <c r="AG66" s="522" t="n">
        <v>0</v>
      </c>
      <c r="AH66" s="522" t="n">
        <v>0</v>
      </c>
      <c r="AI66" s="522" t="n">
        <v>0</v>
      </c>
      <c r="AJ66" s="522" t="n">
        <v>0</v>
      </c>
      <c r="AK66" s="522" t="n">
        <v>0</v>
      </c>
      <c r="AL66" s="522" t="n">
        <v>0</v>
      </c>
      <c r="AM66" s="522" t="n">
        <v>0</v>
      </c>
      <c r="AN66" s="522" t="n">
        <v>0</v>
      </c>
      <c r="AO66" s="522" t="n">
        <v>0</v>
      </c>
      <c r="AP66" s="522" t="n">
        <v>0</v>
      </c>
      <c r="AQ66" s="522" t="n">
        <v>0</v>
      </c>
      <c r="AR66" s="522" t="n">
        <v>0</v>
      </c>
      <c r="AS66" s="522" t="n">
        <v>0</v>
      </c>
      <c r="AT66" s="522" t="n">
        <v>0</v>
      </c>
      <c r="AU66" s="522" t="n">
        <v>0</v>
      </c>
      <c r="AV66" s="522" t="n">
        <v>0</v>
      </c>
      <c r="AW66" s="522" t="n">
        <v>0</v>
      </c>
      <c r="AX66" s="522" t="n">
        <v>0</v>
      </c>
      <c r="AY66" s="522" t="n">
        <v>0</v>
      </c>
      <c r="AZ66" s="522" t="n">
        <v>0</v>
      </c>
      <c r="BA66" s="522" t="n">
        <v>0</v>
      </c>
      <c r="BB66" s="522" t="n">
        <v>0</v>
      </c>
      <c r="BC66" s="522" t="n">
        <v>0</v>
      </c>
      <c r="BD66" s="522" t="n">
        <v>0</v>
      </c>
      <c r="BE66" s="522" t="n">
        <v>0</v>
      </c>
      <c r="BF66" s="522" t="n">
        <v>0</v>
      </c>
      <c r="BG66" s="522" t="n">
        <v>0</v>
      </c>
      <c r="BH66" s="522" t="n">
        <v>0</v>
      </c>
      <c r="BI66" s="522" t="n">
        <v>0</v>
      </c>
      <c r="BJ66" s="522" t="n">
        <v>0</v>
      </c>
      <c r="BK66" s="522" t="n">
        <v>0</v>
      </c>
      <c r="BL66" s="522" t="n">
        <v>0</v>
      </c>
      <c r="BM66" s="522" t="n">
        <v>0</v>
      </c>
      <c r="BN66" s="522" t="n">
        <v>0</v>
      </c>
      <c r="BO66" s="522" t="n">
        <v>0</v>
      </c>
      <c r="BP66" s="522" t="n">
        <v>0</v>
      </c>
      <c r="BQ66" s="522" t="n">
        <v>0</v>
      </c>
      <c r="BR66" s="522" t="n">
        <v>0</v>
      </c>
      <c r="BS66" s="522" t="n">
        <v>0</v>
      </c>
      <c r="BT66" s="522" t="n">
        <v>0</v>
      </c>
      <c r="BU66" s="522" t="n">
        <v>0</v>
      </c>
      <c r="BV66" s="522" t="n">
        <v>0</v>
      </c>
      <c r="BW66" s="522" t="n">
        <v>0</v>
      </c>
      <c r="BX66" s="522" t="n">
        <v>0</v>
      </c>
      <c r="BY66" s="522" t="n">
        <v>0</v>
      </c>
      <c r="BZ66" s="522" t="n">
        <v>0</v>
      </c>
      <c r="CA66" s="522" t="n">
        <v>0</v>
      </c>
      <c r="CB66" s="522" t="n">
        <v>0</v>
      </c>
      <c r="CC66" s="522" t="n">
        <v>0</v>
      </c>
      <c r="CD66" s="522" t="n">
        <v>0</v>
      </c>
      <c r="CE66" s="522" t="n">
        <v>0</v>
      </c>
      <c r="CF66" s="522" t="n">
        <v>0</v>
      </c>
      <c r="CG66" s="522" t="n">
        <v>0</v>
      </c>
      <c r="CH66" s="522" t="n">
        <v>0</v>
      </c>
      <c r="CI66" s="522" t="n">
        <v>0</v>
      </c>
      <c r="CJ66" s="522" t="n">
        <v>0</v>
      </c>
      <c r="CK66" s="522" t="n">
        <v>0</v>
      </c>
      <c r="CL66" s="522" t="n">
        <v>0</v>
      </c>
      <c r="CM66" s="522" t="n">
        <v>0</v>
      </c>
      <c r="CN66" s="522" t="n">
        <v>0</v>
      </c>
      <c r="CO66" s="522" t="n">
        <v>0</v>
      </c>
      <c r="CP66" s="522" t="n">
        <v>0</v>
      </c>
      <c r="CQ66" s="522" t="n">
        <v>0</v>
      </c>
      <c r="CR66" s="522" t="n">
        <v>0</v>
      </c>
      <c r="CS66" s="522" t="n">
        <v>0</v>
      </c>
      <c r="CT66" s="522" t="n">
        <v>0</v>
      </c>
      <c r="CU66" s="522" t="n">
        <v>0</v>
      </c>
      <c r="CV66" s="522" t="n">
        <v>0</v>
      </c>
      <c r="CW66" s="522" t="n">
        <v>0</v>
      </c>
      <c r="CX66" s="522" t="n">
        <v>0</v>
      </c>
      <c r="CY66" s="522" t="n">
        <v>0</v>
      </c>
      <c r="CZ66" s="522" t="n">
        <v>0</v>
      </c>
      <c r="DA66" s="522" t="n">
        <v>0</v>
      </c>
      <c r="DB66" s="522" t="n">
        <v>0</v>
      </c>
      <c r="DC66" s="522" t="n">
        <v>0</v>
      </c>
      <c r="DD66" s="522" t="n">
        <v>0</v>
      </c>
      <c r="DE66" s="522" t="n">
        <v>0</v>
      </c>
      <c r="DF66" s="522" t="n">
        <v>0</v>
      </c>
    </row>
    <row r="67" ht="15" customFormat="1" customHeight="1" s="380">
      <c r="A67" s="468" t="inlineStr">
        <is>
          <t>Ramsgate Dev Fee - 50% Occ</t>
        </is>
      </c>
      <c r="C67" s="483" t="n">
        <v>0</v>
      </c>
      <c r="D67" s="483" t="n">
        <v>0</v>
      </c>
      <c r="E67" s="483" t="n">
        <v>0</v>
      </c>
      <c r="F67" s="522" t="n">
        <v>0</v>
      </c>
      <c r="G67" s="522" t="n">
        <v>0</v>
      </c>
      <c r="H67" s="522" t="n">
        <v>0</v>
      </c>
      <c r="I67" s="522" t="n">
        <v>0</v>
      </c>
      <c r="J67" s="522" t="n">
        <v>0</v>
      </c>
      <c r="K67" s="522" t="n">
        <v>0</v>
      </c>
      <c r="L67" s="522" t="n">
        <v>0</v>
      </c>
      <c r="M67" s="522" t="n">
        <v>0</v>
      </c>
      <c r="N67" s="522" t="n">
        <v>0</v>
      </c>
      <c r="O67" s="522" t="n">
        <v>0</v>
      </c>
      <c r="P67" s="522" t="n">
        <v>0</v>
      </c>
      <c r="Q67" s="522" t="n">
        <v>0</v>
      </c>
      <c r="R67" s="522" t="n">
        <v>0</v>
      </c>
      <c r="S67" s="522" t="n">
        <v>0</v>
      </c>
      <c r="T67" s="522" t="n">
        <v>0</v>
      </c>
      <c r="U67" s="522" t="n">
        <v>0</v>
      </c>
      <c r="V67" s="522" t="n">
        <v>0</v>
      </c>
      <c r="W67" s="522" t="n">
        <v>0</v>
      </c>
      <c r="X67" s="522" t="n">
        <v>0</v>
      </c>
      <c r="Y67" s="522" t="n">
        <v>0</v>
      </c>
      <c r="Z67" s="522" t="n">
        <v>0</v>
      </c>
      <c r="AA67" s="522" t="n">
        <v>0</v>
      </c>
      <c r="AB67" s="522" t="n">
        <v>0</v>
      </c>
      <c r="AC67" s="522" t="n">
        <v>57375</v>
      </c>
      <c r="AD67" s="522" t="n">
        <v>0</v>
      </c>
      <c r="AE67" s="522" t="n">
        <v>0</v>
      </c>
      <c r="AF67" s="522" t="n">
        <v>0</v>
      </c>
      <c r="AG67" s="522" t="n">
        <v>0</v>
      </c>
      <c r="AH67" s="522" t="n">
        <v>0</v>
      </c>
      <c r="AI67" s="522" t="n">
        <v>0</v>
      </c>
      <c r="AJ67" s="522" t="n">
        <v>0</v>
      </c>
      <c r="AK67" s="522" t="n">
        <v>0</v>
      </c>
      <c r="AL67" s="522" t="n">
        <v>0</v>
      </c>
      <c r="AM67" s="522" t="n">
        <v>0</v>
      </c>
      <c r="AN67" s="522" t="n">
        <v>0</v>
      </c>
      <c r="AO67" s="522" t="n">
        <v>0</v>
      </c>
      <c r="AP67" s="522" t="n">
        <v>0</v>
      </c>
      <c r="AQ67" s="522" t="n">
        <v>0</v>
      </c>
      <c r="AR67" s="522" t="n">
        <v>0</v>
      </c>
      <c r="AS67" s="522" t="n">
        <v>0</v>
      </c>
      <c r="AT67" s="522" t="n">
        <v>0</v>
      </c>
      <c r="AU67" s="522" t="n">
        <v>0</v>
      </c>
      <c r="AV67" s="522" t="n">
        <v>0</v>
      </c>
      <c r="AW67" s="522" t="n">
        <v>0</v>
      </c>
      <c r="AX67" s="522" t="n">
        <v>0</v>
      </c>
      <c r="AY67" s="522" t="n">
        <v>0</v>
      </c>
      <c r="AZ67" s="522" t="n">
        <v>0</v>
      </c>
      <c r="BA67" s="522" t="n">
        <v>0</v>
      </c>
      <c r="BB67" s="522" t="n">
        <v>0</v>
      </c>
      <c r="BC67" s="522" t="n">
        <v>0</v>
      </c>
      <c r="BD67" s="522" t="n">
        <v>0</v>
      </c>
      <c r="BE67" s="522" t="n">
        <v>0</v>
      </c>
      <c r="BF67" s="522" t="n">
        <v>0</v>
      </c>
      <c r="BG67" s="522" t="n">
        <v>0</v>
      </c>
      <c r="BH67" s="522" t="n">
        <v>0</v>
      </c>
      <c r="BI67" s="522" t="n">
        <v>0</v>
      </c>
      <c r="BJ67" s="522" t="n">
        <v>0</v>
      </c>
      <c r="BK67" s="522" t="n">
        <v>0</v>
      </c>
      <c r="BL67" s="522" t="n">
        <v>0</v>
      </c>
      <c r="BM67" s="522" t="n">
        <v>0</v>
      </c>
      <c r="BN67" s="522" t="n">
        <v>0</v>
      </c>
      <c r="BO67" s="522" t="n">
        <v>0</v>
      </c>
      <c r="BP67" s="522" t="n">
        <v>0</v>
      </c>
      <c r="BQ67" s="522" t="n">
        <v>0</v>
      </c>
      <c r="BR67" s="522" t="n">
        <v>0</v>
      </c>
      <c r="BS67" s="522" t="n">
        <v>0</v>
      </c>
      <c r="BT67" s="522" t="n">
        <v>0</v>
      </c>
      <c r="BU67" s="522" t="n">
        <v>0</v>
      </c>
      <c r="BV67" s="522" t="n">
        <v>0</v>
      </c>
      <c r="BW67" s="522" t="n">
        <v>0</v>
      </c>
      <c r="BX67" s="522" t="n">
        <v>0</v>
      </c>
      <c r="BY67" s="522" t="n">
        <v>0</v>
      </c>
      <c r="BZ67" s="522" t="n">
        <v>0</v>
      </c>
      <c r="CA67" s="522" t="n">
        <v>0</v>
      </c>
      <c r="CB67" s="522" t="n">
        <v>0</v>
      </c>
      <c r="CC67" s="522" t="n">
        <v>0</v>
      </c>
      <c r="CD67" s="522" t="n">
        <v>0</v>
      </c>
      <c r="CE67" s="522" t="n">
        <v>0</v>
      </c>
      <c r="CF67" s="522" t="n">
        <v>0</v>
      </c>
      <c r="CG67" s="522" t="n">
        <v>0</v>
      </c>
      <c r="CH67" s="522" t="n">
        <v>0</v>
      </c>
      <c r="CI67" s="522" t="n">
        <v>0</v>
      </c>
      <c r="CJ67" s="522" t="n">
        <v>0</v>
      </c>
      <c r="CK67" s="522" t="n">
        <v>0</v>
      </c>
      <c r="CL67" s="522" t="n">
        <v>0</v>
      </c>
      <c r="CM67" s="522" t="n">
        <v>0</v>
      </c>
      <c r="CN67" s="522" t="n">
        <v>0</v>
      </c>
      <c r="CO67" s="522" t="n">
        <v>0</v>
      </c>
      <c r="CP67" s="522" t="n">
        <v>0</v>
      </c>
      <c r="CQ67" s="522" t="n">
        <v>0</v>
      </c>
      <c r="CR67" s="522" t="n">
        <v>0</v>
      </c>
      <c r="CS67" s="522" t="n">
        <v>0</v>
      </c>
      <c r="CT67" s="522" t="n">
        <v>0</v>
      </c>
      <c r="CU67" s="522" t="n">
        <v>0</v>
      </c>
      <c r="CV67" s="522" t="n">
        <v>0</v>
      </c>
      <c r="CW67" s="522" t="n">
        <v>0</v>
      </c>
      <c r="CX67" s="522" t="n">
        <v>0</v>
      </c>
      <c r="CY67" s="522" t="n">
        <v>0</v>
      </c>
      <c r="CZ67" s="522" t="n">
        <v>0</v>
      </c>
      <c r="DA67" s="522" t="n">
        <v>0</v>
      </c>
      <c r="DB67" s="522" t="n">
        <v>0</v>
      </c>
      <c r="DC67" s="522" t="n">
        <v>0</v>
      </c>
      <c r="DD67" s="522" t="n">
        <v>0</v>
      </c>
      <c r="DE67" s="522" t="n">
        <v>0</v>
      </c>
      <c r="DF67" s="522" t="n">
        <v>0</v>
      </c>
    </row>
    <row r="68" ht="15" customFormat="1" customHeight="1" s="380">
      <c r="A68" s="468" t="inlineStr">
        <is>
          <t>Ramsgate Dev Fee - 90% Occ</t>
        </is>
      </c>
      <c r="C68" s="483" t="n">
        <v>0</v>
      </c>
      <c r="D68" s="483" t="n">
        <v>0</v>
      </c>
      <c r="E68" s="483" t="n">
        <v>0</v>
      </c>
      <c r="F68" s="522" t="n">
        <v>0</v>
      </c>
      <c r="G68" s="522" t="n">
        <v>0</v>
      </c>
      <c r="H68" s="522" t="n">
        <v>0</v>
      </c>
      <c r="I68" s="522" t="n">
        <v>0</v>
      </c>
      <c r="J68" s="522" t="n">
        <v>0</v>
      </c>
      <c r="K68" s="522" t="n">
        <v>0</v>
      </c>
      <c r="L68" s="522" t="n">
        <v>0</v>
      </c>
      <c r="M68" s="522" t="n">
        <v>0</v>
      </c>
      <c r="N68" s="522" t="n">
        <v>0</v>
      </c>
      <c r="O68" s="522" t="n">
        <v>0</v>
      </c>
      <c r="P68" s="522" t="n">
        <v>0</v>
      </c>
      <c r="Q68" s="522" t="n">
        <v>0</v>
      </c>
      <c r="R68" s="522" t="n">
        <v>0</v>
      </c>
      <c r="S68" s="522" t="n">
        <v>0</v>
      </c>
      <c r="T68" s="522" t="n">
        <v>0</v>
      </c>
      <c r="U68" s="522" t="n">
        <v>0</v>
      </c>
      <c r="V68" s="522" t="n">
        <v>0</v>
      </c>
      <c r="W68" s="522" t="n">
        <v>0</v>
      </c>
      <c r="X68" s="522" t="n">
        <v>0</v>
      </c>
      <c r="Y68" s="522" t="n">
        <v>0</v>
      </c>
      <c r="Z68" s="522" t="n">
        <v>0</v>
      </c>
      <c r="AA68" s="522" t="n">
        <v>0</v>
      </c>
      <c r="AB68" s="522" t="n">
        <v>0</v>
      </c>
      <c r="AC68" s="522" t="n">
        <v>0</v>
      </c>
      <c r="AD68" s="522" t="n">
        <v>0</v>
      </c>
      <c r="AE68" s="522" t="n">
        <v>0</v>
      </c>
      <c r="AF68" s="522" t="n">
        <v>57375</v>
      </c>
      <c r="AG68" s="522" t="n">
        <v>0</v>
      </c>
      <c r="AH68" s="522" t="n">
        <v>0</v>
      </c>
      <c r="AI68" s="522" t="n">
        <v>0</v>
      </c>
      <c r="AJ68" s="522" t="n">
        <v>0</v>
      </c>
      <c r="AK68" s="522" t="n">
        <v>0</v>
      </c>
      <c r="AL68" s="522" t="n">
        <v>0</v>
      </c>
      <c r="AM68" s="522" t="n">
        <v>0</v>
      </c>
      <c r="AN68" s="522" t="n">
        <v>0</v>
      </c>
      <c r="AO68" s="522" t="n">
        <v>0</v>
      </c>
      <c r="AP68" s="522" t="n">
        <v>0</v>
      </c>
      <c r="AQ68" s="522" t="n">
        <v>0</v>
      </c>
      <c r="AR68" s="522" t="n">
        <v>0</v>
      </c>
      <c r="AS68" s="522" t="n">
        <v>0</v>
      </c>
      <c r="AT68" s="522" t="n">
        <v>0</v>
      </c>
      <c r="AU68" s="522" t="n">
        <v>0</v>
      </c>
      <c r="AV68" s="522" t="n">
        <v>0</v>
      </c>
      <c r="AW68" s="522" t="n">
        <v>0</v>
      </c>
      <c r="AX68" s="522" t="n">
        <v>0</v>
      </c>
      <c r="AY68" s="522" t="n">
        <v>0</v>
      </c>
      <c r="AZ68" s="522" t="n">
        <v>0</v>
      </c>
      <c r="BA68" s="522" t="n">
        <v>0</v>
      </c>
      <c r="BB68" s="522" t="n">
        <v>0</v>
      </c>
      <c r="BC68" s="522" t="n">
        <v>0</v>
      </c>
      <c r="BD68" s="522" t="n">
        <v>0</v>
      </c>
      <c r="BE68" s="522" t="n">
        <v>0</v>
      </c>
      <c r="BF68" s="522" t="n">
        <v>0</v>
      </c>
      <c r="BG68" s="522" t="n">
        <v>0</v>
      </c>
      <c r="BH68" s="522" t="n">
        <v>0</v>
      </c>
      <c r="BI68" s="522" t="n">
        <v>0</v>
      </c>
      <c r="BJ68" s="522" t="n">
        <v>0</v>
      </c>
      <c r="BK68" s="522" t="n">
        <v>0</v>
      </c>
      <c r="BL68" s="522" t="n">
        <v>0</v>
      </c>
      <c r="BM68" s="522" t="n">
        <v>0</v>
      </c>
      <c r="BN68" s="522" t="n">
        <v>0</v>
      </c>
      <c r="BO68" s="522" t="n">
        <v>0</v>
      </c>
      <c r="BP68" s="522" t="n">
        <v>0</v>
      </c>
      <c r="BQ68" s="522" t="n">
        <v>0</v>
      </c>
      <c r="BR68" s="522" t="n">
        <v>0</v>
      </c>
      <c r="BS68" s="522" t="n">
        <v>0</v>
      </c>
      <c r="BT68" s="522" t="n">
        <v>0</v>
      </c>
      <c r="BU68" s="522" t="n">
        <v>0</v>
      </c>
      <c r="BV68" s="522" t="n">
        <v>0</v>
      </c>
      <c r="BW68" s="522" t="n">
        <v>0</v>
      </c>
      <c r="BX68" s="522" t="n">
        <v>0</v>
      </c>
      <c r="BY68" s="522" t="n">
        <v>0</v>
      </c>
      <c r="BZ68" s="522" t="n">
        <v>0</v>
      </c>
      <c r="CA68" s="522" t="n">
        <v>0</v>
      </c>
      <c r="CB68" s="522" t="n">
        <v>0</v>
      </c>
      <c r="CC68" s="522" t="n">
        <v>0</v>
      </c>
      <c r="CD68" s="522" t="n">
        <v>0</v>
      </c>
      <c r="CE68" s="522" t="n">
        <v>0</v>
      </c>
      <c r="CF68" s="522" t="n">
        <v>0</v>
      </c>
      <c r="CG68" s="522" t="n">
        <v>0</v>
      </c>
      <c r="CH68" s="522" t="n">
        <v>0</v>
      </c>
      <c r="CI68" s="522" t="n">
        <v>0</v>
      </c>
      <c r="CJ68" s="522" t="n">
        <v>0</v>
      </c>
      <c r="CK68" s="522" t="n">
        <v>0</v>
      </c>
      <c r="CL68" s="522" t="n">
        <v>0</v>
      </c>
      <c r="CM68" s="522" t="n">
        <v>0</v>
      </c>
      <c r="CN68" s="522" t="n">
        <v>0</v>
      </c>
      <c r="CO68" s="522" t="n">
        <v>0</v>
      </c>
      <c r="CP68" s="522" t="n">
        <v>0</v>
      </c>
      <c r="CQ68" s="522" t="n">
        <v>0</v>
      </c>
      <c r="CR68" s="522" t="n">
        <v>0</v>
      </c>
      <c r="CS68" s="522" t="n">
        <v>0</v>
      </c>
      <c r="CT68" s="522" t="n">
        <v>0</v>
      </c>
      <c r="CU68" s="522" t="n">
        <v>0</v>
      </c>
      <c r="CV68" s="522" t="n">
        <v>0</v>
      </c>
      <c r="CW68" s="522" t="n">
        <v>0</v>
      </c>
      <c r="CX68" s="522" t="n">
        <v>0</v>
      </c>
      <c r="CY68" s="522" t="n">
        <v>0</v>
      </c>
      <c r="CZ68" s="522" t="n">
        <v>0</v>
      </c>
      <c r="DA68" s="522" t="n">
        <v>0</v>
      </c>
      <c r="DB68" s="522" t="n">
        <v>0</v>
      </c>
      <c r="DC68" s="522" t="n">
        <v>0</v>
      </c>
      <c r="DD68" s="522" t="n">
        <v>0</v>
      </c>
      <c r="DE68" s="522" t="n">
        <v>0</v>
      </c>
      <c r="DF68" s="522" t="n">
        <v>0</v>
      </c>
    </row>
    <row r="69" ht="15" customFormat="1" customHeight="1" s="380">
      <c r="A69" s="468" t="inlineStr">
        <is>
          <t>Crenshaw Development Fee</t>
        </is>
      </c>
      <c r="C69" s="526" t="n">
        <v>9375</v>
      </c>
      <c r="D69" s="526" t="n">
        <v>9375</v>
      </c>
      <c r="E69" s="526" t="n">
        <v>9375</v>
      </c>
      <c r="F69" s="522" t="n">
        <v>9375</v>
      </c>
      <c r="G69" s="522" t="n">
        <v>9375</v>
      </c>
      <c r="H69" s="522" t="n">
        <v>9375</v>
      </c>
      <c r="I69" s="522" t="n">
        <v>9375</v>
      </c>
      <c r="J69" s="522" t="n">
        <v>9375</v>
      </c>
      <c r="K69" s="522" t="n">
        <v>9375</v>
      </c>
      <c r="L69" s="522" t="n">
        <v>9375</v>
      </c>
      <c r="M69" s="522" t="n">
        <v>0</v>
      </c>
      <c r="N69" s="522" t="n">
        <v>0</v>
      </c>
      <c r="O69" s="522" t="n">
        <v>0</v>
      </c>
      <c r="P69" s="522" t="n">
        <v>0</v>
      </c>
      <c r="Q69" s="522" t="n">
        <v>0</v>
      </c>
      <c r="R69" s="522" t="n">
        <v>0</v>
      </c>
      <c r="S69" s="522" t="n">
        <v>0</v>
      </c>
      <c r="T69" s="522" t="n">
        <v>0</v>
      </c>
      <c r="U69" s="522" t="n">
        <v>0</v>
      </c>
      <c r="V69" s="522" t="n">
        <v>0</v>
      </c>
      <c r="W69" s="522" t="n">
        <v>0</v>
      </c>
      <c r="X69" s="522" t="n">
        <v>0</v>
      </c>
      <c r="Y69" s="522" t="n">
        <v>0</v>
      </c>
      <c r="Z69" s="522" t="n">
        <v>0</v>
      </c>
      <c r="AA69" s="522" t="n">
        <v>0</v>
      </c>
      <c r="AB69" s="522" t="n">
        <v>0</v>
      </c>
      <c r="AC69" s="522" t="n">
        <v>0</v>
      </c>
      <c r="AD69" s="522" t="n">
        <v>0</v>
      </c>
      <c r="AE69" s="522" t="n">
        <v>0</v>
      </c>
      <c r="AF69" s="522" t="n">
        <v>0</v>
      </c>
      <c r="AG69" s="522" t="n">
        <v>0</v>
      </c>
      <c r="AH69" s="522" t="n">
        <v>0</v>
      </c>
      <c r="AI69" s="522" t="n">
        <v>0</v>
      </c>
      <c r="AJ69" s="522" t="n">
        <v>0</v>
      </c>
      <c r="AK69" s="522" t="n">
        <v>0</v>
      </c>
      <c r="AL69" s="522" t="n">
        <v>0</v>
      </c>
      <c r="AM69" s="522" t="n">
        <v>0</v>
      </c>
      <c r="AN69" s="522" t="n">
        <v>0</v>
      </c>
      <c r="AO69" s="522" t="n">
        <v>0</v>
      </c>
      <c r="AP69" s="522" t="n">
        <v>0</v>
      </c>
      <c r="AQ69" s="522" t="n">
        <v>0</v>
      </c>
      <c r="AR69" s="522" t="n">
        <v>0</v>
      </c>
      <c r="AS69" s="522" t="n">
        <v>0</v>
      </c>
      <c r="AT69" s="522" t="n">
        <v>0</v>
      </c>
      <c r="AU69" s="522" t="n">
        <v>0</v>
      </c>
      <c r="AV69" s="522" t="n">
        <v>0</v>
      </c>
      <c r="AW69" s="522" t="n">
        <v>0</v>
      </c>
      <c r="AX69" s="522" t="n">
        <v>0</v>
      </c>
      <c r="AY69" s="522" t="n">
        <v>0</v>
      </c>
      <c r="AZ69" s="522" t="n">
        <v>0</v>
      </c>
      <c r="BA69" s="522" t="n">
        <v>0</v>
      </c>
      <c r="BB69" s="522" t="n">
        <v>0</v>
      </c>
      <c r="BC69" s="522" t="n">
        <v>0</v>
      </c>
      <c r="BD69" s="522" t="n">
        <v>0</v>
      </c>
      <c r="BE69" s="522" t="n">
        <v>0</v>
      </c>
      <c r="BF69" s="522" t="n">
        <v>0</v>
      </c>
      <c r="BG69" s="522" t="n">
        <v>0</v>
      </c>
      <c r="BH69" s="522" t="n">
        <v>0</v>
      </c>
      <c r="BI69" s="522" t="n">
        <v>0</v>
      </c>
      <c r="BJ69" s="522" t="n">
        <v>0</v>
      </c>
      <c r="BK69" s="522" t="n">
        <v>0</v>
      </c>
      <c r="BL69" s="522" t="n">
        <v>0</v>
      </c>
      <c r="BM69" s="522" t="n">
        <v>0</v>
      </c>
      <c r="BN69" s="522" t="n">
        <v>0</v>
      </c>
      <c r="BO69" s="522" t="n">
        <v>0</v>
      </c>
      <c r="BP69" s="522" t="n">
        <v>0</v>
      </c>
      <c r="BQ69" s="522" t="n">
        <v>0</v>
      </c>
      <c r="BR69" s="522" t="n">
        <v>0</v>
      </c>
      <c r="BS69" s="522" t="n">
        <v>0</v>
      </c>
      <c r="BT69" s="522" t="n">
        <v>0</v>
      </c>
      <c r="BU69" s="522" t="n">
        <v>0</v>
      </c>
      <c r="BV69" s="522" t="n">
        <v>0</v>
      </c>
      <c r="BW69" s="522" t="n">
        <v>0</v>
      </c>
      <c r="BX69" s="522" t="n">
        <v>0</v>
      </c>
      <c r="BY69" s="522" t="n">
        <v>0</v>
      </c>
      <c r="BZ69" s="522" t="n">
        <v>0</v>
      </c>
      <c r="CA69" s="522" t="n">
        <v>0</v>
      </c>
      <c r="CB69" s="522" t="n">
        <v>0</v>
      </c>
      <c r="CC69" s="522" t="n">
        <v>0</v>
      </c>
      <c r="CD69" s="522" t="n">
        <v>0</v>
      </c>
      <c r="CE69" s="522" t="n">
        <v>0</v>
      </c>
      <c r="CF69" s="522" t="n">
        <v>0</v>
      </c>
      <c r="CG69" s="522" t="n">
        <v>0</v>
      </c>
      <c r="CH69" s="522" t="n">
        <v>0</v>
      </c>
      <c r="CI69" s="522" t="n">
        <v>0</v>
      </c>
      <c r="CJ69" s="522" t="n">
        <v>0</v>
      </c>
      <c r="CK69" s="522" t="n">
        <v>0</v>
      </c>
      <c r="CL69" s="522" t="n">
        <v>0</v>
      </c>
      <c r="CM69" s="522" t="n">
        <v>0</v>
      </c>
      <c r="CN69" s="522" t="n">
        <v>0</v>
      </c>
      <c r="CO69" s="522" t="n">
        <v>0</v>
      </c>
      <c r="CP69" s="522" t="n">
        <v>0</v>
      </c>
      <c r="CQ69" s="522" t="n">
        <v>0</v>
      </c>
      <c r="CR69" s="522" t="n">
        <v>0</v>
      </c>
      <c r="CS69" s="522" t="n">
        <v>0</v>
      </c>
      <c r="CT69" s="522" t="n">
        <v>0</v>
      </c>
      <c r="CU69" s="522" t="n">
        <v>0</v>
      </c>
      <c r="CV69" s="522" t="n">
        <v>0</v>
      </c>
      <c r="CW69" s="522" t="n">
        <v>0</v>
      </c>
      <c r="CX69" s="522" t="n">
        <v>0</v>
      </c>
      <c r="CY69" s="522" t="n">
        <v>0</v>
      </c>
      <c r="CZ69" s="522" t="n">
        <v>0</v>
      </c>
      <c r="DA69" s="522" t="n">
        <v>0</v>
      </c>
      <c r="DB69" s="522" t="n">
        <v>0</v>
      </c>
      <c r="DC69" s="522" t="n">
        <v>0</v>
      </c>
      <c r="DD69" s="522" t="n">
        <v>0</v>
      </c>
      <c r="DE69" s="522" t="n">
        <v>0</v>
      </c>
      <c r="DF69" s="522" t="n">
        <v>0</v>
      </c>
    </row>
    <row r="70" ht="15" customFormat="1" customHeight="1" s="380">
      <c r="A70" s="468" t="inlineStr">
        <is>
          <t>12th &amp; Fir Developer Fee</t>
        </is>
      </c>
      <c r="C70" s="483" t="n">
        <v>0</v>
      </c>
      <c r="D70" s="483" t="n">
        <v>0</v>
      </c>
      <c r="E70" s="483" t="n">
        <v>0</v>
      </c>
      <c r="F70" s="522" t="n">
        <v>9500</v>
      </c>
      <c r="G70" s="522" t="n">
        <v>9500</v>
      </c>
      <c r="H70" s="522" t="n">
        <v>9500</v>
      </c>
      <c r="I70" s="522" t="n">
        <v>9500</v>
      </c>
      <c r="J70" s="522" t="n">
        <v>9500</v>
      </c>
      <c r="K70" s="522" t="n">
        <v>9500</v>
      </c>
      <c r="L70" s="522" t="n">
        <v>9500</v>
      </c>
      <c r="M70" s="522" t="n">
        <v>9500</v>
      </c>
      <c r="N70" s="522" t="n">
        <v>9500</v>
      </c>
      <c r="O70" s="522" t="n">
        <v>9500</v>
      </c>
      <c r="P70" s="522" t="n">
        <v>9500</v>
      </c>
      <c r="Q70" s="522" t="n">
        <v>9500</v>
      </c>
      <c r="R70" s="522" t="n">
        <v>9500</v>
      </c>
      <c r="S70" s="522" t="n">
        <v>9500</v>
      </c>
      <c r="T70" s="522" t="n">
        <v>9500</v>
      </c>
      <c r="U70" s="522" t="n">
        <v>9500</v>
      </c>
      <c r="V70" s="522" t="n">
        <v>9500</v>
      </c>
      <c r="W70" s="522" t="n">
        <v>9500</v>
      </c>
      <c r="X70" s="522" t="n">
        <v>9500</v>
      </c>
      <c r="Y70" s="522" t="n">
        <v>9500</v>
      </c>
      <c r="Z70" s="522" t="n">
        <v>9500</v>
      </c>
      <c r="AA70" s="522" t="n">
        <v>9500</v>
      </c>
      <c r="AB70" s="522" t="n">
        <v>9500</v>
      </c>
      <c r="AC70" s="522" t="n">
        <v>9500</v>
      </c>
      <c r="AD70" s="522" t="n">
        <v>9500</v>
      </c>
      <c r="AE70" s="522" t="n">
        <v>9500</v>
      </c>
      <c r="AF70" s="522" t="n">
        <v>9500</v>
      </c>
      <c r="AG70" s="522" t="n">
        <v>9500</v>
      </c>
      <c r="AH70" s="522" t="n">
        <v>9500</v>
      </c>
      <c r="AI70" s="522" t="n">
        <v>9500</v>
      </c>
      <c r="AJ70" s="522" t="n">
        <v>0</v>
      </c>
      <c r="AK70" s="522" t="n">
        <v>0</v>
      </c>
      <c r="AL70" s="522" t="n">
        <v>0</v>
      </c>
      <c r="AM70" s="522" t="n">
        <v>0</v>
      </c>
      <c r="AN70" s="522" t="n">
        <v>0</v>
      </c>
      <c r="AO70" s="522" t="n">
        <v>0</v>
      </c>
      <c r="AP70" s="522" t="n">
        <v>0</v>
      </c>
      <c r="AQ70" s="522" t="n">
        <v>0</v>
      </c>
      <c r="AR70" s="522" t="n">
        <v>0</v>
      </c>
      <c r="AS70" s="522" t="n">
        <v>0</v>
      </c>
      <c r="AT70" s="522" t="n">
        <v>0</v>
      </c>
      <c r="AU70" s="522" t="n">
        <v>0</v>
      </c>
      <c r="AV70" s="522" t="n">
        <v>0</v>
      </c>
      <c r="AW70" s="522" t="n">
        <v>0</v>
      </c>
      <c r="AX70" s="522" t="n">
        <v>0</v>
      </c>
      <c r="AY70" s="522" t="n">
        <v>0</v>
      </c>
      <c r="AZ70" s="522" t="n">
        <v>0</v>
      </c>
      <c r="BA70" s="522" t="n">
        <v>0</v>
      </c>
      <c r="BB70" s="522" t="n">
        <v>0</v>
      </c>
      <c r="BC70" s="522" t="n">
        <v>0</v>
      </c>
      <c r="BD70" s="522" t="n">
        <v>0</v>
      </c>
      <c r="BE70" s="522" t="n">
        <v>0</v>
      </c>
      <c r="BF70" s="522" t="n">
        <v>0</v>
      </c>
      <c r="BG70" s="522" t="n">
        <v>0</v>
      </c>
      <c r="BH70" s="522" t="n">
        <v>0</v>
      </c>
      <c r="BI70" s="522" t="n">
        <v>0</v>
      </c>
      <c r="BJ70" s="522" t="n">
        <v>0</v>
      </c>
      <c r="BK70" s="522" t="n">
        <v>0</v>
      </c>
      <c r="BL70" s="522" t="n">
        <v>0</v>
      </c>
      <c r="BM70" s="522" t="n">
        <v>0</v>
      </c>
      <c r="BN70" s="522" t="n">
        <v>0</v>
      </c>
      <c r="BO70" s="522" t="n">
        <v>0</v>
      </c>
      <c r="BP70" s="522" t="n">
        <v>0</v>
      </c>
      <c r="BQ70" s="522" t="n">
        <v>0</v>
      </c>
      <c r="BR70" s="522" t="n">
        <v>0</v>
      </c>
      <c r="BS70" s="522" t="n">
        <v>0</v>
      </c>
      <c r="BT70" s="522" t="n">
        <v>0</v>
      </c>
      <c r="BU70" s="522" t="n">
        <v>0</v>
      </c>
      <c r="BV70" s="522" t="n">
        <v>0</v>
      </c>
      <c r="BW70" s="522" t="n">
        <v>0</v>
      </c>
      <c r="BX70" s="522" t="n">
        <v>0</v>
      </c>
      <c r="BY70" s="522" t="n">
        <v>0</v>
      </c>
      <c r="BZ70" s="522" t="n">
        <v>0</v>
      </c>
      <c r="CA70" s="522" t="n">
        <v>0</v>
      </c>
      <c r="CB70" s="522" t="n">
        <v>0</v>
      </c>
      <c r="CC70" s="522" t="n">
        <v>0</v>
      </c>
      <c r="CD70" s="522" t="n">
        <v>0</v>
      </c>
      <c r="CE70" s="522" t="n">
        <v>0</v>
      </c>
      <c r="CF70" s="522" t="n">
        <v>0</v>
      </c>
      <c r="CG70" s="522" t="n">
        <v>0</v>
      </c>
      <c r="CH70" s="522" t="n">
        <v>0</v>
      </c>
      <c r="CI70" s="522" t="n">
        <v>0</v>
      </c>
      <c r="CJ70" s="522" t="n">
        <v>0</v>
      </c>
      <c r="CK70" s="522" t="n">
        <v>0</v>
      </c>
      <c r="CL70" s="522" t="n">
        <v>0</v>
      </c>
      <c r="CM70" s="522" t="n">
        <v>0</v>
      </c>
      <c r="CN70" s="522" t="n">
        <v>0</v>
      </c>
      <c r="CO70" s="522" t="n">
        <v>0</v>
      </c>
      <c r="CP70" s="522" t="n">
        <v>0</v>
      </c>
      <c r="CQ70" s="522" t="n">
        <v>0</v>
      </c>
      <c r="CR70" s="522" t="n">
        <v>0</v>
      </c>
      <c r="CS70" s="522" t="n">
        <v>0</v>
      </c>
      <c r="CT70" s="522" t="n">
        <v>0</v>
      </c>
      <c r="CU70" s="522" t="n">
        <v>0</v>
      </c>
      <c r="CV70" s="522" t="n">
        <v>0</v>
      </c>
      <c r="CW70" s="522" t="n">
        <v>0</v>
      </c>
      <c r="CX70" s="522" t="n">
        <v>0</v>
      </c>
      <c r="CY70" s="522" t="n">
        <v>0</v>
      </c>
      <c r="CZ70" s="522" t="n">
        <v>0</v>
      </c>
      <c r="DA70" s="522" t="n">
        <v>0</v>
      </c>
      <c r="DB70" s="522" t="n">
        <v>0</v>
      </c>
      <c r="DC70" s="522" t="n">
        <v>0</v>
      </c>
      <c r="DD70" s="522" t="n">
        <v>0</v>
      </c>
      <c r="DE70" s="522" t="n">
        <v>0</v>
      </c>
      <c r="DF70" s="522" t="n">
        <v>0</v>
      </c>
    </row>
    <row r="71" ht="15" customFormat="1" customHeight="1" s="380">
      <c r="A71" s="468" t="inlineStr">
        <is>
          <t>Klump Accounting Fee</t>
        </is>
      </c>
      <c r="C71" s="483" t="n">
        <v>0</v>
      </c>
      <c r="D71" s="483" t="n">
        <v>0</v>
      </c>
      <c r="E71" s="483" t="n">
        <v>0</v>
      </c>
      <c r="F71" s="522" t="n">
        <v>0</v>
      </c>
      <c r="G71" s="522" t="n">
        <v>0</v>
      </c>
      <c r="H71" s="522" t="n">
        <v>0</v>
      </c>
      <c r="I71" s="522" t="n">
        <v>0</v>
      </c>
      <c r="J71" s="522" t="n">
        <v>0</v>
      </c>
      <c r="K71" s="522" t="n">
        <v>0</v>
      </c>
      <c r="L71" s="522" t="n">
        <v>0</v>
      </c>
      <c r="M71" s="522" t="n">
        <v>0</v>
      </c>
      <c r="N71" s="522" t="n">
        <v>0</v>
      </c>
      <c r="O71" s="522" t="n">
        <v>0</v>
      </c>
      <c r="P71" s="522" t="n">
        <v>0</v>
      </c>
      <c r="Q71" s="522" t="n">
        <v>0</v>
      </c>
      <c r="R71" s="522" t="n">
        <v>0</v>
      </c>
      <c r="S71" s="522" t="n">
        <v>0</v>
      </c>
      <c r="T71" s="522" t="n">
        <v>0</v>
      </c>
      <c r="U71" s="522" t="n">
        <v>0</v>
      </c>
      <c r="V71" s="522" t="n">
        <v>0</v>
      </c>
      <c r="W71" s="522" t="n">
        <v>0</v>
      </c>
      <c r="X71" s="522" t="n">
        <v>0</v>
      </c>
      <c r="Y71" s="522" t="n">
        <v>0</v>
      </c>
      <c r="Z71" s="522" t="n">
        <v>0</v>
      </c>
      <c r="AA71" s="522" t="n">
        <v>0</v>
      </c>
      <c r="AB71" s="522" t="n">
        <v>0</v>
      </c>
      <c r="AC71" s="522" t="n">
        <v>0</v>
      </c>
      <c r="AD71" s="522" t="n">
        <v>0</v>
      </c>
      <c r="AE71" s="522" t="n">
        <v>0</v>
      </c>
      <c r="AF71" s="522" t="n">
        <v>0</v>
      </c>
      <c r="AG71" s="522" t="n">
        <v>0</v>
      </c>
      <c r="AH71" s="522" t="n">
        <v>0</v>
      </c>
      <c r="AI71" s="522" t="n">
        <v>0</v>
      </c>
      <c r="AJ71" s="522" t="n">
        <v>0</v>
      </c>
      <c r="AK71" s="522" t="n">
        <v>0</v>
      </c>
      <c r="AL71" s="522" t="n">
        <v>0</v>
      </c>
      <c r="AM71" s="522" t="n">
        <v>0</v>
      </c>
      <c r="AN71" s="522" t="n">
        <v>0</v>
      </c>
      <c r="AO71" s="522" t="n">
        <v>0</v>
      </c>
      <c r="AP71" s="522" t="n">
        <v>0</v>
      </c>
      <c r="AQ71" s="522" t="n">
        <v>0</v>
      </c>
      <c r="AR71" s="522" t="n">
        <v>0</v>
      </c>
      <c r="AS71" s="522" t="n">
        <v>0</v>
      </c>
      <c r="AT71" s="522" t="n">
        <v>0</v>
      </c>
      <c r="AU71" s="522" t="n">
        <v>0</v>
      </c>
      <c r="AV71" s="522" t="n">
        <v>0</v>
      </c>
      <c r="AW71" s="522" t="n">
        <v>0</v>
      </c>
      <c r="AX71" s="522" t="n">
        <v>0</v>
      </c>
      <c r="AY71" s="522" t="n">
        <v>0</v>
      </c>
      <c r="AZ71" s="522" t="n">
        <v>0</v>
      </c>
      <c r="BA71" s="522" t="n">
        <v>0</v>
      </c>
      <c r="BB71" s="522" t="n">
        <v>0</v>
      </c>
      <c r="BC71" s="522" t="n">
        <v>0</v>
      </c>
      <c r="BD71" s="522" t="n">
        <v>0</v>
      </c>
      <c r="BE71" s="522" t="n">
        <v>0</v>
      </c>
      <c r="BF71" s="522" t="n">
        <v>0</v>
      </c>
      <c r="BG71" s="522" t="n">
        <v>0</v>
      </c>
      <c r="BH71" s="522" t="n">
        <v>0</v>
      </c>
      <c r="BI71" s="522" t="n">
        <v>0</v>
      </c>
      <c r="BJ71" s="522" t="n">
        <v>0</v>
      </c>
      <c r="BK71" s="522" t="n">
        <v>0</v>
      </c>
      <c r="BL71" s="522" t="n">
        <v>0</v>
      </c>
      <c r="BM71" s="522" t="n">
        <v>0</v>
      </c>
      <c r="BN71" s="522" t="n">
        <v>0</v>
      </c>
      <c r="BO71" s="522" t="n">
        <v>0</v>
      </c>
      <c r="BP71" s="522" t="n">
        <v>0</v>
      </c>
      <c r="BQ71" s="522" t="n">
        <v>0</v>
      </c>
      <c r="BR71" s="522" t="n">
        <v>0</v>
      </c>
      <c r="BS71" s="522" t="n">
        <v>0</v>
      </c>
      <c r="BT71" s="522" t="n">
        <v>0</v>
      </c>
      <c r="BU71" s="522" t="n">
        <v>0</v>
      </c>
      <c r="BV71" s="522" t="n">
        <v>0</v>
      </c>
      <c r="BW71" s="522" t="n">
        <v>0</v>
      </c>
      <c r="BX71" s="522" t="n">
        <v>0</v>
      </c>
      <c r="BY71" s="522" t="n">
        <v>0</v>
      </c>
      <c r="BZ71" s="522" t="n">
        <v>0</v>
      </c>
      <c r="CA71" s="522" t="n">
        <v>0</v>
      </c>
      <c r="CB71" s="522" t="n">
        <v>0</v>
      </c>
      <c r="CC71" s="522" t="n">
        <v>0</v>
      </c>
      <c r="CD71" s="522" t="n">
        <v>0</v>
      </c>
      <c r="CE71" s="522" t="n">
        <v>0</v>
      </c>
      <c r="CF71" s="522" t="n">
        <v>0</v>
      </c>
      <c r="CG71" s="522" t="n">
        <v>0</v>
      </c>
      <c r="CH71" s="522" t="n">
        <v>0</v>
      </c>
      <c r="CI71" s="522" t="n">
        <v>0</v>
      </c>
      <c r="CJ71" s="522" t="n">
        <v>0</v>
      </c>
      <c r="CK71" s="522" t="n">
        <v>0</v>
      </c>
      <c r="CL71" s="522" t="n">
        <v>0</v>
      </c>
      <c r="CM71" s="522" t="n">
        <v>0</v>
      </c>
      <c r="CN71" s="522" t="n">
        <v>0</v>
      </c>
      <c r="CO71" s="522" t="n">
        <v>0</v>
      </c>
      <c r="CP71" s="522" t="n">
        <v>0</v>
      </c>
      <c r="CQ71" s="522" t="n">
        <v>0</v>
      </c>
      <c r="CR71" s="522" t="n">
        <v>0</v>
      </c>
      <c r="CS71" s="522" t="n">
        <v>0</v>
      </c>
      <c r="CT71" s="522" t="n">
        <v>0</v>
      </c>
      <c r="CU71" s="522" t="n">
        <v>0</v>
      </c>
      <c r="CV71" s="522" t="n">
        <v>0</v>
      </c>
      <c r="CW71" s="522" t="n">
        <v>0</v>
      </c>
      <c r="CX71" s="522" t="n">
        <v>0</v>
      </c>
      <c r="CY71" s="522" t="n">
        <v>0</v>
      </c>
      <c r="CZ71" s="522" t="n">
        <v>0</v>
      </c>
      <c r="DA71" s="522" t="n">
        <v>0</v>
      </c>
      <c r="DB71" s="522" t="n">
        <v>0</v>
      </c>
      <c r="DC71" s="522" t="n">
        <v>0</v>
      </c>
      <c r="DD71" s="522" t="n">
        <v>0</v>
      </c>
      <c r="DE71" s="522" t="n">
        <v>0</v>
      </c>
      <c r="DF71" s="522" t="n">
        <v>0</v>
      </c>
    </row>
    <row r="72" ht="15" customFormat="1" customHeight="1" s="380">
      <c r="A72" s="468" t="inlineStr">
        <is>
          <t>Klump Developer Fee</t>
        </is>
      </c>
      <c r="C72" s="483" t="n">
        <v>0</v>
      </c>
      <c r="D72" s="483" t="n">
        <v>0</v>
      </c>
      <c r="E72" s="483" t="n">
        <v>0</v>
      </c>
      <c r="F72" s="522" t="n">
        <v>0</v>
      </c>
      <c r="G72" s="522" t="n">
        <v>0</v>
      </c>
      <c r="H72" s="522" t="n">
        <v>0</v>
      </c>
      <c r="I72" s="522" t="n">
        <v>0</v>
      </c>
      <c r="J72" s="522" t="n">
        <v>0</v>
      </c>
      <c r="K72" s="522" t="n">
        <v>0</v>
      </c>
      <c r="L72" s="522" t="n">
        <v>0</v>
      </c>
      <c r="M72" s="522" t="n">
        <v>0</v>
      </c>
      <c r="N72" s="522" t="n">
        <v>0</v>
      </c>
      <c r="O72" s="522" t="n">
        <v>0</v>
      </c>
      <c r="P72" s="522" t="n">
        <v>0</v>
      </c>
      <c r="Q72" s="522" t="n">
        <v>0</v>
      </c>
      <c r="R72" s="522" t="n">
        <v>0</v>
      </c>
      <c r="S72" s="522" t="n">
        <v>0</v>
      </c>
      <c r="T72" s="522" t="n">
        <v>0</v>
      </c>
      <c r="U72" s="522" t="n">
        <v>0</v>
      </c>
      <c r="V72" s="522" t="n">
        <v>0</v>
      </c>
      <c r="W72" s="522" t="n">
        <v>0</v>
      </c>
      <c r="X72" s="522" t="n">
        <v>0</v>
      </c>
      <c r="Y72" s="522" t="n">
        <v>0</v>
      </c>
      <c r="Z72" s="522" t="n">
        <v>0</v>
      </c>
      <c r="AA72" s="522" t="n">
        <v>0</v>
      </c>
      <c r="AB72" s="522" t="n">
        <v>0</v>
      </c>
      <c r="AC72" s="522" t="n">
        <v>0</v>
      </c>
      <c r="AD72" s="522" t="n">
        <v>0</v>
      </c>
      <c r="AE72" s="522" t="n">
        <v>0</v>
      </c>
      <c r="AF72" s="522" t="n">
        <v>0</v>
      </c>
      <c r="AG72" s="522" t="n">
        <v>0</v>
      </c>
      <c r="AH72" s="522" t="n">
        <v>0</v>
      </c>
      <c r="AI72" s="522" t="n">
        <v>0</v>
      </c>
      <c r="AJ72" s="522" t="n">
        <v>0</v>
      </c>
      <c r="AK72" s="522" t="n">
        <v>0</v>
      </c>
      <c r="AL72" s="522" t="n">
        <v>0</v>
      </c>
      <c r="AM72" s="522" t="n">
        <v>0</v>
      </c>
      <c r="AN72" s="522" t="n">
        <v>0</v>
      </c>
      <c r="AO72" s="522" t="n">
        <v>0</v>
      </c>
      <c r="AP72" s="522" t="n">
        <v>0</v>
      </c>
      <c r="AQ72" s="522" t="n">
        <v>0</v>
      </c>
      <c r="AR72" s="522" t="n">
        <v>0</v>
      </c>
      <c r="AS72" s="522" t="n">
        <v>0</v>
      </c>
      <c r="AT72" s="522" t="n">
        <v>0</v>
      </c>
      <c r="AU72" s="522" t="n">
        <v>0</v>
      </c>
      <c r="AV72" s="522" t="n">
        <v>0</v>
      </c>
      <c r="AW72" s="522" t="n">
        <v>0</v>
      </c>
      <c r="AX72" s="522" t="n">
        <v>0</v>
      </c>
      <c r="AY72" s="522" t="n">
        <v>0</v>
      </c>
      <c r="AZ72" s="522" t="n">
        <v>0</v>
      </c>
      <c r="BA72" s="522" t="n">
        <v>0</v>
      </c>
      <c r="BB72" s="522" t="n">
        <v>0</v>
      </c>
      <c r="BC72" s="522" t="n">
        <v>0</v>
      </c>
      <c r="BD72" s="522" t="n">
        <v>0</v>
      </c>
      <c r="BE72" s="522" t="n">
        <v>0</v>
      </c>
      <c r="BF72" s="522" t="n">
        <v>0</v>
      </c>
      <c r="BG72" s="522" t="n">
        <v>0</v>
      </c>
      <c r="BH72" s="522" t="n">
        <v>0</v>
      </c>
      <c r="BI72" s="522" t="n">
        <v>0</v>
      </c>
      <c r="BJ72" s="522" t="n">
        <v>0</v>
      </c>
      <c r="BK72" s="522" t="n">
        <v>0</v>
      </c>
      <c r="BL72" s="522" t="n">
        <v>0</v>
      </c>
      <c r="BM72" s="522" t="n">
        <v>0</v>
      </c>
      <c r="BN72" s="522" t="n">
        <v>0</v>
      </c>
      <c r="BO72" s="522" t="n">
        <v>0</v>
      </c>
      <c r="BP72" s="522" t="n">
        <v>0</v>
      </c>
      <c r="BQ72" s="522" t="n">
        <v>0</v>
      </c>
      <c r="BR72" s="522" t="n">
        <v>0</v>
      </c>
      <c r="BS72" s="522" t="n">
        <v>0</v>
      </c>
      <c r="BT72" s="522" t="n">
        <v>0</v>
      </c>
      <c r="BU72" s="522" t="n">
        <v>0</v>
      </c>
      <c r="BV72" s="522" t="n">
        <v>0</v>
      </c>
      <c r="BW72" s="522" t="n">
        <v>0</v>
      </c>
      <c r="BX72" s="522" t="n">
        <v>0</v>
      </c>
      <c r="BY72" s="522" t="n">
        <v>0</v>
      </c>
      <c r="BZ72" s="522" t="n">
        <v>0</v>
      </c>
      <c r="CA72" s="522" t="n">
        <v>0</v>
      </c>
      <c r="CB72" s="522" t="n">
        <v>0</v>
      </c>
      <c r="CC72" s="522" t="n">
        <v>0</v>
      </c>
      <c r="CD72" s="522" t="n">
        <v>0</v>
      </c>
      <c r="CE72" s="522" t="n">
        <v>0</v>
      </c>
      <c r="CF72" s="522" t="n">
        <v>0</v>
      </c>
      <c r="CG72" s="522" t="n">
        <v>0</v>
      </c>
      <c r="CH72" s="522" t="n">
        <v>0</v>
      </c>
      <c r="CI72" s="522" t="n">
        <v>0</v>
      </c>
      <c r="CJ72" s="522" t="n">
        <v>0</v>
      </c>
      <c r="CK72" s="522" t="n">
        <v>0</v>
      </c>
      <c r="CL72" s="522" t="n">
        <v>0</v>
      </c>
      <c r="CM72" s="522" t="n">
        <v>0</v>
      </c>
      <c r="CN72" s="522" t="n">
        <v>0</v>
      </c>
      <c r="CO72" s="522" t="n">
        <v>0</v>
      </c>
      <c r="CP72" s="522" t="n">
        <v>0</v>
      </c>
      <c r="CQ72" s="522" t="n">
        <v>0</v>
      </c>
      <c r="CR72" s="522" t="n">
        <v>0</v>
      </c>
      <c r="CS72" s="522" t="n">
        <v>0</v>
      </c>
      <c r="CT72" s="522" t="n">
        <v>0</v>
      </c>
      <c r="CU72" s="522" t="n">
        <v>0</v>
      </c>
      <c r="CV72" s="522" t="n">
        <v>0</v>
      </c>
      <c r="CW72" s="522" t="n">
        <v>0</v>
      </c>
      <c r="CX72" s="522" t="n">
        <v>0</v>
      </c>
      <c r="CY72" s="522" t="n">
        <v>0</v>
      </c>
      <c r="CZ72" s="522" t="n">
        <v>0</v>
      </c>
      <c r="DA72" s="522" t="n">
        <v>0</v>
      </c>
      <c r="DB72" s="522" t="n">
        <v>0</v>
      </c>
      <c r="DC72" s="522" t="n">
        <v>0</v>
      </c>
      <c r="DD72" s="522" t="n">
        <v>0</v>
      </c>
      <c r="DE72" s="522" t="n">
        <v>0</v>
      </c>
      <c r="DF72" s="522" t="n">
        <v>0</v>
      </c>
    </row>
    <row r="73" ht="15" customFormat="1" customHeight="1" s="380">
      <c r="A73" s="468" t="inlineStr">
        <is>
          <t>Klump Guarantee Fee</t>
        </is>
      </c>
      <c r="C73" s="483" t="n">
        <v>0</v>
      </c>
      <c r="D73" s="483" t="n">
        <v>0</v>
      </c>
      <c r="E73" s="483" t="n">
        <v>0</v>
      </c>
      <c r="F73" s="522" t="n">
        <v>0</v>
      </c>
      <c r="G73" s="522" t="n">
        <v>0</v>
      </c>
      <c r="H73" s="522" t="n">
        <v>0</v>
      </c>
      <c r="I73" s="522" t="n">
        <v>0</v>
      </c>
      <c r="J73" s="522" t="n">
        <v>0</v>
      </c>
      <c r="K73" s="522" t="n">
        <v>0</v>
      </c>
      <c r="L73" s="522" t="n">
        <v>0</v>
      </c>
      <c r="M73" s="522" t="n">
        <v>0</v>
      </c>
      <c r="N73" s="522" t="n">
        <v>0</v>
      </c>
      <c r="O73" s="522" t="n">
        <v>0</v>
      </c>
      <c r="P73" s="522" t="n">
        <v>0</v>
      </c>
      <c r="Q73" s="522" t="n">
        <v>0</v>
      </c>
      <c r="R73" s="522" t="n">
        <v>0</v>
      </c>
      <c r="S73" s="522" t="n">
        <v>0</v>
      </c>
      <c r="T73" s="522" t="n">
        <v>0</v>
      </c>
      <c r="U73" s="522" t="n">
        <v>0</v>
      </c>
      <c r="V73" s="522" t="n">
        <v>0</v>
      </c>
      <c r="W73" s="522" t="n">
        <v>0</v>
      </c>
      <c r="X73" s="522" t="n">
        <v>0</v>
      </c>
      <c r="Y73" s="522" t="n">
        <v>0</v>
      </c>
      <c r="Z73" s="522" t="n">
        <v>0</v>
      </c>
      <c r="AA73" s="522" t="n">
        <v>0</v>
      </c>
      <c r="AB73" s="522" t="n">
        <v>0</v>
      </c>
      <c r="AC73" s="522" t="n">
        <v>0</v>
      </c>
      <c r="AD73" s="522" t="n">
        <v>0</v>
      </c>
      <c r="AE73" s="522" t="n">
        <v>0</v>
      </c>
      <c r="AF73" s="522" t="n">
        <v>0</v>
      </c>
      <c r="AG73" s="522" t="n">
        <v>0</v>
      </c>
      <c r="AH73" s="522" t="n">
        <v>0</v>
      </c>
      <c r="AI73" s="522" t="n">
        <v>0</v>
      </c>
      <c r="AJ73" s="522" t="n">
        <v>0</v>
      </c>
      <c r="AK73" s="522" t="n">
        <v>0</v>
      </c>
      <c r="AL73" s="522" t="n">
        <v>0</v>
      </c>
      <c r="AM73" s="522" t="n">
        <v>0</v>
      </c>
      <c r="AN73" s="522" t="n">
        <v>0</v>
      </c>
      <c r="AO73" s="522" t="n">
        <v>0</v>
      </c>
      <c r="AP73" s="522" t="n">
        <v>0</v>
      </c>
      <c r="AQ73" s="522" t="n">
        <v>0</v>
      </c>
      <c r="AR73" s="522" t="n">
        <v>0</v>
      </c>
      <c r="AS73" s="522" t="n">
        <v>0</v>
      </c>
      <c r="AT73" s="522" t="n">
        <v>0</v>
      </c>
      <c r="AU73" s="522" t="n">
        <v>0</v>
      </c>
      <c r="AV73" s="522" t="n">
        <v>0</v>
      </c>
      <c r="AW73" s="522" t="n">
        <v>0</v>
      </c>
      <c r="AX73" s="522" t="n">
        <v>0</v>
      </c>
      <c r="AY73" s="522" t="n">
        <v>0</v>
      </c>
      <c r="AZ73" s="522" t="n">
        <v>0</v>
      </c>
      <c r="BA73" s="522" t="n">
        <v>0</v>
      </c>
      <c r="BB73" s="522" t="n">
        <v>0</v>
      </c>
      <c r="BC73" s="522" t="n">
        <v>0</v>
      </c>
      <c r="BD73" s="522" t="n">
        <v>0</v>
      </c>
      <c r="BE73" s="522" t="n">
        <v>0</v>
      </c>
      <c r="BF73" s="522" t="n">
        <v>0</v>
      </c>
      <c r="BG73" s="522" t="n">
        <v>0</v>
      </c>
      <c r="BH73" s="522" t="n">
        <v>0</v>
      </c>
      <c r="BI73" s="522" t="n">
        <v>0</v>
      </c>
      <c r="BJ73" s="522" t="n">
        <v>0</v>
      </c>
      <c r="BK73" s="522" t="n">
        <v>0</v>
      </c>
      <c r="BL73" s="522" t="n">
        <v>0</v>
      </c>
      <c r="BM73" s="522" t="n">
        <v>0</v>
      </c>
      <c r="BN73" s="522" t="n">
        <v>0</v>
      </c>
      <c r="BO73" s="522" t="n">
        <v>0</v>
      </c>
      <c r="BP73" s="522" t="n">
        <v>0</v>
      </c>
      <c r="BQ73" s="522" t="n">
        <v>0</v>
      </c>
      <c r="BR73" s="522" t="n">
        <v>0</v>
      </c>
      <c r="BS73" s="522" t="n">
        <v>0</v>
      </c>
      <c r="BT73" s="522" t="n">
        <v>0</v>
      </c>
      <c r="BU73" s="522" t="n">
        <v>0</v>
      </c>
      <c r="BV73" s="522" t="n">
        <v>0</v>
      </c>
      <c r="BW73" s="522" t="n">
        <v>0</v>
      </c>
      <c r="BX73" s="522" t="n">
        <v>0</v>
      </c>
      <c r="BY73" s="522" t="n">
        <v>0</v>
      </c>
      <c r="BZ73" s="522" t="n">
        <v>0</v>
      </c>
      <c r="CA73" s="522" t="n">
        <v>0</v>
      </c>
      <c r="CB73" s="522" t="n">
        <v>0</v>
      </c>
      <c r="CC73" s="522" t="n">
        <v>0</v>
      </c>
      <c r="CD73" s="522" t="n">
        <v>0</v>
      </c>
      <c r="CE73" s="522" t="n">
        <v>0</v>
      </c>
      <c r="CF73" s="522" t="n">
        <v>0</v>
      </c>
      <c r="CG73" s="522" t="n">
        <v>0</v>
      </c>
      <c r="CH73" s="522" t="n">
        <v>0</v>
      </c>
      <c r="CI73" s="522" t="n">
        <v>0</v>
      </c>
      <c r="CJ73" s="522" t="n">
        <v>0</v>
      </c>
      <c r="CK73" s="522" t="n">
        <v>0</v>
      </c>
      <c r="CL73" s="522" t="n">
        <v>0</v>
      </c>
      <c r="CM73" s="522" t="n">
        <v>0</v>
      </c>
      <c r="CN73" s="522" t="n">
        <v>0</v>
      </c>
      <c r="CO73" s="522" t="n">
        <v>0</v>
      </c>
      <c r="CP73" s="522" t="n">
        <v>0</v>
      </c>
      <c r="CQ73" s="522" t="n">
        <v>0</v>
      </c>
      <c r="CR73" s="522" t="n">
        <v>0</v>
      </c>
      <c r="CS73" s="522" t="n">
        <v>0</v>
      </c>
      <c r="CT73" s="522" t="n">
        <v>0</v>
      </c>
      <c r="CU73" s="522" t="n">
        <v>0</v>
      </c>
      <c r="CV73" s="522" t="n">
        <v>0</v>
      </c>
      <c r="CW73" s="522" t="n">
        <v>0</v>
      </c>
      <c r="CX73" s="522" t="n">
        <v>0</v>
      </c>
      <c r="CY73" s="522" t="n">
        <v>0</v>
      </c>
      <c r="CZ73" s="522" t="n">
        <v>0</v>
      </c>
      <c r="DA73" s="522" t="n">
        <v>0</v>
      </c>
      <c r="DB73" s="522" t="n">
        <v>0</v>
      </c>
      <c r="DC73" s="522" t="n">
        <v>0</v>
      </c>
      <c r="DD73" s="522" t="n">
        <v>0</v>
      </c>
      <c r="DE73" s="522" t="n">
        <v>0</v>
      </c>
      <c r="DF73" s="522" t="n">
        <v>0</v>
      </c>
    </row>
    <row r="74" ht="15" customFormat="1" customHeight="1" s="380">
      <c r="A74" s="468" t="inlineStr">
        <is>
          <t>Scott Accounting Fee</t>
        </is>
      </c>
      <c r="C74" s="483" t="n">
        <v>0</v>
      </c>
      <c r="D74" s="483" t="n">
        <v>0</v>
      </c>
      <c r="E74" s="483" t="n">
        <v>0</v>
      </c>
      <c r="F74" s="522" t="n">
        <v>0</v>
      </c>
      <c r="G74" s="522" t="n">
        <v>0</v>
      </c>
      <c r="H74" s="522" t="n">
        <v>0</v>
      </c>
      <c r="I74" s="522" t="n">
        <v>0</v>
      </c>
      <c r="J74" s="522" t="n">
        <v>0</v>
      </c>
      <c r="K74" s="522" t="n">
        <v>0</v>
      </c>
      <c r="L74" s="522" t="n">
        <v>0</v>
      </c>
      <c r="M74" s="522" t="n">
        <v>0</v>
      </c>
      <c r="N74" s="522" t="n">
        <v>0</v>
      </c>
      <c r="O74" s="522" t="n">
        <v>0</v>
      </c>
      <c r="P74" s="522" t="n">
        <v>0</v>
      </c>
      <c r="Q74" s="522" t="n">
        <v>0</v>
      </c>
      <c r="R74" s="522" t="n">
        <v>0</v>
      </c>
      <c r="S74" s="522" t="n">
        <v>0</v>
      </c>
      <c r="T74" s="522" t="n">
        <v>0</v>
      </c>
      <c r="U74" s="522" t="n">
        <v>0</v>
      </c>
      <c r="V74" s="522" t="n">
        <v>0</v>
      </c>
      <c r="W74" s="522" t="n">
        <v>0</v>
      </c>
      <c r="X74" s="522" t="n">
        <v>0</v>
      </c>
      <c r="Y74" s="522" t="n">
        <v>0</v>
      </c>
      <c r="Z74" s="522" t="n">
        <v>0</v>
      </c>
      <c r="AA74" s="522" t="n">
        <v>0</v>
      </c>
      <c r="AB74" s="522" t="n">
        <v>0</v>
      </c>
      <c r="AC74" s="522" t="n">
        <v>0</v>
      </c>
      <c r="AD74" s="522" t="n">
        <v>0</v>
      </c>
      <c r="AE74" s="522" t="n">
        <v>0</v>
      </c>
      <c r="AF74" s="522" t="n">
        <v>0</v>
      </c>
      <c r="AG74" s="522" t="n">
        <v>0</v>
      </c>
      <c r="AH74" s="522" t="n">
        <v>0</v>
      </c>
      <c r="AI74" s="522" t="n">
        <v>0</v>
      </c>
      <c r="AJ74" s="522" t="n">
        <v>0</v>
      </c>
      <c r="AK74" s="522" t="n">
        <v>0</v>
      </c>
      <c r="AL74" s="522" t="n">
        <v>0</v>
      </c>
      <c r="AM74" s="522" t="n">
        <v>0</v>
      </c>
      <c r="AN74" s="522" t="n">
        <v>0</v>
      </c>
      <c r="AO74" s="522" t="n">
        <v>0</v>
      </c>
      <c r="AP74" s="522" t="n">
        <v>0</v>
      </c>
      <c r="AQ74" s="522" t="n">
        <v>0</v>
      </c>
      <c r="AR74" s="522" t="n">
        <v>0</v>
      </c>
      <c r="AS74" s="522" t="n">
        <v>0</v>
      </c>
      <c r="AT74" s="522" t="n">
        <v>0</v>
      </c>
      <c r="AU74" s="522" t="n">
        <v>0</v>
      </c>
      <c r="AV74" s="522" t="n">
        <v>0</v>
      </c>
      <c r="AW74" s="522" t="n">
        <v>0</v>
      </c>
      <c r="AX74" s="522" t="n">
        <v>0</v>
      </c>
      <c r="AY74" s="522" t="n">
        <v>0</v>
      </c>
      <c r="AZ74" s="522" t="n">
        <v>0</v>
      </c>
      <c r="BA74" s="522" t="n">
        <v>0</v>
      </c>
      <c r="BB74" s="522" t="n">
        <v>0</v>
      </c>
      <c r="BC74" s="522" t="n">
        <v>0</v>
      </c>
      <c r="BD74" s="522" t="n">
        <v>0</v>
      </c>
      <c r="BE74" s="522" t="n">
        <v>0</v>
      </c>
      <c r="BF74" s="522" t="n">
        <v>0</v>
      </c>
      <c r="BG74" s="522" t="n">
        <v>0</v>
      </c>
      <c r="BH74" s="522" t="n">
        <v>0</v>
      </c>
      <c r="BI74" s="522" t="n">
        <v>0</v>
      </c>
      <c r="BJ74" s="522" t="n">
        <v>0</v>
      </c>
      <c r="BK74" s="522" t="n">
        <v>0</v>
      </c>
      <c r="BL74" s="522" t="n">
        <v>0</v>
      </c>
      <c r="BM74" s="522" t="n">
        <v>0</v>
      </c>
      <c r="BN74" s="522" t="n">
        <v>0</v>
      </c>
      <c r="BO74" s="522" t="n">
        <v>0</v>
      </c>
      <c r="BP74" s="522" t="n">
        <v>0</v>
      </c>
      <c r="BQ74" s="522" t="n">
        <v>0</v>
      </c>
      <c r="BR74" s="522" t="n">
        <v>0</v>
      </c>
      <c r="BS74" s="522" t="n">
        <v>0</v>
      </c>
      <c r="BT74" s="522" t="n">
        <v>0</v>
      </c>
      <c r="BU74" s="522" t="n">
        <v>0</v>
      </c>
      <c r="BV74" s="522" t="n">
        <v>0</v>
      </c>
      <c r="BW74" s="522" t="n">
        <v>0</v>
      </c>
      <c r="BX74" s="522" t="n">
        <v>0</v>
      </c>
      <c r="BY74" s="522" t="n">
        <v>0</v>
      </c>
      <c r="BZ74" s="522" t="n">
        <v>0</v>
      </c>
      <c r="CA74" s="522" t="n">
        <v>0</v>
      </c>
      <c r="CB74" s="522" t="n">
        <v>0</v>
      </c>
      <c r="CC74" s="522" t="n">
        <v>0</v>
      </c>
      <c r="CD74" s="522" t="n">
        <v>0</v>
      </c>
      <c r="CE74" s="522" t="n">
        <v>0</v>
      </c>
      <c r="CF74" s="522" t="n">
        <v>0</v>
      </c>
      <c r="CG74" s="522" t="n">
        <v>0</v>
      </c>
      <c r="CH74" s="522" t="n">
        <v>0</v>
      </c>
      <c r="CI74" s="522" t="n">
        <v>0</v>
      </c>
      <c r="CJ74" s="522" t="n">
        <v>0</v>
      </c>
      <c r="CK74" s="522" t="n">
        <v>0</v>
      </c>
      <c r="CL74" s="522" t="n">
        <v>0</v>
      </c>
      <c r="CM74" s="522" t="n">
        <v>0</v>
      </c>
      <c r="CN74" s="522" t="n">
        <v>0</v>
      </c>
      <c r="CO74" s="522" t="n">
        <v>0</v>
      </c>
      <c r="CP74" s="522" t="n">
        <v>0</v>
      </c>
      <c r="CQ74" s="522" t="n">
        <v>0</v>
      </c>
      <c r="CR74" s="522" t="n">
        <v>0</v>
      </c>
      <c r="CS74" s="522" t="n">
        <v>0</v>
      </c>
      <c r="CT74" s="522" t="n">
        <v>0</v>
      </c>
      <c r="CU74" s="522" t="n">
        <v>0</v>
      </c>
      <c r="CV74" s="522" t="n">
        <v>0</v>
      </c>
      <c r="CW74" s="522" t="n">
        <v>0</v>
      </c>
      <c r="CX74" s="522" t="n">
        <v>0</v>
      </c>
      <c r="CY74" s="522" t="n">
        <v>0</v>
      </c>
      <c r="CZ74" s="522" t="n">
        <v>0</v>
      </c>
      <c r="DA74" s="522" t="n">
        <v>0</v>
      </c>
      <c r="DB74" s="522" t="n">
        <v>0</v>
      </c>
      <c r="DC74" s="522" t="n">
        <v>0</v>
      </c>
      <c r="DD74" s="522" t="n">
        <v>0</v>
      </c>
      <c r="DE74" s="522" t="n">
        <v>0</v>
      </c>
      <c r="DF74" s="522" t="n">
        <v>0</v>
      </c>
    </row>
    <row r="75" ht="15" customFormat="1" customHeight="1" s="380">
      <c r="A75" s="468" t="inlineStr">
        <is>
          <t>Scott Developer Fee</t>
        </is>
      </c>
      <c r="C75" s="483" t="n">
        <v>0</v>
      </c>
      <c r="D75" s="483" t="n">
        <v>0</v>
      </c>
      <c r="E75" s="483" t="n">
        <v>0</v>
      </c>
      <c r="F75" s="522" t="n">
        <v>0</v>
      </c>
      <c r="G75" s="522" t="n">
        <v>0</v>
      </c>
      <c r="H75" s="522" t="n">
        <v>0</v>
      </c>
      <c r="I75" s="522" t="n">
        <v>0</v>
      </c>
      <c r="J75" s="522" t="n">
        <v>0</v>
      </c>
      <c r="K75" s="522" t="n">
        <v>0</v>
      </c>
      <c r="L75" s="522" t="n">
        <v>0</v>
      </c>
      <c r="M75" s="522" t="n">
        <v>0</v>
      </c>
      <c r="N75" s="522" t="n">
        <v>0</v>
      </c>
      <c r="O75" s="522" t="n">
        <v>0</v>
      </c>
      <c r="P75" s="522" t="n">
        <v>0</v>
      </c>
      <c r="Q75" s="522" t="n">
        <v>0</v>
      </c>
      <c r="R75" s="522" t="n">
        <v>0</v>
      </c>
      <c r="S75" s="522" t="n">
        <v>0</v>
      </c>
      <c r="T75" s="522" t="n">
        <v>0</v>
      </c>
      <c r="U75" s="522" t="n">
        <v>0</v>
      </c>
      <c r="V75" s="522" t="n">
        <v>0</v>
      </c>
      <c r="W75" s="522" t="n">
        <v>0</v>
      </c>
      <c r="X75" s="522" t="n">
        <v>0</v>
      </c>
      <c r="Y75" s="522" t="n">
        <v>0</v>
      </c>
      <c r="Z75" s="522" t="n">
        <v>0</v>
      </c>
      <c r="AA75" s="522" t="n">
        <v>0</v>
      </c>
      <c r="AB75" s="522" t="n">
        <v>0</v>
      </c>
      <c r="AC75" s="522" t="n">
        <v>0</v>
      </c>
      <c r="AD75" s="522" t="n">
        <v>0</v>
      </c>
      <c r="AE75" s="522" t="n">
        <v>0</v>
      </c>
      <c r="AF75" s="522" t="n">
        <v>0</v>
      </c>
      <c r="AG75" s="522" t="n">
        <v>0</v>
      </c>
      <c r="AH75" s="522" t="n">
        <v>0</v>
      </c>
      <c r="AI75" s="522" t="n">
        <v>0</v>
      </c>
      <c r="AJ75" s="522" t="n">
        <v>0</v>
      </c>
      <c r="AK75" s="522" t="n">
        <v>0</v>
      </c>
      <c r="AL75" s="522" t="n">
        <v>0</v>
      </c>
      <c r="AM75" s="522" t="n">
        <v>0</v>
      </c>
      <c r="AN75" s="522" t="n">
        <v>0</v>
      </c>
      <c r="AO75" s="522" t="n">
        <v>0</v>
      </c>
      <c r="AP75" s="522" t="n">
        <v>0</v>
      </c>
      <c r="AQ75" s="522" t="n">
        <v>0</v>
      </c>
      <c r="AR75" s="522" t="n">
        <v>0</v>
      </c>
      <c r="AS75" s="522" t="n">
        <v>0</v>
      </c>
      <c r="AT75" s="522" t="n">
        <v>0</v>
      </c>
      <c r="AU75" s="522" t="n">
        <v>0</v>
      </c>
      <c r="AV75" s="522" t="n">
        <v>0</v>
      </c>
      <c r="AW75" s="522" t="n">
        <v>0</v>
      </c>
      <c r="AX75" s="522" t="n">
        <v>0</v>
      </c>
      <c r="AY75" s="522" t="n">
        <v>0</v>
      </c>
      <c r="AZ75" s="522" t="n">
        <v>0</v>
      </c>
      <c r="BA75" s="522" t="n">
        <v>0</v>
      </c>
      <c r="BB75" s="522" t="n">
        <v>0</v>
      </c>
      <c r="BC75" s="522" t="n">
        <v>0</v>
      </c>
      <c r="BD75" s="522" t="n">
        <v>0</v>
      </c>
      <c r="BE75" s="522" t="n">
        <v>0</v>
      </c>
      <c r="BF75" s="522" t="n">
        <v>0</v>
      </c>
      <c r="BG75" s="522" t="n">
        <v>0</v>
      </c>
      <c r="BH75" s="522" t="n">
        <v>0</v>
      </c>
      <c r="BI75" s="522" t="n">
        <v>0</v>
      </c>
      <c r="BJ75" s="522" t="n">
        <v>0</v>
      </c>
      <c r="BK75" s="522" t="n">
        <v>0</v>
      </c>
      <c r="BL75" s="522" t="n">
        <v>0</v>
      </c>
      <c r="BM75" s="522" t="n">
        <v>0</v>
      </c>
      <c r="BN75" s="522" t="n">
        <v>0</v>
      </c>
      <c r="BO75" s="522" t="n">
        <v>0</v>
      </c>
      <c r="BP75" s="522" t="n">
        <v>0</v>
      </c>
      <c r="BQ75" s="522" t="n">
        <v>0</v>
      </c>
      <c r="BR75" s="522" t="n">
        <v>0</v>
      </c>
      <c r="BS75" s="522" t="n">
        <v>0</v>
      </c>
      <c r="BT75" s="522" t="n">
        <v>0</v>
      </c>
      <c r="BU75" s="522" t="n">
        <v>0</v>
      </c>
      <c r="BV75" s="522" t="n">
        <v>0</v>
      </c>
      <c r="BW75" s="522" t="n">
        <v>0</v>
      </c>
      <c r="BX75" s="522" t="n">
        <v>0</v>
      </c>
      <c r="BY75" s="522" t="n">
        <v>0</v>
      </c>
      <c r="BZ75" s="522" t="n">
        <v>0</v>
      </c>
      <c r="CA75" s="522" t="n">
        <v>0</v>
      </c>
      <c r="CB75" s="522" t="n">
        <v>0</v>
      </c>
      <c r="CC75" s="522" t="n">
        <v>0</v>
      </c>
      <c r="CD75" s="522" t="n">
        <v>0</v>
      </c>
      <c r="CE75" s="522" t="n">
        <v>0</v>
      </c>
      <c r="CF75" s="522" t="n">
        <v>0</v>
      </c>
      <c r="CG75" s="522" t="n">
        <v>0</v>
      </c>
      <c r="CH75" s="522" t="n">
        <v>0</v>
      </c>
      <c r="CI75" s="522" t="n">
        <v>0</v>
      </c>
      <c r="CJ75" s="522" t="n">
        <v>0</v>
      </c>
      <c r="CK75" s="522" t="n">
        <v>0</v>
      </c>
      <c r="CL75" s="522" t="n">
        <v>0</v>
      </c>
      <c r="CM75" s="522" t="n">
        <v>0</v>
      </c>
      <c r="CN75" s="522" t="n">
        <v>0</v>
      </c>
      <c r="CO75" s="522" t="n">
        <v>0</v>
      </c>
      <c r="CP75" s="522" t="n">
        <v>0</v>
      </c>
      <c r="CQ75" s="522" t="n">
        <v>0</v>
      </c>
      <c r="CR75" s="522" t="n">
        <v>0</v>
      </c>
      <c r="CS75" s="522" t="n">
        <v>0</v>
      </c>
      <c r="CT75" s="522" t="n">
        <v>0</v>
      </c>
      <c r="CU75" s="522" t="n">
        <v>0</v>
      </c>
      <c r="CV75" s="522" t="n">
        <v>0</v>
      </c>
      <c r="CW75" s="522" t="n">
        <v>0</v>
      </c>
      <c r="CX75" s="522" t="n">
        <v>0</v>
      </c>
      <c r="CY75" s="522" t="n">
        <v>0</v>
      </c>
      <c r="CZ75" s="522" t="n">
        <v>0</v>
      </c>
      <c r="DA75" s="522" t="n">
        <v>0</v>
      </c>
      <c r="DB75" s="522" t="n">
        <v>0</v>
      </c>
      <c r="DC75" s="522" t="n">
        <v>0</v>
      </c>
      <c r="DD75" s="522" t="n">
        <v>0</v>
      </c>
      <c r="DE75" s="522" t="n">
        <v>0</v>
      </c>
      <c r="DF75" s="522" t="n">
        <v>0</v>
      </c>
    </row>
    <row r="76" ht="15" customFormat="1" customHeight="1" s="380">
      <c r="A76" s="468" t="inlineStr">
        <is>
          <t>Scott Guarantee Fee</t>
        </is>
      </c>
      <c r="C76" s="483" t="n">
        <v>0</v>
      </c>
      <c r="D76" s="483" t="n">
        <v>0</v>
      </c>
      <c r="E76" s="483" t="n">
        <v>0</v>
      </c>
      <c r="F76" s="522" t="n">
        <v>0</v>
      </c>
      <c r="G76" s="522" t="n">
        <v>0</v>
      </c>
      <c r="H76" s="522" t="n">
        <v>0</v>
      </c>
      <c r="I76" s="522" t="n">
        <v>0</v>
      </c>
      <c r="J76" s="522" t="n">
        <v>0</v>
      </c>
      <c r="K76" s="522" t="n">
        <v>0</v>
      </c>
      <c r="L76" s="522" t="n">
        <v>0</v>
      </c>
      <c r="M76" s="522" t="n">
        <v>0</v>
      </c>
      <c r="N76" s="522" t="n">
        <v>0</v>
      </c>
      <c r="O76" s="522" t="n">
        <v>0</v>
      </c>
      <c r="P76" s="522" t="n">
        <v>0</v>
      </c>
      <c r="Q76" s="522" t="n">
        <v>0</v>
      </c>
      <c r="R76" s="522" t="n">
        <v>0</v>
      </c>
      <c r="S76" s="522" t="n">
        <v>0</v>
      </c>
      <c r="T76" s="522" t="n">
        <v>0</v>
      </c>
      <c r="U76" s="522" t="n">
        <v>0</v>
      </c>
      <c r="V76" s="522" t="n">
        <v>0</v>
      </c>
      <c r="W76" s="522" t="n">
        <v>0</v>
      </c>
      <c r="X76" s="522" t="n">
        <v>0</v>
      </c>
      <c r="Y76" s="522" t="n">
        <v>0</v>
      </c>
      <c r="Z76" s="522" t="n">
        <v>0</v>
      </c>
      <c r="AA76" s="522" t="n">
        <v>0</v>
      </c>
      <c r="AB76" s="522" t="n">
        <v>0</v>
      </c>
      <c r="AC76" s="522" t="n">
        <v>0</v>
      </c>
      <c r="AD76" s="522" t="n">
        <v>0</v>
      </c>
      <c r="AE76" s="522" t="n">
        <v>0</v>
      </c>
      <c r="AF76" s="522" t="n">
        <v>0</v>
      </c>
      <c r="AG76" s="522" t="n">
        <v>0</v>
      </c>
      <c r="AH76" s="522" t="n">
        <v>0</v>
      </c>
      <c r="AI76" s="522" t="n">
        <v>0</v>
      </c>
      <c r="AJ76" s="522" t="n">
        <v>0</v>
      </c>
      <c r="AK76" s="522" t="n">
        <v>0</v>
      </c>
      <c r="AL76" s="522" t="n">
        <v>0</v>
      </c>
      <c r="AM76" s="522" t="n">
        <v>0</v>
      </c>
      <c r="AN76" s="522" t="n">
        <v>0</v>
      </c>
      <c r="AO76" s="522" t="n">
        <v>0</v>
      </c>
      <c r="AP76" s="522" t="n">
        <v>0</v>
      </c>
      <c r="AQ76" s="522" t="n">
        <v>0</v>
      </c>
      <c r="AR76" s="522" t="n">
        <v>0</v>
      </c>
      <c r="AS76" s="522" t="n">
        <v>0</v>
      </c>
      <c r="AT76" s="522" t="n">
        <v>0</v>
      </c>
      <c r="AU76" s="522" t="n">
        <v>0</v>
      </c>
      <c r="AV76" s="522" t="n">
        <v>0</v>
      </c>
      <c r="AW76" s="522" t="n">
        <v>0</v>
      </c>
      <c r="AX76" s="522" t="n">
        <v>0</v>
      </c>
      <c r="AY76" s="522" t="n">
        <v>0</v>
      </c>
      <c r="AZ76" s="522" t="n">
        <v>0</v>
      </c>
      <c r="BA76" s="522" t="n">
        <v>0</v>
      </c>
      <c r="BB76" s="522" t="n">
        <v>0</v>
      </c>
      <c r="BC76" s="522" t="n">
        <v>0</v>
      </c>
      <c r="BD76" s="522" t="n">
        <v>0</v>
      </c>
      <c r="BE76" s="522" t="n">
        <v>0</v>
      </c>
      <c r="BF76" s="522" t="n">
        <v>0</v>
      </c>
      <c r="BG76" s="522" t="n">
        <v>0</v>
      </c>
      <c r="BH76" s="522" t="n">
        <v>0</v>
      </c>
      <c r="BI76" s="522" t="n">
        <v>0</v>
      </c>
      <c r="BJ76" s="522" t="n">
        <v>0</v>
      </c>
      <c r="BK76" s="522" t="n">
        <v>0</v>
      </c>
      <c r="BL76" s="522" t="n">
        <v>0</v>
      </c>
      <c r="BM76" s="522" t="n">
        <v>0</v>
      </c>
      <c r="BN76" s="522" t="n">
        <v>0</v>
      </c>
      <c r="BO76" s="522" t="n">
        <v>0</v>
      </c>
      <c r="BP76" s="522" t="n">
        <v>0</v>
      </c>
      <c r="BQ76" s="522" t="n">
        <v>0</v>
      </c>
      <c r="BR76" s="522" t="n">
        <v>0</v>
      </c>
      <c r="BS76" s="522" t="n">
        <v>0</v>
      </c>
      <c r="BT76" s="522" t="n">
        <v>0</v>
      </c>
      <c r="BU76" s="522" t="n">
        <v>0</v>
      </c>
      <c r="BV76" s="522" t="n">
        <v>0</v>
      </c>
      <c r="BW76" s="522" t="n">
        <v>0</v>
      </c>
      <c r="BX76" s="522" t="n">
        <v>0</v>
      </c>
      <c r="BY76" s="522" t="n">
        <v>0</v>
      </c>
      <c r="BZ76" s="522" t="n">
        <v>0</v>
      </c>
      <c r="CA76" s="522" t="n">
        <v>0</v>
      </c>
      <c r="CB76" s="522" t="n">
        <v>0</v>
      </c>
      <c r="CC76" s="522" t="n">
        <v>0</v>
      </c>
      <c r="CD76" s="522" t="n">
        <v>0</v>
      </c>
      <c r="CE76" s="522" t="n">
        <v>0</v>
      </c>
      <c r="CF76" s="522" t="n">
        <v>0</v>
      </c>
      <c r="CG76" s="522" t="n">
        <v>0</v>
      </c>
      <c r="CH76" s="522" t="n">
        <v>0</v>
      </c>
      <c r="CI76" s="522" t="n">
        <v>0</v>
      </c>
      <c r="CJ76" s="522" t="n">
        <v>0</v>
      </c>
      <c r="CK76" s="522" t="n">
        <v>0</v>
      </c>
      <c r="CL76" s="522" t="n">
        <v>0</v>
      </c>
      <c r="CM76" s="522" t="n">
        <v>0</v>
      </c>
      <c r="CN76" s="522" t="n">
        <v>0</v>
      </c>
      <c r="CO76" s="522" t="n">
        <v>0</v>
      </c>
      <c r="CP76" s="522" t="n">
        <v>0</v>
      </c>
      <c r="CQ76" s="522" t="n">
        <v>0</v>
      </c>
      <c r="CR76" s="522" t="n">
        <v>0</v>
      </c>
      <c r="CS76" s="522" t="n">
        <v>0</v>
      </c>
      <c r="CT76" s="522" t="n">
        <v>0</v>
      </c>
      <c r="CU76" s="522" t="n">
        <v>0</v>
      </c>
      <c r="CV76" s="522" t="n">
        <v>0</v>
      </c>
      <c r="CW76" s="522" t="n">
        <v>0</v>
      </c>
      <c r="CX76" s="522" t="n">
        <v>0</v>
      </c>
      <c r="CY76" s="522" t="n">
        <v>0</v>
      </c>
      <c r="CZ76" s="522" t="n">
        <v>0</v>
      </c>
      <c r="DA76" s="522" t="n">
        <v>0</v>
      </c>
      <c r="DB76" s="522" t="n">
        <v>0</v>
      </c>
      <c r="DC76" s="522" t="n">
        <v>0</v>
      </c>
      <c r="DD76" s="522" t="n">
        <v>0</v>
      </c>
      <c r="DE76" s="522" t="n">
        <v>0</v>
      </c>
      <c r="DF76" s="522" t="n">
        <v>0</v>
      </c>
    </row>
    <row r="77" ht="15" customFormat="1" customHeight="1" s="380">
      <c r="A77" s="468" t="inlineStr">
        <is>
          <t>Francis LIHTC Revenue (SP Share)</t>
        </is>
      </c>
      <c r="C77" s="483" t="n">
        <v>0</v>
      </c>
      <c r="D77" s="483" t="n">
        <v>0</v>
      </c>
      <c r="E77" s="483" t="n">
        <v>0</v>
      </c>
      <c r="F77" s="522" t="n">
        <v>0</v>
      </c>
      <c r="G77" s="522" t="n">
        <v>0</v>
      </c>
      <c r="H77" s="522" t="n">
        <v>0</v>
      </c>
      <c r="I77" s="522" t="n">
        <v>0</v>
      </c>
      <c r="J77" s="522" t="n">
        <v>0</v>
      </c>
      <c r="K77" s="522" t="n">
        <v>0</v>
      </c>
      <c r="L77" s="522" t="n">
        <v>0</v>
      </c>
      <c r="M77" s="522" t="n">
        <v>0</v>
      </c>
      <c r="N77" s="522" t="n">
        <v>0</v>
      </c>
      <c r="O77" s="522" t="n">
        <v>0</v>
      </c>
      <c r="P77" s="522" t="n">
        <v>0</v>
      </c>
      <c r="Q77" s="522" t="n">
        <v>0</v>
      </c>
      <c r="R77" s="522" t="n">
        <v>0</v>
      </c>
      <c r="S77" s="522" t="n">
        <v>0</v>
      </c>
      <c r="T77" s="522" t="n">
        <v>0</v>
      </c>
      <c r="U77" s="522" t="n">
        <v>0</v>
      </c>
      <c r="V77" s="522" t="n">
        <v>0</v>
      </c>
      <c r="W77" s="522" t="n">
        <v>0</v>
      </c>
      <c r="X77" s="522" t="n">
        <v>0</v>
      </c>
      <c r="Y77" s="522" t="n">
        <v>0</v>
      </c>
      <c r="Z77" s="522" t="n">
        <v>0</v>
      </c>
      <c r="AA77" s="522" t="n">
        <v>0</v>
      </c>
      <c r="AB77" s="522" t="n">
        <v>0</v>
      </c>
      <c r="AC77" s="522" t="n">
        <v>0</v>
      </c>
      <c r="AD77" s="522" t="n">
        <v>0</v>
      </c>
      <c r="AE77" s="522" t="n">
        <v>0</v>
      </c>
      <c r="AF77" s="522" t="n">
        <v>0</v>
      </c>
      <c r="AG77" s="522" t="n">
        <v>0</v>
      </c>
      <c r="AH77" s="522" t="n">
        <v>0</v>
      </c>
      <c r="AI77" s="522" t="n">
        <v>0</v>
      </c>
      <c r="AJ77" s="522" t="n">
        <v>0</v>
      </c>
      <c r="AK77" s="522" t="n">
        <v>0</v>
      </c>
      <c r="AL77" s="522" t="n">
        <v>0</v>
      </c>
      <c r="AM77" s="522" t="n">
        <v>0</v>
      </c>
      <c r="AN77" s="522" t="n">
        <v>0</v>
      </c>
      <c r="AO77" s="522" t="n">
        <v>0</v>
      </c>
      <c r="AP77" s="522" t="n">
        <v>0</v>
      </c>
      <c r="AQ77" s="522" t="n">
        <v>0</v>
      </c>
      <c r="AR77" s="522" t="n">
        <v>0</v>
      </c>
      <c r="AS77" s="522" t="n">
        <v>0</v>
      </c>
      <c r="AT77" s="522" t="n">
        <v>0</v>
      </c>
      <c r="AU77" s="522" t="n">
        <v>81683</v>
      </c>
      <c r="AV77" s="522" t="n">
        <v>0</v>
      </c>
      <c r="AW77" s="522" t="n">
        <v>0</v>
      </c>
      <c r="AX77" s="522" t="n">
        <v>81682</v>
      </c>
      <c r="AY77" s="522" t="n">
        <v>0</v>
      </c>
      <c r="AZ77" s="522" t="n">
        <v>0</v>
      </c>
      <c r="BA77" s="522" t="n">
        <v>81682</v>
      </c>
      <c r="BB77" s="522" t="n">
        <v>0</v>
      </c>
      <c r="BC77" s="522" t="n">
        <v>0</v>
      </c>
      <c r="BD77" s="522" t="n">
        <v>81682</v>
      </c>
      <c r="BE77" s="522" t="n">
        <v>0</v>
      </c>
      <c r="BF77" s="522" t="n">
        <v>0</v>
      </c>
      <c r="BG77" s="522" t="n">
        <v>59178</v>
      </c>
      <c r="BH77" s="522" t="n">
        <v>0</v>
      </c>
      <c r="BI77" s="522" t="n">
        <v>0</v>
      </c>
      <c r="BJ77" s="522" t="n">
        <v>59176</v>
      </c>
      <c r="BK77" s="522" t="n">
        <v>0</v>
      </c>
      <c r="BL77" s="522" t="n">
        <v>0</v>
      </c>
      <c r="BM77" s="522" t="n">
        <v>59176</v>
      </c>
      <c r="BN77" s="522" t="n">
        <v>0</v>
      </c>
      <c r="BO77" s="522" t="n">
        <v>0</v>
      </c>
      <c r="BP77" s="522" t="n">
        <v>59176</v>
      </c>
      <c r="BQ77" s="522" t="n">
        <v>0</v>
      </c>
      <c r="BR77" s="522" t="n">
        <v>0</v>
      </c>
      <c r="BS77" s="522" t="n">
        <v>67763</v>
      </c>
      <c r="BT77" s="522" t="n">
        <v>0</v>
      </c>
      <c r="BU77" s="522" t="n">
        <v>0</v>
      </c>
      <c r="BV77" s="522" t="n">
        <v>67762</v>
      </c>
      <c r="BW77" s="522" t="n">
        <v>0</v>
      </c>
      <c r="BX77" s="522" t="n">
        <v>0</v>
      </c>
      <c r="BY77" s="522" t="n">
        <v>67762</v>
      </c>
      <c r="BZ77" s="522" t="n">
        <v>0</v>
      </c>
      <c r="CA77" s="522" t="n">
        <v>0</v>
      </c>
      <c r="CB77" s="522" t="n">
        <v>67762</v>
      </c>
      <c r="CC77" s="522" t="n">
        <v>0</v>
      </c>
      <c r="CD77" s="522" t="n">
        <v>0</v>
      </c>
      <c r="CE77" s="522" t="n">
        <v>76499</v>
      </c>
      <c r="CF77" s="522" t="n">
        <v>0</v>
      </c>
      <c r="CG77" s="522" t="n">
        <v>0</v>
      </c>
      <c r="CH77" s="522" t="n">
        <v>76499</v>
      </c>
      <c r="CI77" s="522" t="n">
        <v>0</v>
      </c>
      <c r="CJ77" s="522" t="n">
        <v>0</v>
      </c>
      <c r="CK77" s="522" t="n">
        <v>76499</v>
      </c>
      <c r="CL77" s="522" t="n">
        <v>76499</v>
      </c>
      <c r="CM77" s="522" t="n">
        <v>76499</v>
      </c>
      <c r="CN77" s="522" t="n">
        <v>76499</v>
      </c>
      <c r="CO77" s="522" t="n">
        <v>76499</v>
      </c>
      <c r="CP77" s="522" t="n">
        <v>76499</v>
      </c>
      <c r="CQ77" s="522" t="n">
        <v>76499</v>
      </c>
      <c r="CR77" s="522" t="n">
        <v>76499</v>
      </c>
      <c r="CS77" s="522" t="n">
        <v>76499</v>
      </c>
      <c r="CT77" s="522" t="n">
        <v>76499</v>
      </c>
      <c r="CU77" s="522" t="n">
        <v>76499</v>
      </c>
      <c r="CV77" s="522" t="n">
        <v>76499</v>
      </c>
      <c r="CW77" s="522" t="n">
        <v>76499</v>
      </c>
      <c r="CX77" s="522" t="n">
        <v>76499</v>
      </c>
      <c r="CY77" s="522" t="n">
        <v>76499</v>
      </c>
      <c r="CZ77" s="522" t="n">
        <v>76499</v>
      </c>
      <c r="DA77" s="522" t="n">
        <v>76499</v>
      </c>
      <c r="DB77" s="522" t="n">
        <v>76499</v>
      </c>
      <c r="DC77" s="522" t="n">
        <v>76499</v>
      </c>
      <c r="DD77" s="522" t="n">
        <v>76499</v>
      </c>
      <c r="DE77" s="522" t="n">
        <v>76499</v>
      </c>
      <c r="DF77" s="522" t="n">
        <v>76499</v>
      </c>
    </row>
    <row r="78" ht="15" customFormat="1" customHeight="1" s="380">
      <c r="A78" s="468" t="inlineStr">
        <is>
          <t>Reseda LIHTC Revenue (SP Share)</t>
        </is>
      </c>
      <c r="C78" s="483" t="n">
        <v>0</v>
      </c>
      <c r="D78" s="483" t="n">
        <v>0</v>
      </c>
      <c r="E78" s="483" t="n">
        <v>0</v>
      </c>
      <c r="F78" s="522" t="n">
        <v>0</v>
      </c>
      <c r="G78" s="522" t="n">
        <v>0</v>
      </c>
      <c r="H78" s="522" t="n">
        <v>0</v>
      </c>
      <c r="I78" s="522" t="n">
        <v>0</v>
      </c>
      <c r="J78" s="522" t="n">
        <v>0</v>
      </c>
      <c r="K78" s="522" t="n">
        <v>0</v>
      </c>
      <c r="L78" s="522" t="n">
        <v>0</v>
      </c>
      <c r="M78" s="522" t="n">
        <v>0</v>
      </c>
      <c r="N78" s="522" t="n">
        <v>0</v>
      </c>
      <c r="O78" s="522" t="n">
        <v>0</v>
      </c>
      <c r="P78" s="522" t="n">
        <v>0</v>
      </c>
      <c r="Q78" s="522" t="n">
        <v>0</v>
      </c>
      <c r="R78" s="522" t="n">
        <v>0</v>
      </c>
      <c r="S78" s="522" t="n">
        <v>0</v>
      </c>
      <c r="T78" s="522" t="n">
        <v>0</v>
      </c>
      <c r="U78" s="522" t="n">
        <v>0</v>
      </c>
      <c r="V78" s="522" t="n">
        <v>0</v>
      </c>
      <c r="W78" s="522" t="n">
        <v>0</v>
      </c>
      <c r="X78" s="522" t="n">
        <v>0</v>
      </c>
      <c r="Y78" s="522" t="n">
        <v>0</v>
      </c>
      <c r="Z78" s="522" t="n">
        <v>0</v>
      </c>
      <c r="AA78" s="522" t="n">
        <v>0</v>
      </c>
      <c r="AB78" s="522" t="n">
        <v>0</v>
      </c>
      <c r="AC78" s="522" t="n">
        <v>0</v>
      </c>
      <c r="AD78" s="522" t="n">
        <v>0</v>
      </c>
      <c r="AE78" s="522" t="n">
        <v>0</v>
      </c>
      <c r="AF78" s="522" t="n">
        <v>0</v>
      </c>
      <c r="AG78" s="522" t="n">
        <v>0</v>
      </c>
      <c r="AH78" s="522" t="n">
        <v>0</v>
      </c>
      <c r="AI78" s="522" t="n">
        <v>0</v>
      </c>
      <c r="AJ78" s="522" t="n">
        <v>0</v>
      </c>
      <c r="AK78" s="522" t="n">
        <v>0</v>
      </c>
      <c r="AL78" s="522" t="n">
        <v>0</v>
      </c>
      <c r="AM78" s="522" t="n">
        <v>0</v>
      </c>
      <c r="AN78" s="522" t="n">
        <v>0</v>
      </c>
      <c r="AO78" s="522" t="n">
        <v>0</v>
      </c>
      <c r="AP78" s="522" t="n">
        <v>0</v>
      </c>
      <c r="AQ78" s="522" t="n">
        <v>0</v>
      </c>
      <c r="AR78" s="522" t="n">
        <v>0</v>
      </c>
      <c r="AS78" s="522" t="n">
        <v>0</v>
      </c>
      <c r="AT78" s="522" t="n">
        <v>0</v>
      </c>
      <c r="AU78" s="522" t="n">
        <v>0</v>
      </c>
      <c r="AV78" s="522" t="n">
        <v>0</v>
      </c>
      <c r="AW78" s="522" t="n">
        <v>0</v>
      </c>
      <c r="AX78" s="522" t="n">
        <v>0</v>
      </c>
      <c r="AY78" s="522" t="n">
        <v>0</v>
      </c>
      <c r="AZ78" s="522" t="n">
        <v>0</v>
      </c>
      <c r="BA78" s="522" t="n">
        <v>0</v>
      </c>
      <c r="BB78" s="522" t="n">
        <v>0</v>
      </c>
      <c r="BC78" s="522" t="n">
        <v>0</v>
      </c>
      <c r="BD78" s="522" t="n">
        <v>851839</v>
      </c>
      <c r="BE78" s="522" t="n">
        <v>0</v>
      </c>
      <c r="BF78" s="522" t="n">
        <v>0</v>
      </c>
      <c r="BG78" s="522" t="n">
        <v>71700</v>
      </c>
      <c r="BH78" s="522" t="n">
        <v>0</v>
      </c>
      <c r="BI78" s="522" t="n">
        <v>0</v>
      </c>
      <c r="BJ78" s="522" t="n">
        <v>71700</v>
      </c>
      <c r="BK78" s="522" t="n">
        <v>0</v>
      </c>
      <c r="BL78" s="522" t="n">
        <v>0</v>
      </c>
      <c r="BM78" s="522" t="n">
        <v>71700</v>
      </c>
      <c r="BN78" s="522" t="n">
        <v>0</v>
      </c>
      <c r="BO78" s="522" t="n">
        <v>0</v>
      </c>
      <c r="BP78" s="522" t="n">
        <v>71700</v>
      </c>
      <c r="BQ78" s="522" t="n">
        <v>0</v>
      </c>
      <c r="BR78" s="522" t="n">
        <v>0</v>
      </c>
      <c r="BS78" s="522" t="n">
        <v>74643</v>
      </c>
      <c r="BT78" s="522" t="n">
        <v>0</v>
      </c>
      <c r="BU78" s="522" t="n">
        <v>0</v>
      </c>
      <c r="BV78" s="522" t="n">
        <v>74640</v>
      </c>
      <c r="BW78" s="522" t="n">
        <v>0</v>
      </c>
      <c r="BX78" s="522" t="n">
        <v>0</v>
      </c>
      <c r="BY78" s="522" t="n">
        <v>74640</v>
      </c>
      <c r="BZ78" s="522" t="n">
        <v>0</v>
      </c>
      <c r="CA78" s="522" t="n">
        <v>0</v>
      </c>
      <c r="CB78" s="522" t="n">
        <v>74640</v>
      </c>
      <c r="CC78" s="522" t="n">
        <v>0</v>
      </c>
      <c r="CD78" s="522" t="n">
        <v>0</v>
      </c>
      <c r="CE78" s="522" t="n">
        <v>81363</v>
      </c>
      <c r="CF78" s="522" t="n">
        <v>0</v>
      </c>
      <c r="CG78" s="522" t="n">
        <v>0</v>
      </c>
      <c r="CH78" s="522" t="n">
        <v>81362</v>
      </c>
      <c r="CI78" s="522" t="n">
        <v>0</v>
      </c>
      <c r="CJ78" s="522" t="n">
        <v>0</v>
      </c>
      <c r="CK78" s="522" t="n">
        <v>81362</v>
      </c>
      <c r="CL78" s="522" t="n">
        <v>81362</v>
      </c>
      <c r="CM78" s="522" t="n">
        <v>81362</v>
      </c>
      <c r="CN78" s="522" t="n">
        <v>81362</v>
      </c>
      <c r="CO78" s="522" t="n">
        <v>81362</v>
      </c>
      <c r="CP78" s="522" t="n">
        <v>81362</v>
      </c>
      <c r="CQ78" s="522" t="n">
        <v>81362</v>
      </c>
      <c r="CR78" s="522" t="n">
        <v>81362</v>
      </c>
      <c r="CS78" s="522" t="n">
        <v>81362</v>
      </c>
      <c r="CT78" s="522" t="n">
        <v>81362</v>
      </c>
      <c r="CU78" s="522" t="n">
        <v>81362</v>
      </c>
      <c r="CV78" s="522" t="n">
        <v>81362</v>
      </c>
      <c r="CW78" s="522" t="n">
        <v>81362</v>
      </c>
      <c r="CX78" s="522" t="n">
        <v>81362</v>
      </c>
      <c r="CY78" s="522" t="n">
        <v>81362</v>
      </c>
      <c r="CZ78" s="522" t="n">
        <v>81362</v>
      </c>
      <c r="DA78" s="522" t="n">
        <v>81362</v>
      </c>
      <c r="DB78" s="522" t="n">
        <v>81362</v>
      </c>
      <c r="DC78" s="522" t="n">
        <v>81362</v>
      </c>
      <c r="DD78" s="522" t="n">
        <v>81362</v>
      </c>
      <c r="DE78" s="522" t="n">
        <v>81362</v>
      </c>
      <c r="DF78" s="522" t="n">
        <v>81362</v>
      </c>
    </row>
    <row r="79" ht="15" customFormat="1" customHeight="1" s="380">
      <c r="A79" s="468" t="inlineStr">
        <is>
          <t>3rd St LIHTC Revenue (SP Share)</t>
        </is>
      </c>
      <c r="C79" s="483" t="n">
        <v>0</v>
      </c>
      <c r="D79" s="483" t="n">
        <v>0</v>
      </c>
      <c r="E79" s="483" t="n">
        <v>0</v>
      </c>
      <c r="F79" s="522" t="n">
        <v>0</v>
      </c>
      <c r="G79" s="522" t="n">
        <v>0</v>
      </c>
      <c r="H79" s="522" t="n">
        <v>0</v>
      </c>
      <c r="I79" s="522" t="n">
        <v>0</v>
      </c>
      <c r="J79" s="522" t="n">
        <v>0</v>
      </c>
      <c r="K79" s="522" t="n">
        <v>0</v>
      </c>
      <c r="L79" s="522" t="n">
        <v>0</v>
      </c>
      <c r="M79" s="522" t="n">
        <v>0</v>
      </c>
      <c r="N79" s="522" t="n">
        <v>0</v>
      </c>
      <c r="O79" s="522" t="n">
        <v>0</v>
      </c>
      <c r="P79" s="522" t="n">
        <v>0</v>
      </c>
      <c r="Q79" s="522" t="n">
        <v>0</v>
      </c>
      <c r="R79" s="522" t="n">
        <v>0</v>
      </c>
      <c r="S79" s="522" t="n">
        <v>0</v>
      </c>
      <c r="T79" s="522" t="n">
        <v>0</v>
      </c>
      <c r="U79" s="522" t="n">
        <v>0</v>
      </c>
      <c r="V79" s="522" t="n">
        <v>0</v>
      </c>
      <c r="W79" s="522" t="n">
        <v>0</v>
      </c>
      <c r="X79" s="522" t="n">
        <v>0</v>
      </c>
      <c r="Y79" s="522" t="n">
        <v>0</v>
      </c>
      <c r="Z79" s="522" t="n">
        <v>0</v>
      </c>
      <c r="AA79" s="522" t="n">
        <v>0</v>
      </c>
      <c r="AB79" s="522" t="n">
        <v>0</v>
      </c>
      <c r="AC79" s="522" t="n">
        <v>0</v>
      </c>
      <c r="AD79" s="522" t="n">
        <v>0</v>
      </c>
      <c r="AE79" s="522" t="n">
        <v>0</v>
      </c>
      <c r="AF79" s="522" t="n">
        <v>0</v>
      </c>
      <c r="AG79" s="522" t="n">
        <v>0</v>
      </c>
      <c r="AH79" s="522" t="n">
        <v>0</v>
      </c>
      <c r="AI79" s="522" t="n">
        <v>0</v>
      </c>
      <c r="AJ79" s="522" t="n">
        <v>0</v>
      </c>
      <c r="AK79" s="522" t="n">
        <v>0</v>
      </c>
      <c r="AL79" s="522" t="n">
        <v>0</v>
      </c>
      <c r="AM79" s="522" t="n">
        <v>0</v>
      </c>
      <c r="AN79" s="522" t="n">
        <v>0</v>
      </c>
      <c r="AO79" s="522" t="n">
        <v>0</v>
      </c>
      <c r="AP79" s="522" t="n">
        <v>0</v>
      </c>
      <c r="AQ79" s="522" t="n">
        <v>0</v>
      </c>
      <c r="AR79" s="522" t="n">
        <v>0</v>
      </c>
      <c r="AS79" s="522" t="n">
        <v>0</v>
      </c>
      <c r="AT79" s="522" t="n">
        <v>0</v>
      </c>
      <c r="AU79" s="522" t="n">
        <v>0</v>
      </c>
      <c r="AV79" s="522" t="n">
        <v>0</v>
      </c>
      <c r="AW79" s="522" t="n">
        <v>0</v>
      </c>
      <c r="AX79" s="522" t="n">
        <v>0</v>
      </c>
      <c r="AY79" s="522" t="n">
        <v>0</v>
      </c>
      <c r="AZ79" s="522" t="n">
        <v>0</v>
      </c>
      <c r="BA79" s="522" t="n">
        <v>0</v>
      </c>
      <c r="BB79" s="522" t="n">
        <v>0</v>
      </c>
      <c r="BC79" s="522" t="n">
        <v>0</v>
      </c>
      <c r="BD79" s="522" t="n">
        <v>0</v>
      </c>
      <c r="BE79" s="522" t="n">
        <v>0</v>
      </c>
      <c r="BF79" s="522" t="n">
        <v>0</v>
      </c>
      <c r="BG79" s="522" t="n">
        <v>0</v>
      </c>
      <c r="BH79" s="522" t="n">
        <v>0</v>
      </c>
      <c r="BI79" s="522" t="n">
        <v>0</v>
      </c>
      <c r="BJ79" s="522" t="n">
        <v>0</v>
      </c>
      <c r="BK79" s="522" t="n">
        <v>0</v>
      </c>
      <c r="BL79" s="522" t="n">
        <v>0</v>
      </c>
      <c r="BM79" s="522" t="n">
        <v>0</v>
      </c>
      <c r="BN79" s="522" t="n">
        <v>0</v>
      </c>
      <c r="BO79" s="522" t="n">
        <v>0</v>
      </c>
      <c r="BP79" s="522" t="n">
        <v>0</v>
      </c>
      <c r="BQ79" s="522" t="n">
        <v>0</v>
      </c>
      <c r="BR79" s="522" t="n">
        <v>0</v>
      </c>
      <c r="BS79" s="522" t="n">
        <v>0</v>
      </c>
      <c r="BT79" s="522" t="n">
        <v>0</v>
      </c>
      <c r="BU79" s="522" t="n">
        <v>0</v>
      </c>
      <c r="BV79" s="522" t="n">
        <v>0</v>
      </c>
      <c r="BW79" s="522" t="n">
        <v>0</v>
      </c>
      <c r="BX79" s="522" t="n">
        <v>0</v>
      </c>
      <c r="BY79" s="522" t="n">
        <v>0</v>
      </c>
      <c r="BZ79" s="522" t="n">
        <v>0</v>
      </c>
      <c r="CA79" s="522" t="n">
        <v>0</v>
      </c>
      <c r="CB79" s="522" t="n">
        <v>73156</v>
      </c>
      <c r="CC79" s="522" t="n">
        <v>0</v>
      </c>
      <c r="CD79" s="522" t="n">
        <v>0</v>
      </c>
      <c r="CE79" s="522" t="n">
        <v>73155</v>
      </c>
      <c r="CF79" s="522" t="n">
        <v>0</v>
      </c>
      <c r="CG79" s="522" t="n">
        <v>0</v>
      </c>
      <c r="CH79" s="522" t="n">
        <v>73155</v>
      </c>
      <c r="CI79" s="522" t="n">
        <v>0</v>
      </c>
      <c r="CJ79" s="522" t="n">
        <v>0</v>
      </c>
      <c r="CK79" s="522" t="n">
        <v>73155</v>
      </c>
      <c r="CL79" s="522" t="n">
        <v>73155</v>
      </c>
      <c r="CM79" s="522" t="n">
        <v>73155</v>
      </c>
      <c r="CN79" s="522" t="n">
        <v>73155</v>
      </c>
      <c r="CO79" s="522" t="n">
        <v>73155</v>
      </c>
      <c r="CP79" s="522" t="n">
        <v>73155</v>
      </c>
      <c r="CQ79" s="522" t="n">
        <v>73155</v>
      </c>
      <c r="CR79" s="522" t="n">
        <v>73155</v>
      </c>
      <c r="CS79" s="522" t="n">
        <v>73155</v>
      </c>
      <c r="CT79" s="522" t="n">
        <v>73155</v>
      </c>
      <c r="CU79" s="522" t="n">
        <v>73155</v>
      </c>
      <c r="CV79" s="522" t="n">
        <v>73155</v>
      </c>
      <c r="CW79" s="522" t="n">
        <v>73155</v>
      </c>
      <c r="CX79" s="522" t="n">
        <v>73155</v>
      </c>
      <c r="CY79" s="522" t="n">
        <v>73155</v>
      </c>
      <c r="CZ79" s="522" t="n">
        <v>73155</v>
      </c>
      <c r="DA79" s="522" t="n">
        <v>73155</v>
      </c>
      <c r="DB79" s="522" t="n">
        <v>73155</v>
      </c>
      <c r="DC79" s="522" t="n">
        <v>73155</v>
      </c>
      <c r="DD79" s="522" t="n">
        <v>73155</v>
      </c>
      <c r="DE79" s="522" t="n">
        <v>73155</v>
      </c>
      <c r="DF79" s="522" t="n">
        <v>73155</v>
      </c>
    </row>
    <row r="80" ht="15" customFormat="1" customHeight="1" s="380">
      <c r="A80" s="468" t="inlineStr">
        <is>
          <t>Uplifters Total to SP</t>
        </is>
      </c>
      <c r="C80" s="483" t="n">
        <v>0</v>
      </c>
      <c r="D80" s="483" t="n">
        <v>0</v>
      </c>
      <c r="E80" s="483" t="n">
        <v>0</v>
      </c>
      <c r="F80" s="522" t="n">
        <v>0</v>
      </c>
      <c r="G80" s="522" t="n">
        <v>0</v>
      </c>
      <c r="H80" s="522" t="n">
        <v>0</v>
      </c>
      <c r="I80" s="522" t="n">
        <v>0</v>
      </c>
      <c r="J80" s="522" t="n">
        <v>0</v>
      </c>
      <c r="K80" s="522" t="n">
        <v>0</v>
      </c>
      <c r="L80" s="522" t="n">
        <v>0</v>
      </c>
      <c r="M80" s="522" t="n">
        <v>0</v>
      </c>
      <c r="N80" s="522" t="n">
        <v>0</v>
      </c>
      <c r="O80" s="522" t="n">
        <v>0</v>
      </c>
      <c r="P80" s="522" t="n">
        <v>0</v>
      </c>
      <c r="Q80" s="522" t="n">
        <v>0</v>
      </c>
      <c r="R80" s="522" t="n">
        <v>0</v>
      </c>
      <c r="S80" s="522" t="n">
        <v>0</v>
      </c>
      <c r="T80" s="522" t="n">
        <v>0</v>
      </c>
      <c r="U80" s="522" t="n">
        <v>0</v>
      </c>
      <c r="V80" s="522" t="n">
        <v>0</v>
      </c>
      <c r="W80" s="522" t="n">
        <v>0</v>
      </c>
      <c r="X80" s="522" t="n">
        <v>0</v>
      </c>
      <c r="Y80" s="522" t="n">
        <v>0</v>
      </c>
      <c r="Z80" s="522" t="n">
        <v>0</v>
      </c>
      <c r="AA80" s="522" t="n">
        <v>0</v>
      </c>
      <c r="AB80" s="522" t="n">
        <v>0</v>
      </c>
      <c r="AC80" s="522" t="n">
        <v>0</v>
      </c>
      <c r="AD80" s="522" t="n">
        <v>0</v>
      </c>
      <c r="AE80" s="522" t="n">
        <v>0</v>
      </c>
      <c r="AF80" s="522" t="n">
        <v>0</v>
      </c>
      <c r="AG80" s="522" t="n">
        <v>0</v>
      </c>
      <c r="AH80" s="522" t="n">
        <v>0</v>
      </c>
      <c r="AI80" s="522" t="n">
        <v>0</v>
      </c>
      <c r="AJ80" s="522" t="n">
        <v>0</v>
      </c>
      <c r="AK80" s="522" t="n">
        <v>0</v>
      </c>
      <c r="AL80" s="522" t="n">
        <v>0</v>
      </c>
      <c r="AM80" s="522" t="n">
        <v>0</v>
      </c>
      <c r="AN80" s="522" t="n">
        <v>0</v>
      </c>
      <c r="AO80" s="522" t="n">
        <v>0</v>
      </c>
      <c r="AP80" s="522" t="n">
        <v>0</v>
      </c>
      <c r="AQ80" s="522" t="n">
        <v>0</v>
      </c>
      <c r="AR80" s="522" t="n">
        <v>0</v>
      </c>
      <c r="AS80" s="522" t="n">
        <v>0</v>
      </c>
      <c r="AT80" s="522" t="n">
        <v>0</v>
      </c>
      <c r="AU80" s="522" t="n">
        <v>0</v>
      </c>
      <c r="AV80" s="522" t="n">
        <v>0</v>
      </c>
      <c r="AW80" s="522" t="n">
        <v>0</v>
      </c>
      <c r="AX80" s="522" t="n">
        <v>0</v>
      </c>
      <c r="AY80" s="522" t="n">
        <v>0</v>
      </c>
      <c r="AZ80" s="522" t="n">
        <v>0</v>
      </c>
      <c r="BA80" s="522" t="n">
        <v>0</v>
      </c>
      <c r="BB80" s="522" t="n">
        <v>0</v>
      </c>
      <c r="BC80" s="522" t="n">
        <v>0</v>
      </c>
      <c r="BD80" s="522" t="n">
        <v>0</v>
      </c>
      <c r="BE80" s="522" t="n">
        <v>0</v>
      </c>
      <c r="BF80" s="522" t="n">
        <v>0</v>
      </c>
      <c r="BG80" s="522" t="n">
        <v>0</v>
      </c>
      <c r="BH80" s="522" t="n">
        <v>0</v>
      </c>
      <c r="BI80" s="522" t="n">
        <v>0</v>
      </c>
      <c r="BJ80" s="522" t="n">
        <v>0</v>
      </c>
      <c r="BK80" s="522" t="n">
        <v>0</v>
      </c>
      <c r="BL80" s="522" t="n">
        <v>0</v>
      </c>
      <c r="BM80" s="522" t="n">
        <v>0</v>
      </c>
      <c r="BN80" s="522" t="n">
        <v>0</v>
      </c>
      <c r="BO80" s="522" t="n">
        <v>0</v>
      </c>
      <c r="BP80" s="522" t="n">
        <v>0</v>
      </c>
      <c r="BQ80" s="522" t="n">
        <v>0</v>
      </c>
      <c r="BR80" s="522" t="n">
        <v>0</v>
      </c>
      <c r="BS80" s="522" t="n">
        <v>0</v>
      </c>
      <c r="BT80" s="522" t="n">
        <v>0</v>
      </c>
      <c r="BU80" s="522" t="n">
        <v>0</v>
      </c>
      <c r="BV80" s="522" t="n">
        <v>0</v>
      </c>
      <c r="BW80" s="522" t="n">
        <v>0</v>
      </c>
      <c r="BX80" s="522" t="n">
        <v>0</v>
      </c>
      <c r="BY80" s="522" t="n">
        <v>0</v>
      </c>
      <c r="BZ80" s="522" t="n">
        <v>0</v>
      </c>
      <c r="CA80" s="522" t="n">
        <v>0</v>
      </c>
      <c r="CB80" s="522" t="n">
        <v>0</v>
      </c>
      <c r="CC80" s="522" t="n">
        <v>0</v>
      </c>
      <c r="CD80" s="522" t="n">
        <v>0</v>
      </c>
      <c r="CE80" s="522" t="n">
        <v>0</v>
      </c>
      <c r="CF80" s="522" t="n">
        <v>0</v>
      </c>
      <c r="CG80" s="522" t="n">
        <v>0</v>
      </c>
      <c r="CH80" s="522" t="n">
        <v>0</v>
      </c>
      <c r="CI80" s="522" t="n">
        <v>0</v>
      </c>
      <c r="CJ80" s="522" t="n">
        <v>0</v>
      </c>
      <c r="CK80" s="522" t="n">
        <v>0</v>
      </c>
      <c r="CL80" s="522" t="n">
        <v>0</v>
      </c>
      <c r="CM80" s="522" t="n">
        <v>0</v>
      </c>
      <c r="CN80" s="522" t="n">
        <v>0</v>
      </c>
      <c r="CO80" s="522" t="n">
        <v>0</v>
      </c>
      <c r="CP80" s="522" t="n">
        <v>0</v>
      </c>
      <c r="CQ80" s="522" t="n">
        <v>0</v>
      </c>
      <c r="CR80" s="522" t="n">
        <v>0</v>
      </c>
      <c r="CS80" s="522" t="n">
        <v>0</v>
      </c>
      <c r="CT80" s="522" t="n">
        <v>0</v>
      </c>
      <c r="CU80" s="522" t="n">
        <v>0</v>
      </c>
      <c r="CV80" s="522" t="n">
        <v>0</v>
      </c>
      <c r="CW80" s="522" t="n">
        <v>0</v>
      </c>
      <c r="CX80" s="522" t="n">
        <v>0</v>
      </c>
      <c r="CY80" s="522" t="n">
        <v>0</v>
      </c>
      <c r="CZ80" s="522" t="n">
        <v>0</v>
      </c>
      <c r="DA80" s="522" t="n">
        <v>0</v>
      </c>
      <c r="DB80" s="522" t="n">
        <v>0</v>
      </c>
      <c r="DC80" s="522" t="n">
        <v>0</v>
      </c>
      <c r="DD80" s="522" t="n">
        <v>0</v>
      </c>
      <c r="DE80" s="522" t="n">
        <v>0</v>
      </c>
      <c r="DF80" s="522" t="n">
        <v>0</v>
      </c>
    </row>
    <row r="81" ht="15" customFormat="1" customHeight="1" s="380">
      <c r="A81" s="473" t="inlineStr">
        <is>
          <t>Total Six Peak Revenue</t>
        </is>
      </c>
      <c r="C81" s="526" t="n">
        <v>34114.58</v>
      </c>
      <c r="D81" s="526" t="n">
        <v>34114.58</v>
      </c>
      <c r="E81" s="526" t="n">
        <v>34114.58</v>
      </c>
      <c r="F81" s="528" t="n">
        <v>43614.58</v>
      </c>
      <c r="G81" s="528" t="n">
        <v>43614.58</v>
      </c>
      <c r="H81" s="528" t="n">
        <v>43614.58</v>
      </c>
      <c r="I81" s="528" t="n">
        <v>43614.58</v>
      </c>
      <c r="J81" s="528" t="n">
        <v>43614.58</v>
      </c>
      <c r="K81" s="528" t="n">
        <v>42781.25</v>
      </c>
      <c r="L81" s="528" t="n">
        <v>42781.25</v>
      </c>
      <c r="M81" s="528" t="n">
        <v>33406.25</v>
      </c>
      <c r="N81" s="528" t="n">
        <v>33406.25</v>
      </c>
      <c r="O81" s="528" t="n">
        <v>33406.25</v>
      </c>
      <c r="P81" s="528" t="n">
        <v>33406.25</v>
      </c>
      <c r="Q81" s="528" t="n">
        <v>33406.25</v>
      </c>
      <c r="R81" s="528" t="n">
        <v>33406.25</v>
      </c>
      <c r="S81" s="528" t="n">
        <v>33406.25</v>
      </c>
      <c r="T81" s="528" t="n">
        <v>33406.25</v>
      </c>
      <c r="U81" s="528" t="n">
        <v>9500</v>
      </c>
      <c r="V81" s="528" t="n">
        <v>9500</v>
      </c>
      <c r="W81" s="528" t="n">
        <v>9500</v>
      </c>
      <c r="X81" s="528" t="n">
        <v>9500</v>
      </c>
      <c r="Y81" s="528" t="n">
        <v>9500</v>
      </c>
      <c r="Z81" s="528" t="n">
        <v>66875</v>
      </c>
      <c r="AA81" s="528" t="n">
        <v>9500</v>
      </c>
      <c r="AB81" s="528" t="n">
        <v>9500</v>
      </c>
      <c r="AC81" s="528" t="n">
        <v>66875</v>
      </c>
      <c r="AD81" s="528" t="n">
        <v>9500</v>
      </c>
      <c r="AE81" s="528" t="n">
        <v>9500</v>
      </c>
      <c r="AF81" s="528" t="n">
        <v>66875</v>
      </c>
      <c r="AG81" s="528" t="n">
        <v>9500</v>
      </c>
      <c r="AH81" s="528" t="n">
        <v>9500</v>
      </c>
      <c r="AI81" s="528" t="n">
        <v>9500</v>
      </c>
      <c r="AJ81" s="528" t="n">
        <v>0</v>
      </c>
      <c r="AK81" s="528" t="n">
        <v>0</v>
      </c>
      <c r="AL81" s="528" t="n">
        <v>0</v>
      </c>
      <c r="AM81" s="528" t="n">
        <v>0</v>
      </c>
      <c r="AN81" s="528" t="n">
        <v>0</v>
      </c>
      <c r="AO81" s="528" t="n">
        <v>0</v>
      </c>
      <c r="AP81" s="528" t="n">
        <v>0</v>
      </c>
      <c r="AQ81" s="528" t="n">
        <v>0</v>
      </c>
      <c r="AR81" s="528" t="n">
        <v>0</v>
      </c>
      <c r="AS81" s="528" t="n">
        <v>0</v>
      </c>
      <c r="AT81" s="528" t="n">
        <v>0</v>
      </c>
      <c r="AU81" s="528" t="n">
        <v>81683</v>
      </c>
      <c r="AV81" s="528" t="n">
        <v>0</v>
      </c>
      <c r="AW81" s="528" t="n">
        <v>0</v>
      </c>
      <c r="AX81" s="528" t="n">
        <v>81682</v>
      </c>
      <c r="AY81" s="528" t="n">
        <v>0</v>
      </c>
      <c r="AZ81" s="528" t="n">
        <v>0</v>
      </c>
      <c r="BA81" s="528" t="n">
        <v>81682</v>
      </c>
      <c r="BB81" s="528" t="n">
        <v>0</v>
      </c>
      <c r="BC81" s="528" t="n">
        <v>0</v>
      </c>
      <c r="BD81" s="528" t="n">
        <v>933521</v>
      </c>
      <c r="BE81" s="528" t="n">
        <v>0</v>
      </c>
      <c r="BF81" s="528" t="n">
        <v>0</v>
      </c>
      <c r="BG81" s="528" t="n">
        <v>130878</v>
      </c>
      <c r="BH81" s="528" t="n">
        <v>0</v>
      </c>
      <c r="BI81" s="528" t="n">
        <v>0</v>
      </c>
      <c r="BJ81" s="528" t="n">
        <v>130876</v>
      </c>
      <c r="BK81" s="528" t="n">
        <v>0</v>
      </c>
      <c r="BL81" s="528" t="n">
        <v>0</v>
      </c>
      <c r="BM81" s="528" t="n">
        <v>130876</v>
      </c>
      <c r="BN81" s="528" t="n">
        <v>0</v>
      </c>
      <c r="BO81" s="528" t="n">
        <v>0</v>
      </c>
      <c r="BP81" s="528" t="n">
        <v>130876</v>
      </c>
      <c r="BQ81" s="528" t="n">
        <v>0</v>
      </c>
      <c r="BR81" s="528" t="n">
        <v>0</v>
      </c>
      <c r="BS81" s="528" t="n">
        <v>142406</v>
      </c>
      <c r="BT81" s="528" t="n">
        <v>0</v>
      </c>
      <c r="BU81" s="528" t="n">
        <v>0</v>
      </c>
      <c r="BV81" s="528" t="n">
        <v>142402</v>
      </c>
      <c r="BW81" s="528" t="n">
        <v>0</v>
      </c>
      <c r="BX81" s="528" t="n">
        <v>0</v>
      </c>
      <c r="BY81" s="528" t="n">
        <v>142402</v>
      </c>
      <c r="BZ81" s="528" t="n">
        <v>0</v>
      </c>
      <c r="CA81" s="528" t="n">
        <v>0</v>
      </c>
      <c r="CB81" s="528" t="n">
        <v>215558</v>
      </c>
      <c r="CC81" s="528" t="n">
        <v>0</v>
      </c>
      <c r="CD81" s="528" t="n">
        <v>0</v>
      </c>
      <c r="CE81" s="528" t="n">
        <v>231017</v>
      </c>
      <c r="CF81" s="528" t="n">
        <v>0</v>
      </c>
      <c r="CG81" s="528" t="n">
        <v>0</v>
      </c>
      <c r="CH81" s="528" t="n">
        <v>231016</v>
      </c>
      <c r="CI81" s="528" t="n">
        <v>0</v>
      </c>
      <c r="CJ81" s="528" t="n">
        <v>0</v>
      </c>
      <c r="CK81" s="528" t="n">
        <v>231016</v>
      </c>
      <c r="CL81" s="528" t="n">
        <v>231016</v>
      </c>
      <c r="CM81" s="528" t="n">
        <v>231016</v>
      </c>
      <c r="CN81" s="528" t="n">
        <v>231016</v>
      </c>
      <c r="CO81" s="528" t="n">
        <v>231016</v>
      </c>
      <c r="CP81" s="528" t="n">
        <v>231016</v>
      </c>
      <c r="CQ81" s="528" t="n">
        <v>231016</v>
      </c>
      <c r="CR81" s="528" t="n">
        <v>231016</v>
      </c>
      <c r="CS81" s="528" t="n">
        <v>231016</v>
      </c>
      <c r="CT81" s="528" t="n">
        <v>231016</v>
      </c>
      <c r="CU81" s="528" t="n">
        <v>231016</v>
      </c>
      <c r="CV81" s="528" t="n">
        <v>231016</v>
      </c>
      <c r="CW81" s="528" t="n">
        <v>231016</v>
      </c>
      <c r="CX81" s="528" t="n">
        <v>231016</v>
      </c>
      <c r="CY81" s="528" t="n">
        <v>231016</v>
      </c>
      <c r="CZ81" s="528" t="n">
        <v>231016</v>
      </c>
      <c r="DA81" s="528" t="n">
        <v>231016</v>
      </c>
      <c r="DB81" s="528" t="n">
        <v>231016</v>
      </c>
      <c r="DC81" s="528" t="n">
        <v>231016</v>
      </c>
      <c r="DD81" s="528" t="n">
        <v>231016</v>
      </c>
      <c r="DE81" s="528" t="n">
        <v>231016</v>
      </c>
      <c r="DF81" s="528" t="n">
        <v>231016</v>
      </c>
    </row>
    <row r="82" ht="15" customFormat="1" customHeight="1" s="380">
      <c r="A82" s="468" t="n"/>
      <c r="C82" s="483" t="n">
        <v>0</v>
      </c>
      <c r="D82" s="483" t="n">
        <v>0</v>
      </c>
      <c r="E82" s="483" t="n">
        <v>0</v>
      </c>
      <c r="F82" s="522" t="n">
        <v>0</v>
      </c>
      <c r="G82" s="522" t="n">
        <v>0</v>
      </c>
      <c r="H82" s="522" t="n">
        <v>0</v>
      </c>
      <c r="I82" s="522" t="n">
        <v>0</v>
      </c>
      <c r="J82" s="522" t="n">
        <v>0</v>
      </c>
      <c r="K82" s="522" t="n">
        <v>0</v>
      </c>
      <c r="L82" s="522" t="n">
        <v>0</v>
      </c>
      <c r="M82" s="522" t="n">
        <v>0</v>
      </c>
      <c r="N82" s="522" t="n">
        <v>0</v>
      </c>
      <c r="O82" s="522" t="n">
        <v>0</v>
      </c>
      <c r="P82" s="522" t="n">
        <v>0</v>
      </c>
      <c r="Q82" s="522" t="n">
        <v>0</v>
      </c>
      <c r="R82" s="522" t="n">
        <v>0</v>
      </c>
      <c r="S82" s="522" t="n">
        <v>0</v>
      </c>
      <c r="T82" s="522" t="n">
        <v>0</v>
      </c>
      <c r="U82" s="522" t="n">
        <v>0</v>
      </c>
      <c r="V82" s="522" t="n">
        <v>0</v>
      </c>
      <c r="W82" s="522" t="n">
        <v>0</v>
      </c>
      <c r="X82" s="522" t="n">
        <v>0</v>
      </c>
      <c r="Y82" s="522" t="n">
        <v>0</v>
      </c>
      <c r="Z82" s="522" t="n">
        <v>0</v>
      </c>
      <c r="AA82" s="522" t="n">
        <v>0</v>
      </c>
      <c r="AB82" s="522" t="n">
        <v>0</v>
      </c>
      <c r="AC82" s="522" t="n">
        <v>0</v>
      </c>
      <c r="AD82" s="522" t="n">
        <v>0</v>
      </c>
      <c r="AE82" s="522" t="n">
        <v>0</v>
      </c>
      <c r="AF82" s="522" t="n">
        <v>0</v>
      </c>
      <c r="AG82" s="522" t="n">
        <v>0</v>
      </c>
      <c r="AH82" s="522" t="n">
        <v>0</v>
      </c>
      <c r="AI82" s="522" t="n">
        <v>0</v>
      </c>
      <c r="AJ82" s="522" t="n">
        <v>0</v>
      </c>
      <c r="AK82" s="522" t="n">
        <v>0</v>
      </c>
      <c r="AL82" s="522" t="n">
        <v>0</v>
      </c>
      <c r="AM82" s="522" t="n">
        <v>0</v>
      </c>
      <c r="AN82" s="522" t="n">
        <v>0</v>
      </c>
      <c r="AO82" s="522" t="n">
        <v>0</v>
      </c>
      <c r="AP82" s="522" t="n">
        <v>0</v>
      </c>
      <c r="AQ82" s="522" t="n">
        <v>0</v>
      </c>
      <c r="AR82" s="522" t="n">
        <v>0</v>
      </c>
      <c r="AS82" s="522" t="n">
        <v>0</v>
      </c>
      <c r="AT82" s="522" t="n">
        <v>0</v>
      </c>
      <c r="AU82" s="522" t="n">
        <v>0</v>
      </c>
      <c r="AV82" s="522" t="n">
        <v>0</v>
      </c>
      <c r="AW82" s="522" t="n">
        <v>0</v>
      </c>
      <c r="AX82" s="522" t="n">
        <v>0</v>
      </c>
      <c r="AY82" s="522" t="n">
        <v>0</v>
      </c>
      <c r="AZ82" s="522" t="n">
        <v>0</v>
      </c>
      <c r="BA82" s="522" t="n">
        <v>0</v>
      </c>
      <c r="BB82" s="522" t="n">
        <v>0</v>
      </c>
      <c r="BC82" s="522" t="n">
        <v>0</v>
      </c>
      <c r="BD82" s="522" t="n">
        <v>0</v>
      </c>
      <c r="BE82" s="522" t="n">
        <v>0</v>
      </c>
      <c r="BF82" s="522" t="n">
        <v>0</v>
      </c>
      <c r="BG82" s="522" t="n">
        <v>0</v>
      </c>
      <c r="BH82" s="522" t="n">
        <v>0</v>
      </c>
      <c r="BI82" s="522" t="n">
        <v>0</v>
      </c>
      <c r="BJ82" s="522" t="n">
        <v>0</v>
      </c>
      <c r="BK82" s="522" t="n">
        <v>0</v>
      </c>
      <c r="BL82" s="522" t="n">
        <v>0</v>
      </c>
      <c r="BM82" s="522" t="n">
        <v>0</v>
      </c>
      <c r="BN82" s="522" t="n">
        <v>0</v>
      </c>
      <c r="BO82" s="522" t="n">
        <v>0</v>
      </c>
      <c r="BP82" s="522" t="n">
        <v>0</v>
      </c>
      <c r="BQ82" s="522" t="n">
        <v>0</v>
      </c>
      <c r="BR82" s="522" t="n">
        <v>0</v>
      </c>
      <c r="BS82" s="522" t="n">
        <v>0</v>
      </c>
      <c r="BT82" s="522" t="n">
        <v>0</v>
      </c>
      <c r="BU82" s="522" t="n">
        <v>0</v>
      </c>
      <c r="BV82" s="522" t="n">
        <v>0</v>
      </c>
      <c r="BW82" s="522" t="n">
        <v>0</v>
      </c>
      <c r="BX82" s="522" t="n">
        <v>0</v>
      </c>
      <c r="BY82" s="522" t="n">
        <v>0</v>
      </c>
      <c r="BZ82" s="522" t="n">
        <v>0</v>
      </c>
      <c r="CA82" s="522" t="n">
        <v>0</v>
      </c>
      <c r="CB82" s="522" t="n">
        <v>0</v>
      </c>
      <c r="CC82" s="522" t="n">
        <v>0</v>
      </c>
      <c r="CD82" s="522" t="n">
        <v>0</v>
      </c>
      <c r="CE82" s="522" t="n">
        <v>0</v>
      </c>
      <c r="CF82" s="522" t="n">
        <v>0</v>
      </c>
      <c r="CG82" s="522" t="n">
        <v>0</v>
      </c>
      <c r="CH82" s="522" t="n">
        <v>0</v>
      </c>
      <c r="CI82" s="522" t="n">
        <v>0</v>
      </c>
      <c r="CJ82" s="522" t="n">
        <v>0</v>
      </c>
      <c r="CK82" s="522" t="n">
        <v>0</v>
      </c>
      <c r="CL82" s="522" t="n">
        <v>0</v>
      </c>
      <c r="CM82" s="522" t="n">
        <v>0</v>
      </c>
      <c r="CN82" s="522" t="n">
        <v>0</v>
      </c>
      <c r="CO82" s="522" t="n">
        <v>0</v>
      </c>
      <c r="CP82" s="522" t="n">
        <v>0</v>
      </c>
      <c r="CQ82" s="522" t="n">
        <v>0</v>
      </c>
      <c r="CR82" s="522" t="n">
        <v>0</v>
      </c>
      <c r="CS82" s="522" t="n">
        <v>0</v>
      </c>
      <c r="CT82" s="522" t="n">
        <v>0</v>
      </c>
      <c r="CU82" s="522" t="n">
        <v>0</v>
      </c>
      <c r="CV82" s="522" t="n">
        <v>0</v>
      </c>
      <c r="CW82" s="522" t="n">
        <v>0</v>
      </c>
      <c r="CX82" s="522" t="n">
        <v>0</v>
      </c>
      <c r="CY82" s="522" t="n">
        <v>0</v>
      </c>
      <c r="CZ82" s="522" t="n">
        <v>0</v>
      </c>
      <c r="DA82" s="522" t="n">
        <v>0</v>
      </c>
      <c r="DB82" s="522" t="n">
        <v>0</v>
      </c>
      <c r="DC82" s="522" t="n">
        <v>0</v>
      </c>
      <c r="DD82" s="522" t="n">
        <v>0</v>
      </c>
      <c r="DE82" s="522" t="n">
        <v>0</v>
      </c>
      <c r="DF82" s="522" t="n">
        <v>0</v>
      </c>
    </row>
    <row r="83" ht="15" customFormat="1" customHeight="1" s="380">
      <c r="A83" s="468" t="inlineStr">
        <is>
          <t>5000-1000 Payroll</t>
        </is>
      </c>
      <c r="C83" s="483" t="n">
        <v>-54421</v>
      </c>
      <c r="D83" s="483" t="n">
        <v>-54166.68</v>
      </c>
      <c r="E83" s="483" t="n">
        <v>-54166.68</v>
      </c>
      <c r="F83" s="522" t="n">
        <v>-11458.3333333333</v>
      </c>
      <c r="G83" s="522" t="n">
        <v>-11458.3333333333</v>
      </c>
      <c r="H83" s="522" t="n">
        <v>-11458.3333333333</v>
      </c>
      <c r="I83" s="522" t="n">
        <v>-11458.3333333333</v>
      </c>
      <c r="J83" s="522" t="n">
        <v>-11458.3333333333</v>
      </c>
      <c r="K83" s="522" t="n">
        <v>-11458.3333333333</v>
      </c>
      <c r="L83" s="522" t="n">
        <v>-11458.3333333333</v>
      </c>
      <c r="M83" s="522" t="n">
        <v>-11458.3333333333</v>
      </c>
      <c r="N83" s="522" t="n">
        <v>-11458.3333333333</v>
      </c>
      <c r="O83" s="522" t="n">
        <v>-11458.3333333333</v>
      </c>
      <c r="P83" s="522" t="n">
        <v>-11458.3333333333</v>
      </c>
      <c r="Q83" s="522" t="n">
        <v>-11458.3333333333</v>
      </c>
      <c r="R83" s="522" t="n">
        <v>-11687.5</v>
      </c>
      <c r="S83" s="522" t="n">
        <v>-11687.5</v>
      </c>
      <c r="T83" s="522" t="n">
        <v>-11687.5</v>
      </c>
      <c r="U83" s="522" t="n">
        <v>-11687.5</v>
      </c>
      <c r="V83" s="522" t="n">
        <v>-11687.5</v>
      </c>
      <c r="W83" s="522" t="n">
        <v>-11687.5</v>
      </c>
      <c r="X83" s="522" t="n">
        <v>-11687.5</v>
      </c>
      <c r="Y83" s="522" t="n">
        <v>-11687.5</v>
      </c>
      <c r="Z83" s="522" t="n">
        <v>-11687.5</v>
      </c>
      <c r="AA83" s="522" t="n">
        <v>-11687.5</v>
      </c>
      <c r="AB83" s="522" t="n">
        <v>-11687.5</v>
      </c>
      <c r="AC83" s="522" t="n">
        <v>-11687.5</v>
      </c>
      <c r="AD83" s="522" t="n">
        <v>-11921.25</v>
      </c>
      <c r="AE83" s="522" t="n">
        <v>-11921.25</v>
      </c>
      <c r="AF83" s="522" t="n">
        <v>-11921.25</v>
      </c>
      <c r="AG83" s="522" t="n">
        <v>-11921.25</v>
      </c>
      <c r="AH83" s="522" t="n">
        <v>-11921.25</v>
      </c>
      <c r="AI83" s="522" t="n">
        <v>-11921.25</v>
      </c>
      <c r="AJ83" s="522" t="n">
        <v>-11921.25</v>
      </c>
      <c r="AK83" s="522" t="n">
        <v>-11921.25</v>
      </c>
      <c r="AL83" s="522" t="n">
        <v>-11921.25</v>
      </c>
      <c r="AM83" s="522" t="n">
        <v>-11921.25</v>
      </c>
      <c r="AN83" s="522" t="n">
        <v>-11921.25</v>
      </c>
      <c r="AO83" s="522" t="n">
        <v>-11921.25</v>
      </c>
      <c r="AP83" s="522" t="n">
        <v>-12159.675</v>
      </c>
      <c r="AQ83" s="522" t="n">
        <v>-12159.675</v>
      </c>
      <c r="AR83" s="522" t="n">
        <v>-12159.675</v>
      </c>
      <c r="AS83" s="522" t="n">
        <v>-12159.675</v>
      </c>
      <c r="AT83" s="522" t="n">
        <v>-12159.675</v>
      </c>
      <c r="AU83" s="522" t="n">
        <v>-12159.675</v>
      </c>
      <c r="AV83" s="522" t="n">
        <v>-12159.675</v>
      </c>
      <c r="AW83" s="522" t="n">
        <v>-12159.675</v>
      </c>
      <c r="AX83" s="522" t="n">
        <v>-12159.675</v>
      </c>
      <c r="AY83" s="522" t="n">
        <v>-12159.675</v>
      </c>
      <c r="AZ83" s="522" t="n">
        <v>-12159.675</v>
      </c>
      <c r="BA83" s="522" t="n">
        <v>-12159.675</v>
      </c>
      <c r="BB83" s="522" t="n">
        <v>-12402.8685</v>
      </c>
      <c r="BC83" s="522" t="n">
        <v>-12402.8685</v>
      </c>
      <c r="BD83" s="522" t="n">
        <v>-12402.8685</v>
      </c>
      <c r="BE83" s="522" t="n">
        <v>-12402.8685</v>
      </c>
      <c r="BF83" s="522" t="n">
        <v>-12402.8685</v>
      </c>
      <c r="BG83" s="522" t="n">
        <v>-12402.8685</v>
      </c>
      <c r="BH83" s="522" t="n">
        <v>-12402.8685</v>
      </c>
      <c r="BI83" s="522" t="n">
        <v>-12402.8685</v>
      </c>
      <c r="BJ83" s="522" t="n">
        <v>-12402.8685</v>
      </c>
      <c r="BK83" s="522" t="n">
        <v>-12402.8685</v>
      </c>
      <c r="BL83" s="522" t="n">
        <v>-12402.8685</v>
      </c>
      <c r="BM83" s="522" t="n">
        <v>-12402.8685</v>
      </c>
      <c r="BN83" s="522" t="n">
        <v>-12650.92587</v>
      </c>
      <c r="BO83" s="522" t="n">
        <v>-12650.92587</v>
      </c>
      <c r="BP83" s="522" t="n">
        <v>-12650.92587</v>
      </c>
      <c r="BQ83" s="522" t="n">
        <v>-12650.92587</v>
      </c>
      <c r="BR83" s="522" t="n">
        <v>-12650.92587</v>
      </c>
      <c r="BS83" s="522" t="n">
        <v>-12650.92587</v>
      </c>
      <c r="BT83" s="522" t="n">
        <v>-12650.92587</v>
      </c>
      <c r="BU83" s="522" t="n">
        <v>-12650.92587</v>
      </c>
      <c r="BV83" s="522" t="n">
        <v>-12650.92587</v>
      </c>
      <c r="BW83" s="522" t="n">
        <v>-12650.92587</v>
      </c>
      <c r="BX83" s="522" t="n">
        <v>-12650.92587</v>
      </c>
      <c r="BY83" s="522" t="n">
        <v>-12650.92587</v>
      </c>
      <c r="BZ83" s="522" t="n">
        <v>-12903.9443874</v>
      </c>
      <c r="CA83" s="522" t="n">
        <v>-12903.9443874</v>
      </c>
      <c r="CB83" s="522" t="n">
        <v>-12903.9443874</v>
      </c>
      <c r="CC83" s="522" t="n">
        <v>-12903.9443874</v>
      </c>
      <c r="CD83" s="522" t="n">
        <v>-12903.9443874</v>
      </c>
      <c r="CE83" s="522" t="n">
        <v>-12903.9443874</v>
      </c>
      <c r="CF83" s="522" t="n">
        <v>-12903.9443874</v>
      </c>
      <c r="CG83" s="522" t="n">
        <v>-12903.9443874</v>
      </c>
      <c r="CH83" s="522" t="n">
        <v>-12903.9443874</v>
      </c>
      <c r="CI83" s="522" t="n">
        <v>-12903.9443874</v>
      </c>
      <c r="CJ83" s="522" t="n">
        <v>-12903.9443874</v>
      </c>
      <c r="CK83" s="522" t="n">
        <v>-12903.9443874</v>
      </c>
      <c r="CL83" s="522" t="n">
        <v>-13162.023275148</v>
      </c>
      <c r="CM83" s="522" t="n">
        <v>-13162.023275148</v>
      </c>
      <c r="CN83" s="522" t="n">
        <v>-13162.023275148</v>
      </c>
      <c r="CO83" s="522" t="n">
        <v>-13162.023275148</v>
      </c>
      <c r="CP83" s="522" t="n">
        <v>-13162.023275148</v>
      </c>
      <c r="CQ83" s="522" t="n">
        <v>-13162.023275148</v>
      </c>
      <c r="CR83" s="522" t="n">
        <v>-13162.023275148</v>
      </c>
      <c r="CS83" s="522" t="n">
        <v>-13162.023275148</v>
      </c>
      <c r="CT83" s="522" t="n">
        <v>-13162.023275148</v>
      </c>
      <c r="CU83" s="522" t="n">
        <v>-13162.023275148</v>
      </c>
      <c r="CV83" s="522" t="n">
        <v>-13162.023275148</v>
      </c>
      <c r="CW83" s="522" t="n">
        <v>-13162.023275148</v>
      </c>
      <c r="CX83" s="522" t="n">
        <v>-13425.263740651</v>
      </c>
      <c r="CY83" s="522" t="n">
        <v>-13425.263740651</v>
      </c>
      <c r="CZ83" s="522" t="n">
        <v>-13425.263740651</v>
      </c>
      <c r="DA83" s="522" t="n">
        <v>-13425.263740651</v>
      </c>
      <c r="DB83" s="522" t="n">
        <v>-13425.263740651</v>
      </c>
      <c r="DC83" s="522" t="n">
        <v>-13425.263740651</v>
      </c>
      <c r="DD83" s="522" t="n">
        <v>-13425.263740651</v>
      </c>
      <c r="DE83" s="522" t="n">
        <v>-13425.263740651</v>
      </c>
      <c r="DF83" s="522" t="n">
        <v>-13425.263740651</v>
      </c>
    </row>
    <row r="84" ht="15" customFormat="1" customHeight="1" s="380">
      <c r="A84" s="468" t="inlineStr">
        <is>
          <t>5000-1001 Payroll Taxes</t>
        </is>
      </c>
      <c r="C84" s="483" t="n">
        <v>-5302</v>
      </c>
      <c r="D84" s="483" t="n">
        <v>-4279.79</v>
      </c>
      <c r="E84" s="483" t="n">
        <v>-4145.97</v>
      </c>
      <c r="F84" s="522" t="n">
        <v>-802.0833333333341</v>
      </c>
      <c r="G84" s="522" t="n">
        <v>-802.0833333333341</v>
      </c>
      <c r="H84" s="522" t="n">
        <v>-802.0833333333341</v>
      </c>
      <c r="I84" s="522" t="n">
        <v>-802.0833333333341</v>
      </c>
      <c r="J84" s="522" t="n">
        <v>-802.0833333333341</v>
      </c>
      <c r="K84" s="522" t="n">
        <v>-802.0833333333341</v>
      </c>
      <c r="L84" s="522" t="n">
        <v>-802.0833333333341</v>
      </c>
      <c r="M84" s="522" t="n">
        <v>-802.0833333333341</v>
      </c>
      <c r="N84" s="522" t="n">
        <v>-802.0833333333341</v>
      </c>
      <c r="O84" s="522" t="n">
        <v>-802.0833333333341</v>
      </c>
      <c r="P84" s="522" t="n">
        <v>-802.0833333333341</v>
      </c>
      <c r="Q84" s="522" t="n">
        <v>-802.0833333333341</v>
      </c>
      <c r="R84" s="522" t="n">
        <v>-818.125</v>
      </c>
      <c r="S84" s="522" t="n">
        <v>-818.125</v>
      </c>
      <c r="T84" s="522" t="n">
        <v>-818.125</v>
      </c>
      <c r="U84" s="522" t="n">
        <v>-818.125</v>
      </c>
      <c r="V84" s="522" t="n">
        <v>-818.125</v>
      </c>
      <c r="W84" s="522" t="n">
        <v>-818.125</v>
      </c>
      <c r="X84" s="522" t="n">
        <v>-818.125</v>
      </c>
      <c r="Y84" s="522" t="n">
        <v>-818.125</v>
      </c>
      <c r="Z84" s="522" t="n">
        <v>-818.125</v>
      </c>
      <c r="AA84" s="522" t="n">
        <v>-818.125</v>
      </c>
      <c r="AB84" s="522" t="n">
        <v>-818.125</v>
      </c>
      <c r="AC84" s="522" t="n">
        <v>-818.125</v>
      </c>
      <c r="AD84" s="522" t="n">
        <v>-834.4875</v>
      </c>
      <c r="AE84" s="522" t="n">
        <v>-834.4875</v>
      </c>
      <c r="AF84" s="522" t="n">
        <v>-834.4875</v>
      </c>
      <c r="AG84" s="522" t="n">
        <v>-834.4875</v>
      </c>
      <c r="AH84" s="522" t="n">
        <v>-834.4875</v>
      </c>
      <c r="AI84" s="522" t="n">
        <v>-834.4875</v>
      </c>
      <c r="AJ84" s="522" t="n">
        <v>-834.4875</v>
      </c>
      <c r="AK84" s="522" t="n">
        <v>-834.4875</v>
      </c>
      <c r="AL84" s="522" t="n">
        <v>-834.4875</v>
      </c>
      <c r="AM84" s="522" t="n">
        <v>-834.4875</v>
      </c>
      <c r="AN84" s="522" t="n">
        <v>-834.4875</v>
      </c>
      <c r="AO84" s="522" t="n">
        <v>-834.4875</v>
      </c>
      <c r="AP84" s="522" t="n">
        <v>-851.17725</v>
      </c>
      <c r="AQ84" s="522" t="n">
        <v>-851.17725</v>
      </c>
      <c r="AR84" s="522" t="n">
        <v>-851.17725</v>
      </c>
      <c r="AS84" s="522" t="n">
        <v>-851.17725</v>
      </c>
      <c r="AT84" s="522" t="n">
        <v>-851.17725</v>
      </c>
      <c r="AU84" s="522" t="n">
        <v>-851.17725</v>
      </c>
      <c r="AV84" s="522" t="n">
        <v>-851.17725</v>
      </c>
      <c r="AW84" s="522" t="n">
        <v>-851.17725</v>
      </c>
      <c r="AX84" s="522" t="n">
        <v>-851.17725</v>
      </c>
      <c r="AY84" s="522" t="n">
        <v>-851.17725</v>
      </c>
      <c r="AZ84" s="522" t="n">
        <v>-851.17725</v>
      </c>
      <c r="BA84" s="522" t="n">
        <v>-851.17725</v>
      </c>
      <c r="BB84" s="522" t="n">
        <v>-868.200795</v>
      </c>
      <c r="BC84" s="522" t="n">
        <v>-868.200795</v>
      </c>
      <c r="BD84" s="522" t="n">
        <v>-868.200795</v>
      </c>
      <c r="BE84" s="522" t="n">
        <v>-868.200795</v>
      </c>
      <c r="BF84" s="522" t="n">
        <v>-868.200795</v>
      </c>
      <c r="BG84" s="522" t="n">
        <v>-868.200795</v>
      </c>
      <c r="BH84" s="522" t="n">
        <v>-868.200795</v>
      </c>
      <c r="BI84" s="522" t="n">
        <v>-868.200795</v>
      </c>
      <c r="BJ84" s="522" t="n">
        <v>-868.200795</v>
      </c>
      <c r="BK84" s="522" t="n">
        <v>-868.200795</v>
      </c>
      <c r="BL84" s="522" t="n">
        <v>-868.200795</v>
      </c>
      <c r="BM84" s="522" t="n">
        <v>-868.200795</v>
      </c>
      <c r="BN84" s="522" t="n">
        <v>-885.5648109</v>
      </c>
      <c r="BO84" s="522" t="n">
        <v>-885.5648109</v>
      </c>
      <c r="BP84" s="522" t="n">
        <v>-885.5648109</v>
      </c>
      <c r="BQ84" s="522" t="n">
        <v>-885.5648109</v>
      </c>
      <c r="BR84" s="522" t="n">
        <v>-885.5648109</v>
      </c>
      <c r="BS84" s="522" t="n">
        <v>-885.5648109</v>
      </c>
      <c r="BT84" s="522" t="n">
        <v>-885.5648109</v>
      </c>
      <c r="BU84" s="522" t="n">
        <v>-885.5648109</v>
      </c>
      <c r="BV84" s="522" t="n">
        <v>-885.5648109</v>
      </c>
      <c r="BW84" s="522" t="n">
        <v>-885.5648109</v>
      </c>
      <c r="BX84" s="522" t="n">
        <v>-885.5648109</v>
      </c>
      <c r="BY84" s="522" t="n">
        <v>-885.5648109</v>
      </c>
      <c r="BZ84" s="522" t="n">
        <v>-903.276107118</v>
      </c>
      <c r="CA84" s="522" t="n">
        <v>-903.276107118</v>
      </c>
      <c r="CB84" s="522" t="n">
        <v>-903.276107118</v>
      </c>
      <c r="CC84" s="522" t="n">
        <v>-903.276107118</v>
      </c>
      <c r="CD84" s="522" t="n">
        <v>-903.276107118</v>
      </c>
      <c r="CE84" s="522" t="n">
        <v>-903.276107118</v>
      </c>
      <c r="CF84" s="522" t="n">
        <v>-903.276107118</v>
      </c>
      <c r="CG84" s="522" t="n">
        <v>-903.276107118</v>
      </c>
      <c r="CH84" s="522" t="n">
        <v>-903.276107118</v>
      </c>
      <c r="CI84" s="522" t="n">
        <v>-903.276107118</v>
      </c>
      <c r="CJ84" s="522" t="n">
        <v>-903.276107118</v>
      </c>
      <c r="CK84" s="522" t="n">
        <v>-903.276107118</v>
      </c>
      <c r="CL84" s="522" t="n">
        <v>-921.34162926036</v>
      </c>
      <c r="CM84" s="522" t="n">
        <v>-921.34162926036</v>
      </c>
      <c r="CN84" s="522" t="n">
        <v>-921.34162926036</v>
      </c>
      <c r="CO84" s="522" t="n">
        <v>-921.34162926036</v>
      </c>
      <c r="CP84" s="522" t="n">
        <v>-921.34162926036</v>
      </c>
      <c r="CQ84" s="522" t="n">
        <v>-921.34162926036</v>
      </c>
      <c r="CR84" s="522" t="n">
        <v>-921.34162926036</v>
      </c>
      <c r="CS84" s="522" t="n">
        <v>-921.34162926036</v>
      </c>
      <c r="CT84" s="522" t="n">
        <v>-921.34162926036</v>
      </c>
      <c r="CU84" s="522" t="n">
        <v>0</v>
      </c>
      <c r="CV84" s="522" t="n">
        <v>0</v>
      </c>
      <c r="CW84" s="522" t="n">
        <v>0</v>
      </c>
      <c r="CX84" s="522" t="n">
        <v>0</v>
      </c>
      <c r="CY84" s="522" t="n">
        <v>0</v>
      </c>
      <c r="CZ84" s="522" t="n">
        <v>0</v>
      </c>
      <c r="DA84" s="522" t="n">
        <v>0</v>
      </c>
      <c r="DB84" s="522" t="n">
        <v>0</v>
      </c>
      <c r="DC84" s="522" t="n">
        <v>0</v>
      </c>
      <c r="DD84" s="522" t="n">
        <v>0</v>
      </c>
      <c r="DE84" s="522" t="n">
        <v>0</v>
      </c>
      <c r="DF84" s="522" t="n">
        <v>0</v>
      </c>
    </row>
    <row r="85" ht="15" customFormat="1" customHeight="1" s="380">
      <c r="A85" s="468" t="inlineStr">
        <is>
          <t>5000-1002 Employee Benefits</t>
        </is>
      </c>
      <c r="C85" s="483" t="n">
        <v>-12137.77</v>
      </c>
      <c r="D85" s="483" t="n">
        <v>-12137.78</v>
      </c>
      <c r="E85" s="483" t="n">
        <v>-12137.78</v>
      </c>
      <c r="F85" s="522" t="n">
        <v>-572.916666666667</v>
      </c>
      <c r="G85" s="522" t="n">
        <v>-572.916666666667</v>
      </c>
      <c r="H85" s="522" t="n">
        <v>-572.916666666667</v>
      </c>
      <c r="I85" s="522" t="n">
        <v>-572.916666666667</v>
      </c>
      <c r="J85" s="522" t="n">
        <v>-572.916666666667</v>
      </c>
      <c r="K85" s="522" t="n">
        <v>-572.916666666667</v>
      </c>
      <c r="L85" s="522" t="n">
        <v>-572.916666666667</v>
      </c>
      <c r="M85" s="522" t="n">
        <v>-572.916666666667</v>
      </c>
      <c r="N85" s="522" t="n">
        <v>-572.916666666667</v>
      </c>
      <c r="O85" s="522" t="n">
        <v>-572.916666666667</v>
      </c>
      <c r="P85" s="522" t="n">
        <v>-572.916666666667</v>
      </c>
      <c r="Q85" s="522" t="n">
        <v>-572.916666666667</v>
      </c>
      <c r="R85" s="522" t="n">
        <v>-584.375</v>
      </c>
      <c r="S85" s="522" t="n">
        <v>-584.375</v>
      </c>
      <c r="T85" s="522" t="n">
        <v>-584.375</v>
      </c>
      <c r="U85" s="522" t="n">
        <v>-584.375</v>
      </c>
      <c r="V85" s="522" t="n">
        <v>-584.375</v>
      </c>
      <c r="W85" s="522" t="n">
        <v>-584.375</v>
      </c>
      <c r="X85" s="522" t="n">
        <v>-584.375</v>
      </c>
      <c r="Y85" s="522" t="n">
        <v>-584.375</v>
      </c>
      <c r="Z85" s="522" t="n">
        <v>-584.375</v>
      </c>
      <c r="AA85" s="522" t="n">
        <v>-584.375</v>
      </c>
      <c r="AB85" s="522" t="n">
        <v>-584.375</v>
      </c>
      <c r="AC85" s="522" t="n">
        <v>-584.375</v>
      </c>
      <c r="AD85" s="522" t="n">
        <v>-596.0625</v>
      </c>
      <c r="AE85" s="522" t="n">
        <v>-596.0625</v>
      </c>
      <c r="AF85" s="522" t="n">
        <v>-596.0625</v>
      </c>
      <c r="AG85" s="522" t="n">
        <v>-596.0625</v>
      </c>
      <c r="AH85" s="522" t="n">
        <v>-596.0625</v>
      </c>
      <c r="AI85" s="522" t="n">
        <v>-596.0625</v>
      </c>
      <c r="AJ85" s="522" t="n">
        <v>-596.0625</v>
      </c>
      <c r="AK85" s="522" t="n">
        <v>-596.0625</v>
      </c>
      <c r="AL85" s="522" t="n">
        <v>-596.0625</v>
      </c>
      <c r="AM85" s="522" t="n">
        <v>-596.0625</v>
      </c>
      <c r="AN85" s="522" t="n">
        <v>-596.0625</v>
      </c>
      <c r="AO85" s="522" t="n">
        <v>-596.0625</v>
      </c>
      <c r="AP85" s="522" t="n">
        <v>-607.98375</v>
      </c>
      <c r="AQ85" s="522" t="n">
        <v>-607.98375</v>
      </c>
      <c r="AR85" s="522" t="n">
        <v>-607.98375</v>
      </c>
      <c r="AS85" s="522" t="n">
        <v>-607.98375</v>
      </c>
      <c r="AT85" s="522" t="n">
        <v>-607.98375</v>
      </c>
      <c r="AU85" s="522" t="n">
        <v>-607.98375</v>
      </c>
      <c r="AV85" s="522" t="n">
        <v>-607.98375</v>
      </c>
      <c r="AW85" s="522" t="n">
        <v>-607.98375</v>
      </c>
      <c r="AX85" s="522" t="n">
        <v>-607.98375</v>
      </c>
      <c r="AY85" s="522" t="n">
        <v>-607.98375</v>
      </c>
      <c r="AZ85" s="522" t="n">
        <v>-607.98375</v>
      </c>
      <c r="BA85" s="522" t="n">
        <v>-607.98375</v>
      </c>
      <c r="BB85" s="522" t="n">
        <v>-620.143425</v>
      </c>
      <c r="BC85" s="522" t="n">
        <v>-620.143425</v>
      </c>
      <c r="BD85" s="522" t="n">
        <v>-620.143425</v>
      </c>
      <c r="BE85" s="522" t="n">
        <v>-620.143425</v>
      </c>
      <c r="BF85" s="522" t="n">
        <v>-620.143425</v>
      </c>
      <c r="BG85" s="522" t="n">
        <v>-620.143425</v>
      </c>
      <c r="BH85" s="522" t="n">
        <v>-620.143425</v>
      </c>
      <c r="BI85" s="522" t="n">
        <v>-620.143425</v>
      </c>
      <c r="BJ85" s="522" t="n">
        <v>-620.143425</v>
      </c>
      <c r="BK85" s="522" t="n">
        <v>-620.143425</v>
      </c>
      <c r="BL85" s="522" t="n">
        <v>-620.143425</v>
      </c>
      <c r="BM85" s="522" t="n">
        <v>-620.143425</v>
      </c>
      <c r="BN85" s="522" t="n">
        <v>-632.5462935</v>
      </c>
      <c r="BO85" s="522" t="n">
        <v>-632.5462935</v>
      </c>
      <c r="BP85" s="522" t="n">
        <v>-632.5462935</v>
      </c>
      <c r="BQ85" s="522" t="n">
        <v>-632.5462935</v>
      </c>
      <c r="BR85" s="522" t="n">
        <v>-632.5462935</v>
      </c>
      <c r="BS85" s="522" t="n">
        <v>-632.5462935</v>
      </c>
      <c r="BT85" s="522" t="n">
        <v>-632.5462935</v>
      </c>
      <c r="BU85" s="522" t="n">
        <v>-632.5462935</v>
      </c>
      <c r="BV85" s="522" t="n">
        <v>-632.5462935</v>
      </c>
      <c r="BW85" s="522" t="n">
        <v>-632.5462935</v>
      </c>
      <c r="BX85" s="522" t="n">
        <v>-632.5462935</v>
      </c>
      <c r="BY85" s="522" t="n">
        <v>-632.5462935</v>
      </c>
      <c r="BZ85" s="522" t="n">
        <v>-645.19721937</v>
      </c>
      <c r="CA85" s="522" t="n">
        <v>-645.19721937</v>
      </c>
      <c r="CB85" s="522" t="n">
        <v>-645.19721937</v>
      </c>
      <c r="CC85" s="522" t="n">
        <v>-645.19721937</v>
      </c>
      <c r="CD85" s="522" t="n">
        <v>-645.19721937</v>
      </c>
      <c r="CE85" s="522" t="n">
        <v>-645.19721937</v>
      </c>
      <c r="CF85" s="522" t="n">
        <v>-645.19721937</v>
      </c>
      <c r="CG85" s="522" t="n">
        <v>-645.19721937</v>
      </c>
      <c r="CH85" s="522" t="n">
        <v>-645.19721937</v>
      </c>
      <c r="CI85" s="522" t="n">
        <v>-645.19721937</v>
      </c>
      <c r="CJ85" s="522" t="n">
        <v>-645.19721937</v>
      </c>
      <c r="CK85" s="522" t="n">
        <v>-645.19721937</v>
      </c>
      <c r="CL85" s="522" t="n">
        <v>-658.1011637573999</v>
      </c>
      <c r="CM85" s="522" t="n">
        <v>-658.1011637573999</v>
      </c>
      <c r="CN85" s="522" t="n">
        <v>-658.1011637573999</v>
      </c>
      <c r="CO85" s="522" t="n">
        <v>-658.1011637573999</v>
      </c>
      <c r="CP85" s="522" t="n">
        <v>-658.1011637573999</v>
      </c>
      <c r="CQ85" s="522" t="n">
        <v>-658.1011637573999</v>
      </c>
      <c r="CR85" s="522" t="n">
        <v>-658.1011637573999</v>
      </c>
      <c r="CS85" s="522" t="n">
        <v>-658.1011637573999</v>
      </c>
      <c r="CT85" s="522" t="n">
        <v>-658.1011637573999</v>
      </c>
      <c r="CU85" s="522" t="n">
        <v>0</v>
      </c>
      <c r="CV85" s="522" t="n">
        <v>0</v>
      </c>
      <c r="CW85" s="522" t="n">
        <v>0</v>
      </c>
      <c r="CX85" s="522" t="n">
        <v>0</v>
      </c>
      <c r="CY85" s="522" t="n">
        <v>0</v>
      </c>
      <c r="CZ85" s="522" t="n">
        <v>0</v>
      </c>
      <c r="DA85" s="522" t="n">
        <v>0</v>
      </c>
      <c r="DB85" s="522" t="n">
        <v>0</v>
      </c>
      <c r="DC85" s="522" t="n">
        <v>0</v>
      </c>
      <c r="DD85" s="522" t="n">
        <v>0</v>
      </c>
      <c r="DE85" s="522" t="n">
        <v>0</v>
      </c>
      <c r="DF85" s="522" t="n">
        <v>0</v>
      </c>
    </row>
    <row r="86" ht="15" customFormat="1" customHeight="1" s="380">
      <c r="A86" s="468" t="inlineStr">
        <is>
          <t>5000-1003 Workers Comp</t>
        </is>
      </c>
      <c r="C86" s="483" t="n">
        <v>-475.76</v>
      </c>
      <c r="D86" s="483" t="n">
        <v>-475.76</v>
      </c>
      <c r="E86" s="483" t="n">
        <v>-475.76</v>
      </c>
      <c r="F86" s="522" t="n">
        <v>-229.166666666667</v>
      </c>
      <c r="G86" s="522" t="n">
        <v>-229.166666666667</v>
      </c>
      <c r="H86" s="522" t="n">
        <v>-229.166666666667</v>
      </c>
      <c r="I86" s="522" t="n">
        <v>-229.166666666667</v>
      </c>
      <c r="J86" s="522" t="n">
        <v>-229.166666666667</v>
      </c>
      <c r="K86" s="522" t="n">
        <v>-229.166666666667</v>
      </c>
      <c r="L86" s="522" t="n">
        <v>-229.166666666667</v>
      </c>
      <c r="M86" s="522" t="n">
        <v>-229.166666666667</v>
      </c>
      <c r="N86" s="522" t="n">
        <v>-229.166666666667</v>
      </c>
      <c r="O86" s="522" t="n">
        <v>-229.166666666667</v>
      </c>
      <c r="P86" s="522" t="n">
        <v>-229.166666666667</v>
      </c>
      <c r="Q86" s="522" t="n">
        <v>-229.166666666667</v>
      </c>
      <c r="R86" s="522" t="n">
        <v>-233.75</v>
      </c>
      <c r="S86" s="522" t="n">
        <v>-233.75</v>
      </c>
      <c r="T86" s="522" t="n">
        <v>-233.75</v>
      </c>
      <c r="U86" s="522" t="n">
        <v>-233.75</v>
      </c>
      <c r="V86" s="522" t="n">
        <v>-233.75</v>
      </c>
      <c r="W86" s="522" t="n">
        <v>-233.75</v>
      </c>
      <c r="X86" s="522" t="n">
        <v>-233.75</v>
      </c>
      <c r="Y86" s="522" t="n">
        <v>-233.75</v>
      </c>
      <c r="Z86" s="522" t="n">
        <v>-233.75</v>
      </c>
      <c r="AA86" s="522" t="n">
        <v>-233.75</v>
      </c>
      <c r="AB86" s="522" t="n">
        <v>-233.75</v>
      </c>
      <c r="AC86" s="522" t="n">
        <v>-233.75</v>
      </c>
      <c r="AD86" s="522" t="n">
        <v>-238.425</v>
      </c>
      <c r="AE86" s="522" t="n">
        <v>-238.425</v>
      </c>
      <c r="AF86" s="522" t="n">
        <v>-238.425</v>
      </c>
      <c r="AG86" s="522" t="n">
        <v>-238.425</v>
      </c>
      <c r="AH86" s="522" t="n">
        <v>-238.425</v>
      </c>
      <c r="AI86" s="522" t="n">
        <v>-238.425</v>
      </c>
      <c r="AJ86" s="522" t="n">
        <v>-238.425</v>
      </c>
      <c r="AK86" s="522" t="n">
        <v>-238.425</v>
      </c>
      <c r="AL86" s="522" t="n">
        <v>-238.425</v>
      </c>
      <c r="AM86" s="522" t="n">
        <v>-238.425</v>
      </c>
      <c r="AN86" s="522" t="n">
        <v>-238.425</v>
      </c>
      <c r="AO86" s="522" t="n">
        <v>-238.425</v>
      </c>
      <c r="AP86" s="522" t="n">
        <v>-243.1935</v>
      </c>
      <c r="AQ86" s="522" t="n">
        <v>-243.1935</v>
      </c>
      <c r="AR86" s="522" t="n">
        <v>-243.1935</v>
      </c>
      <c r="AS86" s="522" t="n">
        <v>-243.1935</v>
      </c>
      <c r="AT86" s="522" t="n">
        <v>-243.1935</v>
      </c>
      <c r="AU86" s="522" t="n">
        <v>-243.1935</v>
      </c>
      <c r="AV86" s="522" t="n">
        <v>-243.1935</v>
      </c>
      <c r="AW86" s="522" t="n">
        <v>-243.1935</v>
      </c>
      <c r="AX86" s="522" t="n">
        <v>-243.1935</v>
      </c>
      <c r="AY86" s="522" t="n">
        <v>-243.1935</v>
      </c>
      <c r="AZ86" s="522" t="n">
        <v>-243.1935</v>
      </c>
      <c r="BA86" s="522" t="n">
        <v>-243.1935</v>
      </c>
      <c r="BB86" s="522" t="n">
        <v>-248.05737</v>
      </c>
      <c r="BC86" s="522" t="n">
        <v>-248.05737</v>
      </c>
      <c r="BD86" s="522" t="n">
        <v>-248.05737</v>
      </c>
      <c r="BE86" s="522" t="n">
        <v>-248.05737</v>
      </c>
      <c r="BF86" s="522" t="n">
        <v>-248.05737</v>
      </c>
      <c r="BG86" s="522" t="n">
        <v>-248.05737</v>
      </c>
      <c r="BH86" s="522" t="n">
        <v>-248.05737</v>
      </c>
      <c r="BI86" s="522" t="n">
        <v>-248.05737</v>
      </c>
      <c r="BJ86" s="522" t="n">
        <v>-248.05737</v>
      </c>
      <c r="BK86" s="522" t="n">
        <v>-248.05737</v>
      </c>
      <c r="BL86" s="522" t="n">
        <v>-248.05737</v>
      </c>
      <c r="BM86" s="522" t="n">
        <v>-248.05737</v>
      </c>
      <c r="BN86" s="522" t="n">
        <v>-253.0185174</v>
      </c>
      <c r="BO86" s="522" t="n">
        <v>-253.0185174</v>
      </c>
      <c r="BP86" s="522" t="n">
        <v>-253.0185174</v>
      </c>
      <c r="BQ86" s="522" t="n">
        <v>-253.0185174</v>
      </c>
      <c r="BR86" s="522" t="n">
        <v>-253.0185174</v>
      </c>
      <c r="BS86" s="522" t="n">
        <v>-253.0185174</v>
      </c>
      <c r="BT86" s="522" t="n">
        <v>-253.0185174</v>
      </c>
      <c r="BU86" s="522" t="n">
        <v>-253.0185174</v>
      </c>
      <c r="BV86" s="522" t="n">
        <v>-253.0185174</v>
      </c>
      <c r="BW86" s="522" t="n">
        <v>-253.0185174</v>
      </c>
      <c r="BX86" s="522" t="n">
        <v>-253.0185174</v>
      </c>
      <c r="BY86" s="522" t="n">
        <v>-253.0185174</v>
      </c>
      <c r="BZ86" s="522" t="n">
        <v>-258.078887748</v>
      </c>
      <c r="CA86" s="522" t="n">
        <v>-258.078887748</v>
      </c>
      <c r="CB86" s="522" t="n">
        <v>-258.078887748</v>
      </c>
      <c r="CC86" s="522" t="n">
        <v>-258.078887748</v>
      </c>
      <c r="CD86" s="522" t="n">
        <v>-258.078887748</v>
      </c>
      <c r="CE86" s="522" t="n">
        <v>-258.078887748</v>
      </c>
      <c r="CF86" s="522" t="n">
        <v>-258.078887748</v>
      </c>
      <c r="CG86" s="522" t="n">
        <v>-258.078887748</v>
      </c>
      <c r="CH86" s="522" t="n">
        <v>-258.078887748</v>
      </c>
      <c r="CI86" s="522" t="n">
        <v>-258.078887748</v>
      </c>
      <c r="CJ86" s="522" t="n">
        <v>-258.078887748</v>
      </c>
      <c r="CK86" s="522" t="n">
        <v>-258.078887748</v>
      </c>
      <c r="CL86" s="522" t="n">
        <v>-263.24046550296</v>
      </c>
      <c r="CM86" s="522" t="n">
        <v>-263.24046550296</v>
      </c>
      <c r="CN86" s="522" t="n">
        <v>-263.24046550296</v>
      </c>
      <c r="CO86" s="522" t="n">
        <v>-263.24046550296</v>
      </c>
      <c r="CP86" s="522" t="n">
        <v>-263.24046550296</v>
      </c>
      <c r="CQ86" s="522" t="n">
        <v>-263.24046550296</v>
      </c>
      <c r="CR86" s="522" t="n">
        <v>-263.24046550296</v>
      </c>
      <c r="CS86" s="522" t="n">
        <v>-263.24046550296</v>
      </c>
      <c r="CT86" s="522" t="n">
        <v>-263.24046550296</v>
      </c>
      <c r="CU86" s="522" t="n">
        <v>0</v>
      </c>
      <c r="CV86" s="522" t="n">
        <v>0</v>
      </c>
      <c r="CW86" s="522" t="n">
        <v>0</v>
      </c>
      <c r="CX86" s="522" t="n">
        <v>0</v>
      </c>
      <c r="CY86" s="522" t="n">
        <v>0</v>
      </c>
      <c r="CZ86" s="522" t="n">
        <v>0</v>
      </c>
      <c r="DA86" s="522" t="n">
        <v>0</v>
      </c>
      <c r="DB86" s="522" t="n">
        <v>0</v>
      </c>
      <c r="DC86" s="522" t="n">
        <v>0</v>
      </c>
      <c r="DD86" s="522" t="n">
        <v>0</v>
      </c>
      <c r="DE86" s="522" t="n">
        <v>0</v>
      </c>
      <c r="DF86" s="522" t="n">
        <v>0</v>
      </c>
    </row>
    <row r="87" ht="15" customFormat="1" customHeight="1" s="380">
      <c r="A87" s="468" t="inlineStr">
        <is>
          <t>5000-1005 Payroll Servicing Fees</t>
        </is>
      </c>
      <c r="C87" s="483" t="n">
        <v>-2200.12</v>
      </c>
      <c r="D87" s="483" t="n">
        <v>-2200.12</v>
      </c>
      <c r="E87" s="483" t="n">
        <v>-2200.12</v>
      </c>
      <c r="F87" s="522" t="n">
        <v>-57.2916666666667</v>
      </c>
      <c r="G87" s="522" t="n">
        <v>-57.2916666666667</v>
      </c>
      <c r="H87" s="522" t="n">
        <v>-57.2916666666667</v>
      </c>
      <c r="I87" s="522" t="n">
        <v>-57.2916666666667</v>
      </c>
      <c r="J87" s="522" t="n">
        <v>-57.2916666666667</v>
      </c>
      <c r="K87" s="522" t="n">
        <v>-57.2916666666667</v>
      </c>
      <c r="L87" s="522" t="n">
        <v>-57.2916666666667</v>
      </c>
      <c r="M87" s="522" t="n">
        <v>-57.2916666666667</v>
      </c>
      <c r="N87" s="522" t="n">
        <v>-57.2916666666667</v>
      </c>
      <c r="O87" s="522" t="n">
        <v>-57.2916666666667</v>
      </c>
      <c r="P87" s="522" t="n">
        <v>-57.2916666666667</v>
      </c>
      <c r="Q87" s="522" t="n">
        <v>-57.2916666666667</v>
      </c>
      <c r="R87" s="522" t="n">
        <v>-58.4375</v>
      </c>
      <c r="S87" s="522" t="n">
        <v>-58.4375</v>
      </c>
      <c r="T87" s="522" t="n">
        <v>-58.4375</v>
      </c>
      <c r="U87" s="522" t="n">
        <v>-58.4375</v>
      </c>
      <c r="V87" s="522" t="n">
        <v>-58.4375</v>
      </c>
      <c r="W87" s="522" t="n">
        <v>-58.4375</v>
      </c>
      <c r="X87" s="522" t="n">
        <v>-58.4375</v>
      </c>
      <c r="Y87" s="522" t="n">
        <v>-58.4375</v>
      </c>
      <c r="Z87" s="522" t="n">
        <v>-58.4375</v>
      </c>
      <c r="AA87" s="522" t="n">
        <v>-58.4375</v>
      </c>
      <c r="AB87" s="522" t="n">
        <v>-58.4375</v>
      </c>
      <c r="AC87" s="522" t="n">
        <v>-58.4375</v>
      </c>
      <c r="AD87" s="522" t="n">
        <v>-59.60625</v>
      </c>
      <c r="AE87" s="522" t="n">
        <v>-59.60625</v>
      </c>
      <c r="AF87" s="522" t="n">
        <v>-59.60625</v>
      </c>
      <c r="AG87" s="522" t="n">
        <v>-59.60625</v>
      </c>
      <c r="AH87" s="522" t="n">
        <v>-59.60625</v>
      </c>
      <c r="AI87" s="522" t="n">
        <v>-59.60625</v>
      </c>
      <c r="AJ87" s="522" t="n">
        <v>-59.60625</v>
      </c>
      <c r="AK87" s="522" t="n">
        <v>-59.60625</v>
      </c>
      <c r="AL87" s="522" t="n">
        <v>-59.60625</v>
      </c>
      <c r="AM87" s="522" t="n">
        <v>-59.60625</v>
      </c>
      <c r="AN87" s="522" t="n">
        <v>-59.60625</v>
      </c>
      <c r="AO87" s="522" t="n">
        <v>-59.60625</v>
      </c>
      <c r="AP87" s="522" t="n">
        <v>-60.798375</v>
      </c>
      <c r="AQ87" s="522" t="n">
        <v>-60.798375</v>
      </c>
      <c r="AR87" s="522" t="n">
        <v>-60.798375</v>
      </c>
      <c r="AS87" s="522" t="n">
        <v>-60.798375</v>
      </c>
      <c r="AT87" s="522" t="n">
        <v>-60.798375</v>
      </c>
      <c r="AU87" s="522" t="n">
        <v>-60.798375</v>
      </c>
      <c r="AV87" s="522" t="n">
        <v>-60.798375</v>
      </c>
      <c r="AW87" s="522" t="n">
        <v>-60.798375</v>
      </c>
      <c r="AX87" s="522" t="n">
        <v>-60.798375</v>
      </c>
      <c r="AY87" s="522" t="n">
        <v>-60.798375</v>
      </c>
      <c r="AZ87" s="522" t="n">
        <v>-60.798375</v>
      </c>
      <c r="BA87" s="522" t="n">
        <v>-60.798375</v>
      </c>
      <c r="BB87" s="522" t="n">
        <v>-62.0143425</v>
      </c>
      <c r="BC87" s="522" t="n">
        <v>-62.0143425</v>
      </c>
      <c r="BD87" s="522" t="n">
        <v>-62.0143425</v>
      </c>
      <c r="BE87" s="522" t="n">
        <v>-62.0143425</v>
      </c>
      <c r="BF87" s="522" t="n">
        <v>-62.0143425</v>
      </c>
      <c r="BG87" s="522" t="n">
        <v>-62.0143425</v>
      </c>
      <c r="BH87" s="522" t="n">
        <v>-62.0143425</v>
      </c>
      <c r="BI87" s="522" t="n">
        <v>-62.0143425</v>
      </c>
      <c r="BJ87" s="522" t="n">
        <v>-62.0143425</v>
      </c>
      <c r="BK87" s="522" t="n">
        <v>-62.0143425</v>
      </c>
      <c r="BL87" s="522" t="n">
        <v>-62.0143425</v>
      </c>
      <c r="BM87" s="522" t="n">
        <v>-62.0143425</v>
      </c>
      <c r="BN87" s="522" t="n">
        <v>-63.25462935</v>
      </c>
      <c r="BO87" s="522" t="n">
        <v>-63.25462935</v>
      </c>
      <c r="BP87" s="522" t="n">
        <v>-63.25462935</v>
      </c>
      <c r="BQ87" s="522" t="n">
        <v>-63.25462935</v>
      </c>
      <c r="BR87" s="522" t="n">
        <v>-63.25462935</v>
      </c>
      <c r="BS87" s="522" t="n">
        <v>-63.25462935</v>
      </c>
      <c r="BT87" s="522" t="n">
        <v>-63.25462935</v>
      </c>
      <c r="BU87" s="522" t="n">
        <v>-63.25462935</v>
      </c>
      <c r="BV87" s="522" t="n">
        <v>-63.25462935</v>
      </c>
      <c r="BW87" s="522" t="n">
        <v>-63.25462935</v>
      </c>
      <c r="BX87" s="522" t="n">
        <v>-63.25462935</v>
      </c>
      <c r="BY87" s="522" t="n">
        <v>-63.25462935</v>
      </c>
      <c r="BZ87" s="522" t="n">
        <v>-64.519721937</v>
      </c>
      <c r="CA87" s="522" t="n">
        <v>-64.519721937</v>
      </c>
      <c r="CB87" s="522" t="n">
        <v>-64.519721937</v>
      </c>
      <c r="CC87" s="522" t="n">
        <v>-64.519721937</v>
      </c>
      <c r="CD87" s="522" t="n">
        <v>-64.519721937</v>
      </c>
      <c r="CE87" s="522" t="n">
        <v>-64.519721937</v>
      </c>
      <c r="CF87" s="522" t="n">
        <v>-64.519721937</v>
      </c>
      <c r="CG87" s="522" t="n">
        <v>-64.519721937</v>
      </c>
      <c r="CH87" s="522" t="n">
        <v>-64.519721937</v>
      </c>
      <c r="CI87" s="522" t="n">
        <v>-64.519721937</v>
      </c>
      <c r="CJ87" s="522" t="n">
        <v>-64.519721937</v>
      </c>
      <c r="CK87" s="522" t="n">
        <v>-64.519721937</v>
      </c>
      <c r="CL87" s="522" t="n">
        <v>-65.81011637573999</v>
      </c>
      <c r="CM87" s="522" t="n">
        <v>-65.81011637573999</v>
      </c>
      <c r="CN87" s="522" t="n">
        <v>-65.81011637573999</v>
      </c>
      <c r="CO87" s="522" t="n">
        <v>-65.81011637573999</v>
      </c>
      <c r="CP87" s="522" t="n">
        <v>-65.81011637573999</v>
      </c>
      <c r="CQ87" s="522" t="n">
        <v>-65.81011637573999</v>
      </c>
      <c r="CR87" s="522" t="n">
        <v>-65.81011637573999</v>
      </c>
      <c r="CS87" s="522" t="n">
        <v>-65.81011637573999</v>
      </c>
      <c r="CT87" s="522" t="n">
        <v>-65.81011637573999</v>
      </c>
      <c r="CU87" s="522" t="n">
        <v>0</v>
      </c>
      <c r="CV87" s="522" t="n">
        <v>0</v>
      </c>
      <c r="CW87" s="522" t="n">
        <v>0</v>
      </c>
      <c r="CX87" s="522" t="n">
        <v>0</v>
      </c>
      <c r="CY87" s="522" t="n">
        <v>0</v>
      </c>
      <c r="CZ87" s="522" t="n">
        <v>0</v>
      </c>
      <c r="DA87" s="522" t="n">
        <v>0</v>
      </c>
      <c r="DB87" s="522" t="n">
        <v>0</v>
      </c>
      <c r="DC87" s="522" t="n">
        <v>0</v>
      </c>
      <c r="DD87" s="522" t="n">
        <v>0</v>
      </c>
      <c r="DE87" s="522" t="n">
        <v>0</v>
      </c>
      <c r="DF87" s="522" t="n">
        <v>0</v>
      </c>
    </row>
    <row r="88" ht="15" customFormat="1" customHeight="1" s="380">
      <c r="A88" s="468" t="inlineStr">
        <is>
          <t>5100-1000 Rent Expense</t>
        </is>
      </c>
      <c r="C88" s="483" t="n">
        <v>-8848.65</v>
      </c>
      <c r="D88" s="483" t="n">
        <v>-8817.629999999999</v>
      </c>
      <c r="E88" s="483" t="n">
        <v>-3775.91</v>
      </c>
      <c r="F88" s="522" t="n">
        <v>-8500</v>
      </c>
      <c r="G88" s="522" t="n">
        <v>-8500</v>
      </c>
      <c r="H88" s="522" t="n">
        <v>-8500</v>
      </c>
      <c r="I88" s="522" t="n">
        <v>-8500</v>
      </c>
      <c r="J88" s="522" t="n">
        <v>-8500</v>
      </c>
      <c r="K88" s="522" t="n">
        <v>-8500</v>
      </c>
      <c r="L88" s="522" t="n">
        <v>-8500</v>
      </c>
      <c r="M88" s="522" t="n">
        <v>-8500</v>
      </c>
      <c r="N88" s="522" t="n">
        <v>-8500</v>
      </c>
      <c r="O88" s="522" t="n">
        <v>-8500</v>
      </c>
      <c r="P88" s="522" t="n">
        <v>-8500</v>
      </c>
      <c r="Q88" s="522" t="n">
        <v>-8500</v>
      </c>
      <c r="R88" s="522" t="n">
        <v>-8670</v>
      </c>
      <c r="S88" s="522" t="n">
        <v>-8670</v>
      </c>
      <c r="T88" s="522" t="n">
        <v>-8670</v>
      </c>
      <c r="U88" s="522" t="n">
        <v>-8670</v>
      </c>
      <c r="V88" s="522" t="n">
        <v>-8670</v>
      </c>
      <c r="W88" s="522" t="n">
        <v>-8670</v>
      </c>
      <c r="X88" s="522" t="n">
        <v>-8670</v>
      </c>
      <c r="Y88" s="522" t="n">
        <v>-8670</v>
      </c>
      <c r="Z88" s="522" t="n">
        <v>-8670</v>
      </c>
      <c r="AA88" s="522" t="n">
        <v>-8670</v>
      </c>
      <c r="AB88" s="522" t="n">
        <v>-8670</v>
      </c>
      <c r="AC88" s="522" t="n">
        <v>-8670</v>
      </c>
      <c r="AD88" s="522" t="n">
        <v>-8843.4</v>
      </c>
      <c r="AE88" s="522" t="n">
        <v>-8843.4</v>
      </c>
      <c r="AF88" s="522" t="n">
        <v>-8843.4</v>
      </c>
      <c r="AG88" s="522" t="n">
        <v>-8843.4</v>
      </c>
      <c r="AH88" s="522" t="n">
        <v>-8843.4</v>
      </c>
      <c r="AI88" s="522" t="n">
        <v>-8843.4</v>
      </c>
      <c r="AJ88" s="522" t="n">
        <v>-8843.4</v>
      </c>
      <c r="AK88" s="522" t="n">
        <v>-8843.4</v>
      </c>
      <c r="AL88" s="522" t="n">
        <v>-8843.4</v>
      </c>
      <c r="AM88" s="522" t="n">
        <v>-8843.4</v>
      </c>
      <c r="AN88" s="522" t="n">
        <v>-8843.4</v>
      </c>
      <c r="AO88" s="522" t="n">
        <v>-8843.4</v>
      </c>
      <c r="AP88" s="522" t="n">
        <v>-9020.268</v>
      </c>
      <c r="AQ88" s="522" t="n">
        <v>-9020.268</v>
      </c>
      <c r="AR88" s="522" t="n">
        <v>-9020.268</v>
      </c>
      <c r="AS88" s="522" t="n">
        <v>-9020.268</v>
      </c>
      <c r="AT88" s="522" t="n">
        <v>-9020.268</v>
      </c>
      <c r="AU88" s="522" t="n">
        <v>-9020.268</v>
      </c>
      <c r="AV88" s="522" t="n">
        <v>-9020.268</v>
      </c>
      <c r="AW88" s="522" t="n">
        <v>-9020.268</v>
      </c>
      <c r="AX88" s="522" t="n">
        <v>-9020.268</v>
      </c>
      <c r="AY88" s="522" t="n">
        <v>-9020.268</v>
      </c>
      <c r="AZ88" s="522" t="n">
        <v>-9020.268</v>
      </c>
      <c r="BA88" s="522" t="n">
        <v>-9020.268</v>
      </c>
      <c r="BB88" s="522" t="n">
        <v>-9200.673360000001</v>
      </c>
      <c r="BC88" s="522" t="n">
        <v>-9200.673360000001</v>
      </c>
      <c r="BD88" s="522" t="n">
        <v>-9200.673360000001</v>
      </c>
      <c r="BE88" s="522" t="n">
        <v>-9200.673360000001</v>
      </c>
      <c r="BF88" s="522" t="n">
        <v>-9200.673360000001</v>
      </c>
      <c r="BG88" s="522" t="n">
        <v>-9200.673360000001</v>
      </c>
      <c r="BH88" s="522" t="n">
        <v>-9200.673360000001</v>
      </c>
      <c r="BI88" s="522" t="n">
        <v>-9200.673360000001</v>
      </c>
      <c r="BJ88" s="522" t="n">
        <v>-9200.673360000001</v>
      </c>
      <c r="BK88" s="522" t="n">
        <v>-9200.673360000001</v>
      </c>
      <c r="BL88" s="522" t="n">
        <v>-9200.673360000001</v>
      </c>
      <c r="BM88" s="522" t="n">
        <v>-9200.673360000001</v>
      </c>
      <c r="BN88" s="522" t="n">
        <v>-9384.686827199999</v>
      </c>
      <c r="BO88" s="522" t="n">
        <v>-9384.686827199999</v>
      </c>
      <c r="BP88" s="522" t="n">
        <v>-9384.686827199999</v>
      </c>
      <c r="BQ88" s="522" t="n">
        <v>-9384.686827199999</v>
      </c>
      <c r="BR88" s="522" t="n">
        <v>-9384.686827199999</v>
      </c>
      <c r="BS88" s="522" t="n">
        <v>-9384.686827199999</v>
      </c>
      <c r="BT88" s="522" t="n">
        <v>-9384.686827199999</v>
      </c>
      <c r="BU88" s="522" t="n">
        <v>-9384.686827199999</v>
      </c>
      <c r="BV88" s="522" t="n">
        <v>-9384.686827199999</v>
      </c>
      <c r="BW88" s="522" t="n">
        <v>-9384.686827199999</v>
      </c>
      <c r="BX88" s="522" t="n">
        <v>-9384.686827199999</v>
      </c>
      <c r="BY88" s="522" t="n">
        <v>-9384.686827199999</v>
      </c>
      <c r="BZ88" s="522" t="n">
        <v>-9572.380563744</v>
      </c>
      <c r="CA88" s="522" t="n">
        <v>-9572.380563744</v>
      </c>
      <c r="CB88" s="522" t="n">
        <v>-9572.380563744</v>
      </c>
      <c r="CC88" s="522" t="n">
        <v>-9572.380563744</v>
      </c>
      <c r="CD88" s="522" t="n">
        <v>-9572.380563744</v>
      </c>
      <c r="CE88" s="522" t="n">
        <v>-9572.380563744</v>
      </c>
      <c r="CF88" s="522" t="n">
        <v>-9572.380563744</v>
      </c>
      <c r="CG88" s="522" t="n">
        <v>-9572.380563744</v>
      </c>
      <c r="CH88" s="522" t="n">
        <v>-9572.380563744</v>
      </c>
      <c r="CI88" s="522" t="n">
        <v>-9572.380563744</v>
      </c>
      <c r="CJ88" s="522" t="n">
        <v>-9572.380563744</v>
      </c>
      <c r="CK88" s="522" t="n">
        <v>-9572.380563744</v>
      </c>
      <c r="CL88" s="522" t="n">
        <v>-9763.82817501888</v>
      </c>
      <c r="CM88" s="522" t="n">
        <v>-9763.82817501888</v>
      </c>
      <c r="CN88" s="522" t="n">
        <v>-9763.82817501888</v>
      </c>
      <c r="CO88" s="522" t="n">
        <v>-9763.82817501888</v>
      </c>
      <c r="CP88" s="522" t="n">
        <v>-9763.82817501888</v>
      </c>
      <c r="CQ88" s="522" t="n">
        <v>-9763.82817501888</v>
      </c>
      <c r="CR88" s="522" t="n">
        <v>-9763.82817501888</v>
      </c>
      <c r="CS88" s="522" t="n">
        <v>-9763.82817501888</v>
      </c>
      <c r="CT88" s="522" t="n">
        <v>-9763.82817501888</v>
      </c>
      <c r="CU88" s="522" t="n">
        <v>-9763.82817501888</v>
      </c>
      <c r="CV88" s="522" t="n">
        <v>-9763.82817501888</v>
      </c>
      <c r="CW88" s="522" t="n">
        <v>-9763.82817501888</v>
      </c>
      <c r="CX88" s="522" t="n">
        <v>-9959.10473851926</v>
      </c>
      <c r="CY88" s="522" t="n">
        <v>-9959.10473851926</v>
      </c>
      <c r="CZ88" s="522" t="n">
        <v>-9959.10473851926</v>
      </c>
      <c r="DA88" s="522" t="n">
        <v>-9959.10473851926</v>
      </c>
      <c r="DB88" s="522" t="n">
        <v>-9959.10473851926</v>
      </c>
      <c r="DC88" s="522" t="n">
        <v>-9959.10473851926</v>
      </c>
      <c r="DD88" s="522" t="n">
        <v>-9959.10473851926</v>
      </c>
      <c r="DE88" s="522" t="n">
        <v>-9959.10473851926</v>
      </c>
      <c r="DF88" s="522" t="n">
        <v>-9959.10473851926</v>
      </c>
    </row>
    <row r="89" ht="15" customFormat="1" customHeight="1" s="380">
      <c r="A89" s="468" t="inlineStr">
        <is>
          <t>5200-1000 Office Supplies and Expenses</t>
        </is>
      </c>
      <c r="C89" s="483" t="n">
        <v>-1722.9</v>
      </c>
      <c r="D89" s="483" t="n">
        <v>0</v>
      </c>
      <c r="E89" s="483" t="n">
        <v>-28.51</v>
      </c>
      <c r="F89" s="522" t="n">
        <v>-583.8</v>
      </c>
      <c r="G89" s="522" t="n">
        <v>-583.8</v>
      </c>
      <c r="H89" s="522" t="n">
        <v>-583.8</v>
      </c>
      <c r="I89" s="522" t="n">
        <v>-583.8</v>
      </c>
      <c r="J89" s="522" t="n">
        <v>-583.8</v>
      </c>
      <c r="K89" s="522" t="n">
        <v>-583.8</v>
      </c>
      <c r="L89" s="522" t="n">
        <v>-583.8</v>
      </c>
      <c r="M89" s="522" t="n">
        <v>-583.8</v>
      </c>
      <c r="N89" s="522" t="n">
        <v>-583.8</v>
      </c>
      <c r="O89" s="522" t="n">
        <v>-583.8</v>
      </c>
      <c r="P89" s="522" t="n">
        <v>-583.8</v>
      </c>
      <c r="Q89" s="522" t="n">
        <v>-583.8</v>
      </c>
      <c r="R89" s="522" t="n">
        <v>-595.476</v>
      </c>
      <c r="S89" s="522" t="n">
        <v>-595.476</v>
      </c>
      <c r="T89" s="522" t="n">
        <v>-595.476</v>
      </c>
      <c r="U89" s="522" t="n">
        <v>-595.476</v>
      </c>
      <c r="V89" s="522" t="n">
        <v>-595.476</v>
      </c>
      <c r="W89" s="522" t="n">
        <v>-595.476</v>
      </c>
      <c r="X89" s="522" t="n">
        <v>-595.476</v>
      </c>
      <c r="Y89" s="522" t="n">
        <v>-595.476</v>
      </c>
      <c r="Z89" s="522" t="n">
        <v>-595.476</v>
      </c>
      <c r="AA89" s="522" t="n">
        <v>-595.476</v>
      </c>
      <c r="AB89" s="522" t="n">
        <v>-595.476</v>
      </c>
      <c r="AC89" s="522" t="n">
        <v>-595.476</v>
      </c>
      <c r="AD89" s="522" t="n">
        <v>-607.38552</v>
      </c>
      <c r="AE89" s="522" t="n">
        <v>-607.38552</v>
      </c>
      <c r="AF89" s="522" t="n">
        <v>-607.38552</v>
      </c>
      <c r="AG89" s="522" t="n">
        <v>-607.38552</v>
      </c>
      <c r="AH89" s="522" t="n">
        <v>-607.38552</v>
      </c>
      <c r="AI89" s="522" t="n">
        <v>-607.38552</v>
      </c>
      <c r="AJ89" s="522" t="n">
        <v>-607.38552</v>
      </c>
      <c r="AK89" s="522" t="n">
        <v>-607.38552</v>
      </c>
      <c r="AL89" s="522" t="n">
        <v>-607.38552</v>
      </c>
      <c r="AM89" s="522" t="n">
        <v>-607.38552</v>
      </c>
      <c r="AN89" s="522" t="n">
        <v>-607.38552</v>
      </c>
      <c r="AO89" s="522" t="n">
        <v>-607.38552</v>
      </c>
      <c r="AP89" s="522" t="n">
        <v>-619.5332304</v>
      </c>
      <c r="AQ89" s="522" t="n">
        <v>-619.5332304</v>
      </c>
      <c r="AR89" s="522" t="n">
        <v>-619.5332304</v>
      </c>
      <c r="AS89" s="522" t="n">
        <v>-619.5332304</v>
      </c>
      <c r="AT89" s="522" t="n">
        <v>-619.5332304</v>
      </c>
      <c r="AU89" s="522" t="n">
        <v>-619.5332304</v>
      </c>
      <c r="AV89" s="522" t="n">
        <v>-619.5332304</v>
      </c>
      <c r="AW89" s="522" t="n">
        <v>-619.5332304</v>
      </c>
      <c r="AX89" s="522" t="n">
        <v>-619.5332304</v>
      </c>
      <c r="AY89" s="522" t="n">
        <v>-619.5332304</v>
      </c>
      <c r="AZ89" s="522" t="n">
        <v>-619.5332304</v>
      </c>
      <c r="BA89" s="522" t="n">
        <v>-619.5332304</v>
      </c>
      <c r="BB89" s="522" t="n">
        <v>-631.923895008</v>
      </c>
      <c r="BC89" s="522" t="n">
        <v>-631.923895008</v>
      </c>
      <c r="BD89" s="522" t="n">
        <v>-631.923895008</v>
      </c>
      <c r="BE89" s="522" t="n">
        <v>-631.923895008</v>
      </c>
      <c r="BF89" s="522" t="n">
        <v>-631.923895008</v>
      </c>
      <c r="BG89" s="522" t="n">
        <v>-631.923895008</v>
      </c>
      <c r="BH89" s="522" t="n">
        <v>-631.923895008</v>
      </c>
      <c r="BI89" s="522" t="n">
        <v>-631.923895008</v>
      </c>
      <c r="BJ89" s="522" t="n">
        <v>-631.923895008</v>
      </c>
      <c r="BK89" s="522" t="n">
        <v>-631.923895008</v>
      </c>
      <c r="BL89" s="522" t="n">
        <v>-631.923895008</v>
      </c>
      <c r="BM89" s="522" t="n">
        <v>-631.923895008</v>
      </c>
      <c r="BN89" s="522" t="n">
        <v>-644.56237290816</v>
      </c>
      <c r="BO89" s="522" t="n">
        <v>-644.56237290816</v>
      </c>
      <c r="BP89" s="522" t="n">
        <v>-644.56237290816</v>
      </c>
      <c r="BQ89" s="522" t="n">
        <v>-644.56237290816</v>
      </c>
      <c r="BR89" s="522" t="n">
        <v>-644.56237290816</v>
      </c>
      <c r="BS89" s="522" t="n">
        <v>-644.56237290816</v>
      </c>
      <c r="BT89" s="522" t="n">
        <v>-644.56237290816</v>
      </c>
      <c r="BU89" s="522" t="n">
        <v>-644.56237290816</v>
      </c>
      <c r="BV89" s="522" t="n">
        <v>-644.56237290816</v>
      </c>
      <c r="BW89" s="522" t="n">
        <v>-644.56237290816</v>
      </c>
      <c r="BX89" s="522" t="n">
        <v>-644.56237290816</v>
      </c>
      <c r="BY89" s="522" t="n">
        <v>-644.56237290816</v>
      </c>
      <c r="BZ89" s="522" t="n">
        <v>-657.453620366323</v>
      </c>
      <c r="CA89" s="522" t="n">
        <v>-657.453620366323</v>
      </c>
      <c r="CB89" s="522" t="n">
        <v>-657.453620366323</v>
      </c>
      <c r="CC89" s="522" t="n">
        <v>-657.453620366323</v>
      </c>
      <c r="CD89" s="522" t="n">
        <v>-657.453620366323</v>
      </c>
      <c r="CE89" s="522" t="n">
        <v>-657.453620366323</v>
      </c>
      <c r="CF89" s="522" t="n">
        <v>-657.453620366323</v>
      </c>
      <c r="CG89" s="522" t="n">
        <v>-657.453620366323</v>
      </c>
      <c r="CH89" s="522" t="n">
        <v>-657.453620366323</v>
      </c>
      <c r="CI89" s="522" t="n">
        <v>-657.453620366323</v>
      </c>
      <c r="CJ89" s="522" t="n">
        <v>-657.453620366323</v>
      </c>
      <c r="CK89" s="522" t="n">
        <v>-657.453620366323</v>
      </c>
      <c r="CL89" s="522" t="n">
        <v>-670.60269277365</v>
      </c>
      <c r="CM89" s="522" t="n">
        <v>-670.60269277365</v>
      </c>
      <c r="CN89" s="522" t="n">
        <v>-670.60269277365</v>
      </c>
      <c r="CO89" s="522" t="n">
        <v>-670.60269277365</v>
      </c>
      <c r="CP89" s="522" t="n">
        <v>-670.60269277365</v>
      </c>
      <c r="CQ89" s="522" t="n">
        <v>-670.60269277365</v>
      </c>
      <c r="CR89" s="522" t="n">
        <v>-670.60269277365</v>
      </c>
      <c r="CS89" s="522" t="n">
        <v>-670.60269277365</v>
      </c>
      <c r="CT89" s="522" t="n">
        <v>-670.60269277365</v>
      </c>
      <c r="CU89" s="522" t="n">
        <v>-670.60269277365</v>
      </c>
      <c r="CV89" s="522" t="n">
        <v>-670.60269277365</v>
      </c>
      <c r="CW89" s="522" t="n">
        <v>-670.60269277365</v>
      </c>
      <c r="CX89" s="522" t="n">
        <v>-684.014746629123</v>
      </c>
      <c r="CY89" s="522" t="n">
        <v>-684.014746629123</v>
      </c>
      <c r="CZ89" s="522" t="n">
        <v>-684.014746629123</v>
      </c>
      <c r="DA89" s="522" t="n">
        <v>-684.014746629123</v>
      </c>
      <c r="DB89" s="522" t="n">
        <v>-684.014746629123</v>
      </c>
      <c r="DC89" s="522" t="n">
        <v>-684.014746629123</v>
      </c>
      <c r="DD89" s="522" t="n">
        <v>-684.014746629123</v>
      </c>
      <c r="DE89" s="522" t="n">
        <v>-684.014746629123</v>
      </c>
      <c r="DF89" s="522" t="n">
        <v>-684.014746629123</v>
      </c>
    </row>
    <row r="90" ht="15" customFormat="1" customHeight="1" s="380">
      <c r="A90" s="468" t="inlineStr">
        <is>
          <t>5200-1053 IT Software and Subscriptions</t>
        </is>
      </c>
      <c r="C90" s="526" t="n">
        <v>-246.85</v>
      </c>
      <c r="D90" s="526" t="n">
        <v>0</v>
      </c>
      <c r="E90" s="526" t="n">
        <v>-4246.73</v>
      </c>
      <c r="F90" s="522" t="n">
        <v>-1497.86</v>
      </c>
      <c r="G90" s="522" t="n">
        <v>-1497.86</v>
      </c>
      <c r="H90" s="522" t="n">
        <v>-1497.86</v>
      </c>
      <c r="I90" s="522" t="n">
        <v>-1497.86</v>
      </c>
      <c r="J90" s="522" t="n">
        <v>-1497.86</v>
      </c>
      <c r="K90" s="522" t="n">
        <v>-1497.86</v>
      </c>
      <c r="L90" s="522" t="n">
        <v>-1497.86</v>
      </c>
      <c r="M90" s="522" t="n">
        <v>-1497.86</v>
      </c>
      <c r="N90" s="522" t="n">
        <v>-1497.86</v>
      </c>
      <c r="O90" s="522" t="n">
        <v>-1497.86</v>
      </c>
      <c r="P90" s="522" t="n">
        <v>-1497.86</v>
      </c>
      <c r="Q90" s="522" t="n">
        <v>-1497.86</v>
      </c>
      <c r="R90" s="522" t="n">
        <v>-1527.8172</v>
      </c>
      <c r="S90" s="522" t="n">
        <v>-1527.8172</v>
      </c>
      <c r="T90" s="522" t="n">
        <v>-1527.8172</v>
      </c>
      <c r="U90" s="522" t="n">
        <v>-1527.8172</v>
      </c>
      <c r="V90" s="522" t="n">
        <v>-1527.8172</v>
      </c>
      <c r="W90" s="522" t="n">
        <v>-1527.8172</v>
      </c>
      <c r="X90" s="522" t="n">
        <v>-1527.8172</v>
      </c>
      <c r="Y90" s="522" t="n">
        <v>-1527.8172</v>
      </c>
      <c r="Z90" s="522" t="n">
        <v>-1527.8172</v>
      </c>
      <c r="AA90" s="522" t="n">
        <v>-1527.8172</v>
      </c>
      <c r="AB90" s="522" t="n">
        <v>-1527.8172</v>
      </c>
      <c r="AC90" s="522" t="n">
        <v>-1527.8172</v>
      </c>
      <c r="AD90" s="522" t="n">
        <v>-1558.373544</v>
      </c>
      <c r="AE90" s="522" t="n">
        <v>-1558.373544</v>
      </c>
      <c r="AF90" s="522" t="n">
        <v>-1558.373544</v>
      </c>
      <c r="AG90" s="522" t="n">
        <v>-1558.373544</v>
      </c>
      <c r="AH90" s="522" t="n">
        <v>-1558.373544</v>
      </c>
      <c r="AI90" s="522" t="n">
        <v>-1558.373544</v>
      </c>
      <c r="AJ90" s="522" t="n">
        <v>-1558.373544</v>
      </c>
      <c r="AK90" s="522" t="n">
        <v>-1558.373544</v>
      </c>
      <c r="AL90" s="522" t="n">
        <v>-1558.373544</v>
      </c>
      <c r="AM90" s="522" t="n">
        <v>-1558.373544</v>
      </c>
      <c r="AN90" s="522" t="n">
        <v>-1558.373544</v>
      </c>
      <c r="AO90" s="522" t="n">
        <v>-1558.373544</v>
      </c>
      <c r="AP90" s="522" t="n">
        <v>-1589.54101488</v>
      </c>
      <c r="AQ90" s="522" t="n">
        <v>-1589.54101488</v>
      </c>
      <c r="AR90" s="522" t="n">
        <v>-1589.54101488</v>
      </c>
      <c r="AS90" s="522" t="n">
        <v>-1589.54101488</v>
      </c>
      <c r="AT90" s="522" t="n">
        <v>-1589.54101488</v>
      </c>
      <c r="AU90" s="522" t="n">
        <v>-1589.54101488</v>
      </c>
      <c r="AV90" s="522" t="n">
        <v>-1589.54101488</v>
      </c>
      <c r="AW90" s="522" t="n">
        <v>-1589.54101488</v>
      </c>
      <c r="AX90" s="522" t="n">
        <v>-1589.54101488</v>
      </c>
      <c r="AY90" s="522" t="n">
        <v>-1589.54101488</v>
      </c>
      <c r="AZ90" s="522" t="n">
        <v>-1589.54101488</v>
      </c>
      <c r="BA90" s="522" t="n">
        <v>-1589.54101488</v>
      </c>
      <c r="BB90" s="522" t="n">
        <v>-1621.3318351776</v>
      </c>
      <c r="BC90" s="522" t="n">
        <v>-1621.3318351776</v>
      </c>
      <c r="BD90" s="522" t="n">
        <v>-1621.3318351776</v>
      </c>
      <c r="BE90" s="522" t="n">
        <v>-1621.3318351776</v>
      </c>
      <c r="BF90" s="522" t="n">
        <v>-1621.3318351776</v>
      </c>
      <c r="BG90" s="522" t="n">
        <v>-1621.3318351776</v>
      </c>
      <c r="BH90" s="522" t="n">
        <v>-1621.3318351776</v>
      </c>
      <c r="BI90" s="522" t="n">
        <v>-1621.3318351776</v>
      </c>
      <c r="BJ90" s="522" t="n">
        <v>-1621.3318351776</v>
      </c>
      <c r="BK90" s="522" t="n">
        <v>-1621.3318351776</v>
      </c>
      <c r="BL90" s="522" t="n">
        <v>-1621.3318351776</v>
      </c>
      <c r="BM90" s="522" t="n">
        <v>-1621.3318351776</v>
      </c>
      <c r="BN90" s="522" t="n">
        <v>-1653.75847188115</v>
      </c>
      <c r="BO90" s="522" t="n">
        <v>-1653.75847188115</v>
      </c>
      <c r="BP90" s="522" t="n">
        <v>-1653.75847188115</v>
      </c>
      <c r="BQ90" s="522" t="n">
        <v>-1653.75847188115</v>
      </c>
      <c r="BR90" s="522" t="n">
        <v>-1653.75847188115</v>
      </c>
      <c r="BS90" s="522" t="n">
        <v>-1653.75847188115</v>
      </c>
      <c r="BT90" s="522" t="n">
        <v>-1653.75847188115</v>
      </c>
      <c r="BU90" s="522" t="n">
        <v>-1653.75847188115</v>
      </c>
      <c r="BV90" s="522" t="n">
        <v>-1653.75847188115</v>
      </c>
      <c r="BW90" s="522" t="n">
        <v>-1653.75847188115</v>
      </c>
      <c r="BX90" s="522" t="n">
        <v>-1653.75847188115</v>
      </c>
      <c r="BY90" s="522" t="n">
        <v>-1653.75847188115</v>
      </c>
      <c r="BZ90" s="522" t="n">
        <v>-1686.83364131878</v>
      </c>
      <c r="CA90" s="522" t="n">
        <v>-1686.83364131878</v>
      </c>
      <c r="CB90" s="522" t="n">
        <v>-1686.83364131878</v>
      </c>
      <c r="CC90" s="522" t="n">
        <v>-1686.83364131878</v>
      </c>
      <c r="CD90" s="522" t="n">
        <v>-1686.83364131878</v>
      </c>
      <c r="CE90" s="522" t="n">
        <v>-1686.83364131878</v>
      </c>
      <c r="CF90" s="522" t="n">
        <v>-1686.83364131878</v>
      </c>
      <c r="CG90" s="522" t="n">
        <v>-1686.83364131878</v>
      </c>
      <c r="CH90" s="522" t="n">
        <v>-1686.83364131878</v>
      </c>
      <c r="CI90" s="522" t="n">
        <v>-1686.83364131878</v>
      </c>
      <c r="CJ90" s="522" t="n">
        <v>-1686.83364131878</v>
      </c>
      <c r="CK90" s="522" t="n">
        <v>-1686.83364131878</v>
      </c>
      <c r="CL90" s="522" t="n">
        <v>-1720.57031414515</v>
      </c>
      <c r="CM90" s="522" t="n">
        <v>-1720.57031414515</v>
      </c>
      <c r="CN90" s="522" t="n">
        <v>-1720.57031414515</v>
      </c>
      <c r="CO90" s="522" t="n">
        <v>-1720.57031414515</v>
      </c>
      <c r="CP90" s="522" t="n">
        <v>-1720.57031414515</v>
      </c>
      <c r="CQ90" s="522" t="n">
        <v>-1720.57031414515</v>
      </c>
      <c r="CR90" s="522" t="n">
        <v>-1720.57031414515</v>
      </c>
      <c r="CS90" s="522" t="n">
        <v>-1720.57031414515</v>
      </c>
      <c r="CT90" s="522" t="n">
        <v>-1720.57031414515</v>
      </c>
      <c r="CU90" s="522" t="n">
        <v>-1720.57031414515</v>
      </c>
      <c r="CV90" s="522" t="n">
        <v>-1720.57031414515</v>
      </c>
      <c r="CW90" s="522" t="n">
        <v>-1720.57031414515</v>
      </c>
      <c r="CX90" s="522" t="n">
        <v>-1754.98172042805</v>
      </c>
      <c r="CY90" s="522" t="n">
        <v>-1754.98172042805</v>
      </c>
      <c r="CZ90" s="522" t="n">
        <v>-1754.98172042805</v>
      </c>
      <c r="DA90" s="522" t="n">
        <v>-1754.98172042805</v>
      </c>
      <c r="DB90" s="522" t="n">
        <v>-1754.98172042805</v>
      </c>
      <c r="DC90" s="522" t="n">
        <v>-1754.98172042805</v>
      </c>
      <c r="DD90" s="522" t="n">
        <v>-1754.98172042805</v>
      </c>
      <c r="DE90" s="522" t="n">
        <v>-1754.98172042805</v>
      </c>
      <c r="DF90" s="522" t="n">
        <v>-1754.98172042805</v>
      </c>
    </row>
    <row r="91" ht="15" customFormat="1" customHeight="1" s="380">
      <c r="A91" s="468" t="inlineStr">
        <is>
          <t>5200-1060 Website Design</t>
        </is>
      </c>
      <c r="C91" s="483" t="n">
        <v>0</v>
      </c>
      <c r="D91" s="483" t="n">
        <v>0</v>
      </c>
      <c r="E91" s="483" t="n">
        <v>-870</v>
      </c>
      <c r="F91" s="522" t="n">
        <v>-290</v>
      </c>
      <c r="G91" s="522" t="n">
        <v>-290</v>
      </c>
      <c r="H91" s="522" t="n">
        <v>-290</v>
      </c>
      <c r="I91" s="522" t="n">
        <v>-290</v>
      </c>
      <c r="J91" s="522" t="n">
        <v>-290</v>
      </c>
      <c r="K91" s="522" t="n">
        <v>-290</v>
      </c>
      <c r="L91" s="522" t="n">
        <v>-290</v>
      </c>
      <c r="M91" s="522" t="n">
        <v>-290</v>
      </c>
      <c r="N91" s="522" t="n">
        <v>-290</v>
      </c>
      <c r="O91" s="522" t="n">
        <v>-290</v>
      </c>
      <c r="P91" s="522" t="n">
        <v>-290</v>
      </c>
      <c r="Q91" s="522" t="n">
        <v>-290</v>
      </c>
      <c r="R91" s="522" t="n">
        <v>-295.8</v>
      </c>
      <c r="S91" s="522" t="n">
        <v>-295.8</v>
      </c>
      <c r="T91" s="522" t="n">
        <v>-295.8</v>
      </c>
      <c r="U91" s="522" t="n">
        <v>-295.8</v>
      </c>
      <c r="V91" s="522" t="n">
        <v>-295.8</v>
      </c>
      <c r="W91" s="522" t="n">
        <v>-295.8</v>
      </c>
      <c r="X91" s="522" t="n">
        <v>-295.8</v>
      </c>
      <c r="Y91" s="522" t="n">
        <v>-295.8</v>
      </c>
      <c r="Z91" s="522" t="n">
        <v>-295.8</v>
      </c>
      <c r="AA91" s="522" t="n">
        <v>-295.8</v>
      </c>
      <c r="AB91" s="522" t="n">
        <v>-295.8</v>
      </c>
      <c r="AC91" s="522" t="n">
        <v>-295.8</v>
      </c>
      <c r="AD91" s="522" t="n">
        <v>-301.716</v>
      </c>
      <c r="AE91" s="522" t="n">
        <v>-301.716</v>
      </c>
      <c r="AF91" s="522" t="n">
        <v>-301.716</v>
      </c>
      <c r="AG91" s="522" t="n">
        <v>-301.716</v>
      </c>
      <c r="AH91" s="522" t="n">
        <v>-301.716</v>
      </c>
      <c r="AI91" s="522" t="n">
        <v>-301.716</v>
      </c>
      <c r="AJ91" s="522" t="n">
        <v>-301.716</v>
      </c>
      <c r="AK91" s="522" t="n">
        <v>-301.716</v>
      </c>
      <c r="AL91" s="522" t="n">
        <v>-301.716</v>
      </c>
      <c r="AM91" s="522" t="n">
        <v>-301.716</v>
      </c>
      <c r="AN91" s="522" t="n">
        <v>-301.716</v>
      </c>
      <c r="AO91" s="522" t="n">
        <v>-301.716</v>
      </c>
      <c r="AP91" s="522" t="n">
        <v>-307.75032</v>
      </c>
      <c r="AQ91" s="522" t="n">
        <v>-307.75032</v>
      </c>
      <c r="AR91" s="522" t="n">
        <v>-307.75032</v>
      </c>
      <c r="AS91" s="522" t="n">
        <v>-307.75032</v>
      </c>
      <c r="AT91" s="522" t="n">
        <v>-307.75032</v>
      </c>
      <c r="AU91" s="522" t="n">
        <v>-307.75032</v>
      </c>
      <c r="AV91" s="522" t="n">
        <v>-307.75032</v>
      </c>
      <c r="AW91" s="522" t="n">
        <v>-307.75032</v>
      </c>
      <c r="AX91" s="522" t="n">
        <v>-307.75032</v>
      </c>
      <c r="AY91" s="522" t="n">
        <v>-307.75032</v>
      </c>
      <c r="AZ91" s="522" t="n">
        <v>-307.75032</v>
      </c>
      <c r="BA91" s="522" t="n">
        <v>-307.75032</v>
      </c>
      <c r="BB91" s="522" t="n">
        <v>-313.9053264</v>
      </c>
      <c r="BC91" s="522" t="n">
        <v>-313.9053264</v>
      </c>
      <c r="BD91" s="522" t="n">
        <v>-313.9053264</v>
      </c>
      <c r="BE91" s="522" t="n">
        <v>-313.9053264</v>
      </c>
      <c r="BF91" s="522" t="n">
        <v>-313.9053264</v>
      </c>
      <c r="BG91" s="522" t="n">
        <v>-313.9053264</v>
      </c>
      <c r="BH91" s="522" t="n">
        <v>-313.9053264</v>
      </c>
      <c r="BI91" s="522" t="n">
        <v>-313.9053264</v>
      </c>
      <c r="BJ91" s="522" t="n">
        <v>-313.9053264</v>
      </c>
      <c r="BK91" s="522" t="n">
        <v>-313.9053264</v>
      </c>
      <c r="BL91" s="522" t="n">
        <v>-313.9053264</v>
      </c>
      <c r="BM91" s="522" t="n">
        <v>-313.9053264</v>
      </c>
      <c r="BN91" s="522" t="n">
        <v>-320.183432928</v>
      </c>
      <c r="BO91" s="522" t="n">
        <v>-320.183432928</v>
      </c>
      <c r="BP91" s="522" t="n">
        <v>-320.183432928</v>
      </c>
      <c r="BQ91" s="522" t="n">
        <v>-320.183432928</v>
      </c>
      <c r="BR91" s="522" t="n">
        <v>-320.183432928</v>
      </c>
      <c r="BS91" s="522" t="n">
        <v>-320.183432928</v>
      </c>
      <c r="BT91" s="522" t="n">
        <v>-320.183432928</v>
      </c>
      <c r="BU91" s="522" t="n">
        <v>-320.183432928</v>
      </c>
      <c r="BV91" s="522" t="n">
        <v>-320.183432928</v>
      </c>
      <c r="BW91" s="522" t="n">
        <v>-320.183432928</v>
      </c>
      <c r="BX91" s="522" t="n">
        <v>-320.183432928</v>
      </c>
      <c r="BY91" s="522" t="n">
        <v>-320.183432928</v>
      </c>
      <c r="BZ91" s="522" t="n">
        <v>-326.58710158656</v>
      </c>
      <c r="CA91" s="522" t="n">
        <v>-326.58710158656</v>
      </c>
      <c r="CB91" s="522" t="n">
        <v>-326.58710158656</v>
      </c>
      <c r="CC91" s="522" t="n">
        <v>-326.58710158656</v>
      </c>
      <c r="CD91" s="522" t="n">
        <v>-326.58710158656</v>
      </c>
      <c r="CE91" s="522" t="n">
        <v>-326.58710158656</v>
      </c>
      <c r="CF91" s="522" t="n">
        <v>-326.58710158656</v>
      </c>
      <c r="CG91" s="522" t="n">
        <v>-326.58710158656</v>
      </c>
      <c r="CH91" s="522" t="n">
        <v>-326.58710158656</v>
      </c>
      <c r="CI91" s="522" t="n">
        <v>-326.58710158656</v>
      </c>
      <c r="CJ91" s="522" t="n">
        <v>-326.58710158656</v>
      </c>
      <c r="CK91" s="522" t="n">
        <v>-326.58710158656</v>
      </c>
      <c r="CL91" s="522" t="n">
        <v>-333.118843618291</v>
      </c>
      <c r="CM91" s="522" t="n">
        <v>-333.118843618291</v>
      </c>
      <c r="CN91" s="522" t="n">
        <v>-333.118843618291</v>
      </c>
      <c r="CO91" s="522" t="n">
        <v>-333.118843618291</v>
      </c>
      <c r="CP91" s="522" t="n">
        <v>-333.118843618291</v>
      </c>
      <c r="CQ91" s="522" t="n">
        <v>-333.118843618291</v>
      </c>
      <c r="CR91" s="522" t="n">
        <v>-333.118843618291</v>
      </c>
      <c r="CS91" s="522" t="n">
        <v>-333.118843618291</v>
      </c>
      <c r="CT91" s="522" t="n">
        <v>-333.118843618291</v>
      </c>
      <c r="CU91" s="522" t="n">
        <v>-333.118843618291</v>
      </c>
      <c r="CV91" s="522" t="n">
        <v>-333.118843618291</v>
      </c>
      <c r="CW91" s="522" t="n">
        <v>-333.118843618291</v>
      </c>
      <c r="CX91" s="522" t="n">
        <v>-339.781220490657</v>
      </c>
      <c r="CY91" s="522" t="n">
        <v>-339.781220490657</v>
      </c>
      <c r="CZ91" s="522" t="n">
        <v>-339.781220490657</v>
      </c>
      <c r="DA91" s="522" t="n">
        <v>-339.781220490657</v>
      </c>
      <c r="DB91" s="522" t="n">
        <v>-339.781220490657</v>
      </c>
      <c r="DC91" s="522" t="n">
        <v>-339.781220490657</v>
      </c>
      <c r="DD91" s="522" t="n">
        <v>-339.781220490657</v>
      </c>
      <c r="DE91" s="522" t="n">
        <v>-339.781220490657</v>
      </c>
      <c r="DF91" s="522" t="n">
        <v>-339.781220490657</v>
      </c>
    </row>
    <row r="92" ht="15" customFormat="1" customHeight="1" s="380">
      <c r="A92" s="478" t="inlineStr">
        <is>
          <t>5200-1061 Website Hosting</t>
        </is>
      </c>
      <c r="C92" s="523" t="n">
        <v>-245</v>
      </c>
      <c r="D92" s="523" t="n">
        <v>-245</v>
      </c>
      <c r="E92" s="523" t="n">
        <v>-245</v>
      </c>
      <c r="F92" s="523" t="n">
        <v>-245</v>
      </c>
      <c r="G92" s="523" t="n">
        <v>-245</v>
      </c>
      <c r="H92" s="523" t="n">
        <v>-245</v>
      </c>
      <c r="I92" s="523" t="n">
        <v>-245</v>
      </c>
      <c r="J92" s="523" t="n">
        <v>-245</v>
      </c>
      <c r="K92" s="523" t="n">
        <v>-245</v>
      </c>
      <c r="L92" s="523" t="n">
        <v>-245</v>
      </c>
      <c r="M92" s="523" t="n">
        <v>-245</v>
      </c>
      <c r="N92" s="523" t="n">
        <v>-245</v>
      </c>
      <c r="O92" s="523" t="n">
        <v>-245</v>
      </c>
      <c r="P92" s="523" t="n">
        <v>-245</v>
      </c>
      <c r="Q92" s="523" t="n">
        <v>-245</v>
      </c>
      <c r="R92" s="523" t="n">
        <v>-249.9</v>
      </c>
      <c r="S92" s="523" t="n">
        <v>-249.9</v>
      </c>
      <c r="T92" s="523" t="n">
        <v>-249.9</v>
      </c>
      <c r="U92" s="523" t="n">
        <v>-249.9</v>
      </c>
      <c r="V92" s="523" t="n">
        <v>-249.9</v>
      </c>
      <c r="W92" s="523" t="n">
        <v>-249.9</v>
      </c>
      <c r="X92" s="523" t="n">
        <v>-249.9</v>
      </c>
      <c r="Y92" s="523" t="n">
        <v>-249.9</v>
      </c>
      <c r="Z92" s="523" t="n">
        <v>-249.9</v>
      </c>
      <c r="AA92" s="523" t="n">
        <v>-249.9</v>
      </c>
      <c r="AB92" s="523" t="n">
        <v>-249.9</v>
      </c>
      <c r="AC92" s="523" t="n">
        <v>-249.9</v>
      </c>
      <c r="AD92" s="523" t="n">
        <v>-254.898</v>
      </c>
      <c r="AE92" s="523" t="n">
        <v>-254.898</v>
      </c>
      <c r="AF92" s="523" t="n">
        <v>-254.898</v>
      </c>
      <c r="AG92" s="523" t="n">
        <v>-254.898</v>
      </c>
      <c r="AH92" s="523" t="n">
        <v>-254.898</v>
      </c>
      <c r="AI92" s="523" t="n">
        <v>-254.898</v>
      </c>
      <c r="AJ92" s="523" t="n">
        <v>-254.898</v>
      </c>
      <c r="AK92" s="523" t="n">
        <v>-254.898</v>
      </c>
      <c r="AL92" s="523" t="n">
        <v>-254.898</v>
      </c>
      <c r="AM92" s="523" t="n">
        <v>-254.898</v>
      </c>
      <c r="AN92" s="523" t="n">
        <v>-254.898</v>
      </c>
      <c r="AO92" s="523" t="n">
        <v>-254.898</v>
      </c>
      <c r="AP92" s="523" t="n">
        <v>-259.99596</v>
      </c>
      <c r="AQ92" s="523" t="n">
        <v>-259.99596</v>
      </c>
      <c r="AR92" s="523" t="n">
        <v>-259.99596</v>
      </c>
      <c r="AS92" s="523" t="n">
        <v>-259.99596</v>
      </c>
      <c r="AT92" s="523" t="n">
        <v>-259.99596</v>
      </c>
      <c r="AU92" s="523" t="n">
        <v>-259.99596</v>
      </c>
      <c r="AV92" s="523" t="n">
        <v>-259.99596</v>
      </c>
      <c r="AW92" s="523" t="n">
        <v>-259.99596</v>
      </c>
      <c r="AX92" s="523" t="n">
        <v>-259.99596</v>
      </c>
      <c r="AY92" s="523" t="n">
        <v>-259.99596</v>
      </c>
      <c r="AZ92" s="523" t="n">
        <v>-259.99596</v>
      </c>
      <c r="BA92" s="523" t="n">
        <v>-259.99596</v>
      </c>
      <c r="BB92" s="523" t="n">
        <v>-265.1958792</v>
      </c>
      <c r="BC92" s="523" t="n">
        <v>-265.1958792</v>
      </c>
      <c r="BD92" s="523" t="n">
        <v>-265.1958792</v>
      </c>
      <c r="BE92" s="523" t="n">
        <v>-265.1958792</v>
      </c>
      <c r="BF92" s="523" t="n">
        <v>-265.1958792</v>
      </c>
      <c r="BG92" s="523" t="n">
        <v>-265.1958792</v>
      </c>
      <c r="BH92" s="523" t="n">
        <v>-265.1958792</v>
      </c>
      <c r="BI92" s="523" t="n">
        <v>-265.1958792</v>
      </c>
      <c r="BJ92" s="523" t="n">
        <v>-265.1958792</v>
      </c>
      <c r="BK92" s="523" t="n">
        <v>-265.1958792</v>
      </c>
      <c r="BL92" s="523" t="n">
        <v>-265.1958792</v>
      </c>
      <c r="BM92" s="523" t="n">
        <v>-265.1958792</v>
      </c>
      <c r="BN92" s="523" t="n">
        <v>-270.499796784</v>
      </c>
      <c r="BO92" s="523" t="n">
        <v>-270.499796784</v>
      </c>
      <c r="BP92" s="523" t="n">
        <v>-270.499796784</v>
      </c>
      <c r="BQ92" s="523" t="n">
        <v>-270.499796784</v>
      </c>
      <c r="BR92" s="523" t="n">
        <v>-270.499796784</v>
      </c>
      <c r="BS92" s="523" t="n">
        <v>-270.499796784</v>
      </c>
      <c r="BT92" s="523" t="n">
        <v>-270.499796784</v>
      </c>
      <c r="BU92" s="523" t="n">
        <v>-270.499796784</v>
      </c>
      <c r="BV92" s="523" t="n">
        <v>-270.499796784</v>
      </c>
      <c r="BW92" s="523" t="n">
        <v>-270.499796784</v>
      </c>
      <c r="BX92" s="523" t="n">
        <v>-270.499796784</v>
      </c>
      <c r="BY92" s="523" t="n">
        <v>-270.499796784</v>
      </c>
      <c r="BZ92" s="523" t="n">
        <v>-275.90979271968</v>
      </c>
      <c r="CA92" s="523" t="n">
        <v>-275.90979271968</v>
      </c>
      <c r="CB92" s="523" t="n">
        <v>-275.90979271968</v>
      </c>
      <c r="CC92" s="523" t="n">
        <v>-275.90979271968</v>
      </c>
      <c r="CD92" s="523" t="n">
        <v>-275.90979271968</v>
      </c>
      <c r="CE92" s="523" t="n">
        <v>-275.90979271968</v>
      </c>
      <c r="CF92" s="523" t="n">
        <v>-275.90979271968</v>
      </c>
      <c r="CG92" s="523" t="n">
        <v>-275.90979271968</v>
      </c>
      <c r="CH92" s="523" t="n">
        <v>-275.90979271968</v>
      </c>
      <c r="CI92" s="523" t="n">
        <v>-275.90979271968</v>
      </c>
      <c r="CJ92" s="523" t="n">
        <v>-275.90979271968</v>
      </c>
      <c r="CK92" s="523" t="n">
        <v>-275.90979271968</v>
      </c>
      <c r="CL92" s="523" t="n">
        <v>-281.427988574074</v>
      </c>
      <c r="CM92" s="523" t="n">
        <v>-281.427988574074</v>
      </c>
      <c r="CN92" s="523" t="n">
        <v>-281.427988574074</v>
      </c>
      <c r="CO92" s="523" t="n">
        <v>-281.427988574074</v>
      </c>
      <c r="CP92" s="523" t="n">
        <v>-281.427988574074</v>
      </c>
      <c r="CQ92" s="523" t="n">
        <v>-281.427988574074</v>
      </c>
      <c r="CR92" s="523" t="n">
        <v>-281.427988574074</v>
      </c>
      <c r="CS92" s="523" t="n">
        <v>-281.427988574074</v>
      </c>
      <c r="CT92" s="523" t="n">
        <v>-281.427988574074</v>
      </c>
      <c r="CU92" s="523" t="n">
        <v>-281.427988574074</v>
      </c>
      <c r="CV92" s="523" t="n">
        <v>-281.427988574074</v>
      </c>
      <c r="CW92" s="523" t="n">
        <v>-281.427988574074</v>
      </c>
      <c r="CX92" s="523" t="n">
        <v>-287.056548345555</v>
      </c>
      <c r="CY92" s="523" t="n">
        <v>-287.056548345555</v>
      </c>
      <c r="CZ92" s="523" t="n">
        <v>-287.056548345555</v>
      </c>
      <c r="DA92" s="523" t="n">
        <v>-287.056548345555</v>
      </c>
      <c r="DB92" s="523" t="n">
        <v>-287.056548345555</v>
      </c>
      <c r="DC92" s="523" t="n">
        <v>-287.056548345555</v>
      </c>
      <c r="DD92" s="523" t="n">
        <v>-287.056548345555</v>
      </c>
      <c r="DE92" s="523" t="n">
        <v>-287.056548345555</v>
      </c>
      <c r="DF92" s="523" t="n">
        <v>-287.056548345555</v>
      </c>
    </row>
    <row r="93" ht="15" customFormat="1" customHeight="1" s="380">
      <c r="A93" s="478" t="inlineStr">
        <is>
          <t>5300-1000 Travel and Lodging</t>
        </is>
      </c>
      <c r="C93" s="523" t="n">
        <v>-986.5700000000001</v>
      </c>
      <c r="D93" s="523" t="n">
        <v>-1254.61</v>
      </c>
      <c r="E93" s="523" t="n">
        <v>-1297.31</v>
      </c>
      <c r="F93" s="523" t="n">
        <v>-1179.5</v>
      </c>
      <c r="G93" s="523" t="n">
        <v>-1179.5</v>
      </c>
      <c r="H93" s="523" t="n">
        <v>-1179.5</v>
      </c>
      <c r="I93" s="523" t="n">
        <v>-1179.5</v>
      </c>
      <c r="J93" s="523" t="n">
        <v>-1179.5</v>
      </c>
      <c r="K93" s="523" t="n">
        <v>-1179.5</v>
      </c>
      <c r="L93" s="523" t="n">
        <v>-1179.5</v>
      </c>
      <c r="M93" s="523" t="n">
        <v>-1179.5</v>
      </c>
      <c r="N93" s="523" t="n">
        <v>-1179.5</v>
      </c>
      <c r="O93" s="523" t="n">
        <v>-1179.5</v>
      </c>
      <c r="P93" s="523" t="n">
        <v>-1179.5</v>
      </c>
      <c r="Q93" s="523" t="n">
        <v>-1179.5</v>
      </c>
      <c r="R93" s="523" t="n">
        <v>-1203.09</v>
      </c>
      <c r="S93" s="523" t="n">
        <v>-1203.09</v>
      </c>
      <c r="T93" s="523" t="n">
        <v>-1203.09</v>
      </c>
      <c r="U93" s="523" t="n">
        <v>-1203.09</v>
      </c>
      <c r="V93" s="523" t="n">
        <v>-1203.09</v>
      </c>
      <c r="W93" s="523" t="n">
        <v>-1203.09</v>
      </c>
      <c r="X93" s="523" t="n">
        <v>-1203.09</v>
      </c>
      <c r="Y93" s="523" t="n">
        <v>-1203.09</v>
      </c>
      <c r="Z93" s="523" t="n">
        <v>-1203.09</v>
      </c>
      <c r="AA93" s="523" t="n">
        <v>-1203.09</v>
      </c>
      <c r="AB93" s="523" t="n">
        <v>-1203.09</v>
      </c>
      <c r="AC93" s="523" t="n">
        <v>-1203.09</v>
      </c>
      <c r="AD93" s="523" t="n">
        <v>-1227.1518</v>
      </c>
      <c r="AE93" s="523" t="n">
        <v>-1227.1518</v>
      </c>
      <c r="AF93" s="523" t="n">
        <v>-1227.1518</v>
      </c>
      <c r="AG93" s="523" t="n">
        <v>-1227.1518</v>
      </c>
      <c r="AH93" s="523" t="n">
        <v>-1227.1518</v>
      </c>
      <c r="AI93" s="523" t="n">
        <v>-1227.1518</v>
      </c>
      <c r="AJ93" s="523" t="n">
        <v>-1227.1518</v>
      </c>
      <c r="AK93" s="523" t="n">
        <v>-1227.1518</v>
      </c>
      <c r="AL93" s="523" t="n">
        <v>-1227.1518</v>
      </c>
      <c r="AM93" s="523" t="n">
        <v>-1227.1518</v>
      </c>
      <c r="AN93" s="523" t="n">
        <v>-1227.1518</v>
      </c>
      <c r="AO93" s="523" t="n">
        <v>-1227.1518</v>
      </c>
      <c r="AP93" s="523" t="n">
        <v>-1251.694836</v>
      </c>
      <c r="AQ93" s="523" t="n">
        <v>-1251.694836</v>
      </c>
      <c r="AR93" s="523" t="n">
        <v>-1251.694836</v>
      </c>
      <c r="AS93" s="523" t="n">
        <v>-1251.694836</v>
      </c>
      <c r="AT93" s="523" t="n">
        <v>-1251.694836</v>
      </c>
      <c r="AU93" s="523" t="n">
        <v>-1251.694836</v>
      </c>
      <c r="AV93" s="523" t="n">
        <v>-1251.694836</v>
      </c>
      <c r="AW93" s="523" t="n">
        <v>-1251.694836</v>
      </c>
      <c r="AX93" s="523" t="n">
        <v>-1251.694836</v>
      </c>
      <c r="AY93" s="523" t="n">
        <v>-1251.694836</v>
      </c>
      <c r="AZ93" s="523" t="n">
        <v>-1251.694836</v>
      </c>
      <c r="BA93" s="523" t="n">
        <v>-1251.694836</v>
      </c>
      <c r="BB93" s="523" t="n">
        <v>-1276.72873272</v>
      </c>
      <c r="BC93" s="523" t="n">
        <v>-1276.72873272</v>
      </c>
      <c r="BD93" s="523" t="n">
        <v>-1276.72873272</v>
      </c>
      <c r="BE93" s="523" t="n">
        <v>-1276.72873272</v>
      </c>
      <c r="BF93" s="523" t="n">
        <v>-1276.72873272</v>
      </c>
      <c r="BG93" s="523" t="n">
        <v>-1276.72873272</v>
      </c>
      <c r="BH93" s="523" t="n">
        <v>-1276.72873272</v>
      </c>
      <c r="BI93" s="523" t="n">
        <v>-1276.72873272</v>
      </c>
      <c r="BJ93" s="523" t="n">
        <v>-1276.72873272</v>
      </c>
      <c r="BK93" s="523" t="n">
        <v>-1276.72873272</v>
      </c>
      <c r="BL93" s="523" t="n">
        <v>-1276.72873272</v>
      </c>
      <c r="BM93" s="523" t="n">
        <v>-1276.72873272</v>
      </c>
      <c r="BN93" s="523" t="n">
        <v>-1302.2633073744</v>
      </c>
      <c r="BO93" s="523" t="n">
        <v>-1302.2633073744</v>
      </c>
      <c r="BP93" s="523" t="n">
        <v>-1302.2633073744</v>
      </c>
      <c r="BQ93" s="523" t="n">
        <v>-1302.2633073744</v>
      </c>
      <c r="BR93" s="523" t="n">
        <v>-1302.2633073744</v>
      </c>
      <c r="BS93" s="523" t="n">
        <v>-1302.2633073744</v>
      </c>
      <c r="BT93" s="523" t="n">
        <v>-1302.2633073744</v>
      </c>
      <c r="BU93" s="523" t="n">
        <v>-1302.2633073744</v>
      </c>
      <c r="BV93" s="523" t="n">
        <v>-1302.2633073744</v>
      </c>
      <c r="BW93" s="523" t="n">
        <v>-1302.2633073744</v>
      </c>
      <c r="BX93" s="523" t="n">
        <v>-1302.2633073744</v>
      </c>
      <c r="BY93" s="523" t="n">
        <v>-1302.2633073744</v>
      </c>
      <c r="BZ93" s="523" t="n">
        <v>-1328.30857352189</v>
      </c>
      <c r="CA93" s="523" t="n">
        <v>-1328.30857352189</v>
      </c>
      <c r="CB93" s="523" t="n">
        <v>-1328.30857352189</v>
      </c>
      <c r="CC93" s="523" t="n">
        <v>-1328.30857352189</v>
      </c>
      <c r="CD93" s="523" t="n">
        <v>-1328.30857352189</v>
      </c>
      <c r="CE93" s="523" t="n">
        <v>-1328.30857352189</v>
      </c>
      <c r="CF93" s="523" t="n">
        <v>-1328.30857352189</v>
      </c>
      <c r="CG93" s="523" t="n">
        <v>-1328.30857352189</v>
      </c>
      <c r="CH93" s="523" t="n">
        <v>-1328.30857352189</v>
      </c>
      <c r="CI93" s="523" t="n">
        <v>-1328.30857352189</v>
      </c>
      <c r="CJ93" s="523" t="n">
        <v>-1328.30857352189</v>
      </c>
      <c r="CK93" s="523" t="n">
        <v>-1328.30857352189</v>
      </c>
      <c r="CL93" s="523" t="n">
        <v>-1354.87474499233</v>
      </c>
      <c r="CM93" s="523" t="n">
        <v>-1354.87474499233</v>
      </c>
      <c r="CN93" s="523" t="n">
        <v>-1354.87474499233</v>
      </c>
      <c r="CO93" s="523" t="n">
        <v>-1354.87474499233</v>
      </c>
      <c r="CP93" s="523" t="n">
        <v>-1354.87474499233</v>
      </c>
      <c r="CQ93" s="523" t="n">
        <v>-1354.87474499233</v>
      </c>
      <c r="CR93" s="523" t="n">
        <v>-1354.87474499233</v>
      </c>
      <c r="CS93" s="523" t="n">
        <v>-1354.87474499233</v>
      </c>
      <c r="CT93" s="523" t="n">
        <v>-1354.87474499233</v>
      </c>
      <c r="CU93" s="523" t="n">
        <v>-1354.87474499233</v>
      </c>
      <c r="CV93" s="523" t="n">
        <v>-1354.87474499233</v>
      </c>
      <c r="CW93" s="523" t="n">
        <v>-1354.87474499233</v>
      </c>
      <c r="CX93" s="523" t="n">
        <v>-1381.97223989217</v>
      </c>
      <c r="CY93" s="523" t="n">
        <v>-1381.97223989217</v>
      </c>
      <c r="CZ93" s="523" t="n">
        <v>-1381.97223989217</v>
      </c>
      <c r="DA93" s="523" t="n">
        <v>-1381.97223989217</v>
      </c>
      <c r="DB93" s="523" t="n">
        <v>-1381.97223989217</v>
      </c>
      <c r="DC93" s="523" t="n">
        <v>-1381.97223989217</v>
      </c>
      <c r="DD93" s="523" t="n">
        <v>-1381.97223989217</v>
      </c>
      <c r="DE93" s="523" t="n">
        <v>-1381.97223989217</v>
      </c>
      <c r="DF93" s="523" t="n">
        <v>-1381.97223989217</v>
      </c>
    </row>
    <row r="94" ht="15" customFormat="1" customHeight="1" s="380">
      <c r="A94" s="478" t="inlineStr">
        <is>
          <t>5300-1001 Public Transportation</t>
        </is>
      </c>
      <c r="C94" s="523" t="n">
        <v>-588.66</v>
      </c>
      <c r="D94" s="523" t="n">
        <v>-22.94</v>
      </c>
      <c r="E94" s="523" t="n">
        <v>-487.3</v>
      </c>
      <c r="F94" s="523" t="n">
        <v>-366.3</v>
      </c>
      <c r="G94" s="523" t="n">
        <v>-366.3</v>
      </c>
      <c r="H94" s="523" t="n">
        <v>-366.3</v>
      </c>
      <c r="I94" s="523" t="n">
        <v>-366.3</v>
      </c>
      <c r="J94" s="523" t="n">
        <v>-366.3</v>
      </c>
      <c r="K94" s="523" t="n">
        <v>-366.3</v>
      </c>
      <c r="L94" s="523" t="n">
        <v>-366.3</v>
      </c>
      <c r="M94" s="523" t="n">
        <v>-366.3</v>
      </c>
      <c r="N94" s="523" t="n">
        <v>-366.3</v>
      </c>
      <c r="O94" s="523" t="n">
        <v>-366.3</v>
      </c>
      <c r="P94" s="523" t="n">
        <v>-366.3</v>
      </c>
      <c r="Q94" s="523" t="n">
        <v>-366.3</v>
      </c>
      <c r="R94" s="523" t="n">
        <v>-373.626</v>
      </c>
      <c r="S94" s="523" t="n">
        <v>-373.626</v>
      </c>
      <c r="T94" s="523" t="n">
        <v>-373.626</v>
      </c>
      <c r="U94" s="523" t="n">
        <v>-373.626</v>
      </c>
      <c r="V94" s="523" t="n">
        <v>-373.626</v>
      </c>
      <c r="W94" s="523" t="n">
        <v>-373.626</v>
      </c>
      <c r="X94" s="523" t="n">
        <v>-373.626</v>
      </c>
      <c r="Y94" s="523" t="n">
        <v>-373.626</v>
      </c>
      <c r="Z94" s="523" t="n">
        <v>-373.626</v>
      </c>
      <c r="AA94" s="523" t="n">
        <v>-373.626</v>
      </c>
      <c r="AB94" s="523" t="n">
        <v>-373.626</v>
      </c>
      <c r="AC94" s="523" t="n">
        <v>-373.626</v>
      </c>
      <c r="AD94" s="523" t="n">
        <v>-381.09852</v>
      </c>
      <c r="AE94" s="523" t="n">
        <v>-381.09852</v>
      </c>
      <c r="AF94" s="523" t="n">
        <v>-381.09852</v>
      </c>
      <c r="AG94" s="523" t="n">
        <v>-381.09852</v>
      </c>
      <c r="AH94" s="523" t="n">
        <v>-381.09852</v>
      </c>
      <c r="AI94" s="523" t="n">
        <v>-381.09852</v>
      </c>
      <c r="AJ94" s="523" t="n">
        <v>-381.09852</v>
      </c>
      <c r="AK94" s="523" t="n">
        <v>-381.09852</v>
      </c>
      <c r="AL94" s="523" t="n">
        <v>-381.09852</v>
      </c>
      <c r="AM94" s="523" t="n">
        <v>-381.09852</v>
      </c>
      <c r="AN94" s="523" t="n">
        <v>-381.09852</v>
      </c>
      <c r="AO94" s="523" t="n">
        <v>-381.09852</v>
      </c>
      <c r="AP94" s="523" t="n">
        <v>-388.7204904</v>
      </c>
      <c r="AQ94" s="523" t="n">
        <v>-388.7204904</v>
      </c>
      <c r="AR94" s="523" t="n">
        <v>-388.7204904</v>
      </c>
      <c r="AS94" s="523" t="n">
        <v>-388.7204904</v>
      </c>
      <c r="AT94" s="523" t="n">
        <v>-388.7204904</v>
      </c>
      <c r="AU94" s="523" t="n">
        <v>-388.7204904</v>
      </c>
      <c r="AV94" s="523" t="n">
        <v>-388.7204904</v>
      </c>
      <c r="AW94" s="523" t="n">
        <v>-388.7204904</v>
      </c>
      <c r="AX94" s="523" t="n">
        <v>-388.7204904</v>
      </c>
      <c r="AY94" s="523" t="n">
        <v>-388.7204904</v>
      </c>
      <c r="AZ94" s="523" t="n">
        <v>-388.7204904</v>
      </c>
      <c r="BA94" s="523" t="n">
        <v>-388.7204904</v>
      </c>
      <c r="BB94" s="523" t="n">
        <v>-396.494900208</v>
      </c>
      <c r="BC94" s="523" t="n">
        <v>-396.494900208</v>
      </c>
      <c r="BD94" s="523" t="n">
        <v>-396.494900208</v>
      </c>
      <c r="BE94" s="523" t="n">
        <v>-396.494900208</v>
      </c>
      <c r="BF94" s="523" t="n">
        <v>-396.494900208</v>
      </c>
      <c r="BG94" s="523" t="n">
        <v>-396.494900208</v>
      </c>
      <c r="BH94" s="523" t="n">
        <v>-396.494900208</v>
      </c>
      <c r="BI94" s="523" t="n">
        <v>-396.494900208</v>
      </c>
      <c r="BJ94" s="523" t="n">
        <v>-396.494900208</v>
      </c>
      <c r="BK94" s="523" t="n">
        <v>-396.494900208</v>
      </c>
      <c r="BL94" s="523" t="n">
        <v>-396.494900208</v>
      </c>
      <c r="BM94" s="523" t="n">
        <v>-396.494900208</v>
      </c>
      <c r="BN94" s="523" t="n">
        <v>-404.42479821216</v>
      </c>
      <c r="BO94" s="523" t="n">
        <v>-404.42479821216</v>
      </c>
      <c r="BP94" s="523" t="n">
        <v>-404.42479821216</v>
      </c>
      <c r="BQ94" s="523" t="n">
        <v>-404.42479821216</v>
      </c>
      <c r="BR94" s="523" t="n">
        <v>-404.42479821216</v>
      </c>
      <c r="BS94" s="523" t="n">
        <v>-404.42479821216</v>
      </c>
      <c r="BT94" s="523" t="n">
        <v>-404.42479821216</v>
      </c>
      <c r="BU94" s="523" t="n">
        <v>-404.42479821216</v>
      </c>
      <c r="BV94" s="523" t="n">
        <v>-404.42479821216</v>
      </c>
      <c r="BW94" s="523" t="n">
        <v>-404.42479821216</v>
      </c>
      <c r="BX94" s="523" t="n">
        <v>-404.42479821216</v>
      </c>
      <c r="BY94" s="523" t="n">
        <v>-404.42479821216</v>
      </c>
      <c r="BZ94" s="523" t="n">
        <v>-412.513294176403</v>
      </c>
      <c r="CA94" s="523" t="n">
        <v>-412.513294176403</v>
      </c>
      <c r="CB94" s="523" t="n">
        <v>-412.513294176403</v>
      </c>
      <c r="CC94" s="523" t="n">
        <v>-412.513294176403</v>
      </c>
      <c r="CD94" s="523" t="n">
        <v>-412.513294176403</v>
      </c>
      <c r="CE94" s="523" t="n">
        <v>-412.513294176403</v>
      </c>
      <c r="CF94" s="523" t="n">
        <v>-412.513294176403</v>
      </c>
      <c r="CG94" s="523" t="n">
        <v>-412.513294176403</v>
      </c>
      <c r="CH94" s="523" t="n">
        <v>-412.513294176403</v>
      </c>
      <c r="CI94" s="523" t="n">
        <v>-412.513294176403</v>
      </c>
      <c r="CJ94" s="523" t="n">
        <v>-412.513294176403</v>
      </c>
      <c r="CK94" s="523" t="n">
        <v>-412.513294176403</v>
      </c>
      <c r="CL94" s="523" t="n">
        <v>-420.763560059931</v>
      </c>
      <c r="CM94" s="523" t="n">
        <v>-420.763560059931</v>
      </c>
      <c r="CN94" s="523" t="n">
        <v>-420.763560059931</v>
      </c>
      <c r="CO94" s="523" t="n">
        <v>-420.763560059931</v>
      </c>
      <c r="CP94" s="523" t="n">
        <v>-420.763560059931</v>
      </c>
      <c r="CQ94" s="523" t="n">
        <v>-420.763560059931</v>
      </c>
      <c r="CR94" s="523" t="n">
        <v>-420.763560059931</v>
      </c>
      <c r="CS94" s="523" t="n">
        <v>-420.763560059931</v>
      </c>
      <c r="CT94" s="523" t="n">
        <v>-420.763560059931</v>
      </c>
      <c r="CU94" s="523" t="n">
        <v>-420.763560059931</v>
      </c>
      <c r="CV94" s="523" t="n">
        <v>-420.763560059931</v>
      </c>
      <c r="CW94" s="523" t="n">
        <v>-420.763560059931</v>
      </c>
      <c r="CX94" s="523" t="n">
        <v>-429.17883126113</v>
      </c>
      <c r="CY94" s="523" t="n">
        <v>-429.17883126113</v>
      </c>
      <c r="CZ94" s="523" t="n">
        <v>-429.17883126113</v>
      </c>
      <c r="DA94" s="523" t="n">
        <v>-429.17883126113</v>
      </c>
      <c r="DB94" s="523" t="n">
        <v>-429.17883126113</v>
      </c>
      <c r="DC94" s="523" t="n">
        <v>-429.17883126113</v>
      </c>
      <c r="DD94" s="523" t="n">
        <v>-429.17883126113</v>
      </c>
      <c r="DE94" s="523" t="n">
        <v>-429.17883126113</v>
      </c>
      <c r="DF94" s="523" t="n">
        <v>-429.17883126113</v>
      </c>
    </row>
    <row r="95" ht="15" customFormat="1" customHeight="1" s="380">
      <c r="A95" s="478" t="inlineStr">
        <is>
          <t>5300-1002 Parking</t>
        </is>
      </c>
      <c r="C95" s="523" t="n">
        <v>0</v>
      </c>
      <c r="D95" s="523" t="n">
        <v>-92.75</v>
      </c>
      <c r="E95" s="523" t="n">
        <v>-57.46</v>
      </c>
      <c r="F95" s="523" t="n">
        <v>-50.07</v>
      </c>
      <c r="G95" s="523" t="n">
        <v>-50.07</v>
      </c>
      <c r="H95" s="523" t="n">
        <v>-50.07</v>
      </c>
      <c r="I95" s="523" t="n">
        <v>-50.07</v>
      </c>
      <c r="J95" s="523" t="n">
        <v>-50.07</v>
      </c>
      <c r="K95" s="523" t="n">
        <v>-50.07</v>
      </c>
      <c r="L95" s="523" t="n">
        <v>-50.07</v>
      </c>
      <c r="M95" s="523" t="n">
        <v>-50.07</v>
      </c>
      <c r="N95" s="523" t="n">
        <v>-50.07</v>
      </c>
      <c r="O95" s="523" t="n">
        <v>-50.07</v>
      </c>
      <c r="P95" s="523" t="n">
        <v>-50.07</v>
      </c>
      <c r="Q95" s="523" t="n">
        <v>-50.07</v>
      </c>
      <c r="R95" s="523" t="n">
        <v>-51.0714</v>
      </c>
      <c r="S95" s="523" t="n">
        <v>-51.0714</v>
      </c>
      <c r="T95" s="523" t="n">
        <v>-51.0714</v>
      </c>
      <c r="U95" s="523" t="n">
        <v>-51.0714</v>
      </c>
      <c r="V95" s="523" t="n">
        <v>-51.0714</v>
      </c>
      <c r="W95" s="523" t="n">
        <v>-51.0714</v>
      </c>
      <c r="X95" s="523" t="n">
        <v>-51.0714</v>
      </c>
      <c r="Y95" s="523" t="n">
        <v>-51.0714</v>
      </c>
      <c r="Z95" s="523" t="n">
        <v>-51.0714</v>
      </c>
      <c r="AA95" s="523" t="n">
        <v>-51.0714</v>
      </c>
      <c r="AB95" s="523" t="n">
        <v>-51.0714</v>
      </c>
      <c r="AC95" s="523" t="n">
        <v>-51.0714</v>
      </c>
      <c r="AD95" s="523" t="n">
        <v>-52.092828</v>
      </c>
      <c r="AE95" s="523" t="n">
        <v>-52.092828</v>
      </c>
      <c r="AF95" s="523" t="n">
        <v>-52.092828</v>
      </c>
      <c r="AG95" s="523" t="n">
        <v>-52.092828</v>
      </c>
      <c r="AH95" s="523" t="n">
        <v>-52.092828</v>
      </c>
      <c r="AI95" s="523" t="n">
        <v>-52.092828</v>
      </c>
      <c r="AJ95" s="523" t="n">
        <v>-52.092828</v>
      </c>
      <c r="AK95" s="523" t="n">
        <v>-52.092828</v>
      </c>
      <c r="AL95" s="523" t="n">
        <v>-52.092828</v>
      </c>
      <c r="AM95" s="523" t="n">
        <v>-52.092828</v>
      </c>
      <c r="AN95" s="523" t="n">
        <v>-52.092828</v>
      </c>
      <c r="AO95" s="523" t="n">
        <v>-52.092828</v>
      </c>
      <c r="AP95" s="523" t="n">
        <v>-53.13468456</v>
      </c>
      <c r="AQ95" s="523" t="n">
        <v>-53.13468456</v>
      </c>
      <c r="AR95" s="523" t="n">
        <v>-53.13468456</v>
      </c>
      <c r="AS95" s="523" t="n">
        <v>-53.13468456</v>
      </c>
      <c r="AT95" s="523" t="n">
        <v>-53.13468456</v>
      </c>
      <c r="AU95" s="523" t="n">
        <v>-53.13468456</v>
      </c>
      <c r="AV95" s="523" t="n">
        <v>-53.13468456</v>
      </c>
      <c r="AW95" s="523" t="n">
        <v>-53.13468456</v>
      </c>
      <c r="AX95" s="523" t="n">
        <v>-53.13468456</v>
      </c>
      <c r="AY95" s="523" t="n">
        <v>-53.13468456</v>
      </c>
      <c r="AZ95" s="523" t="n">
        <v>-53.13468456</v>
      </c>
      <c r="BA95" s="523" t="n">
        <v>-53.13468456</v>
      </c>
      <c r="BB95" s="523" t="n">
        <v>-54.1973782512</v>
      </c>
      <c r="BC95" s="523" t="n">
        <v>-54.1973782512</v>
      </c>
      <c r="BD95" s="523" t="n">
        <v>-54.1973782512</v>
      </c>
      <c r="BE95" s="523" t="n">
        <v>-54.1973782512</v>
      </c>
      <c r="BF95" s="523" t="n">
        <v>-54.1973782512</v>
      </c>
      <c r="BG95" s="523" t="n">
        <v>-54.1973782512</v>
      </c>
      <c r="BH95" s="523" t="n">
        <v>-54.1973782512</v>
      </c>
      <c r="BI95" s="523" t="n">
        <v>-54.1973782512</v>
      </c>
      <c r="BJ95" s="523" t="n">
        <v>-54.1973782512</v>
      </c>
      <c r="BK95" s="523" t="n">
        <v>-54.1973782512</v>
      </c>
      <c r="BL95" s="523" t="n">
        <v>-54.1973782512</v>
      </c>
      <c r="BM95" s="523" t="n">
        <v>-54.1973782512</v>
      </c>
      <c r="BN95" s="523" t="n">
        <v>-55.281325816224</v>
      </c>
      <c r="BO95" s="523" t="n">
        <v>-55.281325816224</v>
      </c>
      <c r="BP95" s="523" t="n">
        <v>-55.281325816224</v>
      </c>
      <c r="BQ95" s="523" t="n">
        <v>-55.281325816224</v>
      </c>
      <c r="BR95" s="523" t="n">
        <v>-55.281325816224</v>
      </c>
      <c r="BS95" s="523" t="n">
        <v>-55.281325816224</v>
      </c>
      <c r="BT95" s="523" t="n">
        <v>-55.281325816224</v>
      </c>
      <c r="BU95" s="523" t="n">
        <v>-55.281325816224</v>
      </c>
      <c r="BV95" s="523" t="n">
        <v>-55.281325816224</v>
      </c>
      <c r="BW95" s="523" t="n">
        <v>-55.281325816224</v>
      </c>
      <c r="BX95" s="523" t="n">
        <v>-55.281325816224</v>
      </c>
      <c r="BY95" s="523" t="n">
        <v>-55.281325816224</v>
      </c>
      <c r="BZ95" s="523" t="n">
        <v>-56.3869523325485</v>
      </c>
      <c r="CA95" s="523" t="n">
        <v>-56.3869523325485</v>
      </c>
      <c r="CB95" s="523" t="n">
        <v>-56.3869523325485</v>
      </c>
      <c r="CC95" s="523" t="n">
        <v>-56.3869523325485</v>
      </c>
      <c r="CD95" s="523" t="n">
        <v>-56.3869523325485</v>
      </c>
      <c r="CE95" s="523" t="n">
        <v>-56.3869523325485</v>
      </c>
      <c r="CF95" s="523" t="n">
        <v>-56.3869523325485</v>
      </c>
      <c r="CG95" s="523" t="n">
        <v>-56.3869523325485</v>
      </c>
      <c r="CH95" s="523" t="n">
        <v>-56.3869523325485</v>
      </c>
      <c r="CI95" s="523" t="n">
        <v>-56.3869523325485</v>
      </c>
      <c r="CJ95" s="523" t="n">
        <v>-56.3869523325485</v>
      </c>
      <c r="CK95" s="523" t="n">
        <v>-56.3869523325485</v>
      </c>
      <c r="CL95" s="523" t="n">
        <v>-57.5146913791995</v>
      </c>
      <c r="CM95" s="523" t="n">
        <v>-57.5146913791995</v>
      </c>
      <c r="CN95" s="523" t="n">
        <v>-57.5146913791995</v>
      </c>
      <c r="CO95" s="523" t="n">
        <v>-57.5146913791995</v>
      </c>
      <c r="CP95" s="523" t="n">
        <v>-57.5146913791995</v>
      </c>
      <c r="CQ95" s="523" t="n">
        <v>-57.5146913791995</v>
      </c>
      <c r="CR95" s="523" t="n">
        <v>-57.5146913791995</v>
      </c>
      <c r="CS95" s="523" t="n">
        <v>-57.5146913791995</v>
      </c>
      <c r="CT95" s="523" t="n">
        <v>-57.5146913791995</v>
      </c>
      <c r="CU95" s="523" t="n">
        <v>-57.5146913791995</v>
      </c>
      <c r="CV95" s="523" t="n">
        <v>-57.5146913791995</v>
      </c>
      <c r="CW95" s="523" t="n">
        <v>-57.5146913791995</v>
      </c>
      <c r="CX95" s="523" t="n">
        <v>-58.6649852067835</v>
      </c>
      <c r="CY95" s="523" t="n">
        <v>-58.6649852067835</v>
      </c>
      <c r="CZ95" s="523" t="n">
        <v>-58.6649852067835</v>
      </c>
      <c r="DA95" s="523" t="n">
        <v>-58.6649852067835</v>
      </c>
      <c r="DB95" s="523" t="n">
        <v>-58.6649852067835</v>
      </c>
      <c r="DC95" s="523" t="n">
        <v>-58.6649852067835</v>
      </c>
      <c r="DD95" s="523" t="n">
        <v>-58.6649852067835</v>
      </c>
      <c r="DE95" s="523" t="n">
        <v>-58.6649852067835</v>
      </c>
      <c r="DF95" s="523" t="n">
        <v>-58.6649852067835</v>
      </c>
    </row>
    <row r="96" ht="15" customFormat="1" customHeight="1" s="380">
      <c r="A96" s="478" t="inlineStr">
        <is>
          <t>5300-1050 Meals and Entertainment</t>
        </is>
      </c>
      <c r="C96" s="523" t="n">
        <v>-640.88</v>
      </c>
      <c r="D96" s="523" t="n">
        <v>-872.64</v>
      </c>
      <c r="E96" s="523" t="n">
        <v>-1175.78</v>
      </c>
      <c r="F96" s="523" t="n">
        <v>-896.4299999999999</v>
      </c>
      <c r="G96" s="523" t="n">
        <v>-896.4299999999999</v>
      </c>
      <c r="H96" s="523" t="n">
        <v>-896.4299999999999</v>
      </c>
      <c r="I96" s="523" t="n">
        <v>-896.4299999999999</v>
      </c>
      <c r="J96" s="523" t="n">
        <v>-896.4299999999999</v>
      </c>
      <c r="K96" s="523" t="n">
        <v>-896.4299999999999</v>
      </c>
      <c r="L96" s="523" t="n">
        <v>-896.4299999999999</v>
      </c>
      <c r="M96" s="523" t="n">
        <v>-896.4299999999999</v>
      </c>
      <c r="N96" s="523" t="n">
        <v>-896.4299999999999</v>
      </c>
      <c r="O96" s="523" t="n">
        <v>-896.4299999999999</v>
      </c>
      <c r="P96" s="523" t="n">
        <v>-896.4299999999999</v>
      </c>
      <c r="Q96" s="523" t="n">
        <v>-896.4299999999999</v>
      </c>
      <c r="R96" s="523" t="n">
        <v>-914.3586</v>
      </c>
      <c r="S96" s="523" t="n">
        <v>-914.3586</v>
      </c>
      <c r="T96" s="523" t="n">
        <v>-914.3586</v>
      </c>
      <c r="U96" s="523" t="n">
        <v>-914.3586</v>
      </c>
      <c r="V96" s="523" t="n">
        <v>-914.3586</v>
      </c>
      <c r="W96" s="523" t="n">
        <v>-914.3586</v>
      </c>
      <c r="X96" s="523" t="n">
        <v>-914.3586</v>
      </c>
      <c r="Y96" s="523" t="n">
        <v>-914.3586</v>
      </c>
      <c r="Z96" s="523" t="n">
        <v>-914.3586</v>
      </c>
      <c r="AA96" s="523" t="n">
        <v>-914.3586</v>
      </c>
      <c r="AB96" s="523" t="n">
        <v>-914.3586</v>
      </c>
      <c r="AC96" s="523" t="n">
        <v>-914.3586</v>
      </c>
      <c r="AD96" s="523" t="n">
        <v>-932.645772</v>
      </c>
      <c r="AE96" s="523" t="n">
        <v>-932.645772</v>
      </c>
      <c r="AF96" s="523" t="n">
        <v>-932.645772</v>
      </c>
      <c r="AG96" s="523" t="n">
        <v>-932.645772</v>
      </c>
      <c r="AH96" s="523" t="n">
        <v>-932.645772</v>
      </c>
      <c r="AI96" s="523" t="n">
        <v>-932.645772</v>
      </c>
      <c r="AJ96" s="523" t="n">
        <v>-932.645772</v>
      </c>
      <c r="AK96" s="523" t="n">
        <v>-932.645772</v>
      </c>
      <c r="AL96" s="523" t="n">
        <v>-932.645772</v>
      </c>
      <c r="AM96" s="523" t="n">
        <v>-932.645772</v>
      </c>
      <c r="AN96" s="523" t="n">
        <v>-932.645772</v>
      </c>
      <c r="AO96" s="523" t="n">
        <v>-932.645772</v>
      </c>
      <c r="AP96" s="523" t="n">
        <v>-951.29868744</v>
      </c>
      <c r="AQ96" s="523" t="n">
        <v>-951.29868744</v>
      </c>
      <c r="AR96" s="523" t="n">
        <v>-951.29868744</v>
      </c>
      <c r="AS96" s="523" t="n">
        <v>-951.29868744</v>
      </c>
      <c r="AT96" s="523" t="n">
        <v>-951.29868744</v>
      </c>
      <c r="AU96" s="523" t="n">
        <v>-951.29868744</v>
      </c>
      <c r="AV96" s="523" t="n">
        <v>-951.29868744</v>
      </c>
      <c r="AW96" s="523" t="n">
        <v>-951.29868744</v>
      </c>
      <c r="AX96" s="523" t="n">
        <v>-951.29868744</v>
      </c>
      <c r="AY96" s="523" t="n">
        <v>-951.29868744</v>
      </c>
      <c r="AZ96" s="523" t="n">
        <v>-951.29868744</v>
      </c>
      <c r="BA96" s="523" t="n">
        <v>-951.29868744</v>
      </c>
      <c r="BB96" s="523" t="n">
        <v>-970.3246611888</v>
      </c>
      <c r="BC96" s="523" t="n">
        <v>-970.3246611888</v>
      </c>
      <c r="BD96" s="523" t="n">
        <v>-970.3246611888</v>
      </c>
      <c r="BE96" s="523" t="n">
        <v>-970.3246611888</v>
      </c>
      <c r="BF96" s="523" t="n">
        <v>-970.3246611888</v>
      </c>
      <c r="BG96" s="523" t="n">
        <v>-970.3246611888</v>
      </c>
      <c r="BH96" s="523" t="n">
        <v>-970.3246611888</v>
      </c>
      <c r="BI96" s="523" t="n">
        <v>-970.3246611888</v>
      </c>
      <c r="BJ96" s="523" t="n">
        <v>-970.3246611888</v>
      </c>
      <c r="BK96" s="523" t="n">
        <v>-970.3246611888</v>
      </c>
      <c r="BL96" s="523" t="n">
        <v>-970.3246611888</v>
      </c>
      <c r="BM96" s="523" t="n">
        <v>-970.3246611888</v>
      </c>
      <c r="BN96" s="523" t="n">
        <v>-989.731154412576</v>
      </c>
      <c r="BO96" s="523" t="n">
        <v>-989.731154412576</v>
      </c>
      <c r="BP96" s="523" t="n">
        <v>-989.731154412576</v>
      </c>
      <c r="BQ96" s="523" t="n">
        <v>-989.731154412576</v>
      </c>
      <c r="BR96" s="523" t="n">
        <v>-989.731154412576</v>
      </c>
      <c r="BS96" s="523" t="n">
        <v>-989.731154412576</v>
      </c>
      <c r="BT96" s="523" t="n">
        <v>-989.731154412576</v>
      </c>
      <c r="BU96" s="523" t="n">
        <v>-989.731154412576</v>
      </c>
      <c r="BV96" s="523" t="n">
        <v>-989.731154412576</v>
      </c>
      <c r="BW96" s="523" t="n">
        <v>-989.731154412576</v>
      </c>
      <c r="BX96" s="523" t="n">
        <v>-989.731154412576</v>
      </c>
      <c r="BY96" s="523" t="n">
        <v>-989.731154412576</v>
      </c>
      <c r="BZ96" s="523" t="n">
        <v>-1009.52577750083</v>
      </c>
      <c r="CA96" s="523" t="n">
        <v>-1009.52577750083</v>
      </c>
      <c r="CB96" s="523" t="n">
        <v>-1009.52577750083</v>
      </c>
      <c r="CC96" s="523" t="n">
        <v>-1009.52577750083</v>
      </c>
      <c r="CD96" s="523" t="n">
        <v>-1009.52577750083</v>
      </c>
      <c r="CE96" s="523" t="n">
        <v>-1009.52577750083</v>
      </c>
      <c r="CF96" s="523" t="n">
        <v>-1009.52577750083</v>
      </c>
      <c r="CG96" s="523" t="n">
        <v>-1009.52577750083</v>
      </c>
      <c r="CH96" s="523" t="n">
        <v>-1009.52577750083</v>
      </c>
      <c r="CI96" s="523" t="n">
        <v>-1009.52577750083</v>
      </c>
      <c r="CJ96" s="523" t="n">
        <v>-1009.52577750083</v>
      </c>
      <c r="CK96" s="523" t="n">
        <v>-1009.52577750083</v>
      </c>
      <c r="CL96" s="523" t="n">
        <v>-1029.71629305084</v>
      </c>
      <c r="CM96" s="523" t="n">
        <v>-1029.71629305084</v>
      </c>
      <c r="CN96" s="523" t="n">
        <v>-1029.71629305084</v>
      </c>
      <c r="CO96" s="523" t="n">
        <v>-1029.71629305084</v>
      </c>
      <c r="CP96" s="523" t="n">
        <v>-1029.71629305084</v>
      </c>
      <c r="CQ96" s="523" t="n">
        <v>-1029.71629305084</v>
      </c>
      <c r="CR96" s="523" t="n">
        <v>-1029.71629305084</v>
      </c>
      <c r="CS96" s="523" t="n">
        <v>-1029.71629305084</v>
      </c>
      <c r="CT96" s="523" t="n">
        <v>-1029.71629305084</v>
      </c>
      <c r="CU96" s="523" t="n">
        <v>-1029.71629305084</v>
      </c>
      <c r="CV96" s="523" t="n">
        <v>-1029.71629305084</v>
      </c>
      <c r="CW96" s="523" t="n">
        <v>-1029.71629305084</v>
      </c>
      <c r="CX96" s="523" t="n">
        <v>-1050.31061891186</v>
      </c>
      <c r="CY96" s="523" t="n">
        <v>-1050.31061891186</v>
      </c>
      <c r="CZ96" s="523" t="n">
        <v>-1050.31061891186</v>
      </c>
      <c r="DA96" s="523" t="n">
        <v>-1050.31061891186</v>
      </c>
      <c r="DB96" s="523" t="n">
        <v>-1050.31061891186</v>
      </c>
      <c r="DC96" s="523" t="n">
        <v>-1050.31061891186</v>
      </c>
      <c r="DD96" s="523" t="n">
        <v>-1050.31061891186</v>
      </c>
      <c r="DE96" s="523" t="n">
        <v>-1050.31061891186</v>
      </c>
      <c r="DF96" s="523" t="n">
        <v>-1050.31061891186</v>
      </c>
    </row>
    <row r="97" ht="15" customFormat="1" customHeight="1" s="380">
      <c r="A97" s="478" t="inlineStr">
        <is>
          <t>5500-1000 Legal and Professional Fees</t>
        </is>
      </c>
      <c r="C97" s="523" t="n">
        <v>0</v>
      </c>
      <c r="D97" s="523" t="n">
        <v>0</v>
      </c>
      <c r="E97" s="523" t="n">
        <v>-38050.5</v>
      </c>
      <c r="F97" s="523" t="n">
        <v>-2000</v>
      </c>
      <c r="G97" s="523" t="n">
        <v>-2000</v>
      </c>
      <c r="H97" s="523" t="n">
        <v>-2000</v>
      </c>
      <c r="I97" s="523" t="n">
        <v>-2000</v>
      </c>
      <c r="J97" s="523" t="n">
        <v>-2000</v>
      </c>
      <c r="K97" s="523" t="n">
        <v>-2000</v>
      </c>
      <c r="L97" s="523" t="n">
        <v>-2000</v>
      </c>
      <c r="M97" s="523" t="n">
        <v>-2000</v>
      </c>
      <c r="N97" s="523" t="n">
        <v>-2000</v>
      </c>
      <c r="O97" s="523" t="n">
        <v>-2000</v>
      </c>
      <c r="P97" s="523" t="n">
        <v>-2000</v>
      </c>
      <c r="Q97" s="523" t="n">
        <v>-2000</v>
      </c>
      <c r="R97" s="523" t="n">
        <v>-2040</v>
      </c>
      <c r="S97" s="523" t="n">
        <v>-2040</v>
      </c>
      <c r="T97" s="523" t="n">
        <v>-2040</v>
      </c>
      <c r="U97" s="523" t="n">
        <v>-2040</v>
      </c>
      <c r="V97" s="523" t="n">
        <v>-2040</v>
      </c>
      <c r="W97" s="523" t="n">
        <v>-2040</v>
      </c>
      <c r="X97" s="523" t="n">
        <v>-2040</v>
      </c>
      <c r="Y97" s="523" t="n">
        <v>-2040</v>
      </c>
      <c r="Z97" s="523" t="n">
        <v>-2040</v>
      </c>
      <c r="AA97" s="523" t="n">
        <v>-2040</v>
      </c>
      <c r="AB97" s="523" t="n">
        <v>-2040</v>
      </c>
      <c r="AC97" s="523" t="n">
        <v>-2040</v>
      </c>
      <c r="AD97" s="523" t="n">
        <v>-2080.8</v>
      </c>
      <c r="AE97" s="523" t="n">
        <v>-2080.8</v>
      </c>
      <c r="AF97" s="523" t="n">
        <v>-2080.8</v>
      </c>
      <c r="AG97" s="523" t="n">
        <v>-2080.8</v>
      </c>
      <c r="AH97" s="523" t="n">
        <v>-2080.8</v>
      </c>
      <c r="AI97" s="523" t="n">
        <v>-2080.8</v>
      </c>
      <c r="AJ97" s="523" t="n">
        <v>-2080.8</v>
      </c>
      <c r="AK97" s="523" t="n">
        <v>-2080.8</v>
      </c>
      <c r="AL97" s="523" t="n">
        <v>-2080.8</v>
      </c>
      <c r="AM97" s="523" t="n">
        <v>-2080.8</v>
      </c>
      <c r="AN97" s="523" t="n">
        <v>-2080.8</v>
      </c>
      <c r="AO97" s="523" t="n">
        <v>-2080.8</v>
      </c>
      <c r="AP97" s="523" t="n">
        <v>-2122.416</v>
      </c>
      <c r="AQ97" s="523" t="n">
        <v>-2122.416</v>
      </c>
      <c r="AR97" s="523" t="n">
        <v>-2122.416</v>
      </c>
      <c r="AS97" s="523" t="n">
        <v>-2122.416</v>
      </c>
      <c r="AT97" s="523" t="n">
        <v>-2122.416</v>
      </c>
      <c r="AU97" s="523" t="n">
        <v>-2122.416</v>
      </c>
      <c r="AV97" s="523" t="n">
        <v>-2122.416</v>
      </c>
      <c r="AW97" s="523" t="n">
        <v>-2122.416</v>
      </c>
      <c r="AX97" s="523" t="n">
        <v>-2122.416</v>
      </c>
      <c r="AY97" s="523" t="n">
        <v>-2122.416</v>
      </c>
      <c r="AZ97" s="523" t="n">
        <v>-2122.416</v>
      </c>
      <c r="BA97" s="523" t="n">
        <v>-2122.416</v>
      </c>
      <c r="BB97" s="523" t="n">
        <v>-2164.86432</v>
      </c>
      <c r="BC97" s="523" t="n">
        <v>-2164.86432</v>
      </c>
      <c r="BD97" s="523" t="n">
        <v>-2164.86432</v>
      </c>
      <c r="BE97" s="523" t="n">
        <v>-2164.86432</v>
      </c>
      <c r="BF97" s="523" t="n">
        <v>-2164.86432</v>
      </c>
      <c r="BG97" s="523" t="n">
        <v>-2164.86432</v>
      </c>
      <c r="BH97" s="523" t="n">
        <v>-2164.86432</v>
      </c>
      <c r="BI97" s="523" t="n">
        <v>-2164.86432</v>
      </c>
      <c r="BJ97" s="523" t="n">
        <v>-2164.86432</v>
      </c>
      <c r="BK97" s="523" t="n">
        <v>-2164.86432</v>
      </c>
      <c r="BL97" s="523" t="n">
        <v>-2164.86432</v>
      </c>
      <c r="BM97" s="523" t="n">
        <v>-2164.86432</v>
      </c>
      <c r="BN97" s="523" t="n">
        <v>-2208.1616064</v>
      </c>
      <c r="BO97" s="523" t="n">
        <v>-2208.1616064</v>
      </c>
      <c r="BP97" s="523" t="n">
        <v>-2208.1616064</v>
      </c>
      <c r="BQ97" s="523" t="n">
        <v>-2208.1616064</v>
      </c>
      <c r="BR97" s="523" t="n">
        <v>-2208.1616064</v>
      </c>
      <c r="BS97" s="523" t="n">
        <v>-2208.1616064</v>
      </c>
      <c r="BT97" s="523" t="n">
        <v>-2208.1616064</v>
      </c>
      <c r="BU97" s="523" t="n">
        <v>-2208.1616064</v>
      </c>
      <c r="BV97" s="523" t="n">
        <v>-2208.1616064</v>
      </c>
      <c r="BW97" s="523" t="n">
        <v>-2208.1616064</v>
      </c>
      <c r="BX97" s="523" t="n">
        <v>-2208.1616064</v>
      </c>
      <c r="BY97" s="523" t="n">
        <v>-2208.1616064</v>
      </c>
      <c r="BZ97" s="523" t="n">
        <v>-2252.324838528</v>
      </c>
      <c r="CA97" s="523" t="n">
        <v>-2252.324838528</v>
      </c>
      <c r="CB97" s="523" t="n">
        <v>-2252.324838528</v>
      </c>
      <c r="CC97" s="523" t="n">
        <v>-2252.324838528</v>
      </c>
      <c r="CD97" s="523" t="n">
        <v>-2252.324838528</v>
      </c>
      <c r="CE97" s="523" t="n">
        <v>-2252.324838528</v>
      </c>
      <c r="CF97" s="523" t="n">
        <v>-2252.324838528</v>
      </c>
      <c r="CG97" s="523" t="n">
        <v>-2252.324838528</v>
      </c>
      <c r="CH97" s="523" t="n">
        <v>-2252.324838528</v>
      </c>
      <c r="CI97" s="523" t="n">
        <v>-2252.324838528</v>
      </c>
      <c r="CJ97" s="523" t="n">
        <v>-2252.324838528</v>
      </c>
      <c r="CK97" s="523" t="n">
        <v>-2252.324838528</v>
      </c>
      <c r="CL97" s="523" t="n">
        <v>-2297.37133529856</v>
      </c>
      <c r="CM97" s="523" t="n">
        <v>-2297.37133529856</v>
      </c>
      <c r="CN97" s="523" t="n">
        <v>-2297.37133529856</v>
      </c>
      <c r="CO97" s="523" t="n">
        <v>-2297.37133529856</v>
      </c>
      <c r="CP97" s="523" t="n">
        <v>-2297.37133529856</v>
      </c>
      <c r="CQ97" s="523" t="n">
        <v>-2297.37133529856</v>
      </c>
      <c r="CR97" s="523" t="n">
        <v>-2297.37133529856</v>
      </c>
      <c r="CS97" s="523" t="n">
        <v>-2297.37133529856</v>
      </c>
      <c r="CT97" s="523" t="n">
        <v>-2297.37133529856</v>
      </c>
      <c r="CU97" s="523" t="n">
        <v>-2297.37133529856</v>
      </c>
      <c r="CV97" s="523" t="n">
        <v>-2297.37133529856</v>
      </c>
      <c r="CW97" s="523" t="n">
        <v>-2297.37133529856</v>
      </c>
      <c r="CX97" s="523" t="n">
        <v>-2343.31876200453</v>
      </c>
      <c r="CY97" s="523" t="n">
        <v>-2343.31876200453</v>
      </c>
      <c r="CZ97" s="523" t="n">
        <v>-2343.31876200453</v>
      </c>
      <c r="DA97" s="523" t="n">
        <v>-2343.31876200453</v>
      </c>
      <c r="DB97" s="523" t="n">
        <v>-2343.31876200453</v>
      </c>
      <c r="DC97" s="523" t="n">
        <v>-2343.31876200453</v>
      </c>
      <c r="DD97" s="523" t="n">
        <v>-2343.31876200453</v>
      </c>
      <c r="DE97" s="523" t="n">
        <v>-2343.31876200453</v>
      </c>
      <c r="DF97" s="523" t="n">
        <v>-2343.31876200453</v>
      </c>
    </row>
    <row r="98" ht="15" customFormat="1" customHeight="1" s="380">
      <c r="A98" s="468" t="inlineStr">
        <is>
          <t>5500-1002 Accounting Consulting and Overhead</t>
        </is>
      </c>
      <c r="C98" s="483" t="n">
        <v>-4097.78</v>
      </c>
      <c r="D98" s="483" t="n">
        <v>-1950.2</v>
      </c>
      <c r="E98" s="483" t="n">
        <v>-1978.2</v>
      </c>
      <c r="F98" s="522" t="n">
        <v>-2675.39</v>
      </c>
      <c r="G98" s="522" t="n">
        <v>-2675.39</v>
      </c>
      <c r="H98" s="522" t="n">
        <v>-2675.39</v>
      </c>
      <c r="I98" s="522" t="n">
        <v>-2675.39</v>
      </c>
      <c r="J98" s="522" t="n">
        <v>-2675.39</v>
      </c>
      <c r="K98" s="522" t="n">
        <v>-2675.39</v>
      </c>
      <c r="L98" s="522" t="n">
        <v>-2675.39</v>
      </c>
      <c r="M98" s="522" t="n">
        <v>-2675.39</v>
      </c>
      <c r="N98" s="522" t="n">
        <v>-2675.39</v>
      </c>
      <c r="O98" s="522" t="n">
        <v>-2675.39</v>
      </c>
      <c r="P98" s="522" t="n">
        <v>-2675.39</v>
      </c>
      <c r="Q98" s="522" t="n">
        <v>-2675.39</v>
      </c>
      <c r="R98" s="522" t="n">
        <v>-2728.8978</v>
      </c>
      <c r="S98" s="522" t="n">
        <v>-2728.8978</v>
      </c>
      <c r="T98" s="522" t="n">
        <v>-2728.8978</v>
      </c>
      <c r="U98" s="522" t="n">
        <v>-2728.8978</v>
      </c>
      <c r="V98" s="522" t="n">
        <v>-2728.8978</v>
      </c>
      <c r="W98" s="522" t="n">
        <v>-2728.8978</v>
      </c>
      <c r="X98" s="522" t="n">
        <v>-2728.8978</v>
      </c>
      <c r="Y98" s="522" t="n">
        <v>-2728.8978</v>
      </c>
      <c r="Z98" s="522" t="n">
        <v>-2728.8978</v>
      </c>
      <c r="AA98" s="522" t="n">
        <v>-2728.8978</v>
      </c>
      <c r="AB98" s="522" t="n">
        <v>-2728.8978</v>
      </c>
      <c r="AC98" s="522" t="n">
        <v>-2728.8978</v>
      </c>
      <c r="AD98" s="522" t="n">
        <v>-2783.475756</v>
      </c>
      <c r="AE98" s="522" t="n">
        <v>-2783.475756</v>
      </c>
      <c r="AF98" s="522" t="n">
        <v>-2783.475756</v>
      </c>
      <c r="AG98" s="522" t="n">
        <v>-2783.475756</v>
      </c>
      <c r="AH98" s="522" t="n">
        <v>-2783.475756</v>
      </c>
      <c r="AI98" s="522" t="n">
        <v>-2783.475756</v>
      </c>
      <c r="AJ98" s="522" t="n">
        <v>-2783.475756</v>
      </c>
      <c r="AK98" s="522" t="n">
        <v>-2783.475756</v>
      </c>
      <c r="AL98" s="522" t="n">
        <v>-2783.475756</v>
      </c>
      <c r="AM98" s="522" t="n">
        <v>-2783.475756</v>
      </c>
      <c r="AN98" s="522" t="n">
        <v>-2783.475756</v>
      </c>
      <c r="AO98" s="522" t="n">
        <v>-2783.475756</v>
      </c>
      <c r="AP98" s="522" t="n">
        <v>-2839.14527112</v>
      </c>
      <c r="AQ98" s="522" t="n">
        <v>-2839.14527112</v>
      </c>
      <c r="AR98" s="522" t="n">
        <v>-2839.14527112</v>
      </c>
      <c r="AS98" s="522" t="n">
        <v>-2839.14527112</v>
      </c>
      <c r="AT98" s="522" t="n">
        <v>-2839.14527112</v>
      </c>
      <c r="AU98" s="522" t="n">
        <v>-2839.14527112</v>
      </c>
      <c r="AV98" s="522" t="n">
        <v>-2839.14527112</v>
      </c>
      <c r="AW98" s="522" t="n">
        <v>-2839.14527112</v>
      </c>
      <c r="AX98" s="522" t="n">
        <v>-2839.14527112</v>
      </c>
      <c r="AY98" s="522" t="n">
        <v>-2839.14527112</v>
      </c>
      <c r="AZ98" s="522" t="n">
        <v>-2839.14527112</v>
      </c>
      <c r="BA98" s="522" t="n">
        <v>-2839.14527112</v>
      </c>
      <c r="BB98" s="522" t="n">
        <v>-2895.9281765424</v>
      </c>
      <c r="BC98" s="522" t="n">
        <v>-2895.9281765424</v>
      </c>
      <c r="BD98" s="522" t="n">
        <v>-2895.9281765424</v>
      </c>
      <c r="BE98" s="522" t="n">
        <v>-2895.9281765424</v>
      </c>
      <c r="BF98" s="522" t="n">
        <v>-2895.9281765424</v>
      </c>
      <c r="BG98" s="522" t="n">
        <v>-2895.9281765424</v>
      </c>
      <c r="BH98" s="522" t="n">
        <v>-2895.9281765424</v>
      </c>
      <c r="BI98" s="522" t="n">
        <v>-2895.9281765424</v>
      </c>
      <c r="BJ98" s="522" t="n">
        <v>-2895.9281765424</v>
      </c>
      <c r="BK98" s="522" t="n">
        <v>-2895.9281765424</v>
      </c>
      <c r="BL98" s="522" t="n">
        <v>-2895.9281765424</v>
      </c>
      <c r="BM98" s="522" t="n">
        <v>-2895.9281765424</v>
      </c>
      <c r="BN98" s="522" t="n">
        <v>-2953.84674007325</v>
      </c>
      <c r="BO98" s="522" t="n">
        <v>-2953.84674007325</v>
      </c>
      <c r="BP98" s="522" t="n">
        <v>-2953.84674007325</v>
      </c>
      <c r="BQ98" s="522" t="n">
        <v>-2953.84674007325</v>
      </c>
      <c r="BR98" s="522" t="n">
        <v>-2953.84674007325</v>
      </c>
      <c r="BS98" s="522" t="n">
        <v>-2953.84674007325</v>
      </c>
      <c r="BT98" s="522" t="n">
        <v>-2953.84674007325</v>
      </c>
      <c r="BU98" s="522" t="n">
        <v>-2953.84674007325</v>
      </c>
      <c r="BV98" s="522" t="n">
        <v>-2953.84674007325</v>
      </c>
      <c r="BW98" s="522" t="n">
        <v>-2953.84674007325</v>
      </c>
      <c r="BX98" s="522" t="n">
        <v>-2953.84674007325</v>
      </c>
      <c r="BY98" s="522" t="n">
        <v>-2953.84674007325</v>
      </c>
      <c r="BZ98" s="522" t="n">
        <v>-3012.92367487471</v>
      </c>
      <c r="CA98" s="522" t="n">
        <v>-3012.92367487471</v>
      </c>
      <c r="CB98" s="522" t="n">
        <v>-3012.92367487471</v>
      </c>
      <c r="CC98" s="522" t="n">
        <v>-3012.92367487471</v>
      </c>
      <c r="CD98" s="522" t="n">
        <v>-3012.92367487471</v>
      </c>
      <c r="CE98" s="522" t="n">
        <v>-3012.92367487471</v>
      </c>
      <c r="CF98" s="522" t="n">
        <v>-3012.92367487471</v>
      </c>
      <c r="CG98" s="522" t="n">
        <v>-3012.92367487471</v>
      </c>
      <c r="CH98" s="522" t="n">
        <v>-3012.92367487471</v>
      </c>
      <c r="CI98" s="522" t="n">
        <v>-3012.92367487471</v>
      </c>
      <c r="CJ98" s="522" t="n">
        <v>-3012.92367487471</v>
      </c>
      <c r="CK98" s="522" t="n">
        <v>-3012.92367487471</v>
      </c>
      <c r="CL98" s="522" t="n">
        <v>-3073.18214837221</v>
      </c>
      <c r="CM98" s="522" t="n">
        <v>-3073.18214837221</v>
      </c>
      <c r="CN98" s="522" t="n">
        <v>-3073.18214837221</v>
      </c>
      <c r="CO98" s="522" t="n">
        <v>-3073.18214837221</v>
      </c>
      <c r="CP98" s="522" t="n">
        <v>-3073.18214837221</v>
      </c>
      <c r="CQ98" s="522" t="n">
        <v>-3073.18214837221</v>
      </c>
      <c r="CR98" s="522" t="n">
        <v>-3073.18214837221</v>
      </c>
      <c r="CS98" s="522" t="n">
        <v>-3073.18214837221</v>
      </c>
      <c r="CT98" s="522" t="n">
        <v>-3073.18214837221</v>
      </c>
      <c r="CU98" s="522" t="n">
        <v>-3073.18214837221</v>
      </c>
      <c r="CV98" s="522" t="n">
        <v>-3073.18214837221</v>
      </c>
      <c r="CW98" s="522" t="n">
        <v>-3073.18214837221</v>
      </c>
      <c r="CX98" s="522" t="n">
        <v>-3134.64579133965</v>
      </c>
      <c r="CY98" s="522" t="n">
        <v>-3134.64579133965</v>
      </c>
      <c r="CZ98" s="522" t="n">
        <v>-3134.64579133965</v>
      </c>
      <c r="DA98" s="522" t="n">
        <v>-3134.64579133965</v>
      </c>
      <c r="DB98" s="522" t="n">
        <v>-3134.64579133965</v>
      </c>
      <c r="DC98" s="522" t="n">
        <v>-3134.64579133965</v>
      </c>
      <c r="DD98" s="522" t="n">
        <v>-3134.64579133965</v>
      </c>
      <c r="DE98" s="522" t="n">
        <v>-3134.64579133965</v>
      </c>
      <c r="DF98" s="522" t="n">
        <v>-3134.64579133965</v>
      </c>
    </row>
    <row r="99" ht="15" customFormat="1" customHeight="1" s="380">
      <c r="A99" s="468" t="inlineStr">
        <is>
          <t>5500-1004 Consultants and Other Professional Expenses</t>
        </is>
      </c>
      <c r="C99" s="483" t="n">
        <v>-28038</v>
      </c>
      <c r="D99" s="483" t="n">
        <v>-29387.5</v>
      </c>
      <c r="E99" s="483" t="n">
        <v>-28083</v>
      </c>
      <c r="F99" s="522" t="n">
        <v>-8625</v>
      </c>
      <c r="G99" s="522" t="n">
        <v>-8625</v>
      </c>
      <c r="H99" s="522" t="n">
        <v>-8625</v>
      </c>
      <c r="I99" s="522" t="n">
        <v>-8625</v>
      </c>
      <c r="J99" s="522" t="n">
        <v>-8625</v>
      </c>
      <c r="K99" s="522" t="n">
        <v>-8625</v>
      </c>
      <c r="L99" s="522" t="n">
        <v>-8625</v>
      </c>
      <c r="M99" s="522" t="n">
        <v>-8625</v>
      </c>
      <c r="N99" s="522" t="n">
        <v>-8625</v>
      </c>
      <c r="O99" s="522" t="n">
        <v>-8625</v>
      </c>
      <c r="P99" s="522" t="n">
        <v>-8625</v>
      </c>
      <c r="Q99" s="522" t="n">
        <v>-8625</v>
      </c>
      <c r="R99" s="522" t="n">
        <v>-8797.5</v>
      </c>
      <c r="S99" s="522" t="n">
        <v>-8797.5</v>
      </c>
      <c r="T99" s="522" t="n">
        <v>-8797.5</v>
      </c>
      <c r="U99" s="522" t="n">
        <v>-8797.5</v>
      </c>
      <c r="V99" s="522" t="n">
        <v>-8797.5</v>
      </c>
      <c r="W99" s="522" t="n">
        <v>-8797.5</v>
      </c>
      <c r="X99" s="522" t="n">
        <v>-8797.5</v>
      </c>
      <c r="Y99" s="522" t="n">
        <v>-8797.5</v>
      </c>
      <c r="Z99" s="522" t="n">
        <v>-8797.5</v>
      </c>
      <c r="AA99" s="522" t="n">
        <v>-8797.5</v>
      </c>
      <c r="AB99" s="522" t="n">
        <v>-8797.5</v>
      </c>
      <c r="AC99" s="522" t="n">
        <v>-8797.5</v>
      </c>
      <c r="AD99" s="522" t="n">
        <v>-8973.450000000001</v>
      </c>
      <c r="AE99" s="522" t="n">
        <v>-8973.450000000001</v>
      </c>
      <c r="AF99" s="522" t="n">
        <v>-8973.450000000001</v>
      </c>
      <c r="AG99" s="522" t="n">
        <v>-8973.450000000001</v>
      </c>
      <c r="AH99" s="522" t="n">
        <v>-8973.450000000001</v>
      </c>
      <c r="AI99" s="522" t="n">
        <v>-8973.450000000001</v>
      </c>
      <c r="AJ99" s="522" t="n">
        <v>-8973.450000000001</v>
      </c>
      <c r="AK99" s="522" t="n">
        <v>-8973.450000000001</v>
      </c>
      <c r="AL99" s="522" t="n">
        <v>-8973.450000000001</v>
      </c>
      <c r="AM99" s="522" t="n">
        <v>-8973.450000000001</v>
      </c>
      <c r="AN99" s="522" t="n">
        <v>-8973.450000000001</v>
      </c>
      <c r="AO99" s="522" t="n">
        <v>-8973.450000000001</v>
      </c>
      <c r="AP99" s="522" t="n">
        <v>-9152.919</v>
      </c>
      <c r="AQ99" s="522" t="n">
        <v>-9152.919</v>
      </c>
      <c r="AR99" s="522" t="n">
        <v>-9152.919</v>
      </c>
      <c r="AS99" s="522" t="n">
        <v>-9152.919</v>
      </c>
      <c r="AT99" s="522" t="n">
        <v>-9152.919</v>
      </c>
      <c r="AU99" s="522" t="n">
        <v>-9152.919</v>
      </c>
      <c r="AV99" s="522" t="n">
        <v>-9152.919</v>
      </c>
      <c r="AW99" s="522" t="n">
        <v>-9152.919</v>
      </c>
      <c r="AX99" s="522" t="n">
        <v>-9152.919</v>
      </c>
      <c r="AY99" s="522" t="n">
        <v>-9152.919</v>
      </c>
      <c r="AZ99" s="522" t="n">
        <v>-9152.919</v>
      </c>
      <c r="BA99" s="522" t="n">
        <v>-9152.919</v>
      </c>
      <c r="BB99" s="522" t="n">
        <v>-9335.97738</v>
      </c>
      <c r="BC99" s="522" t="n">
        <v>-9335.97738</v>
      </c>
      <c r="BD99" s="522" t="n">
        <v>-9335.97738</v>
      </c>
      <c r="BE99" s="522" t="n">
        <v>-9335.97738</v>
      </c>
      <c r="BF99" s="522" t="n">
        <v>-9335.97738</v>
      </c>
      <c r="BG99" s="522" t="n">
        <v>-9335.97738</v>
      </c>
      <c r="BH99" s="522" t="n">
        <v>-9335.97738</v>
      </c>
      <c r="BI99" s="522" t="n">
        <v>-9335.97738</v>
      </c>
      <c r="BJ99" s="522" t="n">
        <v>-9335.97738</v>
      </c>
      <c r="BK99" s="522" t="n">
        <v>-9335.97738</v>
      </c>
      <c r="BL99" s="522" t="n">
        <v>-9335.97738</v>
      </c>
      <c r="BM99" s="522" t="n">
        <v>-9335.97738</v>
      </c>
      <c r="BN99" s="522" t="n">
        <v>-9522.6969276</v>
      </c>
      <c r="BO99" s="522" t="n">
        <v>-9522.6969276</v>
      </c>
      <c r="BP99" s="522" t="n">
        <v>-9522.6969276</v>
      </c>
      <c r="BQ99" s="522" t="n">
        <v>-9522.6969276</v>
      </c>
      <c r="BR99" s="522" t="n">
        <v>-9522.6969276</v>
      </c>
      <c r="BS99" s="522" t="n">
        <v>-9522.6969276</v>
      </c>
      <c r="BT99" s="522" t="n">
        <v>-9522.6969276</v>
      </c>
      <c r="BU99" s="522" t="n">
        <v>-9522.6969276</v>
      </c>
      <c r="BV99" s="522" t="n">
        <v>-9522.6969276</v>
      </c>
      <c r="BW99" s="522" t="n">
        <v>-9522.6969276</v>
      </c>
      <c r="BX99" s="522" t="n">
        <v>-9522.6969276</v>
      </c>
      <c r="BY99" s="522" t="n">
        <v>-9522.6969276</v>
      </c>
      <c r="BZ99" s="522" t="n">
        <v>-9713.150866152</v>
      </c>
      <c r="CA99" s="522" t="n">
        <v>-9713.150866152</v>
      </c>
      <c r="CB99" s="522" t="n">
        <v>-9713.150866152</v>
      </c>
      <c r="CC99" s="522" t="n">
        <v>-9713.150866152</v>
      </c>
      <c r="CD99" s="522" t="n">
        <v>-9713.150866152</v>
      </c>
      <c r="CE99" s="522" t="n">
        <v>-9713.150866152</v>
      </c>
      <c r="CF99" s="522" t="n">
        <v>-9713.150866152</v>
      </c>
      <c r="CG99" s="522" t="n">
        <v>-9713.150866152</v>
      </c>
      <c r="CH99" s="522" t="n">
        <v>-9713.150866152</v>
      </c>
      <c r="CI99" s="522" t="n">
        <v>-9713.150866152</v>
      </c>
      <c r="CJ99" s="522" t="n">
        <v>-9713.150866152</v>
      </c>
      <c r="CK99" s="522" t="n">
        <v>-9713.150866152</v>
      </c>
      <c r="CL99" s="522" t="n">
        <v>-9907.413883475039</v>
      </c>
      <c r="CM99" s="522" t="n">
        <v>-9907.413883475039</v>
      </c>
      <c r="CN99" s="522" t="n">
        <v>-9907.413883475039</v>
      </c>
      <c r="CO99" s="522" t="n">
        <v>-9907.413883475039</v>
      </c>
      <c r="CP99" s="522" t="n">
        <v>-9907.413883475039</v>
      </c>
      <c r="CQ99" s="522" t="n">
        <v>-9907.413883475039</v>
      </c>
      <c r="CR99" s="522" t="n">
        <v>-9907.413883475039</v>
      </c>
      <c r="CS99" s="522" t="n">
        <v>-9907.413883475039</v>
      </c>
      <c r="CT99" s="522" t="n">
        <v>-9907.413883475039</v>
      </c>
      <c r="CU99" s="522" t="n">
        <v>-9907.413883475039</v>
      </c>
      <c r="CV99" s="522" t="n">
        <v>-9907.413883475039</v>
      </c>
      <c r="CW99" s="522" t="n">
        <v>-9907.413883475039</v>
      </c>
      <c r="CX99" s="522" t="n">
        <v>-10105.5621611445</v>
      </c>
      <c r="CY99" s="522" t="n">
        <v>-10105.5621611445</v>
      </c>
      <c r="CZ99" s="522" t="n">
        <v>-10105.5621611445</v>
      </c>
      <c r="DA99" s="522" t="n">
        <v>-10105.5621611445</v>
      </c>
      <c r="DB99" s="522" t="n">
        <v>-10105.5621611445</v>
      </c>
      <c r="DC99" s="522" t="n">
        <v>-10105.5621611445</v>
      </c>
      <c r="DD99" s="522" t="n">
        <v>-10105.5621611445</v>
      </c>
      <c r="DE99" s="522" t="n">
        <v>-10105.5621611445</v>
      </c>
      <c r="DF99" s="522" t="n">
        <v>-10105.5621611445</v>
      </c>
    </row>
    <row r="100" ht="15" customFormat="1" customHeight="1" s="380">
      <c r="A100" s="478" t="inlineStr">
        <is>
          <t>5500-1007 Dues and Subscriptions</t>
        </is>
      </c>
      <c r="C100" s="523" t="n">
        <v>-268</v>
      </c>
      <c r="D100" s="523" t="n">
        <v>-2088.75</v>
      </c>
      <c r="E100" s="523" t="n">
        <v>-2401.75</v>
      </c>
      <c r="F100" s="523" t="n">
        <v>-1586.17</v>
      </c>
      <c r="G100" s="523" t="n">
        <v>-1586.17</v>
      </c>
      <c r="H100" s="523" t="n">
        <v>-1586.17</v>
      </c>
      <c r="I100" s="523" t="n">
        <v>-1586.17</v>
      </c>
      <c r="J100" s="523" t="n">
        <v>-1586.17</v>
      </c>
      <c r="K100" s="523" t="n">
        <v>-1586.17</v>
      </c>
      <c r="L100" s="523" t="n">
        <v>-1586.17</v>
      </c>
      <c r="M100" s="523" t="n">
        <v>-1586.17</v>
      </c>
      <c r="N100" s="523" t="n">
        <v>-1586.17</v>
      </c>
      <c r="O100" s="523" t="n">
        <v>-1586.17</v>
      </c>
      <c r="P100" s="523" t="n">
        <v>-1586.17</v>
      </c>
      <c r="Q100" s="523" t="n">
        <v>-1586.17</v>
      </c>
      <c r="R100" s="523" t="n">
        <v>-1617.8934</v>
      </c>
      <c r="S100" s="523" t="n">
        <v>-1617.8934</v>
      </c>
      <c r="T100" s="523" t="n">
        <v>-1617.8934</v>
      </c>
      <c r="U100" s="523" t="n">
        <v>-1617.8934</v>
      </c>
      <c r="V100" s="523" t="n">
        <v>-1617.8934</v>
      </c>
      <c r="W100" s="523" t="n">
        <v>-1617.8934</v>
      </c>
      <c r="X100" s="523" t="n">
        <v>-1617.8934</v>
      </c>
      <c r="Y100" s="523" t="n">
        <v>-1617.8934</v>
      </c>
      <c r="Z100" s="523" t="n">
        <v>-1617.8934</v>
      </c>
      <c r="AA100" s="523" t="n">
        <v>-1617.8934</v>
      </c>
      <c r="AB100" s="523" t="n">
        <v>-1617.8934</v>
      </c>
      <c r="AC100" s="523" t="n">
        <v>-1617.8934</v>
      </c>
      <c r="AD100" s="523" t="n">
        <v>-1650.251268</v>
      </c>
      <c r="AE100" s="523" t="n">
        <v>-1650.251268</v>
      </c>
      <c r="AF100" s="523" t="n">
        <v>-1650.251268</v>
      </c>
      <c r="AG100" s="523" t="n">
        <v>-1650.251268</v>
      </c>
      <c r="AH100" s="523" t="n">
        <v>-1650.251268</v>
      </c>
      <c r="AI100" s="523" t="n">
        <v>-1650.251268</v>
      </c>
      <c r="AJ100" s="523" t="n">
        <v>-1650.251268</v>
      </c>
      <c r="AK100" s="523" t="n">
        <v>-1650.251268</v>
      </c>
      <c r="AL100" s="523" t="n">
        <v>-1650.251268</v>
      </c>
      <c r="AM100" s="523" t="n">
        <v>-1650.251268</v>
      </c>
      <c r="AN100" s="523" t="n">
        <v>-1650.251268</v>
      </c>
      <c r="AO100" s="523" t="n">
        <v>-1650.251268</v>
      </c>
      <c r="AP100" s="523" t="n">
        <v>-1683.25629336</v>
      </c>
      <c r="AQ100" s="523" t="n">
        <v>-1683.25629336</v>
      </c>
      <c r="AR100" s="523" t="n">
        <v>-1683.25629336</v>
      </c>
      <c r="AS100" s="523" t="n">
        <v>-1683.25629336</v>
      </c>
      <c r="AT100" s="523" t="n">
        <v>-1683.25629336</v>
      </c>
      <c r="AU100" s="523" t="n">
        <v>-1683.25629336</v>
      </c>
      <c r="AV100" s="523" t="n">
        <v>-1683.25629336</v>
      </c>
      <c r="AW100" s="523" t="n">
        <v>-1683.25629336</v>
      </c>
      <c r="AX100" s="523" t="n">
        <v>-1683.25629336</v>
      </c>
      <c r="AY100" s="523" t="n">
        <v>-1683.25629336</v>
      </c>
      <c r="AZ100" s="523" t="n">
        <v>-1683.25629336</v>
      </c>
      <c r="BA100" s="523" t="n">
        <v>-1683.25629336</v>
      </c>
      <c r="BB100" s="523" t="n">
        <v>-1716.9214192272</v>
      </c>
      <c r="BC100" s="523" t="n">
        <v>-1716.9214192272</v>
      </c>
      <c r="BD100" s="523" t="n">
        <v>-1716.9214192272</v>
      </c>
      <c r="BE100" s="523" t="n">
        <v>-1716.9214192272</v>
      </c>
      <c r="BF100" s="523" t="n">
        <v>-1716.9214192272</v>
      </c>
      <c r="BG100" s="523" t="n">
        <v>-1716.9214192272</v>
      </c>
      <c r="BH100" s="523" t="n">
        <v>-1716.9214192272</v>
      </c>
      <c r="BI100" s="523" t="n">
        <v>-1716.9214192272</v>
      </c>
      <c r="BJ100" s="523" t="n">
        <v>-1716.9214192272</v>
      </c>
      <c r="BK100" s="523" t="n">
        <v>-1716.9214192272</v>
      </c>
      <c r="BL100" s="523" t="n">
        <v>-1716.9214192272</v>
      </c>
      <c r="BM100" s="523" t="n">
        <v>-1716.9214192272</v>
      </c>
      <c r="BN100" s="523" t="n">
        <v>-1751.25984761174</v>
      </c>
      <c r="BO100" s="523" t="n">
        <v>-1751.25984761174</v>
      </c>
      <c r="BP100" s="523" t="n">
        <v>-1751.25984761174</v>
      </c>
      <c r="BQ100" s="523" t="n">
        <v>-1751.25984761174</v>
      </c>
      <c r="BR100" s="523" t="n">
        <v>-1751.25984761174</v>
      </c>
      <c r="BS100" s="523" t="n">
        <v>-1751.25984761174</v>
      </c>
      <c r="BT100" s="523" t="n">
        <v>-1751.25984761174</v>
      </c>
      <c r="BU100" s="523" t="n">
        <v>-1751.25984761174</v>
      </c>
      <c r="BV100" s="523" t="n">
        <v>-1751.25984761174</v>
      </c>
      <c r="BW100" s="523" t="n">
        <v>-1751.25984761174</v>
      </c>
      <c r="BX100" s="523" t="n">
        <v>-1751.25984761174</v>
      </c>
      <c r="BY100" s="523" t="n">
        <v>-1751.25984761174</v>
      </c>
      <c r="BZ100" s="523" t="n">
        <v>-1786.28504456398</v>
      </c>
      <c r="CA100" s="523" t="n">
        <v>-1786.28504456398</v>
      </c>
      <c r="CB100" s="523" t="n">
        <v>-1786.28504456398</v>
      </c>
      <c r="CC100" s="523" t="n">
        <v>-1786.28504456398</v>
      </c>
      <c r="CD100" s="523" t="n">
        <v>-1786.28504456398</v>
      </c>
      <c r="CE100" s="523" t="n">
        <v>-1786.28504456398</v>
      </c>
      <c r="CF100" s="523" t="n">
        <v>-1786.28504456398</v>
      </c>
      <c r="CG100" s="523" t="n">
        <v>-1786.28504456398</v>
      </c>
      <c r="CH100" s="523" t="n">
        <v>-1786.28504456398</v>
      </c>
      <c r="CI100" s="523" t="n">
        <v>-1786.28504456398</v>
      </c>
      <c r="CJ100" s="523" t="n">
        <v>-1786.28504456398</v>
      </c>
      <c r="CK100" s="523" t="n">
        <v>-1786.28504456398</v>
      </c>
      <c r="CL100" s="523" t="n">
        <v>-1822.01074545526</v>
      </c>
      <c r="CM100" s="523" t="n">
        <v>-1822.01074545526</v>
      </c>
      <c r="CN100" s="523" t="n">
        <v>-1822.01074545526</v>
      </c>
      <c r="CO100" s="523" t="n">
        <v>-1822.01074545526</v>
      </c>
      <c r="CP100" s="523" t="n">
        <v>-1822.01074545526</v>
      </c>
      <c r="CQ100" s="523" t="n">
        <v>-1822.01074545526</v>
      </c>
      <c r="CR100" s="523" t="n">
        <v>-1822.01074545526</v>
      </c>
      <c r="CS100" s="523" t="n">
        <v>-1822.01074545526</v>
      </c>
      <c r="CT100" s="523" t="n">
        <v>-1822.01074545526</v>
      </c>
      <c r="CU100" s="523" t="n">
        <v>-1822.01074545526</v>
      </c>
      <c r="CV100" s="523" t="n">
        <v>-1822.01074545526</v>
      </c>
      <c r="CW100" s="523" t="n">
        <v>-1822.01074545526</v>
      </c>
      <c r="CX100" s="523" t="n">
        <v>-1858.45096036436</v>
      </c>
      <c r="CY100" s="523" t="n">
        <v>-1858.45096036436</v>
      </c>
      <c r="CZ100" s="523" t="n">
        <v>-1858.45096036436</v>
      </c>
      <c r="DA100" s="523" t="n">
        <v>-1858.45096036436</v>
      </c>
      <c r="DB100" s="523" t="n">
        <v>-1858.45096036436</v>
      </c>
      <c r="DC100" s="523" t="n">
        <v>-1858.45096036436</v>
      </c>
      <c r="DD100" s="523" t="n">
        <v>-1858.45096036436</v>
      </c>
      <c r="DE100" s="523" t="n">
        <v>-1858.45096036436</v>
      </c>
      <c r="DF100" s="523" t="n">
        <v>-1858.45096036436</v>
      </c>
    </row>
    <row r="101" ht="15" customFormat="1" customHeight="1" s="380">
      <c r="A101" s="478" t="inlineStr">
        <is>
          <t>5500-1009 Entity Filing and Formation Fees</t>
        </is>
      </c>
      <c r="C101" s="523" t="n">
        <v>-341.83</v>
      </c>
      <c r="D101" s="523" t="n">
        <v>-728</v>
      </c>
      <c r="E101" s="523" t="n">
        <v>-15256.75</v>
      </c>
      <c r="F101" s="523" t="n">
        <v>-5442.19</v>
      </c>
      <c r="G101" s="523" t="n">
        <v>-5442.19</v>
      </c>
      <c r="H101" s="523" t="n">
        <v>-5442.19</v>
      </c>
      <c r="I101" s="523" t="n">
        <v>-5442.19</v>
      </c>
      <c r="J101" s="523" t="n">
        <v>-5442.19</v>
      </c>
      <c r="K101" s="523" t="n">
        <v>-5442.19</v>
      </c>
      <c r="L101" s="523" t="n">
        <v>-5442.19</v>
      </c>
      <c r="M101" s="523" t="n">
        <v>-5442.19</v>
      </c>
      <c r="N101" s="523" t="n">
        <v>-5442.19</v>
      </c>
      <c r="O101" s="523" t="n">
        <v>-5442.19</v>
      </c>
      <c r="P101" s="523" t="n">
        <v>-5442.19</v>
      </c>
      <c r="Q101" s="523" t="n">
        <v>-5442.19</v>
      </c>
      <c r="R101" s="523" t="n">
        <v>-5551.0338</v>
      </c>
      <c r="S101" s="523" t="n">
        <v>-5551.0338</v>
      </c>
      <c r="T101" s="523" t="n">
        <v>-5551.0338</v>
      </c>
      <c r="U101" s="523" t="n">
        <v>-5551.0338</v>
      </c>
      <c r="V101" s="523" t="n">
        <v>-5551.0338</v>
      </c>
      <c r="W101" s="523" t="n">
        <v>-5551.0338</v>
      </c>
      <c r="X101" s="523" t="n">
        <v>-5551.0338</v>
      </c>
      <c r="Y101" s="523" t="n">
        <v>-5551.0338</v>
      </c>
      <c r="Z101" s="523" t="n">
        <v>-5551.0338</v>
      </c>
      <c r="AA101" s="523" t="n">
        <v>-5551.0338</v>
      </c>
      <c r="AB101" s="523" t="n">
        <v>-5551.0338</v>
      </c>
      <c r="AC101" s="523" t="n">
        <v>-5551.0338</v>
      </c>
      <c r="AD101" s="523" t="n">
        <v>-5662.054476</v>
      </c>
      <c r="AE101" s="523" t="n">
        <v>-5662.054476</v>
      </c>
      <c r="AF101" s="523" t="n">
        <v>-5662.054476</v>
      </c>
      <c r="AG101" s="523" t="n">
        <v>-5662.054476</v>
      </c>
      <c r="AH101" s="523" t="n">
        <v>-5662.054476</v>
      </c>
      <c r="AI101" s="523" t="n">
        <v>-5662.054476</v>
      </c>
      <c r="AJ101" s="523" t="n">
        <v>-5662.054476</v>
      </c>
      <c r="AK101" s="523" t="n">
        <v>-5662.054476</v>
      </c>
      <c r="AL101" s="523" t="n">
        <v>-5662.054476</v>
      </c>
      <c r="AM101" s="523" t="n">
        <v>-5662.054476</v>
      </c>
      <c r="AN101" s="523" t="n">
        <v>-5662.054476</v>
      </c>
      <c r="AO101" s="523" t="n">
        <v>-5662.054476</v>
      </c>
      <c r="AP101" s="523" t="n">
        <v>-5775.29556552</v>
      </c>
      <c r="AQ101" s="523" t="n">
        <v>-5775.29556552</v>
      </c>
      <c r="AR101" s="523" t="n">
        <v>-5775.29556552</v>
      </c>
      <c r="AS101" s="523" t="n">
        <v>-5775.29556552</v>
      </c>
      <c r="AT101" s="523" t="n">
        <v>-5775.29556552</v>
      </c>
      <c r="AU101" s="523" t="n">
        <v>-5775.29556552</v>
      </c>
      <c r="AV101" s="523" t="n">
        <v>-5775.29556552</v>
      </c>
      <c r="AW101" s="523" t="n">
        <v>-5775.29556552</v>
      </c>
      <c r="AX101" s="523" t="n">
        <v>-5775.29556552</v>
      </c>
      <c r="AY101" s="523" t="n">
        <v>-5775.29556552</v>
      </c>
      <c r="AZ101" s="523" t="n">
        <v>-5775.29556552</v>
      </c>
      <c r="BA101" s="523" t="n">
        <v>-5775.29556552</v>
      </c>
      <c r="BB101" s="523" t="n">
        <v>-5890.8014768304</v>
      </c>
      <c r="BC101" s="523" t="n">
        <v>-5890.8014768304</v>
      </c>
      <c r="BD101" s="523" t="n">
        <v>-5890.8014768304</v>
      </c>
      <c r="BE101" s="523" t="n">
        <v>-5890.8014768304</v>
      </c>
      <c r="BF101" s="523" t="n">
        <v>-5890.8014768304</v>
      </c>
      <c r="BG101" s="523" t="n">
        <v>-5890.8014768304</v>
      </c>
      <c r="BH101" s="523" t="n">
        <v>-5890.8014768304</v>
      </c>
      <c r="BI101" s="523" t="n">
        <v>-5890.8014768304</v>
      </c>
      <c r="BJ101" s="523" t="n">
        <v>-5890.8014768304</v>
      </c>
      <c r="BK101" s="523" t="n">
        <v>-5890.8014768304</v>
      </c>
      <c r="BL101" s="523" t="n">
        <v>-5890.8014768304</v>
      </c>
      <c r="BM101" s="523" t="n">
        <v>-5890.8014768304</v>
      </c>
      <c r="BN101" s="523" t="n">
        <v>-6008.61750636701</v>
      </c>
      <c r="BO101" s="523" t="n">
        <v>-6008.61750636701</v>
      </c>
      <c r="BP101" s="523" t="n">
        <v>-6008.61750636701</v>
      </c>
      <c r="BQ101" s="523" t="n">
        <v>-6008.61750636701</v>
      </c>
      <c r="BR101" s="523" t="n">
        <v>-6008.61750636701</v>
      </c>
      <c r="BS101" s="523" t="n">
        <v>-6008.61750636701</v>
      </c>
      <c r="BT101" s="523" t="n">
        <v>-6008.61750636701</v>
      </c>
      <c r="BU101" s="523" t="n">
        <v>-6008.61750636701</v>
      </c>
      <c r="BV101" s="523" t="n">
        <v>-6008.61750636701</v>
      </c>
      <c r="BW101" s="523" t="n">
        <v>-6008.61750636701</v>
      </c>
      <c r="BX101" s="523" t="n">
        <v>-6008.61750636701</v>
      </c>
      <c r="BY101" s="523" t="n">
        <v>-6008.61750636701</v>
      </c>
      <c r="BZ101" s="523" t="n">
        <v>-6128.78985649435</v>
      </c>
      <c r="CA101" s="523" t="n">
        <v>-6128.78985649435</v>
      </c>
      <c r="CB101" s="523" t="n">
        <v>-6128.78985649435</v>
      </c>
      <c r="CC101" s="523" t="n">
        <v>-6128.78985649435</v>
      </c>
      <c r="CD101" s="523" t="n">
        <v>-6128.78985649435</v>
      </c>
      <c r="CE101" s="523" t="n">
        <v>-6128.78985649435</v>
      </c>
      <c r="CF101" s="523" t="n">
        <v>-6128.78985649435</v>
      </c>
      <c r="CG101" s="523" t="n">
        <v>-6128.78985649435</v>
      </c>
      <c r="CH101" s="523" t="n">
        <v>-6128.78985649435</v>
      </c>
      <c r="CI101" s="523" t="n">
        <v>-6128.78985649435</v>
      </c>
      <c r="CJ101" s="523" t="n">
        <v>-6128.78985649435</v>
      </c>
      <c r="CK101" s="523" t="n">
        <v>-6128.78985649435</v>
      </c>
      <c r="CL101" s="523" t="n">
        <v>-6251.36565362424</v>
      </c>
      <c r="CM101" s="523" t="n">
        <v>-6251.36565362424</v>
      </c>
      <c r="CN101" s="523" t="n">
        <v>-6251.36565362424</v>
      </c>
      <c r="CO101" s="523" t="n">
        <v>-6251.36565362424</v>
      </c>
      <c r="CP101" s="523" t="n">
        <v>-6251.36565362424</v>
      </c>
      <c r="CQ101" s="523" t="n">
        <v>-6251.36565362424</v>
      </c>
      <c r="CR101" s="523" t="n">
        <v>-6251.36565362424</v>
      </c>
      <c r="CS101" s="523" t="n">
        <v>-6251.36565362424</v>
      </c>
      <c r="CT101" s="523" t="n">
        <v>-6251.36565362424</v>
      </c>
      <c r="CU101" s="523" t="n">
        <v>-6251.36565362424</v>
      </c>
      <c r="CV101" s="523" t="n">
        <v>-6251.36565362424</v>
      </c>
      <c r="CW101" s="523" t="n">
        <v>-6251.36565362424</v>
      </c>
      <c r="CX101" s="523" t="n">
        <v>-6376.39296669672</v>
      </c>
      <c r="CY101" s="523" t="n">
        <v>-6376.39296669672</v>
      </c>
      <c r="CZ101" s="523" t="n">
        <v>-6376.39296669672</v>
      </c>
      <c r="DA101" s="523" t="n">
        <v>-6376.39296669672</v>
      </c>
      <c r="DB101" s="523" t="n">
        <v>-6376.39296669672</v>
      </c>
      <c r="DC101" s="523" t="n">
        <v>-6376.39296669672</v>
      </c>
      <c r="DD101" s="523" t="n">
        <v>-6376.39296669672</v>
      </c>
      <c r="DE101" s="523" t="n">
        <v>-6376.39296669672</v>
      </c>
      <c r="DF101" s="523" t="n">
        <v>-6376.39296669672</v>
      </c>
    </row>
    <row r="102" ht="15" customFormat="1" customHeight="1" s="380">
      <c r="A102" s="485" t="inlineStr">
        <is>
          <t>5500-1010 Investment Management Software</t>
        </is>
      </c>
      <c r="C102" s="523" t="n">
        <v>-1905.31</v>
      </c>
      <c r="D102" s="523" t="n">
        <v>-1905.31</v>
      </c>
      <c r="E102" s="523" t="n">
        <v>-1905.31</v>
      </c>
      <c r="F102" s="523" t="n">
        <v>-1905.31</v>
      </c>
      <c r="G102" s="523" t="n">
        <v>-1905.31</v>
      </c>
      <c r="H102" s="523" t="n">
        <v>-1905.31</v>
      </c>
      <c r="I102" s="523" t="n">
        <v>-1905.31</v>
      </c>
      <c r="J102" s="523" t="n">
        <v>-1905.31</v>
      </c>
      <c r="K102" s="523" t="n">
        <v>-1905.31</v>
      </c>
      <c r="L102" s="523" t="n">
        <v>-1905.31</v>
      </c>
      <c r="M102" s="523" t="n">
        <v>-1905.31</v>
      </c>
      <c r="N102" s="523" t="n">
        <v>-1905.31</v>
      </c>
      <c r="O102" s="523" t="n">
        <v>-1905.31</v>
      </c>
      <c r="P102" s="523" t="n">
        <v>-1905.31</v>
      </c>
      <c r="Q102" s="523" t="n">
        <v>-1905.31</v>
      </c>
      <c r="R102" s="523" t="n">
        <v>-1943.4162</v>
      </c>
      <c r="S102" s="523" t="n">
        <v>-1943.4162</v>
      </c>
      <c r="T102" s="523" t="n">
        <v>-1943.4162</v>
      </c>
      <c r="U102" s="523" t="n">
        <v>-1943.4162</v>
      </c>
      <c r="V102" s="523" t="n">
        <v>-1943.4162</v>
      </c>
      <c r="W102" s="523" t="n">
        <v>-1943.4162</v>
      </c>
      <c r="X102" s="523" t="n">
        <v>-1943.4162</v>
      </c>
      <c r="Y102" s="523" t="n">
        <v>-1943.4162</v>
      </c>
      <c r="Z102" s="523" t="n">
        <v>-1943.4162</v>
      </c>
      <c r="AA102" s="523" t="n">
        <v>-1943.4162</v>
      </c>
      <c r="AB102" s="523" t="n">
        <v>-1943.4162</v>
      </c>
      <c r="AC102" s="523" t="n">
        <v>-1943.4162</v>
      </c>
      <c r="AD102" s="523" t="n">
        <v>-1982.284524</v>
      </c>
      <c r="AE102" s="523" t="n">
        <v>-1982.284524</v>
      </c>
      <c r="AF102" s="523" t="n">
        <v>-1982.284524</v>
      </c>
      <c r="AG102" s="523" t="n">
        <v>-1982.284524</v>
      </c>
      <c r="AH102" s="523" t="n">
        <v>-1982.284524</v>
      </c>
      <c r="AI102" s="523" t="n">
        <v>-1982.284524</v>
      </c>
      <c r="AJ102" s="523" t="n">
        <v>-1982.284524</v>
      </c>
      <c r="AK102" s="523" t="n">
        <v>-1982.284524</v>
      </c>
      <c r="AL102" s="523" t="n">
        <v>-1982.284524</v>
      </c>
      <c r="AM102" s="523" t="n">
        <v>-1982.284524</v>
      </c>
      <c r="AN102" s="523" t="n">
        <v>-1982.284524</v>
      </c>
      <c r="AO102" s="523" t="n">
        <v>-1982.284524</v>
      </c>
      <c r="AP102" s="523" t="n">
        <v>-2021.93021448</v>
      </c>
      <c r="AQ102" s="523" t="n">
        <v>-2021.93021448</v>
      </c>
      <c r="AR102" s="523" t="n">
        <v>-2021.93021448</v>
      </c>
      <c r="AS102" s="523" t="n">
        <v>-2021.93021448</v>
      </c>
      <c r="AT102" s="523" t="n">
        <v>-2021.93021448</v>
      </c>
      <c r="AU102" s="523" t="n">
        <v>-2021.93021448</v>
      </c>
      <c r="AV102" s="523" t="n">
        <v>-2021.93021448</v>
      </c>
      <c r="AW102" s="523" t="n">
        <v>-2021.93021448</v>
      </c>
      <c r="AX102" s="523" t="n">
        <v>-2021.93021448</v>
      </c>
      <c r="AY102" s="523" t="n">
        <v>-2021.93021448</v>
      </c>
      <c r="AZ102" s="523" t="n">
        <v>-2021.93021448</v>
      </c>
      <c r="BA102" s="523" t="n">
        <v>-2021.93021448</v>
      </c>
      <c r="BB102" s="523" t="n">
        <v>-2062.3688187696</v>
      </c>
      <c r="BC102" s="523" t="n">
        <v>-2062.3688187696</v>
      </c>
      <c r="BD102" s="523" t="n">
        <v>-2062.3688187696</v>
      </c>
      <c r="BE102" s="523" t="n">
        <v>-2062.3688187696</v>
      </c>
      <c r="BF102" s="523" t="n">
        <v>-2062.3688187696</v>
      </c>
      <c r="BG102" s="523" t="n">
        <v>-2062.3688187696</v>
      </c>
      <c r="BH102" s="523" t="n">
        <v>-2062.3688187696</v>
      </c>
      <c r="BI102" s="523" t="n">
        <v>-2062.3688187696</v>
      </c>
      <c r="BJ102" s="523" t="n">
        <v>-2062.3688187696</v>
      </c>
      <c r="BK102" s="523" t="n">
        <v>-2062.3688187696</v>
      </c>
      <c r="BL102" s="523" t="n">
        <v>-2062.3688187696</v>
      </c>
      <c r="BM102" s="523" t="n">
        <v>-2062.3688187696</v>
      </c>
      <c r="BN102" s="523" t="n">
        <v>-2103.61619514499</v>
      </c>
      <c r="BO102" s="523" t="n">
        <v>-2103.61619514499</v>
      </c>
      <c r="BP102" s="523" t="n">
        <v>-2103.61619514499</v>
      </c>
      <c r="BQ102" s="523" t="n">
        <v>-2103.61619514499</v>
      </c>
      <c r="BR102" s="523" t="n">
        <v>-2103.61619514499</v>
      </c>
      <c r="BS102" s="523" t="n">
        <v>-2103.61619514499</v>
      </c>
      <c r="BT102" s="523" t="n">
        <v>-2103.61619514499</v>
      </c>
      <c r="BU102" s="523" t="n">
        <v>-2103.61619514499</v>
      </c>
      <c r="BV102" s="523" t="n">
        <v>-2103.61619514499</v>
      </c>
      <c r="BW102" s="523" t="n">
        <v>-2103.61619514499</v>
      </c>
      <c r="BX102" s="523" t="n">
        <v>-2103.61619514499</v>
      </c>
      <c r="BY102" s="523" t="n">
        <v>-2103.61619514499</v>
      </c>
      <c r="BZ102" s="523" t="n">
        <v>-2145.68851904789</v>
      </c>
      <c r="CA102" s="523" t="n">
        <v>-2145.68851904789</v>
      </c>
      <c r="CB102" s="523" t="n">
        <v>-2145.68851904789</v>
      </c>
      <c r="CC102" s="523" t="n">
        <v>-2145.68851904789</v>
      </c>
      <c r="CD102" s="523" t="n">
        <v>-2145.68851904789</v>
      </c>
      <c r="CE102" s="523" t="n">
        <v>-2145.68851904789</v>
      </c>
      <c r="CF102" s="523" t="n">
        <v>-2145.68851904789</v>
      </c>
      <c r="CG102" s="523" t="n">
        <v>-2145.68851904789</v>
      </c>
      <c r="CH102" s="523" t="n">
        <v>-2145.68851904789</v>
      </c>
      <c r="CI102" s="523" t="n">
        <v>-2145.68851904789</v>
      </c>
      <c r="CJ102" s="523" t="n">
        <v>-2145.68851904789</v>
      </c>
      <c r="CK102" s="523" t="n">
        <v>-2145.68851904789</v>
      </c>
      <c r="CL102" s="523" t="n">
        <v>-2188.60228942885</v>
      </c>
      <c r="CM102" s="523" t="n">
        <v>-2188.60228942885</v>
      </c>
      <c r="CN102" s="523" t="n">
        <v>-2188.60228942885</v>
      </c>
      <c r="CO102" s="523" t="n">
        <v>-2188.60228942885</v>
      </c>
      <c r="CP102" s="523" t="n">
        <v>-2188.60228942885</v>
      </c>
      <c r="CQ102" s="523" t="n">
        <v>-2188.60228942885</v>
      </c>
      <c r="CR102" s="523" t="n">
        <v>-2188.60228942885</v>
      </c>
      <c r="CS102" s="523" t="n">
        <v>-2188.60228942885</v>
      </c>
      <c r="CT102" s="523" t="n">
        <v>-2188.60228942885</v>
      </c>
      <c r="CU102" s="523" t="n">
        <v>-2188.60228942885</v>
      </c>
      <c r="CV102" s="523" t="n">
        <v>-2188.60228942885</v>
      </c>
      <c r="CW102" s="523" t="n">
        <v>-2188.60228942885</v>
      </c>
      <c r="CX102" s="523" t="n">
        <v>-2232.37433521743</v>
      </c>
      <c r="CY102" s="523" t="n">
        <v>-2232.37433521743</v>
      </c>
      <c r="CZ102" s="523" t="n">
        <v>-2232.37433521743</v>
      </c>
      <c r="DA102" s="523" t="n">
        <v>-2232.37433521743</v>
      </c>
      <c r="DB102" s="523" t="n">
        <v>-2232.37433521743</v>
      </c>
      <c r="DC102" s="523" t="n">
        <v>-2232.37433521743</v>
      </c>
      <c r="DD102" s="523" t="n">
        <v>-2232.37433521743</v>
      </c>
      <c r="DE102" s="523" t="n">
        <v>-2232.37433521743</v>
      </c>
      <c r="DF102" s="523" t="n">
        <v>-2232.37433521743</v>
      </c>
    </row>
    <row r="103" ht="15" customFormat="1" customHeight="1" s="380">
      <c r="A103" s="485" t="inlineStr">
        <is>
          <t>5500-1053 E&amp;O/D&amp;O Insurance</t>
        </is>
      </c>
      <c r="C103" s="523" t="n">
        <v>-2100</v>
      </c>
      <c r="D103" s="523" t="n">
        <v>-2100</v>
      </c>
      <c r="E103" s="523" t="n">
        <v>-2100</v>
      </c>
      <c r="F103" s="523" t="n">
        <v>-2100</v>
      </c>
      <c r="G103" s="523" t="n">
        <v>-2100</v>
      </c>
      <c r="H103" s="523" t="n">
        <v>-2100</v>
      </c>
      <c r="I103" s="523" t="n">
        <v>-2100</v>
      </c>
      <c r="J103" s="523" t="n">
        <v>-2100</v>
      </c>
      <c r="K103" s="523" t="n">
        <v>-2100</v>
      </c>
      <c r="L103" s="523" t="n">
        <v>-2100</v>
      </c>
      <c r="M103" s="523" t="n">
        <v>-2100</v>
      </c>
      <c r="N103" s="523" t="n">
        <v>-2100</v>
      </c>
      <c r="O103" s="523" t="n">
        <v>-2100</v>
      </c>
      <c r="P103" s="523" t="n">
        <v>-2100</v>
      </c>
      <c r="Q103" s="523" t="n">
        <v>-2100</v>
      </c>
      <c r="R103" s="523" t="n">
        <v>-2142</v>
      </c>
      <c r="S103" s="523" t="n">
        <v>-2142</v>
      </c>
      <c r="T103" s="523" t="n">
        <v>-2142</v>
      </c>
      <c r="U103" s="523" t="n">
        <v>-2142</v>
      </c>
      <c r="V103" s="523" t="n">
        <v>-2142</v>
      </c>
      <c r="W103" s="523" t="n">
        <v>-2142</v>
      </c>
      <c r="X103" s="523" t="n">
        <v>-2142</v>
      </c>
      <c r="Y103" s="523" t="n">
        <v>-2142</v>
      </c>
      <c r="Z103" s="523" t="n">
        <v>-2142</v>
      </c>
      <c r="AA103" s="523" t="n">
        <v>-2142</v>
      </c>
      <c r="AB103" s="523" t="n">
        <v>-2142</v>
      </c>
      <c r="AC103" s="523" t="n">
        <v>-2142</v>
      </c>
      <c r="AD103" s="523" t="n">
        <v>-2184.84</v>
      </c>
      <c r="AE103" s="523" t="n">
        <v>-2184.84</v>
      </c>
      <c r="AF103" s="523" t="n">
        <v>-2184.84</v>
      </c>
      <c r="AG103" s="523" t="n">
        <v>-2184.84</v>
      </c>
      <c r="AH103" s="523" t="n">
        <v>-2184.84</v>
      </c>
      <c r="AI103" s="523" t="n">
        <v>-2184.84</v>
      </c>
      <c r="AJ103" s="523" t="n">
        <v>-2184.84</v>
      </c>
      <c r="AK103" s="523" t="n">
        <v>-2184.84</v>
      </c>
      <c r="AL103" s="523" t="n">
        <v>-2184.84</v>
      </c>
      <c r="AM103" s="523" t="n">
        <v>-2184.84</v>
      </c>
      <c r="AN103" s="523" t="n">
        <v>-2184.84</v>
      </c>
      <c r="AO103" s="523" t="n">
        <v>-2184.84</v>
      </c>
      <c r="AP103" s="523" t="n">
        <v>-2228.5368</v>
      </c>
      <c r="AQ103" s="523" t="n">
        <v>-2228.5368</v>
      </c>
      <c r="AR103" s="523" t="n">
        <v>-2228.5368</v>
      </c>
      <c r="AS103" s="523" t="n">
        <v>-2228.5368</v>
      </c>
      <c r="AT103" s="523" t="n">
        <v>-2228.5368</v>
      </c>
      <c r="AU103" s="523" t="n">
        <v>-2228.5368</v>
      </c>
      <c r="AV103" s="523" t="n">
        <v>-2228.5368</v>
      </c>
      <c r="AW103" s="523" t="n">
        <v>-2228.5368</v>
      </c>
      <c r="AX103" s="523" t="n">
        <v>-2228.5368</v>
      </c>
      <c r="AY103" s="523" t="n">
        <v>-2228.5368</v>
      </c>
      <c r="AZ103" s="523" t="n">
        <v>-2228.5368</v>
      </c>
      <c r="BA103" s="523" t="n">
        <v>-2228.5368</v>
      </c>
      <c r="BB103" s="523" t="n">
        <v>-2273.107536</v>
      </c>
      <c r="BC103" s="523" t="n">
        <v>-2273.107536</v>
      </c>
      <c r="BD103" s="523" t="n">
        <v>-2273.107536</v>
      </c>
      <c r="BE103" s="523" t="n">
        <v>-2273.107536</v>
      </c>
      <c r="BF103" s="523" t="n">
        <v>-2273.107536</v>
      </c>
      <c r="BG103" s="523" t="n">
        <v>-2273.107536</v>
      </c>
      <c r="BH103" s="523" t="n">
        <v>-2273.107536</v>
      </c>
      <c r="BI103" s="523" t="n">
        <v>-2273.107536</v>
      </c>
      <c r="BJ103" s="523" t="n">
        <v>-2273.107536</v>
      </c>
      <c r="BK103" s="523" t="n">
        <v>-2273.107536</v>
      </c>
      <c r="BL103" s="523" t="n">
        <v>-2273.107536</v>
      </c>
      <c r="BM103" s="523" t="n">
        <v>-2273.107536</v>
      </c>
      <c r="BN103" s="523" t="n">
        <v>-2318.56968672</v>
      </c>
      <c r="BO103" s="523" t="n">
        <v>-2318.56968672</v>
      </c>
      <c r="BP103" s="523" t="n">
        <v>-2318.56968672</v>
      </c>
      <c r="BQ103" s="523" t="n">
        <v>-2318.56968672</v>
      </c>
      <c r="BR103" s="523" t="n">
        <v>-2318.56968672</v>
      </c>
      <c r="BS103" s="523" t="n">
        <v>-2318.56968672</v>
      </c>
      <c r="BT103" s="523" t="n">
        <v>-2318.56968672</v>
      </c>
      <c r="BU103" s="523" t="n">
        <v>-2318.56968672</v>
      </c>
      <c r="BV103" s="523" t="n">
        <v>-2318.56968672</v>
      </c>
      <c r="BW103" s="523" t="n">
        <v>-2318.56968672</v>
      </c>
      <c r="BX103" s="523" t="n">
        <v>-2318.56968672</v>
      </c>
      <c r="BY103" s="523" t="n">
        <v>-2318.56968672</v>
      </c>
      <c r="BZ103" s="523" t="n">
        <v>-2364.9410804544</v>
      </c>
      <c r="CA103" s="523" t="n">
        <v>-2364.9410804544</v>
      </c>
      <c r="CB103" s="523" t="n">
        <v>-2364.9410804544</v>
      </c>
      <c r="CC103" s="523" t="n">
        <v>-2364.9410804544</v>
      </c>
      <c r="CD103" s="523" t="n">
        <v>-2364.9410804544</v>
      </c>
      <c r="CE103" s="523" t="n">
        <v>-2364.9410804544</v>
      </c>
      <c r="CF103" s="523" t="n">
        <v>-2364.9410804544</v>
      </c>
      <c r="CG103" s="523" t="n">
        <v>-2364.9410804544</v>
      </c>
      <c r="CH103" s="523" t="n">
        <v>-2364.9410804544</v>
      </c>
      <c r="CI103" s="523" t="n">
        <v>-2364.9410804544</v>
      </c>
      <c r="CJ103" s="523" t="n">
        <v>-2364.9410804544</v>
      </c>
      <c r="CK103" s="523" t="n">
        <v>-2364.9410804544</v>
      </c>
      <c r="CL103" s="523" t="n">
        <v>-2412.23990206349</v>
      </c>
      <c r="CM103" s="523" t="n">
        <v>-2412.23990206349</v>
      </c>
      <c r="CN103" s="523" t="n">
        <v>-2412.23990206349</v>
      </c>
      <c r="CO103" s="523" t="n">
        <v>-2412.23990206349</v>
      </c>
      <c r="CP103" s="523" t="n">
        <v>-2412.23990206349</v>
      </c>
      <c r="CQ103" s="523" t="n">
        <v>-2412.23990206349</v>
      </c>
      <c r="CR103" s="523" t="n">
        <v>-2412.23990206349</v>
      </c>
      <c r="CS103" s="523" t="n">
        <v>-2412.23990206349</v>
      </c>
      <c r="CT103" s="523" t="n">
        <v>-2412.23990206349</v>
      </c>
      <c r="CU103" s="523" t="n">
        <v>-2412.23990206349</v>
      </c>
      <c r="CV103" s="523" t="n">
        <v>-2412.23990206349</v>
      </c>
      <c r="CW103" s="523" t="n">
        <v>-2412.23990206349</v>
      </c>
      <c r="CX103" s="523" t="n">
        <v>-2460.48470010476</v>
      </c>
      <c r="CY103" s="523" t="n">
        <v>-2460.48470010476</v>
      </c>
      <c r="CZ103" s="523" t="n">
        <v>-2460.48470010476</v>
      </c>
      <c r="DA103" s="523" t="n">
        <v>-2460.48470010476</v>
      </c>
      <c r="DB103" s="523" t="n">
        <v>-2460.48470010476</v>
      </c>
      <c r="DC103" s="523" t="n">
        <v>-2460.48470010476</v>
      </c>
      <c r="DD103" s="523" t="n">
        <v>-2460.48470010476</v>
      </c>
      <c r="DE103" s="523" t="n">
        <v>-2460.48470010476</v>
      </c>
      <c r="DF103" s="523" t="n">
        <v>-2460.48470010476</v>
      </c>
    </row>
    <row r="104" ht="15" customFormat="1" customHeight="1" s="380">
      <c r="A104" s="485" t="inlineStr">
        <is>
          <t>5800-1003 Consulting Fee</t>
        </is>
      </c>
      <c r="C104" s="523" t="n">
        <v>-66666.66</v>
      </c>
      <c r="D104" s="523" t="n">
        <v>-66666.66</v>
      </c>
      <c r="E104" s="523" t="n">
        <v>-66666.66</v>
      </c>
      <c r="F104" s="523" t="n">
        <v>-25000</v>
      </c>
      <c r="G104" s="523" t="n">
        <v>-25000</v>
      </c>
      <c r="H104" s="523" t="n">
        <v>-25000</v>
      </c>
      <c r="I104" s="523" t="n">
        <v>-25000</v>
      </c>
      <c r="J104" s="523" t="n">
        <v>-25000</v>
      </c>
      <c r="K104" s="523" t="n">
        <v>-25000</v>
      </c>
      <c r="L104" s="523" t="n">
        <v>-25000</v>
      </c>
      <c r="M104" s="523" t="n">
        <v>-25000</v>
      </c>
      <c r="N104" s="523" t="n">
        <v>-25000</v>
      </c>
      <c r="O104" s="523" t="n">
        <v>-25000</v>
      </c>
      <c r="P104" s="523" t="n">
        <v>-25000</v>
      </c>
      <c r="Q104" s="523" t="n">
        <v>-25000</v>
      </c>
      <c r="R104" s="523" t="n">
        <v>-25500</v>
      </c>
      <c r="S104" s="523" t="n">
        <v>-25500</v>
      </c>
      <c r="T104" s="523" t="n">
        <v>-25500</v>
      </c>
      <c r="U104" s="523" t="n">
        <v>-25500</v>
      </c>
      <c r="V104" s="523" t="n">
        <v>-25500</v>
      </c>
      <c r="W104" s="523" t="n">
        <v>-25500</v>
      </c>
      <c r="X104" s="523" t="n">
        <v>-25500</v>
      </c>
      <c r="Y104" s="523" t="n">
        <v>-25500</v>
      </c>
      <c r="Z104" s="523" t="n">
        <v>-25500</v>
      </c>
      <c r="AA104" s="523" t="n">
        <v>-25500</v>
      </c>
      <c r="AB104" s="523" t="n">
        <v>-25500</v>
      </c>
      <c r="AC104" s="523" t="n">
        <v>-25500</v>
      </c>
      <c r="AD104" s="523" t="n">
        <v>-26010</v>
      </c>
      <c r="AE104" s="523" t="n">
        <v>-26010</v>
      </c>
      <c r="AF104" s="523" t="n">
        <v>-26010</v>
      </c>
      <c r="AG104" s="523" t="n">
        <v>-26010</v>
      </c>
      <c r="AH104" s="523" t="n">
        <v>-26010</v>
      </c>
      <c r="AI104" s="523" t="n">
        <v>-26010</v>
      </c>
      <c r="AJ104" s="523" t="n">
        <v>-26010</v>
      </c>
      <c r="AK104" s="523" t="n">
        <v>-26010</v>
      </c>
      <c r="AL104" s="523" t="n">
        <v>-26010</v>
      </c>
      <c r="AM104" s="523" t="n">
        <v>-26010</v>
      </c>
      <c r="AN104" s="523" t="n">
        <v>-26010</v>
      </c>
      <c r="AO104" s="523" t="n">
        <v>-26010</v>
      </c>
      <c r="AP104" s="523" t="n">
        <v>-26530.2</v>
      </c>
      <c r="AQ104" s="523" t="n">
        <v>-26530.2</v>
      </c>
      <c r="AR104" s="523" t="n">
        <v>-26530.2</v>
      </c>
      <c r="AS104" s="523" t="n">
        <v>-26530.2</v>
      </c>
      <c r="AT104" s="523" t="n">
        <v>-26530.2</v>
      </c>
      <c r="AU104" s="523" t="n">
        <v>-26530.2</v>
      </c>
      <c r="AV104" s="523" t="n">
        <v>-26530.2</v>
      </c>
      <c r="AW104" s="523" t="n">
        <v>-26530.2</v>
      </c>
      <c r="AX104" s="523" t="n">
        <v>-26530.2</v>
      </c>
      <c r="AY104" s="523" t="n">
        <v>-26530.2</v>
      </c>
      <c r="AZ104" s="523" t="n">
        <v>-26530.2</v>
      </c>
      <c r="BA104" s="523" t="n">
        <v>-26530.2</v>
      </c>
      <c r="BB104" s="523" t="n">
        <v>-27060.804</v>
      </c>
      <c r="BC104" s="523" t="n">
        <v>-27060.804</v>
      </c>
      <c r="BD104" s="523" t="n">
        <v>-27060.804</v>
      </c>
      <c r="BE104" s="523" t="n">
        <v>-27060.804</v>
      </c>
      <c r="BF104" s="523" t="n">
        <v>-27060.804</v>
      </c>
      <c r="BG104" s="523" t="n">
        <v>-27060.804</v>
      </c>
      <c r="BH104" s="523" t="n">
        <v>-27060.804</v>
      </c>
      <c r="BI104" s="523" t="n">
        <v>-27060.804</v>
      </c>
      <c r="BJ104" s="523" t="n">
        <v>-27060.804</v>
      </c>
      <c r="BK104" s="523" t="n">
        <v>-27060.804</v>
      </c>
      <c r="BL104" s="523" t="n">
        <v>-27060.804</v>
      </c>
      <c r="BM104" s="523" t="n">
        <v>-27060.804</v>
      </c>
      <c r="BN104" s="523" t="n">
        <v>-27602.02008</v>
      </c>
      <c r="BO104" s="523" t="n">
        <v>-27602.02008</v>
      </c>
      <c r="BP104" s="523" t="n">
        <v>-27602.02008</v>
      </c>
      <c r="BQ104" s="523" t="n">
        <v>-27602.02008</v>
      </c>
      <c r="BR104" s="523" t="n">
        <v>-27602.02008</v>
      </c>
      <c r="BS104" s="523" t="n">
        <v>-27602.02008</v>
      </c>
      <c r="BT104" s="523" t="n">
        <v>-27602.02008</v>
      </c>
      <c r="BU104" s="523" t="n">
        <v>-27602.02008</v>
      </c>
      <c r="BV104" s="523" t="n">
        <v>-27602.02008</v>
      </c>
      <c r="BW104" s="523" t="n">
        <v>-27602.02008</v>
      </c>
      <c r="BX104" s="523" t="n">
        <v>-27602.02008</v>
      </c>
      <c r="BY104" s="523" t="n">
        <v>-27602.02008</v>
      </c>
      <c r="BZ104" s="523" t="n">
        <v>-28154.0604816</v>
      </c>
      <c r="CA104" s="523" t="n">
        <v>-28154.0604816</v>
      </c>
      <c r="CB104" s="523" t="n">
        <v>-28154.0604816</v>
      </c>
      <c r="CC104" s="523" t="n">
        <v>-28154.0604816</v>
      </c>
      <c r="CD104" s="523" t="n">
        <v>-28154.0604816</v>
      </c>
      <c r="CE104" s="523" t="n">
        <v>-28154.0604816</v>
      </c>
      <c r="CF104" s="523" t="n">
        <v>-28154.0604816</v>
      </c>
      <c r="CG104" s="523" t="n">
        <v>-28154.0604816</v>
      </c>
      <c r="CH104" s="523" t="n">
        <v>-28154.0604816</v>
      </c>
      <c r="CI104" s="523" t="n">
        <v>-28154.0604816</v>
      </c>
      <c r="CJ104" s="523" t="n">
        <v>-28154.0604816</v>
      </c>
      <c r="CK104" s="523" t="n">
        <v>-28154.0604816</v>
      </c>
      <c r="CL104" s="523" t="n">
        <v>-28717.141691232</v>
      </c>
      <c r="CM104" s="523" t="n">
        <v>-28717.141691232</v>
      </c>
      <c r="CN104" s="523" t="n">
        <v>-28717.141691232</v>
      </c>
      <c r="CO104" s="523" t="n">
        <v>-28717.141691232</v>
      </c>
      <c r="CP104" s="523" t="n">
        <v>-28717.141691232</v>
      </c>
      <c r="CQ104" s="523" t="n">
        <v>-28717.141691232</v>
      </c>
      <c r="CR104" s="523" t="n">
        <v>-28717.141691232</v>
      </c>
      <c r="CS104" s="523" t="n">
        <v>-28717.141691232</v>
      </c>
      <c r="CT104" s="523" t="n">
        <v>-28717.141691232</v>
      </c>
      <c r="CU104" s="523" t="n">
        <v>-28717.141691232</v>
      </c>
      <c r="CV104" s="523" t="n">
        <v>-28717.141691232</v>
      </c>
      <c r="CW104" s="523" t="n">
        <v>-28717.141691232</v>
      </c>
      <c r="CX104" s="523" t="n">
        <v>-29291.4845250566</v>
      </c>
      <c r="CY104" s="523" t="n">
        <v>-29291.4845250566</v>
      </c>
      <c r="CZ104" s="523" t="n">
        <v>-29291.4845250566</v>
      </c>
      <c r="DA104" s="523" t="n">
        <v>-29291.4845250566</v>
      </c>
      <c r="DB104" s="523" t="n">
        <v>-29291.4845250566</v>
      </c>
      <c r="DC104" s="523" t="n">
        <v>-29291.4845250566</v>
      </c>
      <c r="DD104" s="523" t="n">
        <v>-29291.4845250566</v>
      </c>
      <c r="DE104" s="523" t="n">
        <v>-29291.4845250566</v>
      </c>
      <c r="DF104" s="523" t="n">
        <v>-29291.4845250566</v>
      </c>
    </row>
    <row r="105" ht="15" customFormat="1" customHeight="1" s="380">
      <c r="A105" s="468" t="inlineStr">
        <is>
          <t>5900-1075 Miscellaneous Expense</t>
        </is>
      </c>
      <c r="C105" s="483" t="n">
        <v>-4731.96</v>
      </c>
      <c r="D105" s="483" t="n">
        <v>-5</v>
      </c>
      <c r="E105" s="483" t="n">
        <v>-5</v>
      </c>
      <c r="F105" s="522" t="n">
        <v>-1580.65</v>
      </c>
      <c r="G105" s="522" t="n">
        <v>-1580.65</v>
      </c>
      <c r="H105" s="522" t="n">
        <v>-1580.65</v>
      </c>
      <c r="I105" s="522" t="n">
        <v>-1580.65</v>
      </c>
      <c r="J105" s="522" t="n">
        <v>-1580.65</v>
      </c>
      <c r="K105" s="522" t="n">
        <v>-1580.65</v>
      </c>
      <c r="L105" s="522" t="n">
        <v>-1580.65</v>
      </c>
      <c r="M105" s="522" t="n">
        <v>-1580.65</v>
      </c>
      <c r="N105" s="522" t="n">
        <v>-1580.65</v>
      </c>
      <c r="O105" s="522" t="n">
        <v>-1580.65</v>
      </c>
      <c r="P105" s="522" t="n">
        <v>-1580.65</v>
      </c>
      <c r="Q105" s="522" t="n">
        <v>-1580.65</v>
      </c>
      <c r="R105" s="522" t="n">
        <v>-1612.263</v>
      </c>
      <c r="S105" s="522" t="n">
        <v>-1612.263</v>
      </c>
      <c r="T105" s="522" t="n">
        <v>-1612.263</v>
      </c>
      <c r="U105" s="522" t="n">
        <v>-1612.263</v>
      </c>
      <c r="V105" s="522" t="n">
        <v>-1612.263</v>
      </c>
      <c r="W105" s="522" t="n">
        <v>-1612.263</v>
      </c>
      <c r="X105" s="522" t="n">
        <v>-1612.263</v>
      </c>
      <c r="Y105" s="522" t="n">
        <v>-1612.263</v>
      </c>
      <c r="Z105" s="522" t="n">
        <v>-1612.263</v>
      </c>
      <c r="AA105" s="522" t="n">
        <v>-1612.263</v>
      </c>
      <c r="AB105" s="522" t="n">
        <v>-1612.263</v>
      </c>
      <c r="AC105" s="522" t="n">
        <v>-1612.263</v>
      </c>
      <c r="AD105" s="522" t="n">
        <v>-1644.50826</v>
      </c>
      <c r="AE105" s="522" t="n">
        <v>-1644.50826</v>
      </c>
      <c r="AF105" s="522" t="n">
        <v>-1644.50826</v>
      </c>
      <c r="AG105" s="522" t="n">
        <v>-1644.50826</v>
      </c>
      <c r="AH105" s="522" t="n">
        <v>-1644.50826</v>
      </c>
      <c r="AI105" s="522" t="n">
        <v>-1644.50826</v>
      </c>
      <c r="AJ105" s="522" t="n">
        <v>-1644.50826</v>
      </c>
      <c r="AK105" s="522" t="n">
        <v>-1644.50826</v>
      </c>
      <c r="AL105" s="522" t="n">
        <v>-1644.50826</v>
      </c>
      <c r="AM105" s="522" t="n">
        <v>-1644.50826</v>
      </c>
      <c r="AN105" s="522" t="n">
        <v>-1644.50826</v>
      </c>
      <c r="AO105" s="522" t="n">
        <v>-1644.50826</v>
      </c>
      <c r="AP105" s="522" t="n">
        <v>-1677.3984252</v>
      </c>
      <c r="AQ105" s="522" t="n">
        <v>-1677.3984252</v>
      </c>
      <c r="AR105" s="522" t="n">
        <v>-1677.3984252</v>
      </c>
      <c r="AS105" s="522" t="n">
        <v>-1677.3984252</v>
      </c>
      <c r="AT105" s="522" t="n">
        <v>-1677.3984252</v>
      </c>
      <c r="AU105" s="522" t="n">
        <v>-1677.3984252</v>
      </c>
      <c r="AV105" s="522" t="n">
        <v>-1677.3984252</v>
      </c>
      <c r="AW105" s="522" t="n">
        <v>-1677.3984252</v>
      </c>
      <c r="AX105" s="522" t="n">
        <v>-1677.3984252</v>
      </c>
      <c r="AY105" s="522" t="n">
        <v>-1677.3984252</v>
      </c>
      <c r="AZ105" s="522" t="n">
        <v>-1677.3984252</v>
      </c>
      <c r="BA105" s="522" t="n">
        <v>-1677.3984252</v>
      </c>
      <c r="BB105" s="522" t="n">
        <v>-1710.946393704</v>
      </c>
      <c r="BC105" s="522" t="n">
        <v>-1710.946393704</v>
      </c>
      <c r="BD105" s="522" t="n">
        <v>-1710.946393704</v>
      </c>
      <c r="BE105" s="522" t="n">
        <v>-1710.946393704</v>
      </c>
      <c r="BF105" s="522" t="n">
        <v>-1710.946393704</v>
      </c>
      <c r="BG105" s="522" t="n">
        <v>-1710.946393704</v>
      </c>
      <c r="BH105" s="522" t="n">
        <v>-1710.946393704</v>
      </c>
      <c r="BI105" s="522" t="n">
        <v>-1710.946393704</v>
      </c>
      <c r="BJ105" s="522" t="n">
        <v>-1710.946393704</v>
      </c>
      <c r="BK105" s="522" t="n">
        <v>-1710.946393704</v>
      </c>
      <c r="BL105" s="522" t="n">
        <v>-1710.946393704</v>
      </c>
      <c r="BM105" s="522" t="n">
        <v>-1710.946393704</v>
      </c>
      <c r="BN105" s="522" t="n">
        <v>-1745.16532157808</v>
      </c>
      <c r="BO105" s="522" t="n">
        <v>-1745.16532157808</v>
      </c>
      <c r="BP105" s="522" t="n">
        <v>-1745.16532157808</v>
      </c>
      <c r="BQ105" s="522" t="n">
        <v>-1745.16532157808</v>
      </c>
      <c r="BR105" s="522" t="n">
        <v>-1745.16532157808</v>
      </c>
      <c r="BS105" s="522" t="n">
        <v>-1745.16532157808</v>
      </c>
      <c r="BT105" s="522" t="n">
        <v>-1745.16532157808</v>
      </c>
      <c r="BU105" s="522" t="n">
        <v>-1745.16532157808</v>
      </c>
      <c r="BV105" s="522" t="n">
        <v>-1745.16532157808</v>
      </c>
      <c r="BW105" s="522" t="n">
        <v>-1745.16532157808</v>
      </c>
      <c r="BX105" s="522" t="n">
        <v>-1745.16532157808</v>
      </c>
      <c r="BY105" s="522" t="n">
        <v>-1745.16532157808</v>
      </c>
      <c r="BZ105" s="522" t="n">
        <v>-1780.06862800964</v>
      </c>
      <c r="CA105" s="522" t="n">
        <v>-1780.06862800964</v>
      </c>
      <c r="CB105" s="522" t="n">
        <v>-1780.06862800964</v>
      </c>
      <c r="CC105" s="522" t="n">
        <v>-1780.06862800964</v>
      </c>
      <c r="CD105" s="522" t="n">
        <v>-1780.06862800964</v>
      </c>
      <c r="CE105" s="522" t="n">
        <v>-1780.06862800964</v>
      </c>
      <c r="CF105" s="522" t="n">
        <v>-1780.06862800964</v>
      </c>
      <c r="CG105" s="522" t="n">
        <v>-1780.06862800964</v>
      </c>
      <c r="CH105" s="522" t="n">
        <v>-1780.06862800964</v>
      </c>
      <c r="CI105" s="522" t="n">
        <v>-1780.06862800964</v>
      </c>
      <c r="CJ105" s="522" t="n">
        <v>-1780.06862800964</v>
      </c>
      <c r="CK105" s="522" t="n">
        <v>-1780.06862800964</v>
      </c>
      <c r="CL105" s="522" t="n">
        <v>-1815.67000056983</v>
      </c>
      <c r="CM105" s="522" t="n">
        <v>-1815.67000056983</v>
      </c>
      <c r="CN105" s="522" t="n">
        <v>-1815.67000056983</v>
      </c>
      <c r="CO105" s="522" t="n">
        <v>-1815.67000056983</v>
      </c>
      <c r="CP105" s="522" t="n">
        <v>-1815.67000056983</v>
      </c>
      <c r="CQ105" s="522" t="n">
        <v>-1815.67000056983</v>
      </c>
      <c r="CR105" s="522" t="n">
        <v>-1815.67000056983</v>
      </c>
      <c r="CS105" s="522" t="n">
        <v>-1815.67000056983</v>
      </c>
      <c r="CT105" s="522" t="n">
        <v>-1815.67000056983</v>
      </c>
      <c r="CU105" s="522" t="n">
        <v>-1815.67000056983</v>
      </c>
      <c r="CV105" s="522" t="n">
        <v>-1815.67000056983</v>
      </c>
      <c r="CW105" s="522" t="n">
        <v>-1815.67000056983</v>
      </c>
      <c r="CX105" s="522" t="n">
        <v>-1851.98340058123</v>
      </c>
      <c r="CY105" s="522" t="n">
        <v>-1851.98340058123</v>
      </c>
      <c r="CZ105" s="522" t="n">
        <v>-1851.98340058123</v>
      </c>
      <c r="DA105" s="522" t="n">
        <v>-1851.98340058123</v>
      </c>
      <c r="DB105" s="522" t="n">
        <v>-1851.98340058123</v>
      </c>
      <c r="DC105" s="522" t="n">
        <v>-1851.98340058123</v>
      </c>
      <c r="DD105" s="522" t="n">
        <v>-1851.98340058123</v>
      </c>
      <c r="DE105" s="522" t="n">
        <v>-1851.98340058123</v>
      </c>
      <c r="DF105" s="522" t="n">
        <v>-1851.98340058123</v>
      </c>
    </row>
    <row r="106" ht="15" customFormat="1" customHeight="1" s="380">
      <c r="A106" s="468" t="inlineStr">
        <is>
          <t>5900-1080 Bank Service Charges</t>
        </is>
      </c>
      <c r="C106" s="483" t="n">
        <v>-658.14</v>
      </c>
      <c r="D106" s="483" t="n">
        <v>-310</v>
      </c>
      <c r="E106" s="483" t="n">
        <v>-371.74</v>
      </c>
      <c r="F106" s="522" t="n">
        <v>-446.63</v>
      </c>
      <c r="G106" s="522" t="n">
        <v>-446.63</v>
      </c>
      <c r="H106" s="522" t="n">
        <v>-446.63</v>
      </c>
      <c r="I106" s="522" t="n">
        <v>-446.63</v>
      </c>
      <c r="J106" s="522" t="n">
        <v>-446.63</v>
      </c>
      <c r="K106" s="522" t="n">
        <v>-446.63</v>
      </c>
      <c r="L106" s="522" t="n">
        <v>-446.63</v>
      </c>
      <c r="M106" s="522" t="n">
        <v>-446.63</v>
      </c>
      <c r="N106" s="522" t="n">
        <v>-446.63</v>
      </c>
      <c r="O106" s="522" t="n">
        <v>-446.63</v>
      </c>
      <c r="P106" s="522" t="n">
        <v>-446.63</v>
      </c>
      <c r="Q106" s="522" t="n">
        <v>-446.63</v>
      </c>
      <c r="R106" s="522" t="n">
        <v>-455.5626</v>
      </c>
      <c r="S106" s="522" t="n">
        <v>-455.5626</v>
      </c>
      <c r="T106" s="522" t="n">
        <v>-455.5626</v>
      </c>
      <c r="U106" s="522" t="n">
        <v>-455.5626</v>
      </c>
      <c r="V106" s="522" t="n">
        <v>-455.5626</v>
      </c>
      <c r="W106" s="522" t="n">
        <v>-455.5626</v>
      </c>
      <c r="X106" s="522" t="n">
        <v>-455.5626</v>
      </c>
      <c r="Y106" s="522" t="n">
        <v>-455.5626</v>
      </c>
      <c r="Z106" s="522" t="n">
        <v>-455.5626</v>
      </c>
      <c r="AA106" s="522" t="n">
        <v>-455.5626</v>
      </c>
      <c r="AB106" s="522" t="n">
        <v>-455.5626</v>
      </c>
      <c r="AC106" s="522" t="n">
        <v>-455.5626</v>
      </c>
      <c r="AD106" s="522" t="n">
        <v>-464.673852</v>
      </c>
      <c r="AE106" s="522" t="n">
        <v>-464.673852</v>
      </c>
      <c r="AF106" s="522" t="n">
        <v>-464.673852</v>
      </c>
      <c r="AG106" s="522" t="n">
        <v>-464.673852</v>
      </c>
      <c r="AH106" s="522" t="n">
        <v>-464.673852</v>
      </c>
      <c r="AI106" s="522" t="n">
        <v>-464.673852</v>
      </c>
      <c r="AJ106" s="522" t="n">
        <v>-464.673852</v>
      </c>
      <c r="AK106" s="522" t="n">
        <v>-464.673852</v>
      </c>
      <c r="AL106" s="522" t="n">
        <v>-464.673852</v>
      </c>
      <c r="AM106" s="522" t="n">
        <v>-464.673852</v>
      </c>
      <c r="AN106" s="522" t="n">
        <v>-464.673852</v>
      </c>
      <c r="AO106" s="522" t="n">
        <v>-464.673852</v>
      </c>
      <c r="AP106" s="522" t="n">
        <v>-473.96732904</v>
      </c>
      <c r="AQ106" s="522" t="n">
        <v>-473.96732904</v>
      </c>
      <c r="AR106" s="522" t="n">
        <v>-473.96732904</v>
      </c>
      <c r="AS106" s="522" t="n">
        <v>-473.96732904</v>
      </c>
      <c r="AT106" s="522" t="n">
        <v>-473.96732904</v>
      </c>
      <c r="AU106" s="522" t="n">
        <v>-473.96732904</v>
      </c>
      <c r="AV106" s="522" t="n">
        <v>-473.96732904</v>
      </c>
      <c r="AW106" s="522" t="n">
        <v>-473.96732904</v>
      </c>
      <c r="AX106" s="522" t="n">
        <v>-473.96732904</v>
      </c>
      <c r="AY106" s="522" t="n">
        <v>-473.96732904</v>
      </c>
      <c r="AZ106" s="522" t="n">
        <v>-473.96732904</v>
      </c>
      <c r="BA106" s="522" t="n">
        <v>-473.96732904</v>
      </c>
      <c r="BB106" s="522" t="n">
        <v>-483.4466756208</v>
      </c>
      <c r="BC106" s="522" t="n">
        <v>-483.4466756208</v>
      </c>
      <c r="BD106" s="522" t="n">
        <v>-483.4466756208</v>
      </c>
      <c r="BE106" s="522" t="n">
        <v>-483.4466756208</v>
      </c>
      <c r="BF106" s="522" t="n">
        <v>-483.4466756208</v>
      </c>
      <c r="BG106" s="522" t="n">
        <v>-483.4466756208</v>
      </c>
      <c r="BH106" s="522" t="n">
        <v>-483.4466756208</v>
      </c>
      <c r="BI106" s="522" t="n">
        <v>-483.4466756208</v>
      </c>
      <c r="BJ106" s="522" t="n">
        <v>-483.4466756208</v>
      </c>
      <c r="BK106" s="522" t="n">
        <v>-483.4466756208</v>
      </c>
      <c r="BL106" s="522" t="n">
        <v>-483.4466756208</v>
      </c>
      <c r="BM106" s="522" t="n">
        <v>-483.4466756208</v>
      </c>
      <c r="BN106" s="522" t="n">
        <v>-493.115609133216</v>
      </c>
      <c r="BO106" s="522" t="n">
        <v>-493.115609133216</v>
      </c>
      <c r="BP106" s="522" t="n">
        <v>-493.115609133216</v>
      </c>
      <c r="BQ106" s="522" t="n">
        <v>-493.115609133216</v>
      </c>
      <c r="BR106" s="522" t="n">
        <v>-493.115609133216</v>
      </c>
      <c r="BS106" s="522" t="n">
        <v>-493.115609133216</v>
      </c>
      <c r="BT106" s="522" t="n">
        <v>-493.115609133216</v>
      </c>
      <c r="BU106" s="522" t="n">
        <v>-493.115609133216</v>
      </c>
      <c r="BV106" s="522" t="n">
        <v>-493.115609133216</v>
      </c>
      <c r="BW106" s="522" t="n">
        <v>-493.115609133216</v>
      </c>
      <c r="BX106" s="522" t="n">
        <v>-493.115609133216</v>
      </c>
      <c r="BY106" s="522" t="n">
        <v>-493.115609133216</v>
      </c>
      <c r="BZ106" s="522" t="n">
        <v>-502.97792131588</v>
      </c>
      <c r="CA106" s="522" t="n">
        <v>-502.97792131588</v>
      </c>
      <c r="CB106" s="522" t="n">
        <v>-502.97792131588</v>
      </c>
      <c r="CC106" s="522" t="n">
        <v>-502.97792131588</v>
      </c>
      <c r="CD106" s="522" t="n">
        <v>-502.97792131588</v>
      </c>
      <c r="CE106" s="522" t="n">
        <v>-502.97792131588</v>
      </c>
      <c r="CF106" s="522" t="n">
        <v>-502.97792131588</v>
      </c>
      <c r="CG106" s="522" t="n">
        <v>-502.97792131588</v>
      </c>
      <c r="CH106" s="522" t="n">
        <v>-502.97792131588</v>
      </c>
      <c r="CI106" s="522" t="n">
        <v>-502.97792131588</v>
      </c>
      <c r="CJ106" s="522" t="n">
        <v>-502.97792131588</v>
      </c>
      <c r="CK106" s="522" t="n">
        <v>-502.97792131588</v>
      </c>
      <c r="CL106" s="522" t="n">
        <v>-513.037479742198</v>
      </c>
      <c r="CM106" s="522" t="n">
        <v>-513.037479742198</v>
      </c>
      <c r="CN106" s="522" t="n">
        <v>-513.037479742198</v>
      </c>
      <c r="CO106" s="522" t="n">
        <v>-513.037479742198</v>
      </c>
      <c r="CP106" s="522" t="n">
        <v>-513.037479742198</v>
      </c>
      <c r="CQ106" s="522" t="n">
        <v>-513.037479742198</v>
      </c>
      <c r="CR106" s="522" t="n">
        <v>-513.037479742198</v>
      </c>
      <c r="CS106" s="522" t="n">
        <v>-513.037479742198</v>
      </c>
      <c r="CT106" s="522" t="n">
        <v>-513.037479742198</v>
      </c>
      <c r="CU106" s="522" t="n">
        <v>-513.037479742198</v>
      </c>
      <c r="CV106" s="522" t="n">
        <v>-513.037479742198</v>
      </c>
      <c r="CW106" s="522" t="n">
        <v>-513.037479742198</v>
      </c>
      <c r="CX106" s="522" t="n">
        <v>-523.298229337042</v>
      </c>
      <c r="CY106" s="522" t="n">
        <v>-523.298229337042</v>
      </c>
      <c r="CZ106" s="522" t="n">
        <v>-523.298229337042</v>
      </c>
      <c r="DA106" s="522" t="n">
        <v>-523.298229337042</v>
      </c>
      <c r="DB106" s="522" t="n">
        <v>-523.298229337042</v>
      </c>
      <c r="DC106" s="522" t="n">
        <v>-523.298229337042</v>
      </c>
      <c r="DD106" s="522" t="n">
        <v>-523.298229337042</v>
      </c>
      <c r="DE106" s="522" t="n">
        <v>-523.298229337042</v>
      </c>
      <c r="DF106" s="522" t="n">
        <v>-523.298229337042</v>
      </c>
    </row>
    <row r="107" ht="15" customFormat="1" customHeight="1" s="380">
      <c r="A107" s="468" t="inlineStr">
        <is>
          <t>Steyn Group Guaranty Fee</t>
        </is>
      </c>
      <c r="C107" s="483" t="n">
        <v>0</v>
      </c>
      <c r="D107" s="483" t="n">
        <v>0</v>
      </c>
      <c r="E107" s="483" t="n">
        <v>0</v>
      </c>
      <c r="F107" s="522" t="n">
        <v>0</v>
      </c>
      <c r="G107" s="522" t="n">
        <v>0</v>
      </c>
      <c r="H107" s="522" t="n">
        <v>0</v>
      </c>
      <c r="I107" s="522" t="n">
        <v>0</v>
      </c>
      <c r="J107" s="522" t="n">
        <v>0</v>
      </c>
      <c r="K107" s="522" t="n">
        <v>0</v>
      </c>
      <c r="L107" s="522" t="n">
        <v>0</v>
      </c>
      <c r="M107" s="522" t="n">
        <v>0</v>
      </c>
      <c r="N107" s="522" t="n">
        <v>0</v>
      </c>
      <c r="O107" s="522" t="n">
        <v>0</v>
      </c>
      <c r="P107" s="522" t="n">
        <v>0</v>
      </c>
      <c r="Q107" s="522" t="n">
        <v>0</v>
      </c>
      <c r="R107" s="522" t="n">
        <v>0</v>
      </c>
      <c r="S107" s="522" t="n">
        <v>0</v>
      </c>
      <c r="T107" s="522" t="n">
        <v>0</v>
      </c>
      <c r="U107" s="522" t="n">
        <v>0</v>
      </c>
      <c r="V107" s="522" t="n">
        <v>0</v>
      </c>
      <c r="W107" s="522" t="n">
        <v>0</v>
      </c>
      <c r="X107" s="522" t="n">
        <v>0</v>
      </c>
      <c r="Y107" s="522" t="n">
        <v>0</v>
      </c>
      <c r="Z107" s="522" t="n">
        <v>0</v>
      </c>
      <c r="AA107" s="522" t="n">
        <v>0</v>
      </c>
      <c r="AB107" s="522" t="n">
        <v>0</v>
      </c>
      <c r="AC107" s="522" t="n">
        <v>0</v>
      </c>
      <c r="AD107" s="522" t="n">
        <v>0</v>
      </c>
      <c r="AE107" s="522" t="n">
        <v>0</v>
      </c>
      <c r="AF107" s="522" t="n">
        <v>0</v>
      </c>
      <c r="AG107" s="522" t="n">
        <v>0</v>
      </c>
      <c r="AH107" s="522" t="n">
        <v>0</v>
      </c>
      <c r="AI107" s="522" t="n">
        <v>0</v>
      </c>
      <c r="AJ107" s="522" t="n">
        <v>0</v>
      </c>
      <c r="AK107" s="522" t="n">
        <v>0</v>
      </c>
      <c r="AL107" s="522" t="n">
        <v>0</v>
      </c>
      <c r="AM107" s="522" t="n">
        <v>0</v>
      </c>
      <c r="AN107" s="522" t="n">
        <v>0</v>
      </c>
      <c r="AO107" s="522" t="n">
        <v>0</v>
      </c>
      <c r="AP107" s="522" t="n">
        <v>0</v>
      </c>
      <c r="AQ107" s="522" t="n">
        <v>0</v>
      </c>
      <c r="AR107" s="522" t="n">
        <v>0</v>
      </c>
      <c r="AS107" s="522" t="n">
        <v>0</v>
      </c>
      <c r="AT107" s="522" t="n">
        <v>0</v>
      </c>
      <c r="AU107" s="522" t="n">
        <v>0</v>
      </c>
      <c r="AV107" s="522" t="n">
        <v>0</v>
      </c>
      <c r="AW107" s="522" t="n">
        <v>0</v>
      </c>
      <c r="AX107" s="522" t="n">
        <v>0</v>
      </c>
      <c r="AY107" s="522" t="n">
        <v>0</v>
      </c>
      <c r="AZ107" s="522" t="n">
        <v>0</v>
      </c>
      <c r="BA107" s="522" t="n">
        <v>0</v>
      </c>
      <c r="BB107" s="522" t="n">
        <v>0</v>
      </c>
      <c r="BC107" s="522" t="n">
        <v>0</v>
      </c>
      <c r="BD107" s="522" t="n">
        <v>0</v>
      </c>
      <c r="BE107" s="522" t="n">
        <v>0</v>
      </c>
      <c r="BF107" s="522" t="n">
        <v>0</v>
      </c>
      <c r="BG107" s="522" t="n">
        <v>0</v>
      </c>
      <c r="BH107" s="522" t="n">
        <v>0</v>
      </c>
      <c r="BI107" s="522" t="n">
        <v>0</v>
      </c>
      <c r="BJ107" s="522" t="n">
        <v>0</v>
      </c>
      <c r="BK107" s="522" t="n">
        <v>0</v>
      </c>
      <c r="BL107" s="522" t="n">
        <v>0</v>
      </c>
      <c r="BM107" s="522" t="n">
        <v>0</v>
      </c>
      <c r="BN107" s="522" t="n">
        <v>0</v>
      </c>
      <c r="BO107" s="522" t="n">
        <v>0</v>
      </c>
      <c r="BP107" s="522" t="n">
        <v>0</v>
      </c>
      <c r="BQ107" s="522" t="n">
        <v>0</v>
      </c>
      <c r="BR107" s="522" t="n">
        <v>0</v>
      </c>
      <c r="BS107" s="522" t="n">
        <v>0</v>
      </c>
      <c r="BT107" s="522" t="n">
        <v>0</v>
      </c>
      <c r="BU107" s="522" t="n">
        <v>0</v>
      </c>
      <c r="BV107" s="522" t="n">
        <v>0</v>
      </c>
      <c r="BW107" s="522" t="n">
        <v>0</v>
      </c>
      <c r="BX107" s="522" t="n">
        <v>0</v>
      </c>
      <c r="BY107" s="522" t="n">
        <v>0</v>
      </c>
      <c r="BZ107" s="522" t="n">
        <v>0</v>
      </c>
      <c r="CA107" s="522" t="n">
        <v>0</v>
      </c>
      <c r="CB107" s="522" t="n">
        <v>0</v>
      </c>
      <c r="CC107" s="522" t="n">
        <v>0</v>
      </c>
      <c r="CD107" s="522" t="n">
        <v>0</v>
      </c>
      <c r="CE107" s="522" t="n">
        <v>0</v>
      </c>
      <c r="CF107" s="522" t="n">
        <v>0</v>
      </c>
      <c r="CG107" s="522" t="n">
        <v>0</v>
      </c>
      <c r="CH107" s="522" t="n">
        <v>0</v>
      </c>
      <c r="CI107" s="522" t="n">
        <v>0</v>
      </c>
      <c r="CJ107" s="522" t="n">
        <v>0</v>
      </c>
      <c r="CK107" s="522" t="n">
        <v>0</v>
      </c>
      <c r="CL107" s="522" t="n">
        <v>0</v>
      </c>
      <c r="CM107" s="522" t="n">
        <v>0</v>
      </c>
      <c r="CN107" s="522" t="n">
        <v>0</v>
      </c>
      <c r="CO107" s="522" t="n">
        <v>0</v>
      </c>
      <c r="CP107" s="522" t="n">
        <v>0</v>
      </c>
      <c r="CQ107" s="522" t="n">
        <v>0</v>
      </c>
      <c r="CR107" s="522" t="n">
        <v>0</v>
      </c>
      <c r="CS107" s="522" t="n">
        <v>0</v>
      </c>
      <c r="CT107" s="522" t="n">
        <v>0</v>
      </c>
      <c r="CU107" s="522" t="n">
        <v>0</v>
      </c>
      <c r="CV107" s="522" t="n">
        <v>0</v>
      </c>
      <c r="CW107" s="522" t="n">
        <v>0</v>
      </c>
      <c r="CX107" s="522" t="n">
        <v>0</v>
      </c>
      <c r="CY107" s="522" t="n">
        <v>0</v>
      </c>
      <c r="CZ107" s="522" t="n">
        <v>0</v>
      </c>
      <c r="DA107" s="522" t="n">
        <v>0</v>
      </c>
      <c r="DB107" s="522" t="n">
        <v>0</v>
      </c>
      <c r="DC107" s="522" t="n">
        <v>0</v>
      </c>
      <c r="DD107" s="522" t="n">
        <v>0</v>
      </c>
      <c r="DE107" s="522" t="n">
        <v>0</v>
      </c>
      <c r="DF107" s="522" t="n">
        <v>0</v>
      </c>
    </row>
    <row r="108" ht="15" customFormat="1" customHeight="1" s="380">
      <c r="A108" s="468" t="inlineStr">
        <is>
          <t>Steyn Liquidity Guarantee Fee</t>
        </is>
      </c>
      <c r="C108" s="483" t="n">
        <v>0</v>
      </c>
      <c r="D108" s="483" t="n">
        <v>0</v>
      </c>
      <c r="E108" s="483" t="n">
        <v>0</v>
      </c>
      <c r="F108" s="522" t="n">
        <v>0</v>
      </c>
      <c r="G108" s="522" t="n">
        <v>0</v>
      </c>
      <c r="H108" s="522" t="n">
        <v>0</v>
      </c>
      <c r="I108" s="522" t="n">
        <v>0</v>
      </c>
      <c r="J108" s="522" t="n">
        <v>0</v>
      </c>
      <c r="K108" s="522" t="n">
        <v>0</v>
      </c>
      <c r="L108" s="522" t="n">
        <v>0</v>
      </c>
      <c r="M108" s="522" t="n">
        <v>0</v>
      </c>
      <c r="N108" s="522" t="n">
        <v>0</v>
      </c>
      <c r="O108" s="522" t="n">
        <v>0</v>
      </c>
      <c r="P108" s="522" t="n">
        <v>0</v>
      </c>
      <c r="Q108" s="522" t="n">
        <v>0</v>
      </c>
      <c r="R108" s="522" t="n">
        <v>0</v>
      </c>
      <c r="S108" s="522" t="n">
        <v>0</v>
      </c>
      <c r="T108" s="522" t="n">
        <v>0</v>
      </c>
      <c r="U108" s="522" t="n">
        <v>0</v>
      </c>
      <c r="V108" s="522" t="n">
        <v>0</v>
      </c>
      <c r="W108" s="522" t="n">
        <v>0</v>
      </c>
      <c r="X108" s="522" t="n">
        <v>0</v>
      </c>
      <c r="Y108" s="522" t="n">
        <v>0</v>
      </c>
      <c r="Z108" s="522" t="n">
        <v>0</v>
      </c>
      <c r="AA108" s="522" t="n">
        <v>0</v>
      </c>
      <c r="AB108" s="522" t="n">
        <v>0</v>
      </c>
      <c r="AC108" s="522" t="n">
        <v>0</v>
      </c>
      <c r="AD108" s="522" t="n">
        <v>0</v>
      </c>
      <c r="AE108" s="522" t="n">
        <v>0</v>
      </c>
      <c r="AF108" s="522" t="n">
        <v>0</v>
      </c>
      <c r="AG108" s="522" t="n">
        <v>0</v>
      </c>
      <c r="AH108" s="522" t="n">
        <v>0</v>
      </c>
      <c r="AI108" s="522" t="n">
        <v>0</v>
      </c>
      <c r="AJ108" s="522" t="n">
        <v>0</v>
      </c>
      <c r="AK108" s="522" t="n">
        <v>0</v>
      </c>
      <c r="AL108" s="522" t="n">
        <v>0</v>
      </c>
      <c r="AM108" s="522" t="n">
        <v>0</v>
      </c>
      <c r="AN108" s="522" t="n">
        <v>0</v>
      </c>
      <c r="AO108" s="522" t="n">
        <v>0</v>
      </c>
      <c r="AP108" s="522" t="n">
        <v>0</v>
      </c>
      <c r="AQ108" s="522" t="n">
        <v>0</v>
      </c>
      <c r="AR108" s="522" t="n">
        <v>0</v>
      </c>
      <c r="AS108" s="522" t="n">
        <v>0</v>
      </c>
      <c r="AT108" s="522" t="n">
        <v>0</v>
      </c>
      <c r="AU108" s="522" t="n">
        <v>0</v>
      </c>
      <c r="AV108" s="522" t="n">
        <v>0</v>
      </c>
      <c r="AW108" s="522" t="n">
        <v>0</v>
      </c>
      <c r="AX108" s="522" t="n">
        <v>0</v>
      </c>
      <c r="AY108" s="522" t="n">
        <v>0</v>
      </c>
      <c r="AZ108" s="522" t="n">
        <v>0</v>
      </c>
      <c r="BA108" s="522" t="n">
        <v>0</v>
      </c>
      <c r="BB108" s="522" t="n">
        <v>0</v>
      </c>
      <c r="BC108" s="522" t="n">
        <v>0</v>
      </c>
      <c r="BD108" s="522" t="n">
        <v>0</v>
      </c>
      <c r="BE108" s="522" t="n">
        <v>0</v>
      </c>
      <c r="BF108" s="522" t="n">
        <v>0</v>
      </c>
      <c r="BG108" s="522" t="n">
        <v>0</v>
      </c>
      <c r="BH108" s="522" t="n">
        <v>0</v>
      </c>
      <c r="BI108" s="522" t="n">
        <v>0</v>
      </c>
      <c r="BJ108" s="522" t="n">
        <v>0</v>
      </c>
      <c r="BK108" s="522" t="n">
        <v>0</v>
      </c>
      <c r="BL108" s="522" t="n">
        <v>0</v>
      </c>
      <c r="BM108" s="522" t="n">
        <v>0</v>
      </c>
      <c r="BN108" s="522" t="n">
        <v>0</v>
      </c>
      <c r="BO108" s="522" t="n">
        <v>0</v>
      </c>
      <c r="BP108" s="522" t="n">
        <v>0</v>
      </c>
      <c r="BQ108" s="522" t="n">
        <v>0</v>
      </c>
      <c r="BR108" s="522" t="n">
        <v>0</v>
      </c>
      <c r="BS108" s="522" t="n">
        <v>0</v>
      </c>
      <c r="BT108" s="522" t="n">
        <v>0</v>
      </c>
      <c r="BU108" s="522" t="n">
        <v>0</v>
      </c>
      <c r="BV108" s="522" t="n">
        <v>0</v>
      </c>
      <c r="BW108" s="522" t="n">
        <v>0</v>
      </c>
      <c r="BX108" s="522" t="n">
        <v>0</v>
      </c>
      <c r="BY108" s="522" t="n">
        <v>0</v>
      </c>
      <c r="BZ108" s="522" t="n">
        <v>0</v>
      </c>
      <c r="CA108" s="522" t="n">
        <v>0</v>
      </c>
      <c r="CB108" s="522" t="n">
        <v>0</v>
      </c>
      <c r="CC108" s="522" t="n">
        <v>0</v>
      </c>
      <c r="CD108" s="522" t="n">
        <v>0</v>
      </c>
      <c r="CE108" s="522" t="n">
        <v>0</v>
      </c>
      <c r="CF108" s="522" t="n">
        <v>0</v>
      </c>
      <c r="CG108" s="522" t="n">
        <v>0</v>
      </c>
      <c r="CH108" s="522" t="n">
        <v>0</v>
      </c>
      <c r="CI108" s="522" t="n">
        <v>0</v>
      </c>
      <c r="CJ108" s="522" t="n">
        <v>0</v>
      </c>
      <c r="CK108" s="522" t="n">
        <v>0</v>
      </c>
      <c r="CL108" s="522" t="n">
        <v>0</v>
      </c>
      <c r="CM108" s="522" t="n">
        <v>0</v>
      </c>
      <c r="CN108" s="522" t="n">
        <v>0</v>
      </c>
      <c r="CO108" s="522" t="n">
        <v>0</v>
      </c>
      <c r="CP108" s="522" t="n">
        <v>0</v>
      </c>
      <c r="CQ108" s="522" t="n">
        <v>0</v>
      </c>
      <c r="CR108" s="522" t="n">
        <v>0</v>
      </c>
      <c r="CS108" s="522" t="n">
        <v>0</v>
      </c>
      <c r="CT108" s="522" t="n">
        <v>0</v>
      </c>
      <c r="CU108" s="522" t="n">
        <v>0</v>
      </c>
      <c r="CV108" s="522" t="n">
        <v>0</v>
      </c>
      <c r="CW108" s="522" t="n">
        <v>0</v>
      </c>
      <c r="CX108" s="522" t="n">
        <v>0</v>
      </c>
      <c r="CY108" s="522" t="n">
        <v>0</v>
      </c>
      <c r="CZ108" s="522" t="n">
        <v>0</v>
      </c>
      <c r="DA108" s="522" t="n">
        <v>0</v>
      </c>
      <c r="DB108" s="522" t="n">
        <v>0</v>
      </c>
      <c r="DC108" s="522" t="n">
        <v>0</v>
      </c>
      <c r="DD108" s="522" t="n">
        <v>0</v>
      </c>
      <c r="DE108" s="522" t="n">
        <v>0</v>
      </c>
      <c r="DF108" s="522" t="n">
        <v>0</v>
      </c>
    </row>
    <row r="109" ht="15" customFormat="1" customHeight="1" s="380">
      <c r="A109" s="468" t="inlineStr">
        <is>
          <t>Francis Steyn Fee + PIK (from LIHTC Revenue)</t>
        </is>
      </c>
      <c r="C109" s="483" t="n">
        <v>0</v>
      </c>
      <c r="D109" s="483" t="n">
        <v>0</v>
      </c>
      <c r="E109" s="483" t="n">
        <v>0</v>
      </c>
      <c r="F109" s="522" t="n">
        <v>0</v>
      </c>
      <c r="G109" s="522" t="n">
        <v>0</v>
      </c>
      <c r="H109" s="522" t="n">
        <v>0</v>
      </c>
      <c r="I109" s="522" t="n">
        <v>0</v>
      </c>
      <c r="J109" s="522" t="n">
        <v>0</v>
      </c>
      <c r="K109" s="522" t="n">
        <v>0</v>
      </c>
      <c r="L109" s="522" t="n">
        <v>0</v>
      </c>
      <c r="M109" s="522" t="n">
        <v>0</v>
      </c>
      <c r="N109" s="522" t="n">
        <v>0</v>
      </c>
      <c r="O109" s="522" t="n">
        <v>0</v>
      </c>
      <c r="P109" s="522" t="n">
        <v>0</v>
      </c>
      <c r="Q109" s="522" t="n">
        <v>0</v>
      </c>
      <c r="R109" s="522" t="n">
        <v>0</v>
      </c>
      <c r="S109" s="522" t="n">
        <v>0</v>
      </c>
      <c r="T109" s="522" t="n">
        <v>0</v>
      </c>
      <c r="U109" s="522" t="n">
        <v>0</v>
      </c>
      <c r="V109" s="522" t="n">
        <v>0</v>
      </c>
      <c r="W109" s="522" t="n">
        <v>0</v>
      </c>
      <c r="X109" s="522" t="n">
        <v>0</v>
      </c>
      <c r="Y109" s="522" t="n">
        <v>0</v>
      </c>
      <c r="Z109" s="522" t="n">
        <v>0</v>
      </c>
      <c r="AA109" s="522" t="n">
        <v>0</v>
      </c>
      <c r="AB109" s="522" t="n">
        <v>0</v>
      </c>
      <c r="AC109" s="522" t="n">
        <v>0</v>
      </c>
      <c r="AD109" s="522" t="n">
        <v>0</v>
      </c>
      <c r="AE109" s="522" t="n">
        <v>0</v>
      </c>
      <c r="AF109" s="522" t="n">
        <v>0</v>
      </c>
      <c r="AG109" s="522" t="n">
        <v>0</v>
      </c>
      <c r="AH109" s="522" t="n">
        <v>0</v>
      </c>
      <c r="AI109" s="522" t="n">
        <v>0</v>
      </c>
      <c r="AJ109" s="522" t="n">
        <v>0</v>
      </c>
      <c r="AK109" s="522" t="n">
        <v>0</v>
      </c>
      <c r="AL109" s="522" t="n">
        <v>0</v>
      </c>
      <c r="AM109" s="522" t="n">
        <v>0</v>
      </c>
      <c r="AN109" s="522" t="n">
        <v>0</v>
      </c>
      <c r="AO109" s="522" t="n">
        <v>0</v>
      </c>
      <c r="AP109" s="522" t="n">
        <v>0</v>
      </c>
      <c r="AQ109" s="522" t="n">
        <v>0</v>
      </c>
      <c r="AR109" s="522" t="n">
        <v>0</v>
      </c>
      <c r="AS109" s="522" t="n">
        <v>0</v>
      </c>
      <c r="AT109" s="522" t="n">
        <v>0</v>
      </c>
      <c r="AU109" s="522" t="n">
        <v>-81683</v>
      </c>
      <c r="AV109" s="522" t="n">
        <v>0</v>
      </c>
      <c r="AW109" s="522" t="n">
        <v>0</v>
      </c>
      <c r="AX109" s="522" t="n">
        <v>-81682</v>
      </c>
      <c r="AY109" s="522" t="n">
        <v>0</v>
      </c>
      <c r="AZ109" s="522" t="n">
        <v>0</v>
      </c>
      <c r="BA109" s="522" t="n">
        <v>-81682</v>
      </c>
      <c r="BB109" s="522" t="n">
        <v>0</v>
      </c>
      <c r="BC109" s="522" t="n">
        <v>0</v>
      </c>
      <c r="BD109" s="522" t="n">
        <v>-81682</v>
      </c>
      <c r="BE109" s="522" t="n">
        <v>0</v>
      </c>
      <c r="BF109" s="522" t="n">
        <v>0</v>
      </c>
      <c r="BG109" s="522" t="n">
        <v>-59178</v>
      </c>
      <c r="BH109" s="522" t="n">
        <v>0</v>
      </c>
      <c r="BI109" s="522" t="n">
        <v>0</v>
      </c>
      <c r="BJ109" s="522" t="n">
        <v>-59176</v>
      </c>
      <c r="BK109" s="522" t="n">
        <v>0</v>
      </c>
      <c r="BL109" s="522" t="n">
        <v>0</v>
      </c>
      <c r="BM109" s="522" t="n">
        <v>-59176</v>
      </c>
      <c r="BN109" s="522" t="n">
        <v>0</v>
      </c>
      <c r="BO109" s="522" t="n">
        <v>0</v>
      </c>
      <c r="BP109" s="522" t="n">
        <v>-59176</v>
      </c>
      <c r="BQ109" s="522" t="n">
        <v>0</v>
      </c>
      <c r="BR109" s="522" t="n">
        <v>0</v>
      </c>
      <c r="BS109" s="522" t="n">
        <v>-16249.48</v>
      </c>
      <c r="BT109" s="522" t="n">
        <v>0</v>
      </c>
      <c r="BU109" s="522" t="n">
        <v>0</v>
      </c>
      <c r="BV109" s="522" t="n">
        <v>0</v>
      </c>
      <c r="BW109" s="522" t="n">
        <v>0</v>
      </c>
      <c r="BX109" s="522" t="n">
        <v>0</v>
      </c>
      <c r="BY109" s="522" t="n">
        <v>0</v>
      </c>
      <c r="BZ109" s="522" t="n">
        <v>0</v>
      </c>
      <c r="CA109" s="522" t="n">
        <v>0</v>
      </c>
      <c r="CB109" s="522" t="n">
        <v>0</v>
      </c>
      <c r="CC109" s="522" t="n">
        <v>0</v>
      </c>
      <c r="CD109" s="522" t="n">
        <v>0</v>
      </c>
      <c r="CE109" s="522" t="n">
        <v>0</v>
      </c>
      <c r="CF109" s="522" t="n">
        <v>0</v>
      </c>
      <c r="CG109" s="522" t="n">
        <v>0</v>
      </c>
      <c r="CH109" s="522" t="n">
        <v>0</v>
      </c>
      <c r="CI109" s="522" t="n">
        <v>0</v>
      </c>
      <c r="CJ109" s="522" t="n">
        <v>0</v>
      </c>
      <c r="CK109" s="522" t="n">
        <v>0</v>
      </c>
      <c r="CL109" s="522" t="n">
        <v>0</v>
      </c>
      <c r="CM109" s="522" t="n">
        <v>0</v>
      </c>
      <c r="CN109" s="522" t="n">
        <v>0</v>
      </c>
      <c r="CO109" s="522" t="n">
        <v>0</v>
      </c>
      <c r="CP109" s="522" t="n">
        <v>0</v>
      </c>
      <c r="CQ109" s="522" t="n">
        <v>0</v>
      </c>
      <c r="CR109" s="522" t="n">
        <v>0</v>
      </c>
      <c r="CS109" s="522" t="n">
        <v>0</v>
      </c>
      <c r="CT109" s="522" t="n">
        <v>0</v>
      </c>
      <c r="CU109" s="522" t="n">
        <v>0</v>
      </c>
      <c r="CV109" s="522" t="n">
        <v>0</v>
      </c>
      <c r="CW109" s="522" t="n">
        <v>0</v>
      </c>
      <c r="CX109" s="522" t="n">
        <v>0</v>
      </c>
      <c r="CY109" s="522" t="n">
        <v>0</v>
      </c>
      <c r="CZ109" s="522" t="n">
        <v>0</v>
      </c>
      <c r="DA109" s="522" t="n">
        <v>0</v>
      </c>
      <c r="DB109" s="522" t="n">
        <v>0</v>
      </c>
      <c r="DC109" s="522" t="n">
        <v>0</v>
      </c>
      <c r="DD109" s="522" t="n">
        <v>0</v>
      </c>
      <c r="DE109" s="522" t="n">
        <v>0</v>
      </c>
      <c r="DF109" s="522" t="n">
        <v>0</v>
      </c>
    </row>
    <row r="110" ht="15" customFormat="1" customHeight="1" s="380">
      <c r="A110" s="468" t="inlineStr">
        <is>
          <t>Reseda Steyn Fee + PIK (from LIHTC Revenue)</t>
        </is>
      </c>
      <c r="C110" s="483" t="n">
        <v>0</v>
      </c>
      <c r="D110" s="483" t="n">
        <v>0</v>
      </c>
      <c r="E110" s="483" t="n">
        <v>0</v>
      </c>
      <c r="F110" s="522" t="n">
        <v>0</v>
      </c>
      <c r="G110" s="522" t="n">
        <v>0</v>
      </c>
      <c r="H110" s="522" t="n">
        <v>0</v>
      </c>
      <c r="I110" s="522" t="n">
        <v>0</v>
      </c>
      <c r="J110" s="522" t="n">
        <v>0</v>
      </c>
      <c r="K110" s="522" t="n">
        <v>0</v>
      </c>
      <c r="L110" s="522" t="n">
        <v>0</v>
      </c>
      <c r="M110" s="522" t="n">
        <v>0</v>
      </c>
      <c r="N110" s="522" t="n">
        <v>0</v>
      </c>
      <c r="O110" s="522" t="n">
        <v>0</v>
      </c>
      <c r="P110" s="522" t="n">
        <v>0</v>
      </c>
      <c r="Q110" s="522" t="n">
        <v>0</v>
      </c>
      <c r="R110" s="522" t="n">
        <v>0</v>
      </c>
      <c r="S110" s="522" t="n">
        <v>0</v>
      </c>
      <c r="T110" s="522" t="n">
        <v>0</v>
      </c>
      <c r="U110" s="522" t="n">
        <v>0</v>
      </c>
      <c r="V110" s="522" t="n">
        <v>0</v>
      </c>
      <c r="W110" s="522" t="n">
        <v>0</v>
      </c>
      <c r="X110" s="522" t="n">
        <v>0</v>
      </c>
      <c r="Y110" s="522" t="n">
        <v>0</v>
      </c>
      <c r="Z110" s="522" t="n">
        <v>0</v>
      </c>
      <c r="AA110" s="522" t="n">
        <v>0</v>
      </c>
      <c r="AB110" s="522" t="n">
        <v>0</v>
      </c>
      <c r="AC110" s="522" t="n">
        <v>0</v>
      </c>
      <c r="AD110" s="522" t="n">
        <v>0</v>
      </c>
      <c r="AE110" s="522" t="n">
        <v>0</v>
      </c>
      <c r="AF110" s="522" t="n">
        <v>0</v>
      </c>
      <c r="AG110" s="522" t="n">
        <v>0</v>
      </c>
      <c r="AH110" s="522" t="n">
        <v>0</v>
      </c>
      <c r="AI110" s="522" t="n">
        <v>0</v>
      </c>
      <c r="AJ110" s="522" t="n">
        <v>0</v>
      </c>
      <c r="AK110" s="522" t="n">
        <v>0</v>
      </c>
      <c r="AL110" s="522" t="n">
        <v>0</v>
      </c>
      <c r="AM110" s="522" t="n">
        <v>0</v>
      </c>
      <c r="AN110" s="522" t="n">
        <v>0</v>
      </c>
      <c r="AO110" s="522" t="n">
        <v>0</v>
      </c>
      <c r="AP110" s="522" t="n">
        <v>0</v>
      </c>
      <c r="AQ110" s="522" t="n">
        <v>0</v>
      </c>
      <c r="AR110" s="522" t="n">
        <v>0</v>
      </c>
      <c r="AS110" s="522" t="n">
        <v>0</v>
      </c>
      <c r="AT110" s="522" t="n">
        <v>0</v>
      </c>
      <c r="AU110" s="522" t="n">
        <v>0</v>
      </c>
      <c r="AV110" s="522" t="n">
        <v>0</v>
      </c>
      <c r="AW110" s="522" t="n">
        <v>0</v>
      </c>
      <c r="AX110" s="522" t="n">
        <v>0</v>
      </c>
      <c r="AY110" s="522" t="n">
        <v>0</v>
      </c>
      <c r="AZ110" s="522" t="n">
        <v>0</v>
      </c>
      <c r="BA110" s="522" t="n">
        <v>0</v>
      </c>
      <c r="BB110" s="522" t="n">
        <v>0</v>
      </c>
      <c r="BC110" s="522" t="n">
        <v>0</v>
      </c>
      <c r="BD110" s="522" t="n">
        <v>-851839</v>
      </c>
      <c r="BE110" s="522" t="n">
        <v>0</v>
      </c>
      <c r="BF110" s="522" t="n">
        <v>0</v>
      </c>
      <c r="BG110" s="522" t="n">
        <v>-71700</v>
      </c>
      <c r="BH110" s="522" t="n">
        <v>0</v>
      </c>
      <c r="BI110" s="522" t="n">
        <v>0</v>
      </c>
      <c r="BJ110" s="522" t="n">
        <v>-71700</v>
      </c>
      <c r="BK110" s="522" t="n">
        <v>0</v>
      </c>
      <c r="BL110" s="522" t="n">
        <v>0</v>
      </c>
      <c r="BM110" s="522" t="n">
        <v>-71700</v>
      </c>
      <c r="BN110" s="522" t="n">
        <v>0</v>
      </c>
      <c r="BO110" s="522" t="n">
        <v>0</v>
      </c>
      <c r="BP110" s="522" t="n">
        <v>-71700</v>
      </c>
      <c r="BQ110" s="522" t="n">
        <v>0</v>
      </c>
      <c r="BR110" s="522" t="n">
        <v>0</v>
      </c>
      <c r="BS110" s="522" t="n">
        <v>-74643</v>
      </c>
      <c r="BT110" s="522" t="n">
        <v>0</v>
      </c>
      <c r="BU110" s="522" t="n">
        <v>0</v>
      </c>
      <c r="BV110" s="522" t="n">
        <v>-74640</v>
      </c>
      <c r="BW110" s="522" t="n">
        <v>0</v>
      </c>
      <c r="BX110" s="522" t="n">
        <v>0</v>
      </c>
      <c r="BY110" s="522" t="n">
        <v>-74640</v>
      </c>
      <c r="BZ110" s="522" t="n">
        <v>0</v>
      </c>
      <c r="CA110" s="522" t="n">
        <v>0</v>
      </c>
      <c r="CB110" s="522" t="n">
        <v>-74640</v>
      </c>
      <c r="CC110" s="522" t="n">
        <v>0</v>
      </c>
      <c r="CD110" s="522" t="n">
        <v>0</v>
      </c>
      <c r="CE110" s="522" t="n">
        <v>-81363</v>
      </c>
      <c r="CF110" s="522" t="n">
        <v>0</v>
      </c>
      <c r="CG110" s="522" t="n">
        <v>0</v>
      </c>
      <c r="CH110" s="522" t="n">
        <v>-81362</v>
      </c>
      <c r="CI110" s="522" t="n">
        <v>0</v>
      </c>
      <c r="CJ110" s="522" t="n">
        <v>0</v>
      </c>
      <c r="CK110" s="522" t="n">
        <v>-74753.97339352081</v>
      </c>
      <c r="CL110" s="522" t="n">
        <v>0</v>
      </c>
      <c r="CM110" s="522" t="n">
        <v>0</v>
      </c>
      <c r="CN110" s="522" t="n">
        <v>0</v>
      </c>
      <c r="CO110" s="522" t="n">
        <v>0</v>
      </c>
      <c r="CP110" s="522" t="n">
        <v>0</v>
      </c>
      <c r="CQ110" s="522" t="n">
        <v>0</v>
      </c>
      <c r="CR110" s="522" t="n">
        <v>0</v>
      </c>
      <c r="CS110" s="522" t="n">
        <v>0</v>
      </c>
      <c r="CT110" s="522" t="n">
        <v>0</v>
      </c>
      <c r="CU110" s="522" t="n">
        <v>0</v>
      </c>
      <c r="CV110" s="522" t="n">
        <v>0</v>
      </c>
      <c r="CW110" s="522" t="n">
        <v>0</v>
      </c>
      <c r="CX110" s="522" t="n">
        <v>0</v>
      </c>
      <c r="CY110" s="522" t="n">
        <v>0</v>
      </c>
      <c r="CZ110" s="522" t="n">
        <v>0</v>
      </c>
      <c r="DA110" s="522" t="n">
        <v>0</v>
      </c>
      <c r="DB110" s="522" t="n">
        <v>0</v>
      </c>
      <c r="DC110" s="522" t="n">
        <v>0</v>
      </c>
      <c r="DD110" s="522" t="n">
        <v>0</v>
      </c>
      <c r="DE110" s="522" t="n">
        <v>0</v>
      </c>
      <c r="DF110" s="522" t="n">
        <v>0</v>
      </c>
    </row>
    <row r="111" ht="15" customFormat="1" customHeight="1" s="380">
      <c r="A111" s="468" t="inlineStr">
        <is>
          <t>3rd St Steyn Fee + PIK (from LIHTC Revenue)</t>
        </is>
      </c>
      <c r="C111" s="483" t="n">
        <v>0</v>
      </c>
      <c r="D111" s="483" t="n">
        <v>0</v>
      </c>
      <c r="E111" s="483" t="n">
        <v>0</v>
      </c>
      <c r="F111" s="522" t="n">
        <v>0</v>
      </c>
      <c r="G111" s="522" t="n">
        <v>0</v>
      </c>
      <c r="H111" s="522" t="n">
        <v>0</v>
      </c>
      <c r="I111" s="522" t="n">
        <v>0</v>
      </c>
      <c r="J111" s="522" t="n">
        <v>0</v>
      </c>
      <c r="K111" s="522" t="n">
        <v>0</v>
      </c>
      <c r="L111" s="522" t="n">
        <v>0</v>
      </c>
      <c r="M111" s="522" t="n">
        <v>0</v>
      </c>
      <c r="N111" s="522" t="n">
        <v>0</v>
      </c>
      <c r="O111" s="522" t="n">
        <v>0</v>
      </c>
      <c r="P111" s="522" t="n">
        <v>0</v>
      </c>
      <c r="Q111" s="522" t="n">
        <v>0</v>
      </c>
      <c r="R111" s="522" t="n">
        <v>0</v>
      </c>
      <c r="S111" s="522" t="n">
        <v>0</v>
      </c>
      <c r="T111" s="522" t="n">
        <v>0</v>
      </c>
      <c r="U111" s="522" t="n">
        <v>0</v>
      </c>
      <c r="V111" s="522" t="n">
        <v>0</v>
      </c>
      <c r="W111" s="522" t="n">
        <v>0</v>
      </c>
      <c r="X111" s="522" t="n">
        <v>0</v>
      </c>
      <c r="Y111" s="522" t="n">
        <v>0</v>
      </c>
      <c r="Z111" s="522" t="n">
        <v>0</v>
      </c>
      <c r="AA111" s="522" t="n">
        <v>0</v>
      </c>
      <c r="AB111" s="522" t="n">
        <v>0</v>
      </c>
      <c r="AC111" s="522" t="n">
        <v>0</v>
      </c>
      <c r="AD111" s="522" t="n">
        <v>0</v>
      </c>
      <c r="AE111" s="522" t="n">
        <v>0</v>
      </c>
      <c r="AF111" s="522" t="n">
        <v>0</v>
      </c>
      <c r="AG111" s="522" t="n">
        <v>0</v>
      </c>
      <c r="AH111" s="522" t="n">
        <v>0</v>
      </c>
      <c r="AI111" s="522" t="n">
        <v>0</v>
      </c>
      <c r="AJ111" s="522" t="n">
        <v>0</v>
      </c>
      <c r="AK111" s="522" t="n">
        <v>0</v>
      </c>
      <c r="AL111" s="522" t="n">
        <v>0</v>
      </c>
      <c r="AM111" s="522" t="n">
        <v>0</v>
      </c>
      <c r="AN111" s="522" t="n">
        <v>0</v>
      </c>
      <c r="AO111" s="522" t="n">
        <v>0</v>
      </c>
      <c r="AP111" s="522" t="n">
        <v>0</v>
      </c>
      <c r="AQ111" s="522" t="n">
        <v>0</v>
      </c>
      <c r="AR111" s="522" t="n">
        <v>0</v>
      </c>
      <c r="AS111" s="522" t="n">
        <v>0</v>
      </c>
      <c r="AT111" s="522" t="n">
        <v>0</v>
      </c>
      <c r="AU111" s="522" t="n">
        <v>0</v>
      </c>
      <c r="AV111" s="522" t="n">
        <v>0</v>
      </c>
      <c r="AW111" s="522" t="n">
        <v>0</v>
      </c>
      <c r="AX111" s="522" t="n">
        <v>0</v>
      </c>
      <c r="AY111" s="522" t="n">
        <v>0</v>
      </c>
      <c r="AZ111" s="522" t="n">
        <v>0</v>
      </c>
      <c r="BA111" s="522" t="n">
        <v>0</v>
      </c>
      <c r="BB111" s="522" t="n">
        <v>0</v>
      </c>
      <c r="BC111" s="522" t="n">
        <v>0</v>
      </c>
      <c r="BD111" s="522" t="n">
        <v>0</v>
      </c>
      <c r="BE111" s="522" t="n">
        <v>0</v>
      </c>
      <c r="BF111" s="522" t="n">
        <v>0</v>
      </c>
      <c r="BG111" s="522" t="n">
        <v>0</v>
      </c>
      <c r="BH111" s="522" t="n">
        <v>0</v>
      </c>
      <c r="BI111" s="522" t="n">
        <v>0</v>
      </c>
      <c r="BJ111" s="522" t="n">
        <v>0</v>
      </c>
      <c r="BK111" s="522" t="n">
        <v>0</v>
      </c>
      <c r="BL111" s="522" t="n">
        <v>0</v>
      </c>
      <c r="BM111" s="522" t="n">
        <v>0</v>
      </c>
      <c r="BN111" s="522" t="n">
        <v>0</v>
      </c>
      <c r="BO111" s="522" t="n">
        <v>0</v>
      </c>
      <c r="BP111" s="522" t="n">
        <v>0</v>
      </c>
      <c r="BQ111" s="522" t="n">
        <v>0</v>
      </c>
      <c r="BR111" s="522" t="n">
        <v>0</v>
      </c>
      <c r="BS111" s="522" t="n">
        <v>0</v>
      </c>
      <c r="BT111" s="522" t="n">
        <v>0</v>
      </c>
      <c r="BU111" s="522" t="n">
        <v>0</v>
      </c>
      <c r="BV111" s="522" t="n">
        <v>0</v>
      </c>
      <c r="BW111" s="522" t="n">
        <v>0</v>
      </c>
      <c r="BX111" s="522" t="n">
        <v>0</v>
      </c>
      <c r="BY111" s="522" t="n">
        <v>0</v>
      </c>
      <c r="BZ111" s="522" t="n">
        <v>0</v>
      </c>
      <c r="CA111" s="522" t="n">
        <v>0</v>
      </c>
      <c r="CB111" s="522" t="n">
        <v>-73156</v>
      </c>
      <c r="CC111" s="522" t="n">
        <v>0</v>
      </c>
      <c r="CD111" s="522" t="n">
        <v>0</v>
      </c>
      <c r="CE111" s="522" t="n">
        <v>-73155</v>
      </c>
      <c r="CF111" s="522" t="n">
        <v>0</v>
      </c>
      <c r="CG111" s="522" t="n">
        <v>0</v>
      </c>
      <c r="CH111" s="522" t="n">
        <v>-73155</v>
      </c>
      <c r="CI111" s="522" t="n">
        <v>0</v>
      </c>
      <c r="CJ111" s="522" t="n">
        <v>0</v>
      </c>
      <c r="CK111" s="522" t="n">
        <v>-73155</v>
      </c>
      <c r="CL111" s="522" t="n">
        <v>-73155</v>
      </c>
      <c r="CM111" s="522" t="n">
        <v>-73155</v>
      </c>
      <c r="CN111" s="522" t="n">
        <v>-73155</v>
      </c>
      <c r="CO111" s="522" t="n">
        <v>-73155</v>
      </c>
      <c r="CP111" s="522" t="n">
        <v>-73155</v>
      </c>
      <c r="CQ111" s="522" t="n">
        <v>-73155</v>
      </c>
      <c r="CR111" s="522" t="n">
        <v>-73155</v>
      </c>
      <c r="CS111" s="522" t="n">
        <v>-73155</v>
      </c>
      <c r="CT111" s="522" t="n">
        <v>-73155</v>
      </c>
      <c r="CU111" s="522" t="n">
        <v>-73155</v>
      </c>
      <c r="CV111" s="522" t="n">
        <v>-73155</v>
      </c>
      <c r="CW111" s="522" t="n">
        <v>-73155</v>
      </c>
      <c r="CX111" s="522" t="n">
        <v>-17446.8489364072</v>
      </c>
      <c r="CY111" s="522" t="n">
        <v>0</v>
      </c>
      <c r="CZ111" s="522" t="n">
        <v>0</v>
      </c>
      <c r="DA111" s="522" t="n">
        <v>0</v>
      </c>
      <c r="DB111" s="522" t="n">
        <v>0</v>
      </c>
      <c r="DC111" s="522" t="n">
        <v>0</v>
      </c>
      <c r="DD111" s="522" t="n">
        <v>0</v>
      </c>
      <c r="DE111" s="522" t="n">
        <v>0</v>
      </c>
      <c r="DF111" s="522" t="n">
        <v>0</v>
      </c>
    </row>
    <row r="112" ht="15" customFormat="1" customHeight="1" s="380">
      <c r="A112" s="473" t="inlineStr">
        <is>
          <t>Total Six Peak Expenses</t>
        </is>
      </c>
      <c r="C112" s="526" t="n">
        <v>-196623.84</v>
      </c>
      <c r="D112" s="526" t="n">
        <v>-189707.12</v>
      </c>
      <c r="E112" s="526" t="n">
        <v>-242129.22</v>
      </c>
      <c r="F112" s="526" t="n">
        <v>-78090.0916666666</v>
      </c>
      <c r="G112" s="526" t="n">
        <v>-78090.0916666666</v>
      </c>
      <c r="H112" s="526" t="n">
        <v>-78090.0916666666</v>
      </c>
      <c r="I112" s="526" t="n">
        <v>-78090.0916666666</v>
      </c>
      <c r="J112" s="526" t="n">
        <v>-78090.0916666666</v>
      </c>
      <c r="K112" s="526" t="n">
        <v>-78090.0916666666</v>
      </c>
      <c r="L112" s="526" t="n">
        <v>-78090.0916666666</v>
      </c>
      <c r="M112" s="526" t="n">
        <v>-78090.0916666666</v>
      </c>
      <c r="N112" s="526" t="n">
        <v>-78090.0916666666</v>
      </c>
      <c r="O112" s="526" t="n">
        <v>-78090.0916666666</v>
      </c>
      <c r="P112" s="526" t="n">
        <v>-78090.0916666666</v>
      </c>
      <c r="Q112" s="526" t="n">
        <v>-78090.0916666666</v>
      </c>
      <c r="R112" s="526" t="n">
        <v>-79651.89350000001</v>
      </c>
      <c r="S112" s="526" t="n">
        <v>-79651.89350000001</v>
      </c>
      <c r="T112" s="526" t="n">
        <v>-79651.89350000001</v>
      </c>
      <c r="U112" s="526" t="n">
        <v>-79651.89350000001</v>
      </c>
      <c r="V112" s="526" t="n">
        <v>-79651.89350000001</v>
      </c>
      <c r="W112" s="526" t="n">
        <v>-79651.89350000001</v>
      </c>
      <c r="X112" s="526" t="n">
        <v>-79651.89350000001</v>
      </c>
      <c r="Y112" s="526" t="n">
        <v>-79651.89350000001</v>
      </c>
      <c r="Z112" s="526" t="n">
        <v>-79651.89350000001</v>
      </c>
      <c r="AA112" s="526" t="n">
        <v>-79651.89350000001</v>
      </c>
      <c r="AB112" s="526" t="n">
        <v>-79651.89350000001</v>
      </c>
      <c r="AC112" s="526" t="n">
        <v>-79651.89350000001</v>
      </c>
      <c r="AD112" s="526" t="n">
        <v>-81244.93137000001</v>
      </c>
      <c r="AE112" s="526" t="n">
        <v>-81244.93137000001</v>
      </c>
      <c r="AF112" s="526" t="n">
        <v>-81244.93137000001</v>
      </c>
      <c r="AG112" s="526" t="n">
        <v>-81244.93137000001</v>
      </c>
      <c r="AH112" s="526" t="n">
        <v>-81244.93137000001</v>
      </c>
      <c r="AI112" s="526" t="n">
        <v>-81244.93137000001</v>
      </c>
      <c r="AJ112" s="526" t="n">
        <v>-81244.93137000001</v>
      </c>
      <c r="AK112" s="526" t="n">
        <v>-81244.93137000001</v>
      </c>
      <c r="AL112" s="526" t="n">
        <v>-81244.93137000001</v>
      </c>
      <c r="AM112" s="526" t="n">
        <v>-81244.93137000001</v>
      </c>
      <c r="AN112" s="526" t="n">
        <v>-81244.93137000001</v>
      </c>
      <c r="AO112" s="526" t="n">
        <v>-81244.93137000001</v>
      </c>
      <c r="AP112" s="526" t="n">
        <v>-82869.8299974</v>
      </c>
      <c r="AQ112" s="526" t="n">
        <v>-82869.8299974</v>
      </c>
      <c r="AR112" s="526" t="n">
        <v>-82869.8299974</v>
      </c>
      <c r="AS112" s="526" t="n">
        <v>-82869.8299974</v>
      </c>
      <c r="AT112" s="526" t="n">
        <v>-82869.8299974</v>
      </c>
      <c r="AU112" s="526" t="n">
        <v>-164552.8299974</v>
      </c>
      <c r="AV112" s="526" t="n">
        <v>-82869.8299974</v>
      </c>
      <c r="AW112" s="526" t="n">
        <v>-82869.8299974</v>
      </c>
      <c r="AX112" s="526" t="n">
        <v>-164551.8299974</v>
      </c>
      <c r="AY112" s="526" t="n">
        <v>-82869.8299974</v>
      </c>
      <c r="AZ112" s="526" t="n">
        <v>-82869.8299974</v>
      </c>
      <c r="BA112" s="526" t="n">
        <v>-164551.8299974</v>
      </c>
      <c r="BB112" s="526" t="n">
        <v>-84527.226597348</v>
      </c>
      <c r="BC112" s="526" t="n">
        <v>-84527.226597348</v>
      </c>
      <c r="BD112" s="526" t="n">
        <v>-1018048.22659735</v>
      </c>
      <c r="BE112" s="526" t="n">
        <v>-84527.226597348</v>
      </c>
      <c r="BF112" s="526" t="n">
        <v>-84527.226597348</v>
      </c>
      <c r="BG112" s="526" t="n">
        <v>-215405.226597348</v>
      </c>
      <c r="BH112" s="526" t="n">
        <v>-84527.226597348</v>
      </c>
      <c r="BI112" s="526" t="n">
        <v>-84527.226597348</v>
      </c>
      <c r="BJ112" s="526" t="n">
        <v>-215403.226597348</v>
      </c>
      <c r="BK112" s="526" t="n">
        <v>-84527.226597348</v>
      </c>
      <c r="BL112" s="526" t="n">
        <v>-84527.226597348</v>
      </c>
      <c r="BM112" s="526" t="n">
        <v>-215403.226597348</v>
      </c>
      <c r="BN112" s="526" t="n">
        <v>-86217.771129295</v>
      </c>
      <c r="BO112" s="526" t="n">
        <v>-86217.771129295</v>
      </c>
      <c r="BP112" s="526" t="n">
        <v>-217093.771129295</v>
      </c>
      <c r="BQ112" s="526" t="n">
        <v>-86217.771129295</v>
      </c>
      <c r="BR112" s="526" t="n">
        <v>-86217.771129295</v>
      </c>
      <c r="BS112" s="526" t="n">
        <v>-177110.251129295</v>
      </c>
      <c r="BT112" s="526" t="n">
        <v>-86217.771129295</v>
      </c>
      <c r="BU112" s="526" t="n">
        <v>-86217.771129295</v>
      </c>
      <c r="BV112" s="526" t="n">
        <v>-160857.771129295</v>
      </c>
      <c r="BW112" s="526" t="n">
        <v>-86217.771129295</v>
      </c>
      <c r="BX112" s="526" t="n">
        <v>-86217.771129295</v>
      </c>
      <c r="BY112" s="526" t="n">
        <v>-160857.771129295</v>
      </c>
      <c r="BZ112" s="526" t="n">
        <v>-87942.12655188089</v>
      </c>
      <c r="CA112" s="526" t="n">
        <v>-87942.12655188089</v>
      </c>
      <c r="CB112" s="526" t="n">
        <v>-235738.126551881</v>
      </c>
      <c r="CC112" s="526" t="n">
        <v>-87942.12655188089</v>
      </c>
      <c r="CD112" s="526" t="n">
        <v>-87942.12655188089</v>
      </c>
      <c r="CE112" s="526" t="n">
        <v>-242460.126551881</v>
      </c>
      <c r="CF112" s="526" t="n">
        <v>-87942.12655188089</v>
      </c>
      <c r="CG112" s="526" t="n">
        <v>-87942.12655188089</v>
      </c>
      <c r="CH112" s="526" t="n">
        <v>-242459.126551881</v>
      </c>
      <c r="CI112" s="526" t="n">
        <v>-87942.12655188089</v>
      </c>
      <c r="CJ112" s="526" t="n">
        <v>-87942.12655188089</v>
      </c>
      <c r="CK112" s="526" t="n">
        <v>-235851.099945402</v>
      </c>
      <c r="CL112" s="526" t="n">
        <v>-162855.969082918</v>
      </c>
      <c r="CM112" s="526" t="n">
        <v>-162855.969082918</v>
      </c>
      <c r="CN112" s="526" t="n">
        <v>-162855.969082918</v>
      </c>
      <c r="CO112" s="526" t="n">
        <v>-162855.969082918</v>
      </c>
      <c r="CP112" s="526" t="n">
        <v>-162855.969082918</v>
      </c>
      <c r="CQ112" s="526" t="n">
        <v>-162855.969082918</v>
      </c>
      <c r="CR112" s="526" t="n">
        <v>-162855.969082918</v>
      </c>
      <c r="CS112" s="526" t="n">
        <v>-162855.969082918</v>
      </c>
      <c r="CT112" s="526" t="n">
        <v>-162855.969082918</v>
      </c>
      <c r="CU112" s="526" t="n">
        <v>-160947.475708022</v>
      </c>
      <c r="CV112" s="526" t="n">
        <v>-160947.475708022</v>
      </c>
      <c r="CW112" s="526" t="n">
        <v>-160947.475708022</v>
      </c>
      <c r="CX112" s="526" t="n">
        <v>-106995.17415859</v>
      </c>
      <c r="CY112" s="526" t="n">
        <v>-89548.32522218239</v>
      </c>
      <c r="CZ112" s="526" t="n">
        <v>-89548.32522218239</v>
      </c>
      <c r="DA112" s="526" t="n">
        <v>-89548.32522218239</v>
      </c>
      <c r="DB112" s="526" t="n">
        <v>-89548.32522218239</v>
      </c>
      <c r="DC112" s="526" t="n">
        <v>-89548.32522218239</v>
      </c>
      <c r="DD112" s="526" t="n">
        <v>-89548.32522218239</v>
      </c>
      <c r="DE112" s="526" t="n">
        <v>-89548.32522218239</v>
      </c>
      <c r="DF112" s="526" t="n">
        <v>-89548.32522218239</v>
      </c>
    </row>
    <row r="113" ht="15" customFormat="1" customHeight="1" s="380">
      <c r="A113" s="480" t="n"/>
      <c r="C113" s="483" t="n"/>
      <c r="D113" s="483" t="n"/>
      <c r="E113" s="483" t="n"/>
      <c r="F113" s="483" t="n"/>
      <c r="G113" s="483" t="n"/>
      <c r="H113" s="483" t="n"/>
      <c r="I113" s="483" t="n"/>
      <c r="J113" s="483" t="n"/>
      <c r="K113" s="483" t="n"/>
      <c r="L113" s="483" t="n"/>
      <c r="M113" s="483" t="n"/>
      <c r="N113" s="483" t="n"/>
      <c r="O113" s="483" t="n"/>
      <c r="P113" s="483" t="n"/>
      <c r="Q113" s="483" t="n"/>
      <c r="R113" s="483" t="n"/>
      <c r="S113" s="483" t="n"/>
      <c r="T113" s="483" t="n"/>
      <c r="U113" s="483" t="n"/>
      <c r="V113" s="483" t="n"/>
      <c r="W113" s="483" t="n"/>
      <c r="X113" s="483" t="n"/>
      <c r="Y113" s="483" t="n"/>
      <c r="Z113" s="483" t="n"/>
      <c r="AA113" s="483" t="n"/>
      <c r="AB113" s="483" t="n"/>
      <c r="AC113" s="483" t="n"/>
      <c r="AD113" s="483" t="n"/>
      <c r="AE113" s="483" t="n"/>
      <c r="AF113" s="483" t="n"/>
      <c r="AG113" s="483" t="n"/>
      <c r="AH113" s="483" t="n"/>
      <c r="AI113" s="483" t="n"/>
      <c r="AJ113" s="483" t="n"/>
      <c r="AK113" s="483" t="n"/>
      <c r="AL113" s="483" t="n"/>
      <c r="AM113" s="483" t="n"/>
      <c r="AN113" s="483" t="n"/>
      <c r="AO113" s="483" t="n"/>
      <c r="AP113" s="483" t="n"/>
      <c r="AQ113" s="483" t="n"/>
      <c r="AR113" s="483" t="n"/>
      <c r="AS113" s="483" t="n"/>
      <c r="AT113" s="483" t="n"/>
      <c r="AU113" s="483" t="n"/>
      <c r="AV113" s="483" t="n"/>
      <c r="AW113" s="483" t="n"/>
      <c r="AX113" s="483" t="n"/>
      <c r="AY113" s="483" t="n"/>
      <c r="AZ113" s="483" t="n"/>
      <c r="BA113" s="483" t="n"/>
      <c r="BB113" s="483" t="n"/>
      <c r="BC113" s="483" t="n"/>
      <c r="BD113" s="483" t="n"/>
      <c r="BE113" s="483" t="n"/>
      <c r="BF113" s="483" t="n"/>
      <c r="BG113" s="483" t="n"/>
      <c r="BH113" s="483" t="n"/>
      <c r="BI113" s="483" t="n"/>
      <c r="BJ113" s="483" t="n"/>
      <c r="BK113" s="483" t="n"/>
      <c r="BL113" s="483" t="n"/>
      <c r="BM113" s="483" t="n"/>
      <c r="BN113" s="483" t="n"/>
      <c r="BO113" s="483" t="n"/>
      <c r="BP113" s="483" t="n"/>
      <c r="BQ113" s="483" t="n"/>
      <c r="BR113" s="483" t="n"/>
      <c r="BS113" s="483" t="n"/>
      <c r="BT113" s="483" t="n"/>
      <c r="BU113" s="483" t="n"/>
      <c r="BV113" s="483" t="n"/>
      <c r="BW113" s="483" t="n"/>
      <c r="BX113" s="483" t="n"/>
      <c r="BY113" s="483" t="n"/>
      <c r="BZ113" s="483" t="n"/>
      <c r="CA113" s="483" t="n"/>
      <c r="CB113" s="483" t="n"/>
      <c r="CC113" s="483" t="n"/>
      <c r="CD113" s="483" t="n"/>
      <c r="CE113" s="483" t="n"/>
      <c r="CF113" s="483" t="n"/>
      <c r="CG113" s="483" t="n"/>
      <c r="CH113" s="483" t="n"/>
      <c r="CI113" s="483" t="n"/>
      <c r="CJ113" s="483" t="n"/>
      <c r="CK113" s="483" t="n"/>
      <c r="CL113" s="483" t="n"/>
      <c r="CM113" s="483" t="n"/>
      <c r="CN113" s="483" t="n"/>
      <c r="CO113" s="483" t="n"/>
      <c r="CP113" s="483" t="n"/>
      <c r="CQ113" s="483" t="n"/>
      <c r="CR113" s="483" t="n"/>
      <c r="CS113" s="483" t="n"/>
      <c r="CT113" s="483" t="n"/>
      <c r="CU113" s="483" t="n"/>
      <c r="CV113" s="483" t="n"/>
      <c r="CW113" s="483" t="n"/>
      <c r="CX113" s="483" t="n"/>
      <c r="CY113" s="483" t="n"/>
      <c r="CZ113" s="483" t="n"/>
      <c r="DA113" s="483" t="n"/>
      <c r="DB113" s="483" t="n"/>
      <c r="DC113" s="483" t="n"/>
      <c r="DD113" s="483" t="n"/>
      <c r="DE113" s="483" t="n"/>
      <c r="DF113" s="483" t="n"/>
    </row>
    <row r="114" ht="15" customFormat="1" customHeight="1" s="380">
      <c r="A114" s="480" t="inlineStr">
        <is>
          <t>Six Peak Net Income</t>
        </is>
      </c>
      <c r="C114" s="530" t="n">
        <v>-162509.26</v>
      </c>
      <c r="D114" s="530" t="n">
        <v>-155592.54</v>
      </c>
      <c r="E114" s="530" t="n">
        <v>-208014.64</v>
      </c>
      <c r="F114" s="530" t="n">
        <v>-34475.5116666666</v>
      </c>
      <c r="G114" s="530" t="n">
        <v>-34475.5116666666</v>
      </c>
      <c r="H114" s="530" t="n">
        <v>-34475.5116666666</v>
      </c>
      <c r="I114" s="530" t="n">
        <v>-34475.5116666666</v>
      </c>
      <c r="J114" s="530" t="n">
        <v>-34475.5116666666</v>
      </c>
      <c r="K114" s="530" t="n">
        <v>-35308.8416666666</v>
      </c>
      <c r="L114" s="530" t="n">
        <v>-35308.8416666666</v>
      </c>
      <c r="M114" s="530" t="n">
        <v>-44683.8416666666</v>
      </c>
      <c r="N114" s="530" t="n">
        <v>-44683.8416666666</v>
      </c>
      <c r="O114" s="530" t="n">
        <v>-44683.8416666666</v>
      </c>
      <c r="P114" s="530" t="n">
        <v>-44683.8416666666</v>
      </c>
      <c r="Q114" s="530" t="n">
        <v>-44683.8416666666</v>
      </c>
      <c r="R114" s="530" t="n">
        <v>-46245.6435</v>
      </c>
      <c r="S114" s="530" t="n">
        <v>-46245.6435</v>
      </c>
      <c r="T114" s="530" t="n">
        <v>-46245.6435</v>
      </c>
      <c r="U114" s="530" t="n">
        <v>-70151.89350000001</v>
      </c>
      <c r="V114" s="530" t="n">
        <v>-70151.89350000001</v>
      </c>
      <c r="W114" s="530" t="n">
        <v>-70151.89350000001</v>
      </c>
      <c r="X114" s="530" t="n">
        <v>-70151.89350000001</v>
      </c>
      <c r="Y114" s="530" t="n">
        <v>-70151.89350000001</v>
      </c>
      <c r="Z114" s="530" t="n">
        <v>-12776.8935</v>
      </c>
      <c r="AA114" s="530" t="n">
        <v>-70151.89350000001</v>
      </c>
      <c r="AB114" s="530" t="n">
        <v>-70151.89350000001</v>
      </c>
      <c r="AC114" s="530" t="n">
        <v>-12776.8935</v>
      </c>
      <c r="AD114" s="530" t="n">
        <v>-71744.93137000001</v>
      </c>
      <c r="AE114" s="530" t="n">
        <v>-71744.93137000001</v>
      </c>
      <c r="AF114" s="530" t="n">
        <v>-14369.93137</v>
      </c>
      <c r="AG114" s="530" t="n">
        <v>-71744.93137000001</v>
      </c>
      <c r="AH114" s="530" t="n">
        <v>-71744.93137000001</v>
      </c>
      <c r="AI114" s="530" t="n">
        <v>-71744.93137000001</v>
      </c>
      <c r="AJ114" s="530" t="n">
        <v>-81244.93137000001</v>
      </c>
      <c r="AK114" s="530" t="n">
        <v>-81244.93137000001</v>
      </c>
      <c r="AL114" s="530" t="n">
        <v>-81244.93137000001</v>
      </c>
      <c r="AM114" s="530" t="n">
        <v>-81244.93137000001</v>
      </c>
      <c r="AN114" s="530" t="n">
        <v>-81244.93137000001</v>
      </c>
      <c r="AO114" s="530" t="n">
        <v>-81244.93137000001</v>
      </c>
      <c r="AP114" s="530" t="n">
        <v>-82869.8299974</v>
      </c>
      <c r="AQ114" s="530" t="n">
        <v>-82869.8299974</v>
      </c>
      <c r="AR114" s="530" t="n">
        <v>-82869.8299974</v>
      </c>
      <c r="AS114" s="530" t="n">
        <v>-82869.8299974</v>
      </c>
      <c r="AT114" s="530" t="n">
        <v>-82869.8299974</v>
      </c>
      <c r="AU114" s="530" t="n">
        <v>-82869.8299974</v>
      </c>
      <c r="AV114" s="530" t="n">
        <v>-82869.8299974</v>
      </c>
      <c r="AW114" s="530" t="n">
        <v>-82869.8299974</v>
      </c>
      <c r="AX114" s="530" t="n">
        <v>-82869.8299974</v>
      </c>
      <c r="AY114" s="530" t="n">
        <v>-82869.8299974</v>
      </c>
      <c r="AZ114" s="530" t="n">
        <v>-82869.8299974</v>
      </c>
      <c r="BA114" s="530" t="n">
        <v>-82869.8299974</v>
      </c>
      <c r="BB114" s="530" t="n">
        <v>-84527.226597348</v>
      </c>
      <c r="BC114" s="530" t="n">
        <v>-84527.226597348</v>
      </c>
      <c r="BD114" s="530" t="n">
        <v>-84527.226597348</v>
      </c>
      <c r="BE114" s="530" t="n">
        <v>-84527.226597348</v>
      </c>
      <c r="BF114" s="530" t="n">
        <v>-84527.226597348</v>
      </c>
      <c r="BG114" s="530" t="n">
        <v>-84527.226597348</v>
      </c>
      <c r="BH114" s="530" t="n">
        <v>-84527.226597348</v>
      </c>
      <c r="BI114" s="530" t="n">
        <v>-84527.226597348</v>
      </c>
      <c r="BJ114" s="530" t="n">
        <v>-84527.226597348</v>
      </c>
      <c r="BK114" s="530" t="n">
        <v>-84527.226597348</v>
      </c>
      <c r="BL114" s="530" t="n">
        <v>-84527.226597348</v>
      </c>
      <c r="BM114" s="530" t="n">
        <v>-84527.226597348</v>
      </c>
      <c r="BN114" s="530" t="n">
        <v>-86217.771129295</v>
      </c>
      <c r="BO114" s="530" t="n">
        <v>-86217.771129295</v>
      </c>
      <c r="BP114" s="530" t="n">
        <v>-86217.771129295</v>
      </c>
      <c r="BQ114" s="530" t="n">
        <v>-86217.771129295</v>
      </c>
      <c r="BR114" s="530" t="n">
        <v>-86217.771129295</v>
      </c>
      <c r="BS114" s="530" t="n">
        <v>-34704.251129295</v>
      </c>
      <c r="BT114" s="530" t="n">
        <v>-86217.771129295</v>
      </c>
      <c r="BU114" s="530" t="n">
        <v>-86217.771129295</v>
      </c>
      <c r="BV114" s="530" t="n">
        <v>-18455.771129295</v>
      </c>
      <c r="BW114" s="530" t="n">
        <v>-86217.771129295</v>
      </c>
      <c r="BX114" s="530" t="n">
        <v>-86217.771129295</v>
      </c>
      <c r="BY114" s="530" t="n">
        <v>-18455.771129295</v>
      </c>
      <c r="BZ114" s="530" t="n">
        <v>-87942.12655188089</v>
      </c>
      <c r="CA114" s="530" t="n">
        <v>-87942.12655188089</v>
      </c>
      <c r="CB114" s="530" t="n">
        <v>-20180.1265518809</v>
      </c>
      <c r="CC114" s="530" t="n">
        <v>-87942.12655188089</v>
      </c>
      <c r="CD114" s="530" t="n">
        <v>-87942.12655188089</v>
      </c>
      <c r="CE114" s="530" t="n">
        <v>-11443.1265518809</v>
      </c>
      <c r="CF114" s="530" t="n">
        <v>-87942.12655188089</v>
      </c>
      <c r="CG114" s="530" t="n">
        <v>-87942.12655188089</v>
      </c>
      <c r="CH114" s="530" t="n">
        <v>-11443.1265518809</v>
      </c>
      <c r="CI114" s="530" t="n">
        <v>-87942.12655188089</v>
      </c>
      <c r="CJ114" s="530" t="n">
        <v>-87942.12655188089</v>
      </c>
      <c r="CK114" s="530" t="n">
        <v>-4835.09994540163</v>
      </c>
      <c r="CL114" s="530" t="n">
        <v>68160.0309170815</v>
      </c>
      <c r="CM114" s="530" t="n">
        <v>68160.0309170815</v>
      </c>
      <c r="CN114" s="530" t="n">
        <v>68160.0309170815</v>
      </c>
      <c r="CO114" s="530" t="n">
        <v>68160.0309170815</v>
      </c>
      <c r="CP114" s="530" t="n">
        <v>68160.0309170815</v>
      </c>
      <c r="CQ114" s="530" t="n">
        <v>68160.0309170815</v>
      </c>
      <c r="CR114" s="530" t="n">
        <v>68160.0309170815</v>
      </c>
      <c r="CS114" s="530" t="n">
        <v>68160.0309170815</v>
      </c>
      <c r="CT114" s="530" t="n">
        <v>68160.0309170815</v>
      </c>
      <c r="CU114" s="530" t="n">
        <v>70068.524291978</v>
      </c>
      <c r="CV114" s="530" t="n">
        <v>70068.524291978</v>
      </c>
      <c r="CW114" s="530" t="n">
        <v>70068.524291978</v>
      </c>
      <c r="CX114" s="530" t="n">
        <v>124020.82584141</v>
      </c>
      <c r="CY114" s="530" t="n">
        <v>141467.674777818</v>
      </c>
      <c r="CZ114" s="530" t="n">
        <v>141467.674777818</v>
      </c>
      <c r="DA114" s="530" t="n">
        <v>141467.674777818</v>
      </c>
      <c r="DB114" s="530" t="n">
        <v>141467.674777818</v>
      </c>
      <c r="DC114" s="530" t="n">
        <v>141467.674777818</v>
      </c>
      <c r="DD114" s="530" t="n">
        <v>141467.674777818</v>
      </c>
      <c r="DE114" s="530" t="n">
        <v>141467.674777818</v>
      </c>
      <c r="DF114" s="530" t="n">
        <v>141467.674777818</v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S25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D38" activeCellId="0" sqref="D38"/>
    </sheetView>
  </sheetViews>
  <sheetFormatPr baseColWidth="8" defaultColWidth="8.71875" defaultRowHeight="15" zeroHeight="0" outlineLevelRow="0"/>
  <cols>
    <col width="14" customWidth="1" style="380" min="1" max="1"/>
    <col width="17" customWidth="1" style="380" min="2" max="13"/>
    <col width="19" customWidth="1" style="380" min="14" max="14"/>
    <col width="15" customWidth="1" style="380" min="15" max="16"/>
    <col width="12" customWidth="1" style="380" min="17" max="17"/>
    <col width="17" customWidth="1" style="380" min="18" max="18"/>
    <col width="19" customWidth="1" style="380" min="19" max="19"/>
  </cols>
  <sheetData>
    <row r="1" ht="17.25" customFormat="1" customHeight="1" s="380">
      <c r="A1" s="473" t="inlineStr">
        <is>
          <t>BD COMMISSION ANALYSIS</t>
        </is>
      </c>
    </row>
    <row r="2" ht="15" customFormat="1" customHeight="1" s="380">
      <c r="A2" s="452" t="inlineStr">
        <is>
          <t>Annual breakdown of BD-sourced billing, gross profit, commission, and Tom's total comp.</t>
        </is>
      </c>
    </row>
    <row r="4" ht="31.5" customFormat="1" customHeight="1" s="380">
      <c r="A4" s="490" t="inlineStr">
        <is>
          <t>Fiscal Year</t>
        </is>
      </c>
      <c r="B4" s="490" t="inlineStr">
        <is>
          <t>BD Trades &amp; Site Billing</t>
        </is>
      </c>
      <c r="C4" s="490" t="inlineStr">
        <is>
          <t>BD Other GC Income</t>
        </is>
      </c>
      <c r="D4" s="490" t="inlineStr">
        <is>
          <t>BD GC Fee Income</t>
        </is>
      </c>
      <c r="E4" s="490" t="inlineStr">
        <is>
          <t>(folded into Other GC)</t>
        </is>
      </c>
      <c r="F4" s="490" t="inlineStr">
        <is>
          <t>BD Construction Billing (Total)</t>
        </is>
      </c>
      <c r="G4" s="490" t="inlineStr">
        <is>
          <t>GC Gross Profit (FY, excl. bonding)</t>
        </is>
      </c>
      <c r="H4" s="490" t="inlineStr">
        <is>
          <t>BD Gross Profit (allocated, excl. bonding)</t>
        </is>
      </c>
      <c r="I4" s="531" t="inlineStr">
        <is>
          <t>BD Commission (10%)</t>
        </is>
      </c>
      <c r="J4" s="490" t="inlineStr">
        <is>
          <t>Tom Base Salary</t>
        </is>
      </c>
      <c r="K4" s="490" t="inlineStr">
        <is>
          <t>Total Comp to Tom</t>
        </is>
      </c>
      <c r="L4" s="490" t="inlineStr">
        <is>
          <t>Commission % of Total Comp</t>
        </is>
      </c>
      <c r="M4" s="531" t="inlineStr">
        <is>
          <t>HVN BD Billing</t>
        </is>
      </c>
      <c r="N4" s="531" t="inlineStr">
        <is>
          <t>Non-HVN BD Billing</t>
        </is>
      </c>
      <c r="O4" s="531" t="inlineStr">
        <is>
          <t>HVN GP</t>
        </is>
      </c>
      <c r="P4" s="531" t="inlineStr">
        <is>
          <t>Non-HVN GP</t>
        </is>
      </c>
      <c r="Q4" s="531" t="inlineStr">
        <is>
          <t>HVN Tier Rate</t>
        </is>
      </c>
      <c r="R4" s="531" t="inlineStr">
        <is>
          <t>HVN Commission</t>
        </is>
      </c>
      <c r="S4" s="531" t="inlineStr">
        <is>
          <t>Non-HVN Commission</t>
        </is>
      </c>
    </row>
    <row r="5" ht="15" customFormat="1" customHeight="1" s="380">
      <c r="A5" s="532" t="inlineStr">
        <is>
          <t>FY 2026</t>
        </is>
      </c>
      <c r="B5" s="533">
        <f>SUM(Helpers!C96:N96)</f>
        <v/>
      </c>
      <c r="C5" s="533">
        <f>(SUM(Helpers!C97:N97)-SUM(Helpers!C96:N96))*(Assumptions!$B$10+Assumptions!$B$12)/Assumptions!$B$9</f>
        <v/>
      </c>
      <c r="D5" s="533">
        <f>(SUM(Helpers!C97:N97)-SUM(Helpers!C96:N96))*Assumptions!$B$11/Assumptions!$B$9</f>
        <v/>
      </c>
      <c r="E5" s="533" t="n">
        <v>0</v>
      </c>
      <c r="F5" s="534">
        <f>SUM(Helpers!C97:N97)</f>
        <v/>
      </c>
      <c r="G5" s="533">
        <f>SUM(Helpers!C99:N99)</f>
        <v/>
      </c>
      <c r="H5" s="534">
        <f>SUM(Helpers!C100:N100)</f>
        <v/>
      </c>
      <c r="I5" s="535">
        <f>-SUM(Model!B144:M144)</f>
        <v/>
      </c>
      <c r="J5" s="533">
        <f>Personnel!$C$46*9/12</f>
        <v/>
      </c>
      <c r="K5" s="536">
        <f>I5+J5</f>
        <v/>
      </c>
      <c r="L5" s="537">
        <f>IFERROR(I5/K5,0)</f>
        <v/>
      </c>
      <c r="M5" s="535">
        <f>SUM(Helpers!C101:N101)</f>
        <v/>
      </c>
      <c r="N5" s="535">
        <f>B5-M5</f>
        <v/>
      </c>
      <c r="O5" s="535">
        <f>IFERROR(H5*M5/B5,0)</f>
        <v/>
      </c>
      <c r="P5" s="535">
        <f>H5-O5</f>
        <v/>
      </c>
      <c r="Q5" s="538">
        <f>IF(N5&gt;=Assumptions!$B$86,Assumptions!$C$86,IF(N5&gt;=Assumptions!$B$85,Assumptions!$C$85,IF(N5&gt;=Assumptions!$B$84,Assumptions!$C$84,Assumptions!$C$83)))</f>
        <v/>
      </c>
      <c r="R5" s="535">
        <f>O5*Q5*0.1</f>
        <v/>
      </c>
      <c r="S5" s="535">
        <f>P5*0.1</f>
        <v/>
      </c>
    </row>
    <row r="6" ht="15" customFormat="1" customHeight="1" s="380">
      <c r="A6" s="539" t="inlineStr">
        <is>
          <t>FY 2027</t>
        </is>
      </c>
      <c r="B6" s="540">
        <f>SUM(Helpers!O96:Z96)</f>
        <v/>
      </c>
      <c r="C6" s="540">
        <f>(SUM(Helpers!O97:Z97)-SUM(Helpers!O96:Z96))*(Assumptions!$B$10+Assumptions!$B$12)/Assumptions!$B$9</f>
        <v/>
      </c>
      <c r="D6" s="540">
        <f>(SUM(Helpers!O97:Z97)-SUM(Helpers!O96:Z96))*Assumptions!$B$11/Assumptions!$B$9</f>
        <v/>
      </c>
      <c r="E6" s="540" t="n">
        <v>0</v>
      </c>
      <c r="F6" s="541">
        <f>SUM(Helpers!O97:Z97)</f>
        <v/>
      </c>
      <c r="G6" s="540">
        <f>SUM(Helpers!O99:Z99)</f>
        <v/>
      </c>
      <c r="H6" s="541">
        <f>SUM(Helpers!O100:Z100)</f>
        <v/>
      </c>
      <c r="I6" s="542">
        <f>-SUM(Model!N144:Y144)</f>
        <v/>
      </c>
      <c r="J6" s="540">
        <f>Personnel!$C$46</f>
        <v/>
      </c>
      <c r="K6" s="543">
        <f>I6+J6</f>
        <v/>
      </c>
      <c r="L6" s="544">
        <f>IFERROR(I6/K6,0)</f>
        <v/>
      </c>
      <c r="M6" s="535">
        <f>SUM(Helpers!O101:Z101)</f>
        <v/>
      </c>
      <c r="N6" s="535">
        <f>B6-M6</f>
        <v/>
      </c>
      <c r="O6" s="535">
        <f>IFERROR(H6*M6/B6,0)</f>
        <v/>
      </c>
      <c r="P6" s="535">
        <f>H6-O6</f>
        <v/>
      </c>
      <c r="Q6" s="538">
        <f>IF(N6&gt;=Assumptions!$B$86,Assumptions!$C$86,IF(N6&gt;=Assumptions!$B$85,Assumptions!$C$85,IF(N6&gt;=Assumptions!$B$84,Assumptions!$C$84,Assumptions!$C$83)))</f>
        <v/>
      </c>
      <c r="R6" s="535">
        <f>O6*Q6*0.1</f>
        <v/>
      </c>
      <c r="S6" s="535">
        <f>P6*0.1</f>
        <v/>
      </c>
    </row>
    <row r="7" ht="15" customFormat="1" customHeight="1" s="380">
      <c r="A7" s="532" t="inlineStr">
        <is>
          <t>FY 2028</t>
        </is>
      </c>
      <c r="B7" s="533">
        <f>SUM(Helpers!AA96:AL96)</f>
        <v/>
      </c>
      <c r="C7" s="533">
        <f>(SUM(Helpers!AA97:AL97)-SUM(Helpers!AA96:AL96))*(Assumptions!$B$10+Assumptions!$B$12)/Assumptions!$B$9</f>
        <v/>
      </c>
      <c r="D7" s="533">
        <f>(SUM(Helpers!AA97:AL97)-SUM(Helpers!AA96:AL96))*Assumptions!$B$11/Assumptions!$B$9</f>
        <v/>
      </c>
      <c r="E7" s="533" t="n">
        <v>0</v>
      </c>
      <c r="F7" s="534">
        <f>SUM(Helpers!AA97:AL97)</f>
        <v/>
      </c>
      <c r="G7" s="533">
        <f>SUM(Helpers!AA99:AL99)</f>
        <v/>
      </c>
      <c r="H7" s="534">
        <f>SUM(Helpers!AA100:AL100)</f>
        <v/>
      </c>
      <c r="I7" s="535">
        <f>-SUM(Model!Z144:AK144)</f>
        <v/>
      </c>
      <c r="J7" s="533">
        <f>Personnel!$C$46</f>
        <v/>
      </c>
      <c r="K7" s="536">
        <f>I7+J7</f>
        <v/>
      </c>
      <c r="L7" s="537">
        <f>IFERROR(I7/K7,0)</f>
        <v/>
      </c>
      <c r="M7" s="535">
        <f>SUM(Helpers!AA101:AL101)</f>
        <v/>
      </c>
      <c r="N7" s="535">
        <f>B7-M7</f>
        <v/>
      </c>
      <c r="O7" s="535">
        <f>IFERROR(H7*M7/B7,0)</f>
        <v/>
      </c>
      <c r="P7" s="535">
        <f>H7-O7</f>
        <v/>
      </c>
      <c r="Q7" s="538">
        <f>IF(N7&gt;=Assumptions!$B$86,Assumptions!$C$86,IF(N7&gt;=Assumptions!$B$85,Assumptions!$C$85,IF(N7&gt;=Assumptions!$B$84,Assumptions!$C$84,Assumptions!$C$83)))</f>
        <v/>
      </c>
      <c r="R7" s="535">
        <f>O7*Q7*0.1</f>
        <v/>
      </c>
      <c r="S7" s="535">
        <f>P7*0.1</f>
        <v/>
      </c>
    </row>
    <row r="8" ht="15" customFormat="1" customHeight="1" s="380">
      <c r="A8" s="539" t="inlineStr">
        <is>
          <t>FY 2029</t>
        </is>
      </c>
      <c r="B8" s="540">
        <f>SUM(Helpers!AM96:AX96)</f>
        <v/>
      </c>
      <c r="C8" s="540">
        <f>(SUM(Helpers!AM97:AX97)-SUM(Helpers!AM96:AX96))*(Assumptions!$B$10+Assumptions!$B$12)/Assumptions!$B$9</f>
        <v/>
      </c>
      <c r="D8" s="540">
        <f>(SUM(Helpers!AM97:AX97)-SUM(Helpers!AM96:AX96))*Assumptions!$B$11/Assumptions!$B$9</f>
        <v/>
      </c>
      <c r="E8" s="540" t="n">
        <v>0</v>
      </c>
      <c r="F8" s="541">
        <f>SUM(Helpers!AM97:AX97)</f>
        <v/>
      </c>
      <c r="G8" s="540">
        <f>SUM(Helpers!AM99:AX99)</f>
        <v/>
      </c>
      <c r="H8" s="541">
        <f>SUM(Helpers!AM100:AX100)</f>
        <v/>
      </c>
      <c r="I8" s="542">
        <f>-SUM(Model!AL144:AW144)</f>
        <v/>
      </c>
      <c r="J8" s="540">
        <f>Personnel!$C$46</f>
        <v/>
      </c>
      <c r="K8" s="543">
        <f>I8+J8</f>
        <v/>
      </c>
      <c r="L8" s="544">
        <f>IFERROR(I8/K8,0)</f>
        <v/>
      </c>
      <c r="M8" s="535">
        <f>SUM(Helpers!AM101:AX101)</f>
        <v/>
      </c>
      <c r="N8" s="535">
        <f>B8-M8</f>
        <v/>
      </c>
      <c r="O8" s="535">
        <f>IFERROR(H8*M8/B8,0)</f>
        <v/>
      </c>
      <c r="P8" s="535">
        <f>H8-O8</f>
        <v/>
      </c>
      <c r="Q8" s="538">
        <f>IF(N8&gt;=Assumptions!$B$86,Assumptions!$C$86,IF(N8&gt;=Assumptions!$B$85,Assumptions!$C$85,IF(N8&gt;=Assumptions!$B$84,Assumptions!$C$84,Assumptions!$C$83)))</f>
        <v/>
      </c>
      <c r="R8" s="535">
        <f>O8*Q8*0.1</f>
        <v/>
      </c>
      <c r="S8" s="535">
        <f>P8*0.1</f>
        <v/>
      </c>
    </row>
    <row r="9" ht="15" customFormat="1" customHeight="1" s="380">
      <c r="A9" s="532" t="inlineStr">
        <is>
          <t>FY 2030</t>
        </is>
      </c>
      <c r="B9" s="533">
        <f>SUM(Helpers!AY96:BJ96)</f>
        <v/>
      </c>
      <c r="C9" s="533">
        <f>(SUM(Helpers!AY97:BJ97)-SUM(Helpers!AY96:BJ96))*(Assumptions!$B$10+Assumptions!$B$12)/Assumptions!$B$9</f>
        <v/>
      </c>
      <c r="D9" s="533">
        <f>(SUM(Helpers!AY97:BJ97)-SUM(Helpers!AY96:BJ96))*Assumptions!$B$11/Assumptions!$B$9</f>
        <v/>
      </c>
      <c r="E9" s="533" t="n">
        <v>0</v>
      </c>
      <c r="F9" s="534">
        <f>SUM(Helpers!AY97:BJ97)</f>
        <v/>
      </c>
      <c r="G9" s="533">
        <f>SUM(Helpers!AY99:BJ99)</f>
        <v/>
      </c>
      <c r="H9" s="534">
        <f>SUM(Helpers!AY100:BJ100)</f>
        <v/>
      </c>
      <c r="I9" s="535">
        <f>-SUM(Model!AX144:BI144)</f>
        <v/>
      </c>
      <c r="J9" s="533">
        <f>Personnel!$C$46</f>
        <v/>
      </c>
      <c r="K9" s="536">
        <f>I9+J9</f>
        <v/>
      </c>
      <c r="L9" s="537">
        <f>IFERROR(I9/K9,0)</f>
        <v/>
      </c>
      <c r="M9" s="535">
        <f>SUM(Helpers!AY101:BJ101)</f>
        <v/>
      </c>
      <c r="N9" s="535">
        <f>B9-M9</f>
        <v/>
      </c>
      <c r="O9" s="535">
        <f>IFERROR(H9*M9/B9,0)</f>
        <v/>
      </c>
      <c r="P9" s="535">
        <f>H9-O9</f>
        <v/>
      </c>
      <c r="Q9" s="538">
        <f>IF(N9&gt;=Assumptions!$B$86,Assumptions!$C$86,IF(N9&gt;=Assumptions!$B$85,Assumptions!$C$85,IF(N9&gt;=Assumptions!$B$84,Assumptions!$C$84,Assumptions!$C$83)))</f>
        <v/>
      </c>
      <c r="R9" s="535">
        <f>O9*Q9*0.1</f>
        <v/>
      </c>
      <c r="S9" s="535">
        <f>P9*0.1</f>
        <v/>
      </c>
    </row>
    <row r="10" ht="15" customFormat="1" customHeight="1" s="380">
      <c r="A10" s="539" t="inlineStr">
        <is>
          <t>FY 2031</t>
        </is>
      </c>
      <c r="B10" s="540">
        <f>SUM(Helpers!BK96:BV96)</f>
        <v/>
      </c>
      <c r="C10" s="540">
        <f>(SUM(Helpers!BK97:BV97)-SUM(Helpers!BK96:BV96))*(Assumptions!$B$10+Assumptions!$B$12)/Assumptions!$B$9</f>
        <v/>
      </c>
      <c r="D10" s="540">
        <f>(SUM(Helpers!BK97:BV97)-SUM(Helpers!BK96:BV96))*Assumptions!$B$11/Assumptions!$B$9</f>
        <v/>
      </c>
      <c r="E10" s="540" t="n">
        <v>0</v>
      </c>
      <c r="F10" s="541">
        <f>SUM(Helpers!BK97:BV97)</f>
        <v/>
      </c>
      <c r="G10" s="540">
        <f>SUM(Helpers!BK99:BV99)</f>
        <v/>
      </c>
      <c r="H10" s="541">
        <f>SUM(Helpers!BK100:BV100)</f>
        <v/>
      </c>
      <c r="I10" s="542">
        <f>-SUM(Model!BJ144:BU144)</f>
        <v/>
      </c>
      <c r="J10" s="540">
        <f>Personnel!$C$46</f>
        <v/>
      </c>
      <c r="K10" s="543">
        <f>I10+J10</f>
        <v/>
      </c>
      <c r="L10" s="544">
        <f>IFERROR(I10/K10,0)</f>
        <v/>
      </c>
      <c r="M10" s="535">
        <f>SUM(Helpers!BK101:BV101)</f>
        <v/>
      </c>
      <c r="N10" s="535">
        <f>B10-M10</f>
        <v/>
      </c>
      <c r="O10" s="535">
        <f>IFERROR(H10*M10/B10,0)</f>
        <v/>
      </c>
      <c r="P10" s="535">
        <f>H10-O10</f>
        <v/>
      </c>
      <c r="Q10" s="538">
        <f>IF(N10&gt;=Assumptions!$B$86,Assumptions!$C$86,IF(N10&gt;=Assumptions!$B$85,Assumptions!$C$85,IF(N10&gt;=Assumptions!$B$84,Assumptions!$C$84,Assumptions!$C$83)))</f>
        <v/>
      </c>
      <c r="R10" s="535">
        <f>O10*Q10*0.1</f>
        <v/>
      </c>
      <c r="S10" s="535">
        <f>P10*0.1</f>
        <v/>
      </c>
    </row>
    <row r="11" ht="15" customFormat="1" customHeight="1" s="380">
      <c r="A11" s="532" t="inlineStr">
        <is>
          <t>FY 2032</t>
        </is>
      </c>
      <c r="B11" s="533">
        <f>SUM(Helpers!BW96:CH96)</f>
        <v/>
      </c>
      <c r="C11" s="533">
        <f>(SUM(Helpers!BW97:CH97)-SUM(Helpers!BW96:CH96))*(Assumptions!$B$10+Assumptions!$B$12)/Assumptions!$B$9</f>
        <v/>
      </c>
      <c r="D11" s="533">
        <f>(SUM(Helpers!BW97:CH97)-SUM(Helpers!BW96:CH96))*Assumptions!$B$11/Assumptions!$B$9</f>
        <v/>
      </c>
      <c r="E11" s="533" t="n">
        <v>0</v>
      </c>
      <c r="F11" s="534">
        <f>SUM(Helpers!BW97:CH97)</f>
        <v/>
      </c>
      <c r="G11" s="533">
        <f>SUM(Helpers!BW99:CH99)</f>
        <v/>
      </c>
      <c r="H11" s="534">
        <f>SUM(Helpers!BW100:CH100)</f>
        <v/>
      </c>
      <c r="I11" s="535">
        <f>-SUM(Model!BV144:CG144)</f>
        <v/>
      </c>
      <c r="J11" s="533">
        <f>Personnel!$C$46</f>
        <v/>
      </c>
      <c r="K11" s="536">
        <f>I11+J11</f>
        <v/>
      </c>
      <c r="L11" s="537">
        <f>IFERROR(I11/K11,0)</f>
        <v/>
      </c>
      <c r="M11" s="535">
        <f>SUM(Helpers!BW101:CH101)</f>
        <v/>
      </c>
      <c r="N11" s="535">
        <f>B11-M11</f>
        <v/>
      </c>
      <c r="O11" s="535">
        <f>IFERROR(H11*M11/B11,0)</f>
        <v/>
      </c>
      <c r="P11" s="535">
        <f>H11-O11</f>
        <v/>
      </c>
      <c r="Q11" s="538">
        <f>IF(N11&gt;=Assumptions!$B$86,Assumptions!$C$86,IF(N11&gt;=Assumptions!$B$85,Assumptions!$C$85,IF(N11&gt;=Assumptions!$B$84,Assumptions!$C$84,Assumptions!$C$83)))</f>
        <v/>
      </c>
      <c r="R11" s="535">
        <f>O11*Q11*0.1</f>
        <v/>
      </c>
      <c r="S11" s="535">
        <f>P11*0.1</f>
        <v/>
      </c>
    </row>
    <row r="12" ht="15" customFormat="1" customHeight="1" s="380">
      <c r="A12" s="539" t="inlineStr">
        <is>
          <t>FY 2033</t>
        </is>
      </c>
      <c r="B12" s="540">
        <f>SUM(Helpers!CI96:CT96)</f>
        <v/>
      </c>
      <c r="C12" s="540">
        <f>(SUM(Helpers!CI97:CT97)-SUM(Helpers!CI96:CT96))*(Assumptions!$B$10+Assumptions!$B$12)/Assumptions!$B$9</f>
        <v/>
      </c>
      <c r="D12" s="540">
        <f>(SUM(Helpers!CI97:CT97)-SUM(Helpers!CI96:CT96))*Assumptions!$B$11/Assumptions!$B$9</f>
        <v/>
      </c>
      <c r="E12" s="540" t="n">
        <v>0</v>
      </c>
      <c r="F12" s="541">
        <f>SUM(Helpers!CI97:CT97)</f>
        <v/>
      </c>
      <c r="G12" s="540">
        <f>SUM(Helpers!CI99:CT99)</f>
        <v/>
      </c>
      <c r="H12" s="541">
        <f>SUM(Helpers!CI100:CT100)</f>
        <v/>
      </c>
      <c r="I12" s="542">
        <f>-SUM(Model!CH144:CS144)</f>
        <v/>
      </c>
      <c r="J12" s="540">
        <f>Personnel!$C$46</f>
        <v/>
      </c>
      <c r="K12" s="543">
        <f>I12+J12</f>
        <v/>
      </c>
      <c r="L12" s="544">
        <f>IFERROR(I12/K12,0)</f>
        <v/>
      </c>
      <c r="M12" s="535">
        <f>SUM(Helpers!CI101:CT101)</f>
        <v/>
      </c>
      <c r="N12" s="535">
        <f>B12-M12</f>
        <v/>
      </c>
      <c r="O12" s="535">
        <f>IFERROR(H12*M12/B12,0)</f>
        <v/>
      </c>
      <c r="P12" s="535">
        <f>H12-O12</f>
        <v/>
      </c>
      <c r="Q12" s="538">
        <f>IF(N12&gt;=Assumptions!$B$86,Assumptions!$C$86,IF(N12&gt;=Assumptions!$B$85,Assumptions!$C$85,IF(N12&gt;=Assumptions!$B$84,Assumptions!$C$84,Assumptions!$C$83)))</f>
        <v/>
      </c>
      <c r="R12" s="535">
        <f>O12*Q12*0.1</f>
        <v/>
      </c>
      <c r="S12" s="535">
        <f>P12*0.1</f>
        <v/>
      </c>
    </row>
    <row r="13" ht="15" customFormat="1" customHeight="1" s="380">
      <c r="A13" s="512" t="inlineStr">
        <is>
          <t>TOTAL</t>
        </is>
      </c>
      <c r="B13" s="545">
        <f>SUM(B5:B12)</f>
        <v/>
      </c>
      <c r="C13" s="545">
        <f>SUM(C5:C12)</f>
        <v/>
      </c>
      <c r="D13" s="545">
        <f>SUM(D5:D12)</f>
        <v/>
      </c>
      <c r="E13" s="545">
        <f>SUM(E5:E12)</f>
        <v/>
      </c>
      <c r="F13" s="545">
        <f>SUM(F5:F12)</f>
        <v/>
      </c>
      <c r="G13" s="545">
        <f>SUM(G5:G12)</f>
        <v/>
      </c>
      <c r="H13" s="545">
        <f>SUM(H5:H12)</f>
        <v/>
      </c>
      <c r="I13" s="546">
        <f>SUM(I5:I12)</f>
        <v/>
      </c>
      <c r="J13" s="545">
        <f>SUM(J5:J12)</f>
        <v/>
      </c>
      <c r="K13" s="545">
        <f>SUM(K5:K12)</f>
        <v/>
      </c>
      <c r="L13" s="547">
        <f>IFERROR(I13/K13,0)</f>
        <v/>
      </c>
      <c r="M13" s="548">
        <f>SUM(M5:M12)</f>
        <v/>
      </c>
      <c r="N13" s="548">
        <f>SUM(N5:N12)</f>
        <v/>
      </c>
      <c r="O13" s="548">
        <f>SUM(O5:O12)</f>
        <v/>
      </c>
      <c r="P13" s="548">
        <f>SUM(P5:P12)</f>
        <v/>
      </c>
      <c r="Q13" s="549">
        <f>IFERROR(R13/O13,0)</f>
        <v/>
      </c>
      <c r="R13" s="548">
        <f>SUM(R5:R12)</f>
        <v/>
      </c>
      <c r="S13" s="548">
        <f>SUM(S5:S12)</f>
        <v/>
      </c>
    </row>
    <row r="15" ht="15" customFormat="1" customHeight="1" s="380">
      <c r="A15" s="473" t="inlineStr">
        <is>
          <t>Notes:</t>
        </is>
      </c>
    </row>
    <row r="16" ht="15" customFormat="1" customHeight="1" s="380">
      <c r="A16" s="452" t="inlineStr">
        <is>
          <t>• BD figures pull from Helpers BD memo (rows 96-101)</t>
        </is>
      </c>
    </row>
    <row r="17" ht="15" customFormat="1" customHeight="1" s="380">
      <c r="A17" s="452" t="inlineStr">
        <is>
          <t>• BD fees split: Other GC Income (Supervision+Admin) and GC Fee Income (GC-CM)</t>
        </is>
      </c>
    </row>
    <row r="18" ht="15" customFormat="1" customHeight="1" s="380">
      <c r="A18" s="452" t="inlineStr">
        <is>
          <t>• Commission floors at $0 each month (Model R51 formula)</t>
        </is>
      </c>
    </row>
    <row r="19" ht="15" customFormat="1" customHeight="1" s="380">
      <c r="A19" s="452" t="inlineStr">
        <is>
          <t>• Bonding revenue + costs excluded from BD math (Helpers r98/r99, unconditional since 14 Aug 2026)</t>
        </is>
      </c>
    </row>
    <row r="20" ht="15" customFormat="1" customHeight="1" s="380">
      <c r="A20" s="452" t="inlineStr">
        <is>
          <t>• Tom Base Salary FROZEN at Personnel!C46 ($222K) — no escalation (CY26 prorated to 9 mo)</t>
        </is>
      </c>
    </row>
    <row r="21" ht="15" customFormat="1" customHeight="1" s="380">
      <c r="A21" s="452" t="inlineStr">
        <is>
          <t>• HVN deals flagged on Projects column M (first 2 BD deals by start month per CY)</t>
        </is>
      </c>
    </row>
    <row r="22" ht="15" customFormat="1" customHeight="1" s="380">
      <c r="A22" s="452" t="inlineStr">
        <is>
          <t>• HVN/Non-HVN billings split via Model row 211 (HVN-only) vs row 200 (total)</t>
        </is>
      </c>
    </row>
    <row r="23" ht="15" customFormat="1" customHeight="1" s="380">
      <c r="A23" s="452" t="inlineStr">
        <is>
          <t>• HVN GP allocated proportionally: GP × (HVN billing / total billing)</t>
        </is>
      </c>
    </row>
    <row r="24" ht="15" customFormat="1" customHeight="1" s="380">
      <c r="A24" s="452" t="inlineStr">
        <is>
          <t>• HVN commission rate tiered annually by non-HVN billings — see Assumptions!A79</t>
        </is>
      </c>
    </row>
    <row r="25" ht="15" customFormat="1" customHeight="1" s="380">
      <c r="A25" s="452" t="inlineStr">
        <is>
          <t>• Total Commission (col I) floored at $0; flows to Model row 51 monthly via I/H × monthly GP</t>
        </is>
      </c>
    </row>
  </sheetData>
  <mergeCells count="5">
    <mergeCell ref="A18:H18"/>
    <mergeCell ref="A20:H20"/>
    <mergeCell ref="A16:H16"/>
    <mergeCell ref="A19:H19"/>
    <mergeCell ref="A17:H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W4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D7" activeCellId="0" sqref="D7"/>
    </sheetView>
  </sheetViews>
  <sheetFormatPr baseColWidth="8" defaultColWidth="8.71875" defaultRowHeight="15" zeroHeight="0" outlineLevelRow="0"/>
  <cols>
    <col width="14" customWidth="1" style="380" min="1" max="2"/>
    <col width="12" customWidth="1" style="380" min="3" max="12"/>
    <col width="9" customWidth="1" style="380" min="13" max="13"/>
    <col width="16" customWidth="1" style="380" min="14" max="19"/>
    <col width="12" customWidth="1" style="410" min="23" max="23"/>
  </cols>
  <sheetData>
    <row r="1" ht="27.75" customFormat="1" customHeight="1" s="380">
      <c r="A1" s="424" t="inlineStr">
        <is>
          <t>Project</t>
        </is>
      </c>
      <c r="B1" s="424" t="inlineStr">
        <is>
          <t>Contract Value</t>
        </is>
      </c>
      <c r="C1" s="424" t="inlineStr">
        <is>
          <t>Start Month</t>
        </is>
      </c>
      <c r="D1" s="424" t="inlineStr">
        <is>
          <t>Duration</t>
        </is>
      </c>
      <c r="E1" s="424" t="inlineStr">
        <is>
          <t>Curve</t>
        </is>
      </c>
      <c r="F1" s="424" t="inlineStr">
        <is>
          <t>Bonded</t>
        </is>
      </c>
      <c r="G1" s="424" t="inlineStr">
        <is>
          <t>Active</t>
        </is>
      </c>
      <c r="H1" s="424" t="inlineStr">
        <is>
          <t>Bond Tier</t>
        </is>
      </c>
      <c r="I1" s="424" t="inlineStr">
        <is>
          <t>Bond Cost Rate</t>
        </is>
      </c>
      <c r="J1" s="424" t="inlineStr">
        <is>
          <t>Steyn Guaranty</t>
        </is>
      </c>
      <c r="K1" s="424" t="inlineStr">
        <is>
          <t>LIHTC</t>
        </is>
      </c>
      <c r="L1" s="424" t="inlineStr">
        <is>
          <t>Type</t>
        </is>
      </c>
      <c r="N1" s="424" t="inlineStr">
        <is>
          <t>Total Supervision</t>
        </is>
      </c>
      <c r="O1" s="424" t="inlineStr">
        <is>
          <t>Total GC-CM Fee</t>
        </is>
      </c>
      <c r="P1" s="424" t="inlineStr">
        <is>
          <t>Total Admin</t>
        </is>
      </c>
      <c r="Q1" s="424" t="inlineStr">
        <is>
          <t>Total Fee Revenue</t>
        </is>
      </c>
      <c r="R1" s="424" t="inlineStr">
        <is>
          <t>Last Pay App (5% Retention)</t>
        </is>
      </c>
      <c r="S1" s="424" t="inlineStr">
        <is>
          <t>Last Month Date</t>
        </is>
      </c>
      <c r="T1" s="424" t="inlineStr">
        <is>
          <t>Bond Rev Rate</t>
        </is>
      </c>
      <c r="V1" s="380" t="inlineStr">
        <is>
          <t>WARNING: rows are hard-referenced BY POSITION from Model (13-56 / 60-103), Helpers</t>
        </is>
      </c>
      <c r="W1" s="583" t="inlineStr">
        <is>
          <t>End Month</t>
        </is>
      </c>
    </row>
    <row r="2" ht="15" customFormat="1" customHeight="1" s="380">
      <c r="A2" s="550" t="inlineStr">
        <is>
          <t>Crenshaw</t>
        </is>
      </c>
      <c r="B2" s="551" t="n">
        <v>7126075</v>
      </c>
      <c r="C2" s="552" t="n">
        <v>1</v>
      </c>
      <c r="D2" s="552" t="n">
        <v>8</v>
      </c>
      <c r="E2" s="552" t="n">
        <v>2</v>
      </c>
      <c r="F2" s="552" t="inlineStr">
        <is>
          <t>No</t>
        </is>
      </c>
      <c r="G2" s="552" t="inlineStr">
        <is>
          <t>Yes</t>
        </is>
      </c>
      <c r="H2" s="552" t="n">
        <v>0</v>
      </c>
      <c r="I2" s="553">
        <f>IF(H2=1,Assumptions!$B$16,IF(H2=2,Assumptions!$B$17,0))</f>
        <v/>
      </c>
      <c r="J2" s="552" t="inlineStr">
        <is>
          <t>No</t>
        </is>
      </c>
      <c r="K2" s="552" t="inlineStr">
        <is>
          <t>No</t>
        </is>
      </c>
      <c r="L2" s="552" t="inlineStr">
        <is>
          <t>GC + Developer</t>
        </is>
      </c>
      <c r="N2" s="551" t="n">
        <v>194932</v>
      </c>
      <c r="O2" s="551">
        <f>B2*Assumptions!$B$11</f>
        <v/>
      </c>
      <c r="P2" s="551" t="n">
        <v>46323</v>
      </c>
      <c r="Q2" s="551">
        <f>N2+O2+P2</f>
        <v/>
      </c>
      <c r="R2" s="551">
        <f>Q2*0.05</f>
        <v/>
      </c>
      <c r="S2" s="550">
        <f>C2+D2-1</f>
        <v/>
      </c>
      <c r="T2" s="554" t="n"/>
      <c r="V2" s="380" t="inlineStr">
        <is>
          <t>(96/97/101), Retention and Contracts In Process. Never insert or delete a row here.</t>
        </is>
      </c>
      <c r="W2" s="588">
        <f>C2+D2-1</f>
        <v/>
      </c>
    </row>
    <row r="3" ht="15" customFormat="1" customHeight="1" s="380">
      <c r="A3" s="550" t="inlineStr">
        <is>
          <t>Ramsgate</t>
        </is>
      </c>
      <c r="B3" s="551" t="n">
        <v>20176449</v>
      </c>
      <c r="C3" s="552" t="n">
        <v>1</v>
      </c>
      <c r="D3" s="552" t="n"/>
      <c r="E3" s="552" t="n"/>
      <c r="F3" s="552" t="inlineStr">
        <is>
          <t>No</t>
        </is>
      </c>
      <c r="G3" s="552" t="inlineStr">
        <is>
          <t>Yes</t>
        </is>
      </c>
      <c r="H3" s="552" t="n">
        <v>0</v>
      </c>
      <c r="I3" s="553">
        <f>IF(H3=1,Assumptions!$B$16,IF(H3=2,Assumptions!$B$17,0))</f>
        <v/>
      </c>
      <c r="J3" s="552" t="inlineStr">
        <is>
          <t>No</t>
        </is>
      </c>
      <c r="K3" s="552" t="inlineStr">
        <is>
          <t>No</t>
        </is>
      </c>
      <c r="L3" s="552" t="inlineStr">
        <is>
          <t>GC + Developer</t>
        </is>
      </c>
      <c r="N3" s="551" t="n">
        <v>888067</v>
      </c>
      <c r="O3" s="551">
        <f>B3*Assumptions!$B$11</f>
        <v/>
      </c>
      <c r="P3" s="551" t="n">
        <v>176626</v>
      </c>
      <c r="Q3" s="551">
        <f>N3+O3+P3</f>
        <v/>
      </c>
      <c r="R3" s="551">
        <f>Q3*0.05</f>
        <v/>
      </c>
      <c r="S3" s="550">
        <f>C3+D3-1</f>
        <v/>
      </c>
      <c r="T3" s="554" t="n"/>
      <c r="V3" s="380" t="inlineStr">
        <is>
          <t>To add a deal, repurpose a BD placeholder row (17-46) and relabel the matching rows.</t>
        </is>
      </c>
      <c r="W3" s="588" t="n">
        <v>18</v>
      </c>
    </row>
    <row r="4" ht="15" customFormat="1" customHeight="1" s="380">
      <c r="A4" s="550" t="inlineStr">
        <is>
          <t>Califa</t>
        </is>
      </c>
      <c r="B4" s="551" t="n">
        <v>11929880</v>
      </c>
      <c r="C4" s="552" t="n">
        <v>1</v>
      </c>
      <c r="D4" s="552" t="n"/>
      <c r="E4" s="552" t="n"/>
      <c r="F4" s="552" t="inlineStr">
        <is>
          <t>Yes</t>
        </is>
      </c>
      <c r="G4" s="552" t="inlineStr">
        <is>
          <t>Yes</t>
        </is>
      </c>
      <c r="H4" s="552" t="n">
        <v>1</v>
      </c>
      <c r="I4" s="553">
        <f>IF(H4=1,Assumptions!$B$16,IF(H4=2,Assumptions!$B$17,0))</f>
        <v/>
      </c>
      <c r="J4" s="552" t="inlineStr">
        <is>
          <t>No</t>
        </is>
      </c>
      <c r="K4" s="552" t="inlineStr">
        <is>
          <t>Yes</t>
        </is>
      </c>
      <c r="L4" s="552" t="inlineStr">
        <is>
          <t>3rd Party GC</t>
        </is>
      </c>
      <c r="N4" s="551">
        <f>B4*Assumptions!$B$10</f>
        <v/>
      </c>
      <c r="O4" s="551">
        <f>B4*Assumptions!$B$11</f>
        <v/>
      </c>
      <c r="P4" s="551">
        <f>B4*Assumptions!$B$12</f>
        <v/>
      </c>
      <c r="Q4" s="551">
        <f>N4+O4+P4</f>
        <v/>
      </c>
      <c r="R4" s="551">
        <f>Q4*0.05</f>
        <v/>
      </c>
      <c r="S4" s="550">
        <f>C4+D4-1</f>
        <v/>
      </c>
      <c r="T4" s="554" t="n"/>
      <c r="W4" s="588" t="n">
        <v>17</v>
      </c>
    </row>
    <row r="5" ht="15" customFormat="1" customHeight="1" s="380">
      <c r="A5" s="550" t="inlineStr">
        <is>
          <t>Whipple</t>
        </is>
      </c>
      <c r="B5" s="551" t="n">
        <v>14427884</v>
      </c>
      <c r="C5" s="552" t="n">
        <v>1</v>
      </c>
      <c r="D5" s="552" t="n"/>
      <c r="E5" s="552" t="n"/>
      <c r="F5" s="552" t="inlineStr">
        <is>
          <t>Yes</t>
        </is>
      </c>
      <c r="G5" s="552" t="inlineStr">
        <is>
          <t>Yes</t>
        </is>
      </c>
      <c r="H5" s="552" t="n">
        <v>1</v>
      </c>
      <c r="I5" s="553">
        <f>IF(H5=1,Assumptions!$B$16,IF(H5=2,Assumptions!$B$17,0))</f>
        <v/>
      </c>
      <c r="J5" s="552" t="inlineStr">
        <is>
          <t>No</t>
        </is>
      </c>
      <c r="K5" s="552" t="inlineStr">
        <is>
          <t>Yes</t>
        </is>
      </c>
      <c r="L5" s="552" t="inlineStr">
        <is>
          <t>3rd Party GC</t>
        </is>
      </c>
      <c r="N5" s="551">
        <f>B5*Assumptions!$B$10</f>
        <v/>
      </c>
      <c r="O5" s="551">
        <f>B5*Assumptions!$B$11</f>
        <v/>
      </c>
      <c r="P5" s="551">
        <f>B5*Assumptions!$B$12</f>
        <v/>
      </c>
      <c r="Q5" s="551">
        <f>N5+O5+P5</f>
        <v/>
      </c>
      <c r="R5" s="551">
        <f>Q5*0.05</f>
        <v/>
      </c>
      <c r="S5" s="550">
        <f>C5+D5-1</f>
        <v/>
      </c>
      <c r="T5" s="554" t="n"/>
      <c r="W5" s="588" t="n">
        <v>19</v>
      </c>
    </row>
    <row r="6" ht="15" customFormat="1" customHeight="1" s="380">
      <c r="A6" s="550" t="inlineStr">
        <is>
          <t>Nelrose</t>
        </is>
      </c>
      <c r="B6" s="551" t="n">
        <v>3623245</v>
      </c>
      <c r="C6" s="552" t="n">
        <v>1</v>
      </c>
      <c r="D6" s="552" t="n"/>
      <c r="E6" s="552" t="n"/>
      <c r="F6" s="552" t="inlineStr">
        <is>
          <t>No</t>
        </is>
      </c>
      <c r="G6" s="552" t="inlineStr">
        <is>
          <t>Yes</t>
        </is>
      </c>
      <c r="H6" s="552" t="n">
        <v>0</v>
      </c>
      <c r="I6" s="553">
        <f>IF(H6=1,Assumptions!$B$16,IF(H6=2,Assumptions!$B$17,0))</f>
        <v/>
      </c>
      <c r="J6" s="552" t="inlineStr">
        <is>
          <t>No</t>
        </is>
      </c>
      <c r="K6" s="552" t="inlineStr">
        <is>
          <t>Yes</t>
        </is>
      </c>
      <c r="L6" s="552" t="inlineStr">
        <is>
          <t>3rd Party GC</t>
        </is>
      </c>
      <c r="N6" s="551" t="n">
        <v>245000</v>
      </c>
      <c r="O6" s="551">
        <f>B6*Assumptions!$B$11</f>
        <v/>
      </c>
      <c r="P6" s="551" t="n">
        <v>0</v>
      </c>
      <c r="Q6" s="551">
        <f>N6+O6+P6</f>
        <v/>
      </c>
      <c r="R6" s="551">
        <f>Q6*0.05</f>
        <v/>
      </c>
      <c r="S6" s="550">
        <f>C6+D6-1</f>
        <v/>
      </c>
      <c r="T6" s="554">
        <f>Assumptions!$B$15</f>
        <v/>
      </c>
      <c r="W6" s="588" t="n">
        <v>15</v>
      </c>
    </row>
    <row r="7" ht="15" customFormat="1" customHeight="1" s="380">
      <c r="A7" s="550" t="inlineStr">
        <is>
          <t>Francis</t>
        </is>
      </c>
      <c r="B7" s="551" t="n">
        <v>42794765</v>
      </c>
      <c r="C7" s="552" t="n">
        <v>5</v>
      </c>
      <c r="D7" s="552" t="n"/>
      <c r="E7" s="552" t="n"/>
      <c r="F7" s="552" t="inlineStr">
        <is>
          <t>Yes</t>
        </is>
      </c>
      <c r="G7" s="552" t="inlineStr">
        <is>
          <t>Yes</t>
        </is>
      </c>
      <c r="H7" s="552" t="n">
        <v>1</v>
      </c>
      <c r="I7" s="553">
        <f>Assumptions!$B$18</f>
        <v/>
      </c>
      <c r="J7" s="552" t="inlineStr">
        <is>
          <t>Yes</t>
        </is>
      </c>
      <c r="K7" s="552" t="inlineStr">
        <is>
          <t>Yes</t>
        </is>
      </c>
      <c r="L7" s="552" t="inlineStr">
        <is>
          <t>GC + Developer</t>
        </is>
      </c>
      <c r="N7" s="551">
        <f>B7*Assumptions!$B$10</f>
        <v/>
      </c>
      <c r="O7" s="551">
        <f>B7*Assumptions!$B$11</f>
        <v/>
      </c>
      <c r="P7" s="551">
        <f>B7*Assumptions!$B$12</f>
        <v/>
      </c>
      <c r="Q7" s="551">
        <f>N7+O7+P7</f>
        <v/>
      </c>
      <c r="R7" s="551">
        <f>Q7*0.05</f>
        <v/>
      </c>
      <c r="S7" s="550">
        <f>C7+D7-1</f>
        <v/>
      </c>
      <c r="T7" s="554">
        <f>839113/B7</f>
        <v/>
      </c>
      <c r="W7" s="588" t="n">
        <v>36</v>
      </c>
    </row>
    <row r="8" ht="15" customFormat="1" customHeight="1" s="380">
      <c r="A8" s="550" t="inlineStr">
        <is>
          <t>Lexington</t>
        </is>
      </c>
      <c r="B8" s="551" t="n">
        <v>12993776.05</v>
      </c>
      <c r="C8" s="552" t="n">
        <v>6</v>
      </c>
      <c r="D8" s="552" t="n">
        <v>19</v>
      </c>
      <c r="E8" s="552" t="n">
        <v>3</v>
      </c>
      <c r="F8" s="552" t="inlineStr">
        <is>
          <t>Yes</t>
        </is>
      </c>
      <c r="G8" s="552" t="inlineStr">
        <is>
          <t>Yes</t>
        </is>
      </c>
      <c r="H8" s="552" t="n">
        <v>1</v>
      </c>
      <c r="I8" s="553">
        <f>Assumptions!$B$18</f>
        <v/>
      </c>
      <c r="J8" s="552" t="inlineStr">
        <is>
          <t>No</t>
        </is>
      </c>
      <c r="K8" s="552" t="inlineStr">
        <is>
          <t>Yes</t>
        </is>
      </c>
      <c r="L8" s="552" t="inlineStr">
        <is>
          <t>3rd Party GC</t>
        </is>
      </c>
      <c r="N8" s="551">
        <f>B8*Assumptions!$B$10</f>
        <v/>
      </c>
      <c r="O8" s="551">
        <f>B8*Assumptions!$B$11</f>
        <v/>
      </c>
      <c r="P8" s="551">
        <f>B8*Assumptions!$B$12</f>
        <v/>
      </c>
      <c r="Q8" s="551">
        <f>N8+O8+P8</f>
        <v/>
      </c>
      <c r="R8" s="551">
        <f>Q8*0.05</f>
        <v/>
      </c>
      <c r="S8" s="550">
        <f>C8+D8-1</f>
        <v/>
      </c>
      <c r="T8" s="554">
        <f>192026.25/B8</f>
        <v/>
      </c>
      <c r="W8" s="588">
        <f>C8+D8-1</f>
        <v/>
      </c>
    </row>
    <row r="9" ht="15" customFormat="1" customHeight="1" s="380">
      <c r="A9" s="550" t="inlineStr">
        <is>
          <t>Denny</t>
        </is>
      </c>
      <c r="B9" s="551" t="n">
        <v>14337010.8</v>
      </c>
      <c r="C9" s="552" t="n">
        <v>5</v>
      </c>
      <c r="D9" s="552" t="n">
        <v>30</v>
      </c>
      <c r="E9" s="552" t="n">
        <v>1</v>
      </c>
      <c r="F9" s="552" t="inlineStr">
        <is>
          <t>Yes</t>
        </is>
      </c>
      <c r="G9" s="552" t="inlineStr">
        <is>
          <t>Yes</t>
        </is>
      </c>
      <c r="H9" s="552" t="n">
        <v>1</v>
      </c>
      <c r="I9" s="553" t="n">
        <v>0</v>
      </c>
      <c r="J9" s="552" t="inlineStr">
        <is>
          <t>No</t>
        </is>
      </c>
      <c r="K9" s="552" t="inlineStr">
        <is>
          <t>Yes</t>
        </is>
      </c>
      <c r="L9" s="552" t="inlineStr">
        <is>
          <t>3rd Party GC</t>
        </is>
      </c>
      <c r="N9" s="551">
        <f>B9*Assumptions!$B$10</f>
        <v/>
      </c>
      <c r="O9" s="551">
        <f>B9*Assumptions!$B$11</f>
        <v/>
      </c>
      <c r="P9" s="551">
        <f>B9*Assumptions!$B$12</f>
        <v/>
      </c>
      <c r="Q9" s="551">
        <f>N9+O9+P9</f>
        <v/>
      </c>
      <c r="R9" s="551">
        <f>Q9*0.05</f>
        <v/>
      </c>
      <c r="S9" s="550">
        <f>C9+D9-1</f>
        <v/>
      </c>
      <c r="T9" s="554">
        <f>211877.01/B9</f>
        <v/>
      </c>
      <c r="W9" s="588">
        <f>C9+D9-1</f>
        <v/>
      </c>
    </row>
    <row r="10" ht="15" customFormat="1" customHeight="1" s="380">
      <c r="A10" s="550" t="inlineStr">
        <is>
          <t>Acama</t>
        </is>
      </c>
      <c r="B10" s="551" t="n">
        <v>21263405</v>
      </c>
      <c r="C10" s="552" t="n">
        <v>9</v>
      </c>
      <c r="D10" s="552" t="n">
        <v>24</v>
      </c>
      <c r="E10" s="552" t="n">
        <v>2</v>
      </c>
      <c r="F10" s="552" t="inlineStr">
        <is>
          <t>Yes</t>
        </is>
      </c>
      <c r="G10" s="552" t="inlineStr">
        <is>
          <t>Yes</t>
        </is>
      </c>
      <c r="H10" s="552" t="n">
        <v>2</v>
      </c>
      <c r="I10" s="553">
        <f>IF(H10=1,Assumptions!$B$16,IF(H10=2,Assumptions!$B$17,0))</f>
        <v/>
      </c>
      <c r="J10" s="552" t="inlineStr">
        <is>
          <t>No</t>
        </is>
      </c>
      <c r="K10" s="552" t="inlineStr">
        <is>
          <t>Yes</t>
        </is>
      </c>
      <c r="L10" s="552" t="inlineStr">
        <is>
          <t>3rd Party GC</t>
        </is>
      </c>
      <c r="N10" s="551">
        <f>B10*Assumptions!$B$10</f>
        <v/>
      </c>
      <c r="O10" s="551">
        <f>B10*Assumptions!$B$11</f>
        <v/>
      </c>
      <c r="P10" s="551">
        <f>B10*Assumptions!$B$12</f>
        <v/>
      </c>
      <c r="Q10" s="551">
        <f>N10+O10+P10</f>
        <v/>
      </c>
      <c r="R10" s="551">
        <f>Q10*0.05</f>
        <v/>
      </c>
      <c r="S10" s="550">
        <f>C10+D10-1</f>
        <v/>
      </c>
      <c r="T10" s="554">
        <f>Assumptions!$B$15</f>
        <v/>
      </c>
      <c r="W10" s="588">
        <f>C10+D10-1</f>
        <v/>
      </c>
    </row>
    <row r="11" ht="15" customFormat="1" customHeight="1" s="380">
      <c r="A11" s="550" t="inlineStr">
        <is>
          <t>Klump</t>
        </is>
      </c>
      <c r="B11" s="551" t="n">
        <v>9577109</v>
      </c>
      <c r="C11" s="552" t="n">
        <v>11</v>
      </c>
      <c r="D11" s="552" t="n">
        <v>19</v>
      </c>
      <c r="E11" s="552" t="n">
        <v>3</v>
      </c>
      <c r="F11" s="552" t="inlineStr">
        <is>
          <t>No</t>
        </is>
      </c>
      <c r="G11" s="552" t="inlineStr">
        <is>
          <t>Yes</t>
        </is>
      </c>
      <c r="H11" s="552" t="n">
        <v>0</v>
      </c>
      <c r="I11" s="553">
        <f>IF(H11=1,Assumptions!$B$16,IF(H11=2,Assumptions!$B$17,0))</f>
        <v/>
      </c>
      <c r="J11" s="552" t="inlineStr">
        <is>
          <t>Yes</t>
        </is>
      </c>
      <c r="K11" s="552" t="inlineStr">
        <is>
          <t>No</t>
        </is>
      </c>
      <c r="L11" s="552" t="inlineStr">
        <is>
          <t>GC + Developer</t>
        </is>
      </c>
      <c r="N11" s="551">
        <f>B11*Assumptions!$B$10</f>
        <v/>
      </c>
      <c r="O11" s="551">
        <f>B11*Assumptions!$B$11</f>
        <v/>
      </c>
      <c r="P11" s="551">
        <f>B11*Assumptions!$B$12</f>
        <v/>
      </c>
      <c r="Q11" s="551">
        <f>N11+O11+P11</f>
        <v/>
      </c>
      <c r="R11" s="551">
        <f>Q11*0.05</f>
        <v/>
      </c>
      <c r="S11" s="550">
        <f>C11+D11-1</f>
        <v/>
      </c>
      <c r="T11" s="554">
        <f>Assumptions!$B$15</f>
        <v/>
      </c>
      <c r="W11" s="588">
        <f>C11+D11-1</f>
        <v/>
      </c>
    </row>
    <row r="12" ht="15" customFormat="1" customHeight="1" s="380">
      <c r="A12" s="550" t="inlineStr">
        <is>
          <t>Scott</t>
        </is>
      </c>
      <c r="B12" s="551" t="n">
        <v>7545203</v>
      </c>
      <c r="C12" s="552" t="n">
        <v>10</v>
      </c>
      <c r="D12" s="552" t="n">
        <v>19</v>
      </c>
      <c r="E12" s="552" t="n">
        <v>3</v>
      </c>
      <c r="F12" s="552" t="inlineStr">
        <is>
          <t>No</t>
        </is>
      </c>
      <c r="G12" s="552" t="inlineStr">
        <is>
          <t>Yes</t>
        </is>
      </c>
      <c r="H12" s="552" t="n">
        <v>0</v>
      </c>
      <c r="I12" s="553">
        <f>IF(H12=1,Assumptions!$B$16,IF(H12=2,Assumptions!$B$17,0))</f>
        <v/>
      </c>
      <c r="J12" s="552" t="inlineStr">
        <is>
          <t>Yes</t>
        </is>
      </c>
      <c r="K12" s="552" t="inlineStr">
        <is>
          <t>No</t>
        </is>
      </c>
      <c r="L12" s="552" t="inlineStr">
        <is>
          <t>GC + Developer</t>
        </is>
      </c>
      <c r="N12" s="551">
        <f>B12*Assumptions!$B$10</f>
        <v/>
      </c>
      <c r="O12" s="551">
        <f>B12*Assumptions!$B$11</f>
        <v/>
      </c>
      <c r="P12" s="551">
        <f>B12*Assumptions!$B$12</f>
        <v/>
      </c>
      <c r="Q12" s="551">
        <f>N12+O12+P12</f>
        <v/>
      </c>
      <c r="R12" s="551">
        <f>Q12*0.05</f>
        <v/>
      </c>
      <c r="S12" s="550">
        <f>C12+D12-1</f>
        <v/>
      </c>
      <c r="T12" s="554">
        <f>Assumptions!$B$15</f>
        <v/>
      </c>
      <c r="W12" s="588">
        <f>C12+D12-1</f>
        <v/>
      </c>
    </row>
    <row r="13" ht="15" customFormat="1" customHeight="1" s="380">
      <c r="A13" s="550" t="inlineStr">
        <is>
          <t>Reseda</t>
        </is>
      </c>
      <c r="B13" s="551" t="n">
        <v>45266770</v>
      </c>
      <c r="C13" s="552" t="n">
        <v>13</v>
      </c>
      <c r="D13" s="552" t="n">
        <v>30</v>
      </c>
      <c r="E13" s="552" t="n">
        <v>1</v>
      </c>
      <c r="F13" s="552" t="inlineStr">
        <is>
          <t>Yes</t>
        </is>
      </c>
      <c r="G13" s="552" t="inlineStr">
        <is>
          <t>Yes</t>
        </is>
      </c>
      <c r="H13" s="552" t="n">
        <v>2</v>
      </c>
      <c r="I13" s="553">
        <f>IF(H13=1,Assumptions!$B$16,IF(H13=2,Assumptions!$B$17,0))</f>
        <v/>
      </c>
      <c r="J13" s="552" t="inlineStr">
        <is>
          <t>Yes</t>
        </is>
      </c>
      <c r="K13" s="552" t="inlineStr">
        <is>
          <t>Yes</t>
        </is>
      </c>
      <c r="L13" s="552" t="inlineStr">
        <is>
          <t>GC + Developer</t>
        </is>
      </c>
      <c r="N13" s="551">
        <f>B13*Assumptions!$B$10</f>
        <v/>
      </c>
      <c r="O13" s="551">
        <f>B13*Assumptions!$B$11</f>
        <v/>
      </c>
      <c r="P13" s="551">
        <f>B13*Assumptions!$B$12</f>
        <v/>
      </c>
      <c r="Q13" s="551">
        <f>N13+O13+P13</f>
        <v/>
      </c>
      <c r="R13" s="551">
        <f>Q13*0.05</f>
        <v/>
      </c>
      <c r="S13" s="550">
        <f>C13+D13-1</f>
        <v/>
      </c>
      <c r="T13" s="554">
        <f>Assumptions!$B$15</f>
        <v/>
      </c>
      <c r="W13" s="588">
        <f>C13+D13-1</f>
        <v/>
      </c>
    </row>
    <row r="14" ht="15" customFormat="1" customHeight="1" s="380">
      <c r="A14" s="550" t="inlineStr">
        <is>
          <t>3rd St</t>
        </is>
      </c>
      <c r="B14" s="551" t="n">
        <v>41354632</v>
      </c>
      <c r="C14" s="552" t="n">
        <v>27</v>
      </c>
      <c r="D14" s="552" t="n">
        <v>30</v>
      </c>
      <c r="E14" s="552" t="n">
        <v>1</v>
      </c>
      <c r="F14" s="552" t="inlineStr">
        <is>
          <t>Yes</t>
        </is>
      </c>
      <c r="G14" s="552" t="inlineStr">
        <is>
          <t>Yes</t>
        </is>
      </c>
      <c r="H14" s="552" t="n">
        <v>2</v>
      </c>
      <c r="I14" s="553">
        <f>IF(H14=1,Assumptions!$B$16,IF(H14=2,Assumptions!$B$17,0))</f>
        <v/>
      </c>
      <c r="J14" s="552" t="inlineStr">
        <is>
          <t>Yes</t>
        </is>
      </c>
      <c r="K14" s="552" t="inlineStr">
        <is>
          <t>Yes</t>
        </is>
      </c>
      <c r="L14" s="552" t="inlineStr">
        <is>
          <t>GC + Developer</t>
        </is>
      </c>
      <c r="N14" s="551">
        <f>B14*Assumptions!$B$10</f>
        <v/>
      </c>
      <c r="O14" s="551">
        <f>B14*Assumptions!$B$11</f>
        <v/>
      </c>
      <c r="P14" s="551">
        <f>B14*Assumptions!$B$12</f>
        <v/>
      </c>
      <c r="Q14" s="551">
        <f>N14+O14+P14</f>
        <v/>
      </c>
      <c r="R14" s="551">
        <f>Q14*0.05</f>
        <v/>
      </c>
      <c r="S14" s="550">
        <f>C14+D14-1</f>
        <v/>
      </c>
      <c r="T14" s="554">
        <f>Assumptions!$B$15</f>
        <v/>
      </c>
      <c r="W14" s="588">
        <f>C14+D14-1</f>
        <v/>
      </c>
    </row>
    <row r="15" ht="15" customFormat="1" customHeight="1" s="380">
      <c r="A15" s="468" t="n"/>
      <c r="B15" s="468" t="n"/>
      <c r="C15" s="468" t="n"/>
      <c r="D15" s="468" t="n"/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554" t="n"/>
    </row>
    <row r="16" ht="15" customFormat="1" customHeight="1" s="380">
      <c r="A16" s="468" t="n"/>
      <c r="B16" s="468" t="n"/>
      <c r="C16" s="468" t="n"/>
      <c r="D16" s="468" t="n"/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555" t="inlineStr">
        <is>
          <t>HVN?</t>
        </is>
      </c>
      <c r="N16" s="468" t="n"/>
      <c r="O16" s="468" t="n"/>
      <c r="P16" s="468" t="n"/>
      <c r="Q16" s="468" t="n"/>
      <c r="R16" s="468" t="n"/>
      <c r="S16" s="468" t="n"/>
      <c r="T16" s="554" t="n"/>
    </row>
    <row r="17" ht="15" customFormat="1" customHeight="1" s="380">
      <c r="A17" s="550" t="inlineStr">
        <is>
          <t>Dickens</t>
        </is>
      </c>
      <c r="B17" s="551" t="n">
        <v>15316015</v>
      </c>
      <c r="C17" s="552" t="n">
        <v>14</v>
      </c>
      <c r="D17" s="552" t="n">
        <v>19</v>
      </c>
      <c r="E17" s="552" t="n">
        <v>3</v>
      </c>
      <c r="F17" s="552" t="inlineStr">
        <is>
          <t>Yes</t>
        </is>
      </c>
      <c r="G17" s="552" t="inlineStr">
        <is>
          <t>Yes</t>
        </is>
      </c>
      <c r="H17" s="552" t="n">
        <v>2</v>
      </c>
      <c r="I17" s="553">
        <f>IF(H17=1,Assumptions!$B$16,IF(H17=2,Assumptions!$B$17,0))</f>
        <v/>
      </c>
      <c r="J17" s="552" t="inlineStr">
        <is>
          <t>No</t>
        </is>
      </c>
      <c r="K17" s="552" t="inlineStr">
        <is>
          <t>No</t>
        </is>
      </c>
      <c r="L17" s="552" t="inlineStr">
        <is>
          <t>GC + Developer</t>
        </is>
      </c>
      <c r="M17" s="556" t="inlineStr">
        <is>
          <t>Yes</t>
        </is>
      </c>
      <c r="N17" s="551">
        <f>B17*Assumptions!$B$10</f>
        <v/>
      </c>
      <c r="O17" s="551">
        <f>B17*Assumptions!$B$11</f>
        <v/>
      </c>
      <c r="P17" s="551">
        <f>B17*Assumptions!$B$12</f>
        <v/>
      </c>
      <c r="Q17" s="551">
        <f>N17+O17+P17</f>
        <v/>
      </c>
      <c r="R17" s="551">
        <f>Q17*0.05</f>
        <v/>
      </c>
      <c r="S17" s="550">
        <f>C17+D17-1</f>
        <v/>
      </c>
      <c r="T17" s="554">
        <f>Assumptions!$B$15</f>
        <v/>
      </c>
      <c r="W17" s="588">
        <f>C17+D17-1</f>
        <v/>
      </c>
    </row>
    <row r="18" ht="15" customFormat="1" customHeight="1" s="380">
      <c r="A18" s="550" t="inlineStr">
        <is>
          <t>Riverton</t>
        </is>
      </c>
      <c r="B18" s="551" t="n">
        <v>11317385</v>
      </c>
      <c r="C18" s="552" t="n">
        <v>15</v>
      </c>
      <c r="D18" s="552" t="n">
        <v>19</v>
      </c>
      <c r="E18" s="552" t="n">
        <v>3</v>
      </c>
      <c r="F18" s="552" t="inlineStr">
        <is>
          <t>Yes</t>
        </is>
      </c>
      <c r="G18" s="552" t="inlineStr">
        <is>
          <t>Yes</t>
        </is>
      </c>
      <c r="H18" s="552" t="n">
        <v>2</v>
      </c>
      <c r="I18" s="553">
        <f>IF(H18=1,Assumptions!$B$16,IF(H18=2,Assumptions!$B$17,0))</f>
        <v/>
      </c>
      <c r="J18" s="552" t="inlineStr">
        <is>
          <t>No</t>
        </is>
      </c>
      <c r="K18" s="552" t="inlineStr">
        <is>
          <t>No</t>
        </is>
      </c>
      <c r="L18" s="552" t="inlineStr">
        <is>
          <t>GC + Developer</t>
        </is>
      </c>
      <c r="M18" s="556" t="inlineStr">
        <is>
          <t>Yes</t>
        </is>
      </c>
      <c r="N18" s="551">
        <f>B18*Assumptions!$B$10</f>
        <v/>
      </c>
      <c r="O18" s="551">
        <f>B18*Assumptions!$B$11</f>
        <v/>
      </c>
      <c r="P18" s="551">
        <f>B18*Assumptions!$B$12</f>
        <v/>
      </c>
      <c r="Q18" s="551">
        <f>N18+O18+P18</f>
        <v/>
      </c>
      <c r="R18" s="551">
        <f>Q18*0.05</f>
        <v/>
      </c>
      <c r="S18" s="550">
        <f>C18+D18-1</f>
        <v/>
      </c>
      <c r="T18" s="554">
        <f>Assumptions!$B$15</f>
        <v/>
      </c>
      <c r="W18" s="588">
        <f>C18+D18-1</f>
        <v/>
      </c>
    </row>
    <row r="19" ht="15" customFormat="1" customHeight="1" s="380">
      <c r="A19" s="550" t="inlineStr">
        <is>
          <t>Moorpark</t>
        </is>
      </c>
      <c r="B19" s="551" t="n">
        <v>18442769</v>
      </c>
      <c r="C19" s="552" t="n">
        <v>16</v>
      </c>
      <c r="D19" s="552" t="n">
        <v>19</v>
      </c>
      <c r="E19" s="552" t="n">
        <v>3</v>
      </c>
      <c r="F19" s="552" t="inlineStr">
        <is>
          <t>Yes</t>
        </is>
      </c>
      <c r="G19" s="552" t="inlineStr">
        <is>
          <t>Yes</t>
        </is>
      </c>
      <c r="H19" s="552" t="n">
        <v>2</v>
      </c>
      <c r="I19" s="553">
        <f>IF(H19=1,Assumptions!$B$16,IF(H19=2,Assumptions!$B$17,0))</f>
        <v/>
      </c>
      <c r="J19" s="552" t="inlineStr">
        <is>
          <t>No</t>
        </is>
      </c>
      <c r="K19" s="552" t="inlineStr">
        <is>
          <t>No</t>
        </is>
      </c>
      <c r="L19" s="552" t="inlineStr">
        <is>
          <t>GC + Developer</t>
        </is>
      </c>
      <c r="M19" s="556" t="inlineStr">
        <is>
          <t>Yes</t>
        </is>
      </c>
      <c r="N19" s="551">
        <f>B19*Assumptions!$B$10</f>
        <v/>
      </c>
      <c r="O19" s="551">
        <f>B19*Assumptions!$B$11</f>
        <v/>
      </c>
      <c r="P19" s="551">
        <f>B19*Assumptions!$B$12</f>
        <v/>
      </c>
      <c r="Q19" s="551">
        <f>N19+O19+P19</f>
        <v/>
      </c>
      <c r="R19" s="551">
        <f>Q19*0.05</f>
        <v/>
      </c>
      <c r="S19" s="550">
        <f>C19+D19-1</f>
        <v/>
      </c>
      <c r="T19" s="554">
        <f>Assumptions!$B$15</f>
        <v/>
      </c>
      <c r="W19" s="588">
        <f>C19+D19-1</f>
        <v/>
      </c>
    </row>
    <row r="20" ht="15" customFormat="1" customHeight="1" s="380">
      <c r="A20" s="550" t="inlineStr">
        <is>
          <t>Beverly (BD-04)</t>
        </is>
      </c>
      <c r="B20" s="551" t="n">
        <v>25026330.58</v>
      </c>
      <c r="C20" s="552" t="n">
        <v>20</v>
      </c>
      <c r="D20" s="552" t="n">
        <v>24</v>
      </c>
      <c r="E20" s="552" t="n">
        <v>2</v>
      </c>
      <c r="F20" s="552" t="inlineStr">
        <is>
          <t>No</t>
        </is>
      </c>
      <c r="G20" s="552" t="inlineStr">
        <is>
          <t>Yes</t>
        </is>
      </c>
      <c r="H20" s="552" t="n">
        <v>0</v>
      </c>
      <c r="I20" s="553">
        <f>IF(H20=1,Assumptions!$B$16,IF(H20=2,Assumptions!$B$17,0))</f>
        <v/>
      </c>
      <c r="J20" s="552" t="inlineStr">
        <is>
          <t>No</t>
        </is>
      </c>
      <c r="K20" s="552" t="inlineStr">
        <is>
          <t>No</t>
        </is>
      </c>
      <c r="L20" s="552" t="inlineStr">
        <is>
          <t>3rd Party GC</t>
        </is>
      </c>
      <c r="M20" s="556" t="inlineStr">
        <is>
          <t>No</t>
        </is>
      </c>
      <c r="N20" s="551">
        <f>B20*Assumptions!$B$10</f>
        <v/>
      </c>
      <c r="O20" s="551">
        <f>B20*Assumptions!$B$11</f>
        <v/>
      </c>
      <c r="P20" s="551">
        <f>B20*Assumptions!$B$12</f>
        <v/>
      </c>
      <c r="Q20" s="551">
        <f>N20+O20+P20</f>
        <v/>
      </c>
      <c r="R20" s="551">
        <f>Q20*0.05</f>
        <v/>
      </c>
      <c r="S20" s="550">
        <f>C20+D20-1</f>
        <v/>
      </c>
      <c r="T20" s="554" t="n"/>
      <c r="W20" s="588">
        <f>C20+D20-1</f>
        <v/>
      </c>
    </row>
    <row r="21" ht="15" customFormat="1" customHeight="1" s="380">
      <c r="A21" s="550" t="inlineStr">
        <is>
          <t>Troost (HVN)</t>
        </is>
      </c>
      <c r="B21" s="551" t="n">
        <v>15189508.75</v>
      </c>
      <c r="C21" s="552" t="n">
        <v>10</v>
      </c>
      <c r="D21" s="552" t="n">
        <v>19</v>
      </c>
      <c r="E21" s="552" t="n">
        <v>3</v>
      </c>
      <c r="F21" s="552" t="inlineStr">
        <is>
          <t>No</t>
        </is>
      </c>
      <c r="G21" s="552" t="inlineStr">
        <is>
          <t>Yes</t>
        </is>
      </c>
      <c r="H21" s="552" t="n">
        <v>0</v>
      </c>
      <c r="I21" s="553">
        <f>IF(H21=1,Assumptions!$B$16,IF(H21=2,Assumptions!$B$17,0))</f>
        <v/>
      </c>
      <c r="J21" s="552" t="inlineStr">
        <is>
          <t>No</t>
        </is>
      </c>
      <c r="K21" s="552" t="inlineStr">
        <is>
          <t>No</t>
        </is>
      </c>
      <c r="L21" s="552" t="inlineStr">
        <is>
          <t>GC + Developer</t>
        </is>
      </c>
      <c r="M21" s="556" t="inlineStr">
        <is>
          <t>Yes</t>
        </is>
      </c>
      <c r="N21" s="551">
        <f>B21*Assumptions!$B$10</f>
        <v/>
      </c>
      <c r="O21" s="551">
        <f>B21*Assumptions!$B$11</f>
        <v/>
      </c>
      <c r="P21" s="551">
        <f>B21*Assumptions!$B$12</f>
        <v/>
      </c>
      <c r="Q21" s="551">
        <f>N21+O21+P21</f>
        <v/>
      </c>
      <c r="R21" s="551">
        <f>Q21*0.05</f>
        <v/>
      </c>
      <c r="S21" s="550">
        <f>C21+D21-1</f>
        <v/>
      </c>
      <c r="T21" s="554" t="n"/>
      <c r="W21" s="588">
        <f>C21+D21-1</f>
        <v/>
      </c>
    </row>
    <row r="22" ht="15" customFormat="1" customHeight="1" s="380">
      <c r="A22" s="550" t="inlineStr">
        <is>
          <t>BD-06</t>
        </is>
      </c>
      <c r="B22" s="551" t="n">
        <v>15000000</v>
      </c>
      <c r="C22" s="552" t="n">
        <v>31</v>
      </c>
      <c r="D22" s="552" t="n">
        <v>19</v>
      </c>
      <c r="E22" s="552" t="n">
        <v>3</v>
      </c>
      <c r="F22" s="552" t="inlineStr">
        <is>
          <t>No</t>
        </is>
      </c>
      <c r="G22" s="552" t="inlineStr">
        <is>
          <t>Yes</t>
        </is>
      </c>
      <c r="H22" s="552" t="n">
        <v>0</v>
      </c>
      <c r="I22" s="553">
        <f>IF(H22=1,Assumptions!$B$16,IF(H22=2,Assumptions!$B$17,0))</f>
        <v/>
      </c>
      <c r="J22" s="552" t="inlineStr">
        <is>
          <t>No</t>
        </is>
      </c>
      <c r="K22" s="552" t="inlineStr">
        <is>
          <t>No</t>
        </is>
      </c>
      <c r="L22" s="552" t="inlineStr">
        <is>
          <t>3rd Party GC</t>
        </is>
      </c>
      <c r="M22" s="556" t="inlineStr">
        <is>
          <t>No</t>
        </is>
      </c>
      <c r="N22" s="551" t="n">
        <v>730519</v>
      </c>
      <c r="O22" s="551" t="n">
        <v>730519</v>
      </c>
      <c r="P22" s="551" t="n">
        <v>243506</v>
      </c>
      <c r="Q22" s="551">
        <f>N22+O22+P22</f>
        <v/>
      </c>
      <c r="R22" s="551">
        <f>Q22*0.05</f>
        <v/>
      </c>
      <c r="S22" s="550">
        <f>C22+D22-1</f>
        <v/>
      </c>
      <c r="T22" s="554" t="n"/>
      <c r="W22" s="588">
        <f>C22+D22-1</f>
        <v/>
      </c>
    </row>
    <row r="23" ht="15" customFormat="1" customHeight="1" s="380">
      <c r="A23" s="550" t="inlineStr">
        <is>
          <t>BD-07</t>
        </is>
      </c>
      <c r="B23" s="551" t="n">
        <v>15000000</v>
      </c>
      <c r="C23" s="552" t="n">
        <v>34</v>
      </c>
      <c r="D23" s="552" t="n">
        <v>19</v>
      </c>
      <c r="E23" s="552" t="n">
        <v>3</v>
      </c>
      <c r="F23" s="552" t="inlineStr">
        <is>
          <t>Yes</t>
        </is>
      </c>
      <c r="G23" s="552" t="inlineStr">
        <is>
          <t>Yes</t>
        </is>
      </c>
      <c r="H23" s="552" t="n">
        <v>2</v>
      </c>
      <c r="I23" s="553">
        <f>IF(H23=1,Assumptions!$B$16,IF(H23=2,Assumptions!$B$17,0))</f>
        <v/>
      </c>
      <c r="J23" s="552" t="inlineStr">
        <is>
          <t>No</t>
        </is>
      </c>
      <c r="K23" s="552" t="inlineStr">
        <is>
          <t>No</t>
        </is>
      </c>
      <c r="L23" s="552" t="inlineStr">
        <is>
          <t>3rd Party GC</t>
        </is>
      </c>
      <c r="M23" s="556" t="inlineStr">
        <is>
          <t>Yes</t>
        </is>
      </c>
      <c r="N23" s="551" t="n">
        <v>730519</v>
      </c>
      <c r="O23" s="551" t="n">
        <v>730519</v>
      </c>
      <c r="P23" s="551" t="n">
        <v>243506</v>
      </c>
      <c r="Q23" s="551">
        <f>N23+O23+P23</f>
        <v/>
      </c>
      <c r="R23" s="551">
        <f>Q23*0.05</f>
        <v/>
      </c>
      <c r="S23" s="550">
        <f>C23+D23-1</f>
        <v/>
      </c>
      <c r="T23" s="554">
        <f>Assumptions!$B$15</f>
        <v/>
      </c>
      <c r="W23" s="588">
        <f>C23+D23-1</f>
        <v/>
      </c>
    </row>
    <row r="24" ht="15" customFormat="1" customHeight="1" s="380">
      <c r="A24" s="550" t="inlineStr">
        <is>
          <t>BD-08</t>
        </is>
      </c>
      <c r="B24" s="551" t="n">
        <v>18000000</v>
      </c>
      <c r="C24" s="552" t="n">
        <v>37</v>
      </c>
      <c r="D24" s="552" t="n">
        <v>19</v>
      </c>
      <c r="E24" s="552" t="n">
        <v>3</v>
      </c>
      <c r="F24" s="552" t="inlineStr">
        <is>
          <t>No</t>
        </is>
      </c>
      <c r="G24" s="552" t="inlineStr">
        <is>
          <t>Yes</t>
        </is>
      </c>
      <c r="H24" s="552" t="n">
        <v>0</v>
      </c>
      <c r="I24" s="553">
        <f>IF(H24=1,Assumptions!$B$16,IF(H24=2,Assumptions!$B$17,0))</f>
        <v/>
      </c>
      <c r="J24" s="552" t="inlineStr">
        <is>
          <t>No</t>
        </is>
      </c>
      <c r="K24" s="552" t="inlineStr">
        <is>
          <t>No</t>
        </is>
      </c>
      <c r="L24" s="552" t="inlineStr">
        <is>
          <t>3rd Party GC</t>
        </is>
      </c>
      <c r="M24" s="556" t="inlineStr">
        <is>
          <t>No</t>
        </is>
      </c>
      <c r="N24" s="551" t="n">
        <v>876623</v>
      </c>
      <c r="O24" s="551" t="n">
        <v>876623</v>
      </c>
      <c r="P24" s="551" t="n">
        <v>292208</v>
      </c>
      <c r="Q24" s="551">
        <f>N24+O24+P24</f>
        <v/>
      </c>
      <c r="R24" s="551">
        <f>Q24*0.05</f>
        <v/>
      </c>
      <c r="S24" s="550">
        <f>C24+D24-1</f>
        <v/>
      </c>
      <c r="T24" s="554" t="n"/>
      <c r="W24" s="588">
        <f>C24+D24-1</f>
        <v/>
      </c>
    </row>
    <row r="25" ht="15" customFormat="1" customHeight="1" s="380">
      <c r="A25" s="550" t="inlineStr">
        <is>
          <t>BD-09</t>
        </is>
      </c>
      <c r="B25" s="551" t="n">
        <v>18000000</v>
      </c>
      <c r="C25" s="552" t="n">
        <v>40</v>
      </c>
      <c r="D25" s="552" t="n">
        <v>19</v>
      </c>
      <c r="E25" s="552" t="n">
        <v>3</v>
      </c>
      <c r="F25" s="552" t="inlineStr">
        <is>
          <t>No</t>
        </is>
      </c>
      <c r="G25" s="552" t="inlineStr">
        <is>
          <t>Yes</t>
        </is>
      </c>
      <c r="H25" s="552" t="n">
        <v>0</v>
      </c>
      <c r="I25" s="553">
        <f>IF(H25=1,Assumptions!$B$16,IF(H25=2,Assumptions!$B$17,0))</f>
        <v/>
      </c>
      <c r="J25" s="552" t="inlineStr">
        <is>
          <t>No</t>
        </is>
      </c>
      <c r="K25" s="552" t="inlineStr">
        <is>
          <t>No</t>
        </is>
      </c>
      <c r="L25" s="552" t="inlineStr">
        <is>
          <t>3rd Party GC</t>
        </is>
      </c>
      <c r="M25" s="556" t="inlineStr">
        <is>
          <t>No</t>
        </is>
      </c>
      <c r="N25" s="551" t="n">
        <v>876623</v>
      </c>
      <c r="O25" s="551" t="n">
        <v>876623</v>
      </c>
      <c r="P25" s="551" t="n">
        <v>292208</v>
      </c>
      <c r="Q25" s="551">
        <f>N25+O25+P25</f>
        <v/>
      </c>
      <c r="R25" s="551">
        <f>Q25*0.05</f>
        <v/>
      </c>
      <c r="S25" s="550">
        <f>C25+D25-1</f>
        <v/>
      </c>
      <c r="T25" s="554" t="n"/>
      <c r="W25" s="588">
        <f>C25+D25-1</f>
        <v/>
      </c>
    </row>
    <row r="26" ht="15" customFormat="1" customHeight="1" s="380">
      <c r="A26" s="550" t="inlineStr">
        <is>
          <t>BD-10</t>
        </is>
      </c>
      <c r="B26" s="551" t="n">
        <v>18000000</v>
      </c>
      <c r="C26" s="552" t="n">
        <v>42</v>
      </c>
      <c r="D26" s="552" t="n">
        <v>19</v>
      </c>
      <c r="E26" s="552" t="n">
        <v>3</v>
      </c>
      <c r="F26" s="552" t="inlineStr">
        <is>
          <t>No</t>
        </is>
      </c>
      <c r="G26" s="552" t="inlineStr">
        <is>
          <t>No</t>
        </is>
      </c>
      <c r="H26" s="552" t="n">
        <v>0</v>
      </c>
      <c r="I26" s="553">
        <f>IF(H26=1,Assumptions!$B$16,IF(H26=2,Assumptions!$B$17,0))</f>
        <v/>
      </c>
      <c r="J26" s="552" t="inlineStr">
        <is>
          <t>No</t>
        </is>
      </c>
      <c r="K26" s="552" t="inlineStr">
        <is>
          <t>No</t>
        </is>
      </c>
      <c r="L26" s="552" t="inlineStr">
        <is>
          <t>3rd Party GC</t>
        </is>
      </c>
      <c r="M26" s="556" t="inlineStr">
        <is>
          <t>No</t>
        </is>
      </c>
      <c r="N26" s="551" t="n">
        <v>876623</v>
      </c>
      <c r="O26" s="551" t="n">
        <v>876623</v>
      </c>
      <c r="P26" s="551" t="n">
        <v>292208</v>
      </c>
      <c r="Q26" s="551">
        <f>N26+O26+P26</f>
        <v/>
      </c>
      <c r="R26" s="551">
        <f>Q26*0.05</f>
        <v/>
      </c>
      <c r="S26" s="550">
        <f>C26+D26-1</f>
        <v/>
      </c>
      <c r="T26" s="554" t="n"/>
      <c r="W26" s="588">
        <f>C26+D26-1</f>
        <v/>
      </c>
    </row>
    <row r="27" ht="15" customFormat="1" customHeight="1" s="380">
      <c r="A27" s="550" t="inlineStr">
        <is>
          <t>BD-11</t>
        </is>
      </c>
      <c r="B27" s="551" t="n">
        <v>15000000</v>
      </c>
      <c r="C27" s="552" t="n">
        <v>44</v>
      </c>
      <c r="D27" s="552" t="n">
        <v>19</v>
      </c>
      <c r="E27" s="552" t="n">
        <v>3</v>
      </c>
      <c r="F27" s="552" t="inlineStr">
        <is>
          <t>No</t>
        </is>
      </c>
      <c r="G27" s="552" t="inlineStr">
        <is>
          <t>No</t>
        </is>
      </c>
      <c r="H27" s="552" t="n">
        <v>0</v>
      </c>
      <c r="I27" s="553">
        <f>IF(H27=1,Assumptions!$B$16,IF(H27=2,Assumptions!$B$17,0))</f>
        <v/>
      </c>
      <c r="J27" s="552" t="inlineStr">
        <is>
          <t>No</t>
        </is>
      </c>
      <c r="K27" s="552" t="inlineStr">
        <is>
          <t>No</t>
        </is>
      </c>
      <c r="L27" s="552" t="inlineStr">
        <is>
          <t>3rd Party GC</t>
        </is>
      </c>
      <c r="M27" s="556" t="inlineStr">
        <is>
          <t>No</t>
        </is>
      </c>
      <c r="N27" s="551" t="n">
        <v>730519</v>
      </c>
      <c r="O27" s="551" t="n">
        <v>730519</v>
      </c>
      <c r="P27" s="551" t="n">
        <v>243506</v>
      </c>
      <c r="Q27" s="551">
        <f>N27+O27+P27</f>
        <v/>
      </c>
      <c r="R27" s="551">
        <f>Q27*0.05</f>
        <v/>
      </c>
      <c r="S27" s="550">
        <f>C27+D27-1</f>
        <v/>
      </c>
      <c r="T27" s="554" t="n"/>
      <c r="W27" s="588">
        <f>C27+D27-1</f>
        <v/>
      </c>
    </row>
    <row r="28" ht="15" customFormat="1" customHeight="1" s="380">
      <c r="A28" s="550" t="inlineStr">
        <is>
          <t>BD-12</t>
        </is>
      </c>
      <c r="B28" s="551" t="n">
        <v>15000000</v>
      </c>
      <c r="C28" s="552" t="n">
        <v>46</v>
      </c>
      <c r="D28" s="552" t="n">
        <v>19</v>
      </c>
      <c r="E28" s="552" t="n">
        <v>3</v>
      </c>
      <c r="F28" s="552" t="inlineStr">
        <is>
          <t>Yes</t>
        </is>
      </c>
      <c r="G28" s="552" t="inlineStr">
        <is>
          <t>No</t>
        </is>
      </c>
      <c r="H28" s="552" t="n">
        <v>2</v>
      </c>
      <c r="I28" s="553">
        <f>IF(H28=1,Assumptions!$B$16,IF(H28=2,Assumptions!$B$17,0))</f>
        <v/>
      </c>
      <c r="J28" s="552" t="inlineStr">
        <is>
          <t>No</t>
        </is>
      </c>
      <c r="K28" s="552" t="inlineStr">
        <is>
          <t>No</t>
        </is>
      </c>
      <c r="L28" s="552" t="inlineStr">
        <is>
          <t>3rd Party GC</t>
        </is>
      </c>
      <c r="M28" s="556" t="inlineStr">
        <is>
          <t>Yes</t>
        </is>
      </c>
      <c r="N28" s="551" t="n">
        <v>730519</v>
      </c>
      <c r="O28" s="551" t="n">
        <v>730519</v>
      </c>
      <c r="P28" s="551" t="n">
        <v>243506</v>
      </c>
      <c r="Q28" s="551">
        <f>N28+O28+P28</f>
        <v/>
      </c>
      <c r="R28" s="551">
        <f>Q28*0.05</f>
        <v/>
      </c>
      <c r="S28" s="550">
        <f>C28+D28-1</f>
        <v/>
      </c>
      <c r="T28" s="554">
        <f>Assumptions!$B$15</f>
        <v/>
      </c>
      <c r="W28" s="588">
        <f>C28+D28-1</f>
        <v/>
      </c>
    </row>
    <row r="29" ht="15" customFormat="1" customHeight="1" s="380">
      <c r="A29" s="550" t="inlineStr">
        <is>
          <t>BD-13</t>
        </is>
      </c>
      <c r="B29" s="551" t="n">
        <v>15000000</v>
      </c>
      <c r="C29" s="552" t="n">
        <v>48</v>
      </c>
      <c r="D29" s="552" t="n">
        <v>19</v>
      </c>
      <c r="E29" s="552" t="n">
        <v>3</v>
      </c>
      <c r="F29" s="552" t="inlineStr">
        <is>
          <t>No</t>
        </is>
      </c>
      <c r="G29" s="552" t="inlineStr">
        <is>
          <t>Yes</t>
        </is>
      </c>
      <c r="H29" s="552" t="n">
        <v>0</v>
      </c>
      <c r="I29" s="553">
        <f>IF(H29=1,Assumptions!$B$16,IF(H29=2,Assumptions!$B$17,0))</f>
        <v/>
      </c>
      <c r="J29" s="552" t="inlineStr">
        <is>
          <t>No</t>
        </is>
      </c>
      <c r="K29" s="552" t="inlineStr">
        <is>
          <t>No</t>
        </is>
      </c>
      <c r="L29" s="552" t="inlineStr">
        <is>
          <t>3rd Party GC</t>
        </is>
      </c>
      <c r="M29" s="556" t="inlineStr">
        <is>
          <t>No</t>
        </is>
      </c>
      <c r="N29" s="551" t="n">
        <v>730519</v>
      </c>
      <c r="O29" s="551" t="n">
        <v>730519</v>
      </c>
      <c r="P29" s="551" t="n">
        <v>243506</v>
      </c>
      <c r="Q29" s="551">
        <f>N29+O29+P29</f>
        <v/>
      </c>
      <c r="R29" s="551">
        <f>Q29*0.05</f>
        <v/>
      </c>
      <c r="S29" s="550">
        <f>C29+D29-1</f>
        <v/>
      </c>
      <c r="T29" s="554" t="n"/>
      <c r="W29" s="588">
        <f>C29+D29-1</f>
        <v/>
      </c>
    </row>
    <row r="30" ht="15" customFormat="1" customHeight="1" s="380">
      <c r="A30" s="550" t="inlineStr">
        <is>
          <t>BD-14</t>
        </is>
      </c>
      <c r="B30" s="551" t="n">
        <v>15000000</v>
      </c>
      <c r="C30" s="552" t="n">
        <v>50</v>
      </c>
      <c r="D30" s="552" t="n">
        <v>19</v>
      </c>
      <c r="E30" s="552" t="n">
        <v>3</v>
      </c>
      <c r="F30" s="552" t="inlineStr">
        <is>
          <t>No</t>
        </is>
      </c>
      <c r="G30" s="552" t="inlineStr">
        <is>
          <t>No</t>
        </is>
      </c>
      <c r="H30" s="552" t="n">
        <v>0</v>
      </c>
      <c r="I30" s="553">
        <f>IF(H30=1,Assumptions!$B$16,IF(H30=2,Assumptions!$B$17,0))</f>
        <v/>
      </c>
      <c r="J30" s="552" t="inlineStr">
        <is>
          <t>No</t>
        </is>
      </c>
      <c r="K30" s="552" t="inlineStr">
        <is>
          <t>No</t>
        </is>
      </c>
      <c r="L30" s="552" t="inlineStr">
        <is>
          <t>3rd Party GC</t>
        </is>
      </c>
      <c r="M30" s="556" t="inlineStr">
        <is>
          <t>No</t>
        </is>
      </c>
      <c r="N30" s="551" t="n">
        <v>730519</v>
      </c>
      <c r="O30" s="551" t="n">
        <v>730519</v>
      </c>
      <c r="P30" s="551" t="n">
        <v>243506</v>
      </c>
      <c r="Q30" s="551">
        <f>N30+O30+P30</f>
        <v/>
      </c>
      <c r="R30" s="551">
        <f>Q30*0.05</f>
        <v/>
      </c>
      <c r="S30" s="550">
        <f>C30+D30-1</f>
        <v/>
      </c>
      <c r="T30" s="554" t="n"/>
      <c r="W30" s="588">
        <f>C30+D30-1</f>
        <v/>
      </c>
    </row>
    <row r="31" ht="15" customFormat="1" customHeight="1" s="380">
      <c r="A31" s="550" t="inlineStr">
        <is>
          <t>BD-15</t>
        </is>
      </c>
      <c r="B31" s="551" t="n">
        <v>18000000</v>
      </c>
      <c r="C31" s="552" t="n">
        <v>52</v>
      </c>
      <c r="D31" s="552" t="n">
        <v>19</v>
      </c>
      <c r="E31" s="552" t="n">
        <v>3</v>
      </c>
      <c r="F31" s="552" t="inlineStr">
        <is>
          <t>No</t>
        </is>
      </c>
      <c r="G31" s="552" t="inlineStr">
        <is>
          <t>Yes</t>
        </is>
      </c>
      <c r="H31" s="552" t="n">
        <v>0</v>
      </c>
      <c r="I31" s="553">
        <f>IF(H31=1,Assumptions!$B$16,IF(H31=2,Assumptions!$B$17,0))</f>
        <v/>
      </c>
      <c r="J31" s="552" t="inlineStr">
        <is>
          <t>No</t>
        </is>
      </c>
      <c r="K31" s="552" t="inlineStr">
        <is>
          <t>No</t>
        </is>
      </c>
      <c r="L31" s="552" t="inlineStr">
        <is>
          <t>3rd Party GC</t>
        </is>
      </c>
      <c r="M31" s="556" t="inlineStr">
        <is>
          <t>No</t>
        </is>
      </c>
      <c r="N31" s="551" t="n">
        <v>876623</v>
      </c>
      <c r="O31" s="551" t="n">
        <v>876623</v>
      </c>
      <c r="P31" s="551" t="n">
        <v>292208</v>
      </c>
      <c r="Q31" s="551">
        <f>N31+O31+P31</f>
        <v/>
      </c>
      <c r="R31" s="551">
        <f>Q31*0.05</f>
        <v/>
      </c>
      <c r="S31" s="550">
        <f>C31+D31-1</f>
        <v/>
      </c>
      <c r="T31" s="554" t="n"/>
      <c r="W31" s="588">
        <f>C31+D31-1</f>
        <v/>
      </c>
    </row>
    <row r="32" ht="15" customFormat="1" customHeight="1" s="380">
      <c r="A32" s="550" t="inlineStr">
        <is>
          <t>BD-16</t>
        </is>
      </c>
      <c r="B32" s="551" t="n">
        <v>15000000</v>
      </c>
      <c r="C32" s="552" t="n">
        <v>54</v>
      </c>
      <c r="D32" s="552" t="n">
        <v>19</v>
      </c>
      <c r="E32" s="552" t="n">
        <v>3</v>
      </c>
      <c r="F32" s="552" t="inlineStr">
        <is>
          <t>No</t>
        </is>
      </c>
      <c r="G32" s="552" t="inlineStr">
        <is>
          <t>Yes</t>
        </is>
      </c>
      <c r="H32" s="552" t="n">
        <v>0</v>
      </c>
      <c r="I32" s="553">
        <f>IF(H32=1,Assumptions!$B$16,IF(H32=2,Assumptions!$B$17,0))</f>
        <v/>
      </c>
      <c r="J32" s="552" t="inlineStr">
        <is>
          <t>No</t>
        </is>
      </c>
      <c r="K32" s="552" t="inlineStr">
        <is>
          <t>No</t>
        </is>
      </c>
      <c r="L32" s="552" t="inlineStr">
        <is>
          <t>3rd Party GC</t>
        </is>
      </c>
      <c r="M32" s="556" t="inlineStr">
        <is>
          <t>No</t>
        </is>
      </c>
      <c r="N32" s="551" t="n">
        <v>730519</v>
      </c>
      <c r="O32" s="551" t="n">
        <v>730519</v>
      </c>
      <c r="P32" s="551" t="n">
        <v>243506</v>
      </c>
      <c r="Q32" s="551">
        <f>N32+O32+P32</f>
        <v/>
      </c>
      <c r="R32" s="551">
        <f>Q32*0.05</f>
        <v/>
      </c>
      <c r="S32" s="550">
        <f>C32+D32-1</f>
        <v/>
      </c>
      <c r="T32" s="554" t="n"/>
      <c r="W32" s="588">
        <f>C32+D32-1</f>
        <v/>
      </c>
    </row>
    <row r="33" ht="15" customFormat="1" customHeight="1" s="380">
      <c r="A33" s="550" t="inlineStr">
        <is>
          <t>BD-17</t>
        </is>
      </c>
      <c r="B33" s="551" t="n">
        <v>15000000</v>
      </c>
      <c r="C33" s="552" t="n">
        <v>56</v>
      </c>
      <c r="D33" s="552" t="n">
        <v>19</v>
      </c>
      <c r="E33" s="552" t="n">
        <v>3</v>
      </c>
      <c r="F33" s="552" t="inlineStr">
        <is>
          <t>No</t>
        </is>
      </c>
      <c r="G33" s="552" t="inlineStr">
        <is>
          <t>Yes</t>
        </is>
      </c>
      <c r="H33" s="552" t="n">
        <v>0</v>
      </c>
      <c r="I33" s="553">
        <f>IF(H33=1,Assumptions!$B$16,IF(H33=2,Assumptions!$B$17,0))</f>
        <v/>
      </c>
      <c r="J33" s="552" t="inlineStr">
        <is>
          <t>No</t>
        </is>
      </c>
      <c r="K33" s="552" t="inlineStr">
        <is>
          <t>No</t>
        </is>
      </c>
      <c r="L33" s="552" t="inlineStr">
        <is>
          <t>3rd Party GC</t>
        </is>
      </c>
      <c r="M33" s="556" t="inlineStr">
        <is>
          <t>No</t>
        </is>
      </c>
      <c r="N33" s="551" t="n">
        <v>730519</v>
      </c>
      <c r="O33" s="551" t="n">
        <v>730519</v>
      </c>
      <c r="P33" s="551" t="n">
        <v>243506</v>
      </c>
      <c r="Q33" s="551">
        <f>N33+O33+P33</f>
        <v/>
      </c>
      <c r="R33" s="551">
        <f>Q33*0.05</f>
        <v/>
      </c>
      <c r="S33" s="550">
        <f>C33+D33-1</f>
        <v/>
      </c>
      <c r="T33" s="554" t="n"/>
      <c r="W33" s="588">
        <f>C33+D33-1</f>
        <v/>
      </c>
    </row>
    <row r="34" ht="15" customFormat="1" customHeight="1" s="380">
      <c r="A34" s="550" t="inlineStr">
        <is>
          <t>BD-18</t>
        </is>
      </c>
      <c r="B34" s="551" t="n">
        <v>18000000</v>
      </c>
      <c r="C34" s="552" t="n">
        <v>58</v>
      </c>
      <c r="D34" s="552" t="n">
        <v>19</v>
      </c>
      <c r="E34" s="552" t="n">
        <v>3</v>
      </c>
      <c r="F34" s="552" t="inlineStr">
        <is>
          <t>Yes</t>
        </is>
      </c>
      <c r="G34" s="552" t="inlineStr">
        <is>
          <t>Yes</t>
        </is>
      </c>
      <c r="H34" s="552" t="n">
        <v>2</v>
      </c>
      <c r="I34" s="553">
        <f>IF(H34=1,Assumptions!$B$16,IF(H34=2,Assumptions!$B$17,0))</f>
        <v/>
      </c>
      <c r="J34" s="552" t="inlineStr">
        <is>
          <t>No</t>
        </is>
      </c>
      <c r="K34" s="552" t="inlineStr">
        <is>
          <t>No</t>
        </is>
      </c>
      <c r="L34" s="552" t="inlineStr">
        <is>
          <t>3rd Party GC</t>
        </is>
      </c>
      <c r="M34" s="556" t="inlineStr">
        <is>
          <t>Yes</t>
        </is>
      </c>
      <c r="N34" s="551" t="n">
        <v>876623</v>
      </c>
      <c r="O34" s="551" t="n">
        <v>876623</v>
      </c>
      <c r="P34" s="551" t="n">
        <v>292208</v>
      </c>
      <c r="Q34" s="551">
        <f>N34+O34+P34</f>
        <v/>
      </c>
      <c r="R34" s="551">
        <f>Q34*0.05</f>
        <v/>
      </c>
      <c r="S34" s="550">
        <f>C34+D34-1</f>
        <v/>
      </c>
      <c r="T34" s="554">
        <f>Assumptions!$B$15</f>
        <v/>
      </c>
      <c r="W34" s="588">
        <f>C34+D34-1</f>
        <v/>
      </c>
    </row>
    <row r="35" ht="15" customFormat="1" customHeight="1" s="380">
      <c r="A35" s="550" t="inlineStr">
        <is>
          <t>BD-19</t>
        </is>
      </c>
      <c r="B35" s="551" t="n">
        <v>15000000</v>
      </c>
      <c r="C35" s="552" t="n">
        <v>60</v>
      </c>
      <c r="D35" s="552" t="n">
        <v>19</v>
      </c>
      <c r="E35" s="552" t="n">
        <v>3</v>
      </c>
      <c r="F35" s="552" t="inlineStr">
        <is>
          <t>No</t>
        </is>
      </c>
      <c r="G35" s="552" t="inlineStr">
        <is>
          <t>Yes</t>
        </is>
      </c>
      <c r="H35" s="552" t="n">
        <v>0</v>
      </c>
      <c r="I35" s="553">
        <f>IF(H35=1,Assumptions!$B$16,IF(H35=2,Assumptions!$B$17,0))</f>
        <v/>
      </c>
      <c r="J35" s="552" t="inlineStr">
        <is>
          <t>No</t>
        </is>
      </c>
      <c r="K35" s="552" t="inlineStr">
        <is>
          <t>No</t>
        </is>
      </c>
      <c r="L35" s="552" t="inlineStr">
        <is>
          <t>3rd Party GC</t>
        </is>
      </c>
      <c r="M35" s="556" t="inlineStr">
        <is>
          <t>No</t>
        </is>
      </c>
      <c r="N35" s="551" t="n">
        <v>730519</v>
      </c>
      <c r="O35" s="551" t="n">
        <v>730519</v>
      </c>
      <c r="P35" s="551" t="n">
        <v>243506</v>
      </c>
      <c r="Q35" s="551">
        <f>N35+O35+P35</f>
        <v/>
      </c>
      <c r="R35" s="551">
        <f>Q35*0.05</f>
        <v/>
      </c>
      <c r="S35" s="550">
        <f>C35+D35-1</f>
        <v/>
      </c>
      <c r="T35" s="554" t="n"/>
      <c r="W35" s="588">
        <f>C35+D35-1</f>
        <v/>
      </c>
    </row>
    <row r="36" ht="15" customFormat="1" customHeight="1" s="380">
      <c r="A36" s="550" t="inlineStr">
        <is>
          <t>BD-20</t>
        </is>
      </c>
      <c r="B36" s="551" t="n">
        <v>18000000</v>
      </c>
      <c r="C36" s="552" t="n">
        <v>62</v>
      </c>
      <c r="D36" s="552" t="n">
        <v>19</v>
      </c>
      <c r="E36" s="552" t="n">
        <v>3</v>
      </c>
      <c r="F36" s="552" t="inlineStr">
        <is>
          <t>No</t>
        </is>
      </c>
      <c r="G36" s="552" t="inlineStr">
        <is>
          <t>Yes</t>
        </is>
      </c>
      <c r="H36" s="552" t="n">
        <v>0</v>
      </c>
      <c r="I36" s="553">
        <f>IF(H36=1,Assumptions!$B$16,IF(H36=2,Assumptions!$B$17,0))</f>
        <v/>
      </c>
      <c r="J36" s="552" t="inlineStr">
        <is>
          <t>No</t>
        </is>
      </c>
      <c r="K36" s="552" t="inlineStr">
        <is>
          <t>No</t>
        </is>
      </c>
      <c r="L36" s="552" t="inlineStr">
        <is>
          <t>3rd Party GC</t>
        </is>
      </c>
      <c r="M36" s="556" t="inlineStr">
        <is>
          <t>No</t>
        </is>
      </c>
      <c r="N36" s="551" t="n">
        <v>876623</v>
      </c>
      <c r="O36" s="551" t="n">
        <v>876623</v>
      </c>
      <c r="P36" s="551" t="n">
        <v>292208</v>
      </c>
      <c r="Q36" s="551">
        <f>N36+O36+P36</f>
        <v/>
      </c>
      <c r="R36" s="551">
        <f>Q36*0.05</f>
        <v/>
      </c>
      <c r="S36" s="550">
        <f>C36+D36-1</f>
        <v/>
      </c>
      <c r="T36" s="554" t="n"/>
      <c r="W36" s="588">
        <f>C36+D36-1</f>
        <v/>
      </c>
    </row>
    <row r="37" ht="15" customFormat="1" customHeight="1" s="380">
      <c r="A37" s="550" t="inlineStr">
        <is>
          <t>BD-21</t>
        </is>
      </c>
      <c r="B37" s="551" t="n">
        <v>15000000</v>
      </c>
      <c r="C37" s="552" t="n">
        <v>64</v>
      </c>
      <c r="D37" s="552" t="n">
        <v>19</v>
      </c>
      <c r="E37" s="552" t="n">
        <v>3</v>
      </c>
      <c r="F37" s="552" t="inlineStr">
        <is>
          <t>No</t>
        </is>
      </c>
      <c r="G37" s="552" t="inlineStr">
        <is>
          <t>No</t>
        </is>
      </c>
      <c r="H37" s="552" t="n">
        <v>0</v>
      </c>
      <c r="I37" s="553">
        <f>IF(H37=1,Assumptions!$B$16,IF(H37=2,Assumptions!$B$17,0))</f>
        <v/>
      </c>
      <c r="J37" s="552" t="inlineStr">
        <is>
          <t>No</t>
        </is>
      </c>
      <c r="K37" s="552" t="inlineStr">
        <is>
          <t>No</t>
        </is>
      </c>
      <c r="L37" s="552" t="inlineStr">
        <is>
          <t>3rd Party GC</t>
        </is>
      </c>
      <c r="M37" s="556" t="inlineStr">
        <is>
          <t>No</t>
        </is>
      </c>
      <c r="N37" s="551" t="n">
        <v>730519</v>
      </c>
      <c r="O37" s="551" t="n">
        <v>730519</v>
      </c>
      <c r="P37" s="551" t="n">
        <v>243506</v>
      </c>
      <c r="Q37" s="551">
        <f>N37+O37+P37</f>
        <v/>
      </c>
      <c r="R37" s="551">
        <f>Q37*0.05</f>
        <v/>
      </c>
      <c r="S37" s="550">
        <f>C37+D37-1</f>
        <v/>
      </c>
      <c r="T37" s="554" t="n"/>
      <c r="W37" s="588">
        <f>C37+D37-1</f>
        <v/>
      </c>
    </row>
    <row r="38" ht="15" customFormat="1" customHeight="1" s="380">
      <c r="A38" s="550" t="inlineStr">
        <is>
          <t>BD-22</t>
        </is>
      </c>
      <c r="B38" s="551" t="n">
        <v>15000000</v>
      </c>
      <c r="C38" s="552" t="n">
        <v>66</v>
      </c>
      <c r="D38" s="552" t="n">
        <v>19</v>
      </c>
      <c r="E38" s="552" t="n">
        <v>3</v>
      </c>
      <c r="F38" s="552" t="inlineStr">
        <is>
          <t>No</t>
        </is>
      </c>
      <c r="G38" s="552" t="inlineStr">
        <is>
          <t>No</t>
        </is>
      </c>
      <c r="H38" s="552" t="n">
        <v>0</v>
      </c>
      <c r="I38" s="553">
        <f>IF(H38=1,Assumptions!$B$16,IF(H38=2,Assumptions!$B$17,0))</f>
        <v/>
      </c>
      <c r="J38" s="552" t="inlineStr">
        <is>
          <t>No</t>
        </is>
      </c>
      <c r="K38" s="552" t="inlineStr">
        <is>
          <t>No</t>
        </is>
      </c>
      <c r="L38" s="552" t="inlineStr">
        <is>
          <t>3rd Party GC</t>
        </is>
      </c>
      <c r="M38" s="556" t="inlineStr">
        <is>
          <t>No</t>
        </is>
      </c>
      <c r="N38" s="551" t="n">
        <v>730519</v>
      </c>
      <c r="O38" s="551" t="n">
        <v>730519</v>
      </c>
      <c r="P38" s="551" t="n">
        <v>243506</v>
      </c>
      <c r="Q38" s="551">
        <f>N38+O38+P38</f>
        <v/>
      </c>
      <c r="R38" s="551">
        <f>Q38*0.05</f>
        <v/>
      </c>
      <c r="S38" s="550">
        <f>C38+D38-1</f>
        <v/>
      </c>
      <c r="T38" s="554" t="n"/>
      <c r="W38" s="588">
        <f>C38+D38-1</f>
        <v/>
      </c>
    </row>
    <row r="39" ht="15" customFormat="1" customHeight="1" s="380">
      <c r="A39" s="550" t="inlineStr">
        <is>
          <t>BD-23</t>
        </is>
      </c>
      <c r="B39" s="551" t="n">
        <v>18000000</v>
      </c>
      <c r="C39" s="552" t="n">
        <v>68</v>
      </c>
      <c r="D39" s="552" t="n">
        <v>19</v>
      </c>
      <c r="E39" s="552" t="n">
        <v>3</v>
      </c>
      <c r="F39" s="552" t="inlineStr">
        <is>
          <t>No</t>
        </is>
      </c>
      <c r="G39" s="552" t="inlineStr">
        <is>
          <t>Yes</t>
        </is>
      </c>
      <c r="H39" s="552" t="n">
        <v>0</v>
      </c>
      <c r="I39" s="553">
        <f>IF(H39=1,Assumptions!$B$16,IF(H39=2,Assumptions!$B$17,0))</f>
        <v/>
      </c>
      <c r="J39" s="552" t="inlineStr">
        <is>
          <t>No</t>
        </is>
      </c>
      <c r="K39" s="552" t="inlineStr">
        <is>
          <t>No</t>
        </is>
      </c>
      <c r="L39" s="552" t="inlineStr">
        <is>
          <t>3rd Party GC</t>
        </is>
      </c>
      <c r="M39" s="556" t="inlineStr">
        <is>
          <t>No</t>
        </is>
      </c>
      <c r="N39" s="551" t="n">
        <v>876623</v>
      </c>
      <c r="O39" s="551" t="n">
        <v>876623</v>
      </c>
      <c r="P39" s="551" t="n">
        <v>292208</v>
      </c>
      <c r="Q39" s="551">
        <f>N39+O39+P39</f>
        <v/>
      </c>
      <c r="R39" s="551">
        <f>Q39*0.05</f>
        <v/>
      </c>
      <c r="S39" s="550">
        <f>C39+D39-1</f>
        <v/>
      </c>
      <c r="T39" s="554" t="n"/>
      <c r="W39" s="588">
        <f>C39+D39-1</f>
        <v/>
      </c>
    </row>
    <row r="40" ht="15" customFormat="1" customHeight="1" s="380">
      <c r="A40" s="550" t="inlineStr">
        <is>
          <t>BD-24</t>
        </is>
      </c>
      <c r="B40" s="551" t="n">
        <v>15000000</v>
      </c>
      <c r="C40" s="552" t="n">
        <v>70</v>
      </c>
      <c r="D40" s="552" t="n">
        <v>19</v>
      </c>
      <c r="E40" s="552" t="n">
        <v>3</v>
      </c>
      <c r="F40" s="552" t="inlineStr">
        <is>
          <t>Yes</t>
        </is>
      </c>
      <c r="G40" s="552" t="inlineStr">
        <is>
          <t>No</t>
        </is>
      </c>
      <c r="H40" s="552" t="n">
        <v>2</v>
      </c>
      <c r="I40" s="553">
        <f>IF(H40=1,Assumptions!$B$16,IF(H40=2,Assumptions!$B$17,0))</f>
        <v/>
      </c>
      <c r="J40" s="552" t="inlineStr">
        <is>
          <t>No</t>
        </is>
      </c>
      <c r="K40" s="552" t="inlineStr">
        <is>
          <t>No</t>
        </is>
      </c>
      <c r="L40" s="552" t="inlineStr">
        <is>
          <t>3rd Party GC</t>
        </is>
      </c>
      <c r="M40" s="556" t="inlineStr">
        <is>
          <t>Yes</t>
        </is>
      </c>
      <c r="N40" s="551" t="n">
        <v>730519</v>
      </c>
      <c r="O40" s="551" t="n">
        <v>730519</v>
      </c>
      <c r="P40" s="551" t="n">
        <v>243506</v>
      </c>
      <c r="Q40" s="551">
        <f>N40+O40+P40</f>
        <v/>
      </c>
      <c r="R40" s="551">
        <f>Q40*0.05</f>
        <v/>
      </c>
      <c r="S40" s="550">
        <f>C40+D40-1</f>
        <v/>
      </c>
      <c r="T40" s="554">
        <f>Assumptions!$B$15</f>
        <v/>
      </c>
      <c r="W40" s="588">
        <f>C40+D40-1</f>
        <v/>
      </c>
    </row>
    <row r="41" ht="15" customFormat="1" customHeight="1" s="380">
      <c r="A41" s="550" t="inlineStr">
        <is>
          <t>BD-25</t>
        </is>
      </c>
      <c r="B41" s="551" t="n">
        <v>15000000</v>
      </c>
      <c r="C41" s="552" t="n">
        <v>72</v>
      </c>
      <c r="D41" s="552" t="n">
        <v>19</v>
      </c>
      <c r="E41" s="552" t="n">
        <v>3</v>
      </c>
      <c r="F41" s="552" t="inlineStr">
        <is>
          <t>No</t>
        </is>
      </c>
      <c r="G41" s="552" t="inlineStr">
        <is>
          <t>No</t>
        </is>
      </c>
      <c r="H41" s="552" t="n">
        <v>0</v>
      </c>
      <c r="I41" s="553">
        <f>IF(H41=1,Assumptions!$B$16,IF(H41=2,Assumptions!$B$17,0))</f>
        <v/>
      </c>
      <c r="J41" s="552" t="inlineStr">
        <is>
          <t>No</t>
        </is>
      </c>
      <c r="K41" s="552" t="inlineStr">
        <is>
          <t>No</t>
        </is>
      </c>
      <c r="L41" s="552" t="inlineStr">
        <is>
          <t>3rd Party GC</t>
        </is>
      </c>
      <c r="M41" s="556" t="inlineStr">
        <is>
          <t>No</t>
        </is>
      </c>
      <c r="N41" s="551" t="n">
        <v>730519</v>
      </c>
      <c r="O41" s="551" t="n">
        <v>730519</v>
      </c>
      <c r="P41" s="551" t="n">
        <v>243506</v>
      </c>
      <c r="Q41" s="551">
        <f>N41+O41+P41</f>
        <v/>
      </c>
      <c r="R41" s="551">
        <f>Q41*0.05</f>
        <v/>
      </c>
      <c r="S41" s="550">
        <f>C41+D41-1</f>
        <v/>
      </c>
      <c r="T41" s="554" t="n"/>
      <c r="W41" s="588">
        <f>C41+D41-1</f>
        <v/>
      </c>
    </row>
    <row r="42" ht="15" customFormat="1" customHeight="1" s="380">
      <c r="A42" s="550" t="inlineStr">
        <is>
          <t>BD-26</t>
        </is>
      </c>
      <c r="B42" s="551" t="n">
        <v>18000000</v>
      </c>
      <c r="C42" s="552" t="n">
        <v>74</v>
      </c>
      <c r="D42" s="552" t="n">
        <v>19</v>
      </c>
      <c r="E42" s="552" t="n">
        <v>3</v>
      </c>
      <c r="F42" s="552" t="inlineStr">
        <is>
          <t>No</t>
        </is>
      </c>
      <c r="G42" s="552" t="inlineStr">
        <is>
          <t>Yes</t>
        </is>
      </c>
      <c r="H42" s="552" t="n">
        <v>0</v>
      </c>
      <c r="I42" s="553">
        <f>IF(H42=1,Assumptions!$B$16,IF(H42=2,Assumptions!$B$17,0))</f>
        <v/>
      </c>
      <c r="J42" s="552" t="inlineStr">
        <is>
          <t>No</t>
        </is>
      </c>
      <c r="K42" s="552" t="inlineStr">
        <is>
          <t>No</t>
        </is>
      </c>
      <c r="L42" s="552" t="inlineStr">
        <is>
          <t>3rd Party GC</t>
        </is>
      </c>
      <c r="M42" s="556" t="inlineStr">
        <is>
          <t>No</t>
        </is>
      </c>
      <c r="N42" s="551" t="n">
        <v>876623</v>
      </c>
      <c r="O42" s="551" t="n">
        <v>876623</v>
      </c>
      <c r="P42" s="551" t="n">
        <v>292208</v>
      </c>
      <c r="Q42" s="551">
        <f>N42+O42+P42</f>
        <v/>
      </c>
      <c r="R42" s="551">
        <f>Q42*0.05</f>
        <v/>
      </c>
      <c r="S42" s="550">
        <f>C42+D42-1</f>
        <v/>
      </c>
      <c r="T42" s="554" t="n"/>
      <c r="W42" s="588">
        <f>C42+D42-1</f>
        <v/>
      </c>
    </row>
    <row r="43" ht="15" customFormat="1" customHeight="1" s="380">
      <c r="A43" s="550" t="inlineStr">
        <is>
          <t>BD-27</t>
        </is>
      </c>
      <c r="B43" s="551" t="n">
        <v>15000000</v>
      </c>
      <c r="C43" s="552" t="n">
        <v>76</v>
      </c>
      <c r="D43" s="552" t="n">
        <v>19</v>
      </c>
      <c r="E43" s="552" t="n">
        <v>3</v>
      </c>
      <c r="F43" s="552" t="inlineStr">
        <is>
          <t>No</t>
        </is>
      </c>
      <c r="G43" s="552" t="inlineStr">
        <is>
          <t>Yes</t>
        </is>
      </c>
      <c r="H43" s="552" t="n">
        <v>0</v>
      </c>
      <c r="I43" s="553">
        <f>IF(H43=1,Assumptions!$B$16,IF(H43=2,Assumptions!$B$17,0))</f>
        <v/>
      </c>
      <c r="J43" s="552" t="inlineStr">
        <is>
          <t>No</t>
        </is>
      </c>
      <c r="K43" s="552" t="inlineStr">
        <is>
          <t>No</t>
        </is>
      </c>
      <c r="L43" s="552" t="inlineStr">
        <is>
          <t>3rd Party GC</t>
        </is>
      </c>
      <c r="M43" s="556" t="inlineStr">
        <is>
          <t>No</t>
        </is>
      </c>
      <c r="N43" s="551" t="n">
        <v>730519</v>
      </c>
      <c r="O43" s="551" t="n">
        <v>730519</v>
      </c>
      <c r="P43" s="551" t="n">
        <v>243506</v>
      </c>
      <c r="Q43" s="551">
        <f>N43+O43+P43</f>
        <v/>
      </c>
      <c r="R43" s="551">
        <f>Q43*0.05</f>
        <v/>
      </c>
      <c r="S43" s="550">
        <f>C43+D43-1</f>
        <v/>
      </c>
      <c r="T43" s="554" t="n"/>
      <c r="W43" s="588">
        <f>C43+D43-1</f>
        <v/>
      </c>
    </row>
    <row r="44" ht="15" customFormat="1" customHeight="1" s="380">
      <c r="A44" s="550" t="inlineStr">
        <is>
          <t>BD-28</t>
        </is>
      </c>
      <c r="B44" s="551" t="n">
        <v>15000000</v>
      </c>
      <c r="C44" s="552" t="n">
        <v>78</v>
      </c>
      <c r="D44" s="552" t="n">
        <v>19</v>
      </c>
      <c r="E44" s="552" t="n">
        <v>3</v>
      </c>
      <c r="F44" s="552" t="inlineStr">
        <is>
          <t>No</t>
        </is>
      </c>
      <c r="G44" s="552" t="inlineStr">
        <is>
          <t>Yes</t>
        </is>
      </c>
      <c r="H44" s="552" t="n">
        <v>0</v>
      </c>
      <c r="I44" s="553">
        <f>IF(H44=1,Assumptions!$B$16,IF(H44=2,Assumptions!$B$17,0))</f>
        <v/>
      </c>
      <c r="J44" s="552" t="inlineStr">
        <is>
          <t>No</t>
        </is>
      </c>
      <c r="K44" s="552" t="inlineStr">
        <is>
          <t>No</t>
        </is>
      </c>
      <c r="L44" s="552" t="inlineStr">
        <is>
          <t>3rd Party GC</t>
        </is>
      </c>
      <c r="M44" s="556" t="inlineStr">
        <is>
          <t>No</t>
        </is>
      </c>
      <c r="N44" s="551" t="n">
        <v>730519</v>
      </c>
      <c r="O44" s="551" t="n">
        <v>730519</v>
      </c>
      <c r="P44" s="551" t="n">
        <v>243506</v>
      </c>
      <c r="Q44" s="551">
        <f>N44+O44+P44</f>
        <v/>
      </c>
      <c r="R44" s="551">
        <f>Q44*0.05</f>
        <v/>
      </c>
      <c r="S44" s="550">
        <f>C44+D44-1</f>
        <v/>
      </c>
      <c r="T44" s="554" t="n"/>
      <c r="W44" s="588">
        <f>C44+D44-1</f>
        <v/>
      </c>
    </row>
    <row r="45" ht="15" customFormat="1" customHeight="1" s="380">
      <c r="A45" s="550" t="inlineStr">
        <is>
          <t>BD-29</t>
        </is>
      </c>
      <c r="B45" s="551" t="n">
        <v>18000000</v>
      </c>
      <c r="C45" s="552" t="n">
        <v>80</v>
      </c>
      <c r="D45" s="552" t="n">
        <v>19</v>
      </c>
      <c r="E45" s="552" t="n">
        <v>3</v>
      </c>
      <c r="F45" s="552" t="inlineStr">
        <is>
          <t>No</t>
        </is>
      </c>
      <c r="G45" s="552" t="inlineStr">
        <is>
          <t>Yes</t>
        </is>
      </c>
      <c r="H45" s="552" t="n">
        <v>0</v>
      </c>
      <c r="I45" s="553">
        <f>IF(H45=1,Assumptions!$B$16,IF(H45=2,Assumptions!$B$17,0))</f>
        <v/>
      </c>
      <c r="J45" s="552" t="inlineStr">
        <is>
          <t>No</t>
        </is>
      </c>
      <c r="K45" s="552" t="inlineStr">
        <is>
          <t>No</t>
        </is>
      </c>
      <c r="L45" s="552" t="inlineStr">
        <is>
          <t>3rd Party GC</t>
        </is>
      </c>
      <c r="M45" s="556" t="inlineStr">
        <is>
          <t>No</t>
        </is>
      </c>
      <c r="N45" s="551" t="n">
        <v>876623</v>
      </c>
      <c r="O45" s="551" t="n">
        <v>876623</v>
      </c>
      <c r="P45" s="551" t="n">
        <v>292208</v>
      </c>
      <c r="Q45" s="551">
        <f>N45+O45+P45</f>
        <v/>
      </c>
      <c r="R45" s="551">
        <f>Q45*0.05</f>
        <v/>
      </c>
      <c r="S45" s="550">
        <f>C45+D45-1</f>
        <v/>
      </c>
      <c r="T45" s="554" t="n"/>
      <c r="W45" s="588">
        <f>C45+D45-1</f>
        <v/>
      </c>
    </row>
    <row r="46" ht="15" customFormat="1" customHeight="1" s="380">
      <c r="A46" s="550" t="inlineStr">
        <is>
          <t>BD-30</t>
        </is>
      </c>
      <c r="B46" s="551" t="n">
        <v>15000000</v>
      </c>
      <c r="C46" s="552" t="n">
        <v>82</v>
      </c>
      <c r="D46" s="552" t="n">
        <v>19</v>
      </c>
      <c r="E46" s="552" t="n">
        <v>3</v>
      </c>
      <c r="F46" s="552" t="inlineStr">
        <is>
          <t>Yes</t>
        </is>
      </c>
      <c r="G46" s="552" t="inlineStr">
        <is>
          <t>Yes</t>
        </is>
      </c>
      <c r="H46" s="552" t="n">
        <v>2</v>
      </c>
      <c r="I46" s="553">
        <f>IF(H46=1,Assumptions!$B$16,IF(H46=2,Assumptions!$B$17,0))</f>
        <v/>
      </c>
      <c r="J46" s="552" t="inlineStr">
        <is>
          <t>No</t>
        </is>
      </c>
      <c r="K46" s="552" t="inlineStr">
        <is>
          <t>No</t>
        </is>
      </c>
      <c r="L46" s="552" t="inlineStr">
        <is>
          <t>3rd Party GC</t>
        </is>
      </c>
      <c r="M46" s="556" t="inlineStr">
        <is>
          <t>Yes</t>
        </is>
      </c>
      <c r="N46" s="551" t="n">
        <v>730519</v>
      </c>
      <c r="O46" s="551" t="n">
        <v>730519</v>
      </c>
      <c r="P46" s="551" t="n">
        <v>243506</v>
      </c>
      <c r="Q46" s="551">
        <f>N46+O46+P46</f>
        <v/>
      </c>
      <c r="R46" s="551">
        <f>Q46*0.05</f>
        <v/>
      </c>
      <c r="S46" s="550">
        <f>C46+D46-1</f>
        <v/>
      </c>
      <c r="T46" s="554">
        <f>Assumptions!$B$15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B61"/>
  <sheetViews>
    <sheetView showFormulas="0" showGridLines="0" showRowColHeaders="1" showZeros="1" rightToLeft="0" tabSelected="0" showOutlineSymbols="1" defaultGridColor="1" view="normal" topLeftCell="A1" colorId="64" zoomScale="85" zoomScaleNormal="85" zoomScalePageLayoutView="100" workbookViewId="0">
      <pane xSplit="6" ySplit="5" topLeftCell="G6" activePane="bottomRight" state="frozen"/>
      <selection pane="topLeft" activeCell="A1" activeCellId="0" sqref="A1"/>
      <selection pane="topRight" activeCell="G1" activeCellId="0" sqref="G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22" customWidth="1" style="380" min="1" max="1"/>
    <col width="15" customWidth="1" style="380" min="2" max="2"/>
    <col width="11" customWidth="1" style="380" min="3" max="4"/>
    <col width="6" customWidth="1" style="380" min="5" max="5"/>
    <col width="12" customWidth="1" style="380" min="6" max="6"/>
    <col width="4.2" customWidth="1" style="380" min="7" max="106"/>
  </cols>
  <sheetData>
    <row r="1" ht="19.5" customFormat="1" customHeight="1" s="380">
      <c r="A1" s="473" t="inlineStr">
        <is>
          <t>Straight-Line Monthly Billing of In-Place Contracts</t>
        </is>
      </c>
    </row>
    <row r="2" ht="15" customFormat="1" customHeight="1" s="380">
      <c r="A2" s="557" t="inlineStr">
        <is>
          <t>Each in-place contract is spread straight-line (contract value / duration) across the months it is active. Summary and hurdle rows in $ millions. Committed = Active jobs (incl. rows 24-27); Pipeline = inactive BD deals. Breakeven hurdle = 10 x monthly overhead (10% gross margin).</t>
        </is>
      </c>
    </row>
    <row r="4" ht="15" customFormat="1" customHeight="1" s="380">
      <c r="E4" s="558" t="inlineStr">
        <is>
          <t>Month #</t>
        </is>
      </c>
      <c r="G4" s="475" t="n">
        <v>1</v>
      </c>
      <c r="H4" s="475" t="n">
        <v>2</v>
      </c>
      <c r="I4" s="475" t="n">
        <v>3</v>
      </c>
      <c r="J4" s="475" t="n">
        <v>4</v>
      </c>
      <c r="K4" s="475" t="n">
        <v>5</v>
      </c>
      <c r="L4" s="475" t="n">
        <v>6</v>
      </c>
      <c r="M4" s="475" t="n">
        <v>7</v>
      </c>
      <c r="N4" s="475" t="n">
        <v>8</v>
      </c>
      <c r="O4" s="475" t="n">
        <v>9</v>
      </c>
      <c r="P4" s="475" t="n">
        <v>10</v>
      </c>
      <c r="Q4" s="475" t="n">
        <v>11</v>
      </c>
      <c r="R4" s="475" t="n">
        <v>12</v>
      </c>
      <c r="S4" s="475" t="n">
        <v>13</v>
      </c>
      <c r="T4" s="475" t="n">
        <v>14</v>
      </c>
      <c r="U4" s="475" t="n">
        <v>15</v>
      </c>
      <c r="V4" s="475" t="n">
        <v>16</v>
      </c>
      <c r="W4" s="475" t="n">
        <v>17</v>
      </c>
      <c r="X4" s="475" t="n">
        <v>18</v>
      </c>
      <c r="Y4" s="475" t="n">
        <v>19</v>
      </c>
      <c r="Z4" s="475" t="n">
        <v>20</v>
      </c>
      <c r="AA4" s="475" t="n">
        <v>21</v>
      </c>
      <c r="AB4" s="475" t="n">
        <v>22</v>
      </c>
      <c r="AC4" s="475" t="n">
        <v>23</v>
      </c>
      <c r="AD4" s="475" t="n">
        <v>24</v>
      </c>
      <c r="AE4" s="475" t="n">
        <v>25</v>
      </c>
      <c r="AF4" s="475" t="n">
        <v>26</v>
      </c>
      <c r="AG4" s="475" t="n">
        <v>27</v>
      </c>
      <c r="AH4" s="475" t="n">
        <v>28</v>
      </c>
      <c r="AI4" s="475" t="n">
        <v>29</v>
      </c>
      <c r="AJ4" s="475" t="n">
        <v>30</v>
      </c>
      <c r="AK4" s="475" t="n">
        <v>31</v>
      </c>
      <c r="AL4" s="475" t="n">
        <v>32</v>
      </c>
      <c r="AM4" s="475" t="n">
        <v>33</v>
      </c>
      <c r="AN4" s="475" t="n">
        <v>34</v>
      </c>
      <c r="AO4" s="475" t="n">
        <v>35</v>
      </c>
      <c r="AP4" s="475" t="n">
        <v>36</v>
      </c>
      <c r="AQ4" s="475" t="n">
        <v>37</v>
      </c>
      <c r="AR4" s="475" t="n">
        <v>38</v>
      </c>
      <c r="AS4" s="475" t="n">
        <v>39</v>
      </c>
      <c r="AT4" s="475" t="n">
        <v>40</v>
      </c>
      <c r="AU4" s="475" t="n">
        <v>41</v>
      </c>
      <c r="AV4" s="475" t="n">
        <v>42</v>
      </c>
      <c r="AW4" s="475" t="n">
        <v>43</v>
      </c>
      <c r="AX4" s="475" t="n">
        <v>44</v>
      </c>
      <c r="AY4" s="475" t="n">
        <v>45</v>
      </c>
      <c r="AZ4" s="475" t="n">
        <v>46</v>
      </c>
      <c r="BA4" s="475" t="n">
        <v>47</v>
      </c>
      <c r="BB4" s="475" t="n">
        <v>48</v>
      </c>
      <c r="BC4" s="475" t="n">
        <v>49</v>
      </c>
      <c r="BD4" s="475" t="n">
        <v>50</v>
      </c>
      <c r="BE4" s="475" t="n">
        <v>51</v>
      </c>
      <c r="BF4" s="475" t="n">
        <v>52</v>
      </c>
      <c r="BG4" s="475" t="n">
        <v>53</v>
      </c>
      <c r="BH4" s="475" t="n">
        <v>54</v>
      </c>
      <c r="BI4" s="475" t="n">
        <v>55</v>
      </c>
      <c r="BJ4" s="475" t="n">
        <v>56</v>
      </c>
      <c r="BK4" s="475" t="n">
        <v>57</v>
      </c>
      <c r="BL4" s="475" t="n">
        <v>58</v>
      </c>
      <c r="BM4" s="475" t="n">
        <v>59</v>
      </c>
      <c r="BN4" s="475" t="n">
        <v>60</v>
      </c>
      <c r="BO4" s="475" t="n">
        <v>61</v>
      </c>
      <c r="BP4" s="475" t="n">
        <v>62</v>
      </c>
      <c r="BQ4" s="475" t="n">
        <v>63</v>
      </c>
      <c r="BR4" s="475" t="n">
        <v>64</v>
      </c>
      <c r="BS4" s="475" t="n">
        <v>65</v>
      </c>
      <c r="BT4" s="475" t="n">
        <v>66</v>
      </c>
      <c r="BU4" s="475" t="n">
        <v>67</v>
      </c>
      <c r="BV4" s="475" t="n">
        <v>68</v>
      </c>
      <c r="BW4" s="475" t="n">
        <v>69</v>
      </c>
      <c r="BX4" s="475" t="n">
        <v>70</v>
      </c>
      <c r="BY4" s="475" t="n">
        <v>71</v>
      </c>
      <c r="BZ4" s="475" t="n">
        <v>72</v>
      </c>
      <c r="CA4" s="475" t="n">
        <v>73</v>
      </c>
      <c r="CB4" s="475" t="n">
        <v>74</v>
      </c>
      <c r="CC4" s="475" t="n">
        <v>75</v>
      </c>
      <c r="CD4" s="475" t="n">
        <v>76</v>
      </c>
      <c r="CE4" s="475" t="n">
        <v>77</v>
      </c>
      <c r="CF4" s="475" t="n">
        <v>78</v>
      </c>
      <c r="CG4" s="475" t="n">
        <v>79</v>
      </c>
      <c r="CH4" s="475" t="n">
        <v>80</v>
      </c>
      <c r="CI4" s="475" t="n">
        <v>81</v>
      </c>
      <c r="CJ4" s="475" t="n">
        <v>82</v>
      </c>
      <c r="CK4" s="475" t="n">
        <v>83</v>
      </c>
      <c r="CL4" s="475" t="n">
        <v>84</v>
      </c>
      <c r="CM4" s="475" t="n">
        <v>85</v>
      </c>
      <c r="CN4" s="475" t="n">
        <v>86</v>
      </c>
      <c r="CO4" s="475" t="n">
        <v>87</v>
      </c>
      <c r="CP4" s="475" t="n">
        <v>88</v>
      </c>
      <c r="CQ4" s="475" t="n">
        <v>89</v>
      </c>
      <c r="CR4" s="475" t="n">
        <v>90</v>
      </c>
      <c r="CS4" s="475" t="n">
        <v>91</v>
      </c>
      <c r="CT4" s="475" t="n">
        <v>92</v>
      </c>
      <c r="CU4" s="475" t="n">
        <v>93</v>
      </c>
      <c r="CV4" s="475" t="n">
        <v>94</v>
      </c>
      <c r="CW4" s="475" t="n">
        <v>95</v>
      </c>
      <c r="CX4" s="475" t="n">
        <v>96</v>
      </c>
      <c r="CY4" s="475" t="n">
        <v>97</v>
      </c>
      <c r="CZ4" s="475" t="n">
        <v>98</v>
      </c>
      <c r="DA4" s="475" t="n">
        <v>99</v>
      </c>
      <c r="DB4" s="475" t="n">
        <v>100</v>
      </c>
    </row>
    <row r="5" ht="45.75" customFormat="1" customHeight="1" s="380">
      <c r="A5" s="559" t="inlineStr">
        <is>
          <t>Project</t>
        </is>
      </c>
      <c r="B5" s="490" t="inlineStr">
        <is>
          <t>Contract Value</t>
        </is>
      </c>
      <c r="C5" s="490" t="inlineStr">
        <is>
          <t>Start</t>
        </is>
      </c>
      <c r="D5" s="490" t="inlineStr">
        <is>
          <t>Completion</t>
        </is>
      </c>
      <c r="E5" s="490" t="inlineStr">
        <is>
          <t>Dur</t>
        </is>
      </c>
      <c r="F5" s="490" t="inlineStr">
        <is>
          <t>SL Bill $/mo</t>
        </is>
      </c>
      <c r="G5" s="560">
        <f>EDATE(Model!$E$2,G4-1)</f>
        <v/>
      </c>
      <c r="H5" s="560">
        <f>EDATE(Model!$E$2,H4-1)</f>
        <v/>
      </c>
      <c r="I5" s="560">
        <f>EDATE(Model!$E$2,I4-1)</f>
        <v/>
      </c>
      <c r="J5" s="560">
        <f>EDATE(Model!$E$2,J4-1)</f>
        <v/>
      </c>
      <c r="K5" s="560">
        <f>EDATE(Model!$E$2,K4-1)</f>
        <v/>
      </c>
      <c r="L5" s="560">
        <f>EDATE(Model!$E$2,L4-1)</f>
        <v/>
      </c>
      <c r="M5" s="560">
        <f>EDATE(Model!$E$2,M4-1)</f>
        <v/>
      </c>
      <c r="N5" s="560">
        <f>EDATE(Model!$E$2,N4-1)</f>
        <v/>
      </c>
      <c r="O5" s="560">
        <f>EDATE(Model!$E$2,O4-1)</f>
        <v/>
      </c>
      <c r="P5" s="560">
        <f>EDATE(Model!$E$2,P4-1)</f>
        <v/>
      </c>
      <c r="Q5" s="560">
        <f>EDATE(Model!$E$2,Q4-1)</f>
        <v/>
      </c>
      <c r="R5" s="560">
        <f>EDATE(Model!$E$2,R4-1)</f>
        <v/>
      </c>
      <c r="S5" s="560">
        <f>EDATE(Model!$E$2,S4-1)</f>
        <v/>
      </c>
      <c r="T5" s="560">
        <f>EDATE(Model!$E$2,T4-1)</f>
        <v/>
      </c>
      <c r="U5" s="560">
        <f>EDATE(Model!$E$2,U4-1)</f>
        <v/>
      </c>
      <c r="V5" s="560">
        <f>EDATE(Model!$E$2,V4-1)</f>
        <v/>
      </c>
      <c r="W5" s="560">
        <f>EDATE(Model!$E$2,W4-1)</f>
        <v/>
      </c>
      <c r="X5" s="560">
        <f>EDATE(Model!$E$2,X4-1)</f>
        <v/>
      </c>
      <c r="Y5" s="560">
        <f>EDATE(Model!$E$2,Y4-1)</f>
        <v/>
      </c>
      <c r="Z5" s="560">
        <f>EDATE(Model!$E$2,Z4-1)</f>
        <v/>
      </c>
      <c r="AA5" s="560">
        <f>EDATE(Model!$E$2,AA4-1)</f>
        <v/>
      </c>
      <c r="AB5" s="560">
        <f>EDATE(Model!$E$2,AB4-1)</f>
        <v/>
      </c>
      <c r="AC5" s="560">
        <f>EDATE(Model!$E$2,AC4-1)</f>
        <v/>
      </c>
      <c r="AD5" s="560">
        <f>EDATE(Model!$E$2,AD4-1)</f>
        <v/>
      </c>
      <c r="AE5" s="560">
        <f>EDATE(Model!$E$2,AE4-1)</f>
        <v/>
      </c>
      <c r="AF5" s="560">
        <f>EDATE(Model!$E$2,AF4-1)</f>
        <v/>
      </c>
      <c r="AG5" s="560">
        <f>EDATE(Model!$E$2,AG4-1)</f>
        <v/>
      </c>
      <c r="AH5" s="560">
        <f>EDATE(Model!$E$2,AH4-1)</f>
        <v/>
      </c>
      <c r="AI5" s="560">
        <f>EDATE(Model!$E$2,AI4-1)</f>
        <v/>
      </c>
      <c r="AJ5" s="560">
        <f>EDATE(Model!$E$2,AJ4-1)</f>
        <v/>
      </c>
      <c r="AK5" s="560">
        <f>EDATE(Model!$E$2,AK4-1)</f>
        <v/>
      </c>
      <c r="AL5" s="560">
        <f>EDATE(Model!$E$2,AL4-1)</f>
        <v/>
      </c>
      <c r="AM5" s="560">
        <f>EDATE(Model!$E$2,AM4-1)</f>
        <v/>
      </c>
      <c r="AN5" s="560">
        <f>EDATE(Model!$E$2,AN4-1)</f>
        <v/>
      </c>
      <c r="AO5" s="560">
        <f>EDATE(Model!$E$2,AO4-1)</f>
        <v/>
      </c>
      <c r="AP5" s="560">
        <f>EDATE(Model!$E$2,AP4-1)</f>
        <v/>
      </c>
      <c r="AQ5" s="560">
        <f>EDATE(Model!$E$2,AQ4-1)</f>
        <v/>
      </c>
      <c r="AR5" s="560">
        <f>EDATE(Model!$E$2,AR4-1)</f>
        <v/>
      </c>
      <c r="AS5" s="560">
        <f>EDATE(Model!$E$2,AS4-1)</f>
        <v/>
      </c>
      <c r="AT5" s="560">
        <f>EDATE(Model!$E$2,AT4-1)</f>
        <v/>
      </c>
      <c r="AU5" s="560">
        <f>EDATE(Model!$E$2,AU4-1)</f>
        <v/>
      </c>
      <c r="AV5" s="560">
        <f>EDATE(Model!$E$2,AV4-1)</f>
        <v/>
      </c>
      <c r="AW5" s="560">
        <f>EDATE(Model!$E$2,AW4-1)</f>
        <v/>
      </c>
      <c r="AX5" s="560">
        <f>EDATE(Model!$E$2,AX4-1)</f>
        <v/>
      </c>
      <c r="AY5" s="560">
        <f>EDATE(Model!$E$2,AY4-1)</f>
        <v/>
      </c>
      <c r="AZ5" s="560">
        <f>EDATE(Model!$E$2,AZ4-1)</f>
        <v/>
      </c>
      <c r="BA5" s="560">
        <f>EDATE(Model!$E$2,BA4-1)</f>
        <v/>
      </c>
      <c r="BB5" s="560">
        <f>EDATE(Model!$E$2,BB4-1)</f>
        <v/>
      </c>
      <c r="BC5" s="560">
        <f>EDATE(Model!$E$2,BC4-1)</f>
        <v/>
      </c>
      <c r="BD5" s="560">
        <f>EDATE(Model!$E$2,BD4-1)</f>
        <v/>
      </c>
      <c r="BE5" s="560">
        <f>EDATE(Model!$E$2,BE4-1)</f>
        <v/>
      </c>
      <c r="BF5" s="560">
        <f>EDATE(Model!$E$2,BF4-1)</f>
        <v/>
      </c>
      <c r="BG5" s="560">
        <f>EDATE(Model!$E$2,BG4-1)</f>
        <v/>
      </c>
      <c r="BH5" s="560">
        <f>EDATE(Model!$E$2,BH4-1)</f>
        <v/>
      </c>
      <c r="BI5" s="560">
        <f>EDATE(Model!$E$2,BI4-1)</f>
        <v/>
      </c>
      <c r="BJ5" s="560">
        <f>EDATE(Model!$E$2,BJ4-1)</f>
        <v/>
      </c>
      <c r="BK5" s="560">
        <f>EDATE(Model!$E$2,BK4-1)</f>
        <v/>
      </c>
      <c r="BL5" s="560">
        <f>EDATE(Model!$E$2,BL4-1)</f>
        <v/>
      </c>
      <c r="BM5" s="560">
        <f>EDATE(Model!$E$2,BM4-1)</f>
        <v/>
      </c>
      <c r="BN5" s="560">
        <f>EDATE(Model!$E$2,BN4-1)</f>
        <v/>
      </c>
      <c r="BO5" s="560">
        <f>EDATE(Model!$E$2,BO4-1)</f>
        <v/>
      </c>
      <c r="BP5" s="560">
        <f>EDATE(Model!$E$2,BP4-1)</f>
        <v/>
      </c>
      <c r="BQ5" s="560">
        <f>EDATE(Model!$E$2,BQ4-1)</f>
        <v/>
      </c>
      <c r="BR5" s="560">
        <f>EDATE(Model!$E$2,BR4-1)</f>
        <v/>
      </c>
      <c r="BS5" s="560">
        <f>EDATE(Model!$E$2,BS4-1)</f>
        <v/>
      </c>
      <c r="BT5" s="560">
        <f>EDATE(Model!$E$2,BT4-1)</f>
        <v/>
      </c>
      <c r="BU5" s="560">
        <f>EDATE(Model!$E$2,BU4-1)</f>
        <v/>
      </c>
      <c r="BV5" s="560">
        <f>EDATE(Model!$E$2,BV4-1)</f>
        <v/>
      </c>
      <c r="BW5" s="560">
        <f>EDATE(Model!$E$2,BW4-1)</f>
        <v/>
      </c>
      <c r="BX5" s="560">
        <f>EDATE(Model!$E$2,BX4-1)</f>
        <v/>
      </c>
      <c r="BY5" s="560">
        <f>EDATE(Model!$E$2,BY4-1)</f>
        <v/>
      </c>
      <c r="BZ5" s="560">
        <f>EDATE(Model!$E$2,BZ4-1)</f>
        <v/>
      </c>
      <c r="CA5" s="560">
        <f>EDATE(Model!$E$2,CA4-1)</f>
        <v/>
      </c>
      <c r="CB5" s="560">
        <f>EDATE(Model!$E$2,CB4-1)</f>
        <v/>
      </c>
      <c r="CC5" s="560">
        <f>EDATE(Model!$E$2,CC4-1)</f>
        <v/>
      </c>
      <c r="CD5" s="560">
        <f>EDATE(Model!$E$2,CD4-1)</f>
        <v/>
      </c>
      <c r="CE5" s="560">
        <f>EDATE(Model!$E$2,CE4-1)</f>
        <v/>
      </c>
      <c r="CF5" s="560">
        <f>EDATE(Model!$E$2,CF4-1)</f>
        <v/>
      </c>
      <c r="CG5" s="560">
        <f>EDATE(Model!$E$2,CG4-1)</f>
        <v/>
      </c>
      <c r="CH5" s="560">
        <f>EDATE(Model!$E$2,CH4-1)</f>
        <v/>
      </c>
      <c r="CI5" s="560">
        <f>EDATE(Model!$E$2,CI4-1)</f>
        <v/>
      </c>
      <c r="CJ5" s="560">
        <f>EDATE(Model!$E$2,CJ4-1)</f>
        <v/>
      </c>
      <c r="CK5" s="560">
        <f>EDATE(Model!$E$2,CK4-1)</f>
        <v/>
      </c>
      <c r="CL5" s="560">
        <f>EDATE(Model!$E$2,CL4-1)</f>
        <v/>
      </c>
      <c r="CM5" s="560">
        <f>EDATE(Model!$E$2,CM4-1)</f>
        <v/>
      </c>
      <c r="CN5" s="560">
        <f>EDATE(Model!$E$2,CN4-1)</f>
        <v/>
      </c>
      <c r="CO5" s="560">
        <f>EDATE(Model!$E$2,CO4-1)</f>
        <v/>
      </c>
      <c r="CP5" s="560">
        <f>EDATE(Model!$E$2,CP4-1)</f>
        <v/>
      </c>
      <c r="CQ5" s="560">
        <f>EDATE(Model!$E$2,CQ4-1)</f>
        <v/>
      </c>
      <c r="CR5" s="560">
        <f>EDATE(Model!$E$2,CR4-1)</f>
        <v/>
      </c>
      <c r="CS5" s="560">
        <f>EDATE(Model!$E$2,CS4-1)</f>
        <v/>
      </c>
      <c r="CT5" s="560">
        <f>EDATE(Model!$E$2,CT4-1)</f>
        <v/>
      </c>
      <c r="CU5" s="560">
        <f>EDATE(Model!$E$2,CU4-1)</f>
        <v/>
      </c>
      <c r="CV5" s="560">
        <f>EDATE(Model!$E$2,CV4-1)</f>
        <v/>
      </c>
      <c r="CW5" s="560">
        <f>EDATE(Model!$E$2,CW4-1)</f>
        <v/>
      </c>
      <c r="CX5" s="560">
        <f>EDATE(Model!$E$2,CX4-1)</f>
        <v/>
      </c>
      <c r="CY5" s="560">
        <f>EDATE(Model!$E$2,CY4-1)</f>
        <v/>
      </c>
      <c r="CZ5" s="560">
        <f>EDATE(Model!$E$2,CZ4-1)</f>
        <v/>
      </c>
      <c r="DA5" s="560">
        <f>EDATE(Model!$E$2,DA4-1)</f>
        <v/>
      </c>
      <c r="DB5" s="560">
        <f>EDATE(Model!$E$2,DB4-1)</f>
        <v/>
      </c>
    </row>
    <row r="6" ht="15" customFormat="1" customHeight="1" s="380">
      <c r="A6" s="561" t="inlineStr">
        <is>
          <t>COMMITTED CONTRACTS  (Active jobs)</t>
        </is>
      </c>
      <c r="B6" s="562" t="n"/>
      <c r="C6" s="562" t="n"/>
      <c r="D6" s="562" t="n"/>
      <c r="E6" s="562" t="n"/>
      <c r="F6" s="562" t="n"/>
      <c r="G6" s="562" t="n"/>
      <c r="H6" s="562" t="n"/>
      <c r="I6" s="562" t="n"/>
      <c r="J6" s="562" t="n"/>
      <c r="K6" s="562" t="n"/>
      <c r="L6" s="562" t="n"/>
      <c r="M6" s="562" t="n"/>
      <c r="N6" s="562" t="n"/>
      <c r="O6" s="562" t="n"/>
      <c r="P6" s="562" t="n"/>
      <c r="Q6" s="562" t="n"/>
      <c r="R6" s="562" t="n"/>
      <c r="S6" s="562" t="n"/>
      <c r="T6" s="562" t="n"/>
      <c r="U6" s="562" t="n"/>
      <c r="V6" s="562" t="n"/>
      <c r="W6" s="562" t="n"/>
      <c r="X6" s="562" t="n"/>
      <c r="Y6" s="562" t="n"/>
      <c r="Z6" s="562" t="n"/>
      <c r="AA6" s="562" t="n"/>
      <c r="AB6" s="562" t="n"/>
      <c r="AC6" s="562" t="n"/>
      <c r="AD6" s="562" t="n"/>
      <c r="AE6" s="562" t="n"/>
      <c r="AF6" s="562" t="n"/>
      <c r="AG6" s="562" t="n"/>
      <c r="AH6" s="562" t="n"/>
      <c r="AI6" s="562" t="n"/>
      <c r="AJ6" s="562" t="n"/>
      <c r="AK6" s="562" t="n"/>
      <c r="AL6" s="562" t="n"/>
      <c r="AM6" s="562" t="n"/>
      <c r="AN6" s="562" t="n"/>
      <c r="AO6" s="562" t="n"/>
      <c r="AP6" s="562" t="n"/>
      <c r="AQ6" s="562" t="n"/>
      <c r="AR6" s="562" t="n"/>
      <c r="AS6" s="562" t="n"/>
      <c r="AT6" s="562" t="n"/>
      <c r="AU6" s="562" t="n"/>
      <c r="AV6" s="562" t="n"/>
      <c r="AW6" s="562" t="n"/>
      <c r="AX6" s="562" t="n"/>
      <c r="AY6" s="562" t="n"/>
      <c r="AZ6" s="562" t="n"/>
      <c r="BA6" s="562" t="n"/>
      <c r="BB6" s="562" t="n"/>
      <c r="BC6" s="562" t="n"/>
      <c r="BD6" s="562" t="n"/>
      <c r="BE6" s="562" t="n"/>
      <c r="BF6" s="562" t="n"/>
      <c r="BG6" s="562" t="n"/>
      <c r="BH6" s="562" t="n"/>
      <c r="BI6" s="562" t="n"/>
      <c r="BJ6" s="562" t="n"/>
      <c r="BK6" s="562" t="n"/>
      <c r="BL6" s="562" t="n"/>
      <c r="BM6" s="562" t="n"/>
      <c r="BN6" s="562" t="n"/>
      <c r="BO6" s="562" t="n"/>
      <c r="BP6" s="562" t="n"/>
      <c r="BQ6" s="562" t="n"/>
      <c r="BR6" s="562" t="n"/>
      <c r="BS6" s="562" t="n"/>
      <c r="BT6" s="562" t="n"/>
      <c r="BU6" s="562" t="n"/>
      <c r="BV6" s="562" t="n"/>
      <c r="BW6" s="562" t="n"/>
      <c r="BX6" s="562" t="n"/>
      <c r="BY6" s="562" t="n"/>
      <c r="BZ6" s="562" t="n"/>
      <c r="CA6" s="562" t="n"/>
      <c r="CB6" s="562" t="n"/>
      <c r="CC6" s="562" t="n"/>
      <c r="CD6" s="562" t="n"/>
      <c r="CE6" s="562" t="n"/>
      <c r="CF6" s="562" t="n"/>
      <c r="CG6" s="562" t="n"/>
      <c r="CH6" s="562" t="n"/>
      <c r="CI6" s="562" t="n"/>
      <c r="CJ6" s="562" t="n"/>
      <c r="CK6" s="562" t="n"/>
      <c r="CL6" s="562" t="n"/>
      <c r="CM6" s="562" t="n"/>
      <c r="CN6" s="562" t="n"/>
      <c r="CO6" s="562" t="n"/>
      <c r="CP6" s="562" t="n"/>
      <c r="CQ6" s="562" t="n"/>
      <c r="CR6" s="562" t="n"/>
      <c r="CS6" s="562" t="n"/>
      <c r="CT6" s="562" t="n"/>
      <c r="CU6" s="562" t="n"/>
      <c r="CV6" s="562" t="n"/>
      <c r="CW6" s="562" t="n"/>
      <c r="CX6" s="562" t="n"/>
      <c r="CY6" s="562" t="n"/>
      <c r="CZ6" s="562" t="n"/>
      <c r="DA6" s="562" t="n"/>
      <c r="DB6" s="562" t="n"/>
    </row>
    <row r="7" ht="15" customFormat="1" customHeight="1" s="380">
      <c r="A7" s="563" t="inlineStr">
        <is>
          <t>Crenshaw</t>
        </is>
      </c>
      <c r="B7" s="564">
        <f>Projects!$B$2</f>
        <v/>
      </c>
      <c r="C7" s="565">
        <f>EDATE(Model!$E$2,Projects!$C$2-1)</f>
        <v/>
      </c>
      <c r="D7" s="565">
        <f>EDATE(Model!$E$2,Projects!$C$2+Projects!$D$2-2)</f>
        <v/>
      </c>
      <c r="E7" s="566">
        <f>Projects!$D$2</f>
        <v/>
      </c>
      <c r="F7" s="564">
        <f>Projects!$B$2/Projects!$D$2</f>
        <v/>
      </c>
      <c r="G7" s="567">
        <f>IF(AND(Projects!$C$2&lt;=G$4,G$4&lt;=Projects!$C$2+Projects!$D$2-1),Projects!$B$2/Projects!$D$2,"")</f>
        <v/>
      </c>
      <c r="H7" s="567">
        <f>IF(AND(Projects!$C$2&lt;=H$4,H$4&lt;=Projects!$C$2+Projects!$D$2-1),Projects!$B$2/Projects!$D$2,"")</f>
        <v/>
      </c>
      <c r="I7" s="567">
        <f>IF(AND(Projects!$C$2&lt;=I$4,I$4&lt;=Projects!$C$2+Projects!$D$2-1),Projects!$B$2/Projects!$D$2,"")</f>
        <v/>
      </c>
      <c r="J7" s="567">
        <f>IF(AND(Projects!$C$2&lt;=J$4,J$4&lt;=Projects!$C$2+Projects!$D$2-1),Projects!$B$2/Projects!$D$2,"")</f>
        <v/>
      </c>
      <c r="K7" s="567">
        <f>IF(AND(Projects!$C$2&lt;=K$4,K$4&lt;=Projects!$C$2+Projects!$D$2-1),Projects!$B$2/Projects!$D$2,"")</f>
        <v/>
      </c>
      <c r="L7" s="567">
        <f>IF(AND(Projects!$C$2&lt;=L$4,L$4&lt;=Projects!$C$2+Projects!$D$2-1),Projects!$B$2/Projects!$D$2,"")</f>
        <v/>
      </c>
      <c r="M7" s="567">
        <f>IF(AND(Projects!$C$2&lt;=M$4,M$4&lt;=Projects!$C$2+Projects!$D$2-1),Projects!$B$2/Projects!$D$2,"")</f>
        <v/>
      </c>
      <c r="N7" s="567">
        <f>IF(AND(Projects!$C$2&lt;=N$4,N$4&lt;=Projects!$C$2+Projects!$D$2-1),Projects!$B$2/Projects!$D$2,"")</f>
        <v/>
      </c>
      <c r="O7" s="567">
        <f>IF(AND(Projects!$C$2&lt;=O$4,O$4&lt;=Projects!$C$2+Projects!$D$2-1),Projects!$B$2/Projects!$D$2,"")</f>
        <v/>
      </c>
      <c r="P7" s="567">
        <f>IF(AND(Projects!$C$2&lt;=P$4,P$4&lt;=Projects!$C$2+Projects!$D$2-1),Projects!$B$2/Projects!$D$2,"")</f>
        <v/>
      </c>
      <c r="Q7" s="567">
        <f>IF(AND(Projects!$C$2&lt;=Q$4,Q$4&lt;=Projects!$C$2+Projects!$D$2-1),Projects!$B$2/Projects!$D$2,"")</f>
        <v/>
      </c>
      <c r="R7" s="567">
        <f>IF(AND(Projects!$C$2&lt;=R$4,R$4&lt;=Projects!$C$2+Projects!$D$2-1),Projects!$B$2/Projects!$D$2,"")</f>
        <v/>
      </c>
      <c r="S7" s="567">
        <f>IF(AND(Projects!$C$2&lt;=S$4,S$4&lt;=Projects!$C$2+Projects!$D$2-1),Projects!$B$2/Projects!$D$2,"")</f>
        <v/>
      </c>
      <c r="T7" s="567">
        <f>IF(AND(Projects!$C$2&lt;=T$4,T$4&lt;=Projects!$C$2+Projects!$D$2-1),Projects!$B$2/Projects!$D$2,"")</f>
        <v/>
      </c>
      <c r="U7" s="567">
        <f>IF(AND(Projects!$C$2&lt;=U$4,U$4&lt;=Projects!$C$2+Projects!$D$2-1),Projects!$B$2/Projects!$D$2,"")</f>
        <v/>
      </c>
      <c r="V7" s="567">
        <f>IF(AND(Projects!$C$2&lt;=V$4,V$4&lt;=Projects!$C$2+Projects!$D$2-1),Projects!$B$2/Projects!$D$2,"")</f>
        <v/>
      </c>
      <c r="W7" s="567">
        <f>IF(AND(Projects!$C$2&lt;=W$4,W$4&lt;=Projects!$C$2+Projects!$D$2-1),Projects!$B$2/Projects!$D$2,"")</f>
        <v/>
      </c>
      <c r="X7" s="567">
        <f>IF(AND(Projects!$C$2&lt;=X$4,X$4&lt;=Projects!$C$2+Projects!$D$2-1),Projects!$B$2/Projects!$D$2,"")</f>
        <v/>
      </c>
      <c r="Y7" s="567">
        <f>IF(AND(Projects!$C$2&lt;=Y$4,Y$4&lt;=Projects!$C$2+Projects!$D$2-1),Projects!$B$2/Projects!$D$2,"")</f>
        <v/>
      </c>
      <c r="Z7" s="567">
        <f>IF(AND(Projects!$C$2&lt;=Z$4,Z$4&lt;=Projects!$C$2+Projects!$D$2-1),Projects!$B$2/Projects!$D$2,"")</f>
        <v/>
      </c>
      <c r="AA7" s="567">
        <f>IF(AND(Projects!$C$2&lt;=AA$4,AA$4&lt;=Projects!$C$2+Projects!$D$2-1),Projects!$B$2/Projects!$D$2,"")</f>
        <v/>
      </c>
      <c r="AB7" s="567">
        <f>IF(AND(Projects!$C$2&lt;=AB$4,AB$4&lt;=Projects!$C$2+Projects!$D$2-1),Projects!$B$2/Projects!$D$2,"")</f>
        <v/>
      </c>
      <c r="AC7" s="567">
        <f>IF(AND(Projects!$C$2&lt;=AC$4,AC$4&lt;=Projects!$C$2+Projects!$D$2-1),Projects!$B$2/Projects!$D$2,"")</f>
        <v/>
      </c>
      <c r="AD7" s="567">
        <f>IF(AND(Projects!$C$2&lt;=AD$4,AD$4&lt;=Projects!$C$2+Projects!$D$2-1),Projects!$B$2/Projects!$D$2,"")</f>
        <v/>
      </c>
      <c r="AE7" s="567">
        <f>IF(AND(Projects!$C$2&lt;=AE$4,AE$4&lt;=Projects!$C$2+Projects!$D$2-1),Projects!$B$2/Projects!$D$2,"")</f>
        <v/>
      </c>
      <c r="AF7" s="567">
        <f>IF(AND(Projects!$C$2&lt;=AF$4,AF$4&lt;=Projects!$C$2+Projects!$D$2-1),Projects!$B$2/Projects!$D$2,"")</f>
        <v/>
      </c>
      <c r="AG7" s="567">
        <f>IF(AND(Projects!$C$2&lt;=AG$4,AG$4&lt;=Projects!$C$2+Projects!$D$2-1),Projects!$B$2/Projects!$D$2,"")</f>
        <v/>
      </c>
      <c r="AH7" s="567">
        <f>IF(AND(Projects!$C$2&lt;=AH$4,AH$4&lt;=Projects!$C$2+Projects!$D$2-1),Projects!$B$2/Projects!$D$2,"")</f>
        <v/>
      </c>
      <c r="AI7" s="567">
        <f>IF(AND(Projects!$C$2&lt;=AI$4,AI$4&lt;=Projects!$C$2+Projects!$D$2-1),Projects!$B$2/Projects!$D$2,"")</f>
        <v/>
      </c>
      <c r="AJ7" s="567">
        <f>IF(AND(Projects!$C$2&lt;=AJ$4,AJ$4&lt;=Projects!$C$2+Projects!$D$2-1),Projects!$B$2/Projects!$D$2,"")</f>
        <v/>
      </c>
      <c r="AK7" s="567">
        <f>IF(AND(Projects!$C$2&lt;=AK$4,AK$4&lt;=Projects!$C$2+Projects!$D$2-1),Projects!$B$2/Projects!$D$2,"")</f>
        <v/>
      </c>
      <c r="AL7" s="567">
        <f>IF(AND(Projects!$C$2&lt;=AL$4,AL$4&lt;=Projects!$C$2+Projects!$D$2-1),Projects!$B$2/Projects!$D$2,"")</f>
        <v/>
      </c>
      <c r="AM7" s="567">
        <f>IF(AND(Projects!$C$2&lt;=AM$4,AM$4&lt;=Projects!$C$2+Projects!$D$2-1),Projects!$B$2/Projects!$D$2,"")</f>
        <v/>
      </c>
      <c r="AN7" s="567">
        <f>IF(AND(Projects!$C$2&lt;=AN$4,AN$4&lt;=Projects!$C$2+Projects!$D$2-1),Projects!$B$2/Projects!$D$2,"")</f>
        <v/>
      </c>
      <c r="AO7" s="567">
        <f>IF(AND(Projects!$C$2&lt;=AO$4,AO$4&lt;=Projects!$C$2+Projects!$D$2-1),Projects!$B$2/Projects!$D$2,"")</f>
        <v/>
      </c>
      <c r="AP7" s="567">
        <f>IF(AND(Projects!$C$2&lt;=AP$4,AP$4&lt;=Projects!$C$2+Projects!$D$2-1),Projects!$B$2/Projects!$D$2,"")</f>
        <v/>
      </c>
      <c r="AQ7" s="567">
        <f>IF(AND(Projects!$C$2&lt;=AQ$4,AQ$4&lt;=Projects!$C$2+Projects!$D$2-1),Projects!$B$2/Projects!$D$2,"")</f>
        <v/>
      </c>
      <c r="AR7" s="567">
        <f>IF(AND(Projects!$C$2&lt;=AR$4,AR$4&lt;=Projects!$C$2+Projects!$D$2-1),Projects!$B$2/Projects!$D$2,"")</f>
        <v/>
      </c>
      <c r="AS7" s="567">
        <f>IF(AND(Projects!$C$2&lt;=AS$4,AS$4&lt;=Projects!$C$2+Projects!$D$2-1),Projects!$B$2/Projects!$D$2,"")</f>
        <v/>
      </c>
      <c r="AT7" s="567">
        <f>IF(AND(Projects!$C$2&lt;=AT$4,AT$4&lt;=Projects!$C$2+Projects!$D$2-1),Projects!$B$2/Projects!$D$2,"")</f>
        <v/>
      </c>
      <c r="AU7" s="567">
        <f>IF(AND(Projects!$C$2&lt;=AU$4,AU$4&lt;=Projects!$C$2+Projects!$D$2-1),Projects!$B$2/Projects!$D$2,"")</f>
        <v/>
      </c>
      <c r="AV7" s="567">
        <f>IF(AND(Projects!$C$2&lt;=AV$4,AV$4&lt;=Projects!$C$2+Projects!$D$2-1),Projects!$B$2/Projects!$D$2,"")</f>
        <v/>
      </c>
      <c r="AW7" s="567">
        <f>IF(AND(Projects!$C$2&lt;=AW$4,AW$4&lt;=Projects!$C$2+Projects!$D$2-1),Projects!$B$2/Projects!$D$2,"")</f>
        <v/>
      </c>
      <c r="AX7" s="567">
        <f>IF(AND(Projects!$C$2&lt;=AX$4,AX$4&lt;=Projects!$C$2+Projects!$D$2-1),Projects!$B$2/Projects!$D$2,"")</f>
        <v/>
      </c>
      <c r="AY7" s="567">
        <f>IF(AND(Projects!$C$2&lt;=AY$4,AY$4&lt;=Projects!$C$2+Projects!$D$2-1),Projects!$B$2/Projects!$D$2,"")</f>
        <v/>
      </c>
      <c r="AZ7" s="567">
        <f>IF(AND(Projects!$C$2&lt;=AZ$4,AZ$4&lt;=Projects!$C$2+Projects!$D$2-1),Projects!$B$2/Projects!$D$2,"")</f>
        <v/>
      </c>
      <c r="BA7" s="567">
        <f>IF(AND(Projects!$C$2&lt;=BA$4,BA$4&lt;=Projects!$C$2+Projects!$D$2-1),Projects!$B$2/Projects!$D$2,"")</f>
        <v/>
      </c>
      <c r="BB7" s="567">
        <f>IF(AND(Projects!$C$2&lt;=BB$4,BB$4&lt;=Projects!$C$2+Projects!$D$2-1),Projects!$B$2/Projects!$D$2,"")</f>
        <v/>
      </c>
      <c r="BC7" s="567">
        <f>IF(AND(Projects!$C$2&lt;=BC$4,BC$4&lt;=Projects!$C$2+Projects!$D$2-1),Projects!$B$2/Projects!$D$2,"")</f>
        <v/>
      </c>
      <c r="BD7" s="567">
        <f>IF(AND(Projects!$C$2&lt;=BD$4,BD$4&lt;=Projects!$C$2+Projects!$D$2-1),Projects!$B$2/Projects!$D$2,"")</f>
        <v/>
      </c>
      <c r="BE7" s="567">
        <f>IF(AND(Projects!$C$2&lt;=BE$4,BE$4&lt;=Projects!$C$2+Projects!$D$2-1),Projects!$B$2/Projects!$D$2,"")</f>
        <v/>
      </c>
      <c r="BF7" s="567">
        <f>IF(AND(Projects!$C$2&lt;=BF$4,BF$4&lt;=Projects!$C$2+Projects!$D$2-1),Projects!$B$2/Projects!$D$2,"")</f>
        <v/>
      </c>
      <c r="BG7" s="567">
        <f>IF(AND(Projects!$C$2&lt;=BG$4,BG$4&lt;=Projects!$C$2+Projects!$D$2-1),Projects!$B$2/Projects!$D$2,"")</f>
        <v/>
      </c>
      <c r="BH7" s="567">
        <f>IF(AND(Projects!$C$2&lt;=BH$4,BH$4&lt;=Projects!$C$2+Projects!$D$2-1),Projects!$B$2/Projects!$D$2,"")</f>
        <v/>
      </c>
      <c r="BI7" s="567">
        <f>IF(AND(Projects!$C$2&lt;=BI$4,BI$4&lt;=Projects!$C$2+Projects!$D$2-1),Projects!$B$2/Projects!$D$2,"")</f>
        <v/>
      </c>
      <c r="BJ7" s="567">
        <f>IF(AND(Projects!$C$2&lt;=BJ$4,BJ$4&lt;=Projects!$C$2+Projects!$D$2-1),Projects!$B$2/Projects!$D$2,"")</f>
        <v/>
      </c>
      <c r="BK7" s="567">
        <f>IF(AND(Projects!$C$2&lt;=BK$4,BK$4&lt;=Projects!$C$2+Projects!$D$2-1),Projects!$B$2/Projects!$D$2,"")</f>
        <v/>
      </c>
      <c r="BL7" s="567">
        <f>IF(AND(Projects!$C$2&lt;=BL$4,BL$4&lt;=Projects!$C$2+Projects!$D$2-1),Projects!$B$2/Projects!$D$2,"")</f>
        <v/>
      </c>
      <c r="BM7" s="567">
        <f>IF(AND(Projects!$C$2&lt;=BM$4,BM$4&lt;=Projects!$C$2+Projects!$D$2-1),Projects!$B$2/Projects!$D$2,"")</f>
        <v/>
      </c>
      <c r="BN7" s="567">
        <f>IF(AND(Projects!$C$2&lt;=BN$4,BN$4&lt;=Projects!$C$2+Projects!$D$2-1),Projects!$B$2/Projects!$D$2,"")</f>
        <v/>
      </c>
      <c r="BO7" s="567">
        <f>IF(AND(Projects!$C$2&lt;=BO$4,BO$4&lt;=Projects!$C$2+Projects!$D$2-1),Projects!$B$2/Projects!$D$2,"")</f>
        <v/>
      </c>
      <c r="BP7" s="567">
        <f>IF(AND(Projects!$C$2&lt;=BP$4,BP$4&lt;=Projects!$C$2+Projects!$D$2-1),Projects!$B$2/Projects!$D$2,"")</f>
        <v/>
      </c>
      <c r="BQ7" s="567">
        <f>IF(AND(Projects!$C$2&lt;=BQ$4,BQ$4&lt;=Projects!$C$2+Projects!$D$2-1),Projects!$B$2/Projects!$D$2,"")</f>
        <v/>
      </c>
      <c r="BR7" s="567">
        <f>IF(AND(Projects!$C$2&lt;=BR$4,BR$4&lt;=Projects!$C$2+Projects!$D$2-1),Projects!$B$2/Projects!$D$2,"")</f>
        <v/>
      </c>
      <c r="BS7" s="567">
        <f>IF(AND(Projects!$C$2&lt;=BS$4,BS$4&lt;=Projects!$C$2+Projects!$D$2-1),Projects!$B$2/Projects!$D$2,"")</f>
        <v/>
      </c>
      <c r="BT7" s="567">
        <f>IF(AND(Projects!$C$2&lt;=BT$4,BT$4&lt;=Projects!$C$2+Projects!$D$2-1),Projects!$B$2/Projects!$D$2,"")</f>
        <v/>
      </c>
      <c r="BU7" s="567">
        <f>IF(AND(Projects!$C$2&lt;=BU$4,BU$4&lt;=Projects!$C$2+Projects!$D$2-1),Projects!$B$2/Projects!$D$2,"")</f>
        <v/>
      </c>
      <c r="BV7" s="567">
        <f>IF(AND(Projects!$C$2&lt;=BV$4,BV$4&lt;=Projects!$C$2+Projects!$D$2-1),Projects!$B$2/Projects!$D$2,"")</f>
        <v/>
      </c>
      <c r="BW7" s="567">
        <f>IF(AND(Projects!$C$2&lt;=BW$4,BW$4&lt;=Projects!$C$2+Projects!$D$2-1),Projects!$B$2/Projects!$D$2,"")</f>
        <v/>
      </c>
      <c r="BX7" s="567">
        <f>IF(AND(Projects!$C$2&lt;=BX$4,BX$4&lt;=Projects!$C$2+Projects!$D$2-1),Projects!$B$2/Projects!$D$2,"")</f>
        <v/>
      </c>
      <c r="BY7" s="567">
        <f>IF(AND(Projects!$C$2&lt;=BY$4,BY$4&lt;=Projects!$C$2+Projects!$D$2-1),Projects!$B$2/Projects!$D$2,"")</f>
        <v/>
      </c>
      <c r="BZ7" s="567">
        <f>IF(AND(Projects!$C$2&lt;=BZ$4,BZ$4&lt;=Projects!$C$2+Projects!$D$2-1),Projects!$B$2/Projects!$D$2,"")</f>
        <v/>
      </c>
      <c r="CA7" s="567">
        <f>IF(AND(Projects!$C$2&lt;=CA$4,CA$4&lt;=Projects!$C$2+Projects!$D$2-1),Projects!$B$2/Projects!$D$2,"")</f>
        <v/>
      </c>
      <c r="CB7" s="567">
        <f>IF(AND(Projects!$C$2&lt;=CB$4,CB$4&lt;=Projects!$C$2+Projects!$D$2-1),Projects!$B$2/Projects!$D$2,"")</f>
        <v/>
      </c>
      <c r="CC7" s="567">
        <f>IF(AND(Projects!$C$2&lt;=CC$4,CC$4&lt;=Projects!$C$2+Projects!$D$2-1),Projects!$B$2/Projects!$D$2,"")</f>
        <v/>
      </c>
      <c r="CD7" s="567">
        <f>IF(AND(Projects!$C$2&lt;=CD$4,CD$4&lt;=Projects!$C$2+Projects!$D$2-1),Projects!$B$2/Projects!$D$2,"")</f>
        <v/>
      </c>
      <c r="CE7" s="567">
        <f>IF(AND(Projects!$C$2&lt;=CE$4,CE$4&lt;=Projects!$C$2+Projects!$D$2-1),Projects!$B$2/Projects!$D$2,"")</f>
        <v/>
      </c>
      <c r="CF7" s="567">
        <f>IF(AND(Projects!$C$2&lt;=CF$4,CF$4&lt;=Projects!$C$2+Projects!$D$2-1),Projects!$B$2/Projects!$D$2,"")</f>
        <v/>
      </c>
      <c r="CG7" s="567">
        <f>IF(AND(Projects!$C$2&lt;=CG$4,CG$4&lt;=Projects!$C$2+Projects!$D$2-1),Projects!$B$2/Projects!$D$2,"")</f>
        <v/>
      </c>
      <c r="CH7" s="567">
        <f>IF(AND(Projects!$C$2&lt;=CH$4,CH$4&lt;=Projects!$C$2+Projects!$D$2-1),Projects!$B$2/Projects!$D$2,"")</f>
        <v/>
      </c>
      <c r="CI7" s="567">
        <f>IF(AND(Projects!$C$2&lt;=CI$4,CI$4&lt;=Projects!$C$2+Projects!$D$2-1),Projects!$B$2/Projects!$D$2,"")</f>
        <v/>
      </c>
      <c r="CJ7" s="567">
        <f>IF(AND(Projects!$C$2&lt;=CJ$4,CJ$4&lt;=Projects!$C$2+Projects!$D$2-1),Projects!$B$2/Projects!$D$2,"")</f>
        <v/>
      </c>
      <c r="CK7" s="567">
        <f>IF(AND(Projects!$C$2&lt;=CK$4,CK$4&lt;=Projects!$C$2+Projects!$D$2-1),Projects!$B$2/Projects!$D$2,"")</f>
        <v/>
      </c>
      <c r="CL7" s="567">
        <f>IF(AND(Projects!$C$2&lt;=CL$4,CL$4&lt;=Projects!$C$2+Projects!$D$2-1),Projects!$B$2/Projects!$D$2,"")</f>
        <v/>
      </c>
      <c r="CM7" s="567">
        <f>IF(AND(Projects!$C$2&lt;=CM$4,CM$4&lt;=Projects!$C$2+Projects!$D$2-1),Projects!$B$2/Projects!$D$2,"")</f>
        <v/>
      </c>
      <c r="CN7" s="567">
        <f>IF(AND(Projects!$C$2&lt;=CN$4,CN$4&lt;=Projects!$C$2+Projects!$D$2-1),Projects!$B$2/Projects!$D$2,"")</f>
        <v/>
      </c>
      <c r="CO7" s="567">
        <f>IF(AND(Projects!$C$2&lt;=CO$4,CO$4&lt;=Projects!$C$2+Projects!$D$2-1),Projects!$B$2/Projects!$D$2,"")</f>
        <v/>
      </c>
      <c r="CP7" s="567">
        <f>IF(AND(Projects!$C$2&lt;=CP$4,CP$4&lt;=Projects!$C$2+Projects!$D$2-1),Projects!$B$2/Projects!$D$2,"")</f>
        <v/>
      </c>
      <c r="CQ7" s="567">
        <f>IF(AND(Projects!$C$2&lt;=CQ$4,CQ$4&lt;=Projects!$C$2+Projects!$D$2-1),Projects!$B$2/Projects!$D$2,"")</f>
        <v/>
      </c>
      <c r="CR7" s="567">
        <f>IF(AND(Projects!$C$2&lt;=CR$4,CR$4&lt;=Projects!$C$2+Projects!$D$2-1),Projects!$B$2/Projects!$D$2,"")</f>
        <v/>
      </c>
      <c r="CS7" s="567">
        <f>IF(AND(Projects!$C$2&lt;=CS$4,CS$4&lt;=Projects!$C$2+Projects!$D$2-1),Projects!$B$2/Projects!$D$2,"")</f>
        <v/>
      </c>
      <c r="CT7" s="567">
        <f>IF(AND(Projects!$C$2&lt;=CT$4,CT$4&lt;=Projects!$C$2+Projects!$D$2-1),Projects!$B$2/Projects!$D$2,"")</f>
        <v/>
      </c>
      <c r="CU7" s="567">
        <f>IF(AND(Projects!$C$2&lt;=CU$4,CU$4&lt;=Projects!$C$2+Projects!$D$2-1),Projects!$B$2/Projects!$D$2,"")</f>
        <v/>
      </c>
      <c r="CV7" s="567">
        <f>IF(AND(Projects!$C$2&lt;=CV$4,CV$4&lt;=Projects!$C$2+Projects!$D$2-1),Projects!$B$2/Projects!$D$2,"")</f>
        <v/>
      </c>
      <c r="CW7" s="567">
        <f>IF(AND(Projects!$C$2&lt;=CW$4,CW$4&lt;=Projects!$C$2+Projects!$D$2-1),Projects!$B$2/Projects!$D$2,"")</f>
        <v/>
      </c>
      <c r="CX7" s="567">
        <f>IF(AND(Projects!$C$2&lt;=CX$4,CX$4&lt;=Projects!$C$2+Projects!$D$2-1),Projects!$B$2/Projects!$D$2,"")</f>
        <v/>
      </c>
      <c r="CY7" s="567">
        <f>IF(AND(Projects!$C$2&lt;=CY$4,CY$4&lt;=Projects!$C$2+Projects!$D$2-1),Projects!$B$2/Projects!$D$2,"")</f>
        <v/>
      </c>
      <c r="CZ7" s="567">
        <f>IF(AND(Projects!$C$2&lt;=CZ$4,CZ$4&lt;=Projects!$C$2+Projects!$D$2-1),Projects!$B$2/Projects!$D$2,"")</f>
        <v/>
      </c>
      <c r="DA7" s="567">
        <f>IF(AND(Projects!$C$2&lt;=DA$4,DA$4&lt;=Projects!$C$2+Projects!$D$2-1),Projects!$B$2/Projects!$D$2,"")</f>
        <v/>
      </c>
      <c r="DB7" s="567">
        <f>IF(AND(Projects!$C$2&lt;=DB$4,DB$4&lt;=Projects!$C$2+Projects!$D$2-1),Projects!$B$2/Projects!$D$2,"")</f>
        <v/>
      </c>
    </row>
    <row r="8" ht="15" customFormat="1" customHeight="1" s="380">
      <c r="A8" s="563" t="inlineStr">
        <is>
          <t>Ramsgate</t>
        </is>
      </c>
      <c r="B8" s="564">
        <f>Projects!$B$3</f>
        <v/>
      </c>
      <c r="C8" s="565">
        <f>EDATE(Model!$E$2,Projects!$C$3-1)</f>
        <v/>
      </c>
      <c r="D8" s="565">
        <f>EDATE(Model!$E$2,18-1)</f>
        <v/>
      </c>
      <c r="E8" s="566">
        <f>DATEDIF(C8,D8,"m")+1</f>
        <v/>
      </c>
      <c r="F8" s="564">
        <f>Projects!$B$3/E8</f>
        <v/>
      </c>
      <c r="G8" s="567">
        <f>IF(AND(Projects!$C$3&lt;=G$4,G$4&lt;=18),$F8,"")</f>
        <v/>
      </c>
      <c r="H8" s="567">
        <f>IF(AND(Projects!$C$3&lt;=H$4,H$4&lt;=18),$F8,"")</f>
        <v/>
      </c>
      <c r="I8" s="567">
        <f>IF(AND(Projects!$C$3&lt;=I$4,I$4&lt;=18),$F8,"")</f>
        <v/>
      </c>
      <c r="J8" s="567">
        <f>IF(AND(Projects!$C$3&lt;=J$4,J$4&lt;=18),$F8,"")</f>
        <v/>
      </c>
      <c r="K8" s="567">
        <f>IF(AND(Projects!$C$3&lt;=K$4,K$4&lt;=18),$F8,"")</f>
        <v/>
      </c>
      <c r="L8" s="567">
        <f>IF(AND(Projects!$C$3&lt;=L$4,L$4&lt;=18),$F8,"")</f>
        <v/>
      </c>
      <c r="M8" s="567">
        <f>IF(AND(Projects!$C$3&lt;=M$4,M$4&lt;=18),$F8,"")</f>
        <v/>
      </c>
      <c r="N8" s="567">
        <f>IF(AND(Projects!$C$3&lt;=N$4,N$4&lt;=18),$F8,"")</f>
        <v/>
      </c>
      <c r="O8" s="567">
        <f>IF(AND(Projects!$C$3&lt;=O$4,O$4&lt;=18),$F8,"")</f>
        <v/>
      </c>
      <c r="P8" s="567">
        <f>IF(AND(Projects!$C$3&lt;=P$4,P$4&lt;=18),$F8,"")</f>
        <v/>
      </c>
      <c r="Q8" s="567">
        <f>IF(AND(Projects!$C$3&lt;=Q$4,Q$4&lt;=18),$F8,"")</f>
        <v/>
      </c>
      <c r="R8" s="567">
        <f>IF(AND(Projects!$C$3&lt;=R$4,R$4&lt;=18),$F8,"")</f>
        <v/>
      </c>
      <c r="S8" s="567">
        <f>IF(AND(Projects!$C$3&lt;=S$4,S$4&lt;=18),$F8,"")</f>
        <v/>
      </c>
      <c r="T8" s="567">
        <f>IF(AND(Projects!$C$3&lt;=T$4,T$4&lt;=18),$F8,"")</f>
        <v/>
      </c>
      <c r="U8" s="567">
        <f>IF(AND(Projects!$C$3&lt;=U$4,U$4&lt;=18),$F8,"")</f>
        <v/>
      </c>
      <c r="V8" s="567">
        <f>IF(AND(Projects!$C$3&lt;=V$4,V$4&lt;=18),$F8,"")</f>
        <v/>
      </c>
      <c r="W8" s="567">
        <f>IF(AND(Projects!$C$3&lt;=W$4,W$4&lt;=18),$F8,"")</f>
        <v/>
      </c>
      <c r="X8" s="567">
        <f>IF(AND(Projects!$C$3&lt;=X$4,X$4&lt;=18),$F8,"")</f>
        <v/>
      </c>
      <c r="Y8" s="567">
        <f>IF(AND(Projects!$C$3&lt;=Y$4,Y$4&lt;=18),$F8,"")</f>
        <v/>
      </c>
      <c r="Z8" s="567">
        <f>IF(AND(Projects!$C$3&lt;=Z$4,Z$4&lt;=18),$F8,"")</f>
        <v/>
      </c>
      <c r="AA8" s="567">
        <f>IF(AND(Projects!$C$3&lt;=AA$4,AA$4&lt;=18),$F8,"")</f>
        <v/>
      </c>
      <c r="AB8" s="567">
        <f>IF(AND(Projects!$C$3&lt;=AB$4,AB$4&lt;=18),$F8,"")</f>
        <v/>
      </c>
      <c r="AC8" s="567">
        <f>IF(AND(Projects!$C$3&lt;=AC$4,AC$4&lt;=18),$F8,"")</f>
        <v/>
      </c>
      <c r="AD8" s="567">
        <f>IF(AND(Projects!$C$3&lt;=AD$4,AD$4&lt;=18),$F8,"")</f>
        <v/>
      </c>
      <c r="AE8" s="567">
        <f>IF(AND(Projects!$C$3&lt;=AE$4,AE$4&lt;=18),$F8,"")</f>
        <v/>
      </c>
      <c r="AF8" s="567">
        <f>IF(AND(Projects!$C$3&lt;=AF$4,AF$4&lt;=18),$F8,"")</f>
        <v/>
      </c>
      <c r="AG8" s="567">
        <f>IF(AND(Projects!$C$3&lt;=AG$4,AG$4&lt;=18),$F8,"")</f>
        <v/>
      </c>
      <c r="AH8" s="567">
        <f>IF(AND(Projects!$C$3&lt;=AH$4,AH$4&lt;=18),$F8,"")</f>
        <v/>
      </c>
      <c r="AI8" s="567">
        <f>IF(AND(Projects!$C$3&lt;=AI$4,AI$4&lt;=18),$F8,"")</f>
        <v/>
      </c>
      <c r="AJ8" s="567">
        <f>IF(AND(Projects!$C$3&lt;=AJ$4,AJ$4&lt;=18),$F8,"")</f>
        <v/>
      </c>
      <c r="AK8" s="567">
        <f>IF(AND(Projects!$C$3&lt;=AK$4,AK$4&lt;=18),$F8,"")</f>
        <v/>
      </c>
      <c r="AL8" s="567">
        <f>IF(AND(Projects!$C$3&lt;=AL$4,AL$4&lt;=18),$F8,"")</f>
        <v/>
      </c>
      <c r="AM8" s="567">
        <f>IF(AND(Projects!$C$3&lt;=AM$4,AM$4&lt;=18),$F8,"")</f>
        <v/>
      </c>
      <c r="AN8" s="567">
        <f>IF(AND(Projects!$C$3&lt;=AN$4,AN$4&lt;=18),$F8,"")</f>
        <v/>
      </c>
      <c r="AO8" s="567">
        <f>IF(AND(Projects!$C$3&lt;=AO$4,AO$4&lt;=18),$F8,"")</f>
        <v/>
      </c>
      <c r="AP8" s="567">
        <f>IF(AND(Projects!$C$3&lt;=AP$4,AP$4&lt;=18),$F8,"")</f>
        <v/>
      </c>
      <c r="AQ8" s="567">
        <f>IF(AND(Projects!$C$3&lt;=AQ$4,AQ$4&lt;=18),$F8,"")</f>
        <v/>
      </c>
      <c r="AR8" s="567">
        <f>IF(AND(Projects!$C$3&lt;=AR$4,AR$4&lt;=18),$F8,"")</f>
        <v/>
      </c>
      <c r="AS8" s="567">
        <f>IF(AND(Projects!$C$3&lt;=AS$4,AS$4&lt;=18),$F8,"")</f>
        <v/>
      </c>
      <c r="AT8" s="567">
        <f>IF(AND(Projects!$C$3&lt;=AT$4,AT$4&lt;=18),$F8,"")</f>
        <v/>
      </c>
      <c r="AU8" s="567">
        <f>IF(AND(Projects!$C$3&lt;=AU$4,AU$4&lt;=18),$F8,"")</f>
        <v/>
      </c>
      <c r="AV8" s="567">
        <f>IF(AND(Projects!$C$3&lt;=AV$4,AV$4&lt;=18),$F8,"")</f>
        <v/>
      </c>
      <c r="AW8" s="567">
        <f>IF(AND(Projects!$C$3&lt;=AW$4,AW$4&lt;=18),$F8,"")</f>
        <v/>
      </c>
      <c r="AX8" s="567">
        <f>IF(AND(Projects!$C$3&lt;=AX$4,AX$4&lt;=18),$F8,"")</f>
        <v/>
      </c>
      <c r="AY8" s="567">
        <f>IF(AND(Projects!$C$3&lt;=AY$4,AY$4&lt;=18),$F8,"")</f>
        <v/>
      </c>
      <c r="AZ8" s="567">
        <f>IF(AND(Projects!$C$3&lt;=AZ$4,AZ$4&lt;=18),$F8,"")</f>
        <v/>
      </c>
      <c r="BA8" s="567">
        <f>IF(AND(Projects!$C$3&lt;=BA$4,BA$4&lt;=18),$F8,"")</f>
        <v/>
      </c>
      <c r="BB8" s="567">
        <f>IF(AND(Projects!$C$3&lt;=BB$4,BB$4&lt;=18),$F8,"")</f>
        <v/>
      </c>
      <c r="BC8" s="567">
        <f>IF(AND(Projects!$C$3&lt;=BC$4,BC$4&lt;=18),$F8,"")</f>
        <v/>
      </c>
      <c r="BD8" s="567">
        <f>IF(AND(Projects!$C$3&lt;=BD$4,BD$4&lt;=18),$F8,"")</f>
        <v/>
      </c>
      <c r="BE8" s="567">
        <f>IF(AND(Projects!$C$3&lt;=BE$4,BE$4&lt;=18),$F8,"")</f>
        <v/>
      </c>
      <c r="BF8" s="567">
        <f>IF(AND(Projects!$C$3&lt;=BF$4,BF$4&lt;=18),$F8,"")</f>
        <v/>
      </c>
      <c r="BG8" s="567">
        <f>IF(AND(Projects!$C$3&lt;=BG$4,BG$4&lt;=18),$F8,"")</f>
        <v/>
      </c>
      <c r="BH8" s="567">
        <f>IF(AND(Projects!$C$3&lt;=BH$4,BH$4&lt;=18),$F8,"")</f>
        <v/>
      </c>
      <c r="BI8" s="567">
        <f>IF(AND(Projects!$C$3&lt;=BI$4,BI$4&lt;=18),$F8,"")</f>
        <v/>
      </c>
      <c r="BJ8" s="567">
        <f>IF(AND(Projects!$C$3&lt;=BJ$4,BJ$4&lt;=18),$F8,"")</f>
        <v/>
      </c>
      <c r="BK8" s="567">
        <f>IF(AND(Projects!$C$3&lt;=BK$4,BK$4&lt;=18),$F8,"")</f>
        <v/>
      </c>
      <c r="BL8" s="567">
        <f>IF(AND(Projects!$C$3&lt;=BL$4,BL$4&lt;=18),$F8,"")</f>
        <v/>
      </c>
      <c r="BM8" s="567">
        <f>IF(AND(Projects!$C$3&lt;=BM$4,BM$4&lt;=18),$F8,"")</f>
        <v/>
      </c>
      <c r="BN8" s="567">
        <f>IF(AND(Projects!$C$3&lt;=BN$4,BN$4&lt;=18),$F8,"")</f>
        <v/>
      </c>
      <c r="BO8" s="567">
        <f>IF(AND(Projects!$C$3&lt;=BO$4,BO$4&lt;=18),$F8,"")</f>
        <v/>
      </c>
      <c r="BP8" s="567">
        <f>IF(AND(Projects!$C$3&lt;=BP$4,BP$4&lt;=18),$F8,"")</f>
        <v/>
      </c>
      <c r="BQ8" s="567">
        <f>IF(AND(Projects!$C$3&lt;=BQ$4,BQ$4&lt;=18),$F8,"")</f>
        <v/>
      </c>
      <c r="BR8" s="567">
        <f>IF(AND(Projects!$C$3&lt;=BR$4,BR$4&lt;=18),$F8,"")</f>
        <v/>
      </c>
      <c r="BS8" s="567">
        <f>IF(AND(Projects!$C$3&lt;=BS$4,BS$4&lt;=18),$F8,"")</f>
        <v/>
      </c>
      <c r="BT8" s="567">
        <f>IF(AND(Projects!$C$3&lt;=BT$4,BT$4&lt;=18),$F8,"")</f>
        <v/>
      </c>
      <c r="BU8" s="567">
        <f>IF(AND(Projects!$C$3&lt;=BU$4,BU$4&lt;=18),$F8,"")</f>
        <v/>
      </c>
      <c r="BV8" s="567">
        <f>IF(AND(Projects!$C$3&lt;=BV$4,BV$4&lt;=18),$F8,"")</f>
        <v/>
      </c>
      <c r="BW8" s="567">
        <f>IF(AND(Projects!$C$3&lt;=BW$4,BW$4&lt;=18),$F8,"")</f>
        <v/>
      </c>
      <c r="BX8" s="567">
        <f>IF(AND(Projects!$C$3&lt;=BX$4,BX$4&lt;=18),$F8,"")</f>
        <v/>
      </c>
      <c r="BY8" s="567">
        <f>IF(AND(Projects!$C$3&lt;=BY$4,BY$4&lt;=18),$F8,"")</f>
        <v/>
      </c>
      <c r="BZ8" s="567">
        <f>IF(AND(Projects!$C$3&lt;=BZ$4,BZ$4&lt;=18),$F8,"")</f>
        <v/>
      </c>
      <c r="CA8" s="567">
        <f>IF(AND(Projects!$C$3&lt;=CA$4,CA$4&lt;=18),$F8,"")</f>
        <v/>
      </c>
      <c r="CB8" s="567">
        <f>IF(AND(Projects!$C$3&lt;=CB$4,CB$4&lt;=18),$F8,"")</f>
        <v/>
      </c>
      <c r="CC8" s="567">
        <f>IF(AND(Projects!$C$3&lt;=CC$4,CC$4&lt;=18),$F8,"")</f>
        <v/>
      </c>
      <c r="CD8" s="567">
        <f>IF(AND(Projects!$C$3&lt;=CD$4,CD$4&lt;=18),$F8,"")</f>
        <v/>
      </c>
      <c r="CE8" s="567">
        <f>IF(AND(Projects!$C$3&lt;=CE$4,CE$4&lt;=18),$F8,"")</f>
        <v/>
      </c>
      <c r="CF8" s="567">
        <f>IF(AND(Projects!$C$3&lt;=CF$4,CF$4&lt;=18),$F8,"")</f>
        <v/>
      </c>
      <c r="CG8" s="567">
        <f>IF(AND(Projects!$C$3&lt;=CG$4,CG$4&lt;=18),$F8,"")</f>
        <v/>
      </c>
      <c r="CH8" s="567">
        <f>IF(AND(Projects!$C$3&lt;=CH$4,CH$4&lt;=18),$F8,"")</f>
        <v/>
      </c>
      <c r="CI8" s="567">
        <f>IF(AND(Projects!$C$3&lt;=CI$4,CI$4&lt;=18),$F8,"")</f>
        <v/>
      </c>
      <c r="CJ8" s="567">
        <f>IF(AND(Projects!$C$3&lt;=CJ$4,CJ$4&lt;=18),$F8,"")</f>
        <v/>
      </c>
      <c r="CK8" s="567">
        <f>IF(AND(Projects!$C$3&lt;=CK$4,CK$4&lt;=18),$F8,"")</f>
        <v/>
      </c>
      <c r="CL8" s="567">
        <f>IF(AND(Projects!$C$3&lt;=CL$4,CL$4&lt;=18),$F8,"")</f>
        <v/>
      </c>
      <c r="CM8" s="567">
        <f>IF(AND(Projects!$C$3&lt;=CM$4,CM$4&lt;=18),$F8,"")</f>
        <v/>
      </c>
      <c r="CN8" s="567">
        <f>IF(AND(Projects!$C$3&lt;=CN$4,CN$4&lt;=18),$F8,"")</f>
        <v/>
      </c>
      <c r="CO8" s="567">
        <f>IF(AND(Projects!$C$3&lt;=CO$4,CO$4&lt;=18),$F8,"")</f>
        <v/>
      </c>
      <c r="CP8" s="567">
        <f>IF(AND(Projects!$C$3&lt;=CP$4,CP$4&lt;=18),$F8,"")</f>
        <v/>
      </c>
      <c r="CQ8" s="567">
        <f>IF(AND(Projects!$C$3&lt;=CQ$4,CQ$4&lt;=18),$F8,"")</f>
        <v/>
      </c>
      <c r="CR8" s="567">
        <f>IF(AND(Projects!$C$3&lt;=CR$4,CR$4&lt;=18),$F8,"")</f>
        <v/>
      </c>
      <c r="CS8" s="567">
        <f>IF(AND(Projects!$C$3&lt;=CS$4,CS$4&lt;=18),$F8,"")</f>
        <v/>
      </c>
      <c r="CT8" s="567">
        <f>IF(AND(Projects!$C$3&lt;=CT$4,CT$4&lt;=18),$F8,"")</f>
        <v/>
      </c>
      <c r="CU8" s="567">
        <f>IF(AND(Projects!$C$3&lt;=CU$4,CU$4&lt;=18),$F8,"")</f>
        <v/>
      </c>
      <c r="CV8" s="567">
        <f>IF(AND(Projects!$C$3&lt;=CV$4,CV$4&lt;=18),$F8,"")</f>
        <v/>
      </c>
      <c r="CW8" s="567">
        <f>IF(AND(Projects!$C$3&lt;=CW$4,CW$4&lt;=18),$F8,"")</f>
        <v/>
      </c>
      <c r="CX8" s="567">
        <f>IF(AND(Projects!$C$3&lt;=CX$4,CX$4&lt;=18),$F8,"")</f>
        <v/>
      </c>
      <c r="CY8" s="567">
        <f>IF(AND(Projects!$C$3&lt;=CY$4,CY$4&lt;=18),$F8,"")</f>
        <v/>
      </c>
      <c r="CZ8" s="567">
        <f>IF(AND(Projects!$C$3&lt;=CZ$4,CZ$4&lt;=18),$F8,"")</f>
        <v/>
      </c>
      <c r="DA8" s="567">
        <f>IF(AND(Projects!$C$3&lt;=DA$4,DA$4&lt;=18),$F8,"")</f>
        <v/>
      </c>
      <c r="DB8" s="567">
        <f>IF(AND(Projects!$C$3&lt;=DB$4,DB$4&lt;=18),$F8,"")</f>
        <v/>
      </c>
    </row>
    <row r="9" ht="15" customFormat="1" customHeight="1" s="380">
      <c r="A9" s="563" t="inlineStr">
        <is>
          <t>Califa</t>
        </is>
      </c>
      <c r="B9" s="564">
        <f>Projects!$B$4</f>
        <v/>
      </c>
      <c r="C9" s="565">
        <f>EDATE(Model!$E$2,Projects!$C$4-1)</f>
        <v/>
      </c>
      <c r="D9" s="565">
        <f>EDATE(Model!$E$2,17-1)</f>
        <v/>
      </c>
      <c r="E9" s="566">
        <f>DATEDIF(C9,D9,"m")+1</f>
        <v/>
      </c>
      <c r="F9" s="564">
        <f>Projects!$B$4/E9</f>
        <v/>
      </c>
      <c r="G9" s="567">
        <f>IF(AND(Projects!$C$4&lt;=G$4,G$4&lt;=17),$F9,"")</f>
        <v/>
      </c>
      <c r="H9" s="567">
        <f>IF(AND(Projects!$C$4&lt;=H$4,H$4&lt;=17),$F9,"")</f>
        <v/>
      </c>
      <c r="I9" s="567">
        <f>IF(AND(Projects!$C$4&lt;=I$4,I$4&lt;=17),$F9,"")</f>
        <v/>
      </c>
      <c r="J9" s="567">
        <f>IF(AND(Projects!$C$4&lt;=J$4,J$4&lt;=17),$F9,"")</f>
        <v/>
      </c>
      <c r="K9" s="567">
        <f>IF(AND(Projects!$C$4&lt;=K$4,K$4&lt;=17),$F9,"")</f>
        <v/>
      </c>
      <c r="L9" s="567">
        <f>IF(AND(Projects!$C$4&lt;=L$4,L$4&lt;=17),$F9,"")</f>
        <v/>
      </c>
      <c r="M9" s="567">
        <f>IF(AND(Projects!$C$4&lt;=M$4,M$4&lt;=17),$F9,"")</f>
        <v/>
      </c>
      <c r="N9" s="567">
        <f>IF(AND(Projects!$C$4&lt;=N$4,N$4&lt;=17),$F9,"")</f>
        <v/>
      </c>
      <c r="O9" s="567">
        <f>IF(AND(Projects!$C$4&lt;=O$4,O$4&lt;=17),$F9,"")</f>
        <v/>
      </c>
      <c r="P9" s="567">
        <f>IF(AND(Projects!$C$4&lt;=P$4,P$4&lt;=17),$F9,"")</f>
        <v/>
      </c>
      <c r="Q9" s="567">
        <f>IF(AND(Projects!$C$4&lt;=Q$4,Q$4&lt;=17),$F9,"")</f>
        <v/>
      </c>
      <c r="R9" s="567">
        <f>IF(AND(Projects!$C$4&lt;=R$4,R$4&lt;=17),$F9,"")</f>
        <v/>
      </c>
      <c r="S9" s="567">
        <f>IF(AND(Projects!$C$4&lt;=S$4,S$4&lt;=17),$F9,"")</f>
        <v/>
      </c>
      <c r="T9" s="567">
        <f>IF(AND(Projects!$C$4&lt;=T$4,T$4&lt;=17),$F9,"")</f>
        <v/>
      </c>
      <c r="U9" s="567">
        <f>IF(AND(Projects!$C$4&lt;=U$4,U$4&lt;=17),$F9,"")</f>
        <v/>
      </c>
      <c r="V9" s="567">
        <f>IF(AND(Projects!$C$4&lt;=V$4,V$4&lt;=17),$F9,"")</f>
        <v/>
      </c>
      <c r="W9" s="567">
        <f>IF(AND(Projects!$C$4&lt;=W$4,W$4&lt;=17),$F9,"")</f>
        <v/>
      </c>
      <c r="X9" s="567">
        <f>IF(AND(Projects!$C$4&lt;=X$4,X$4&lt;=17),$F9,"")</f>
        <v/>
      </c>
      <c r="Y9" s="567">
        <f>IF(AND(Projects!$C$4&lt;=Y$4,Y$4&lt;=17),$F9,"")</f>
        <v/>
      </c>
      <c r="Z9" s="567">
        <f>IF(AND(Projects!$C$4&lt;=Z$4,Z$4&lt;=17),$F9,"")</f>
        <v/>
      </c>
      <c r="AA9" s="567">
        <f>IF(AND(Projects!$C$4&lt;=AA$4,AA$4&lt;=17),$F9,"")</f>
        <v/>
      </c>
      <c r="AB9" s="567">
        <f>IF(AND(Projects!$C$4&lt;=AB$4,AB$4&lt;=17),$F9,"")</f>
        <v/>
      </c>
      <c r="AC9" s="567">
        <f>IF(AND(Projects!$C$4&lt;=AC$4,AC$4&lt;=17),$F9,"")</f>
        <v/>
      </c>
      <c r="AD9" s="567">
        <f>IF(AND(Projects!$C$4&lt;=AD$4,AD$4&lt;=17),$F9,"")</f>
        <v/>
      </c>
      <c r="AE9" s="567">
        <f>IF(AND(Projects!$C$4&lt;=AE$4,AE$4&lt;=17),$F9,"")</f>
        <v/>
      </c>
      <c r="AF9" s="567">
        <f>IF(AND(Projects!$C$4&lt;=AF$4,AF$4&lt;=17),$F9,"")</f>
        <v/>
      </c>
      <c r="AG9" s="567">
        <f>IF(AND(Projects!$C$4&lt;=AG$4,AG$4&lt;=17),$F9,"")</f>
        <v/>
      </c>
      <c r="AH9" s="567">
        <f>IF(AND(Projects!$C$4&lt;=AH$4,AH$4&lt;=17),$F9,"")</f>
        <v/>
      </c>
      <c r="AI9" s="567">
        <f>IF(AND(Projects!$C$4&lt;=AI$4,AI$4&lt;=17),$F9,"")</f>
        <v/>
      </c>
      <c r="AJ9" s="567">
        <f>IF(AND(Projects!$C$4&lt;=AJ$4,AJ$4&lt;=17),$F9,"")</f>
        <v/>
      </c>
      <c r="AK9" s="567">
        <f>IF(AND(Projects!$C$4&lt;=AK$4,AK$4&lt;=17),$F9,"")</f>
        <v/>
      </c>
      <c r="AL9" s="567">
        <f>IF(AND(Projects!$C$4&lt;=AL$4,AL$4&lt;=17),$F9,"")</f>
        <v/>
      </c>
      <c r="AM9" s="567">
        <f>IF(AND(Projects!$C$4&lt;=AM$4,AM$4&lt;=17),$F9,"")</f>
        <v/>
      </c>
      <c r="AN9" s="567">
        <f>IF(AND(Projects!$C$4&lt;=AN$4,AN$4&lt;=17),$F9,"")</f>
        <v/>
      </c>
      <c r="AO9" s="567">
        <f>IF(AND(Projects!$C$4&lt;=AO$4,AO$4&lt;=17),$F9,"")</f>
        <v/>
      </c>
      <c r="AP9" s="567">
        <f>IF(AND(Projects!$C$4&lt;=AP$4,AP$4&lt;=17),$F9,"")</f>
        <v/>
      </c>
      <c r="AQ9" s="567">
        <f>IF(AND(Projects!$C$4&lt;=AQ$4,AQ$4&lt;=17),$F9,"")</f>
        <v/>
      </c>
      <c r="AR9" s="567">
        <f>IF(AND(Projects!$C$4&lt;=AR$4,AR$4&lt;=17),$F9,"")</f>
        <v/>
      </c>
      <c r="AS9" s="567">
        <f>IF(AND(Projects!$C$4&lt;=AS$4,AS$4&lt;=17),$F9,"")</f>
        <v/>
      </c>
      <c r="AT9" s="567">
        <f>IF(AND(Projects!$C$4&lt;=AT$4,AT$4&lt;=17),$F9,"")</f>
        <v/>
      </c>
      <c r="AU9" s="567">
        <f>IF(AND(Projects!$C$4&lt;=AU$4,AU$4&lt;=17),$F9,"")</f>
        <v/>
      </c>
      <c r="AV9" s="567">
        <f>IF(AND(Projects!$C$4&lt;=AV$4,AV$4&lt;=17),$F9,"")</f>
        <v/>
      </c>
      <c r="AW9" s="567">
        <f>IF(AND(Projects!$C$4&lt;=AW$4,AW$4&lt;=17),$F9,"")</f>
        <v/>
      </c>
      <c r="AX9" s="567">
        <f>IF(AND(Projects!$C$4&lt;=AX$4,AX$4&lt;=17),$F9,"")</f>
        <v/>
      </c>
      <c r="AY9" s="567">
        <f>IF(AND(Projects!$C$4&lt;=AY$4,AY$4&lt;=17),$F9,"")</f>
        <v/>
      </c>
      <c r="AZ9" s="567">
        <f>IF(AND(Projects!$C$4&lt;=AZ$4,AZ$4&lt;=17),$F9,"")</f>
        <v/>
      </c>
      <c r="BA9" s="567">
        <f>IF(AND(Projects!$C$4&lt;=BA$4,BA$4&lt;=17),$F9,"")</f>
        <v/>
      </c>
      <c r="BB9" s="567">
        <f>IF(AND(Projects!$C$4&lt;=BB$4,BB$4&lt;=17),$F9,"")</f>
        <v/>
      </c>
      <c r="BC9" s="567">
        <f>IF(AND(Projects!$C$4&lt;=BC$4,BC$4&lt;=17),$F9,"")</f>
        <v/>
      </c>
      <c r="BD9" s="567">
        <f>IF(AND(Projects!$C$4&lt;=BD$4,BD$4&lt;=17),$F9,"")</f>
        <v/>
      </c>
      <c r="BE9" s="567">
        <f>IF(AND(Projects!$C$4&lt;=BE$4,BE$4&lt;=17),$F9,"")</f>
        <v/>
      </c>
      <c r="BF9" s="567">
        <f>IF(AND(Projects!$C$4&lt;=BF$4,BF$4&lt;=17),$F9,"")</f>
        <v/>
      </c>
      <c r="BG9" s="567">
        <f>IF(AND(Projects!$C$4&lt;=BG$4,BG$4&lt;=17),$F9,"")</f>
        <v/>
      </c>
      <c r="BH9" s="567">
        <f>IF(AND(Projects!$C$4&lt;=BH$4,BH$4&lt;=17),$F9,"")</f>
        <v/>
      </c>
      <c r="BI9" s="567">
        <f>IF(AND(Projects!$C$4&lt;=BI$4,BI$4&lt;=17),$F9,"")</f>
        <v/>
      </c>
      <c r="BJ9" s="567">
        <f>IF(AND(Projects!$C$4&lt;=BJ$4,BJ$4&lt;=17),$F9,"")</f>
        <v/>
      </c>
      <c r="BK9" s="567">
        <f>IF(AND(Projects!$C$4&lt;=BK$4,BK$4&lt;=17),$F9,"")</f>
        <v/>
      </c>
      <c r="BL9" s="567">
        <f>IF(AND(Projects!$C$4&lt;=BL$4,BL$4&lt;=17),$F9,"")</f>
        <v/>
      </c>
      <c r="BM9" s="567">
        <f>IF(AND(Projects!$C$4&lt;=BM$4,BM$4&lt;=17),$F9,"")</f>
        <v/>
      </c>
      <c r="BN9" s="567">
        <f>IF(AND(Projects!$C$4&lt;=BN$4,BN$4&lt;=17),$F9,"")</f>
        <v/>
      </c>
      <c r="BO9" s="567">
        <f>IF(AND(Projects!$C$4&lt;=BO$4,BO$4&lt;=17),$F9,"")</f>
        <v/>
      </c>
      <c r="BP9" s="567">
        <f>IF(AND(Projects!$C$4&lt;=BP$4,BP$4&lt;=17),$F9,"")</f>
        <v/>
      </c>
      <c r="BQ9" s="567">
        <f>IF(AND(Projects!$C$4&lt;=BQ$4,BQ$4&lt;=17),$F9,"")</f>
        <v/>
      </c>
      <c r="BR9" s="567">
        <f>IF(AND(Projects!$C$4&lt;=BR$4,BR$4&lt;=17),$F9,"")</f>
        <v/>
      </c>
      <c r="BS9" s="567">
        <f>IF(AND(Projects!$C$4&lt;=BS$4,BS$4&lt;=17),$F9,"")</f>
        <v/>
      </c>
      <c r="BT9" s="567">
        <f>IF(AND(Projects!$C$4&lt;=BT$4,BT$4&lt;=17),$F9,"")</f>
        <v/>
      </c>
      <c r="BU9" s="567">
        <f>IF(AND(Projects!$C$4&lt;=BU$4,BU$4&lt;=17),$F9,"")</f>
        <v/>
      </c>
      <c r="BV9" s="567">
        <f>IF(AND(Projects!$C$4&lt;=BV$4,BV$4&lt;=17),$F9,"")</f>
        <v/>
      </c>
      <c r="BW9" s="567">
        <f>IF(AND(Projects!$C$4&lt;=BW$4,BW$4&lt;=17),$F9,"")</f>
        <v/>
      </c>
      <c r="BX9" s="567">
        <f>IF(AND(Projects!$C$4&lt;=BX$4,BX$4&lt;=17),$F9,"")</f>
        <v/>
      </c>
      <c r="BY9" s="567">
        <f>IF(AND(Projects!$C$4&lt;=BY$4,BY$4&lt;=17),$F9,"")</f>
        <v/>
      </c>
      <c r="BZ9" s="567">
        <f>IF(AND(Projects!$C$4&lt;=BZ$4,BZ$4&lt;=17),$F9,"")</f>
        <v/>
      </c>
      <c r="CA9" s="567">
        <f>IF(AND(Projects!$C$4&lt;=CA$4,CA$4&lt;=17),$F9,"")</f>
        <v/>
      </c>
      <c r="CB9" s="567">
        <f>IF(AND(Projects!$C$4&lt;=CB$4,CB$4&lt;=17),$F9,"")</f>
        <v/>
      </c>
      <c r="CC9" s="567">
        <f>IF(AND(Projects!$C$4&lt;=CC$4,CC$4&lt;=17),$F9,"")</f>
        <v/>
      </c>
      <c r="CD9" s="567">
        <f>IF(AND(Projects!$C$4&lt;=CD$4,CD$4&lt;=17),$F9,"")</f>
        <v/>
      </c>
      <c r="CE9" s="567">
        <f>IF(AND(Projects!$C$4&lt;=CE$4,CE$4&lt;=17),$F9,"")</f>
        <v/>
      </c>
      <c r="CF9" s="567">
        <f>IF(AND(Projects!$C$4&lt;=CF$4,CF$4&lt;=17),$F9,"")</f>
        <v/>
      </c>
      <c r="CG9" s="567">
        <f>IF(AND(Projects!$C$4&lt;=CG$4,CG$4&lt;=17),$F9,"")</f>
        <v/>
      </c>
      <c r="CH9" s="567">
        <f>IF(AND(Projects!$C$4&lt;=CH$4,CH$4&lt;=17),$F9,"")</f>
        <v/>
      </c>
      <c r="CI9" s="567">
        <f>IF(AND(Projects!$C$4&lt;=CI$4,CI$4&lt;=17),$F9,"")</f>
        <v/>
      </c>
      <c r="CJ9" s="567">
        <f>IF(AND(Projects!$C$4&lt;=CJ$4,CJ$4&lt;=17),$F9,"")</f>
        <v/>
      </c>
      <c r="CK9" s="567">
        <f>IF(AND(Projects!$C$4&lt;=CK$4,CK$4&lt;=17),$F9,"")</f>
        <v/>
      </c>
      <c r="CL9" s="567">
        <f>IF(AND(Projects!$C$4&lt;=CL$4,CL$4&lt;=17),$F9,"")</f>
        <v/>
      </c>
      <c r="CM9" s="567">
        <f>IF(AND(Projects!$C$4&lt;=CM$4,CM$4&lt;=17),$F9,"")</f>
        <v/>
      </c>
      <c r="CN9" s="567">
        <f>IF(AND(Projects!$C$4&lt;=CN$4,CN$4&lt;=17),$F9,"")</f>
        <v/>
      </c>
      <c r="CO9" s="567">
        <f>IF(AND(Projects!$C$4&lt;=CO$4,CO$4&lt;=17),$F9,"")</f>
        <v/>
      </c>
      <c r="CP9" s="567">
        <f>IF(AND(Projects!$C$4&lt;=CP$4,CP$4&lt;=17),$F9,"")</f>
        <v/>
      </c>
      <c r="CQ9" s="567">
        <f>IF(AND(Projects!$C$4&lt;=CQ$4,CQ$4&lt;=17),$F9,"")</f>
        <v/>
      </c>
      <c r="CR9" s="567">
        <f>IF(AND(Projects!$C$4&lt;=CR$4,CR$4&lt;=17),$F9,"")</f>
        <v/>
      </c>
      <c r="CS9" s="567">
        <f>IF(AND(Projects!$C$4&lt;=CS$4,CS$4&lt;=17),$F9,"")</f>
        <v/>
      </c>
      <c r="CT9" s="567">
        <f>IF(AND(Projects!$C$4&lt;=CT$4,CT$4&lt;=17),$F9,"")</f>
        <v/>
      </c>
      <c r="CU9" s="567">
        <f>IF(AND(Projects!$C$4&lt;=CU$4,CU$4&lt;=17),$F9,"")</f>
        <v/>
      </c>
      <c r="CV9" s="567">
        <f>IF(AND(Projects!$C$4&lt;=CV$4,CV$4&lt;=17),$F9,"")</f>
        <v/>
      </c>
      <c r="CW9" s="567">
        <f>IF(AND(Projects!$C$4&lt;=CW$4,CW$4&lt;=17),$F9,"")</f>
        <v/>
      </c>
      <c r="CX9" s="567">
        <f>IF(AND(Projects!$C$4&lt;=CX$4,CX$4&lt;=17),$F9,"")</f>
        <v/>
      </c>
      <c r="CY9" s="567">
        <f>IF(AND(Projects!$C$4&lt;=CY$4,CY$4&lt;=17),$F9,"")</f>
        <v/>
      </c>
      <c r="CZ9" s="567">
        <f>IF(AND(Projects!$C$4&lt;=CZ$4,CZ$4&lt;=17),$F9,"")</f>
        <v/>
      </c>
      <c r="DA9" s="567">
        <f>IF(AND(Projects!$C$4&lt;=DA$4,DA$4&lt;=17),$F9,"")</f>
        <v/>
      </c>
      <c r="DB9" s="567">
        <f>IF(AND(Projects!$C$4&lt;=DB$4,DB$4&lt;=17),$F9,"")</f>
        <v/>
      </c>
    </row>
    <row r="10" ht="15" customFormat="1" customHeight="1" s="380">
      <c r="A10" s="563" t="inlineStr">
        <is>
          <t>Whipple</t>
        </is>
      </c>
      <c r="B10" s="564">
        <f>Projects!$B$5</f>
        <v/>
      </c>
      <c r="C10" s="565">
        <f>EDATE(Model!$E$2,Projects!$C$5-1)</f>
        <v/>
      </c>
      <c r="D10" s="565">
        <f>EDATE(Model!$E$2,19-1)</f>
        <v/>
      </c>
      <c r="E10" s="566">
        <f>DATEDIF(C10,D10,"m")+1</f>
        <v/>
      </c>
      <c r="F10" s="564">
        <f>Projects!$B$5/E10</f>
        <v/>
      </c>
      <c r="G10" s="567">
        <f>IF(AND(Projects!$C$5&lt;=G$4,G$4&lt;=19),$F10,"")</f>
        <v/>
      </c>
      <c r="H10" s="567">
        <f>IF(AND(Projects!$C$5&lt;=H$4,H$4&lt;=19),$F10,"")</f>
        <v/>
      </c>
      <c r="I10" s="567">
        <f>IF(AND(Projects!$C$5&lt;=I$4,I$4&lt;=19),$F10,"")</f>
        <v/>
      </c>
      <c r="J10" s="567">
        <f>IF(AND(Projects!$C$5&lt;=J$4,J$4&lt;=19),$F10,"")</f>
        <v/>
      </c>
      <c r="K10" s="567">
        <f>IF(AND(Projects!$C$5&lt;=K$4,K$4&lt;=19),$F10,"")</f>
        <v/>
      </c>
      <c r="L10" s="567">
        <f>IF(AND(Projects!$C$5&lt;=L$4,L$4&lt;=19),$F10,"")</f>
        <v/>
      </c>
      <c r="M10" s="567">
        <f>IF(AND(Projects!$C$5&lt;=M$4,M$4&lt;=19),$F10,"")</f>
        <v/>
      </c>
      <c r="N10" s="567">
        <f>IF(AND(Projects!$C$5&lt;=N$4,N$4&lt;=19),$F10,"")</f>
        <v/>
      </c>
      <c r="O10" s="567">
        <f>IF(AND(Projects!$C$5&lt;=O$4,O$4&lt;=19),$F10,"")</f>
        <v/>
      </c>
      <c r="P10" s="567">
        <f>IF(AND(Projects!$C$5&lt;=P$4,P$4&lt;=19),$F10,"")</f>
        <v/>
      </c>
      <c r="Q10" s="567">
        <f>IF(AND(Projects!$C$5&lt;=Q$4,Q$4&lt;=19),$F10,"")</f>
        <v/>
      </c>
      <c r="R10" s="567">
        <f>IF(AND(Projects!$C$5&lt;=R$4,R$4&lt;=19),$F10,"")</f>
        <v/>
      </c>
      <c r="S10" s="567">
        <f>IF(AND(Projects!$C$5&lt;=S$4,S$4&lt;=19),$F10,"")</f>
        <v/>
      </c>
      <c r="T10" s="567">
        <f>IF(AND(Projects!$C$5&lt;=T$4,T$4&lt;=19),$F10,"")</f>
        <v/>
      </c>
      <c r="U10" s="567">
        <f>IF(AND(Projects!$C$5&lt;=U$4,U$4&lt;=19),$F10,"")</f>
        <v/>
      </c>
      <c r="V10" s="567">
        <f>IF(AND(Projects!$C$5&lt;=V$4,V$4&lt;=19),$F10,"")</f>
        <v/>
      </c>
      <c r="W10" s="567">
        <f>IF(AND(Projects!$C$5&lt;=W$4,W$4&lt;=19),$F10,"")</f>
        <v/>
      </c>
      <c r="X10" s="567">
        <f>IF(AND(Projects!$C$5&lt;=X$4,X$4&lt;=19),$F10,"")</f>
        <v/>
      </c>
      <c r="Y10" s="567">
        <f>IF(AND(Projects!$C$5&lt;=Y$4,Y$4&lt;=19),$F10,"")</f>
        <v/>
      </c>
      <c r="Z10" s="567">
        <f>IF(AND(Projects!$C$5&lt;=Z$4,Z$4&lt;=19),$F10,"")</f>
        <v/>
      </c>
      <c r="AA10" s="567">
        <f>IF(AND(Projects!$C$5&lt;=AA$4,AA$4&lt;=19),$F10,"")</f>
        <v/>
      </c>
      <c r="AB10" s="567">
        <f>IF(AND(Projects!$C$5&lt;=AB$4,AB$4&lt;=19),$F10,"")</f>
        <v/>
      </c>
      <c r="AC10" s="567">
        <f>IF(AND(Projects!$C$5&lt;=AC$4,AC$4&lt;=19),$F10,"")</f>
        <v/>
      </c>
      <c r="AD10" s="567">
        <f>IF(AND(Projects!$C$5&lt;=AD$4,AD$4&lt;=19),$F10,"")</f>
        <v/>
      </c>
      <c r="AE10" s="567">
        <f>IF(AND(Projects!$C$5&lt;=AE$4,AE$4&lt;=19),$F10,"")</f>
        <v/>
      </c>
      <c r="AF10" s="567">
        <f>IF(AND(Projects!$C$5&lt;=AF$4,AF$4&lt;=19),$F10,"")</f>
        <v/>
      </c>
      <c r="AG10" s="567">
        <f>IF(AND(Projects!$C$5&lt;=AG$4,AG$4&lt;=19),$F10,"")</f>
        <v/>
      </c>
      <c r="AH10" s="567">
        <f>IF(AND(Projects!$C$5&lt;=AH$4,AH$4&lt;=19),$F10,"")</f>
        <v/>
      </c>
      <c r="AI10" s="567">
        <f>IF(AND(Projects!$C$5&lt;=AI$4,AI$4&lt;=19),$F10,"")</f>
        <v/>
      </c>
      <c r="AJ10" s="567">
        <f>IF(AND(Projects!$C$5&lt;=AJ$4,AJ$4&lt;=19),$F10,"")</f>
        <v/>
      </c>
      <c r="AK10" s="567">
        <f>IF(AND(Projects!$C$5&lt;=AK$4,AK$4&lt;=19),$F10,"")</f>
        <v/>
      </c>
      <c r="AL10" s="567">
        <f>IF(AND(Projects!$C$5&lt;=AL$4,AL$4&lt;=19),$F10,"")</f>
        <v/>
      </c>
      <c r="AM10" s="567">
        <f>IF(AND(Projects!$C$5&lt;=AM$4,AM$4&lt;=19),$F10,"")</f>
        <v/>
      </c>
      <c r="AN10" s="567">
        <f>IF(AND(Projects!$C$5&lt;=AN$4,AN$4&lt;=19),$F10,"")</f>
        <v/>
      </c>
      <c r="AO10" s="567">
        <f>IF(AND(Projects!$C$5&lt;=AO$4,AO$4&lt;=19),$F10,"")</f>
        <v/>
      </c>
      <c r="AP10" s="567">
        <f>IF(AND(Projects!$C$5&lt;=AP$4,AP$4&lt;=19),$F10,"")</f>
        <v/>
      </c>
      <c r="AQ10" s="567">
        <f>IF(AND(Projects!$C$5&lt;=AQ$4,AQ$4&lt;=19),$F10,"")</f>
        <v/>
      </c>
      <c r="AR10" s="567">
        <f>IF(AND(Projects!$C$5&lt;=AR$4,AR$4&lt;=19),$F10,"")</f>
        <v/>
      </c>
      <c r="AS10" s="567">
        <f>IF(AND(Projects!$C$5&lt;=AS$4,AS$4&lt;=19),$F10,"")</f>
        <v/>
      </c>
      <c r="AT10" s="567">
        <f>IF(AND(Projects!$C$5&lt;=AT$4,AT$4&lt;=19),$F10,"")</f>
        <v/>
      </c>
      <c r="AU10" s="567">
        <f>IF(AND(Projects!$C$5&lt;=AU$4,AU$4&lt;=19),$F10,"")</f>
        <v/>
      </c>
      <c r="AV10" s="567">
        <f>IF(AND(Projects!$C$5&lt;=AV$4,AV$4&lt;=19),$F10,"")</f>
        <v/>
      </c>
      <c r="AW10" s="567">
        <f>IF(AND(Projects!$C$5&lt;=AW$4,AW$4&lt;=19),$F10,"")</f>
        <v/>
      </c>
      <c r="AX10" s="567">
        <f>IF(AND(Projects!$C$5&lt;=AX$4,AX$4&lt;=19),$F10,"")</f>
        <v/>
      </c>
      <c r="AY10" s="567">
        <f>IF(AND(Projects!$C$5&lt;=AY$4,AY$4&lt;=19),$F10,"")</f>
        <v/>
      </c>
      <c r="AZ10" s="567">
        <f>IF(AND(Projects!$C$5&lt;=AZ$4,AZ$4&lt;=19),$F10,"")</f>
        <v/>
      </c>
      <c r="BA10" s="567">
        <f>IF(AND(Projects!$C$5&lt;=BA$4,BA$4&lt;=19),$F10,"")</f>
        <v/>
      </c>
      <c r="BB10" s="567">
        <f>IF(AND(Projects!$C$5&lt;=BB$4,BB$4&lt;=19),$F10,"")</f>
        <v/>
      </c>
      <c r="BC10" s="567">
        <f>IF(AND(Projects!$C$5&lt;=BC$4,BC$4&lt;=19),$F10,"")</f>
        <v/>
      </c>
      <c r="BD10" s="567">
        <f>IF(AND(Projects!$C$5&lt;=BD$4,BD$4&lt;=19),$F10,"")</f>
        <v/>
      </c>
      <c r="BE10" s="567">
        <f>IF(AND(Projects!$C$5&lt;=BE$4,BE$4&lt;=19),$F10,"")</f>
        <v/>
      </c>
      <c r="BF10" s="567">
        <f>IF(AND(Projects!$C$5&lt;=BF$4,BF$4&lt;=19),$F10,"")</f>
        <v/>
      </c>
      <c r="BG10" s="567">
        <f>IF(AND(Projects!$C$5&lt;=BG$4,BG$4&lt;=19),$F10,"")</f>
        <v/>
      </c>
      <c r="BH10" s="567">
        <f>IF(AND(Projects!$C$5&lt;=BH$4,BH$4&lt;=19),$F10,"")</f>
        <v/>
      </c>
      <c r="BI10" s="567">
        <f>IF(AND(Projects!$C$5&lt;=BI$4,BI$4&lt;=19),$F10,"")</f>
        <v/>
      </c>
      <c r="BJ10" s="567">
        <f>IF(AND(Projects!$C$5&lt;=BJ$4,BJ$4&lt;=19),$F10,"")</f>
        <v/>
      </c>
      <c r="BK10" s="567">
        <f>IF(AND(Projects!$C$5&lt;=BK$4,BK$4&lt;=19),$F10,"")</f>
        <v/>
      </c>
      <c r="BL10" s="567">
        <f>IF(AND(Projects!$C$5&lt;=BL$4,BL$4&lt;=19),$F10,"")</f>
        <v/>
      </c>
      <c r="BM10" s="567">
        <f>IF(AND(Projects!$C$5&lt;=BM$4,BM$4&lt;=19),$F10,"")</f>
        <v/>
      </c>
      <c r="BN10" s="567">
        <f>IF(AND(Projects!$C$5&lt;=BN$4,BN$4&lt;=19),$F10,"")</f>
        <v/>
      </c>
      <c r="BO10" s="567">
        <f>IF(AND(Projects!$C$5&lt;=BO$4,BO$4&lt;=19),$F10,"")</f>
        <v/>
      </c>
      <c r="BP10" s="567">
        <f>IF(AND(Projects!$C$5&lt;=BP$4,BP$4&lt;=19),$F10,"")</f>
        <v/>
      </c>
      <c r="BQ10" s="567">
        <f>IF(AND(Projects!$C$5&lt;=BQ$4,BQ$4&lt;=19),$F10,"")</f>
        <v/>
      </c>
      <c r="BR10" s="567">
        <f>IF(AND(Projects!$C$5&lt;=BR$4,BR$4&lt;=19),$F10,"")</f>
        <v/>
      </c>
      <c r="BS10" s="567">
        <f>IF(AND(Projects!$C$5&lt;=BS$4,BS$4&lt;=19),$F10,"")</f>
        <v/>
      </c>
      <c r="BT10" s="567">
        <f>IF(AND(Projects!$C$5&lt;=BT$4,BT$4&lt;=19),$F10,"")</f>
        <v/>
      </c>
      <c r="BU10" s="567">
        <f>IF(AND(Projects!$C$5&lt;=BU$4,BU$4&lt;=19),$F10,"")</f>
        <v/>
      </c>
      <c r="BV10" s="567">
        <f>IF(AND(Projects!$C$5&lt;=BV$4,BV$4&lt;=19),$F10,"")</f>
        <v/>
      </c>
      <c r="BW10" s="567">
        <f>IF(AND(Projects!$C$5&lt;=BW$4,BW$4&lt;=19),$F10,"")</f>
        <v/>
      </c>
      <c r="BX10" s="567">
        <f>IF(AND(Projects!$C$5&lt;=BX$4,BX$4&lt;=19),$F10,"")</f>
        <v/>
      </c>
      <c r="BY10" s="567">
        <f>IF(AND(Projects!$C$5&lt;=BY$4,BY$4&lt;=19),$F10,"")</f>
        <v/>
      </c>
      <c r="BZ10" s="567">
        <f>IF(AND(Projects!$C$5&lt;=BZ$4,BZ$4&lt;=19),$F10,"")</f>
        <v/>
      </c>
      <c r="CA10" s="567">
        <f>IF(AND(Projects!$C$5&lt;=CA$4,CA$4&lt;=19),$F10,"")</f>
        <v/>
      </c>
      <c r="CB10" s="567">
        <f>IF(AND(Projects!$C$5&lt;=CB$4,CB$4&lt;=19),$F10,"")</f>
        <v/>
      </c>
      <c r="CC10" s="567">
        <f>IF(AND(Projects!$C$5&lt;=CC$4,CC$4&lt;=19),$F10,"")</f>
        <v/>
      </c>
      <c r="CD10" s="567">
        <f>IF(AND(Projects!$C$5&lt;=CD$4,CD$4&lt;=19),$F10,"")</f>
        <v/>
      </c>
      <c r="CE10" s="567">
        <f>IF(AND(Projects!$C$5&lt;=CE$4,CE$4&lt;=19),$F10,"")</f>
        <v/>
      </c>
      <c r="CF10" s="567">
        <f>IF(AND(Projects!$C$5&lt;=CF$4,CF$4&lt;=19),$F10,"")</f>
        <v/>
      </c>
      <c r="CG10" s="567">
        <f>IF(AND(Projects!$C$5&lt;=CG$4,CG$4&lt;=19),$F10,"")</f>
        <v/>
      </c>
      <c r="CH10" s="567">
        <f>IF(AND(Projects!$C$5&lt;=CH$4,CH$4&lt;=19),$F10,"")</f>
        <v/>
      </c>
      <c r="CI10" s="567">
        <f>IF(AND(Projects!$C$5&lt;=CI$4,CI$4&lt;=19),$F10,"")</f>
        <v/>
      </c>
      <c r="CJ10" s="567">
        <f>IF(AND(Projects!$C$5&lt;=CJ$4,CJ$4&lt;=19),$F10,"")</f>
        <v/>
      </c>
      <c r="CK10" s="567">
        <f>IF(AND(Projects!$C$5&lt;=CK$4,CK$4&lt;=19),$F10,"")</f>
        <v/>
      </c>
      <c r="CL10" s="567">
        <f>IF(AND(Projects!$C$5&lt;=CL$4,CL$4&lt;=19),$F10,"")</f>
        <v/>
      </c>
      <c r="CM10" s="567">
        <f>IF(AND(Projects!$C$5&lt;=CM$4,CM$4&lt;=19),$F10,"")</f>
        <v/>
      </c>
      <c r="CN10" s="567">
        <f>IF(AND(Projects!$C$5&lt;=CN$4,CN$4&lt;=19),$F10,"")</f>
        <v/>
      </c>
      <c r="CO10" s="567">
        <f>IF(AND(Projects!$C$5&lt;=CO$4,CO$4&lt;=19),$F10,"")</f>
        <v/>
      </c>
      <c r="CP10" s="567">
        <f>IF(AND(Projects!$C$5&lt;=CP$4,CP$4&lt;=19),$F10,"")</f>
        <v/>
      </c>
      <c r="CQ10" s="567">
        <f>IF(AND(Projects!$C$5&lt;=CQ$4,CQ$4&lt;=19),$F10,"")</f>
        <v/>
      </c>
      <c r="CR10" s="567">
        <f>IF(AND(Projects!$C$5&lt;=CR$4,CR$4&lt;=19),$F10,"")</f>
        <v/>
      </c>
      <c r="CS10" s="567">
        <f>IF(AND(Projects!$C$5&lt;=CS$4,CS$4&lt;=19),$F10,"")</f>
        <v/>
      </c>
      <c r="CT10" s="567">
        <f>IF(AND(Projects!$C$5&lt;=CT$4,CT$4&lt;=19),$F10,"")</f>
        <v/>
      </c>
      <c r="CU10" s="567">
        <f>IF(AND(Projects!$C$5&lt;=CU$4,CU$4&lt;=19),$F10,"")</f>
        <v/>
      </c>
      <c r="CV10" s="567">
        <f>IF(AND(Projects!$C$5&lt;=CV$4,CV$4&lt;=19),$F10,"")</f>
        <v/>
      </c>
      <c r="CW10" s="567">
        <f>IF(AND(Projects!$C$5&lt;=CW$4,CW$4&lt;=19),$F10,"")</f>
        <v/>
      </c>
      <c r="CX10" s="567">
        <f>IF(AND(Projects!$C$5&lt;=CX$4,CX$4&lt;=19),$F10,"")</f>
        <v/>
      </c>
      <c r="CY10" s="567">
        <f>IF(AND(Projects!$C$5&lt;=CY$4,CY$4&lt;=19),$F10,"")</f>
        <v/>
      </c>
      <c r="CZ10" s="567">
        <f>IF(AND(Projects!$C$5&lt;=CZ$4,CZ$4&lt;=19),$F10,"")</f>
        <v/>
      </c>
      <c r="DA10" s="567">
        <f>IF(AND(Projects!$C$5&lt;=DA$4,DA$4&lt;=19),$F10,"")</f>
        <v/>
      </c>
      <c r="DB10" s="567">
        <f>IF(AND(Projects!$C$5&lt;=DB$4,DB$4&lt;=19),$F10,"")</f>
        <v/>
      </c>
    </row>
    <row r="11" ht="15" customFormat="1" customHeight="1" s="380">
      <c r="A11" s="563" t="inlineStr">
        <is>
          <t>Nelrose</t>
        </is>
      </c>
      <c r="B11" s="564">
        <f>Projects!$B$6</f>
        <v/>
      </c>
      <c r="C11" s="565">
        <f>EDATE(Model!$E$2,Projects!$C$6-1)</f>
        <v/>
      </c>
      <c r="D11" s="565">
        <f>EDATE(Model!$E$2,15-1)</f>
        <v/>
      </c>
      <c r="E11" s="566">
        <f>DATEDIF(C11,D11,"m")+1</f>
        <v/>
      </c>
      <c r="F11" s="564">
        <f>Projects!$B$6/E11</f>
        <v/>
      </c>
      <c r="G11" s="567">
        <f>IF(AND(Projects!$C$6&lt;=G$4,G$4&lt;=15),$F11,"")</f>
        <v/>
      </c>
      <c r="H11" s="567">
        <f>IF(AND(Projects!$C$6&lt;=H$4,H$4&lt;=15),$F11,"")</f>
        <v/>
      </c>
      <c r="I11" s="567">
        <f>IF(AND(Projects!$C$6&lt;=I$4,I$4&lt;=15),$F11,"")</f>
        <v/>
      </c>
      <c r="J11" s="567">
        <f>IF(AND(Projects!$C$6&lt;=J$4,J$4&lt;=15),$F11,"")</f>
        <v/>
      </c>
      <c r="K11" s="567">
        <f>IF(AND(Projects!$C$6&lt;=K$4,K$4&lt;=15),$F11,"")</f>
        <v/>
      </c>
      <c r="L11" s="567">
        <f>IF(AND(Projects!$C$6&lt;=L$4,L$4&lt;=15),$F11,"")</f>
        <v/>
      </c>
      <c r="M11" s="567">
        <f>IF(AND(Projects!$C$6&lt;=M$4,M$4&lt;=15),$F11,"")</f>
        <v/>
      </c>
      <c r="N11" s="567">
        <f>IF(AND(Projects!$C$6&lt;=N$4,N$4&lt;=15),$F11,"")</f>
        <v/>
      </c>
      <c r="O11" s="567">
        <f>IF(AND(Projects!$C$6&lt;=O$4,O$4&lt;=15),$F11,"")</f>
        <v/>
      </c>
      <c r="P11" s="567">
        <f>IF(AND(Projects!$C$6&lt;=P$4,P$4&lt;=15),$F11,"")</f>
        <v/>
      </c>
      <c r="Q11" s="567">
        <f>IF(AND(Projects!$C$6&lt;=Q$4,Q$4&lt;=15),$F11,"")</f>
        <v/>
      </c>
      <c r="R11" s="567">
        <f>IF(AND(Projects!$C$6&lt;=R$4,R$4&lt;=15),$F11,"")</f>
        <v/>
      </c>
      <c r="S11" s="567">
        <f>IF(AND(Projects!$C$6&lt;=S$4,S$4&lt;=15),$F11,"")</f>
        <v/>
      </c>
      <c r="T11" s="567">
        <f>IF(AND(Projects!$C$6&lt;=T$4,T$4&lt;=15),$F11,"")</f>
        <v/>
      </c>
      <c r="U11" s="567">
        <f>IF(AND(Projects!$C$6&lt;=U$4,U$4&lt;=15),$F11,"")</f>
        <v/>
      </c>
      <c r="V11" s="567">
        <f>IF(AND(Projects!$C$6&lt;=V$4,V$4&lt;=15),$F11,"")</f>
        <v/>
      </c>
      <c r="W11" s="567">
        <f>IF(AND(Projects!$C$6&lt;=W$4,W$4&lt;=15),$F11,"")</f>
        <v/>
      </c>
      <c r="X11" s="567">
        <f>IF(AND(Projects!$C$6&lt;=X$4,X$4&lt;=15),$F11,"")</f>
        <v/>
      </c>
      <c r="Y11" s="567">
        <f>IF(AND(Projects!$C$6&lt;=Y$4,Y$4&lt;=15),$F11,"")</f>
        <v/>
      </c>
      <c r="Z11" s="567">
        <f>IF(AND(Projects!$C$6&lt;=Z$4,Z$4&lt;=15),$F11,"")</f>
        <v/>
      </c>
      <c r="AA11" s="567">
        <f>IF(AND(Projects!$C$6&lt;=AA$4,AA$4&lt;=15),$F11,"")</f>
        <v/>
      </c>
      <c r="AB11" s="567">
        <f>IF(AND(Projects!$C$6&lt;=AB$4,AB$4&lt;=15),$F11,"")</f>
        <v/>
      </c>
      <c r="AC11" s="567">
        <f>IF(AND(Projects!$C$6&lt;=AC$4,AC$4&lt;=15),$F11,"")</f>
        <v/>
      </c>
      <c r="AD11" s="567">
        <f>IF(AND(Projects!$C$6&lt;=AD$4,AD$4&lt;=15),$F11,"")</f>
        <v/>
      </c>
      <c r="AE11" s="567">
        <f>IF(AND(Projects!$C$6&lt;=AE$4,AE$4&lt;=15),$F11,"")</f>
        <v/>
      </c>
      <c r="AF11" s="567">
        <f>IF(AND(Projects!$C$6&lt;=AF$4,AF$4&lt;=15),$F11,"")</f>
        <v/>
      </c>
      <c r="AG11" s="567">
        <f>IF(AND(Projects!$C$6&lt;=AG$4,AG$4&lt;=15),$F11,"")</f>
        <v/>
      </c>
      <c r="AH11" s="567">
        <f>IF(AND(Projects!$C$6&lt;=AH$4,AH$4&lt;=15),$F11,"")</f>
        <v/>
      </c>
      <c r="AI11" s="567">
        <f>IF(AND(Projects!$C$6&lt;=AI$4,AI$4&lt;=15),$F11,"")</f>
        <v/>
      </c>
      <c r="AJ11" s="567">
        <f>IF(AND(Projects!$C$6&lt;=AJ$4,AJ$4&lt;=15),$F11,"")</f>
        <v/>
      </c>
      <c r="AK11" s="567">
        <f>IF(AND(Projects!$C$6&lt;=AK$4,AK$4&lt;=15),$F11,"")</f>
        <v/>
      </c>
      <c r="AL11" s="567">
        <f>IF(AND(Projects!$C$6&lt;=AL$4,AL$4&lt;=15),$F11,"")</f>
        <v/>
      </c>
      <c r="AM11" s="567">
        <f>IF(AND(Projects!$C$6&lt;=AM$4,AM$4&lt;=15),$F11,"")</f>
        <v/>
      </c>
      <c r="AN11" s="567">
        <f>IF(AND(Projects!$C$6&lt;=AN$4,AN$4&lt;=15),$F11,"")</f>
        <v/>
      </c>
      <c r="AO11" s="567">
        <f>IF(AND(Projects!$C$6&lt;=AO$4,AO$4&lt;=15),$F11,"")</f>
        <v/>
      </c>
      <c r="AP11" s="567">
        <f>IF(AND(Projects!$C$6&lt;=AP$4,AP$4&lt;=15),$F11,"")</f>
        <v/>
      </c>
      <c r="AQ11" s="567">
        <f>IF(AND(Projects!$C$6&lt;=AQ$4,AQ$4&lt;=15),$F11,"")</f>
        <v/>
      </c>
      <c r="AR11" s="567">
        <f>IF(AND(Projects!$C$6&lt;=AR$4,AR$4&lt;=15),$F11,"")</f>
        <v/>
      </c>
      <c r="AS11" s="567">
        <f>IF(AND(Projects!$C$6&lt;=AS$4,AS$4&lt;=15),$F11,"")</f>
        <v/>
      </c>
      <c r="AT11" s="567">
        <f>IF(AND(Projects!$C$6&lt;=AT$4,AT$4&lt;=15),$F11,"")</f>
        <v/>
      </c>
      <c r="AU11" s="567">
        <f>IF(AND(Projects!$C$6&lt;=AU$4,AU$4&lt;=15),$F11,"")</f>
        <v/>
      </c>
      <c r="AV11" s="567">
        <f>IF(AND(Projects!$C$6&lt;=AV$4,AV$4&lt;=15),$F11,"")</f>
        <v/>
      </c>
      <c r="AW11" s="567">
        <f>IF(AND(Projects!$C$6&lt;=AW$4,AW$4&lt;=15),$F11,"")</f>
        <v/>
      </c>
      <c r="AX11" s="567">
        <f>IF(AND(Projects!$C$6&lt;=AX$4,AX$4&lt;=15),$F11,"")</f>
        <v/>
      </c>
      <c r="AY11" s="567">
        <f>IF(AND(Projects!$C$6&lt;=AY$4,AY$4&lt;=15),$F11,"")</f>
        <v/>
      </c>
      <c r="AZ11" s="567">
        <f>IF(AND(Projects!$C$6&lt;=AZ$4,AZ$4&lt;=15),$F11,"")</f>
        <v/>
      </c>
      <c r="BA11" s="567">
        <f>IF(AND(Projects!$C$6&lt;=BA$4,BA$4&lt;=15),$F11,"")</f>
        <v/>
      </c>
      <c r="BB11" s="567">
        <f>IF(AND(Projects!$C$6&lt;=BB$4,BB$4&lt;=15),$F11,"")</f>
        <v/>
      </c>
      <c r="BC11" s="567">
        <f>IF(AND(Projects!$C$6&lt;=BC$4,BC$4&lt;=15),$F11,"")</f>
        <v/>
      </c>
      <c r="BD11" s="567">
        <f>IF(AND(Projects!$C$6&lt;=BD$4,BD$4&lt;=15),$F11,"")</f>
        <v/>
      </c>
      <c r="BE11" s="567">
        <f>IF(AND(Projects!$C$6&lt;=BE$4,BE$4&lt;=15),$F11,"")</f>
        <v/>
      </c>
      <c r="BF11" s="567">
        <f>IF(AND(Projects!$C$6&lt;=BF$4,BF$4&lt;=15),$F11,"")</f>
        <v/>
      </c>
      <c r="BG11" s="567">
        <f>IF(AND(Projects!$C$6&lt;=BG$4,BG$4&lt;=15),$F11,"")</f>
        <v/>
      </c>
      <c r="BH11" s="567">
        <f>IF(AND(Projects!$C$6&lt;=BH$4,BH$4&lt;=15),$F11,"")</f>
        <v/>
      </c>
      <c r="BI11" s="567">
        <f>IF(AND(Projects!$C$6&lt;=BI$4,BI$4&lt;=15),$F11,"")</f>
        <v/>
      </c>
      <c r="BJ11" s="567">
        <f>IF(AND(Projects!$C$6&lt;=BJ$4,BJ$4&lt;=15),$F11,"")</f>
        <v/>
      </c>
      <c r="BK11" s="567">
        <f>IF(AND(Projects!$C$6&lt;=BK$4,BK$4&lt;=15),$F11,"")</f>
        <v/>
      </c>
      <c r="BL11" s="567">
        <f>IF(AND(Projects!$C$6&lt;=BL$4,BL$4&lt;=15),$F11,"")</f>
        <v/>
      </c>
      <c r="BM11" s="567">
        <f>IF(AND(Projects!$C$6&lt;=BM$4,BM$4&lt;=15),$F11,"")</f>
        <v/>
      </c>
      <c r="BN11" s="567">
        <f>IF(AND(Projects!$C$6&lt;=BN$4,BN$4&lt;=15),$F11,"")</f>
        <v/>
      </c>
      <c r="BO11" s="567">
        <f>IF(AND(Projects!$C$6&lt;=BO$4,BO$4&lt;=15),$F11,"")</f>
        <v/>
      </c>
      <c r="BP11" s="567">
        <f>IF(AND(Projects!$C$6&lt;=BP$4,BP$4&lt;=15),$F11,"")</f>
        <v/>
      </c>
      <c r="BQ11" s="567">
        <f>IF(AND(Projects!$C$6&lt;=BQ$4,BQ$4&lt;=15),$F11,"")</f>
        <v/>
      </c>
      <c r="BR11" s="567">
        <f>IF(AND(Projects!$C$6&lt;=BR$4,BR$4&lt;=15),$F11,"")</f>
        <v/>
      </c>
      <c r="BS11" s="567">
        <f>IF(AND(Projects!$C$6&lt;=BS$4,BS$4&lt;=15),$F11,"")</f>
        <v/>
      </c>
      <c r="BT11" s="567">
        <f>IF(AND(Projects!$C$6&lt;=BT$4,BT$4&lt;=15),$F11,"")</f>
        <v/>
      </c>
      <c r="BU11" s="567">
        <f>IF(AND(Projects!$C$6&lt;=BU$4,BU$4&lt;=15),$F11,"")</f>
        <v/>
      </c>
      <c r="BV11" s="567">
        <f>IF(AND(Projects!$C$6&lt;=BV$4,BV$4&lt;=15),$F11,"")</f>
        <v/>
      </c>
      <c r="BW11" s="567">
        <f>IF(AND(Projects!$C$6&lt;=BW$4,BW$4&lt;=15),$F11,"")</f>
        <v/>
      </c>
      <c r="BX11" s="567">
        <f>IF(AND(Projects!$C$6&lt;=BX$4,BX$4&lt;=15),$F11,"")</f>
        <v/>
      </c>
      <c r="BY11" s="567">
        <f>IF(AND(Projects!$C$6&lt;=BY$4,BY$4&lt;=15),$F11,"")</f>
        <v/>
      </c>
      <c r="BZ11" s="567">
        <f>IF(AND(Projects!$C$6&lt;=BZ$4,BZ$4&lt;=15),$F11,"")</f>
        <v/>
      </c>
      <c r="CA11" s="567">
        <f>IF(AND(Projects!$C$6&lt;=CA$4,CA$4&lt;=15),$F11,"")</f>
        <v/>
      </c>
      <c r="CB11" s="567">
        <f>IF(AND(Projects!$C$6&lt;=CB$4,CB$4&lt;=15),$F11,"")</f>
        <v/>
      </c>
      <c r="CC11" s="567">
        <f>IF(AND(Projects!$C$6&lt;=CC$4,CC$4&lt;=15),$F11,"")</f>
        <v/>
      </c>
      <c r="CD11" s="567">
        <f>IF(AND(Projects!$C$6&lt;=CD$4,CD$4&lt;=15),$F11,"")</f>
        <v/>
      </c>
      <c r="CE11" s="567">
        <f>IF(AND(Projects!$C$6&lt;=CE$4,CE$4&lt;=15),$F11,"")</f>
        <v/>
      </c>
      <c r="CF11" s="567">
        <f>IF(AND(Projects!$C$6&lt;=CF$4,CF$4&lt;=15),$F11,"")</f>
        <v/>
      </c>
      <c r="CG11" s="567">
        <f>IF(AND(Projects!$C$6&lt;=CG$4,CG$4&lt;=15),$F11,"")</f>
        <v/>
      </c>
      <c r="CH11" s="567">
        <f>IF(AND(Projects!$C$6&lt;=CH$4,CH$4&lt;=15),$F11,"")</f>
        <v/>
      </c>
      <c r="CI11" s="567">
        <f>IF(AND(Projects!$C$6&lt;=CI$4,CI$4&lt;=15),$F11,"")</f>
        <v/>
      </c>
      <c r="CJ11" s="567">
        <f>IF(AND(Projects!$C$6&lt;=CJ$4,CJ$4&lt;=15),$F11,"")</f>
        <v/>
      </c>
      <c r="CK11" s="567">
        <f>IF(AND(Projects!$C$6&lt;=CK$4,CK$4&lt;=15),$F11,"")</f>
        <v/>
      </c>
      <c r="CL11" s="567">
        <f>IF(AND(Projects!$C$6&lt;=CL$4,CL$4&lt;=15),$F11,"")</f>
        <v/>
      </c>
      <c r="CM11" s="567">
        <f>IF(AND(Projects!$C$6&lt;=CM$4,CM$4&lt;=15),$F11,"")</f>
        <v/>
      </c>
      <c r="CN11" s="567">
        <f>IF(AND(Projects!$C$6&lt;=CN$4,CN$4&lt;=15),$F11,"")</f>
        <v/>
      </c>
      <c r="CO11" s="567">
        <f>IF(AND(Projects!$C$6&lt;=CO$4,CO$4&lt;=15),$F11,"")</f>
        <v/>
      </c>
      <c r="CP11" s="567">
        <f>IF(AND(Projects!$C$6&lt;=CP$4,CP$4&lt;=15),$F11,"")</f>
        <v/>
      </c>
      <c r="CQ11" s="567">
        <f>IF(AND(Projects!$C$6&lt;=CQ$4,CQ$4&lt;=15),$F11,"")</f>
        <v/>
      </c>
      <c r="CR11" s="567">
        <f>IF(AND(Projects!$C$6&lt;=CR$4,CR$4&lt;=15),$F11,"")</f>
        <v/>
      </c>
      <c r="CS11" s="567">
        <f>IF(AND(Projects!$C$6&lt;=CS$4,CS$4&lt;=15),$F11,"")</f>
        <v/>
      </c>
      <c r="CT11" s="567">
        <f>IF(AND(Projects!$C$6&lt;=CT$4,CT$4&lt;=15),$F11,"")</f>
        <v/>
      </c>
      <c r="CU11" s="567">
        <f>IF(AND(Projects!$C$6&lt;=CU$4,CU$4&lt;=15),$F11,"")</f>
        <v/>
      </c>
      <c r="CV11" s="567">
        <f>IF(AND(Projects!$C$6&lt;=CV$4,CV$4&lt;=15),$F11,"")</f>
        <v/>
      </c>
      <c r="CW11" s="567">
        <f>IF(AND(Projects!$C$6&lt;=CW$4,CW$4&lt;=15),$F11,"")</f>
        <v/>
      </c>
      <c r="CX11" s="567">
        <f>IF(AND(Projects!$C$6&lt;=CX$4,CX$4&lt;=15),$F11,"")</f>
        <v/>
      </c>
      <c r="CY11" s="567">
        <f>IF(AND(Projects!$C$6&lt;=CY$4,CY$4&lt;=15),$F11,"")</f>
        <v/>
      </c>
      <c r="CZ11" s="567">
        <f>IF(AND(Projects!$C$6&lt;=CZ$4,CZ$4&lt;=15),$F11,"")</f>
        <v/>
      </c>
      <c r="DA11" s="567">
        <f>IF(AND(Projects!$C$6&lt;=DA$4,DA$4&lt;=15),$F11,"")</f>
        <v/>
      </c>
      <c r="DB11" s="567">
        <f>IF(AND(Projects!$C$6&lt;=DB$4,DB$4&lt;=15),$F11,"")</f>
        <v/>
      </c>
    </row>
    <row r="12" ht="15" customFormat="1" customHeight="1" s="380">
      <c r="A12" s="563" t="inlineStr">
        <is>
          <t>Francis</t>
        </is>
      </c>
      <c r="B12" s="564">
        <f>Projects!$B$7</f>
        <v/>
      </c>
      <c r="C12" s="565">
        <f>EDATE(Model!$E$2,Projects!$C$7-1)</f>
        <v/>
      </c>
      <c r="D12" s="565">
        <f>EDATE(Model!$E$2,36-1)</f>
        <v/>
      </c>
      <c r="E12" s="566">
        <f>DATEDIF(C12,D12,"m")+1</f>
        <v/>
      </c>
      <c r="F12" s="564">
        <f>Projects!$B$7/E12</f>
        <v/>
      </c>
      <c r="G12" s="567">
        <f>IF(AND(Projects!$C$7&lt;=G$4,G$4&lt;=36),$F12,"")</f>
        <v/>
      </c>
      <c r="H12" s="567">
        <f>IF(AND(Projects!$C$7&lt;=H$4,H$4&lt;=36),$F12,"")</f>
        <v/>
      </c>
      <c r="I12" s="567">
        <f>IF(AND(Projects!$C$7&lt;=I$4,I$4&lt;=36),$F12,"")</f>
        <v/>
      </c>
      <c r="J12" s="567">
        <f>IF(AND(Projects!$C$7&lt;=J$4,J$4&lt;=36),$F12,"")</f>
        <v/>
      </c>
      <c r="K12" s="567">
        <f>IF(AND(Projects!$C$7&lt;=K$4,K$4&lt;=36),$F12,"")</f>
        <v/>
      </c>
      <c r="L12" s="567">
        <f>IF(AND(Projects!$C$7&lt;=L$4,L$4&lt;=36),$F12,"")</f>
        <v/>
      </c>
      <c r="M12" s="567">
        <f>IF(AND(Projects!$C$7&lt;=M$4,M$4&lt;=36),$F12,"")</f>
        <v/>
      </c>
      <c r="N12" s="567">
        <f>IF(AND(Projects!$C$7&lt;=N$4,N$4&lt;=36),$F12,"")</f>
        <v/>
      </c>
      <c r="O12" s="567">
        <f>IF(AND(Projects!$C$7&lt;=O$4,O$4&lt;=36),$F12,"")</f>
        <v/>
      </c>
      <c r="P12" s="567">
        <f>IF(AND(Projects!$C$7&lt;=P$4,P$4&lt;=36),$F12,"")</f>
        <v/>
      </c>
      <c r="Q12" s="567">
        <f>IF(AND(Projects!$C$7&lt;=Q$4,Q$4&lt;=36),$F12,"")</f>
        <v/>
      </c>
      <c r="R12" s="567">
        <f>IF(AND(Projects!$C$7&lt;=R$4,R$4&lt;=36),$F12,"")</f>
        <v/>
      </c>
      <c r="S12" s="567">
        <f>IF(AND(Projects!$C$7&lt;=S$4,S$4&lt;=36),$F12,"")</f>
        <v/>
      </c>
      <c r="T12" s="567">
        <f>IF(AND(Projects!$C$7&lt;=T$4,T$4&lt;=36),$F12,"")</f>
        <v/>
      </c>
      <c r="U12" s="567">
        <f>IF(AND(Projects!$C$7&lt;=U$4,U$4&lt;=36),$F12,"")</f>
        <v/>
      </c>
      <c r="V12" s="567">
        <f>IF(AND(Projects!$C$7&lt;=V$4,V$4&lt;=36),$F12,"")</f>
        <v/>
      </c>
      <c r="W12" s="567">
        <f>IF(AND(Projects!$C$7&lt;=W$4,W$4&lt;=36),$F12,"")</f>
        <v/>
      </c>
      <c r="X12" s="567">
        <f>IF(AND(Projects!$C$7&lt;=X$4,X$4&lt;=36),$F12,"")</f>
        <v/>
      </c>
      <c r="Y12" s="567">
        <f>IF(AND(Projects!$C$7&lt;=Y$4,Y$4&lt;=36),$F12,"")</f>
        <v/>
      </c>
      <c r="Z12" s="567">
        <f>IF(AND(Projects!$C$7&lt;=Z$4,Z$4&lt;=36),$F12,"")</f>
        <v/>
      </c>
      <c r="AA12" s="567">
        <f>IF(AND(Projects!$C$7&lt;=AA$4,AA$4&lt;=36),$F12,"")</f>
        <v/>
      </c>
      <c r="AB12" s="567">
        <f>IF(AND(Projects!$C$7&lt;=AB$4,AB$4&lt;=36),$F12,"")</f>
        <v/>
      </c>
      <c r="AC12" s="567">
        <f>IF(AND(Projects!$C$7&lt;=AC$4,AC$4&lt;=36),$F12,"")</f>
        <v/>
      </c>
      <c r="AD12" s="567">
        <f>IF(AND(Projects!$C$7&lt;=AD$4,AD$4&lt;=36),$F12,"")</f>
        <v/>
      </c>
      <c r="AE12" s="567">
        <f>IF(AND(Projects!$C$7&lt;=AE$4,AE$4&lt;=36),$F12,"")</f>
        <v/>
      </c>
      <c r="AF12" s="567">
        <f>IF(AND(Projects!$C$7&lt;=AF$4,AF$4&lt;=36),$F12,"")</f>
        <v/>
      </c>
      <c r="AG12" s="567">
        <f>IF(AND(Projects!$C$7&lt;=AG$4,AG$4&lt;=36),$F12,"")</f>
        <v/>
      </c>
      <c r="AH12" s="567">
        <f>IF(AND(Projects!$C$7&lt;=AH$4,AH$4&lt;=36),$F12,"")</f>
        <v/>
      </c>
      <c r="AI12" s="567">
        <f>IF(AND(Projects!$C$7&lt;=AI$4,AI$4&lt;=36),$F12,"")</f>
        <v/>
      </c>
      <c r="AJ12" s="567">
        <f>IF(AND(Projects!$C$7&lt;=AJ$4,AJ$4&lt;=36),$F12,"")</f>
        <v/>
      </c>
      <c r="AK12" s="567">
        <f>IF(AND(Projects!$C$7&lt;=AK$4,AK$4&lt;=36),$F12,"")</f>
        <v/>
      </c>
      <c r="AL12" s="567">
        <f>IF(AND(Projects!$C$7&lt;=AL$4,AL$4&lt;=36),$F12,"")</f>
        <v/>
      </c>
      <c r="AM12" s="567">
        <f>IF(AND(Projects!$C$7&lt;=AM$4,AM$4&lt;=36),$F12,"")</f>
        <v/>
      </c>
      <c r="AN12" s="567">
        <f>IF(AND(Projects!$C$7&lt;=AN$4,AN$4&lt;=36),$F12,"")</f>
        <v/>
      </c>
      <c r="AO12" s="567">
        <f>IF(AND(Projects!$C$7&lt;=AO$4,AO$4&lt;=36),$F12,"")</f>
        <v/>
      </c>
      <c r="AP12" s="567">
        <f>IF(AND(Projects!$C$7&lt;=AP$4,AP$4&lt;=36),$F12,"")</f>
        <v/>
      </c>
      <c r="AQ12" s="567">
        <f>IF(AND(Projects!$C$7&lt;=AQ$4,AQ$4&lt;=36),$F12,"")</f>
        <v/>
      </c>
      <c r="AR12" s="567">
        <f>IF(AND(Projects!$C$7&lt;=AR$4,AR$4&lt;=36),$F12,"")</f>
        <v/>
      </c>
      <c r="AS12" s="567">
        <f>IF(AND(Projects!$C$7&lt;=AS$4,AS$4&lt;=36),$F12,"")</f>
        <v/>
      </c>
      <c r="AT12" s="567">
        <f>IF(AND(Projects!$C$7&lt;=AT$4,AT$4&lt;=36),$F12,"")</f>
        <v/>
      </c>
      <c r="AU12" s="567">
        <f>IF(AND(Projects!$C$7&lt;=AU$4,AU$4&lt;=36),$F12,"")</f>
        <v/>
      </c>
      <c r="AV12" s="567">
        <f>IF(AND(Projects!$C$7&lt;=AV$4,AV$4&lt;=36),$F12,"")</f>
        <v/>
      </c>
      <c r="AW12" s="567">
        <f>IF(AND(Projects!$C$7&lt;=AW$4,AW$4&lt;=36),$F12,"")</f>
        <v/>
      </c>
      <c r="AX12" s="567">
        <f>IF(AND(Projects!$C$7&lt;=AX$4,AX$4&lt;=36),$F12,"")</f>
        <v/>
      </c>
      <c r="AY12" s="567">
        <f>IF(AND(Projects!$C$7&lt;=AY$4,AY$4&lt;=36),$F12,"")</f>
        <v/>
      </c>
      <c r="AZ12" s="567">
        <f>IF(AND(Projects!$C$7&lt;=AZ$4,AZ$4&lt;=36),$F12,"")</f>
        <v/>
      </c>
      <c r="BA12" s="567">
        <f>IF(AND(Projects!$C$7&lt;=BA$4,BA$4&lt;=36),$F12,"")</f>
        <v/>
      </c>
      <c r="BB12" s="567">
        <f>IF(AND(Projects!$C$7&lt;=BB$4,BB$4&lt;=36),$F12,"")</f>
        <v/>
      </c>
      <c r="BC12" s="567">
        <f>IF(AND(Projects!$C$7&lt;=BC$4,BC$4&lt;=36),$F12,"")</f>
        <v/>
      </c>
      <c r="BD12" s="567">
        <f>IF(AND(Projects!$C$7&lt;=BD$4,BD$4&lt;=36),$F12,"")</f>
        <v/>
      </c>
      <c r="BE12" s="567">
        <f>IF(AND(Projects!$C$7&lt;=BE$4,BE$4&lt;=36),$F12,"")</f>
        <v/>
      </c>
      <c r="BF12" s="567">
        <f>IF(AND(Projects!$C$7&lt;=BF$4,BF$4&lt;=36),$F12,"")</f>
        <v/>
      </c>
      <c r="BG12" s="567">
        <f>IF(AND(Projects!$C$7&lt;=BG$4,BG$4&lt;=36),$F12,"")</f>
        <v/>
      </c>
      <c r="BH12" s="567">
        <f>IF(AND(Projects!$C$7&lt;=BH$4,BH$4&lt;=36),$F12,"")</f>
        <v/>
      </c>
      <c r="BI12" s="567">
        <f>IF(AND(Projects!$C$7&lt;=BI$4,BI$4&lt;=36),$F12,"")</f>
        <v/>
      </c>
      <c r="BJ12" s="567">
        <f>IF(AND(Projects!$C$7&lt;=BJ$4,BJ$4&lt;=36),$F12,"")</f>
        <v/>
      </c>
      <c r="BK12" s="567">
        <f>IF(AND(Projects!$C$7&lt;=BK$4,BK$4&lt;=36),$F12,"")</f>
        <v/>
      </c>
      <c r="BL12" s="567">
        <f>IF(AND(Projects!$C$7&lt;=BL$4,BL$4&lt;=36),$F12,"")</f>
        <v/>
      </c>
      <c r="BM12" s="567">
        <f>IF(AND(Projects!$C$7&lt;=BM$4,BM$4&lt;=36),$F12,"")</f>
        <v/>
      </c>
      <c r="BN12" s="567">
        <f>IF(AND(Projects!$C$7&lt;=BN$4,BN$4&lt;=36),$F12,"")</f>
        <v/>
      </c>
      <c r="BO12" s="567">
        <f>IF(AND(Projects!$C$7&lt;=BO$4,BO$4&lt;=36),$F12,"")</f>
        <v/>
      </c>
      <c r="BP12" s="567">
        <f>IF(AND(Projects!$C$7&lt;=BP$4,BP$4&lt;=36),$F12,"")</f>
        <v/>
      </c>
      <c r="BQ12" s="567">
        <f>IF(AND(Projects!$C$7&lt;=BQ$4,BQ$4&lt;=36),$F12,"")</f>
        <v/>
      </c>
      <c r="BR12" s="567">
        <f>IF(AND(Projects!$C$7&lt;=BR$4,BR$4&lt;=36),$F12,"")</f>
        <v/>
      </c>
      <c r="BS12" s="567">
        <f>IF(AND(Projects!$C$7&lt;=BS$4,BS$4&lt;=36),$F12,"")</f>
        <v/>
      </c>
      <c r="BT12" s="567">
        <f>IF(AND(Projects!$C$7&lt;=BT$4,BT$4&lt;=36),$F12,"")</f>
        <v/>
      </c>
      <c r="BU12" s="567">
        <f>IF(AND(Projects!$C$7&lt;=BU$4,BU$4&lt;=36),$F12,"")</f>
        <v/>
      </c>
      <c r="BV12" s="567">
        <f>IF(AND(Projects!$C$7&lt;=BV$4,BV$4&lt;=36),$F12,"")</f>
        <v/>
      </c>
      <c r="BW12" s="567">
        <f>IF(AND(Projects!$C$7&lt;=BW$4,BW$4&lt;=36),$F12,"")</f>
        <v/>
      </c>
      <c r="BX12" s="567">
        <f>IF(AND(Projects!$C$7&lt;=BX$4,BX$4&lt;=36),$F12,"")</f>
        <v/>
      </c>
      <c r="BY12" s="567">
        <f>IF(AND(Projects!$C$7&lt;=BY$4,BY$4&lt;=36),$F12,"")</f>
        <v/>
      </c>
      <c r="BZ12" s="567">
        <f>IF(AND(Projects!$C$7&lt;=BZ$4,BZ$4&lt;=36),$F12,"")</f>
        <v/>
      </c>
      <c r="CA12" s="567">
        <f>IF(AND(Projects!$C$7&lt;=CA$4,CA$4&lt;=36),$F12,"")</f>
        <v/>
      </c>
      <c r="CB12" s="567">
        <f>IF(AND(Projects!$C$7&lt;=CB$4,CB$4&lt;=36),$F12,"")</f>
        <v/>
      </c>
      <c r="CC12" s="567">
        <f>IF(AND(Projects!$C$7&lt;=CC$4,CC$4&lt;=36),$F12,"")</f>
        <v/>
      </c>
      <c r="CD12" s="567">
        <f>IF(AND(Projects!$C$7&lt;=CD$4,CD$4&lt;=36),$F12,"")</f>
        <v/>
      </c>
      <c r="CE12" s="567">
        <f>IF(AND(Projects!$C$7&lt;=CE$4,CE$4&lt;=36),$F12,"")</f>
        <v/>
      </c>
      <c r="CF12" s="567">
        <f>IF(AND(Projects!$C$7&lt;=CF$4,CF$4&lt;=36),$F12,"")</f>
        <v/>
      </c>
      <c r="CG12" s="567">
        <f>IF(AND(Projects!$C$7&lt;=CG$4,CG$4&lt;=36),$F12,"")</f>
        <v/>
      </c>
      <c r="CH12" s="567">
        <f>IF(AND(Projects!$C$7&lt;=CH$4,CH$4&lt;=36),$F12,"")</f>
        <v/>
      </c>
      <c r="CI12" s="567">
        <f>IF(AND(Projects!$C$7&lt;=CI$4,CI$4&lt;=36),$F12,"")</f>
        <v/>
      </c>
      <c r="CJ12" s="567">
        <f>IF(AND(Projects!$C$7&lt;=CJ$4,CJ$4&lt;=36),$F12,"")</f>
        <v/>
      </c>
      <c r="CK12" s="567">
        <f>IF(AND(Projects!$C$7&lt;=CK$4,CK$4&lt;=36),$F12,"")</f>
        <v/>
      </c>
      <c r="CL12" s="567">
        <f>IF(AND(Projects!$C$7&lt;=CL$4,CL$4&lt;=36),$F12,"")</f>
        <v/>
      </c>
      <c r="CM12" s="567">
        <f>IF(AND(Projects!$C$7&lt;=CM$4,CM$4&lt;=36),$F12,"")</f>
        <v/>
      </c>
      <c r="CN12" s="567">
        <f>IF(AND(Projects!$C$7&lt;=CN$4,CN$4&lt;=36),$F12,"")</f>
        <v/>
      </c>
      <c r="CO12" s="567">
        <f>IF(AND(Projects!$C$7&lt;=CO$4,CO$4&lt;=36),$F12,"")</f>
        <v/>
      </c>
      <c r="CP12" s="567">
        <f>IF(AND(Projects!$C$7&lt;=CP$4,CP$4&lt;=36),$F12,"")</f>
        <v/>
      </c>
      <c r="CQ12" s="567">
        <f>IF(AND(Projects!$C$7&lt;=CQ$4,CQ$4&lt;=36),$F12,"")</f>
        <v/>
      </c>
      <c r="CR12" s="567">
        <f>IF(AND(Projects!$C$7&lt;=CR$4,CR$4&lt;=36),$F12,"")</f>
        <v/>
      </c>
      <c r="CS12" s="567">
        <f>IF(AND(Projects!$C$7&lt;=CS$4,CS$4&lt;=36),$F12,"")</f>
        <v/>
      </c>
      <c r="CT12" s="567">
        <f>IF(AND(Projects!$C$7&lt;=CT$4,CT$4&lt;=36),$F12,"")</f>
        <v/>
      </c>
      <c r="CU12" s="567">
        <f>IF(AND(Projects!$C$7&lt;=CU$4,CU$4&lt;=36),$F12,"")</f>
        <v/>
      </c>
      <c r="CV12" s="567">
        <f>IF(AND(Projects!$C$7&lt;=CV$4,CV$4&lt;=36),$F12,"")</f>
        <v/>
      </c>
      <c r="CW12" s="567">
        <f>IF(AND(Projects!$C$7&lt;=CW$4,CW$4&lt;=36),$F12,"")</f>
        <v/>
      </c>
      <c r="CX12" s="567">
        <f>IF(AND(Projects!$C$7&lt;=CX$4,CX$4&lt;=36),$F12,"")</f>
        <v/>
      </c>
      <c r="CY12" s="567">
        <f>IF(AND(Projects!$C$7&lt;=CY$4,CY$4&lt;=36),$F12,"")</f>
        <v/>
      </c>
      <c r="CZ12" s="567">
        <f>IF(AND(Projects!$C$7&lt;=CZ$4,CZ$4&lt;=36),$F12,"")</f>
        <v/>
      </c>
      <c r="DA12" s="567">
        <f>IF(AND(Projects!$C$7&lt;=DA$4,DA$4&lt;=36),$F12,"")</f>
        <v/>
      </c>
      <c r="DB12" s="567">
        <f>IF(AND(Projects!$C$7&lt;=DB$4,DB$4&lt;=36),$F12,"")</f>
        <v/>
      </c>
    </row>
    <row r="13" ht="15" customFormat="1" customHeight="1" s="380">
      <c r="A13" s="563" t="inlineStr">
        <is>
          <t>Lexington</t>
        </is>
      </c>
      <c r="B13" s="564">
        <f>Projects!$B$8</f>
        <v/>
      </c>
      <c r="C13" s="565">
        <f>EDATE(Model!$E$2,Projects!$C$8-1)</f>
        <v/>
      </c>
      <c r="D13" s="565">
        <f>EDATE(Model!$E$2,Projects!$C$8+Projects!$D$8-2)</f>
        <v/>
      </c>
      <c r="E13" s="566">
        <f>Projects!$D$8</f>
        <v/>
      </c>
      <c r="F13" s="564">
        <f>Projects!$B$8/Projects!$D$8</f>
        <v/>
      </c>
      <c r="G13" s="567">
        <f>IF(AND(Projects!$C$8&lt;=G$4,G$4&lt;=Projects!$C$8+Projects!$D$8-1),Projects!$B$8/Projects!$D$8,"")</f>
        <v/>
      </c>
      <c r="H13" s="567">
        <f>IF(AND(Projects!$C$8&lt;=H$4,H$4&lt;=Projects!$C$8+Projects!$D$8-1),Projects!$B$8/Projects!$D$8,"")</f>
        <v/>
      </c>
      <c r="I13" s="567">
        <f>IF(AND(Projects!$C$8&lt;=I$4,I$4&lt;=Projects!$C$8+Projects!$D$8-1),Projects!$B$8/Projects!$D$8,"")</f>
        <v/>
      </c>
      <c r="J13" s="567">
        <f>IF(AND(Projects!$C$8&lt;=J$4,J$4&lt;=Projects!$C$8+Projects!$D$8-1),Projects!$B$8/Projects!$D$8,"")</f>
        <v/>
      </c>
      <c r="K13" s="567">
        <f>IF(AND(Projects!$C$8&lt;=K$4,K$4&lt;=Projects!$C$8+Projects!$D$8-1),Projects!$B$8/Projects!$D$8,"")</f>
        <v/>
      </c>
      <c r="L13" s="567">
        <f>IF(AND(Projects!$C$8&lt;=L$4,L$4&lt;=Projects!$C$8+Projects!$D$8-1),Projects!$B$8/Projects!$D$8,"")</f>
        <v/>
      </c>
      <c r="M13" s="567">
        <f>IF(AND(Projects!$C$8&lt;=M$4,M$4&lt;=Projects!$C$8+Projects!$D$8-1),Projects!$B$8/Projects!$D$8,"")</f>
        <v/>
      </c>
      <c r="N13" s="567">
        <f>IF(AND(Projects!$C$8&lt;=N$4,N$4&lt;=Projects!$C$8+Projects!$D$8-1),Projects!$B$8/Projects!$D$8,"")</f>
        <v/>
      </c>
      <c r="O13" s="567">
        <f>IF(AND(Projects!$C$8&lt;=O$4,O$4&lt;=Projects!$C$8+Projects!$D$8-1),Projects!$B$8/Projects!$D$8,"")</f>
        <v/>
      </c>
      <c r="P13" s="567">
        <f>IF(AND(Projects!$C$8&lt;=P$4,P$4&lt;=Projects!$C$8+Projects!$D$8-1),Projects!$B$8/Projects!$D$8,"")</f>
        <v/>
      </c>
      <c r="Q13" s="567">
        <f>IF(AND(Projects!$C$8&lt;=Q$4,Q$4&lt;=Projects!$C$8+Projects!$D$8-1),Projects!$B$8/Projects!$D$8,"")</f>
        <v/>
      </c>
      <c r="R13" s="567">
        <f>IF(AND(Projects!$C$8&lt;=R$4,R$4&lt;=Projects!$C$8+Projects!$D$8-1),Projects!$B$8/Projects!$D$8,"")</f>
        <v/>
      </c>
      <c r="S13" s="567">
        <f>IF(AND(Projects!$C$8&lt;=S$4,S$4&lt;=Projects!$C$8+Projects!$D$8-1),Projects!$B$8/Projects!$D$8,"")</f>
        <v/>
      </c>
      <c r="T13" s="567">
        <f>IF(AND(Projects!$C$8&lt;=T$4,T$4&lt;=Projects!$C$8+Projects!$D$8-1),Projects!$B$8/Projects!$D$8,"")</f>
        <v/>
      </c>
      <c r="U13" s="567">
        <f>IF(AND(Projects!$C$8&lt;=U$4,U$4&lt;=Projects!$C$8+Projects!$D$8-1),Projects!$B$8/Projects!$D$8,"")</f>
        <v/>
      </c>
      <c r="V13" s="567">
        <f>IF(AND(Projects!$C$8&lt;=V$4,V$4&lt;=Projects!$C$8+Projects!$D$8-1),Projects!$B$8/Projects!$D$8,"")</f>
        <v/>
      </c>
      <c r="W13" s="567">
        <f>IF(AND(Projects!$C$8&lt;=W$4,W$4&lt;=Projects!$C$8+Projects!$D$8-1),Projects!$B$8/Projects!$D$8,"")</f>
        <v/>
      </c>
      <c r="X13" s="567">
        <f>IF(AND(Projects!$C$8&lt;=X$4,X$4&lt;=Projects!$C$8+Projects!$D$8-1),Projects!$B$8/Projects!$D$8,"")</f>
        <v/>
      </c>
      <c r="Y13" s="567">
        <f>IF(AND(Projects!$C$8&lt;=Y$4,Y$4&lt;=Projects!$C$8+Projects!$D$8-1),Projects!$B$8/Projects!$D$8,"")</f>
        <v/>
      </c>
      <c r="Z13" s="567">
        <f>IF(AND(Projects!$C$8&lt;=Z$4,Z$4&lt;=Projects!$C$8+Projects!$D$8-1),Projects!$B$8/Projects!$D$8,"")</f>
        <v/>
      </c>
      <c r="AA13" s="567">
        <f>IF(AND(Projects!$C$8&lt;=AA$4,AA$4&lt;=Projects!$C$8+Projects!$D$8-1),Projects!$B$8/Projects!$D$8,"")</f>
        <v/>
      </c>
      <c r="AB13" s="567">
        <f>IF(AND(Projects!$C$8&lt;=AB$4,AB$4&lt;=Projects!$C$8+Projects!$D$8-1),Projects!$B$8/Projects!$D$8,"")</f>
        <v/>
      </c>
      <c r="AC13" s="567">
        <f>IF(AND(Projects!$C$8&lt;=AC$4,AC$4&lt;=Projects!$C$8+Projects!$D$8-1),Projects!$B$8/Projects!$D$8,"")</f>
        <v/>
      </c>
      <c r="AD13" s="567">
        <f>IF(AND(Projects!$C$8&lt;=AD$4,AD$4&lt;=Projects!$C$8+Projects!$D$8-1),Projects!$B$8/Projects!$D$8,"")</f>
        <v/>
      </c>
      <c r="AE13" s="567">
        <f>IF(AND(Projects!$C$8&lt;=AE$4,AE$4&lt;=Projects!$C$8+Projects!$D$8-1),Projects!$B$8/Projects!$D$8,"")</f>
        <v/>
      </c>
      <c r="AF13" s="567">
        <f>IF(AND(Projects!$C$8&lt;=AF$4,AF$4&lt;=Projects!$C$8+Projects!$D$8-1),Projects!$B$8/Projects!$D$8,"")</f>
        <v/>
      </c>
      <c r="AG13" s="567">
        <f>IF(AND(Projects!$C$8&lt;=AG$4,AG$4&lt;=Projects!$C$8+Projects!$D$8-1),Projects!$B$8/Projects!$D$8,"")</f>
        <v/>
      </c>
      <c r="AH13" s="567">
        <f>IF(AND(Projects!$C$8&lt;=AH$4,AH$4&lt;=Projects!$C$8+Projects!$D$8-1),Projects!$B$8/Projects!$D$8,"")</f>
        <v/>
      </c>
      <c r="AI13" s="567">
        <f>IF(AND(Projects!$C$8&lt;=AI$4,AI$4&lt;=Projects!$C$8+Projects!$D$8-1),Projects!$B$8/Projects!$D$8,"")</f>
        <v/>
      </c>
      <c r="AJ13" s="567">
        <f>IF(AND(Projects!$C$8&lt;=AJ$4,AJ$4&lt;=Projects!$C$8+Projects!$D$8-1),Projects!$B$8/Projects!$D$8,"")</f>
        <v/>
      </c>
      <c r="AK13" s="567">
        <f>IF(AND(Projects!$C$8&lt;=AK$4,AK$4&lt;=Projects!$C$8+Projects!$D$8-1),Projects!$B$8/Projects!$D$8,"")</f>
        <v/>
      </c>
      <c r="AL13" s="567">
        <f>IF(AND(Projects!$C$8&lt;=AL$4,AL$4&lt;=Projects!$C$8+Projects!$D$8-1),Projects!$B$8/Projects!$D$8,"")</f>
        <v/>
      </c>
      <c r="AM13" s="567">
        <f>IF(AND(Projects!$C$8&lt;=AM$4,AM$4&lt;=Projects!$C$8+Projects!$D$8-1),Projects!$B$8/Projects!$D$8,"")</f>
        <v/>
      </c>
      <c r="AN13" s="567">
        <f>IF(AND(Projects!$C$8&lt;=AN$4,AN$4&lt;=Projects!$C$8+Projects!$D$8-1),Projects!$B$8/Projects!$D$8,"")</f>
        <v/>
      </c>
      <c r="AO13" s="567">
        <f>IF(AND(Projects!$C$8&lt;=AO$4,AO$4&lt;=Projects!$C$8+Projects!$D$8-1),Projects!$B$8/Projects!$D$8,"")</f>
        <v/>
      </c>
      <c r="AP13" s="567">
        <f>IF(AND(Projects!$C$8&lt;=AP$4,AP$4&lt;=Projects!$C$8+Projects!$D$8-1),Projects!$B$8/Projects!$D$8,"")</f>
        <v/>
      </c>
      <c r="AQ13" s="567">
        <f>IF(AND(Projects!$C$8&lt;=AQ$4,AQ$4&lt;=Projects!$C$8+Projects!$D$8-1),Projects!$B$8/Projects!$D$8,"")</f>
        <v/>
      </c>
      <c r="AR13" s="567">
        <f>IF(AND(Projects!$C$8&lt;=AR$4,AR$4&lt;=Projects!$C$8+Projects!$D$8-1),Projects!$B$8/Projects!$D$8,"")</f>
        <v/>
      </c>
      <c r="AS13" s="567">
        <f>IF(AND(Projects!$C$8&lt;=AS$4,AS$4&lt;=Projects!$C$8+Projects!$D$8-1),Projects!$B$8/Projects!$D$8,"")</f>
        <v/>
      </c>
      <c r="AT13" s="567">
        <f>IF(AND(Projects!$C$8&lt;=AT$4,AT$4&lt;=Projects!$C$8+Projects!$D$8-1),Projects!$B$8/Projects!$D$8,"")</f>
        <v/>
      </c>
      <c r="AU13" s="567">
        <f>IF(AND(Projects!$C$8&lt;=AU$4,AU$4&lt;=Projects!$C$8+Projects!$D$8-1),Projects!$B$8/Projects!$D$8,"")</f>
        <v/>
      </c>
      <c r="AV13" s="567">
        <f>IF(AND(Projects!$C$8&lt;=AV$4,AV$4&lt;=Projects!$C$8+Projects!$D$8-1),Projects!$B$8/Projects!$D$8,"")</f>
        <v/>
      </c>
      <c r="AW13" s="567">
        <f>IF(AND(Projects!$C$8&lt;=AW$4,AW$4&lt;=Projects!$C$8+Projects!$D$8-1),Projects!$B$8/Projects!$D$8,"")</f>
        <v/>
      </c>
      <c r="AX13" s="567">
        <f>IF(AND(Projects!$C$8&lt;=AX$4,AX$4&lt;=Projects!$C$8+Projects!$D$8-1),Projects!$B$8/Projects!$D$8,"")</f>
        <v/>
      </c>
      <c r="AY13" s="567">
        <f>IF(AND(Projects!$C$8&lt;=AY$4,AY$4&lt;=Projects!$C$8+Projects!$D$8-1),Projects!$B$8/Projects!$D$8,"")</f>
        <v/>
      </c>
      <c r="AZ13" s="567">
        <f>IF(AND(Projects!$C$8&lt;=AZ$4,AZ$4&lt;=Projects!$C$8+Projects!$D$8-1),Projects!$B$8/Projects!$D$8,"")</f>
        <v/>
      </c>
      <c r="BA13" s="567">
        <f>IF(AND(Projects!$C$8&lt;=BA$4,BA$4&lt;=Projects!$C$8+Projects!$D$8-1),Projects!$B$8/Projects!$D$8,"")</f>
        <v/>
      </c>
      <c r="BB13" s="567">
        <f>IF(AND(Projects!$C$8&lt;=BB$4,BB$4&lt;=Projects!$C$8+Projects!$D$8-1),Projects!$B$8/Projects!$D$8,"")</f>
        <v/>
      </c>
      <c r="BC13" s="567">
        <f>IF(AND(Projects!$C$8&lt;=BC$4,BC$4&lt;=Projects!$C$8+Projects!$D$8-1),Projects!$B$8/Projects!$D$8,"")</f>
        <v/>
      </c>
      <c r="BD13" s="567">
        <f>IF(AND(Projects!$C$8&lt;=BD$4,BD$4&lt;=Projects!$C$8+Projects!$D$8-1),Projects!$B$8/Projects!$D$8,"")</f>
        <v/>
      </c>
      <c r="BE13" s="567">
        <f>IF(AND(Projects!$C$8&lt;=BE$4,BE$4&lt;=Projects!$C$8+Projects!$D$8-1),Projects!$B$8/Projects!$D$8,"")</f>
        <v/>
      </c>
      <c r="BF13" s="567">
        <f>IF(AND(Projects!$C$8&lt;=BF$4,BF$4&lt;=Projects!$C$8+Projects!$D$8-1),Projects!$B$8/Projects!$D$8,"")</f>
        <v/>
      </c>
      <c r="BG13" s="567">
        <f>IF(AND(Projects!$C$8&lt;=BG$4,BG$4&lt;=Projects!$C$8+Projects!$D$8-1),Projects!$B$8/Projects!$D$8,"")</f>
        <v/>
      </c>
      <c r="BH13" s="567">
        <f>IF(AND(Projects!$C$8&lt;=BH$4,BH$4&lt;=Projects!$C$8+Projects!$D$8-1),Projects!$B$8/Projects!$D$8,"")</f>
        <v/>
      </c>
      <c r="BI13" s="567">
        <f>IF(AND(Projects!$C$8&lt;=BI$4,BI$4&lt;=Projects!$C$8+Projects!$D$8-1),Projects!$B$8/Projects!$D$8,"")</f>
        <v/>
      </c>
      <c r="BJ13" s="567">
        <f>IF(AND(Projects!$C$8&lt;=BJ$4,BJ$4&lt;=Projects!$C$8+Projects!$D$8-1),Projects!$B$8/Projects!$D$8,"")</f>
        <v/>
      </c>
      <c r="BK13" s="567">
        <f>IF(AND(Projects!$C$8&lt;=BK$4,BK$4&lt;=Projects!$C$8+Projects!$D$8-1),Projects!$B$8/Projects!$D$8,"")</f>
        <v/>
      </c>
      <c r="BL13" s="567">
        <f>IF(AND(Projects!$C$8&lt;=BL$4,BL$4&lt;=Projects!$C$8+Projects!$D$8-1),Projects!$B$8/Projects!$D$8,"")</f>
        <v/>
      </c>
      <c r="BM13" s="567">
        <f>IF(AND(Projects!$C$8&lt;=BM$4,BM$4&lt;=Projects!$C$8+Projects!$D$8-1),Projects!$B$8/Projects!$D$8,"")</f>
        <v/>
      </c>
      <c r="BN13" s="567">
        <f>IF(AND(Projects!$C$8&lt;=BN$4,BN$4&lt;=Projects!$C$8+Projects!$D$8-1),Projects!$B$8/Projects!$D$8,"")</f>
        <v/>
      </c>
      <c r="BO13" s="567">
        <f>IF(AND(Projects!$C$8&lt;=BO$4,BO$4&lt;=Projects!$C$8+Projects!$D$8-1),Projects!$B$8/Projects!$D$8,"")</f>
        <v/>
      </c>
      <c r="BP13" s="567">
        <f>IF(AND(Projects!$C$8&lt;=BP$4,BP$4&lt;=Projects!$C$8+Projects!$D$8-1),Projects!$B$8/Projects!$D$8,"")</f>
        <v/>
      </c>
      <c r="BQ13" s="567">
        <f>IF(AND(Projects!$C$8&lt;=BQ$4,BQ$4&lt;=Projects!$C$8+Projects!$D$8-1),Projects!$B$8/Projects!$D$8,"")</f>
        <v/>
      </c>
      <c r="BR13" s="567">
        <f>IF(AND(Projects!$C$8&lt;=BR$4,BR$4&lt;=Projects!$C$8+Projects!$D$8-1),Projects!$B$8/Projects!$D$8,"")</f>
        <v/>
      </c>
      <c r="BS13" s="567">
        <f>IF(AND(Projects!$C$8&lt;=BS$4,BS$4&lt;=Projects!$C$8+Projects!$D$8-1),Projects!$B$8/Projects!$D$8,"")</f>
        <v/>
      </c>
      <c r="BT13" s="567">
        <f>IF(AND(Projects!$C$8&lt;=BT$4,BT$4&lt;=Projects!$C$8+Projects!$D$8-1),Projects!$B$8/Projects!$D$8,"")</f>
        <v/>
      </c>
      <c r="BU13" s="567">
        <f>IF(AND(Projects!$C$8&lt;=BU$4,BU$4&lt;=Projects!$C$8+Projects!$D$8-1),Projects!$B$8/Projects!$D$8,"")</f>
        <v/>
      </c>
      <c r="BV13" s="567">
        <f>IF(AND(Projects!$C$8&lt;=BV$4,BV$4&lt;=Projects!$C$8+Projects!$D$8-1),Projects!$B$8/Projects!$D$8,"")</f>
        <v/>
      </c>
      <c r="BW13" s="567">
        <f>IF(AND(Projects!$C$8&lt;=BW$4,BW$4&lt;=Projects!$C$8+Projects!$D$8-1),Projects!$B$8/Projects!$D$8,"")</f>
        <v/>
      </c>
      <c r="BX13" s="567">
        <f>IF(AND(Projects!$C$8&lt;=BX$4,BX$4&lt;=Projects!$C$8+Projects!$D$8-1),Projects!$B$8/Projects!$D$8,"")</f>
        <v/>
      </c>
      <c r="BY13" s="567">
        <f>IF(AND(Projects!$C$8&lt;=BY$4,BY$4&lt;=Projects!$C$8+Projects!$D$8-1),Projects!$B$8/Projects!$D$8,"")</f>
        <v/>
      </c>
      <c r="BZ13" s="567">
        <f>IF(AND(Projects!$C$8&lt;=BZ$4,BZ$4&lt;=Projects!$C$8+Projects!$D$8-1),Projects!$B$8/Projects!$D$8,"")</f>
        <v/>
      </c>
      <c r="CA13" s="567">
        <f>IF(AND(Projects!$C$8&lt;=CA$4,CA$4&lt;=Projects!$C$8+Projects!$D$8-1),Projects!$B$8/Projects!$D$8,"")</f>
        <v/>
      </c>
      <c r="CB13" s="567">
        <f>IF(AND(Projects!$C$8&lt;=CB$4,CB$4&lt;=Projects!$C$8+Projects!$D$8-1),Projects!$B$8/Projects!$D$8,"")</f>
        <v/>
      </c>
      <c r="CC13" s="567">
        <f>IF(AND(Projects!$C$8&lt;=CC$4,CC$4&lt;=Projects!$C$8+Projects!$D$8-1),Projects!$B$8/Projects!$D$8,"")</f>
        <v/>
      </c>
      <c r="CD13" s="567">
        <f>IF(AND(Projects!$C$8&lt;=CD$4,CD$4&lt;=Projects!$C$8+Projects!$D$8-1),Projects!$B$8/Projects!$D$8,"")</f>
        <v/>
      </c>
      <c r="CE13" s="567">
        <f>IF(AND(Projects!$C$8&lt;=CE$4,CE$4&lt;=Projects!$C$8+Projects!$D$8-1),Projects!$B$8/Projects!$D$8,"")</f>
        <v/>
      </c>
      <c r="CF13" s="567">
        <f>IF(AND(Projects!$C$8&lt;=CF$4,CF$4&lt;=Projects!$C$8+Projects!$D$8-1),Projects!$B$8/Projects!$D$8,"")</f>
        <v/>
      </c>
      <c r="CG13" s="567">
        <f>IF(AND(Projects!$C$8&lt;=CG$4,CG$4&lt;=Projects!$C$8+Projects!$D$8-1),Projects!$B$8/Projects!$D$8,"")</f>
        <v/>
      </c>
      <c r="CH13" s="567">
        <f>IF(AND(Projects!$C$8&lt;=CH$4,CH$4&lt;=Projects!$C$8+Projects!$D$8-1),Projects!$B$8/Projects!$D$8,"")</f>
        <v/>
      </c>
      <c r="CI13" s="567">
        <f>IF(AND(Projects!$C$8&lt;=CI$4,CI$4&lt;=Projects!$C$8+Projects!$D$8-1),Projects!$B$8/Projects!$D$8,"")</f>
        <v/>
      </c>
      <c r="CJ13" s="567">
        <f>IF(AND(Projects!$C$8&lt;=CJ$4,CJ$4&lt;=Projects!$C$8+Projects!$D$8-1),Projects!$B$8/Projects!$D$8,"")</f>
        <v/>
      </c>
      <c r="CK13" s="567">
        <f>IF(AND(Projects!$C$8&lt;=CK$4,CK$4&lt;=Projects!$C$8+Projects!$D$8-1),Projects!$B$8/Projects!$D$8,"")</f>
        <v/>
      </c>
      <c r="CL13" s="567">
        <f>IF(AND(Projects!$C$8&lt;=CL$4,CL$4&lt;=Projects!$C$8+Projects!$D$8-1),Projects!$B$8/Projects!$D$8,"")</f>
        <v/>
      </c>
      <c r="CM13" s="567">
        <f>IF(AND(Projects!$C$8&lt;=CM$4,CM$4&lt;=Projects!$C$8+Projects!$D$8-1),Projects!$B$8/Projects!$D$8,"")</f>
        <v/>
      </c>
      <c r="CN13" s="567">
        <f>IF(AND(Projects!$C$8&lt;=CN$4,CN$4&lt;=Projects!$C$8+Projects!$D$8-1),Projects!$B$8/Projects!$D$8,"")</f>
        <v/>
      </c>
      <c r="CO13" s="567">
        <f>IF(AND(Projects!$C$8&lt;=CO$4,CO$4&lt;=Projects!$C$8+Projects!$D$8-1),Projects!$B$8/Projects!$D$8,"")</f>
        <v/>
      </c>
      <c r="CP13" s="567">
        <f>IF(AND(Projects!$C$8&lt;=CP$4,CP$4&lt;=Projects!$C$8+Projects!$D$8-1),Projects!$B$8/Projects!$D$8,"")</f>
        <v/>
      </c>
      <c r="CQ13" s="567">
        <f>IF(AND(Projects!$C$8&lt;=CQ$4,CQ$4&lt;=Projects!$C$8+Projects!$D$8-1),Projects!$B$8/Projects!$D$8,"")</f>
        <v/>
      </c>
      <c r="CR13" s="567">
        <f>IF(AND(Projects!$C$8&lt;=CR$4,CR$4&lt;=Projects!$C$8+Projects!$D$8-1),Projects!$B$8/Projects!$D$8,"")</f>
        <v/>
      </c>
      <c r="CS13" s="567">
        <f>IF(AND(Projects!$C$8&lt;=CS$4,CS$4&lt;=Projects!$C$8+Projects!$D$8-1),Projects!$B$8/Projects!$D$8,"")</f>
        <v/>
      </c>
      <c r="CT13" s="567">
        <f>IF(AND(Projects!$C$8&lt;=CT$4,CT$4&lt;=Projects!$C$8+Projects!$D$8-1),Projects!$B$8/Projects!$D$8,"")</f>
        <v/>
      </c>
      <c r="CU13" s="567">
        <f>IF(AND(Projects!$C$8&lt;=CU$4,CU$4&lt;=Projects!$C$8+Projects!$D$8-1),Projects!$B$8/Projects!$D$8,"")</f>
        <v/>
      </c>
      <c r="CV13" s="567">
        <f>IF(AND(Projects!$C$8&lt;=CV$4,CV$4&lt;=Projects!$C$8+Projects!$D$8-1),Projects!$B$8/Projects!$D$8,"")</f>
        <v/>
      </c>
      <c r="CW13" s="567">
        <f>IF(AND(Projects!$C$8&lt;=CW$4,CW$4&lt;=Projects!$C$8+Projects!$D$8-1),Projects!$B$8/Projects!$D$8,"")</f>
        <v/>
      </c>
      <c r="CX13" s="567">
        <f>IF(AND(Projects!$C$8&lt;=CX$4,CX$4&lt;=Projects!$C$8+Projects!$D$8-1),Projects!$B$8/Projects!$D$8,"")</f>
        <v/>
      </c>
      <c r="CY13" s="567">
        <f>IF(AND(Projects!$C$8&lt;=CY$4,CY$4&lt;=Projects!$C$8+Projects!$D$8-1),Projects!$B$8/Projects!$D$8,"")</f>
        <v/>
      </c>
      <c r="CZ13" s="567">
        <f>IF(AND(Projects!$C$8&lt;=CZ$4,CZ$4&lt;=Projects!$C$8+Projects!$D$8-1),Projects!$B$8/Projects!$D$8,"")</f>
        <v/>
      </c>
      <c r="DA13" s="567">
        <f>IF(AND(Projects!$C$8&lt;=DA$4,DA$4&lt;=Projects!$C$8+Projects!$D$8-1),Projects!$B$8/Projects!$D$8,"")</f>
        <v/>
      </c>
      <c r="DB13" s="567">
        <f>IF(AND(Projects!$C$8&lt;=DB$4,DB$4&lt;=Projects!$C$8+Projects!$D$8-1),Projects!$B$8/Projects!$D$8,"")</f>
        <v/>
      </c>
    </row>
    <row r="14" ht="15" customFormat="1" customHeight="1" s="380">
      <c r="A14" s="563" t="inlineStr">
        <is>
          <t>Denny</t>
        </is>
      </c>
      <c r="B14" s="564">
        <f>Projects!$B$9</f>
        <v/>
      </c>
      <c r="C14" s="565">
        <f>EDATE(Model!$E$2,Projects!$C$9-1)</f>
        <v/>
      </c>
      <c r="D14" s="565">
        <f>EDATE(Model!$E$2,Projects!$C$9+Projects!$D$9-2)</f>
        <v/>
      </c>
      <c r="E14" s="566">
        <f>Projects!$D$9</f>
        <v/>
      </c>
      <c r="F14" s="564">
        <f>Projects!$B$9/Projects!$D$9</f>
        <v/>
      </c>
      <c r="G14" s="567">
        <f>IF(AND(Projects!$C$9&lt;=G$4,G$4&lt;=Projects!$C$9+Projects!$D$9-1),Projects!$B$9/Projects!$D$9,"")</f>
        <v/>
      </c>
      <c r="H14" s="567">
        <f>IF(AND(Projects!$C$9&lt;=H$4,H$4&lt;=Projects!$C$9+Projects!$D$9-1),Projects!$B$9/Projects!$D$9,"")</f>
        <v/>
      </c>
      <c r="I14" s="567">
        <f>IF(AND(Projects!$C$9&lt;=I$4,I$4&lt;=Projects!$C$9+Projects!$D$9-1),Projects!$B$9/Projects!$D$9,"")</f>
        <v/>
      </c>
      <c r="J14" s="567">
        <f>IF(AND(Projects!$C$9&lt;=J$4,J$4&lt;=Projects!$C$9+Projects!$D$9-1),Projects!$B$9/Projects!$D$9,"")</f>
        <v/>
      </c>
      <c r="K14" s="567">
        <f>IF(AND(Projects!$C$9&lt;=K$4,K$4&lt;=Projects!$C$9+Projects!$D$9-1),Projects!$B$9/Projects!$D$9,"")</f>
        <v/>
      </c>
      <c r="L14" s="567">
        <f>IF(AND(Projects!$C$9&lt;=L$4,L$4&lt;=Projects!$C$9+Projects!$D$9-1),Projects!$B$9/Projects!$D$9,"")</f>
        <v/>
      </c>
      <c r="M14" s="567">
        <f>IF(AND(Projects!$C$9&lt;=M$4,M$4&lt;=Projects!$C$9+Projects!$D$9-1),Projects!$B$9/Projects!$D$9,"")</f>
        <v/>
      </c>
      <c r="N14" s="567">
        <f>IF(AND(Projects!$C$9&lt;=N$4,N$4&lt;=Projects!$C$9+Projects!$D$9-1),Projects!$B$9/Projects!$D$9,"")</f>
        <v/>
      </c>
      <c r="O14" s="567">
        <f>IF(AND(Projects!$C$9&lt;=O$4,O$4&lt;=Projects!$C$9+Projects!$D$9-1),Projects!$B$9/Projects!$D$9,"")</f>
        <v/>
      </c>
      <c r="P14" s="567">
        <f>IF(AND(Projects!$C$9&lt;=P$4,P$4&lt;=Projects!$C$9+Projects!$D$9-1),Projects!$B$9/Projects!$D$9,"")</f>
        <v/>
      </c>
      <c r="Q14" s="567">
        <f>IF(AND(Projects!$C$9&lt;=Q$4,Q$4&lt;=Projects!$C$9+Projects!$D$9-1),Projects!$B$9/Projects!$D$9,"")</f>
        <v/>
      </c>
      <c r="R14" s="567">
        <f>IF(AND(Projects!$C$9&lt;=R$4,R$4&lt;=Projects!$C$9+Projects!$D$9-1),Projects!$B$9/Projects!$D$9,"")</f>
        <v/>
      </c>
      <c r="S14" s="567">
        <f>IF(AND(Projects!$C$9&lt;=S$4,S$4&lt;=Projects!$C$9+Projects!$D$9-1),Projects!$B$9/Projects!$D$9,"")</f>
        <v/>
      </c>
      <c r="T14" s="567">
        <f>IF(AND(Projects!$C$9&lt;=T$4,T$4&lt;=Projects!$C$9+Projects!$D$9-1),Projects!$B$9/Projects!$D$9,"")</f>
        <v/>
      </c>
      <c r="U14" s="567">
        <f>IF(AND(Projects!$C$9&lt;=U$4,U$4&lt;=Projects!$C$9+Projects!$D$9-1),Projects!$B$9/Projects!$D$9,"")</f>
        <v/>
      </c>
      <c r="V14" s="567">
        <f>IF(AND(Projects!$C$9&lt;=V$4,V$4&lt;=Projects!$C$9+Projects!$D$9-1),Projects!$B$9/Projects!$D$9,"")</f>
        <v/>
      </c>
      <c r="W14" s="567">
        <f>IF(AND(Projects!$C$9&lt;=W$4,W$4&lt;=Projects!$C$9+Projects!$D$9-1),Projects!$B$9/Projects!$D$9,"")</f>
        <v/>
      </c>
      <c r="X14" s="567">
        <f>IF(AND(Projects!$C$9&lt;=X$4,X$4&lt;=Projects!$C$9+Projects!$D$9-1),Projects!$B$9/Projects!$D$9,"")</f>
        <v/>
      </c>
      <c r="Y14" s="567">
        <f>IF(AND(Projects!$C$9&lt;=Y$4,Y$4&lt;=Projects!$C$9+Projects!$D$9-1),Projects!$B$9/Projects!$D$9,"")</f>
        <v/>
      </c>
      <c r="Z14" s="567">
        <f>IF(AND(Projects!$C$9&lt;=Z$4,Z$4&lt;=Projects!$C$9+Projects!$D$9-1),Projects!$B$9/Projects!$D$9,"")</f>
        <v/>
      </c>
      <c r="AA14" s="567">
        <f>IF(AND(Projects!$C$9&lt;=AA$4,AA$4&lt;=Projects!$C$9+Projects!$D$9-1),Projects!$B$9/Projects!$D$9,"")</f>
        <v/>
      </c>
      <c r="AB14" s="567">
        <f>IF(AND(Projects!$C$9&lt;=AB$4,AB$4&lt;=Projects!$C$9+Projects!$D$9-1),Projects!$B$9/Projects!$D$9,"")</f>
        <v/>
      </c>
      <c r="AC14" s="567">
        <f>IF(AND(Projects!$C$9&lt;=AC$4,AC$4&lt;=Projects!$C$9+Projects!$D$9-1),Projects!$B$9/Projects!$D$9,"")</f>
        <v/>
      </c>
      <c r="AD14" s="567">
        <f>IF(AND(Projects!$C$9&lt;=AD$4,AD$4&lt;=Projects!$C$9+Projects!$D$9-1),Projects!$B$9/Projects!$D$9,"")</f>
        <v/>
      </c>
      <c r="AE14" s="567">
        <f>IF(AND(Projects!$C$9&lt;=AE$4,AE$4&lt;=Projects!$C$9+Projects!$D$9-1),Projects!$B$9/Projects!$D$9,"")</f>
        <v/>
      </c>
      <c r="AF14" s="567">
        <f>IF(AND(Projects!$C$9&lt;=AF$4,AF$4&lt;=Projects!$C$9+Projects!$D$9-1),Projects!$B$9/Projects!$D$9,"")</f>
        <v/>
      </c>
      <c r="AG14" s="567">
        <f>IF(AND(Projects!$C$9&lt;=AG$4,AG$4&lt;=Projects!$C$9+Projects!$D$9-1),Projects!$B$9/Projects!$D$9,"")</f>
        <v/>
      </c>
      <c r="AH14" s="567">
        <f>IF(AND(Projects!$C$9&lt;=AH$4,AH$4&lt;=Projects!$C$9+Projects!$D$9-1),Projects!$B$9/Projects!$D$9,"")</f>
        <v/>
      </c>
      <c r="AI14" s="567">
        <f>IF(AND(Projects!$C$9&lt;=AI$4,AI$4&lt;=Projects!$C$9+Projects!$D$9-1),Projects!$B$9/Projects!$D$9,"")</f>
        <v/>
      </c>
      <c r="AJ14" s="567">
        <f>IF(AND(Projects!$C$9&lt;=AJ$4,AJ$4&lt;=Projects!$C$9+Projects!$D$9-1),Projects!$B$9/Projects!$D$9,"")</f>
        <v/>
      </c>
      <c r="AK14" s="567">
        <f>IF(AND(Projects!$C$9&lt;=AK$4,AK$4&lt;=Projects!$C$9+Projects!$D$9-1),Projects!$B$9/Projects!$D$9,"")</f>
        <v/>
      </c>
      <c r="AL14" s="567">
        <f>IF(AND(Projects!$C$9&lt;=AL$4,AL$4&lt;=Projects!$C$9+Projects!$D$9-1),Projects!$B$9/Projects!$D$9,"")</f>
        <v/>
      </c>
      <c r="AM14" s="567">
        <f>IF(AND(Projects!$C$9&lt;=AM$4,AM$4&lt;=Projects!$C$9+Projects!$D$9-1),Projects!$B$9/Projects!$D$9,"")</f>
        <v/>
      </c>
      <c r="AN14" s="567">
        <f>IF(AND(Projects!$C$9&lt;=AN$4,AN$4&lt;=Projects!$C$9+Projects!$D$9-1),Projects!$B$9/Projects!$D$9,"")</f>
        <v/>
      </c>
      <c r="AO14" s="567">
        <f>IF(AND(Projects!$C$9&lt;=AO$4,AO$4&lt;=Projects!$C$9+Projects!$D$9-1),Projects!$B$9/Projects!$D$9,"")</f>
        <v/>
      </c>
      <c r="AP14" s="567">
        <f>IF(AND(Projects!$C$9&lt;=AP$4,AP$4&lt;=Projects!$C$9+Projects!$D$9-1),Projects!$B$9/Projects!$D$9,"")</f>
        <v/>
      </c>
      <c r="AQ14" s="567">
        <f>IF(AND(Projects!$C$9&lt;=AQ$4,AQ$4&lt;=Projects!$C$9+Projects!$D$9-1),Projects!$B$9/Projects!$D$9,"")</f>
        <v/>
      </c>
      <c r="AR14" s="567">
        <f>IF(AND(Projects!$C$9&lt;=AR$4,AR$4&lt;=Projects!$C$9+Projects!$D$9-1),Projects!$B$9/Projects!$D$9,"")</f>
        <v/>
      </c>
      <c r="AS14" s="567">
        <f>IF(AND(Projects!$C$9&lt;=AS$4,AS$4&lt;=Projects!$C$9+Projects!$D$9-1),Projects!$B$9/Projects!$D$9,"")</f>
        <v/>
      </c>
      <c r="AT14" s="567">
        <f>IF(AND(Projects!$C$9&lt;=AT$4,AT$4&lt;=Projects!$C$9+Projects!$D$9-1),Projects!$B$9/Projects!$D$9,"")</f>
        <v/>
      </c>
      <c r="AU14" s="567">
        <f>IF(AND(Projects!$C$9&lt;=AU$4,AU$4&lt;=Projects!$C$9+Projects!$D$9-1),Projects!$B$9/Projects!$D$9,"")</f>
        <v/>
      </c>
      <c r="AV14" s="567">
        <f>IF(AND(Projects!$C$9&lt;=AV$4,AV$4&lt;=Projects!$C$9+Projects!$D$9-1),Projects!$B$9/Projects!$D$9,"")</f>
        <v/>
      </c>
      <c r="AW14" s="567">
        <f>IF(AND(Projects!$C$9&lt;=AW$4,AW$4&lt;=Projects!$C$9+Projects!$D$9-1),Projects!$B$9/Projects!$D$9,"")</f>
        <v/>
      </c>
      <c r="AX14" s="567">
        <f>IF(AND(Projects!$C$9&lt;=AX$4,AX$4&lt;=Projects!$C$9+Projects!$D$9-1),Projects!$B$9/Projects!$D$9,"")</f>
        <v/>
      </c>
      <c r="AY14" s="567">
        <f>IF(AND(Projects!$C$9&lt;=AY$4,AY$4&lt;=Projects!$C$9+Projects!$D$9-1),Projects!$B$9/Projects!$D$9,"")</f>
        <v/>
      </c>
      <c r="AZ14" s="567">
        <f>IF(AND(Projects!$C$9&lt;=AZ$4,AZ$4&lt;=Projects!$C$9+Projects!$D$9-1),Projects!$B$9/Projects!$D$9,"")</f>
        <v/>
      </c>
      <c r="BA14" s="567">
        <f>IF(AND(Projects!$C$9&lt;=BA$4,BA$4&lt;=Projects!$C$9+Projects!$D$9-1),Projects!$B$9/Projects!$D$9,"")</f>
        <v/>
      </c>
      <c r="BB14" s="567">
        <f>IF(AND(Projects!$C$9&lt;=BB$4,BB$4&lt;=Projects!$C$9+Projects!$D$9-1),Projects!$B$9/Projects!$D$9,"")</f>
        <v/>
      </c>
      <c r="BC14" s="567">
        <f>IF(AND(Projects!$C$9&lt;=BC$4,BC$4&lt;=Projects!$C$9+Projects!$D$9-1),Projects!$B$9/Projects!$D$9,"")</f>
        <v/>
      </c>
      <c r="BD14" s="567">
        <f>IF(AND(Projects!$C$9&lt;=BD$4,BD$4&lt;=Projects!$C$9+Projects!$D$9-1),Projects!$B$9/Projects!$D$9,"")</f>
        <v/>
      </c>
      <c r="BE14" s="567">
        <f>IF(AND(Projects!$C$9&lt;=BE$4,BE$4&lt;=Projects!$C$9+Projects!$D$9-1),Projects!$B$9/Projects!$D$9,"")</f>
        <v/>
      </c>
      <c r="BF14" s="567">
        <f>IF(AND(Projects!$C$9&lt;=BF$4,BF$4&lt;=Projects!$C$9+Projects!$D$9-1),Projects!$B$9/Projects!$D$9,"")</f>
        <v/>
      </c>
      <c r="BG14" s="567">
        <f>IF(AND(Projects!$C$9&lt;=BG$4,BG$4&lt;=Projects!$C$9+Projects!$D$9-1),Projects!$B$9/Projects!$D$9,"")</f>
        <v/>
      </c>
      <c r="BH14" s="567">
        <f>IF(AND(Projects!$C$9&lt;=BH$4,BH$4&lt;=Projects!$C$9+Projects!$D$9-1),Projects!$B$9/Projects!$D$9,"")</f>
        <v/>
      </c>
      <c r="BI14" s="567">
        <f>IF(AND(Projects!$C$9&lt;=BI$4,BI$4&lt;=Projects!$C$9+Projects!$D$9-1),Projects!$B$9/Projects!$D$9,"")</f>
        <v/>
      </c>
      <c r="BJ14" s="567">
        <f>IF(AND(Projects!$C$9&lt;=BJ$4,BJ$4&lt;=Projects!$C$9+Projects!$D$9-1),Projects!$B$9/Projects!$D$9,"")</f>
        <v/>
      </c>
      <c r="BK14" s="567">
        <f>IF(AND(Projects!$C$9&lt;=BK$4,BK$4&lt;=Projects!$C$9+Projects!$D$9-1),Projects!$B$9/Projects!$D$9,"")</f>
        <v/>
      </c>
      <c r="BL14" s="567">
        <f>IF(AND(Projects!$C$9&lt;=BL$4,BL$4&lt;=Projects!$C$9+Projects!$D$9-1),Projects!$B$9/Projects!$D$9,"")</f>
        <v/>
      </c>
      <c r="BM14" s="567">
        <f>IF(AND(Projects!$C$9&lt;=BM$4,BM$4&lt;=Projects!$C$9+Projects!$D$9-1),Projects!$B$9/Projects!$D$9,"")</f>
        <v/>
      </c>
      <c r="BN14" s="567">
        <f>IF(AND(Projects!$C$9&lt;=BN$4,BN$4&lt;=Projects!$C$9+Projects!$D$9-1),Projects!$B$9/Projects!$D$9,"")</f>
        <v/>
      </c>
      <c r="BO14" s="567">
        <f>IF(AND(Projects!$C$9&lt;=BO$4,BO$4&lt;=Projects!$C$9+Projects!$D$9-1),Projects!$B$9/Projects!$D$9,"")</f>
        <v/>
      </c>
      <c r="BP14" s="567">
        <f>IF(AND(Projects!$C$9&lt;=BP$4,BP$4&lt;=Projects!$C$9+Projects!$D$9-1),Projects!$B$9/Projects!$D$9,"")</f>
        <v/>
      </c>
      <c r="BQ14" s="567">
        <f>IF(AND(Projects!$C$9&lt;=BQ$4,BQ$4&lt;=Projects!$C$9+Projects!$D$9-1),Projects!$B$9/Projects!$D$9,"")</f>
        <v/>
      </c>
      <c r="BR14" s="567">
        <f>IF(AND(Projects!$C$9&lt;=BR$4,BR$4&lt;=Projects!$C$9+Projects!$D$9-1),Projects!$B$9/Projects!$D$9,"")</f>
        <v/>
      </c>
      <c r="BS14" s="567">
        <f>IF(AND(Projects!$C$9&lt;=BS$4,BS$4&lt;=Projects!$C$9+Projects!$D$9-1),Projects!$B$9/Projects!$D$9,"")</f>
        <v/>
      </c>
      <c r="BT14" s="567">
        <f>IF(AND(Projects!$C$9&lt;=BT$4,BT$4&lt;=Projects!$C$9+Projects!$D$9-1),Projects!$B$9/Projects!$D$9,"")</f>
        <v/>
      </c>
      <c r="BU14" s="567">
        <f>IF(AND(Projects!$C$9&lt;=BU$4,BU$4&lt;=Projects!$C$9+Projects!$D$9-1),Projects!$B$9/Projects!$D$9,"")</f>
        <v/>
      </c>
      <c r="BV14" s="567">
        <f>IF(AND(Projects!$C$9&lt;=BV$4,BV$4&lt;=Projects!$C$9+Projects!$D$9-1),Projects!$B$9/Projects!$D$9,"")</f>
        <v/>
      </c>
      <c r="BW14" s="567">
        <f>IF(AND(Projects!$C$9&lt;=BW$4,BW$4&lt;=Projects!$C$9+Projects!$D$9-1),Projects!$B$9/Projects!$D$9,"")</f>
        <v/>
      </c>
      <c r="BX14" s="567">
        <f>IF(AND(Projects!$C$9&lt;=BX$4,BX$4&lt;=Projects!$C$9+Projects!$D$9-1),Projects!$B$9/Projects!$D$9,"")</f>
        <v/>
      </c>
      <c r="BY14" s="567">
        <f>IF(AND(Projects!$C$9&lt;=BY$4,BY$4&lt;=Projects!$C$9+Projects!$D$9-1),Projects!$B$9/Projects!$D$9,"")</f>
        <v/>
      </c>
      <c r="BZ14" s="567">
        <f>IF(AND(Projects!$C$9&lt;=BZ$4,BZ$4&lt;=Projects!$C$9+Projects!$D$9-1),Projects!$B$9/Projects!$D$9,"")</f>
        <v/>
      </c>
      <c r="CA14" s="567">
        <f>IF(AND(Projects!$C$9&lt;=CA$4,CA$4&lt;=Projects!$C$9+Projects!$D$9-1),Projects!$B$9/Projects!$D$9,"")</f>
        <v/>
      </c>
      <c r="CB14" s="567">
        <f>IF(AND(Projects!$C$9&lt;=CB$4,CB$4&lt;=Projects!$C$9+Projects!$D$9-1),Projects!$B$9/Projects!$D$9,"")</f>
        <v/>
      </c>
      <c r="CC14" s="567">
        <f>IF(AND(Projects!$C$9&lt;=CC$4,CC$4&lt;=Projects!$C$9+Projects!$D$9-1),Projects!$B$9/Projects!$D$9,"")</f>
        <v/>
      </c>
      <c r="CD14" s="567">
        <f>IF(AND(Projects!$C$9&lt;=CD$4,CD$4&lt;=Projects!$C$9+Projects!$D$9-1),Projects!$B$9/Projects!$D$9,"")</f>
        <v/>
      </c>
      <c r="CE14" s="567">
        <f>IF(AND(Projects!$C$9&lt;=CE$4,CE$4&lt;=Projects!$C$9+Projects!$D$9-1),Projects!$B$9/Projects!$D$9,"")</f>
        <v/>
      </c>
      <c r="CF14" s="567">
        <f>IF(AND(Projects!$C$9&lt;=CF$4,CF$4&lt;=Projects!$C$9+Projects!$D$9-1),Projects!$B$9/Projects!$D$9,"")</f>
        <v/>
      </c>
      <c r="CG14" s="567">
        <f>IF(AND(Projects!$C$9&lt;=CG$4,CG$4&lt;=Projects!$C$9+Projects!$D$9-1),Projects!$B$9/Projects!$D$9,"")</f>
        <v/>
      </c>
      <c r="CH14" s="567">
        <f>IF(AND(Projects!$C$9&lt;=CH$4,CH$4&lt;=Projects!$C$9+Projects!$D$9-1),Projects!$B$9/Projects!$D$9,"")</f>
        <v/>
      </c>
      <c r="CI14" s="567">
        <f>IF(AND(Projects!$C$9&lt;=CI$4,CI$4&lt;=Projects!$C$9+Projects!$D$9-1),Projects!$B$9/Projects!$D$9,"")</f>
        <v/>
      </c>
      <c r="CJ14" s="567">
        <f>IF(AND(Projects!$C$9&lt;=CJ$4,CJ$4&lt;=Projects!$C$9+Projects!$D$9-1),Projects!$B$9/Projects!$D$9,"")</f>
        <v/>
      </c>
      <c r="CK14" s="567">
        <f>IF(AND(Projects!$C$9&lt;=CK$4,CK$4&lt;=Projects!$C$9+Projects!$D$9-1),Projects!$B$9/Projects!$D$9,"")</f>
        <v/>
      </c>
      <c r="CL14" s="567">
        <f>IF(AND(Projects!$C$9&lt;=CL$4,CL$4&lt;=Projects!$C$9+Projects!$D$9-1),Projects!$B$9/Projects!$D$9,"")</f>
        <v/>
      </c>
      <c r="CM14" s="567">
        <f>IF(AND(Projects!$C$9&lt;=CM$4,CM$4&lt;=Projects!$C$9+Projects!$D$9-1),Projects!$B$9/Projects!$D$9,"")</f>
        <v/>
      </c>
      <c r="CN14" s="567">
        <f>IF(AND(Projects!$C$9&lt;=CN$4,CN$4&lt;=Projects!$C$9+Projects!$D$9-1),Projects!$B$9/Projects!$D$9,"")</f>
        <v/>
      </c>
      <c r="CO14" s="567">
        <f>IF(AND(Projects!$C$9&lt;=CO$4,CO$4&lt;=Projects!$C$9+Projects!$D$9-1),Projects!$B$9/Projects!$D$9,"")</f>
        <v/>
      </c>
      <c r="CP14" s="567">
        <f>IF(AND(Projects!$C$9&lt;=CP$4,CP$4&lt;=Projects!$C$9+Projects!$D$9-1),Projects!$B$9/Projects!$D$9,"")</f>
        <v/>
      </c>
      <c r="CQ14" s="567">
        <f>IF(AND(Projects!$C$9&lt;=CQ$4,CQ$4&lt;=Projects!$C$9+Projects!$D$9-1),Projects!$B$9/Projects!$D$9,"")</f>
        <v/>
      </c>
      <c r="CR14" s="567">
        <f>IF(AND(Projects!$C$9&lt;=CR$4,CR$4&lt;=Projects!$C$9+Projects!$D$9-1),Projects!$B$9/Projects!$D$9,"")</f>
        <v/>
      </c>
      <c r="CS14" s="567">
        <f>IF(AND(Projects!$C$9&lt;=CS$4,CS$4&lt;=Projects!$C$9+Projects!$D$9-1),Projects!$B$9/Projects!$D$9,"")</f>
        <v/>
      </c>
      <c r="CT14" s="567">
        <f>IF(AND(Projects!$C$9&lt;=CT$4,CT$4&lt;=Projects!$C$9+Projects!$D$9-1),Projects!$B$9/Projects!$D$9,"")</f>
        <v/>
      </c>
      <c r="CU14" s="567">
        <f>IF(AND(Projects!$C$9&lt;=CU$4,CU$4&lt;=Projects!$C$9+Projects!$D$9-1),Projects!$B$9/Projects!$D$9,"")</f>
        <v/>
      </c>
      <c r="CV14" s="567">
        <f>IF(AND(Projects!$C$9&lt;=CV$4,CV$4&lt;=Projects!$C$9+Projects!$D$9-1),Projects!$B$9/Projects!$D$9,"")</f>
        <v/>
      </c>
      <c r="CW14" s="567">
        <f>IF(AND(Projects!$C$9&lt;=CW$4,CW$4&lt;=Projects!$C$9+Projects!$D$9-1),Projects!$B$9/Projects!$D$9,"")</f>
        <v/>
      </c>
      <c r="CX14" s="567">
        <f>IF(AND(Projects!$C$9&lt;=CX$4,CX$4&lt;=Projects!$C$9+Projects!$D$9-1),Projects!$B$9/Projects!$D$9,"")</f>
        <v/>
      </c>
      <c r="CY14" s="567">
        <f>IF(AND(Projects!$C$9&lt;=CY$4,CY$4&lt;=Projects!$C$9+Projects!$D$9-1),Projects!$B$9/Projects!$D$9,"")</f>
        <v/>
      </c>
      <c r="CZ14" s="567">
        <f>IF(AND(Projects!$C$9&lt;=CZ$4,CZ$4&lt;=Projects!$C$9+Projects!$D$9-1),Projects!$B$9/Projects!$D$9,"")</f>
        <v/>
      </c>
      <c r="DA14" s="567">
        <f>IF(AND(Projects!$C$9&lt;=DA$4,DA$4&lt;=Projects!$C$9+Projects!$D$9-1),Projects!$B$9/Projects!$D$9,"")</f>
        <v/>
      </c>
      <c r="DB14" s="567">
        <f>IF(AND(Projects!$C$9&lt;=DB$4,DB$4&lt;=Projects!$C$9+Projects!$D$9-1),Projects!$B$9/Projects!$D$9,"")</f>
        <v/>
      </c>
    </row>
    <row r="15" ht="15" customFormat="1" customHeight="1" s="380">
      <c r="A15" s="563" t="inlineStr">
        <is>
          <t>Acama</t>
        </is>
      </c>
      <c r="B15" s="564">
        <f>Projects!$B$10</f>
        <v/>
      </c>
      <c r="C15" s="565">
        <f>EDATE(Model!$E$2,Projects!$C$10-1)</f>
        <v/>
      </c>
      <c r="D15" s="565">
        <f>EDATE(Model!$E$2,Projects!$C$10+Projects!$D$10-2)</f>
        <v/>
      </c>
      <c r="E15" s="566">
        <f>Projects!$D$10</f>
        <v/>
      </c>
      <c r="F15" s="564">
        <f>Projects!$B$10/Projects!$D$10</f>
        <v/>
      </c>
      <c r="G15" s="567">
        <f>IF(AND(Projects!$C$10&lt;=G$4,G$4&lt;=Projects!$C$10+Projects!$D$10-1),Projects!$B$10/Projects!$D$10,"")</f>
        <v/>
      </c>
      <c r="H15" s="567">
        <f>IF(AND(Projects!$C$10&lt;=H$4,H$4&lt;=Projects!$C$10+Projects!$D$10-1),Projects!$B$10/Projects!$D$10,"")</f>
        <v/>
      </c>
      <c r="I15" s="567">
        <f>IF(AND(Projects!$C$10&lt;=I$4,I$4&lt;=Projects!$C$10+Projects!$D$10-1),Projects!$B$10/Projects!$D$10,"")</f>
        <v/>
      </c>
      <c r="J15" s="567">
        <f>IF(AND(Projects!$C$10&lt;=J$4,J$4&lt;=Projects!$C$10+Projects!$D$10-1),Projects!$B$10/Projects!$D$10,"")</f>
        <v/>
      </c>
      <c r="K15" s="567">
        <f>IF(AND(Projects!$C$10&lt;=K$4,K$4&lt;=Projects!$C$10+Projects!$D$10-1),Projects!$B$10/Projects!$D$10,"")</f>
        <v/>
      </c>
      <c r="L15" s="567">
        <f>IF(AND(Projects!$C$10&lt;=L$4,L$4&lt;=Projects!$C$10+Projects!$D$10-1),Projects!$B$10/Projects!$D$10,"")</f>
        <v/>
      </c>
      <c r="M15" s="567">
        <f>IF(AND(Projects!$C$10&lt;=M$4,M$4&lt;=Projects!$C$10+Projects!$D$10-1),Projects!$B$10/Projects!$D$10,"")</f>
        <v/>
      </c>
      <c r="N15" s="567">
        <f>IF(AND(Projects!$C$10&lt;=N$4,N$4&lt;=Projects!$C$10+Projects!$D$10-1),Projects!$B$10/Projects!$D$10,"")</f>
        <v/>
      </c>
      <c r="O15" s="567">
        <f>IF(AND(Projects!$C$10&lt;=O$4,O$4&lt;=Projects!$C$10+Projects!$D$10-1),Projects!$B$10/Projects!$D$10,"")</f>
        <v/>
      </c>
      <c r="P15" s="567">
        <f>IF(AND(Projects!$C$10&lt;=P$4,P$4&lt;=Projects!$C$10+Projects!$D$10-1),Projects!$B$10/Projects!$D$10,"")</f>
        <v/>
      </c>
      <c r="Q15" s="567">
        <f>IF(AND(Projects!$C$10&lt;=Q$4,Q$4&lt;=Projects!$C$10+Projects!$D$10-1),Projects!$B$10/Projects!$D$10,"")</f>
        <v/>
      </c>
      <c r="R15" s="567">
        <f>IF(AND(Projects!$C$10&lt;=R$4,R$4&lt;=Projects!$C$10+Projects!$D$10-1),Projects!$B$10/Projects!$D$10,"")</f>
        <v/>
      </c>
      <c r="S15" s="567">
        <f>IF(AND(Projects!$C$10&lt;=S$4,S$4&lt;=Projects!$C$10+Projects!$D$10-1),Projects!$B$10/Projects!$D$10,"")</f>
        <v/>
      </c>
      <c r="T15" s="567">
        <f>IF(AND(Projects!$C$10&lt;=T$4,T$4&lt;=Projects!$C$10+Projects!$D$10-1),Projects!$B$10/Projects!$D$10,"")</f>
        <v/>
      </c>
      <c r="U15" s="567">
        <f>IF(AND(Projects!$C$10&lt;=U$4,U$4&lt;=Projects!$C$10+Projects!$D$10-1),Projects!$B$10/Projects!$D$10,"")</f>
        <v/>
      </c>
      <c r="V15" s="567">
        <f>IF(AND(Projects!$C$10&lt;=V$4,V$4&lt;=Projects!$C$10+Projects!$D$10-1),Projects!$B$10/Projects!$D$10,"")</f>
        <v/>
      </c>
      <c r="W15" s="567">
        <f>IF(AND(Projects!$C$10&lt;=W$4,W$4&lt;=Projects!$C$10+Projects!$D$10-1),Projects!$B$10/Projects!$D$10,"")</f>
        <v/>
      </c>
      <c r="X15" s="567">
        <f>IF(AND(Projects!$C$10&lt;=X$4,X$4&lt;=Projects!$C$10+Projects!$D$10-1),Projects!$B$10/Projects!$D$10,"")</f>
        <v/>
      </c>
      <c r="Y15" s="567">
        <f>IF(AND(Projects!$C$10&lt;=Y$4,Y$4&lt;=Projects!$C$10+Projects!$D$10-1),Projects!$B$10/Projects!$D$10,"")</f>
        <v/>
      </c>
      <c r="Z15" s="567">
        <f>IF(AND(Projects!$C$10&lt;=Z$4,Z$4&lt;=Projects!$C$10+Projects!$D$10-1),Projects!$B$10/Projects!$D$10,"")</f>
        <v/>
      </c>
      <c r="AA15" s="567">
        <f>IF(AND(Projects!$C$10&lt;=AA$4,AA$4&lt;=Projects!$C$10+Projects!$D$10-1),Projects!$B$10/Projects!$D$10,"")</f>
        <v/>
      </c>
      <c r="AB15" s="567">
        <f>IF(AND(Projects!$C$10&lt;=AB$4,AB$4&lt;=Projects!$C$10+Projects!$D$10-1),Projects!$B$10/Projects!$D$10,"")</f>
        <v/>
      </c>
      <c r="AC15" s="567">
        <f>IF(AND(Projects!$C$10&lt;=AC$4,AC$4&lt;=Projects!$C$10+Projects!$D$10-1),Projects!$B$10/Projects!$D$10,"")</f>
        <v/>
      </c>
      <c r="AD15" s="567">
        <f>IF(AND(Projects!$C$10&lt;=AD$4,AD$4&lt;=Projects!$C$10+Projects!$D$10-1),Projects!$B$10/Projects!$D$10,"")</f>
        <v/>
      </c>
      <c r="AE15" s="567">
        <f>IF(AND(Projects!$C$10&lt;=AE$4,AE$4&lt;=Projects!$C$10+Projects!$D$10-1),Projects!$B$10/Projects!$D$10,"")</f>
        <v/>
      </c>
      <c r="AF15" s="567">
        <f>IF(AND(Projects!$C$10&lt;=AF$4,AF$4&lt;=Projects!$C$10+Projects!$D$10-1),Projects!$B$10/Projects!$D$10,"")</f>
        <v/>
      </c>
      <c r="AG15" s="567">
        <f>IF(AND(Projects!$C$10&lt;=AG$4,AG$4&lt;=Projects!$C$10+Projects!$D$10-1),Projects!$B$10/Projects!$D$10,"")</f>
        <v/>
      </c>
      <c r="AH15" s="567">
        <f>IF(AND(Projects!$C$10&lt;=AH$4,AH$4&lt;=Projects!$C$10+Projects!$D$10-1),Projects!$B$10/Projects!$D$10,"")</f>
        <v/>
      </c>
      <c r="AI15" s="567">
        <f>IF(AND(Projects!$C$10&lt;=AI$4,AI$4&lt;=Projects!$C$10+Projects!$D$10-1),Projects!$B$10/Projects!$D$10,"")</f>
        <v/>
      </c>
      <c r="AJ15" s="567">
        <f>IF(AND(Projects!$C$10&lt;=AJ$4,AJ$4&lt;=Projects!$C$10+Projects!$D$10-1),Projects!$B$10/Projects!$D$10,"")</f>
        <v/>
      </c>
      <c r="AK15" s="567">
        <f>IF(AND(Projects!$C$10&lt;=AK$4,AK$4&lt;=Projects!$C$10+Projects!$D$10-1),Projects!$B$10/Projects!$D$10,"")</f>
        <v/>
      </c>
      <c r="AL15" s="567">
        <f>IF(AND(Projects!$C$10&lt;=AL$4,AL$4&lt;=Projects!$C$10+Projects!$D$10-1),Projects!$B$10/Projects!$D$10,"")</f>
        <v/>
      </c>
      <c r="AM15" s="567">
        <f>IF(AND(Projects!$C$10&lt;=AM$4,AM$4&lt;=Projects!$C$10+Projects!$D$10-1),Projects!$B$10/Projects!$D$10,"")</f>
        <v/>
      </c>
      <c r="AN15" s="567">
        <f>IF(AND(Projects!$C$10&lt;=AN$4,AN$4&lt;=Projects!$C$10+Projects!$D$10-1),Projects!$B$10/Projects!$D$10,"")</f>
        <v/>
      </c>
      <c r="AO15" s="567">
        <f>IF(AND(Projects!$C$10&lt;=AO$4,AO$4&lt;=Projects!$C$10+Projects!$D$10-1),Projects!$B$10/Projects!$D$10,"")</f>
        <v/>
      </c>
      <c r="AP15" s="567">
        <f>IF(AND(Projects!$C$10&lt;=AP$4,AP$4&lt;=Projects!$C$10+Projects!$D$10-1),Projects!$B$10/Projects!$D$10,"")</f>
        <v/>
      </c>
      <c r="AQ15" s="567">
        <f>IF(AND(Projects!$C$10&lt;=AQ$4,AQ$4&lt;=Projects!$C$10+Projects!$D$10-1),Projects!$B$10/Projects!$D$10,"")</f>
        <v/>
      </c>
      <c r="AR15" s="567">
        <f>IF(AND(Projects!$C$10&lt;=AR$4,AR$4&lt;=Projects!$C$10+Projects!$D$10-1),Projects!$B$10/Projects!$D$10,"")</f>
        <v/>
      </c>
      <c r="AS15" s="567">
        <f>IF(AND(Projects!$C$10&lt;=AS$4,AS$4&lt;=Projects!$C$10+Projects!$D$10-1),Projects!$B$10/Projects!$D$10,"")</f>
        <v/>
      </c>
      <c r="AT15" s="567">
        <f>IF(AND(Projects!$C$10&lt;=AT$4,AT$4&lt;=Projects!$C$10+Projects!$D$10-1),Projects!$B$10/Projects!$D$10,"")</f>
        <v/>
      </c>
      <c r="AU15" s="567">
        <f>IF(AND(Projects!$C$10&lt;=AU$4,AU$4&lt;=Projects!$C$10+Projects!$D$10-1),Projects!$B$10/Projects!$D$10,"")</f>
        <v/>
      </c>
      <c r="AV15" s="567">
        <f>IF(AND(Projects!$C$10&lt;=AV$4,AV$4&lt;=Projects!$C$10+Projects!$D$10-1),Projects!$B$10/Projects!$D$10,"")</f>
        <v/>
      </c>
      <c r="AW15" s="567">
        <f>IF(AND(Projects!$C$10&lt;=AW$4,AW$4&lt;=Projects!$C$10+Projects!$D$10-1),Projects!$B$10/Projects!$D$10,"")</f>
        <v/>
      </c>
      <c r="AX15" s="567">
        <f>IF(AND(Projects!$C$10&lt;=AX$4,AX$4&lt;=Projects!$C$10+Projects!$D$10-1),Projects!$B$10/Projects!$D$10,"")</f>
        <v/>
      </c>
      <c r="AY15" s="567">
        <f>IF(AND(Projects!$C$10&lt;=AY$4,AY$4&lt;=Projects!$C$10+Projects!$D$10-1),Projects!$B$10/Projects!$D$10,"")</f>
        <v/>
      </c>
      <c r="AZ15" s="567">
        <f>IF(AND(Projects!$C$10&lt;=AZ$4,AZ$4&lt;=Projects!$C$10+Projects!$D$10-1),Projects!$B$10/Projects!$D$10,"")</f>
        <v/>
      </c>
      <c r="BA15" s="567">
        <f>IF(AND(Projects!$C$10&lt;=BA$4,BA$4&lt;=Projects!$C$10+Projects!$D$10-1),Projects!$B$10/Projects!$D$10,"")</f>
        <v/>
      </c>
      <c r="BB15" s="567">
        <f>IF(AND(Projects!$C$10&lt;=BB$4,BB$4&lt;=Projects!$C$10+Projects!$D$10-1),Projects!$B$10/Projects!$D$10,"")</f>
        <v/>
      </c>
      <c r="BC15" s="567">
        <f>IF(AND(Projects!$C$10&lt;=BC$4,BC$4&lt;=Projects!$C$10+Projects!$D$10-1),Projects!$B$10/Projects!$D$10,"")</f>
        <v/>
      </c>
      <c r="BD15" s="567">
        <f>IF(AND(Projects!$C$10&lt;=BD$4,BD$4&lt;=Projects!$C$10+Projects!$D$10-1),Projects!$B$10/Projects!$D$10,"")</f>
        <v/>
      </c>
      <c r="BE15" s="567">
        <f>IF(AND(Projects!$C$10&lt;=BE$4,BE$4&lt;=Projects!$C$10+Projects!$D$10-1),Projects!$B$10/Projects!$D$10,"")</f>
        <v/>
      </c>
      <c r="BF15" s="567">
        <f>IF(AND(Projects!$C$10&lt;=BF$4,BF$4&lt;=Projects!$C$10+Projects!$D$10-1),Projects!$B$10/Projects!$D$10,"")</f>
        <v/>
      </c>
      <c r="BG15" s="567">
        <f>IF(AND(Projects!$C$10&lt;=BG$4,BG$4&lt;=Projects!$C$10+Projects!$D$10-1),Projects!$B$10/Projects!$D$10,"")</f>
        <v/>
      </c>
      <c r="BH15" s="567">
        <f>IF(AND(Projects!$C$10&lt;=BH$4,BH$4&lt;=Projects!$C$10+Projects!$D$10-1),Projects!$B$10/Projects!$D$10,"")</f>
        <v/>
      </c>
      <c r="BI15" s="567">
        <f>IF(AND(Projects!$C$10&lt;=BI$4,BI$4&lt;=Projects!$C$10+Projects!$D$10-1),Projects!$B$10/Projects!$D$10,"")</f>
        <v/>
      </c>
      <c r="BJ15" s="567">
        <f>IF(AND(Projects!$C$10&lt;=BJ$4,BJ$4&lt;=Projects!$C$10+Projects!$D$10-1),Projects!$B$10/Projects!$D$10,"")</f>
        <v/>
      </c>
      <c r="BK15" s="567">
        <f>IF(AND(Projects!$C$10&lt;=BK$4,BK$4&lt;=Projects!$C$10+Projects!$D$10-1),Projects!$B$10/Projects!$D$10,"")</f>
        <v/>
      </c>
      <c r="BL15" s="567">
        <f>IF(AND(Projects!$C$10&lt;=BL$4,BL$4&lt;=Projects!$C$10+Projects!$D$10-1),Projects!$B$10/Projects!$D$10,"")</f>
        <v/>
      </c>
      <c r="BM15" s="567">
        <f>IF(AND(Projects!$C$10&lt;=BM$4,BM$4&lt;=Projects!$C$10+Projects!$D$10-1),Projects!$B$10/Projects!$D$10,"")</f>
        <v/>
      </c>
      <c r="BN15" s="567">
        <f>IF(AND(Projects!$C$10&lt;=BN$4,BN$4&lt;=Projects!$C$10+Projects!$D$10-1),Projects!$B$10/Projects!$D$10,"")</f>
        <v/>
      </c>
      <c r="BO15" s="567">
        <f>IF(AND(Projects!$C$10&lt;=BO$4,BO$4&lt;=Projects!$C$10+Projects!$D$10-1),Projects!$B$10/Projects!$D$10,"")</f>
        <v/>
      </c>
      <c r="BP15" s="567">
        <f>IF(AND(Projects!$C$10&lt;=BP$4,BP$4&lt;=Projects!$C$10+Projects!$D$10-1),Projects!$B$10/Projects!$D$10,"")</f>
        <v/>
      </c>
      <c r="BQ15" s="567">
        <f>IF(AND(Projects!$C$10&lt;=BQ$4,BQ$4&lt;=Projects!$C$10+Projects!$D$10-1),Projects!$B$10/Projects!$D$10,"")</f>
        <v/>
      </c>
      <c r="BR15" s="567">
        <f>IF(AND(Projects!$C$10&lt;=BR$4,BR$4&lt;=Projects!$C$10+Projects!$D$10-1),Projects!$B$10/Projects!$D$10,"")</f>
        <v/>
      </c>
      <c r="BS15" s="567">
        <f>IF(AND(Projects!$C$10&lt;=BS$4,BS$4&lt;=Projects!$C$10+Projects!$D$10-1),Projects!$B$10/Projects!$D$10,"")</f>
        <v/>
      </c>
      <c r="BT15" s="567">
        <f>IF(AND(Projects!$C$10&lt;=BT$4,BT$4&lt;=Projects!$C$10+Projects!$D$10-1),Projects!$B$10/Projects!$D$10,"")</f>
        <v/>
      </c>
      <c r="BU15" s="567">
        <f>IF(AND(Projects!$C$10&lt;=BU$4,BU$4&lt;=Projects!$C$10+Projects!$D$10-1),Projects!$B$10/Projects!$D$10,"")</f>
        <v/>
      </c>
      <c r="BV15" s="567">
        <f>IF(AND(Projects!$C$10&lt;=BV$4,BV$4&lt;=Projects!$C$10+Projects!$D$10-1),Projects!$B$10/Projects!$D$10,"")</f>
        <v/>
      </c>
      <c r="BW15" s="567">
        <f>IF(AND(Projects!$C$10&lt;=BW$4,BW$4&lt;=Projects!$C$10+Projects!$D$10-1),Projects!$B$10/Projects!$D$10,"")</f>
        <v/>
      </c>
      <c r="BX15" s="567">
        <f>IF(AND(Projects!$C$10&lt;=BX$4,BX$4&lt;=Projects!$C$10+Projects!$D$10-1),Projects!$B$10/Projects!$D$10,"")</f>
        <v/>
      </c>
      <c r="BY15" s="567">
        <f>IF(AND(Projects!$C$10&lt;=BY$4,BY$4&lt;=Projects!$C$10+Projects!$D$10-1),Projects!$B$10/Projects!$D$10,"")</f>
        <v/>
      </c>
      <c r="BZ15" s="567">
        <f>IF(AND(Projects!$C$10&lt;=BZ$4,BZ$4&lt;=Projects!$C$10+Projects!$D$10-1),Projects!$B$10/Projects!$D$10,"")</f>
        <v/>
      </c>
      <c r="CA15" s="567">
        <f>IF(AND(Projects!$C$10&lt;=CA$4,CA$4&lt;=Projects!$C$10+Projects!$D$10-1),Projects!$B$10/Projects!$D$10,"")</f>
        <v/>
      </c>
      <c r="CB15" s="567">
        <f>IF(AND(Projects!$C$10&lt;=CB$4,CB$4&lt;=Projects!$C$10+Projects!$D$10-1),Projects!$B$10/Projects!$D$10,"")</f>
        <v/>
      </c>
      <c r="CC15" s="567">
        <f>IF(AND(Projects!$C$10&lt;=CC$4,CC$4&lt;=Projects!$C$10+Projects!$D$10-1),Projects!$B$10/Projects!$D$10,"")</f>
        <v/>
      </c>
      <c r="CD15" s="567">
        <f>IF(AND(Projects!$C$10&lt;=CD$4,CD$4&lt;=Projects!$C$10+Projects!$D$10-1),Projects!$B$10/Projects!$D$10,"")</f>
        <v/>
      </c>
      <c r="CE15" s="567">
        <f>IF(AND(Projects!$C$10&lt;=CE$4,CE$4&lt;=Projects!$C$10+Projects!$D$10-1),Projects!$B$10/Projects!$D$10,"")</f>
        <v/>
      </c>
      <c r="CF15" s="567">
        <f>IF(AND(Projects!$C$10&lt;=CF$4,CF$4&lt;=Projects!$C$10+Projects!$D$10-1),Projects!$B$10/Projects!$D$10,"")</f>
        <v/>
      </c>
      <c r="CG15" s="567">
        <f>IF(AND(Projects!$C$10&lt;=CG$4,CG$4&lt;=Projects!$C$10+Projects!$D$10-1),Projects!$B$10/Projects!$D$10,"")</f>
        <v/>
      </c>
      <c r="CH15" s="567">
        <f>IF(AND(Projects!$C$10&lt;=CH$4,CH$4&lt;=Projects!$C$10+Projects!$D$10-1),Projects!$B$10/Projects!$D$10,"")</f>
        <v/>
      </c>
      <c r="CI15" s="567">
        <f>IF(AND(Projects!$C$10&lt;=CI$4,CI$4&lt;=Projects!$C$10+Projects!$D$10-1),Projects!$B$10/Projects!$D$10,"")</f>
        <v/>
      </c>
      <c r="CJ15" s="567">
        <f>IF(AND(Projects!$C$10&lt;=CJ$4,CJ$4&lt;=Projects!$C$10+Projects!$D$10-1),Projects!$B$10/Projects!$D$10,"")</f>
        <v/>
      </c>
      <c r="CK15" s="567">
        <f>IF(AND(Projects!$C$10&lt;=CK$4,CK$4&lt;=Projects!$C$10+Projects!$D$10-1),Projects!$B$10/Projects!$D$10,"")</f>
        <v/>
      </c>
      <c r="CL15" s="567">
        <f>IF(AND(Projects!$C$10&lt;=CL$4,CL$4&lt;=Projects!$C$10+Projects!$D$10-1),Projects!$B$10/Projects!$D$10,"")</f>
        <v/>
      </c>
      <c r="CM15" s="567">
        <f>IF(AND(Projects!$C$10&lt;=CM$4,CM$4&lt;=Projects!$C$10+Projects!$D$10-1),Projects!$B$10/Projects!$D$10,"")</f>
        <v/>
      </c>
      <c r="CN15" s="567">
        <f>IF(AND(Projects!$C$10&lt;=CN$4,CN$4&lt;=Projects!$C$10+Projects!$D$10-1),Projects!$B$10/Projects!$D$10,"")</f>
        <v/>
      </c>
      <c r="CO15" s="567">
        <f>IF(AND(Projects!$C$10&lt;=CO$4,CO$4&lt;=Projects!$C$10+Projects!$D$10-1),Projects!$B$10/Projects!$D$10,"")</f>
        <v/>
      </c>
      <c r="CP15" s="567">
        <f>IF(AND(Projects!$C$10&lt;=CP$4,CP$4&lt;=Projects!$C$10+Projects!$D$10-1),Projects!$B$10/Projects!$D$10,"")</f>
        <v/>
      </c>
      <c r="CQ15" s="567">
        <f>IF(AND(Projects!$C$10&lt;=CQ$4,CQ$4&lt;=Projects!$C$10+Projects!$D$10-1),Projects!$B$10/Projects!$D$10,"")</f>
        <v/>
      </c>
      <c r="CR15" s="567">
        <f>IF(AND(Projects!$C$10&lt;=CR$4,CR$4&lt;=Projects!$C$10+Projects!$D$10-1),Projects!$B$10/Projects!$D$10,"")</f>
        <v/>
      </c>
      <c r="CS15" s="567">
        <f>IF(AND(Projects!$C$10&lt;=CS$4,CS$4&lt;=Projects!$C$10+Projects!$D$10-1),Projects!$B$10/Projects!$D$10,"")</f>
        <v/>
      </c>
      <c r="CT15" s="567">
        <f>IF(AND(Projects!$C$10&lt;=CT$4,CT$4&lt;=Projects!$C$10+Projects!$D$10-1),Projects!$B$10/Projects!$D$10,"")</f>
        <v/>
      </c>
      <c r="CU15" s="567">
        <f>IF(AND(Projects!$C$10&lt;=CU$4,CU$4&lt;=Projects!$C$10+Projects!$D$10-1),Projects!$B$10/Projects!$D$10,"")</f>
        <v/>
      </c>
      <c r="CV15" s="567">
        <f>IF(AND(Projects!$C$10&lt;=CV$4,CV$4&lt;=Projects!$C$10+Projects!$D$10-1),Projects!$B$10/Projects!$D$10,"")</f>
        <v/>
      </c>
      <c r="CW15" s="567">
        <f>IF(AND(Projects!$C$10&lt;=CW$4,CW$4&lt;=Projects!$C$10+Projects!$D$10-1),Projects!$B$10/Projects!$D$10,"")</f>
        <v/>
      </c>
      <c r="CX15" s="567">
        <f>IF(AND(Projects!$C$10&lt;=CX$4,CX$4&lt;=Projects!$C$10+Projects!$D$10-1),Projects!$B$10/Projects!$D$10,"")</f>
        <v/>
      </c>
      <c r="CY15" s="567">
        <f>IF(AND(Projects!$C$10&lt;=CY$4,CY$4&lt;=Projects!$C$10+Projects!$D$10-1),Projects!$B$10/Projects!$D$10,"")</f>
        <v/>
      </c>
      <c r="CZ15" s="567">
        <f>IF(AND(Projects!$C$10&lt;=CZ$4,CZ$4&lt;=Projects!$C$10+Projects!$D$10-1),Projects!$B$10/Projects!$D$10,"")</f>
        <v/>
      </c>
      <c r="DA15" s="567">
        <f>IF(AND(Projects!$C$10&lt;=DA$4,DA$4&lt;=Projects!$C$10+Projects!$D$10-1),Projects!$B$10/Projects!$D$10,"")</f>
        <v/>
      </c>
      <c r="DB15" s="567">
        <f>IF(AND(Projects!$C$10&lt;=DB$4,DB$4&lt;=Projects!$C$10+Projects!$D$10-1),Projects!$B$10/Projects!$D$10,"")</f>
        <v/>
      </c>
    </row>
    <row r="16" ht="15" customFormat="1" customHeight="1" s="380">
      <c r="A16" s="563" t="inlineStr">
        <is>
          <t>Reseda</t>
        </is>
      </c>
      <c r="B16" s="564">
        <f>Projects!$B$13</f>
        <v/>
      </c>
      <c r="C16" s="565">
        <f>EDATE(Model!$E$2,Projects!$C$13-1)</f>
        <v/>
      </c>
      <c r="D16" s="565">
        <f>EDATE(Model!$E$2,Projects!$C$13+Projects!$D$13-2)</f>
        <v/>
      </c>
      <c r="E16" s="566">
        <f>Projects!$D$13</f>
        <v/>
      </c>
      <c r="F16" s="564">
        <f>Projects!$B$13/Projects!$D$13</f>
        <v/>
      </c>
      <c r="G16" s="567">
        <f>IF(AND(Projects!$C$13&lt;=G$4,G$4&lt;=Projects!$C$13+Projects!$D$13-1),Projects!$B$13/Projects!$D$13,"")</f>
        <v/>
      </c>
      <c r="H16" s="567">
        <f>IF(AND(Projects!$C$13&lt;=H$4,H$4&lt;=Projects!$C$13+Projects!$D$13-1),Projects!$B$13/Projects!$D$13,"")</f>
        <v/>
      </c>
      <c r="I16" s="567">
        <f>IF(AND(Projects!$C$13&lt;=I$4,I$4&lt;=Projects!$C$13+Projects!$D$13-1),Projects!$B$13/Projects!$D$13,"")</f>
        <v/>
      </c>
      <c r="J16" s="567">
        <f>IF(AND(Projects!$C$13&lt;=J$4,J$4&lt;=Projects!$C$13+Projects!$D$13-1),Projects!$B$13/Projects!$D$13,"")</f>
        <v/>
      </c>
      <c r="K16" s="567">
        <f>IF(AND(Projects!$C$13&lt;=K$4,K$4&lt;=Projects!$C$13+Projects!$D$13-1),Projects!$B$13/Projects!$D$13,"")</f>
        <v/>
      </c>
      <c r="L16" s="567">
        <f>IF(AND(Projects!$C$13&lt;=L$4,L$4&lt;=Projects!$C$13+Projects!$D$13-1),Projects!$B$13/Projects!$D$13,"")</f>
        <v/>
      </c>
      <c r="M16" s="567">
        <f>IF(AND(Projects!$C$13&lt;=M$4,M$4&lt;=Projects!$C$13+Projects!$D$13-1),Projects!$B$13/Projects!$D$13,"")</f>
        <v/>
      </c>
      <c r="N16" s="567">
        <f>IF(AND(Projects!$C$13&lt;=N$4,N$4&lt;=Projects!$C$13+Projects!$D$13-1),Projects!$B$13/Projects!$D$13,"")</f>
        <v/>
      </c>
      <c r="O16" s="567">
        <f>IF(AND(Projects!$C$13&lt;=O$4,O$4&lt;=Projects!$C$13+Projects!$D$13-1),Projects!$B$13/Projects!$D$13,"")</f>
        <v/>
      </c>
      <c r="P16" s="567">
        <f>IF(AND(Projects!$C$13&lt;=P$4,P$4&lt;=Projects!$C$13+Projects!$D$13-1),Projects!$B$13/Projects!$D$13,"")</f>
        <v/>
      </c>
      <c r="Q16" s="567">
        <f>IF(AND(Projects!$C$13&lt;=Q$4,Q$4&lt;=Projects!$C$13+Projects!$D$13-1),Projects!$B$13/Projects!$D$13,"")</f>
        <v/>
      </c>
      <c r="R16" s="567">
        <f>IF(AND(Projects!$C$13&lt;=R$4,R$4&lt;=Projects!$C$13+Projects!$D$13-1),Projects!$B$13/Projects!$D$13,"")</f>
        <v/>
      </c>
      <c r="S16" s="567">
        <f>IF(AND(Projects!$C$13&lt;=S$4,S$4&lt;=Projects!$C$13+Projects!$D$13-1),Projects!$B$13/Projects!$D$13,"")</f>
        <v/>
      </c>
      <c r="T16" s="567">
        <f>IF(AND(Projects!$C$13&lt;=T$4,T$4&lt;=Projects!$C$13+Projects!$D$13-1),Projects!$B$13/Projects!$D$13,"")</f>
        <v/>
      </c>
      <c r="U16" s="567">
        <f>IF(AND(Projects!$C$13&lt;=U$4,U$4&lt;=Projects!$C$13+Projects!$D$13-1),Projects!$B$13/Projects!$D$13,"")</f>
        <v/>
      </c>
      <c r="V16" s="567">
        <f>IF(AND(Projects!$C$13&lt;=V$4,V$4&lt;=Projects!$C$13+Projects!$D$13-1),Projects!$B$13/Projects!$D$13,"")</f>
        <v/>
      </c>
      <c r="W16" s="567">
        <f>IF(AND(Projects!$C$13&lt;=W$4,W$4&lt;=Projects!$C$13+Projects!$D$13-1),Projects!$B$13/Projects!$D$13,"")</f>
        <v/>
      </c>
      <c r="X16" s="567">
        <f>IF(AND(Projects!$C$13&lt;=X$4,X$4&lt;=Projects!$C$13+Projects!$D$13-1),Projects!$B$13/Projects!$D$13,"")</f>
        <v/>
      </c>
      <c r="Y16" s="567">
        <f>IF(AND(Projects!$C$13&lt;=Y$4,Y$4&lt;=Projects!$C$13+Projects!$D$13-1),Projects!$B$13/Projects!$D$13,"")</f>
        <v/>
      </c>
      <c r="Z16" s="567">
        <f>IF(AND(Projects!$C$13&lt;=Z$4,Z$4&lt;=Projects!$C$13+Projects!$D$13-1),Projects!$B$13/Projects!$D$13,"")</f>
        <v/>
      </c>
      <c r="AA16" s="567">
        <f>IF(AND(Projects!$C$13&lt;=AA$4,AA$4&lt;=Projects!$C$13+Projects!$D$13-1),Projects!$B$13/Projects!$D$13,"")</f>
        <v/>
      </c>
      <c r="AB16" s="567">
        <f>IF(AND(Projects!$C$13&lt;=AB$4,AB$4&lt;=Projects!$C$13+Projects!$D$13-1),Projects!$B$13/Projects!$D$13,"")</f>
        <v/>
      </c>
      <c r="AC16" s="567">
        <f>IF(AND(Projects!$C$13&lt;=AC$4,AC$4&lt;=Projects!$C$13+Projects!$D$13-1),Projects!$B$13/Projects!$D$13,"")</f>
        <v/>
      </c>
      <c r="AD16" s="567">
        <f>IF(AND(Projects!$C$13&lt;=AD$4,AD$4&lt;=Projects!$C$13+Projects!$D$13-1),Projects!$B$13/Projects!$D$13,"")</f>
        <v/>
      </c>
      <c r="AE16" s="567">
        <f>IF(AND(Projects!$C$13&lt;=AE$4,AE$4&lt;=Projects!$C$13+Projects!$D$13-1),Projects!$B$13/Projects!$D$13,"")</f>
        <v/>
      </c>
      <c r="AF16" s="567">
        <f>IF(AND(Projects!$C$13&lt;=AF$4,AF$4&lt;=Projects!$C$13+Projects!$D$13-1),Projects!$B$13/Projects!$D$13,"")</f>
        <v/>
      </c>
      <c r="AG16" s="567">
        <f>IF(AND(Projects!$C$13&lt;=AG$4,AG$4&lt;=Projects!$C$13+Projects!$D$13-1),Projects!$B$13/Projects!$D$13,"")</f>
        <v/>
      </c>
      <c r="AH16" s="567">
        <f>IF(AND(Projects!$C$13&lt;=AH$4,AH$4&lt;=Projects!$C$13+Projects!$D$13-1),Projects!$B$13/Projects!$D$13,"")</f>
        <v/>
      </c>
      <c r="AI16" s="567">
        <f>IF(AND(Projects!$C$13&lt;=AI$4,AI$4&lt;=Projects!$C$13+Projects!$D$13-1),Projects!$B$13/Projects!$D$13,"")</f>
        <v/>
      </c>
      <c r="AJ16" s="567">
        <f>IF(AND(Projects!$C$13&lt;=AJ$4,AJ$4&lt;=Projects!$C$13+Projects!$D$13-1),Projects!$B$13/Projects!$D$13,"")</f>
        <v/>
      </c>
      <c r="AK16" s="567">
        <f>IF(AND(Projects!$C$13&lt;=AK$4,AK$4&lt;=Projects!$C$13+Projects!$D$13-1),Projects!$B$13/Projects!$D$13,"")</f>
        <v/>
      </c>
      <c r="AL16" s="567">
        <f>IF(AND(Projects!$C$13&lt;=AL$4,AL$4&lt;=Projects!$C$13+Projects!$D$13-1),Projects!$B$13/Projects!$D$13,"")</f>
        <v/>
      </c>
      <c r="AM16" s="567">
        <f>IF(AND(Projects!$C$13&lt;=AM$4,AM$4&lt;=Projects!$C$13+Projects!$D$13-1),Projects!$B$13/Projects!$D$13,"")</f>
        <v/>
      </c>
      <c r="AN16" s="567">
        <f>IF(AND(Projects!$C$13&lt;=AN$4,AN$4&lt;=Projects!$C$13+Projects!$D$13-1),Projects!$B$13/Projects!$D$13,"")</f>
        <v/>
      </c>
      <c r="AO16" s="567">
        <f>IF(AND(Projects!$C$13&lt;=AO$4,AO$4&lt;=Projects!$C$13+Projects!$D$13-1),Projects!$B$13/Projects!$D$13,"")</f>
        <v/>
      </c>
      <c r="AP16" s="567">
        <f>IF(AND(Projects!$C$13&lt;=AP$4,AP$4&lt;=Projects!$C$13+Projects!$D$13-1),Projects!$B$13/Projects!$D$13,"")</f>
        <v/>
      </c>
      <c r="AQ16" s="567">
        <f>IF(AND(Projects!$C$13&lt;=AQ$4,AQ$4&lt;=Projects!$C$13+Projects!$D$13-1),Projects!$B$13/Projects!$D$13,"")</f>
        <v/>
      </c>
      <c r="AR16" s="567">
        <f>IF(AND(Projects!$C$13&lt;=AR$4,AR$4&lt;=Projects!$C$13+Projects!$D$13-1),Projects!$B$13/Projects!$D$13,"")</f>
        <v/>
      </c>
      <c r="AS16" s="567">
        <f>IF(AND(Projects!$C$13&lt;=AS$4,AS$4&lt;=Projects!$C$13+Projects!$D$13-1),Projects!$B$13/Projects!$D$13,"")</f>
        <v/>
      </c>
      <c r="AT16" s="567">
        <f>IF(AND(Projects!$C$13&lt;=AT$4,AT$4&lt;=Projects!$C$13+Projects!$D$13-1),Projects!$B$13/Projects!$D$13,"")</f>
        <v/>
      </c>
      <c r="AU16" s="567">
        <f>IF(AND(Projects!$C$13&lt;=AU$4,AU$4&lt;=Projects!$C$13+Projects!$D$13-1),Projects!$B$13/Projects!$D$13,"")</f>
        <v/>
      </c>
      <c r="AV16" s="567">
        <f>IF(AND(Projects!$C$13&lt;=AV$4,AV$4&lt;=Projects!$C$13+Projects!$D$13-1),Projects!$B$13/Projects!$D$13,"")</f>
        <v/>
      </c>
      <c r="AW16" s="567">
        <f>IF(AND(Projects!$C$13&lt;=AW$4,AW$4&lt;=Projects!$C$13+Projects!$D$13-1),Projects!$B$13/Projects!$D$13,"")</f>
        <v/>
      </c>
      <c r="AX16" s="567">
        <f>IF(AND(Projects!$C$13&lt;=AX$4,AX$4&lt;=Projects!$C$13+Projects!$D$13-1),Projects!$B$13/Projects!$D$13,"")</f>
        <v/>
      </c>
      <c r="AY16" s="567">
        <f>IF(AND(Projects!$C$13&lt;=AY$4,AY$4&lt;=Projects!$C$13+Projects!$D$13-1),Projects!$B$13/Projects!$D$13,"")</f>
        <v/>
      </c>
      <c r="AZ16" s="567">
        <f>IF(AND(Projects!$C$13&lt;=AZ$4,AZ$4&lt;=Projects!$C$13+Projects!$D$13-1),Projects!$B$13/Projects!$D$13,"")</f>
        <v/>
      </c>
      <c r="BA16" s="567">
        <f>IF(AND(Projects!$C$13&lt;=BA$4,BA$4&lt;=Projects!$C$13+Projects!$D$13-1),Projects!$B$13/Projects!$D$13,"")</f>
        <v/>
      </c>
      <c r="BB16" s="567">
        <f>IF(AND(Projects!$C$13&lt;=BB$4,BB$4&lt;=Projects!$C$13+Projects!$D$13-1),Projects!$B$13/Projects!$D$13,"")</f>
        <v/>
      </c>
      <c r="BC16" s="567">
        <f>IF(AND(Projects!$C$13&lt;=BC$4,BC$4&lt;=Projects!$C$13+Projects!$D$13-1),Projects!$B$13/Projects!$D$13,"")</f>
        <v/>
      </c>
      <c r="BD16" s="567">
        <f>IF(AND(Projects!$C$13&lt;=BD$4,BD$4&lt;=Projects!$C$13+Projects!$D$13-1),Projects!$B$13/Projects!$D$13,"")</f>
        <v/>
      </c>
      <c r="BE16" s="567">
        <f>IF(AND(Projects!$C$13&lt;=BE$4,BE$4&lt;=Projects!$C$13+Projects!$D$13-1),Projects!$B$13/Projects!$D$13,"")</f>
        <v/>
      </c>
      <c r="BF16" s="567">
        <f>IF(AND(Projects!$C$13&lt;=BF$4,BF$4&lt;=Projects!$C$13+Projects!$D$13-1),Projects!$B$13/Projects!$D$13,"")</f>
        <v/>
      </c>
      <c r="BG16" s="567">
        <f>IF(AND(Projects!$C$13&lt;=BG$4,BG$4&lt;=Projects!$C$13+Projects!$D$13-1),Projects!$B$13/Projects!$D$13,"")</f>
        <v/>
      </c>
      <c r="BH16" s="567">
        <f>IF(AND(Projects!$C$13&lt;=BH$4,BH$4&lt;=Projects!$C$13+Projects!$D$13-1),Projects!$B$13/Projects!$D$13,"")</f>
        <v/>
      </c>
      <c r="BI16" s="567">
        <f>IF(AND(Projects!$C$13&lt;=BI$4,BI$4&lt;=Projects!$C$13+Projects!$D$13-1),Projects!$B$13/Projects!$D$13,"")</f>
        <v/>
      </c>
      <c r="BJ16" s="567">
        <f>IF(AND(Projects!$C$13&lt;=BJ$4,BJ$4&lt;=Projects!$C$13+Projects!$D$13-1),Projects!$B$13/Projects!$D$13,"")</f>
        <v/>
      </c>
      <c r="BK16" s="567">
        <f>IF(AND(Projects!$C$13&lt;=BK$4,BK$4&lt;=Projects!$C$13+Projects!$D$13-1),Projects!$B$13/Projects!$D$13,"")</f>
        <v/>
      </c>
      <c r="BL16" s="567">
        <f>IF(AND(Projects!$C$13&lt;=BL$4,BL$4&lt;=Projects!$C$13+Projects!$D$13-1),Projects!$B$13/Projects!$D$13,"")</f>
        <v/>
      </c>
      <c r="BM16" s="567">
        <f>IF(AND(Projects!$C$13&lt;=BM$4,BM$4&lt;=Projects!$C$13+Projects!$D$13-1),Projects!$B$13/Projects!$D$13,"")</f>
        <v/>
      </c>
      <c r="BN16" s="567">
        <f>IF(AND(Projects!$C$13&lt;=BN$4,BN$4&lt;=Projects!$C$13+Projects!$D$13-1),Projects!$B$13/Projects!$D$13,"")</f>
        <v/>
      </c>
      <c r="BO16" s="567">
        <f>IF(AND(Projects!$C$13&lt;=BO$4,BO$4&lt;=Projects!$C$13+Projects!$D$13-1),Projects!$B$13/Projects!$D$13,"")</f>
        <v/>
      </c>
      <c r="BP16" s="567">
        <f>IF(AND(Projects!$C$13&lt;=BP$4,BP$4&lt;=Projects!$C$13+Projects!$D$13-1),Projects!$B$13/Projects!$D$13,"")</f>
        <v/>
      </c>
      <c r="BQ16" s="567">
        <f>IF(AND(Projects!$C$13&lt;=BQ$4,BQ$4&lt;=Projects!$C$13+Projects!$D$13-1),Projects!$B$13/Projects!$D$13,"")</f>
        <v/>
      </c>
      <c r="BR16" s="567">
        <f>IF(AND(Projects!$C$13&lt;=BR$4,BR$4&lt;=Projects!$C$13+Projects!$D$13-1),Projects!$B$13/Projects!$D$13,"")</f>
        <v/>
      </c>
      <c r="BS16" s="567">
        <f>IF(AND(Projects!$C$13&lt;=BS$4,BS$4&lt;=Projects!$C$13+Projects!$D$13-1),Projects!$B$13/Projects!$D$13,"")</f>
        <v/>
      </c>
      <c r="BT16" s="567">
        <f>IF(AND(Projects!$C$13&lt;=BT$4,BT$4&lt;=Projects!$C$13+Projects!$D$13-1),Projects!$B$13/Projects!$D$13,"")</f>
        <v/>
      </c>
      <c r="BU16" s="567">
        <f>IF(AND(Projects!$C$13&lt;=BU$4,BU$4&lt;=Projects!$C$13+Projects!$D$13-1),Projects!$B$13/Projects!$D$13,"")</f>
        <v/>
      </c>
      <c r="BV16" s="567">
        <f>IF(AND(Projects!$C$13&lt;=BV$4,BV$4&lt;=Projects!$C$13+Projects!$D$13-1),Projects!$B$13/Projects!$D$13,"")</f>
        <v/>
      </c>
      <c r="BW16" s="567">
        <f>IF(AND(Projects!$C$13&lt;=BW$4,BW$4&lt;=Projects!$C$13+Projects!$D$13-1),Projects!$B$13/Projects!$D$13,"")</f>
        <v/>
      </c>
      <c r="BX16" s="567">
        <f>IF(AND(Projects!$C$13&lt;=BX$4,BX$4&lt;=Projects!$C$13+Projects!$D$13-1),Projects!$B$13/Projects!$D$13,"")</f>
        <v/>
      </c>
      <c r="BY16" s="567">
        <f>IF(AND(Projects!$C$13&lt;=BY$4,BY$4&lt;=Projects!$C$13+Projects!$D$13-1),Projects!$B$13/Projects!$D$13,"")</f>
        <v/>
      </c>
      <c r="BZ16" s="567">
        <f>IF(AND(Projects!$C$13&lt;=BZ$4,BZ$4&lt;=Projects!$C$13+Projects!$D$13-1),Projects!$B$13/Projects!$D$13,"")</f>
        <v/>
      </c>
      <c r="CA16" s="567">
        <f>IF(AND(Projects!$C$13&lt;=CA$4,CA$4&lt;=Projects!$C$13+Projects!$D$13-1),Projects!$B$13/Projects!$D$13,"")</f>
        <v/>
      </c>
      <c r="CB16" s="567">
        <f>IF(AND(Projects!$C$13&lt;=CB$4,CB$4&lt;=Projects!$C$13+Projects!$D$13-1),Projects!$B$13/Projects!$D$13,"")</f>
        <v/>
      </c>
      <c r="CC16" s="567">
        <f>IF(AND(Projects!$C$13&lt;=CC$4,CC$4&lt;=Projects!$C$13+Projects!$D$13-1),Projects!$B$13/Projects!$D$13,"")</f>
        <v/>
      </c>
      <c r="CD16" s="567">
        <f>IF(AND(Projects!$C$13&lt;=CD$4,CD$4&lt;=Projects!$C$13+Projects!$D$13-1),Projects!$B$13/Projects!$D$13,"")</f>
        <v/>
      </c>
      <c r="CE16" s="567">
        <f>IF(AND(Projects!$C$13&lt;=CE$4,CE$4&lt;=Projects!$C$13+Projects!$D$13-1),Projects!$B$13/Projects!$D$13,"")</f>
        <v/>
      </c>
      <c r="CF16" s="567">
        <f>IF(AND(Projects!$C$13&lt;=CF$4,CF$4&lt;=Projects!$C$13+Projects!$D$13-1),Projects!$B$13/Projects!$D$13,"")</f>
        <v/>
      </c>
      <c r="CG16" s="567">
        <f>IF(AND(Projects!$C$13&lt;=CG$4,CG$4&lt;=Projects!$C$13+Projects!$D$13-1),Projects!$B$13/Projects!$D$13,"")</f>
        <v/>
      </c>
      <c r="CH16" s="567">
        <f>IF(AND(Projects!$C$13&lt;=CH$4,CH$4&lt;=Projects!$C$13+Projects!$D$13-1),Projects!$B$13/Projects!$D$13,"")</f>
        <v/>
      </c>
      <c r="CI16" s="567">
        <f>IF(AND(Projects!$C$13&lt;=CI$4,CI$4&lt;=Projects!$C$13+Projects!$D$13-1),Projects!$B$13/Projects!$D$13,"")</f>
        <v/>
      </c>
      <c r="CJ16" s="567">
        <f>IF(AND(Projects!$C$13&lt;=CJ$4,CJ$4&lt;=Projects!$C$13+Projects!$D$13-1),Projects!$B$13/Projects!$D$13,"")</f>
        <v/>
      </c>
      <c r="CK16" s="567">
        <f>IF(AND(Projects!$C$13&lt;=CK$4,CK$4&lt;=Projects!$C$13+Projects!$D$13-1),Projects!$B$13/Projects!$D$13,"")</f>
        <v/>
      </c>
      <c r="CL16" s="567">
        <f>IF(AND(Projects!$C$13&lt;=CL$4,CL$4&lt;=Projects!$C$13+Projects!$D$13-1),Projects!$B$13/Projects!$D$13,"")</f>
        <v/>
      </c>
      <c r="CM16" s="567">
        <f>IF(AND(Projects!$C$13&lt;=CM$4,CM$4&lt;=Projects!$C$13+Projects!$D$13-1),Projects!$B$13/Projects!$D$13,"")</f>
        <v/>
      </c>
      <c r="CN16" s="567">
        <f>IF(AND(Projects!$C$13&lt;=CN$4,CN$4&lt;=Projects!$C$13+Projects!$D$13-1),Projects!$B$13/Projects!$D$13,"")</f>
        <v/>
      </c>
      <c r="CO16" s="567">
        <f>IF(AND(Projects!$C$13&lt;=CO$4,CO$4&lt;=Projects!$C$13+Projects!$D$13-1),Projects!$B$13/Projects!$D$13,"")</f>
        <v/>
      </c>
      <c r="CP16" s="567">
        <f>IF(AND(Projects!$C$13&lt;=CP$4,CP$4&lt;=Projects!$C$13+Projects!$D$13-1),Projects!$B$13/Projects!$D$13,"")</f>
        <v/>
      </c>
      <c r="CQ16" s="567">
        <f>IF(AND(Projects!$C$13&lt;=CQ$4,CQ$4&lt;=Projects!$C$13+Projects!$D$13-1),Projects!$B$13/Projects!$D$13,"")</f>
        <v/>
      </c>
      <c r="CR16" s="567">
        <f>IF(AND(Projects!$C$13&lt;=CR$4,CR$4&lt;=Projects!$C$13+Projects!$D$13-1),Projects!$B$13/Projects!$D$13,"")</f>
        <v/>
      </c>
      <c r="CS16" s="567">
        <f>IF(AND(Projects!$C$13&lt;=CS$4,CS$4&lt;=Projects!$C$13+Projects!$D$13-1),Projects!$B$13/Projects!$D$13,"")</f>
        <v/>
      </c>
      <c r="CT16" s="567">
        <f>IF(AND(Projects!$C$13&lt;=CT$4,CT$4&lt;=Projects!$C$13+Projects!$D$13-1),Projects!$B$13/Projects!$D$13,"")</f>
        <v/>
      </c>
      <c r="CU16" s="567">
        <f>IF(AND(Projects!$C$13&lt;=CU$4,CU$4&lt;=Projects!$C$13+Projects!$D$13-1),Projects!$B$13/Projects!$D$13,"")</f>
        <v/>
      </c>
      <c r="CV16" s="567">
        <f>IF(AND(Projects!$C$13&lt;=CV$4,CV$4&lt;=Projects!$C$13+Projects!$D$13-1),Projects!$B$13/Projects!$D$13,"")</f>
        <v/>
      </c>
      <c r="CW16" s="567">
        <f>IF(AND(Projects!$C$13&lt;=CW$4,CW$4&lt;=Projects!$C$13+Projects!$D$13-1),Projects!$B$13/Projects!$D$13,"")</f>
        <v/>
      </c>
      <c r="CX16" s="567">
        <f>IF(AND(Projects!$C$13&lt;=CX$4,CX$4&lt;=Projects!$C$13+Projects!$D$13-1),Projects!$B$13/Projects!$D$13,"")</f>
        <v/>
      </c>
      <c r="CY16" s="567">
        <f>IF(AND(Projects!$C$13&lt;=CY$4,CY$4&lt;=Projects!$C$13+Projects!$D$13-1),Projects!$B$13/Projects!$D$13,"")</f>
        <v/>
      </c>
      <c r="CZ16" s="567">
        <f>IF(AND(Projects!$C$13&lt;=CZ$4,CZ$4&lt;=Projects!$C$13+Projects!$D$13-1),Projects!$B$13/Projects!$D$13,"")</f>
        <v/>
      </c>
      <c r="DA16" s="567">
        <f>IF(AND(Projects!$C$13&lt;=DA$4,DA$4&lt;=Projects!$C$13+Projects!$D$13-1),Projects!$B$13/Projects!$D$13,"")</f>
        <v/>
      </c>
      <c r="DB16" s="567">
        <f>IF(AND(Projects!$C$13&lt;=DB$4,DB$4&lt;=Projects!$C$13+Projects!$D$13-1),Projects!$B$13/Projects!$D$13,"")</f>
        <v/>
      </c>
    </row>
    <row r="17" ht="15" customFormat="1" customHeight="1" s="380">
      <c r="A17" s="563" t="inlineStr">
        <is>
          <t>3rd St</t>
        </is>
      </c>
      <c r="B17" s="564">
        <f>Projects!$B$14</f>
        <v/>
      </c>
      <c r="C17" s="565">
        <f>EDATE(Model!$E$2,Projects!$C$14-1)</f>
        <v/>
      </c>
      <c r="D17" s="565">
        <f>EDATE(Model!$E$2,Projects!$C$14+Projects!$D$14-2)</f>
        <v/>
      </c>
      <c r="E17" s="566">
        <f>Projects!$D$14</f>
        <v/>
      </c>
      <c r="F17" s="564">
        <f>Projects!$B$14/Projects!$D$14</f>
        <v/>
      </c>
      <c r="G17" s="567">
        <f>IF(AND(Projects!$C$14&lt;=G$4,G$4&lt;=Projects!$C$14+Projects!$D$14-1),Projects!$B$14/Projects!$D$14,"")</f>
        <v/>
      </c>
      <c r="H17" s="567">
        <f>IF(AND(Projects!$C$14&lt;=H$4,H$4&lt;=Projects!$C$14+Projects!$D$14-1),Projects!$B$14/Projects!$D$14,"")</f>
        <v/>
      </c>
      <c r="I17" s="567">
        <f>IF(AND(Projects!$C$14&lt;=I$4,I$4&lt;=Projects!$C$14+Projects!$D$14-1),Projects!$B$14/Projects!$D$14,"")</f>
        <v/>
      </c>
      <c r="J17" s="567">
        <f>IF(AND(Projects!$C$14&lt;=J$4,J$4&lt;=Projects!$C$14+Projects!$D$14-1),Projects!$B$14/Projects!$D$14,"")</f>
        <v/>
      </c>
      <c r="K17" s="567">
        <f>IF(AND(Projects!$C$14&lt;=K$4,K$4&lt;=Projects!$C$14+Projects!$D$14-1),Projects!$B$14/Projects!$D$14,"")</f>
        <v/>
      </c>
      <c r="L17" s="567">
        <f>IF(AND(Projects!$C$14&lt;=L$4,L$4&lt;=Projects!$C$14+Projects!$D$14-1),Projects!$B$14/Projects!$D$14,"")</f>
        <v/>
      </c>
      <c r="M17" s="567">
        <f>IF(AND(Projects!$C$14&lt;=M$4,M$4&lt;=Projects!$C$14+Projects!$D$14-1),Projects!$B$14/Projects!$D$14,"")</f>
        <v/>
      </c>
      <c r="N17" s="567">
        <f>IF(AND(Projects!$C$14&lt;=N$4,N$4&lt;=Projects!$C$14+Projects!$D$14-1),Projects!$B$14/Projects!$D$14,"")</f>
        <v/>
      </c>
      <c r="O17" s="567">
        <f>IF(AND(Projects!$C$14&lt;=O$4,O$4&lt;=Projects!$C$14+Projects!$D$14-1),Projects!$B$14/Projects!$D$14,"")</f>
        <v/>
      </c>
      <c r="P17" s="567">
        <f>IF(AND(Projects!$C$14&lt;=P$4,P$4&lt;=Projects!$C$14+Projects!$D$14-1),Projects!$B$14/Projects!$D$14,"")</f>
        <v/>
      </c>
      <c r="Q17" s="567">
        <f>IF(AND(Projects!$C$14&lt;=Q$4,Q$4&lt;=Projects!$C$14+Projects!$D$14-1),Projects!$B$14/Projects!$D$14,"")</f>
        <v/>
      </c>
      <c r="R17" s="567">
        <f>IF(AND(Projects!$C$14&lt;=R$4,R$4&lt;=Projects!$C$14+Projects!$D$14-1),Projects!$B$14/Projects!$D$14,"")</f>
        <v/>
      </c>
      <c r="S17" s="567">
        <f>IF(AND(Projects!$C$14&lt;=S$4,S$4&lt;=Projects!$C$14+Projects!$D$14-1),Projects!$B$14/Projects!$D$14,"")</f>
        <v/>
      </c>
      <c r="T17" s="567">
        <f>IF(AND(Projects!$C$14&lt;=T$4,T$4&lt;=Projects!$C$14+Projects!$D$14-1),Projects!$B$14/Projects!$D$14,"")</f>
        <v/>
      </c>
      <c r="U17" s="567">
        <f>IF(AND(Projects!$C$14&lt;=U$4,U$4&lt;=Projects!$C$14+Projects!$D$14-1),Projects!$B$14/Projects!$D$14,"")</f>
        <v/>
      </c>
      <c r="V17" s="567">
        <f>IF(AND(Projects!$C$14&lt;=V$4,V$4&lt;=Projects!$C$14+Projects!$D$14-1),Projects!$B$14/Projects!$D$14,"")</f>
        <v/>
      </c>
      <c r="W17" s="567">
        <f>IF(AND(Projects!$C$14&lt;=W$4,W$4&lt;=Projects!$C$14+Projects!$D$14-1),Projects!$B$14/Projects!$D$14,"")</f>
        <v/>
      </c>
      <c r="X17" s="567">
        <f>IF(AND(Projects!$C$14&lt;=X$4,X$4&lt;=Projects!$C$14+Projects!$D$14-1),Projects!$B$14/Projects!$D$14,"")</f>
        <v/>
      </c>
      <c r="Y17" s="567">
        <f>IF(AND(Projects!$C$14&lt;=Y$4,Y$4&lt;=Projects!$C$14+Projects!$D$14-1),Projects!$B$14/Projects!$D$14,"")</f>
        <v/>
      </c>
      <c r="Z17" s="567">
        <f>IF(AND(Projects!$C$14&lt;=Z$4,Z$4&lt;=Projects!$C$14+Projects!$D$14-1),Projects!$B$14/Projects!$D$14,"")</f>
        <v/>
      </c>
      <c r="AA17" s="567">
        <f>IF(AND(Projects!$C$14&lt;=AA$4,AA$4&lt;=Projects!$C$14+Projects!$D$14-1),Projects!$B$14/Projects!$D$14,"")</f>
        <v/>
      </c>
      <c r="AB17" s="567">
        <f>IF(AND(Projects!$C$14&lt;=AB$4,AB$4&lt;=Projects!$C$14+Projects!$D$14-1),Projects!$B$14/Projects!$D$14,"")</f>
        <v/>
      </c>
      <c r="AC17" s="567">
        <f>IF(AND(Projects!$C$14&lt;=AC$4,AC$4&lt;=Projects!$C$14+Projects!$D$14-1),Projects!$B$14/Projects!$D$14,"")</f>
        <v/>
      </c>
      <c r="AD17" s="567">
        <f>IF(AND(Projects!$C$14&lt;=AD$4,AD$4&lt;=Projects!$C$14+Projects!$D$14-1),Projects!$B$14/Projects!$D$14,"")</f>
        <v/>
      </c>
      <c r="AE17" s="567">
        <f>IF(AND(Projects!$C$14&lt;=AE$4,AE$4&lt;=Projects!$C$14+Projects!$D$14-1),Projects!$B$14/Projects!$D$14,"")</f>
        <v/>
      </c>
      <c r="AF17" s="567">
        <f>IF(AND(Projects!$C$14&lt;=AF$4,AF$4&lt;=Projects!$C$14+Projects!$D$14-1),Projects!$B$14/Projects!$D$14,"")</f>
        <v/>
      </c>
      <c r="AG17" s="567">
        <f>IF(AND(Projects!$C$14&lt;=AG$4,AG$4&lt;=Projects!$C$14+Projects!$D$14-1),Projects!$B$14/Projects!$D$14,"")</f>
        <v/>
      </c>
      <c r="AH17" s="567">
        <f>IF(AND(Projects!$C$14&lt;=AH$4,AH$4&lt;=Projects!$C$14+Projects!$D$14-1),Projects!$B$14/Projects!$D$14,"")</f>
        <v/>
      </c>
      <c r="AI17" s="567">
        <f>IF(AND(Projects!$C$14&lt;=AI$4,AI$4&lt;=Projects!$C$14+Projects!$D$14-1),Projects!$B$14/Projects!$D$14,"")</f>
        <v/>
      </c>
      <c r="AJ17" s="567">
        <f>IF(AND(Projects!$C$14&lt;=AJ$4,AJ$4&lt;=Projects!$C$14+Projects!$D$14-1),Projects!$B$14/Projects!$D$14,"")</f>
        <v/>
      </c>
      <c r="AK17" s="567">
        <f>IF(AND(Projects!$C$14&lt;=AK$4,AK$4&lt;=Projects!$C$14+Projects!$D$14-1),Projects!$B$14/Projects!$D$14,"")</f>
        <v/>
      </c>
      <c r="AL17" s="567">
        <f>IF(AND(Projects!$C$14&lt;=AL$4,AL$4&lt;=Projects!$C$14+Projects!$D$14-1),Projects!$B$14/Projects!$D$14,"")</f>
        <v/>
      </c>
      <c r="AM17" s="567">
        <f>IF(AND(Projects!$C$14&lt;=AM$4,AM$4&lt;=Projects!$C$14+Projects!$D$14-1),Projects!$B$14/Projects!$D$14,"")</f>
        <v/>
      </c>
      <c r="AN17" s="567">
        <f>IF(AND(Projects!$C$14&lt;=AN$4,AN$4&lt;=Projects!$C$14+Projects!$D$14-1),Projects!$B$14/Projects!$D$14,"")</f>
        <v/>
      </c>
      <c r="AO17" s="567">
        <f>IF(AND(Projects!$C$14&lt;=AO$4,AO$4&lt;=Projects!$C$14+Projects!$D$14-1),Projects!$B$14/Projects!$D$14,"")</f>
        <v/>
      </c>
      <c r="AP17" s="567">
        <f>IF(AND(Projects!$C$14&lt;=AP$4,AP$4&lt;=Projects!$C$14+Projects!$D$14-1),Projects!$B$14/Projects!$D$14,"")</f>
        <v/>
      </c>
      <c r="AQ17" s="567">
        <f>IF(AND(Projects!$C$14&lt;=AQ$4,AQ$4&lt;=Projects!$C$14+Projects!$D$14-1),Projects!$B$14/Projects!$D$14,"")</f>
        <v/>
      </c>
      <c r="AR17" s="567">
        <f>IF(AND(Projects!$C$14&lt;=AR$4,AR$4&lt;=Projects!$C$14+Projects!$D$14-1),Projects!$B$14/Projects!$D$14,"")</f>
        <v/>
      </c>
      <c r="AS17" s="567">
        <f>IF(AND(Projects!$C$14&lt;=AS$4,AS$4&lt;=Projects!$C$14+Projects!$D$14-1),Projects!$B$14/Projects!$D$14,"")</f>
        <v/>
      </c>
      <c r="AT17" s="567">
        <f>IF(AND(Projects!$C$14&lt;=AT$4,AT$4&lt;=Projects!$C$14+Projects!$D$14-1),Projects!$B$14/Projects!$D$14,"")</f>
        <v/>
      </c>
      <c r="AU17" s="567">
        <f>IF(AND(Projects!$C$14&lt;=AU$4,AU$4&lt;=Projects!$C$14+Projects!$D$14-1),Projects!$B$14/Projects!$D$14,"")</f>
        <v/>
      </c>
      <c r="AV17" s="567">
        <f>IF(AND(Projects!$C$14&lt;=AV$4,AV$4&lt;=Projects!$C$14+Projects!$D$14-1),Projects!$B$14/Projects!$D$14,"")</f>
        <v/>
      </c>
      <c r="AW17" s="567">
        <f>IF(AND(Projects!$C$14&lt;=AW$4,AW$4&lt;=Projects!$C$14+Projects!$D$14-1),Projects!$B$14/Projects!$D$14,"")</f>
        <v/>
      </c>
      <c r="AX17" s="567">
        <f>IF(AND(Projects!$C$14&lt;=AX$4,AX$4&lt;=Projects!$C$14+Projects!$D$14-1),Projects!$B$14/Projects!$D$14,"")</f>
        <v/>
      </c>
      <c r="AY17" s="567">
        <f>IF(AND(Projects!$C$14&lt;=AY$4,AY$4&lt;=Projects!$C$14+Projects!$D$14-1),Projects!$B$14/Projects!$D$14,"")</f>
        <v/>
      </c>
      <c r="AZ17" s="567">
        <f>IF(AND(Projects!$C$14&lt;=AZ$4,AZ$4&lt;=Projects!$C$14+Projects!$D$14-1),Projects!$B$14/Projects!$D$14,"")</f>
        <v/>
      </c>
      <c r="BA17" s="567">
        <f>IF(AND(Projects!$C$14&lt;=BA$4,BA$4&lt;=Projects!$C$14+Projects!$D$14-1),Projects!$B$14/Projects!$D$14,"")</f>
        <v/>
      </c>
      <c r="BB17" s="567">
        <f>IF(AND(Projects!$C$14&lt;=BB$4,BB$4&lt;=Projects!$C$14+Projects!$D$14-1),Projects!$B$14/Projects!$D$14,"")</f>
        <v/>
      </c>
      <c r="BC17" s="567">
        <f>IF(AND(Projects!$C$14&lt;=BC$4,BC$4&lt;=Projects!$C$14+Projects!$D$14-1),Projects!$B$14/Projects!$D$14,"")</f>
        <v/>
      </c>
      <c r="BD17" s="567">
        <f>IF(AND(Projects!$C$14&lt;=BD$4,BD$4&lt;=Projects!$C$14+Projects!$D$14-1),Projects!$B$14/Projects!$D$14,"")</f>
        <v/>
      </c>
      <c r="BE17" s="567">
        <f>IF(AND(Projects!$C$14&lt;=BE$4,BE$4&lt;=Projects!$C$14+Projects!$D$14-1),Projects!$B$14/Projects!$D$14,"")</f>
        <v/>
      </c>
      <c r="BF17" s="567">
        <f>IF(AND(Projects!$C$14&lt;=BF$4,BF$4&lt;=Projects!$C$14+Projects!$D$14-1),Projects!$B$14/Projects!$D$14,"")</f>
        <v/>
      </c>
      <c r="BG17" s="567">
        <f>IF(AND(Projects!$C$14&lt;=BG$4,BG$4&lt;=Projects!$C$14+Projects!$D$14-1),Projects!$B$14/Projects!$D$14,"")</f>
        <v/>
      </c>
      <c r="BH17" s="567">
        <f>IF(AND(Projects!$C$14&lt;=BH$4,BH$4&lt;=Projects!$C$14+Projects!$D$14-1),Projects!$B$14/Projects!$D$14,"")</f>
        <v/>
      </c>
      <c r="BI17" s="567">
        <f>IF(AND(Projects!$C$14&lt;=BI$4,BI$4&lt;=Projects!$C$14+Projects!$D$14-1),Projects!$B$14/Projects!$D$14,"")</f>
        <v/>
      </c>
      <c r="BJ17" s="567">
        <f>IF(AND(Projects!$C$14&lt;=BJ$4,BJ$4&lt;=Projects!$C$14+Projects!$D$14-1),Projects!$B$14/Projects!$D$14,"")</f>
        <v/>
      </c>
      <c r="BK17" s="567">
        <f>IF(AND(Projects!$C$14&lt;=BK$4,BK$4&lt;=Projects!$C$14+Projects!$D$14-1),Projects!$B$14/Projects!$D$14,"")</f>
        <v/>
      </c>
      <c r="BL17" s="567">
        <f>IF(AND(Projects!$C$14&lt;=BL$4,BL$4&lt;=Projects!$C$14+Projects!$D$14-1),Projects!$B$14/Projects!$D$14,"")</f>
        <v/>
      </c>
      <c r="BM17" s="567">
        <f>IF(AND(Projects!$C$14&lt;=BM$4,BM$4&lt;=Projects!$C$14+Projects!$D$14-1),Projects!$B$14/Projects!$D$14,"")</f>
        <v/>
      </c>
      <c r="BN17" s="567">
        <f>IF(AND(Projects!$C$14&lt;=BN$4,BN$4&lt;=Projects!$C$14+Projects!$D$14-1),Projects!$B$14/Projects!$D$14,"")</f>
        <v/>
      </c>
      <c r="BO17" s="567">
        <f>IF(AND(Projects!$C$14&lt;=BO$4,BO$4&lt;=Projects!$C$14+Projects!$D$14-1),Projects!$B$14/Projects!$D$14,"")</f>
        <v/>
      </c>
      <c r="BP17" s="567">
        <f>IF(AND(Projects!$C$14&lt;=BP$4,BP$4&lt;=Projects!$C$14+Projects!$D$14-1),Projects!$B$14/Projects!$D$14,"")</f>
        <v/>
      </c>
      <c r="BQ17" s="567">
        <f>IF(AND(Projects!$C$14&lt;=BQ$4,BQ$4&lt;=Projects!$C$14+Projects!$D$14-1),Projects!$B$14/Projects!$D$14,"")</f>
        <v/>
      </c>
      <c r="BR17" s="567">
        <f>IF(AND(Projects!$C$14&lt;=BR$4,BR$4&lt;=Projects!$C$14+Projects!$D$14-1),Projects!$B$14/Projects!$D$14,"")</f>
        <v/>
      </c>
      <c r="BS17" s="567">
        <f>IF(AND(Projects!$C$14&lt;=BS$4,BS$4&lt;=Projects!$C$14+Projects!$D$14-1),Projects!$B$14/Projects!$D$14,"")</f>
        <v/>
      </c>
      <c r="BT17" s="567">
        <f>IF(AND(Projects!$C$14&lt;=BT$4,BT$4&lt;=Projects!$C$14+Projects!$D$14-1),Projects!$B$14/Projects!$D$14,"")</f>
        <v/>
      </c>
      <c r="BU17" s="567">
        <f>IF(AND(Projects!$C$14&lt;=BU$4,BU$4&lt;=Projects!$C$14+Projects!$D$14-1),Projects!$B$14/Projects!$D$14,"")</f>
        <v/>
      </c>
      <c r="BV17" s="567">
        <f>IF(AND(Projects!$C$14&lt;=BV$4,BV$4&lt;=Projects!$C$14+Projects!$D$14-1),Projects!$B$14/Projects!$D$14,"")</f>
        <v/>
      </c>
      <c r="BW17" s="567">
        <f>IF(AND(Projects!$C$14&lt;=BW$4,BW$4&lt;=Projects!$C$14+Projects!$D$14-1),Projects!$B$14/Projects!$D$14,"")</f>
        <v/>
      </c>
      <c r="BX17" s="567">
        <f>IF(AND(Projects!$C$14&lt;=BX$4,BX$4&lt;=Projects!$C$14+Projects!$D$14-1),Projects!$B$14/Projects!$D$14,"")</f>
        <v/>
      </c>
      <c r="BY17" s="567">
        <f>IF(AND(Projects!$C$14&lt;=BY$4,BY$4&lt;=Projects!$C$14+Projects!$D$14-1),Projects!$B$14/Projects!$D$14,"")</f>
        <v/>
      </c>
      <c r="BZ17" s="567">
        <f>IF(AND(Projects!$C$14&lt;=BZ$4,BZ$4&lt;=Projects!$C$14+Projects!$D$14-1),Projects!$B$14/Projects!$D$14,"")</f>
        <v/>
      </c>
      <c r="CA17" s="567">
        <f>IF(AND(Projects!$C$14&lt;=CA$4,CA$4&lt;=Projects!$C$14+Projects!$D$14-1),Projects!$B$14/Projects!$D$14,"")</f>
        <v/>
      </c>
      <c r="CB17" s="567">
        <f>IF(AND(Projects!$C$14&lt;=CB$4,CB$4&lt;=Projects!$C$14+Projects!$D$14-1),Projects!$B$14/Projects!$D$14,"")</f>
        <v/>
      </c>
      <c r="CC17" s="567">
        <f>IF(AND(Projects!$C$14&lt;=CC$4,CC$4&lt;=Projects!$C$14+Projects!$D$14-1),Projects!$B$14/Projects!$D$14,"")</f>
        <v/>
      </c>
      <c r="CD17" s="567">
        <f>IF(AND(Projects!$C$14&lt;=CD$4,CD$4&lt;=Projects!$C$14+Projects!$D$14-1),Projects!$B$14/Projects!$D$14,"")</f>
        <v/>
      </c>
      <c r="CE17" s="567">
        <f>IF(AND(Projects!$C$14&lt;=CE$4,CE$4&lt;=Projects!$C$14+Projects!$D$14-1),Projects!$B$14/Projects!$D$14,"")</f>
        <v/>
      </c>
      <c r="CF17" s="567">
        <f>IF(AND(Projects!$C$14&lt;=CF$4,CF$4&lt;=Projects!$C$14+Projects!$D$14-1),Projects!$B$14/Projects!$D$14,"")</f>
        <v/>
      </c>
      <c r="CG17" s="567">
        <f>IF(AND(Projects!$C$14&lt;=CG$4,CG$4&lt;=Projects!$C$14+Projects!$D$14-1),Projects!$B$14/Projects!$D$14,"")</f>
        <v/>
      </c>
      <c r="CH17" s="567">
        <f>IF(AND(Projects!$C$14&lt;=CH$4,CH$4&lt;=Projects!$C$14+Projects!$D$14-1),Projects!$B$14/Projects!$D$14,"")</f>
        <v/>
      </c>
      <c r="CI17" s="567">
        <f>IF(AND(Projects!$C$14&lt;=CI$4,CI$4&lt;=Projects!$C$14+Projects!$D$14-1),Projects!$B$14/Projects!$D$14,"")</f>
        <v/>
      </c>
      <c r="CJ17" s="567">
        <f>IF(AND(Projects!$C$14&lt;=CJ$4,CJ$4&lt;=Projects!$C$14+Projects!$D$14-1),Projects!$B$14/Projects!$D$14,"")</f>
        <v/>
      </c>
      <c r="CK17" s="567">
        <f>IF(AND(Projects!$C$14&lt;=CK$4,CK$4&lt;=Projects!$C$14+Projects!$D$14-1),Projects!$B$14/Projects!$D$14,"")</f>
        <v/>
      </c>
      <c r="CL17" s="567">
        <f>IF(AND(Projects!$C$14&lt;=CL$4,CL$4&lt;=Projects!$C$14+Projects!$D$14-1),Projects!$B$14/Projects!$D$14,"")</f>
        <v/>
      </c>
      <c r="CM17" s="567">
        <f>IF(AND(Projects!$C$14&lt;=CM$4,CM$4&lt;=Projects!$C$14+Projects!$D$14-1),Projects!$B$14/Projects!$D$14,"")</f>
        <v/>
      </c>
      <c r="CN17" s="567">
        <f>IF(AND(Projects!$C$14&lt;=CN$4,CN$4&lt;=Projects!$C$14+Projects!$D$14-1),Projects!$B$14/Projects!$D$14,"")</f>
        <v/>
      </c>
      <c r="CO17" s="567">
        <f>IF(AND(Projects!$C$14&lt;=CO$4,CO$4&lt;=Projects!$C$14+Projects!$D$14-1),Projects!$B$14/Projects!$D$14,"")</f>
        <v/>
      </c>
      <c r="CP17" s="567">
        <f>IF(AND(Projects!$C$14&lt;=CP$4,CP$4&lt;=Projects!$C$14+Projects!$D$14-1),Projects!$B$14/Projects!$D$14,"")</f>
        <v/>
      </c>
      <c r="CQ17" s="567">
        <f>IF(AND(Projects!$C$14&lt;=CQ$4,CQ$4&lt;=Projects!$C$14+Projects!$D$14-1),Projects!$B$14/Projects!$D$14,"")</f>
        <v/>
      </c>
      <c r="CR17" s="567">
        <f>IF(AND(Projects!$C$14&lt;=CR$4,CR$4&lt;=Projects!$C$14+Projects!$D$14-1),Projects!$B$14/Projects!$D$14,"")</f>
        <v/>
      </c>
      <c r="CS17" s="567">
        <f>IF(AND(Projects!$C$14&lt;=CS$4,CS$4&lt;=Projects!$C$14+Projects!$D$14-1),Projects!$B$14/Projects!$D$14,"")</f>
        <v/>
      </c>
      <c r="CT17" s="567">
        <f>IF(AND(Projects!$C$14&lt;=CT$4,CT$4&lt;=Projects!$C$14+Projects!$D$14-1),Projects!$B$14/Projects!$D$14,"")</f>
        <v/>
      </c>
      <c r="CU17" s="567">
        <f>IF(AND(Projects!$C$14&lt;=CU$4,CU$4&lt;=Projects!$C$14+Projects!$D$14-1),Projects!$B$14/Projects!$D$14,"")</f>
        <v/>
      </c>
      <c r="CV17" s="567">
        <f>IF(AND(Projects!$C$14&lt;=CV$4,CV$4&lt;=Projects!$C$14+Projects!$D$14-1),Projects!$B$14/Projects!$D$14,"")</f>
        <v/>
      </c>
      <c r="CW17" s="567">
        <f>IF(AND(Projects!$C$14&lt;=CW$4,CW$4&lt;=Projects!$C$14+Projects!$D$14-1),Projects!$B$14/Projects!$D$14,"")</f>
        <v/>
      </c>
      <c r="CX17" s="567">
        <f>IF(AND(Projects!$C$14&lt;=CX$4,CX$4&lt;=Projects!$C$14+Projects!$D$14-1),Projects!$B$14/Projects!$D$14,"")</f>
        <v/>
      </c>
      <c r="CY17" s="567">
        <f>IF(AND(Projects!$C$14&lt;=CY$4,CY$4&lt;=Projects!$C$14+Projects!$D$14-1),Projects!$B$14/Projects!$D$14,"")</f>
        <v/>
      </c>
      <c r="CZ17" s="567">
        <f>IF(AND(Projects!$C$14&lt;=CZ$4,CZ$4&lt;=Projects!$C$14+Projects!$D$14-1),Projects!$B$14/Projects!$D$14,"")</f>
        <v/>
      </c>
      <c r="DA17" s="567">
        <f>IF(AND(Projects!$C$14&lt;=DA$4,DA$4&lt;=Projects!$C$14+Projects!$D$14-1),Projects!$B$14/Projects!$D$14,"")</f>
        <v/>
      </c>
      <c r="DB17" s="567">
        <f>IF(AND(Projects!$C$14&lt;=DB$4,DB$4&lt;=Projects!$C$14+Projects!$D$14-1),Projects!$B$14/Projects!$D$14,"")</f>
        <v/>
      </c>
    </row>
    <row r="18" ht="15" customFormat="1" customHeight="1" s="380">
      <c r="A18" s="563" t="inlineStr">
        <is>
          <t>Dickens</t>
        </is>
      </c>
      <c r="B18" s="564">
        <f>Projects!$B$17</f>
        <v/>
      </c>
      <c r="C18" s="565">
        <f>EDATE(Model!$E$2,Projects!$C$17-1)</f>
        <v/>
      </c>
      <c r="D18" s="565">
        <f>EDATE(Model!$E$2,Projects!$C$17+Projects!$D$17-2)</f>
        <v/>
      </c>
      <c r="E18" s="566">
        <f>Projects!$D$17</f>
        <v/>
      </c>
      <c r="F18" s="564">
        <f>Projects!$B$17/Projects!$D$17</f>
        <v/>
      </c>
      <c r="G18" s="567">
        <f>IF(AND(Projects!$C$17&lt;=G$4,G$4&lt;=Projects!$C$17+Projects!$D$17-1),Projects!$B$17/Projects!$D$17,"")</f>
        <v/>
      </c>
      <c r="H18" s="567">
        <f>IF(AND(Projects!$C$17&lt;=H$4,H$4&lt;=Projects!$C$17+Projects!$D$17-1),Projects!$B$17/Projects!$D$17,"")</f>
        <v/>
      </c>
      <c r="I18" s="567">
        <f>IF(AND(Projects!$C$17&lt;=I$4,I$4&lt;=Projects!$C$17+Projects!$D$17-1),Projects!$B$17/Projects!$D$17,"")</f>
        <v/>
      </c>
      <c r="J18" s="567">
        <f>IF(AND(Projects!$C$17&lt;=J$4,J$4&lt;=Projects!$C$17+Projects!$D$17-1),Projects!$B$17/Projects!$D$17,"")</f>
        <v/>
      </c>
      <c r="K18" s="567">
        <f>IF(AND(Projects!$C$17&lt;=K$4,K$4&lt;=Projects!$C$17+Projects!$D$17-1),Projects!$B$17/Projects!$D$17,"")</f>
        <v/>
      </c>
      <c r="L18" s="567">
        <f>IF(AND(Projects!$C$17&lt;=L$4,L$4&lt;=Projects!$C$17+Projects!$D$17-1),Projects!$B$17/Projects!$D$17,"")</f>
        <v/>
      </c>
      <c r="M18" s="567">
        <f>IF(AND(Projects!$C$17&lt;=M$4,M$4&lt;=Projects!$C$17+Projects!$D$17-1),Projects!$B$17/Projects!$D$17,"")</f>
        <v/>
      </c>
      <c r="N18" s="567">
        <f>IF(AND(Projects!$C$17&lt;=N$4,N$4&lt;=Projects!$C$17+Projects!$D$17-1),Projects!$B$17/Projects!$D$17,"")</f>
        <v/>
      </c>
      <c r="O18" s="567">
        <f>IF(AND(Projects!$C$17&lt;=O$4,O$4&lt;=Projects!$C$17+Projects!$D$17-1),Projects!$B$17/Projects!$D$17,"")</f>
        <v/>
      </c>
      <c r="P18" s="567">
        <f>IF(AND(Projects!$C$17&lt;=P$4,P$4&lt;=Projects!$C$17+Projects!$D$17-1),Projects!$B$17/Projects!$D$17,"")</f>
        <v/>
      </c>
      <c r="Q18" s="567">
        <f>IF(AND(Projects!$C$17&lt;=Q$4,Q$4&lt;=Projects!$C$17+Projects!$D$17-1),Projects!$B$17/Projects!$D$17,"")</f>
        <v/>
      </c>
      <c r="R18" s="567">
        <f>IF(AND(Projects!$C$17&lt;=R$4,R$4&lt;=Projects!$C$17+Projects!$D$17-1),Projects!$B$17/Projects!$D$17,"")</f>
        <v/>
      </c>
      <c r="S18" s="567">
        <f>IF(AND(Projects!$C$17&lt;=S$4,S$4&lt;=Projects!$C$17+Projects!$D$17-1),Projects!$B$17/Projects!$D$17,"")</f>
        <v/>
      </c>
      <c r="T18" s="567">
        <f>IF(AND(Projects!$C$17&lt;=T$4,T$4&lt;=Projects!$C$17+Projects!$D$17-1),Projects!$B$17/Projects!$D$17,"")</f>
        <v/>
      </c>
      <c r="U18" s="567">
        <f>IF(AND(Projects!$C$17&lt;=U$4,U$4&lt;=Projects!$C$17+Projects!$D$17-1),Projects!$B$17/Projects!$D$17,"")</f>
        <v/>
      </c>
      <c r="V18" s="567">
        <f>IF(AND(Projects!$C$17&lt;=V$4,V$4&lt;=Projects!$C$17+Projects!$D$17-1),Projects!$B$17/Projects!$D$17,"")</f>
        <v/>
      </c>
      <c r="W18" s="567">
        <f>IF(AND(Projects!$C$17&lt;=W$4,W$4&lt;=Projects!$C$17+Projects!$D$17-1),Projects!$B$17/Projects!$D$17,"")</f>
        <v/>
      </c>
      <c r="X18" s="567">
        <f>IF(AND(Projects!$C$17&lt;=X$4,X$4&lt;=Projects!$C$17+Projects!$D$17-1),Projects!$B$17/Projects!$D$17,"")</f>
        <v/>
      </c>
      <c r="Y18" s="567">
        <f>IF(AND(Projects!$C$17&lt;=Y$4,Y$4&lt;=Projects!$C$17+Projects!$D$17-1),Projects!$B$17/Projects!$D$17,"")</f>
        <v/>
      </c>
      <c r="Z18" s="567">
        <f>IF(AND(Projects!$C$17&lt;=Z$4,Z$4&lt;=Projects!$C$17+Projects!$D$17-1),Projects!$B$17/Projects!$D$17,"")</f>
        <v/>
      </c>
      <c r="AA18" s="567">
        <f>IF(AND(Projects!$C$17&lt;=AA$4,AA$4&lt;=Projects!$C$17+Projects!$D$17-1),Projects!$B$17/Projects!$D$17,"")</f>
        <v/>
      </c>
      <c r="AB18" s="567">
        <f>IF(AND(Projects!$C$17&lt;=AB$4,AB$4&lt;=Projects!$C$17+Projects!$D$17-1),Projects!$B$17/Projects!$D$17,"")</f>
        <v/>
      </c>
      <c r="AC18" s="567">
        <f>IF(AND(Projects!$C$17&lt;=AC$4,AC$4&lt;=Projects!$C$17+Projects!$D$17-1),Projects!$B$17/Projects!$D$17,"")</f>
        <v/>
      </c>
      <c r="AD18" s="567">
        <f>IF(AND(Projects!$C$17&lt;=AD$4,AD$4&lt;=Projects!$C$17+Projects!$D$17-1),Projects!$B$17/Projects!$D$17,"")</f>
        <v/>
      </c>
      <c r="AE18" s="567">
        <f>IF(AND(Projects!$C$17&lt;=AE$4,AE$4&lt;=Projects!$C$17+Projects!$D$17-1),Projects!$B$17/Projects!$D$17,"")</f>
        <v/>
      </c>
      <c r="AF18" s="567">
        <f>IF(AND(Projects!$C$17&lt;=AF$4,AF$4&lt;=Projects!$C$17+Projects!$D$17-1),Projects!$B$17/Projects!$D$17,"")</f>
        <v/>
      </c>
      <c r="AG18" s="567">
        <f>IF(AND(Projects!$C$17&lt;=AG$4,AG$4&lt;=Projects!$C$17+Projects!$D$17-1),Projects!$B$17/Projects!$D$17,"")</f>
        <v/>
      </c>
      <c r="AH18" s="567">
        <f>IF(AND(Projects!$C$17&lt;=AH$4,AH$4&lt;=Projects!$C$17+Projects!$D$17-1),Projects!$B$17/Projects!$D$17,"")</f>
        <v/>
      </c>
      <c r="AI18" s="567">
        <f>IF(AND(Projects!$C$17&lt;=AI$4,AI$4&lt;=Projects!$C$17+Projects!$D$17-1),Projects!$B$17/Projects!$D$17,"")</f>
        <v/>
      </c>
      <c r="AJ18" s="567">
        <f>IF(AND(Projects!$C$17&lt;=AJ$4,AJ$4&lt;=Projects!$C$17+Projects!$D$17-1),Projects!$B$17/Projects!$D$17,"")</f>
        <v/>
      </c>
      <c r="AK18" s="567">
        <f>IF(AND(Projects!$C$17&lt;=AK$4,AK$4&lt;=Projects!$C$17+Projects!$D$17-1),Projects!$B$17/Projects!$D$17,"")</f>
        <v/>
      </c>
      <c r="AL18" s="567">
        <f>IF(AND(Projects!$C$17&lt;=AL$4,AL$4&lt;=Projects!$C$17+Projects!$D$17-1),Projects!$B$17/Projects!$D$17,"")</f>
        <v/>
      </c>
      <c r="AM18" s="567">
        <f>IF(AND(Projects!$C$17&lt;=AM$4,AM$4&lt;=Projects!$C$17+Projects!$D$17-1),Projects!$B$17/Projects!$D$17,"")</f>
        <v/>
      </c>
      <c r="AN18" s="567">
        <f>IF(AND(Projects!$C$17&lt;=AN$4,AN$4&lt;=Projects!$C$17+Projects!$D$17-1),Projects!$B$17/Projects!$D$17,"")</f>
        <v/>
      </c>
      <c r="AO18" s="567">
        <f>IF(AND(Projects!$C$17&lt;=AO$4,AO$4&lt;=Projects!$C$17+Projects!$D$17-1),Projects!$B$17/Projects!$D$17,"")</f>
        <v/>
      </c>
      <c r="AP18" s="567">
        <f>IF(AND(Projects!$C$17&lt;=AP$4,AP$4&lt;=Projects!$C$17+Projects!$D$17-1),Projects!$B$17/Projects!$D$17,"")</f>
        <v/>
      </c>
      <c r="AQ18" s="567">
        <f>IF(AND(Projects!$C$17&lt;=AQ$4,AQ$4&lt;=Projects!$C$17+Projects!$D$17-1),Projects!$B$17/Projects!$D$17,"")</f>
        <v/>
      </c>
      <c r="AR18" s="567">
        <f>IF(AND(Projects!$C$17&lt;=AR$4,AR$4&lt;=Projects!$C$17+Projects!$D$17-1),Projects!$B$17/Projects!$D$17,"")</f>
        <v/>
      </c>
      <c r="AS18" s="567">
        <f>IF(AND(Projects!$C$17&lt;=AS$4,AS$4&lt;=Projects!$C$17+Projects!$D$17-1),Projects!$B$17/Projects!$D$17,"")</f>
        <v/>
      </c>
      <c r="AT18" s="567">
        <f>IF(AND(Projects!$C$17&lt;=AT$4,AT$4&lt;=Projects!$C$17+Projects!$D$17-1),Projects!$B$17/Projects!$D$17,"")</f>
        <v/>
      </c>
      <c r="AU18" s="567">
        <f>IF(AND(Projects!$C$17&lt;=AU$4,AU$4&lt;=Projects!$C$17+Projects!$D$17-1),Projects!$B$17/Projects!$D$17,"")</f>
        <v/>
      </c>
      <c r="AV18" s="567">
        <f>IF(AND(Projects!$C$17&lt;=AV$4,AV$4&lt;=Projects!$C$17+Projects!$D$17-1),Projects!$B$17/Projects!$D$17,"")</f>
        <v/>
      </c>
      <c r="AW18" s="567">
        <f>IF(AND(Projects!$C$17&lt;=AW$4,AW$4&lt;=Projects!$C$17+Projects!$D$17-1),Projects!$B$17/Projects!$D$17,"")</f>
        <v/>
      </c>
      <c r="AX18" s="567">
        <f>IF(AND(Projects!$C$17&lt;=AX$4,AX$4&lt;=Projects!$C$17+Projects!$D$17-1),Projects!$B$17/Projects!$D$17,"")</f>
        <v/>
      </c>
      <c r="AY18" s="567">
        <f>IF(AND(Projects!$C$17&lt;=AY$4,AY$4&lt;=Projects!$C$17+Projects!$D$17-1),Projects!$B$17/Projects!$D$17,"")</f>
        <v/>
      </c>
      <c r="AZ18" s="567">
        <f>IF(AND(Projects!$C$17&lt;=AZ$4,AZ$4&lt;=Projects!$C$17+Projects!$D$17-1),Projects!$B$17/Projects!$D$17,"")</f>
        <v/>
      </c>
      <c r="BA18" s="567">
        <f>IF(AND(Projects!$C$17&lt;=BA$4,BA$4&lt;=Projects!$C$17+Projects!$D$17-1),Projects!$B$17/Projects!$D$17,"")</f>
        <v/>
      </c>
      <c r="BB18" s="567">
        <f>IF(AND(Projects!$C$17&lt;=BB$4,BB$4&lt;=Projects!$C$17+Projects!$D$17-1),Projects!$B$17/Projects!$D$17,"")</f>
        <v/>
      </c>
      <c r="BC18" s="567">
        <f>IF(AND(Projects!$C$17&lt;=BC$4,BC$4&lt;=Projects!$C$17+Projects!$D$17-1),Projects!$B$17/Projects!$D$17,"")</f>
        <v/>
      </c>
      <c r="BD18" s="567">
        <f>IF(AND(Projects!$C$17&lt;=BD$4,BD$4&lt;=Projects!$C$17+Projects!$D$17-1),Projects!$B$17/Projects!$D$17,"")</f>
        <v/>
      </c>
      <c r="BE18" s="567">
        <f>IF(AND(Projects!$C$17&lt;=BE$4,BE$4&lt;=Projects!$C$17+Projects!$D$17-1),Projects!$B$17/Projects!$D$17,"")</f>
        <v/>
      </c>
      <c r="BF18" s="567">
        <f>IF(AND(Projects!$C$17&lt;=BF$4,BF$4&lt;=Projects!$C$17+Projects!$D$17-1),Projects!$B$17/Projects!$D$17,"")</f>
        <v/>
      </c>
      <c r="BG18" s="567">
        <f>IF(AND(Projects!$C$17&lt;=BG$4,BG$4&lt;=Projects!$C$17+Projects!$D$17-1),Projects!$B$17/Projects!$D$17,"")</f>
        <v/>
      </c>
      <c r="BH18" s="567">
        <f>IF(AND(Projects!$C$17&lt;=BH$4,BH$4&lt;=Projects!$C$17+Projects!$D$17-1),Projects!$B$17/Projects!$D$17,"")</f>
        <v/>
      </c>
      <c r="BI18" s="567">
        <f>IF(AND(Projects!$C$17&lt;=BI$4,BI$4&lt;=Projects!$C$17+Projects!$D$17-1),Projects!$B$17/Projects!$D$17,"")</f>
        <v/>
      </c>
      <c r="BJ18" s="567">
        <f>IF(AND(Projects!$C$17&lt;=BJ$4,BJ$4&lt;=Projects!$C$17+Projects!$D$17-1),Projects!$B$17/Projects!$D$17,"")</f>
        <v/>
      </c>
      <c r="BK18" s="567">
        <f>IF(AND(Projects!$C$17&lt;=BK$4,BK$4&lt;=Projects!$C$17+Projects!$D$17-1),Projects!$B$17/Projects!$D$17,"")</f>
        <v/>
      </c>
      <c r="BL18" s="567">
        <f>IF(AND(Projects!$C$17&lt;=BL$4,BL$4&lt;=Projects!$C$17+Projects!$D$17-1),Projects!$B$17/Projects!$D$17,"")</f>
        <v/>
      </c>
      <c r="BM18" s="567">
        <f>IF(AND(Projects!$C$17&lt;=BM$4,BM$4&lt;=Projects!$C$17+Projects!$D$17-1),Projects!$B$17/Projects!$D$17,"")</f>
        <v/>
      </c>
      <c r="BN18" s="567">
        <f>IF(AND(Projects!$C$17&lt;=BN$4,BN$4&lt;=Projects!$C$17+Projects!$D$17-1),Projects!$B$17/Projects!$D$17,"")</f>
        <v/>
      </c>
      <c r="BO18" s="567">
        <f>IF(AND(Projects!$C$17&lt;=BO$4,BO$4&lt;=Projects!$C$17+Projects!$D$17-1),Projects!$B$17/Projects!$D$17,"")</f>
        <v/>
      </c>
      <c r="BP18" s="567">
        <f>IF(AND(Projects!$C$17&lt;=BP$4,BP$4&lt;=Projects!$C$17+Projects!$D$17-1),Projects!$B$17/Projects!$D$17,"")</f>
        <v/>
      </c>
      <c r="BQ18" s="567">
        <f>IF(AND(Projects!$C$17&lt;=BQ$4,BQ$4&lt;=Projects!$C$17+Projects!$D$17-1),Projects!$B$17/Projects!$D$17,"")</f>
        <v/>
      </c>
      <c r="BR18" s="567">
        <f>IF(AND(Projects!$C$17&lt;=BR$4,BR$4&lt;=Projects!$C$17+Projects!$D$17-1),Projects!$B$17/Projects!$D$17,"")</f>
        <v/>
      </c>
      <c r="BS18" s="567">
        <f>IF(AND(Projects!$C$17&lt;=BS$4,BS$4&lt;=Projects!$C$17+Projects!$D$17-1),Projects!$B$17/Projects!$D$17,"")</f>
        <v/>
      </c>
      <c r="BT18" s="567">
        <f>IF(AND(Projects!$C$17&lt;=BT$4,BT$4&lt;=Projects!$C$17+Projects!$D$17-1),Projects!$B$17/Projects!$D$17,"")</f>
        <v/>
      </c>
      <c r="BU18" s="567">
        <f>IF(AND(Projects!$C$17&lt;=BU$4,BU$4&lt;=Projects!$C$17+Projects!$D$17-1),Projects!$B$17/Projects!$D$17,"")</f>
        <v/>
      </c>
      <c r="BV18" s="567">
        <f>IF(AND(Projects!$C$17&lt;=BV$4,BV$4&lt;=Projects!$C$17+Projects!$D$17-1),Projects!$B$17/Projects!$D$17,"")</f>
        <v/>
      </c>
      <c r="BW18" s="567">
        <f>IF(AND(Projects!$C$17&lt;=BW$4,BW$4&lt;=Projects!$C$17+Projects!$D$17-1),Projects!$B$17/Projects!$D$17,"")</f>
        <v/>
      </c>
      <c r="BX18" s="567">
        <f>IF(AND(Projects!$C$17&lt;=BX$4,BX$4&lt;=Projects!$C$17+Projects!$D$17-1),Projects!$B$17/Projects!$D$17,"")</f>
        <v/>
      </c>
      <c r="BY18" s="567">
        <f>IF(AND(Projects!$C$17&lt;=BY$4,BY$4&lt;=Projects!$C$17+Projects!$D$17-1),Projects!$B$17/Projects!$D$17,"")</f>
        <v/>
      </c>
      <c r="BZ18" s="567">
        <f>IF(AND(Projects!$C$17&lt;=BZ$4,BZ$4&lt;=Projects!$C$17+Projects!$D$17-1),Projects!$B$17/Projects!$D$17,"")</f>
        <v/>
      </c>
      <c r="CA18" s="567">
        <f>IF(AND(Projects!$C$17&lt;=CA$4,CA$4&lt;=Projects!$C$17+Projects!$D$17-1),Projects!$B$17/Projects!$D$17,"")</f>
        <v/>
      </c>
      <c r="CB18" s="567">
        <f>IF(AND(Projects!$C$17&lt;=CB$4,CB$4&lt;=Projects!$C$17+Projects!$D$17-1),Projects!$B$17/Projects!$D$17,"")</f>
        <v/>
      </c>
      <c r="CC18" s="567">
        <f>IF(AND(Projects!$C$17&lt;=CC$4,CC$4&lt;=Projects!$C$17+Projects!$D$17-1),Projects!$B$17/Projects!$D$17,"")</f>
        <v/>
      </c>
      <c r="CD18" s="567">
        <f>IF(AND(Projects!$C$17&lt;=CD$4,CD$4&lt;=Projects!$C$17+Projects!$D$17-1),Projects!$B$17/Projects!$D$17,"")</f>
        <v/>
      </c>
      <c r="CE18" s="567">
        <f>IF(AND(Projects!$C$17&lt;=CE$4,CE$4&lt;=Projects!$C$17+Projects!$D$17-1),Projects!$B$17/Projects!$D$17,"")</f>
        <v/>
      </c>
      <c r="CF18" s="567">
        <f>IF(AND(Projects!$C$17&lt;=CF$4,CF$4&lt;=Projects!$C$17+Projects!$D$17-1),Projects!$B$17/Projects!$D$17,"")</f>
        <v/>
      </c>
      <c r="CG18" s="567">
        <f>IF(AND(Projects!$C$17&lt;=CG$4,CG$4&lt;=Projects!$C$17+Projects!$D$17-1),Projects!$B$17/Projects!$D$17,"")</f>
        <v/>
      </c>
      <c r="CH18" s="567">
        <f>IF(AND(Projects!$C$17&lt;=CH$4,CH$4&lt;=Projects!$C$17+Projects!$D$17-1),Projects!$B$17/Projects!$D$17,"")</f>
        <v/>
      </c>
      <c r="CI18" s="567">
        <f>IF(AND(Projects!$C$17&lt;=CI$4,CI$4&lt;=Projects!$C$17+Projects!$D$17-1),Projects!$B$17/Projects!$D$17,"")</f>
        <v/>
      </c>
      <c r="CJ18" s="567">
        <f>IF(AND(Projects!$C$17&lt;=CJ$4,CJ$4&lt;=Projects!$C$17+Projects!$D$17-1),Projects!$B$17/Projects!$D$17,"")</f>
        <v/>
      </c>
      <c r="CK18" s="567">
        <f>IF(AND(Projects!$C$17&lt;=CK$4,CK$4&lt;=Projects!$C$17+Projects!$D$17-1),Projects!$B$17/Projects!$D$17,"")</f>
        <v/>
      </c>
      <c r="CL18" s="567">
        <f>IF(AND(Projects!$C$17&lt;=CL$4,CL$4&lt;=Projects!$C$17+Projects!$D$17-1),Projects!$B$17/Projects!$D$17,"")</f>
        <v/>
      </c>
      <c r="CM18" s="567">
        <f>IF(AND(Projects!$C$17&lt;=CM$4,CM$4&lt;=Projects!$C$17+Projects!$D$17-1),Projects!$B$17/Projects!$D$17,"")</f>
        <v/>
      </c>
      <c r="CN18" s="567">
        <f>IF(AND(Projects!$C$17&lt;=CN$4,CN$4&lt;=Projects!$C$17+Projects!$D$17-1),Projects!$B$17/Projects!$D$17,"")</f>
        <v/>
      </c>
      <c r="CO18" s="567">
        <f>IF(AND(Projects!$C$17&lt;=CO$4,CO$4&lt;=Projects!$C$17+Projects!$D$17-1),Projects!$B$17/Projects!$D$17,"")</f>
        <v/>
      </c>
      <c r="CP18" s="567">
        <f>IF(AND(Projects!$C$17&lt;=CP$4,CP$4&lt;=Projects!$C$17+Projects!$D$17-1),Projects!$B$17/Projects!$D$17,"")</f>
        <v/>
      </c>
      <c r="CQ18" s="567">
        <f>IF(AND(Projects!$C$17&lt;=CQ$4,CQ$4&lt;=Projects!$C$17+Projects!$D$17-1),Projects!$B$17/Projects!$D$17,"")</f>
        <v/>
      </c>
      <c r="CR18" s="567">
        <f>IF(AND(Projects!$C$17&lt;=CR$4,CR$4&lt;=Projects!$C$17+Projects!$D$17-1),Projects!$B$17/Projects!$D$17,"")</f>
        <v/>
      </c>
      <c r="CS18" s="567">
        <f>IF(AND(Projects!$C$17&lt;=CS$4,CS$4&lt;=Projects!$C$17+Projects!$D$17-1),Projects!$B$17/Projects!$D$17,"")</f>
        <v/>
      </c>
      <c r="CT18" s="567">
        <f>IF(AND(Projects!$C$17&lt;=CT$4,CT$4&lt;=Projects!$C$17+Projects!$D$17-1),Projects!$B$17/Projects!$D$17,"")</f>
        <v/>
      </c>
      <c r="CU18" s="567">
        <f>IF(AND(Projects!$C$17&lt;=CU$4,CU$4&lt;=Projects!$C$17+Projects!$D$17-1),Projects!$B$17/Projects!$D$17,"")</f>
        <v/>
      </c>
      <c r="CV18" s="567">
        <f>IF(AND(Projects!$C$17&lt;=CV$4,CV$4&lt;=Projects!$C$17+Projects!$D$17-1),Projects!$B$17/Projects!$D$17,"")</f>
        <v/>
      </c>
      <c r="CW18" s="567">
        <f>IF(AND(Projects!$C$17&lt;=CW$4,CW$4&lt;=Projects!$C$17+Projects!$D$17-1),Projects!$B$17/Projects!$D$17,"")</f>
        <v/>
      </c>
      <c r="CX18" s="567">
        <f>IF(AND(Projects!$C$17&lt;=CX$4,CX$4&lt;=Projects!$C$17+Projects!$D$17-1),Projects!$B$17/Projects!$D$17,"")</f>
        <v/>
      </c>
      <c r="CY18" s="567">
        <f>IF(AND(Projects!$C$17&lt;=CY$4,CY$4&lt;=Projects!$C$17+Projects!$D$17-1),Projects!$B$17/Projects!$D$17,"")</f>
        <v/>
      </c>
      <c r="CZ18" s="567">
        <f>IF(AND(Projects!$C$17&lt;=CZ$4,CZ$4&lt;=Projects!$C$17+Projects!$D$17-1),Projects!$B$17/Projects!$D$17,"")</f>
        <v/>
      </c>
      <c r="DA18" s="567">
        <f>IF(AND(Projects!$C$17&lt;=DA$4,DA$4&lt;=Projects!$C$17+Projects!$D$17-1),Projects!$B$17/Projects!$D$17,"")</f>
        <v/>
      </c>
      <c r="DB18" s="567">
        <f>IF(AND(Projects!$C$17&lt;=DB$4,DB$4&lt;=Projects!$C$17+Projects!$D$17-1),Projects!$B$17/Projects!$D$17,"")</f>
        <v/>
      </c>
    </row>
    <row r="19" ht="15" customFormat="1" customHeight="1" s="380">
      <c r="A19" s="563" t="inlineStr">
        <is>
          <t>Riverton</t>
        </is>
      </c>
      <c r="B19" s="564">
        <f>Projects!$B$18</f>
        <v/>
      </c>
      <c r="C19" s="565">
        <f>EDATE(Model!$E$2,Projects!$C$18-1)</f>
        <v/>
      </c>
      <c r="D19" s="565">
        <f>EDATE(Model!$E$2,Projects!$C$18+Projects!$D$18-2)</f>
        <v/>
      </c>
      <c r="E19" s="566">
        <f>Projects!$D$18</f>
        <v/>
      </c>
      <c r="F19" s="564">
        <f>Projects!$B$18/Projects!$D$18</f>
        <v/>
      </c>
      <c r="G19" s="567">
        <f>IF(AND(Projects!$C$18&lt;=G$4,G$4&lt;=Projects!$C$18+Projects!$D$18-1),Projects!$B$18/Projects!$D$18,"")</f>
        <v/>
      </c>
      <c r="H19" s="567">
        <f>IF(AND(Projects!$C$18&lt;=H$4,H$4&lt;=Projects!$C$18+Projects!$D$18-1),Projects!$B$18/Projects!$D$18,"")</f>
        <v/>
      </c>
      <c r="I19" s="567">
        <f>IF(AND(Projects!$C$18&lt;=I$4,I$4&lt;=Projects!$C$18+Projects!$D$18-1),Projects!$B$18/Projects!$D$18,"")</f>
        <v/>
      </c>
      <c r="J19" s="567">
        <f>IF(AND(Projects!$C$18&lt;=J$4,J$4&lt;=Projects!$C$18+Projects!$D$18-1),Projects!$B$18/Projects!$D$18,"")</f>
        <v/>
      </c>
      <c r="K19" s="567">
        <f>IF(AND(Projects!$C$18&lt;=K$4,K$4&lt;=Projects!$C$18+Projects!$D$18-1),Projects!$B$18/Projects!$D$18,"")</f>
        <v/>
      </c>
      <c r="L19" s="567">
        <f>IF(AND(Projects!$C$18&lt;=L$4,L$4&lt;=Projects!$C$18+Projects!$D$18-1),Projects!$B$18/Projects!$D$18,"")</f>
        <v/>
      </c>
      <c r="M19" s="567">
        <f>IF(AND(Projects!$C$18&lt;=M$4,M$4&lt;=Projects!$C$18+Projects!$D$18-1),Projects!$B$18/Projects!$D$18,"")</f>
        <v/>
      </c>
      <c r="N19" s="567">
        <f>IF(AND(Projects!$C$18&lt;=N$4,N$4&lt;=Projects!$C$18+Projects!$D$18-1),Projects!$B$18/Projects!$D$18,"")</f>
        <v/>
      </c>
      <c r="O19" s="567">
        <f>IF(AND(Projects!$C$18&lt;=O$4,O$4&lt;=Projects!$C$18+Projects!$D$18-1),Projects!$B$18/Projects!$D$18,"")</f>
        <v/>
      </c>
      <c r="P19" s="567">
        <f>IF(AND(Projects!$C$18&lt;=P$4,P$4&lt;=Projects!$C$18+Projects!$D$18-1),Projects!$B$18/Projects!$D$18,"")</f>
        <v/>
      </c>
      <c r="Q19" s="567">
        <f>IF(AND(Projects!$C$18&lt;=Q$4,Q$4&lt;=Projects!$C$18+Projects!$D$18-1),Projects!$B$18/Projects!$D$18,"")</f>
        <v/>
      </c>
      <c r="R19" s="567">
        <f>IF(AND(Projects!$C$18&lt;=R$4,R$4&lt;=Projects!$C$18+Projects!$D$18-1),Projects!$B$18/Projects!$D$18,"")</f>
        <v/>
      </c>
      <c r="S19" s="567">
        <f>IF(AND(Projects!$C$18&lt;=S$4,S$4&lt;=Projects!$C$18+Projects!$D$18-1),Projects!$B$18/Projects!$D$18,"")</f>
        <v/>
      </c>
      <c r="T19" s="567">
        <f>IF(AND(Projects!$C$18&lt;=T$4,T$4&lt;=Projects!$C$18+Projects!$D$18-1),Projects!$B$18/Projects!$D$18,"")</f>
        <v/>
      </c>
      <c r="U19" s="567">
        <f>IF(AND(Projects!$C$18&lt;=U$4,U$4&lt;=Projects!$C$18+Projects!$D$18-1),Projects!$B$18/Projects!$D$18,"")</f>
        <v/>
      </c>
      <c r="V19" s="567">
        <f>IF(AND(Projects!$C$18&lt;=V$4,V$4&lt;=Projects!$C$18+Projects!$D$18-1),Projects!$B$18/Projects!$D$18,"")</f>
        <v/>
      </c>
      <c r="W19" s="567">
        <f>IF(AND(Projects!$C$18&lt;=W$4,W$4&lt;=Projects!$C$18+Projects!$D$18-1),Projects!$B$18/Projects!$D$18,"")</f>
        <v/>
      </c>
      <c r="X19" s="567">
        <f>IF(AND(Projects!$C$18&lt;=X$4,X$4&lt;=Projects!$C$18+Projects!$D$18-1),Projects!$B$18/Projects!$D$18,"")</f>
        <v/>
      </c>
      <c r="Y19" s="567">
        <f>IF(AND(Projects!$C$18&lt;=Y$4,Y$4&lt;=Projects!$C$18+Projects!$D$18-1),Projects!$B$18/Projects!$D$18,"")</f>
        <v/>
      </c>
      <c r="Z19" s="567">
        <f>IF(AND(Projects!$C$18&lt;=Z$4,Z$4&lt;=Projects!$C$18+Projects!$D$18-1),Projects!$B$18/Projects!$D$18,"")</f>
        <v/>
      </c>
      <c r="AA19" s="567">
        <f>IF(AND(Projects!$C$18&lt;=AA$4,AA$4&lt;=Projects!$C$18+Projects!$D$18-1),Projects!$B$18/Projects!$D$18,"")</f>
        <v/>
      </c>
      <c r="AB19" s="567">
        <f>IF(AND(Projects!$C$18&lt;=AB$4,AB$4&lt;=Projects!$C$18+Projects!$D$18-1),Projects!$B$18/Projects!$D$18,"")</f>
        <v/>
      </c>
      <c r="AC19" s="567">
        <f>IF(AND(Projects!$C$18&lt;=AC$4,AC$4&lt;=Projects!$C$18+Projects!$D$18-1),Projects!$B$18/Projects!$D$18,"")</f>
        <v/>
      </c>
      <c r="AD19" s="567">
        <f>IF(AND(Projects!$C$18&lt;=AD$4,AD$4&lt;=Projects!$C$18+Projects!$D$18-1),Projects!$B$18/Projects!$D$18,"")</f>
        <v/>
      </c>
      <c r="AE19" s="567">
        <f>IF(AND(Projects!$C$18&lt;=AE$4,AE$4&lt;=Projects!$C$18+Projects!$D$18-1),Projects!$B$18/Projects!$D$18,"")</f>
        <v/>
      </c>
      <c r="AF19" s="567">
        <f>IF(AND(Projects!$C$18&lt;=AF$4,AF$4&lt;=Projects!$C$18+Projects!$D$18-1),Projects!$B$18/Projects!$D$18,"")</f>
        <v/>
      </c>
      <c r="AG19" s="567">
        <f>IF(AND(Projects!$C$18&lt;=AG$4,AG$4&lt;=Projects!$C$18+Projects!$D$18-1),Projects!$B$18/Projects!$D$18,"")</f>
        <v/>
      </c>
      <c r="AH19" s="567">
        <f>IF(AND(Projects!$C$18&lt;=AH$4,AH$4&lt;=Projects!$C$18+Projects!$D$18-1),Projects!$B$18/Projects!$D$18,"")</f>
        <v/>
      </c>
      <c r="AI19" s="567">
        <f>IF(AND(Projects!$C$18&lt;=AI$4,AI$4&lt;=Projects!$C$18+Projects!$D$18-1),Projects!$B$18/Projects!$D$18,"")</f>
        <v/>
      </c>
      <c r="AJ19" s="567">
        <f>IF(AND(Projects!$C$18&lt;=AJ$4,AJ$4&lt;=Projects!$C$18+Projects!$D$18-1),Projects!$B$18/Projects!$D$18,"")</f>
        <v/>
      </c>
      <c r="AK19" s="567">
        <f>IF(AND(Projects!$C$18&lt;=AK$4,AK$4&lt;=Projects!$C$18+Projects!$D$18-1),Projects!$B$18/Projects!$D$18,"")</f>
        <v/>
      </c>
      <c r="AL19" s="567">
        <f>IF(AND(Projects!$C$18&lt;=AL$4,AL$4&lt;=Projects!$C$18+Projects!$D$18-1),Projects!$B$18/Projects!$D$18,"")</f>
        <v/>
      </c>
      <c r="AM19" s="567">
        <f>IF(AND(Projects!$C$18&lt;=AM$4,AM$4&lt;=Projects!$C$18+Projects!$D$18-1),Projects!$B$18/Projects!$D$18,"")</f>
        <v/>
      </c>
      <c r="AN19" s="567">
        <f>IF(AND(Projects!$C$18&lt;=AN$4,AN$4&lt;=Projects!$C$18+Projects!$D$18-1),Projects!$B$18/Projects!$D$18,"")</f>
        <v/>
      </c>
      <c r="AO19" s="567">
        <f>IF(AND(Projects!$C$18&lt;=AO$4,AO$4&lt;=Projects!$C$18+Projects!$D$18-1),Projects!$B$18/Projects!$D$18,"")</f>
        <v/>
      </c>
      <c r="AP19" s="567">
        <f>IF(AND(Projects!$C$18&lt;=AP$4,AP$4&lt;=Projects!$C$18+Projects!$D$18-1),Projects!$B$18/Projects!$D$18,"")</f>
        <v/>
      </c>
      <c r="AQ19" s="567">
        <f>IF(AND(Projects!$C$18&lt;=AQ$4,AQ$4&lt;=Projects!$C$18+Projects!$D$18-1),Projects!$B$18/Projects!$D$18,"")</f>
        <v/>
      </c>
      <c r="AR19" s="567">
        <f>IF(AND(Projects!$C$18&lt;=AR$4,AR$4&lt;=Projects!$C$18+Projects!$D$18-1),Projects!$B$18/Projects!$D$18,"")</f>
        <v/>
      </c>
      <c r="AS19" s="567">
        <f>IF(AND(Projects!$C$18&lt;=AS$4,AS$4&lt;=Projects!$C$18+Projects!$D$18-1),Projects!$B$18/Projects!$D$18,"")</f>
        <v/>
      </c>
      <c r="AT19" s="567">
        <f>IF(AND(Projects!$C$18&lt;=AT$4,AT$4&lt;=Projects!$C$18+Projects!$D$18-1),Projects!$B$18/Projects!$D$18,"")</f>
        <v/>
      </c>
      <c r="AU19" s="567">
        <f>IF(AND(Projects!$C$18&lt;=AU$4,AU$4&lt;=Projects!$C$18+Projects!$D$18-1),Projects!$B$18/Projects!$D$18,"")</f>
        <v/>
      </c>
      <c r="AV19" s="567">
        <f>IF(AND(Projects!$C$18&lt;=AV$4,AV$4&lt;=Projects!$C$18+Projects!$D$18-1),Projects!$B$18/Projects!$D$18,"")</f>
        <v/>
      </c>
      <c r="AW19" s="567">
        <f>IF(AND(Projects!$C$18&lt;=AW$4,AW$4&lt;=Projects!$C$18+Projects!$D$18-1),Projects!$B$18/Projects!$D$18,"")</f>
        <v/>
      </c>
      <c r="AX19" s="567">
        <f>IF(AND(Projects!$C$18&lt;=AX$4,AX$4&lt;=Projects!$C$18+Projects!$D$18-1),Projects!$B$18/Projects!$D$18,"")</f>
        <v/>
      </c>
      <c r="AY19" s="567">
        <f>IF(AND(Projects!$C$18&lt;=AY$4,AY$4&lt;=Projects!$C$18+Projects!$D$18-1),Projects!$B$18/Projects!$D$18,"")</f>
        <v/>
      </c>
      <c r="AZ19" s="567">
        <f>IF(AND(Projects!$C$18&lt;=AZ$4,AZ$4&lt;=Projects!$C$18+Projects!$D$18-1),Projects!$B$18/Projects!$D$18,"")</f>
        <v/>
      </c>
      <c r="BA19" s="567">
        <f>IF(AND(Projects!$C$18&lt;=BA$4,BA$4&lt;=Projects!$C$18+Projects!$D$18-1),Projects!$B$18/Projects!$D$18,"")</f>
        <v/>
      </c>
      <c r="BB19" s="567">
        <f>IF(AND(Projects!$C$18&lt;=BB$4,BB$4&lt;=Projects!$C$18+Projects!$D$18-1),Projects!$B$18/Projects!$D$18,"")</f>
        <v/>
      </c>
      <c r="BC19" s="567">
        <f>IF(AND(Projects!$C$18&lt;=BC$4,BC$4&lt;=Projects!$C$18+Projects!$D$18-1),Projects!$B$18/Projects!$D$18,"")</f>
        <v/>
      </c>
      <c r="BD19" s="567">
        <f>IF(AND(Projects!$C$18&lt;=BD$4,BD$4&lt;=Projects!$C$18+Projects!$D$18-1),Projects!$B$18/Projects!$D$18,"")</f>
        <v/>
      </c>
      <c r="BE19" s="567">
        <f>IF(AND(Projects!$C$18&lt;=BE$4,BE$4&lt;=Projects!$C$18+Projects!$D$18-1),Projects!$B$18/Projects!$D$18,"")</f>
        <v/>
      </c>
      <c r="BF19" s="567">
        <f>IF(AND(Projects!$C$18&lt;=BF$4,BF$4&lt;=Projects!$C$18+Projects!$D$18-1),Projects!$B$18/Projects!$D$18,"")</f>
        <v/>
      </c>
      <c r="BG19" s="567">
        <f>IF(AND(Projects!$C$18&lt;=BG$4,BG$4&lt;=Projects!$C$18+Projects!$D$18-1),Projects!$B$18/Projects!$D$18,"")</f>
        <v/>
      </c>
      <c r="BH19" s="567">
        <f>IF(AND(Projects!$C$18&lt;=BH$4,BH$4&lt;=Projects!$C$18+Projects!$D$18-1),Projects!$B$18/Projects!$D$18,"")</f>
        <v/>
      </c>
      <c r="BI19" s="567">
        <f>IF(AND(Projects!$C$18&lt;=BI$4,BI$4&lt;=Projects!$C$18+Projects!$D$18-1),Projects!$B$18/Projects!$D$18,"")</f>
        <v/>
      </c>
      <c r="BJ19" s="567">
        <f>IF(AND(Projects!$C$18&lt;=BJ$4,BJ$4&lt;=Projects!$C$18+Projects!$D$18-1),Projects!$B$18/Projects!$D$18,"")</f>
        <v/>
      </c>
      <c r="BK19" s="567">
        <f>IF(AND(Projects!$C$18&lt;=BK$4,BK$4&lt;=Projects!$C$18+Projects!$D$18-1),Projects!$B$18/Projects!$D$18,"")</f>
        <v/>
      </c>
      <c r="BL19" s="567">
        <f>IF(AND(Projects!$C$18&lt;=BL$4,BL$4&lt;=Projects!$C$18+Projects!$D$18-1),Projects!$B$18/Projects!$D$18,"")</f>
        <v/>
      </c>
      <c r="BM19" s="567">
        <f>IF(AND(Projects!$C$18&lt;=BM$4,BM$4&lt;=Projects!$C$18+Projects!$D$18-1),Projects!$B$18/Projects!$D$18,"")</f>
        <v/>
      </c>
      <c r="BN19" s="567">
        <f>IF(AND(Projects!$C$18&lt;=BN$4,BN$4&lt;=Projects!$C$18+Projects!$D$18-1),Projects!$B$18/Projects!$D$18,"")</f>
        <v/>
      </c>
      <c r="BO19" s="567">
        <f>IF(AND(Projects!$C$18&lt;=BO$4,BO$4&lt;=Projects!$C$18+Projects!$D$18-1),Projects!$B$18/Projects!$D$18,"")</f>
        <v/>
      </c>
      <c r="BP19" s="567">
        <f>IF(AND(Projects!$C$18&lt;=BP$4,BP$4&lt;=Projects!$C$18+Projects!$D$18-1),Projects!$B$18/Projects!$D$18,"")</f>
        <v/>
      </c>
      <c r="BQ19" s="567">
        <f>IF(AND(Projects!$C$18&lt;=BQ$4,BQ$4&lt;=Projects!$C$18+Projects!$D$18-1),Projects!$B$18/Projects!$D$18,"")</f>
        <v/>
      </c>
      <c r="BR19" s="567">
        <f>IF(AND(Projects!$C$18&lt;=BR$4,BR$4&lt;=Projects!$C$18+Projects!$D$18-1),Projects!$B$18/Projects!$D$18,"")</f>
        <v/>
      </c>
      <c r="BS19" s="567">
        <f>IF(AND(Projects!$C$18&lt;=BS$4,BS$4&lt;=Projects!$C$18+Projects!$D$18-1),Projects!$B$18/Projects!$D$18,"")</f>
        <v/>
      </c>
      <c r="BT19" s="567">
        <f>IF(AND(Projects!$C$18&lt;=BT$4,BT$4&lt;=Projects!$C$18+Projects!$D$18-1),Projects!$B$18/Projects!$D$18,"")</f>
        <v/>
      </c>
      <c r="BU19" s="567">
        <f>IF(AND(Projects!$C$18&lt;=BU$4,BU$4&lt;=Projects!$C$18+Projects!$D$18-1),Projects!$B$18/Projects!$D$18,"")</f>
        <v/>
      </c>
      <c r="BV19" s="567">
        <f>IF(AND(Projects!$C$18&lt;=BV$4,BV$4&lt;=Projects!$C$18+Projects!$D$18-1),Projects!$B$18/Projects!$D$18,"")</f>
        <v/>
      </c>
      <c r="BW19" s="567">
        <f>IF(AND(Projects!$C$18&lt;=BW$4,BW$4&lt;=Projects!$C$18+Projects!$D$18-1),Projects!$B$18/Projects!$D$18,"")</f>
        <v/>
      </c>
      <c r="BX19" s="567">
        <f>IF(AND(Projects!$C$18&lt;=BX$4,BX$4&lt;=Projects!$C$18+Projects!$D$18-1),Projects!$B$18/Projects!$D$18,"")</f>
        <v/>
      </c>
      <c r="BY19" s="567">
        <f>IF(AND(Projects!$C$18&lt;=BY$4,BY$4&lt;=Projects!$C$18+Projects!$D$18-1),Projects!$B$18/Projects!$D$18,"")</f>
        <v/>
      </c>
      <c r="BZ19" s="567">
        <f>IF(AND(Projects!$C$18&lt;=BZ$4,BZ$4&lt;=Projects!$C$18+Projects!$D$18-1),Projects!$B$18/Projects!$D$18,"")</f>
        <v/>
      </c>
      <c r="CA19" s="567">
        <f>IF(AND(Projects!$C$18&lt;=CA$4,CA$4&lt;=Projects!$C$18+Projects!$D$18-1),Projects!$B$18/Projects!$D$18,"")</f>
        <v/>
      </c>
      <c r="CB19" s="567">
        <f>IF(AND(Projects!$C$18&lt;=CB$4,CB$4&lt;=Projects!$C$18+Projects!$D$18-1),Projects!$B$18/Projects!$D$18,"")</f>
        <v/>
      </c>
      <c r="CC19" s="567">
        <f>IF(AND(Projects!$C$18&lt;=CC$4,CC$4&lt;=Projects!$C$18+Projects!$D$18-1),Projects!$B$18/Projects!$D$18,"")</f>
        <v/>
      </c>
      <c r="CD19" s="567">
        <f>IF(AND(Projects!$C$18&lt;=CD$4,CD$4&lt;=Projects!$C$18+Projects!$D$18-1),Projects!$B$18/Projects!$D$18,"")</f>
        <v/>
      </c>
      <c r="CE19" s="567">
        <f>IF(AND(Projects!$C$18&lt;=CE$4,CE$4&lt;=Projects!$C$18+Projects!$D$18-1),Projects!$B$18/Projects!$D$18,"")</f>
        <v/>
      </c>
      <c r="CF19" s="567">
        <f>IF(AND(Projects!$C$18&lt;=CF$4,CF$4&lt;=Projects!$C$18+Projects!$D$18-1),Projects!$B$18/Projects!$D$18,"")</f>
        <v/>
      </c>
      <c r="CG19" s="567">
        <f>IF(AND(Projects!$C$18&lt;=CG$4,CG$4&lt;=Projects!$C$18+Projects!$D$18-1),Projects!$B$18/Projects!$D$18,"")</f>
        <v/>
      </c>
      <c r="CH19" s="567">
        <f>IF(AND(Projects!$C$18&lt;=CH$4,CH$4&lt;=Projects!$C$18+Projects!$D$18-1),Projects!$B$18/Projects!$D$18,"")</f>
        <v/>
      </c>
      <c r="CI19" s="567">
        <f>IF(AND(Projects!$C$18&lt;=CI$4,CI$4&lt;=Projects!$C$18+Projects!$D$18-1),Projects!$B$18/Projects!$D$18,"")</f>
        <v/>
      </c>
      <c r="CJ19" s="567">
        <f>IF(AND(Projects!$C$18&lt;=CJ$4,CJ$4&lt;=Projects!$C$18+Projects!$D$18-1),Projects!$B$18/Projects!$D$18,"")</f>
        <v/>
      </c>
      <c r="CK19" s="567">
        <f>IF(AND(Projects!$C$18&lt;=CK$4,CK$4&lt;=Projects!$C$18+Projects!$D$18-1),Projects!$B$18/Projects!$D$18,"")</f>
        <v/>
      </c>
      <c r="CL19" s="567">
        <f>IF(AND(Projects!$C$18&lt;=CL$4,CL$4&lt;=Projects!$C$18+Projects!$D$18-1),Projects!$B$18/Projects!$D$18,"")</f>
        <v/>
      </c>
      <c r="CM19" s="567">
        <f>IF(AND(Projects!$C$18&lt;=CM$4,CM$4&lt;=Projects!$C$18+Projects!$D$18-1),Projects!$B$18/Projects!$D$18,"")</f>
        <v/>
      </c>
      <c r="CN19" s="567">
        <f>IF(AND(Projects!$C$18&lt;=CN$4,CN$4&lt;=Projects!$C$18+Projects!$D$18-1),Projects!$B$18/Projects!$D$18,"")</f>
        <v/>
      </c>
      <c r="CO19" s="567">
        <f>IF(AND(Projects!$C$18&lt;=CO$4,CO$4&lt;=Projects!$C$18+Projects!$D$18-1),Projects!$B$18/Projects!$D$18,"")</f>
        <v/>
      </c>
      <c r="CP19" s="567">
        <f>IF(AND(Projects!$C$18&lt;=CP$4,CP$4&lt;=Projects!$C$18+Projects!$D$18-1),Projects!$B$18/Projects!$D$18,"")</f>
        <v/>
      </c>
      <c r="CQ19" s="567">
        <f>IF(AND(Projects!$C$18&lt;=CQ$4,CQ$4&lt;=Projects!$C$18+Projects!$D$18-1),Projects!$B$18/Projects!$D$18,"")</f>
        <v/>
      </c>
      <c r="CR19" s="567">
        <f>IF(AND(Projects!$C$18&lt;=CR$4,CR$4&lt;=Projects!$C$18+Projects!$D$18-1),Projects!$B$18/Projects!$D$18,"")</f>
        <v/>
      </c>
      <c r="CS19" s="567">
        <f>IF(AND(Projects!$C$18&lt;=CS$4,CS$4&lt;=Projects!$C$18+Projects!$D$18-1),Projects!$B$18/Projects!$D$18,"")</f>
        <v/>
      </c>
      <c r="CT19" s="567">
        <f>IF(AND(Projects!$C$18&lt;=CT$4,CT$4&lt;=Projects!$C$18+Projects!$D$18-1),Projects!$B$18/Projects!$D$18,"")</f>
        <v/>
      </c>
      <c r="CU19" s="567">
        <f>IF(AND(Projects!$C$18&lt;=CU$4,CU$4&lt;=Projects!$C$18+Projects!$D$18-1),Projects!$B$18/Projects!$D$18,"")</f>
        <v/>
      </c>
      <c r="CV19" s="567">
        <f>IF(AND(Projects!$C$18&lt;=CV$4,CV$4&lt;=Projects!$C$18+Projects!$D$18-1),Projects!$B$18/Projects!$D$18,"")</f>
        <v/>
      </c>
      <c r="CW19" s="567">
        <f>IF(AND(Projects!$C$18&lt;=CW$4,CW$4&lt;=Projects!$C$18+Projects!$D$18-1),Projects!$B$18/Projects!$D$18,"")</f>
        <v/>
      </c>
      <c r="CX19" s="567">
        <f>IF(AND(Projects!$C$18&lt;=CX$4,CX$4&lt;=Projects!$C$18+Projects!$D$18-1),Projects!$B$18/Projects!$D$18,"")</f>
        <v/>
      </c>
      <c r="CY19" s="567">
        <f>IF(AND(Projects!$C$18&lt;=CY$4,CY$4&lt;=Projects!$C$18+Projects!$D$18-1),Projects!$B$18/Projects!$D$18,"")</f>
        <v/>
      </c>
      <c r="CZ19" s="567">
        <f>IF(AND(Projects!$C$18&lt;=CZ$4,CZ$4&lt;=Projects!$C$18+Projects!$D$18-1),Projects!$B$18/Projects!$D$18,"")</f>
        <v/>
      </c>
      <c r="DA19" s="567">
        <f>IF(AND(Projects!$C$18&lt;=DA$4,DA$4&lt;=Projects!$C$18+Projects!$D$18-1),Projects!$B$18/Projects!$D$18,"")</f>
        <v/>
      </c>
      <c r="DB19" s="567">
        <f>IF(AND(Projects!$C$18&lt;=DB$4,DB$4&lt;=Projects!$C$18+Projects!$D$18-1),Projects!$B$18/Projects!$D$18,"")</f>
        <v/>
      </c>
    </row>
    <row r="20" ht="15" customFormat="1" customHeight="1" s="380">
      <c r="A20" s="563" t="inlineStr">
        <is>
          <t>Moorpark</t>
        </is>
      </c>
      <c r="B20" s="564">
        <f>Projects!$B$19</f>
        <v/>
      </c>
      <c r="C20" s="565">
        <f>EDATE(Model!$E$2,Projects!$C$19-1)</f>
        <v/>
      </c>
      <c r="D20" s="565">
        <f>EDATE(Model!$E$2,Projects!$C$19+Projects!$D$19-2)</f>
        <v/>
      </c>
      <c r="E20" s="566">
        <f>Projects!$D$19</f>
        <v/>
      </c>
      <c r="F20" s="564">
        <f>Projects!$B$19/Projects!$D$19</f>
        <v/>
      </c>
      <c r="G20" s="567">
        <f>IF(AND(Projects!$C$19&lt;=G$4,G$4&lt;=Projects!$C$19+Projects!$D$19-1),Projects!$B$19/Projects!$D$19,"")</f>
        <v/>
      </c>
      <c r="H20" s="567">
        <f>IF(AND(Projects!$C$19&lt;=H$4,H$4&lt;=Projects!$C$19+Projects!$D$19-1),Projects!$B$19/Projects!$D$19,"")</f>
        <v/>
      </c>
      <c r="I20" s="567">
        <f>IF(AND(Projects!$C$19&lt;=I$4,I$4&lt;=Projects!$C$19+Projects!$D$19-1),Projects!$B$19/Projects!$D$19,"")</f>
        <v/>
      </c>
      <c r="J20" s="567">
        <f>IF(AND(Projects!$C$19&lt;=J$4,J$4&lt;=Projects!$C$19+Projects!$D$19-1),Projects!$B$19/Projects!$D$19,"")</f>
        <v/>
      </c>
      <c r="K20" s="567">
        <f>IF(AND(Projects!$C$19&lt;=K$4,K$4&lt;=Projects!$C$19+Projects!$D$19-1),Projects!$B$19/Projects!$D$19,"")</f>
        <v/>
      </c>
      <c r="L20" s="567">
        <f>IF(AND(Projects!$C$19&lt;=L$4,L$4&lt;=Projects!$C$19+Projects!$D$19-1),Projects!$B$19/Projects!$D$19,"")</f>
        <v/>
      </c>
      <c r="M20" s="567">
        <f>IF(AND(Projects!$C$19&lt;=M$4,M$4&lt;=Projects!$C$19+Projects!$D$19-1),Projects!$B$19/Projects!$D$19,"")</f>
        <v/>
      </c>
      <c r="N20" s="567">
        <f>IF(AND(Projects!$C$19&lt;=N$4,N$4&lt;=Projects!$C$19+Projects!$D$19-1),Projects!$B$19/Projects!$D$19,"")</f>
        <v/>
      </c>
      <c r="O20" s="567">
        <f>IF(AND(Projects!$C$19&lt;=O$4,O$4&lt;=Projects!$C$19+Projects!$D$19-1),Projects!$B$19/Projects!$D$19,"")</f>
        <v/>
      </c>
      <c r="P20" s="567">
        <f>IF(AND(Projects!$C$19&lt;=P$4,P$4&lt;=Projects!$C$19+Projects!$D$19-1),Projects!$B$19/Projects!$D$19,"")</f>
        <v/>
      </c>
      <c r="Q20" s="567">
        <f>IF(AND(Projects!$C$19&lt;=Q$4,Q$4&lt;=Projects!$C$19+Projects!$D$19-1),Projects!$B$19/Projects!$D$19,"")</f>
        <v/>
      </c>
      <c r="R20" s="567">
        <f>IF(AND(Projects!$C$19&lt;=R$4,R$4&lt;=Projects!$C$19+Projects!$D$19-1),Projects!$B$19/Projects!$D$19,"")</f>
        <v/>
      </c>
      <c r="S20" s="567">
        <f>IF(AND(Projects!$C$19&lt;=S$4,S$4&lt;=Projects!$C$19+Projects!$D$19-1),Projects!$B$19/Projects!$D$19,"")</f>
        <v/>
      </c>
      <c r="T20" s="567">
        <f>IF(AND(Projects!$C$19&lt;=T$4,T$4&lt;=Projects!$C$19+Projects!$D$19-1),Projects!$B$19/Projects!$D$19,"")</f>
        <v/>
      </c>
      <c r="U20" s="567">
        <f>IF(AND(Projects!$C$19&lt;=U$4,U$4&lt;=Projects!$C$19+Projects!$D$19-1),Projects!$B$19/Projects!$D$19,"")</f>
        <v/>
      </c>
      <c r="V20" s="567">
        <f>IF(AND(Projects!$C$19&lt;=V$4,V$4&lt;=Projects!$C$19+Projects!$D$19-1),Projects!$B$19/Projects!$D$19,"")</f>
        <v/>
      </c>
      <c r="W20" s="567">
        <f>IF(AND(Projects!$C$19&lt;=W$4,W$4&lt;=Projects!$C$19+Projects!$D$19-1),Projects!$B$19/Projects!$D$19,"")</f>
        <v/>
      </c>
      <c r="X20" s="567">
        <f>IF(AND(Projects!$C$19&lt;=X$4,X$4&lt;=Projects!$C$19+Projects!$D$19-1),Projects!$B$19/Projects!$D$19,"")</f>
        <v/>
      </c>
      <c r="Y20" s="567">
        <f>IF(AND(Projects!$C$19&lt;=Y$4,Y$4&lt;=Projects!$C$19+Projects!$D$19-1),Projects!$B$19/Projects!$D$19,"")</f>
        <v/>
      </c>
      <c r="Z20" s="567">
        <f>IF(AND(Projects!$C$19&lt;=Z$4,Z$4&lt;=Projects!$C$19+Projects!$D$19-1),Projects!$B$19/Projects!$D$19,"")</f>
        <v/>
      </c>
      <c r="AA20" s="567">
        <f>IF(AND(Projects!$C$19&lt;=AA$4,AA$4&lt;=Projects!$C$19+Projects!$D$19-1),Projects!$B$19/Projects!$D$19,"")</f>
        <v/>
      </c>
      <c r="AB20" s="567">
        <f>IF(AND(Projects!$C$19&lt;=AB$4,AB$4&lt;=Projects!$C$19+Projects!$D$19-1),Projects!$B$19/Projects!$D$19,"")</f>
        <v/>
      </c>
      <c r="AC20" s="567">
        <f>IF(AND(Projects!$C$19&lt;=AC$4,AC$4&lt;=Projects!$C$19+Projects!$D$19-1),Projects!$B$19/Projects!$D$19,"")</f>
        <v/>
      </c>
      <c r="AD20" s="567">
        <f>IF(AND(Projects!$C$19&lt;=AD$4,AD$4&lt;=Projects!$C$19+Projects!$D$19-1),Projects!$B$19/Projects!$D$19,"")</f>
        <v/>
      </c>
      <c r="AE20" s="567">
        <f>IF(AND(Projects!$C$19&lt;=AE$4,AE$4&lt;=Projects!$C$19+Projects!$D$19-1),Projects!$B$19/Projects!$D$19,"")</f>
        <v/>
      </c>
      <c r="AF20" s="567">
        <f>IF(AND(Projects!$C$19&lt;=AF$4,AF$4&lt;=Projects!$C$19+Projects!$D$19-1),Projects!$B$19/Projects!$D$19,"")</f>
        <v/>
      </c>
      <c r="AG20" s="567">
        <f>IF(AND(Projects!$C$19&lt;=AG$4,AG$4&lt;=Projects!$C$19+Projects!$D$19-1),Projects!$B$19/Projects!$D$19,"")</f>
        <v/>
      </c>
      <c r="AH20" s="567">
        <f>IF(AND(Projects!$C$19&lt;=AH$4,AH$4&lt;=Projects!$C$19+Projects!$D$19-1),Projects!$B$19/Projects!$D$19,"")</f>
        <v/>
      </c>
      <c r="AI20" s="567">
        <f>IF(AND(Projects!$C$19&lt;=AI$4,AI$4&lt;=Projects!$C$19+Projects!$D$19-1),Projects!$B$19/Projects!$D$19,"")</f>
        <v/>
      </c>
      <c r="AJ20" s="567">
        <f>IF(AND(Projects!$C$19&lt;=AJ$4,AJ$4&lt;=Projects!$C$19+Projects!$D$19-1),Projects!$B$19/Projects!$D$19,"")</f>
        <v/>
      </c>
      <c r="AK20" s="567">
        <f>IF(AND(Projects!$C$19&lt;=AK$4,AK$4&lt;=Projects!$C$19+Projects!$D$19-1),Projects!$B$19/Projects!$D$19,"")</f>
        <v/>
      </c>
      <c r="AL20" s="567">
        <f>IF(AND(Projects!$C$19&lt;=AL$4,AL$4&lt;=Projects!$C$19+Projects!$D$19-1),Projects!$B$19/Projects!$D$19,"")</f>
        <v/>
      </c>
      <c r="AM20" s="567">
        <f>IF(AND(Projects!$C$19&lt;=AM$4,AM$4&lt;=Projects!$C$19+Projects!$D$19-1),Projects!$B$19/Projects!$D$19,"")</f>
        <v/>
      </c>
      <c r="AN20" s="567">
        <f>IF(AND(Projects!$C$19&lt;=AN$4,AN$4&lt;=Projects!$C$19+Projects!$D$19-1),Projects!$B$19/Projects!$D$19,"")</f>
        <v/>
      </c>
      <c r="AO20" s="567">
        <f>IF(AND(Projects!$C$19&lt;=AO$4,AO$4&lt;=Projects!$C$19+Projects!$D$19-1),Projects!$B$19/Projects!$D$19,"")</f>
        <v/>
      </c>
      <c r="AP20" s="567">
        <f>IF(AND(Projects!$C$19&lt;=AP$4,AP$4&lt;=Projects!$C$19+Projects!$D$19-1),Projects!$B$19/Projects!$D$19,"")</f>
        <v/>
      </c>
      <c r="AQ20" s="567">
        <f>IF(AND(Projects!$C$19&lt;=AQ$4,AQ$4&lt;=Projects!$C$19+Projects!$D$19-1),Projects!$B$19/Projects!$D$19,"")</f>
        <v/>
      </c>
      <c r="AR20" s="567">
        <f>IF(AND(Projects!$C$19&lt;=AR$4,AR$4&lt;=Projects!$C$19+Projects!$D$19-1),Projects!$B$19/Projects!$D$19,"")</f>
        <v/>
      </c>
      <c r="AS20" s="567">
        <f>IF(AND(Projects!$C$19&lt;=AS$4,AS$4&lt;=Projects!$C$19+Projects!$D$19-1),Projects!$B$19/Projects!$D$19,"")</f>
        <v/>
      </c>
      <c r="AT20" s="567">
        <f>IF(AND(Projects!$C$19&lt;=AT$4,AT$4&lt;=Projects!$C$19+Projects!$D$19-1),Projects!$B$19/Projects!$D$19,"")</f>
        <v/>
      </c>
      <c r="AU20" s="567">
        <f>IF(AND(Projects!$C$19&lt;=AU$4,AU$4&lt;=Projects!$C$19+Projects!$D$19-1),Projects!$B$19/Projects!$D$19,"")</f>
        <v/>
      </c>
      <c r="AV20" s="567">
        <f>IF(AND(Projects!$C$19&lt;=AV$4,AV$4&lt;=Projects!$C$19+Projects!$D$19-1),Projects!$B$19/Projects!$D$19,"")</f>
        <v/>
      </c>
      <c r="AW20" s="567">
        <f>IF(AND(Projects!$C$19&lt;=AW$4,AW$4&lt;=Projects!$C$19+Projects!$D$19-1),Projects!$B$19/Projects!$D$19,"")</f>
        <v/>
      </c>
      <c r="AX20" s="567">
        <f>IF(AND(Projects!$C$19&lt;=AX$4,AX$4&lt;=Projects!$C$19+Projects!$D$19-1),Projects!$B$19/Projects!$D$19,"")</f>
        <v/>
      </c>
      <c r="AY20" s="567">
        <f>IF(AND(Projects!$C$19&lt;=AY$4,AY$4&lt;=Projects!$C$19+Projects!$D$19-1),Projects!$B$19/Projects!$D$19,"")</f>
        <v/>
      </c>
      <c r="AZ20" s="567">
        <f>IF(AND(Projects!$C$19&lt;=AZ$4,AZ$4&lt;=Projects!$C$19+Projects!$D$19-1),Projects!$B$19/Projects!$D$19,"")</f>
        <v/>
      </c>
      <c r="BA20" s="567">
        <f>IF(AND(Projects!$C$19&lt;=BA$4,BA$4&lt;=Projects!$C$19+Projects!$D$19-1),Projects!$B$19/Projects!$D$19,"")</f>
        <v/>
      </c>
      <c r="BB20" s="567">
        <f>IF(AND(Projects!$C$19&lt;=BB$4,BB$4&lt;=Projects!$C$19+Projects!$D$19-1),Projects!$B$19/Projects!$D$19,"")</f>
        <v/>
      </c>
      <c r="BC20" s="567">
        <f>IF(AND(Projects!$C$19&lt;=BC$4,BC$4&lt;=Projects!$C$19+Projects!$D$19-1),Projects!$B$19/Projects!$D$19,"")</f>
        <v/>
      </c>
      <c r="BD20" s="567">
        <f>IF(AND(Projects!$C$19&lt;=BD$4,BD$4&lt;=Projects!$C$19+Projects!$D$19-1),Projects!$B$19/Projects!$D$19,"")</f>
        <v/>
      </c>
      <c r="BE20" s="567">
        <f>IF(AND(Projects!$C$19&lt;=BE$4,BE$4&lt;=Projects!$C$19+Projects!$D$19-1),Projects!$B$19/Projects!$D$19,"")</f>
        <v/>
      </c>
      <c r="BF20" s="567">
        <f>IF(AND(Projects!$C$19&lt;=BF$4,BF$4&lt;=Projects!$C$19+Projects!$D$19-1),Projects!$B$19/Projects!$D$19,"")</f>
        <v/>
      </c>
      <c r="BG20" s="567">
        <f>IF(AND(Projects!$C$19&lt;=BG$4,BG$4&lt;=Projects!$C$19+Projects!$D$19-1),Projects!$B$19/Projects!$D$19,"")</f>
        <v/>
      </c>
      <c r="BH20" s="567">
        <f>IF(AND(Projects!$C$19&lt;=BH$4,BH$4&lt;=Projects!$C$19+Projects!$D$19-1),Projects!$B$19/Projects!$D$19,"")</f>
        <v/>
      </c>
      <c r="BI20" s="567">
        <f>IF(AND(Projects!$C$19&lt;=BI$4,BI$4&lt;=Projects!$C$19+Projects!$D$19-1),Projects!$B$19/Projects!$D$19,"")</f>
        <v/>
      </c>
      <c r="BJ20" s="567">
        <f>IF(AND(Projects!$C$19&lt;=BJ$4,BJ$4&lt;=Projects!$C$19+Projects!$D$19-1),Projects!$B$19/Projects!$D$19,"")</f>
        <v/>
      </c>
      <c r="BK20" s="567">
        <f>IF(AND(Projects!$C$19&lt;=BK$4,BK$4&lt;=Projects!$C$19+Projects!$D$19-1),Projects!$B$19/Projects!$D$19,"")</f>
        <v/>
      </c>
      <c r="BL20" s="567">
        <f>IF(AND(Projects!$C$19&lt;=BL$4,BL$4&lt;=Projects!$C$19+Projects!$D$19-1),Projects!$B$19/Projects!$D$19,"")</f>
        <v/>
      </c>
      <c r="BM20" s="567">
        <f>IF(AND(Projects!$C$19&lt;=BM$4,BM$4&lt;=Projects!$C$19+Projects!$D$19-1),Projects!$B$19/Projects!$D$19,"")</f>
        <v/>
      </c>
      <c r="BN20" s="567">
        <f>IF(AND(Projects!$C$19&lt;=BN$4,BN$4&lt;=Projects!$C$19+Projects!$D$19-1),Projects!$B$19/Projects!$D$19,"")</f>
        <v/>
      </c>
      <c r="BO20" s="567">
        <f>IF(AND(Projects!$C$19&lt;=BO$4,BO$4&lt;=Projects!$C$19+Projects!$D$19-1),Projects!$B$19/Projects!$D$19,"")</f>
        <v/>
      </c>
      <c r="BP20" s="567">
        <f>IF(AND(Projects!$C$19&lt;=BP$4,BP$4&lt;=Projects!$C$19+Projects!$D$19-1),Projects!$B$19/Projects!$D$19,"")</f>
        <v/>
      </c>
      <c r="BQ20" s="567">
        <f>IF(AND(Projects!$C$19&lt;=BQ$4,BQ$4&lt;=Projects!$C$19+Projects!$D$19-1),Projects!$B$19/Projects!$D$19,"")</f>
        <v/>
      </c>
      <c r="BR20" s="567">
        <f>IF(AND(Projects!$C$19&lt;=BR$4,BR$4&lt;=Projects!$C$19+Projects!$D$19-1),Projects!$B$19/Projects!$D$19,"")</f>
        <v/>
      </c>
      <c r="BS20" s="567">
        <f>IF(AND(Projects!$C$19&lt;=BS$4,BS$4&lt;=Projects!$C$19+Projects!$D$19-1),Projects!$B$19/Projects!$D$19,"")</f>
        <v/>
      </c>
      <c r="BT20" s="567">
        <f>IF(AND(Projects!$C$19&lt;=BT$4,BT$4&lt;=Projects!$C$19+Projects!$D$19-1),Projects!$B$19/Projects!$D$19,"")</f>
        <v/>
      </c>
      <c r="BU20" s="567">
        <f>IF(AND(Projects!$C$19&lt;=BU$4,BU$4&lt;=Projects!$C$19+Projects!$D$19-1),Projects!$B$19/Projects!$D$19,"")</f>
        <v/>
      </c>
      <c r="BV20" s="567">
        <f>IF(AND(Projects!$C$19&lt;=BV$4,BV$4&lt;=Projects!$C$19+Projects!$D$19-1),Projects!$B$19/Projects!$D$19,"")</f>
        <v/>
      </c>
      <c r="BW20" s="567">
        <f>IF(AND(Projects!$C$19&lt;=BW$4,BW$4&lt;=Projects!$C$19+Projects!$D$19-1),Projects!$B$19/Projects!$D$19,"")</f>
        <v/>
      </c>
      <c r="BX20" s="567">
        <f>IF(AND(Projects!$C$19&lt;=BX$4,BX$4&lt;=Projects!$C$19+Projects!$D$19-1),Projects!$B$19/Projects!$D$19,"")</f>
        <v/>
      </c>
      <c r="BY20" s="567">
        <f>IF(AND(Projects!$C$19&lt;=BY$4,BY$4&lt;=Projects!$C$19+Projects!$D$19-1),Projects!$B$19/Projects!$D$19,"")</f>
        <v/>
      </c>
      <c r="BZ20" s="567">
        <f>IF(AND(Projects!$C$19&lt;=BZ$4,BZ$4&lt;=Projects!$C$19+Projects!$D$19-1),Projects!$B$19/Projects!$D$19,"")</f>
        <v/>
      </c>
      <c r="CA20" s="567">
        <f>IF(AND(Projects!$C$19&lt;=CA$4,CA$4&lt;=Projects!$C$19+Projects!$D$19-1),Projects!$B$19/Projects!$D$19,"")</f>
        <v/>
      </c>
      <c r="CB20" s="567">
        <f>IF(AND(Projects!$C$19&lt;=CB$4,CB$4&lt;=Projects!$C$19+Projects!$D$19-1),Projects!$B$19/Projects!$D$19,"")</f>
        <v/>
      </c>
      <c r="CC20" s="567">
        <f>IF(AND(Projects!$C$19&lt;=CC$4,CC$4&lt;=Projects!$C$19+Projects!$D$19-1),Projects!$B$19/Projects!$D$19,"")</f>
        <v/>
      </c>
      <c r="CD20" s="567">
        <f>IF(AND(Projects!$C$19&lt;=CD$4,CD$4&lt;=Projects!$C$19+Projects!$D$19-1),Projects!$B$19/Projects!$D$19,"")</f>
        <v/>
      </c>
      <c r="CE20" s="567">
        <f>IF(AND(Projects!$C$19&lt;=CE$4,CE$4&lt;=Projects!$C$19+Projects!$D$19-1),Projects!$B$19/Projects!$D$19,"")</f>
        <v/>
      </c>
      <c r="CF20" s="567">
        <f>IF(AND(Projects!$C$19&lt;=CF$4,CF$4&lt;=Projects!$C$19+Projects!$D$19-1),Projects!$B$19/Projects!$D$19,"")</f>
        <v/>
      </c>
      <c r="CG20" s="567">
        <f>IF(AND(Projects!$C$19&lt;=CG$4,CG$4&lt;=Projects!$C$19+Projects!$D$19-1),Projects!$B$19/Projects!$D$19,"")</f>
        <v/>
      </c>
      <c r="CH20" s="567">
        <f>IF(AND(Projects!$C$19&lt;=CH$4,CH$4&lt;=Projects!$C$19+Projects!$D$19-1),Projects!$B$19/Projects!$D$19,"")</f>
        <v/>
      </c>
      <c r="CI20" s="567">
        <f>IF(AND(Projects!$C$19&lt;=CI$4,CI$4&lt;=Projects!$C$19+Projects!$D$19-1),Projects!$B$19/Projects!$D$19,"")</f>
        <v/>
      </c>
      <c r="CJ20" s="567">
        <f>IF(AND(Projects!$C$19&lt;=CJ$4,CJ$4&lt;=Projects!$C$19+Projects!$D$19-1),Projects!$B$19/Projects!$D$19,"")</f>
        <v/>
      </c>
      <c r="CK20" s="567">
        <f>IF(AND(Projects!$C$19&lt;=CK$4,CK$4&lt;=Projects!$C$19+Projects!$D$19-1),Projects!$B$19/Projects!$D$19,"")</f>
        <v/>
      </c>
      <c r="CL20" s="567">
        <f>IF(AND(Projects!$C$19&lt;=CL$4,CL$4&lt;=Projects!$C$19+Projects!$D$19-1),Projects!$B$19/Projects!$D$19,"")</f>
        <v/>
      </c>
      <c r="CM20" s="567">
        <f>IF(AND(Projects!$C$19&lt;=CM$4,CM$4&lt;=Projects!$C$19+Projects!$D$19-1),Projects!$B$19/Projects!$D$19,"")</f>
        <v/>
      </c>
      <c r="CN20" s="567">
        <f>IF(AND(Projects!$C$19&lt;=CN$4,CN$4&lt;=Projects!$C$19+Projects!$D$19-1),Projects!$B$19/Projects!$D$19,"")</f>
        <v/>
      </c>
      <c r="CO20" s="567">
        <f>IF(AND(Projects!$C$19&lt;=CO$4,CO$4&lt;=Projects!$C$19+Projects!$D$19-1),Projects!$B$19/Projects!$D$19,"")</f>
        <v/>
      </c>
      <c r="CP20" s="567">
        <f>IF(AND(Projects!$C$19&lt;=CP$4,CP$4&lt;=Projects!$C$19+Projects!$D$19-1),Projects!$B$19/Projects!$D$19,"")</f>
        <v/>
      </c>
      <c r="CQ20" s="567">
        <f>IF(AND(Projects!$C$19&lt;=CQ$4,CQ$4&lt;=Projects!$C$19+Projects!$D$19-1),Projects!$B$19/Projects!$D$19,"")</f>
        <v/>
      </c>
      <c r="CR20" s="567">
        <f>IF(AND(Projects!$C$19&lt;=CR$4,CR$4&lt;=Projects!$C$19+Projects!$D$19-1),Projects!$B$19/Projects!$D$19,"")</f>
        <v/>
      </c>
      <c r="CS20" s="567">
        <f>IF(AND(Projects!$C$19&lt;=CS$4,CS$4&lt;=Projects!$C$19+Projects!$D$19-1),Projects!$B$19/Projects!$D$19,"")</f>
        <v/>
      </c>
      <c r="CT20" s="567">
        <f>IF(AND(Projects!$C$19&lt;=CT$4,CT$4&lt;=Projects!$C$19+Projects!$D$19-1),Projects!$B$19/Projects!$D$19,"")</f>
        <v/>
      </c>
      <c r="CU20" s="567">
        <f>IF(AND(Projects!$C$19&lt;=CU$4,CU$4&lt;=Projects!$C$19+Projects!$D$19-1),Projects!$B$19/Projects!$D$19,"")</f>
        <v/>
      </c>
      <c r="CV20" s="567">
        <f>IF(AND(Projects!$C$19&lt;=CV$4,CV$4&lt;=Projects!$C$19+Projects!$D$19-1),Projects!$B$19/Projects!$D$19,"")</f>
        <v/>
      </c>
      <c r="CW20" s="567">
        <f>IF(AND(Projects!$C$19&lt;=CW$4,CW$4&lt;=Projects!$C$19+Projects!$D$19-1),Projects!$B$19/Projects!$D$19,"")</f>
        <v/>
      </c>
      <c r="CX20" s="567">
        <f>IF(AND(Projects!$C$19&lt;=CX$4,CX$4&lt;=Projects!$C$19+Projects!$D$19-1),Projects!$B$19/Projects!$D$19,"")</f>
        <v/>
      </c>
      <c r="CY20" s="567">
        <f>IF(AND(Projects!$C$19&lt;=CY$4,CY$4&lt;=Projects!$C$19+Projects!$D$19-1),Projects!$B$19/Projects!$D$19,"")</f>
        <v/>
      </c>
      <c r="CZ20" s="567">
        <f>IF(AND(Projects!$C$19&lt;=CZ$4,CZ$4&lt;=Projects!$C$19+Projects!$D$19-1),Projects!$B$19/Projects!$D$19,"")</f>
        <v/>
      </c>
      <c r="DA20" s="567">
        <f>IF(AND(Projects!$C$19&lt;=DA$4,DA$4&lt;=Projects!$C$19+Projects!$D$19-1),Projects!$B$19/Projects!$D$19,"")</f>
        <v/>
      </c>
      <c r="DB20" s="567">
        <f>IF(AND(Projects!$C$19&lt;=DB$4,DB$4&lt;=Projects!$C$19+Projects!$D$19-1),Projects!$B$19/Projects!$D$19,"")</f>
        <v/>
      </c>
    </row>
    <row r="21" ht="15" customFormat="1" customHeight="1" s="380">
      <c r="A21" s="473" t="inlineStr">
        <is>
          <t>Committed: Monthly Billing In Place ($M)</t>
        </is>
      </c>
      <c r="G21" s="568">
        <f>SUM(G7:G20)+SUM(G24:G44)</f>
        <v/>
      </c>
      <c r="H21" s="568">
        <f>SUM(H7:H20)+SUM(H24:H44)</f>
        <v/>
      </c>
      <c r="I21" s="568">
        <f>SUM(I7:I20)+SUM(I24:I44)</f>
        <v/>
      </c>
      <c r="J21" s="568">
        <f>SUM(J7:J20)+SUM(J24:J44)</f>
        <v/>
      </c>
      <c r="K21" s="568">
        <f>SUM(K7:K20)+SUM(K24:K44)</f>
        <v/>
      </c>
      <c r="L21" s="568">
        <f>SUM(L7:L20)+SUM(L24:L44)</f>
        <v/>
      </c>
      <c r="M21" s="568">
        <f>SUM(M7:M20)+SUM(M24:M44)</f>
        <v/>
      </c>
      <c r="N21" s="568">
        <f>SUM(N7:N20)+SUM(N24:N44)</f>
        <v/>
      </c>
      <c r="O21" s="568">
        <f>SUM(O7:O20)+SUM(O24:O44)</f>
        <v/>
      </c>
      <c r="P21" s="568">
        <f>SUM(P7:P20)+SUM(P24:P44)</f>
        <v/>
      </c>
      <c r="Q21" s="568">
        <f>SUM(Q7:Q20)+SUM(Q24:Q44)</f>
        <v/>
      </c>
      <c r="R21" s="568">
        <f>SUM(R7:R20)+SUM(R24:R44)</f>
        <v/>
      </c>
      <c r="S21" s="568">
        <f>SUM(S7:S20)+SUM(S24:S44)</f>
        <v/>
      </c>
      <c r="T21" s="568">
        <f>SUM(T7:T20)+SUM(T24:T44)</f>
        <v/>
      </c>
      <c r="U21" s="568">
        <f>SUM(U7:U20)+SUM(U24:U44)</f>
        <v/>
      </c>
      <c r="V21" s="568">
        <f>SUM(V7:V20)+SUM(V24:V44)</f>
        <v/>
      </c>
      <c r="W21" s="568">
        <f>SUM(W7:W20)+SUM(W24:W44)</f>
        <v/>
      </c>
      <c r="X21" s="568">
        <f>SUM(X7:X20)+SUM(X24:X44)</f>
        <v/>
      </c>
      <c r="Y21" s="568">
        <f>SUM(Y7:Y20)+SUM(Y24:Y44)</f>
        <v/>
      </c>
      <c r="Z21" s="568">
        <f>SUM(Z7:Z20)+SUM(Z24:Z44)</f>
        <v/>
      </c>
      <c r="AA21" s="568">
        <f>SUM(AA7:AA20)+SUM(AA24:AA44)</f>
        <v/>
      </c>
      <c r="AB21" s="568">
        <f>SUM(AB7:AB20)+SUM(AB24:AB44)</f>
        <v/>
      </c>
      <c r="AC21" s="568">
        <f>SUM(AC7:AC20)+SUM(AC24:AC44)</f>
        <v/>
      </c>
      <c r="AD21" s="568">
        <f>SUM(AD7:AD20)+SUM(AD24:AD44)</f>
        <v/>
      </c>
      <c r="AE21" s="568">
        <f>SUM(AE7:AE20)+SUM(AE24:AE44)</f>
        <v/>
      </c>
      <c r="AF21" s="568">
        <f>SUM(AF7:AF20)+SUM(AF24:AF44)</f>
        <v/>
      </c>
      <c r="AG21" s="568">
        <f>SUM(AG7:AG20)+SUM(AG24:AG44)</f>
        <v/>
      </c>
      <c r="AH21" s="568">
        <f>SUM(AH7:AH20)+SUM(AH24:AH44)</f>
        <v/>
      </c>
      <c r="AI21" s="568">
        <f>SUM(AI7:AI20)+SUM(AI24:AI44)</f>
        <v/>
      </c>
      <c r="AJ21" s="568">
        <f>SUM(AJ7:AJ20)+SUM(AJ24:AJ44)</f>
        <v/>
      </c>
      <c r="AK21" s="568">
        <f>SUM(AK7:AK20)+SUM(AK24:AK44)</f>
        <v/>
      </c>
      <c r="AL21" s="568">
        <f>SUM(AL7:AL20)+SUM(AL24:AL44)</f>
        <v/>
      </c>
      <c r="AM21" s="568">
        <f>SUM(AM7:AM20)+SUM(AM24:AM44)</f>
        <v/>
      </c>
      <c r="AN21" s="568">
        <f>SUM(AN7:AN20)+SUM(AN24:AN44)</f>
        <v/>
      </c>
      <c r="AO21" s="568">
        <f>SUM(AO7:AO20)+SUM(AO24:AO44)</f>
        <v/>
      </c>
      <c r="AP21" s="568">
        <f>SUM(AP7:AP20)+SUM(AP24:AP44)</f>
        <v/>
      </c>
      <c r="AQ21" s="568">
        <f>SUM(AQ7:AQ20)+SUM(AQ24:AQ44)</f>
        <v/>
      </c>
      <c r="AR21" s="568">
        <f>SUM(AR7:AR20)+SUM(AR24:AR44)</f>
        <v/>
      </c>
      <c r="AS21" s="568">
        <f>SUM(AS7:AS20)+SUM(AS24:AS44)</f>
        <v/>
      </c>
      <c r="AT21" s="568">
        <f>SUM(AT7:AT20)+SUM(AT24:AT44)</f>
        <v/>
      </c>
      <c r="AU21" s="568">
        <f>SUM(AU7:AU20)+SUM(AU24:AU44)</f>
        <v/>
      </c>
      <c r="AV21" s="568">
        <f>SUM(AV7:AV20)+SUM(AV24:AV44)</f>
        <v/>
      </c>
      <c r="AW21" s="568">
        <f>SUM(AW7:AW20)+SUM(AW24:AW44)</f>
        <v/>
      </c>
      <c r="AX21" s="568">
        <f>SUM(AX7:AX20)+SUM(AX24:AX44)</f>
        <v/>
      </c>
      <c r="AY21" s="568">
        <f>SUM(AY7:AY20)+SUM(AY24:AY44)</f>
        <v/>
      </c>
      <c r="AZ21" s="568">
        <f>SUM(AZ7:AZ20)+SUM(AZ24:AZ44)</f>
        <v/>
      </c>
      <c r="BA21" s="568">
        <f>SUM(BA7:BA20)+SUM(BA24:BA44)</f>
        <v/>
      </c>
      <c r="BB21" s="568">
        <f>SUM(BB7:BB20)+SUM(BB24:BB44)</f>
        <v/>
      </c>
      <c r="BC21" s="568">
        <f>SUM(BC7:BC20)+SUM(BC24:BC44)</f>
        <v/>
      </c>
      <c r="BD21" s="568">
        <f>SUM(BD7:BD20)+SUM(BD24:BD44)</f>
        <v/>
      </c>
      <c r="BE21" s="568">
        <f>SUM(BE7:BE20)+SUM(BE24:BE44)</f>
        <v/>
      </c>
      <c r="BF21" s="568">
        <f>SUM(BF7:BF20)+SUM(BF24:BF44)</f>
        <v/>
      </c>
      <c r="BG21" s="568">
        <f>SUM(BG7:BG20)+SUM(BG24:BG44)</f>
        <v/>
      </c>
      <c r="BH21" s="568">
        <f>SUM(BH7:BH20)+SUM(BH24:BH44)</f>
        <v/>
      </c>
      <c r="BI21" s="568">
        <f>SUM(BI7:BI20)+SUM(BI24:BI44)</f>
        <v/>
      </c>
      <c r="BJ21" s="568">
        <f>SUM(BJ7:BJ20)+SUM(BJ24:BJ44)</f>
        <v/>
      </c>
      <c r="BK21" s="568">
        <f>SUM(BK7:BK20)+SUM(BK24:BK44)</f>
        <v/>
      </c>
      <c r="BL21" s="568">
        <f>SUM(BL7:BL20)+SUM(BL24:BL44)</f>
        <v/>
      </c>
      <c r="BM21" s="568">
        <f>SUM(BM7:BM20)+SUM(BM24:BM44)</f>
        <v/>
      </c>
      <c r="BN21" s="568">
        <f>SUM(BN7:BN20)+SUM(BN24:BN44)</f>
        <v/>
      </c>
      <c r="BO21" s="568">
        <f>SUM(BO7:BO20)+SUM(BO24:BO44)</f>
        <v/>
      </c>
      <c r="BP21" s="568">
        <f>SUM(BP7:BP20)+SUM(BP24:BP44)</f>
        <v/>
      </c>
      <c r="BQ21" s="568">
        <f>SUM(BQ7:BQ20)+SUM(BQ24:BQ44)</f>
        <v/>
      </c>
      <c r="BR21" s="568">
        <f>SUM(BR7:BR20)+SUM(BR24:BR44)</f>
        <v/>
      </c>
      <c r="BS21" s="568">
        <f>SUM(BS7:BS20)+SUM(BS24:BS44)</f>
        <v/>
      </c>
      <c r="BT21" s="568">
        <f>SUM(BT7:BT20)+SUM(BT24:BT44)</f>
        <v/>
      </c>
      <c r="BU21" s="568">
        <f>SUM(BU7:BU20)+SUM(BU24:BU44)</f>
        <v/>
      </c>
      <c r="BV21" s="568">
        <f>SUM(BV7:BV20)+SUM(BV24:BV44)</f>
        <v/>
      </c>
      <c r="BW21" s="568">
        <f>SUM(BW7:BW20)+SUM(BW24:BW44)</f>
        <v/>
      </c>
      <c r="BX21" s="568">
        <f>SUM(BX7:BX20)+SUM(BX24:BX44)</f>
        <v/>
      </c>
      <c r="BY21" s="568">
        <f>SUM(BY7:BY20)+SUM(BY24:BY44)</f>
        <v/>
      </c>
      <c r="BZ21" s="568">
        <f>SUM(BZ7:BZ20)+SUM(BZ24:BZ44)</f>
        <v/>
      </c>
      <c r="CA21" s="568">
        <f>SUM(CA7:CA20)+SUM(CA24:CA44)</f>
        <v/>
      </c>
      <c r="CB21" s="568">
        <f>SUM(CB7:CB20)+SUM(CB24:CB44)</f>
        <v/>
      </c>
      <c r="CC21" s="568">
        <f>SUM(CC7:CC20)+SUM(CC24:CC44)</f>
        <v/>
      </c>
      <c r="CD21" s="568">
        <f>SUM(CD7:CD20)+SUM(CD24:CD44)</f>
        <v/>
      </c>
      <c r="CE21" s="568">
        <f>SUM(CE7:CE20)+SUM(CE24:CE44)</f>
        <v/>
      </c>
      <c r="CF21" s="568">
        <f>SUM(CF7:CF20)+SUM(CF24:CF44)</f>
        <v/>
      </c>
      <c r="CG21" s="568">
        <f>SUM(CG7:CG20)+SUM(CG24:CG44)</f>
        <v/>
      </c>
      <c r="CH21" s="568">
        <f>SUM(CH7:CH20)+SUM(CH24:CH44)</f>
        <v/>
      </c>
      <c r="CI21" s="568">
        <f>SUM(CI7:CI20)+SUM(CI24:CI44)</f>
        <v/>
      </c>
      <c r="CJ21" s="568">
        <f>SUM(CJ7:CJ20)+SUM(CJ24:CJ44)</f>
        <v/>
      </c>
      <c r="CK21" s="568">
        <f>SUM(CK7:CK20)+SUM(CK24:CK44)</f>
        <v/>
      </c>
      <c r="CL21" s="568">
        <f>SUM(CL7:CL20)+SUM(CL24:CL44)</f>
        <v/>
      </c>
      <c r="CM21" s="568">
        <f>SUM(CM7:CM20)+SUM(CM24:CM44)</f>
        <v/>
      </c>
      <c r="CN21" s="568">
        <f>SUM(CN7:CN20)+SUM(CN24:CN44)</f>
        <v/>
      </c>
      <c r="CO21" s="568">
        <f>SUM(CO7:CO20)+SUM(CO24:CO44)</f>
        <v/>
      </c>
      <c r="CP21" s="568">
        <f>SUM(CP7:CP20)+SUM(CP24:CP44)</f>
        <v/>
      </c>
      <c r="CQ21" s="568">
        <f>SUM(CQ7:CQ20)+SUM(CQ24:CQ44)</f>
        <v/>
      </c>
      <c r="CR21" s="568">
        <f>SUM(CR7:CR20)+SUM(CR24:CR44)</f>
        <v/>
      </c>
      <c r="CS21" s="568">
        <f>SUM(CS7:CS20)+SUM(CS24:CS44)</f>
        <v/>
      </c>
      <c r="CT21" s="568">
        <f>SUM(CT7:CT20)+SUM(CT24:CT44)</f>
        <v/>
      </c>
      <c r="CU21" s="568">
        <f>SUM(CU7:CU20)+SUM(CU24:CU44)</f>
        <v/>
      </c>
      <c r="CV21" s="568">
        <f>SUM(CV7:CV20)+SUM(CV24:CV44)</f>
        <v/>
      </c>
      <c r="CW21" s="568">
        <f>SUM(CW7:CW20)+SUM(CW24:CW44)</f>
        <v/>
      </c>
      <c r="CX21" s="568">
        <f>SUM(CX7:CX20)+SUM(CX24:CX44)</f>
        <v/>
      </c>
      <c r="CY21" s="568">
        <f>SUM(CY7:CY20)+SUM(CY24:CY44)</f>
        <v/>
      </c>
      <c r="CZ21" s="568">
        <f>SUM(CZ7:CZ20)+SUM(CZ24:CZ44)</f>
        <v/>
      </c>
      <c r="DA21" s="568">
        <f>SUM(DA7:DA20)+SUM(DA24:DA44)</f>
        <v/>
      </c>
      <c r="DB21" s="568">
        <f>SUM(DB7:DB20)+SUM(DB24:DB44)</f>
        <v/>
      </c>
    </row>
    <row r="22" ht="15" customFormat="1" customHeight="1" s="380">
      <c r="A22" s="473" t="inlineStr">
        <is>
          <t>Committed: Jobs Active (#)</t>
        </is>
      </c>
      <c r="G22" s="569">
        <f>COUNT(G7:G20)+COUNT(G24:G44)</f>
        <v/>
      </c>
      <c r="H22" s="569">
        <f>COUNT(H7:H20)+COUNT(H24:H44)</f>
        <v/>
      </c>
      <c r="I22" s="569">
        <f>COUNT(I7:I20)+COUNT(I24:I44)</f>
        <v/>
      </c>
      <c r="J22" s="569">
        <f>COUNT(J7:J20)+COUNT(J24:J44)</f>
        <v/>
      </c>
      <c r="K22" s="569">
        <f>COUNT(K7:K20)+COUNT(K24:K44)</f>
        <v/>
      </c>
      <c r="L22" s="569">
        <f>COUNT(L7:L20)+COUNT(L24:L44)</f>
        <v/>
      </c>
      <c r="M22" s="569">
        <f>COUNT(M7:M20)+COUNT(M24:M44)</f>
        <v/>
      </c>
      <c r="N22" s="569">
        <f>COUNT(N7:N20)+COUNT(N24:N44)</f>
        <v/>
      </c>
      <c r="O22" s="569">
        <f>COUNT(O7:O20)+COUNT(O24:O44)</f>
        <v/>
      </c>
      <c r="P22" s="569">
        <f>COUNT(P7:P20)+COUNT(P24:P44)</f>
        <v/>
      </c>
      <c r="Q22" s="569">
        <f>COUNT(Q7:Q20)+COUNT(Q24:Q44)</f>
        <v/>
      </c>
      <c r="R22" s="569">
        <f>COUNT(R7:R20)+COUNT(R24:R44)</f>
        <v/>
      </c>
      <c r="S22" s="569">
        <f>COUNT(S7:S20)+COUNT(S24:S44)</f>
        <v/>
      </c>
      <c r="T22" s="569">
        <f>COUNT(T7:T20)+COUNT(T24:T44)</f>
        <v/>
      </c>
      <c r="U22" s="569">
        <f>COUNT(U7:U20)+COUNT(U24:U44)</f>
        <v/>
      </c>
      <c r="V22" s="569">
        <f>COUNT(V7:V20)+COUNT(V24:V44)</f>
        <v/>
      </c>
      <c r="W22" s="569">
        <f>COUNT(W7:W20)+COUNT(W24:W44)</f>
        <v/>
      </c>
      <c r="X22" s="569">
        <f>COUNT(X7:X20)+COUNT(X24:X44)</f>
        <v/>
      </c>
      <c r="Y22" s="569">
        <f>COUNT(Y7:Y20)+COUNT(Y24:Y44)</f>
        <v/>
      </c>
      <c r="Z22" s="569">
        <f>COUNT(Z7:Z20)+COUNT(Z24:Z44)</f>
        <v/>
      </c>
      <c r="AA22" s="569">
        <f>COUNT(AA7:AA20)+COUNT(AA24:AA44)</f>
        <v/>
      </c>
      <c r="AB22" s="569">
        <f>COUNT(AB7:AB20)+COUNT(AB24:AB44)</f>
        <v/>
      </c>
      <c r="AC22" s="569">
        <f>COUNT(AC7:AC20)+COUNT(AC24:AC44)</f>
        <v/>
      </c>
      <c r="AD22" s="569">
        <f>COUNT(AD7:AD20)+COUNT(AD24:AD44)</f>
        <v/>
      </c>
      <c r="AE22" s="569">
        <f>COUNT(AE7:AE20)+COUNT(AE24:AE44)</f>
        <v/>
      </c>
      <c r="AF22" s="569">
        <f>COUNT(AF7:AF20)+COUNT(AF24:AF44)</f>
        <v/>
      </c>
      <c r="AG22" s="569">
        <f>COUNT(AG7:AG20)+COUNT(AG24:AG44)</f>
        <v/>
      </c>
      <c r="AH22" s="569">
        <f>COUNT(AH7:AH20)+COUNT(AH24:AH44)</f>
        <v/>
      </c>
      <c r="AI22" s="569">
        <f>COUNT(AI7:AI20)+COUNT(AI24:AI44)</f>
        <v/>
      </c>
      <c r="AJ22" s="569">
        <f>COUNT(AJ7:AJ20)+COUNT(AJ24:AJ44)</f>
        <v/>
      </c>
      <c r="AK22" s="569">
        <f>COUNT(AK7:AK20)+COUNT(AK24:AK44)</f>
        <v/>
      </c>
      <c r="AL22" s="569">
        <f>COUNT(AL7:AL20)+COUNT(AL24:AL44)</f>
        <v/>
      </c>
      <c r="AM22" s="569">
        <f>COUNT(AM7:AM20)+COUNT(AM24:AM44)</f>
        <v/>
      </c>
      <c r="AN22" s="569">
        <f>COUNT(AN7:AN20)+COUNT(AN24:AN44)</f>
        <v/>
      </c>
      <c r="AO22" s="569">
        <f>COUNT(AO7:AO20)+COUNT(AO24:AO44)</f>
        <v/>
      </c>
      <c r="AP22" s="569">
        <f>COUNT(AP7:AP20)+COUNT(AP24:AP44)</f>
        <v/>
      </c>
      <c r="AQ22" s="569">
        <f>COUNT(AQ7:AQ20)+COUNT(AQ24:AQ44)</f>
        <v/>
      </c>
      <c r="AR22" s="569">
        <f>COUNT(AR7:AR20)+COUNT(AR24:AR44)</f>
        <v/>
      </c>
      <c r="AS22" s="569">
        <f>COUNT(AS7:AS20)+COUNT(AS24:AS44)</f>
        <v/>
      </c>
      <c r="AT22" s="569">
        <f>COUNT(AT7:AT20)+COUNT(AT24:AT44)</f>
        <v/>
      </c>
      <c r="AU22" s="569">
        <f>COUNT(AU7:AU20)+COUNT(AU24:AU44)</f>
        <v/>
      </c>
      <c r="AV22" s="569">
        <f>COUNT(AV7:AV20)+COUNT(AV24:AV44)</f>
        <v/>
      </c>
      <c r="AW22" s="569">
        <f>COUNT(AW7:AW20)+COUNT(AW24:AW44)</f>
        <v/>
      </c>
      <c r="AX22" s="569">
        <f>COUNT(AX7:AX20)+COUNT(AX24:AX44)</f>
        <v/>
      </c>
      <c r="AY22" s="569">
        <f>COUNT(AY7:AY20)+COUNT(AY24:AY44)</f>
        <v/>
      </c>
      <c r="AZ22" s="569">
        <f>COUNT(AZ7:AZ20)+COUNT(AZ24:AZ44)</f>
        <v/>
      </c>
      <c r="BA22" s="569">
        <f>COUNT(BA7:BA20)+COUNT(BA24:BA44)</f>
        <v/>
      </c>
      <c r="BB22" s="569">
        <f>COUNT(BB7:BB20)+COUNT(BB24:BB44)</f>
        <v/>
      </c>
      <c r="BC22" s="569">
        <f>COUNT(BC7:BC20)+COUNT(BC24:BC44)</f>
        <v/>
      </c>
      <c r="BD22" s="569">
        <f>COUNT(BD7:BD20)+COUNT(BD24:BD44)</f>
        <v/>
      </c>
      <c r="BE22" s="569">
        <f>COUNT(BE7:BE20)+COUNT(BE24:BE44)</f>
        <v/>
      </c>
      <c r="BF22" s="569">
        <f>COUNT(BF7:BF20)+COUNT(BF24:BF44)</f>
        <v/>
      </c>
      <c r="BG22" s="569">
        <f>COUNT(BG7:BG20)+COUNT(BG24:BG44)</f>
        <v/>
      </c>
      <c r="BH22" s="569">
        <f>COUNT(BH7:BH20)+COUNT(BH24:BH44)</f>
        <v/>
      </c>
      <c r="BI22" s="569">
        <f>COUNT(BI7:BI20)+COUNT(BI24:BI44)</f>
        <v/>
      </c>
      <c r="BJ22" s="569">
        <f>COUNT(BJ7:BJ20)+COUNT(BJ24:BJ44)</f>
        <v/>
      </c>
      <c r="BK22" s="569">
        <f>COUNT(BK7:BK20)+COUNT(BK24:BK44)</f>
        <v/>
      </c>
      <c r="BL22" s="569">
        <f>COUNT(BL7:BL20)+COUNT(BL24:BL44)</f>
        <v/>
      </c>
      <c r="BM22" s="569">
        <f>COUNT(BM7:BM20)+COUNT(BM24:BM44)</f>
        <v/>
      </c>
      <c r="BN22" s="569">
        <f>COUNT(BN7:BN20)+COUNT(BN24:BN44)</f>
        <v/>
      </c>
      <c r="BO22" s="569">
        <f>COUNT(BO7:BO20)+COUNT(BO24:BO44)</f>
        <v/>
      </c>
      <c r="BP22" s="569">
        <f>COUNT(BP7:BP20)+COUNT(BP24:BP44)</f>
        <v/>
      </c>
      <c r="BQ22" s="569">
        <f>COUNT(BQ7:BQ20)+COUNT(BQ24:BQ44)</f>
        <v/>
      </c>
      <c r="BR22" s="569">
        <f>COUNT(BR7:BR20)+COUNT(BR24:BR44)</f>
        <v/>
      </c>
      <c r="BS22" s="569">
        <f>COUNT(BS7:BS20)+COUNT(BS24:BS44)</f>
        <v/>
      </c>
      <c r="BT22" s="569">
        <f>COUNT(BT7:BT20)+COUNT(BT24:BT44)</f>
        <v/>
      </c>
      <c r="BU22" s="569">
        <f>COUNT(BU7:BU20)+COUNT(BU24:BU44)</f>
        <v/>
      </c>
      <c r="BV22" s="569">
        <f>COUNT(BV7:BV20)+COUNT(BV24:BV44)</f>
        <v/>
      </c>
      <c r="BW22" s="569">
        <f>COUNT(BW7:BW20)+COUNT(BW24:BW44)</f>
        <v/>
      </c>
      <c r="BX22" s="569">
        <f>COUNT(BX7:BX20)+COUNT(BX24:BX44)</f>
        <v/>
      </c>
      <c r="BY22" s="569">
        <f>COUNT(BY7:BY20)+COUNT(BY24:BY44)</f>
        <v/>
      </c>
      <c r="BZ22" s="569">
        <f>COUNT(BZ7:BZ20)+COUNT(BZ24:BZ44)</f>
        <v/>
      </c>
      <c r="CA22" s="569">
        <f>COUNT(CA7:CA20)+COUNT(CA24:CA44)</f>
        <v/>
      </c>
      <c r="CB22" s="569">
        <f>COUNT(CB7:CB20)+COUNT(CB24:CB44)</f>
        <v/>
      </c>
      <c r="CC22" s="569">
        <f>COUNT(CC7:CC20)+COUNT(CC24:CC44)</f>
        <v/>
      </c>
      <c r="CD22" s="569">
        <f>COUNT(CD7:CD20)+COUNT(CD24:CD44)</f>
        <v/>
      </c>
      <c r="CE22" s="569">
        <f>COUNT(CE7:CE20)+COUNT(CE24:CE44)</f>
        <v/>
      </c>
      <c r="CF22" s="569">
        <f>COUNT(CF7:CF20)+COUNT(CF24:CF44)</f>
        <v/>
      </c>
      <c r="CG22" s="569">
        <f>COUNT(CG7:CG20)+COUNT(CG24:CG44)</f>
        <v/>
      </c>
      <c r="CH22" s="569">
        <f>COUNT(CH7:CH20)+COUNT(CH24:CH44)</f>
        <v/>
      </c>
      <c r="CI22" s="569">
        <f>COUNT(CI7:CI20)+COUNT(CI24:CI44)</f>
        <v/>
      </c>
      <c r="CJ22" s="569">
        <f>COUNT(CJ7:CJ20)+COUNT(CJ24:CJ44)</f>
        <v/>
      </c>
      <c r="CK22" s="569">
        <f>COUNT(CK7:CK20)+COUNT(CK24:CK44)</f>
        <v/>
      </c>
      <c r="CL22" s="569">
        <f>COUNT(CL7:CL20)+COUNT(CL24:CL44)</f>
        <v/>
      </c>
      <c r="CM22" s="569">
        <f>COUNT(CM7:CM20)+COUNT(CM24:CM44)</f>
        <v/>
      </c>
      <c r="CN22" s="569">
        <f>COUNT(CN7:CN20)+COUNT(CN24:CN44)</f>
        <v/>
      </c>
      <c r="CO22" s="569">
        <f>COUNT(CO7:CO20)+COUNT(CO24:CO44)</f>
        <v/>
      </c>
      <c r="CP22" s="569">
        <f>COUNT(CP7:CP20)+COUNT(CP24:CP44)</f>
        <v/>
      </c>
      <c r="CQ22" s="569">
        <f>COUNT(CQ7:CQ20)+COUNT(CQ24:CQ44)</f>
        <v/>
      </c>
      <c r="CR22" s="569">
        <f>COUNT(CR7:CR20)+COUNT(CR24:CR44)</f>
        <v/>
      </c>
      <c r="CS22" s="569">
        <f>COUNT(CS7:CS20)+COUNT(CS24:CS44)</f>
        <v/>
      </c>
      <c r="CT22" s="569">
        <f>COUNT(CT7:CT20)+COUNT(CT24:CT44)</f>
        <v/>
      </c>
      <c r="CU22" s="569">
        <f>COUNT(CU7:CU20)+COUNT(CU24:CU44)</f>
        <v/>
      </c>
      <c r="CV22" s="569">
        <f>COUNT(CV7:CV20)+COUNT(CV24:CV44)</f>
        <v/>
      </c>
      <c r="CW22" s="569">
        <f>COUNT(CW7:CW20)+COUNT(CW24:CW44)</f>
        <v/>
      </c>
      <c r="CX22" s="569">
        <f>COUNT(CX7:CX20)+COUNT(CX24:CX44)</f>
        <v/>
      </c>
      <c r="CY22" s="569">
        <f>COUNT(CY7:CY20)+COUNT(CY24:CY44)</f>
        <v/>
      </c>
      <c r="CZ22" s="569">
        <f>COUNT(CZ7:CZ20)+COUNT(CZ24:CZ44)</f>
        <v/>
      </c>
      <c r="DA22" s="569">
        <f>COUNT(DA7:DA20)+COUNT(DA24:DA44)</f>
        <v/>
      </c>
      <c r="DB22" s="569">
        <f>COUNT(DB7:DB20)+COUNT(DB24:DB44)</f>
        <v/>
      </c>
    </row>
    <row r="23" ht="15" customFormat="1" customHeight="1" s="380">
      <c r="A23" s="561" t="inlineStr">
        <is>
          <t>COMMITTED (cont., rows 24-44)</t>
        </is>
      </c>
      <c r="B23" s="562" t="n"/>
      <c r="C23" s="562" t="n"/>
      <c r="D23" s="562" t="n"/>
      <c r="E23" s="562" t="n"/>
      <c r="F23" s="562" t="n"/>
      <c r="G23" s="562" t="n"/>
      <c r="H23" s="562" t="n"/>
      <c r="I23" s="562" t="n"/>
      <c r="J23" s="562" t="n"/>
      <c r="K23" s="562" t="n"/>
      <c r="L23" s="562" t="n"/>
      <c r="M23" s="562" t="n"/>
      <c r="N23" s="562" t="n"/>
      <c r="O23" s="562" t="n"/>
      <c r="P23" s="562" t="n"/>
      <c r="Q23" s="562" t="n"/>
      <c r="R23" s="562" t="n"/>
      <c r="S23" s="562" t="n"/>
      <c r="T23" s="562" t="n"/>
      <c r="U23" s="562" t="n"/>
      <c r="V23" s="562" t="n"/>
      <c r="W23" s="562" t="n"/>
      <c r="X23" s="562" t="n"/>
      <c r="Y23" s="562" t="n"/>
      <c r="Z23" s="562" t="n"/>
      <c r="AA23" s="562" t="n"/>
      <c r="AB23" s="562" t="n"/>
      <c r="AC23" s="562" t="n"/>
      <c r="AD23" s="562" t="n"/>
      <c r="AE23" s="562" t="n"/>
      <c r="AF23" s="562" t="n"/>
      <c r="AG23" s="562" t="n"/>
      <c r="AH23" s="562" t="n"/>
      <c r="AI23" s="562" t="n"/>
      <c r="AJ23" s="562" t="n"/>
      <c r="AK23" s="562" t="n"/>
      <c r="AL23" s="562" t="n"/>
      <c r="AM23" s="562" t="n"/>
      <c r="AN23" s="562" t="n"/>
      <c r="AO23" s="562" t="n"/>
      <c r="AP23" s="562" t="n"/>
      <c r="AQ23" s="562" t="n"/>
      <c r="AR23" s="562" t="n"/>
      <c r="AS23" s="562" t="n"/>
      <c r="AT23" s="562" t="n"/>
      <c r="AU23" s="562" t="n"/>
      <c r="AV23" s="562" t="n"/>
      <c r="AW23" s="562" t="n"/>
      <c r="AX23" s="562" t="n"/>
      <c r="AY23" s="562" t="n"/>
      <c r="AZ23" s="562" t="n"/>
      <c r="BA23" s="562" t="n"/>
      <c r="BB23" s="562" t="n"/>
      <c r="BC23" s="562" t="n"/>
      <c r="BD23" s="562" t="n"/>
      <c r="BE23" s="562" t="n"/>
      <c r="BF23" s="562" t="n"/>
      <c r="BG23" s="562" t="n"/>
      <c r="BH23" s="562" t="n"/>
      <c r="BI23" s="562" t="n"/>
      <c r="BJ23" s="562" t="n"/>
      <c r="BK23" s="562" t="n"/>
      <c r="BL23" s="562" t="n"/>
      <c r="BM23" s="562" t="n"/>
      <c r="BN23" s="562" t="n"/>
      <c r="BO23" s="562" t="n"/>
      <c r="BP23" s="562" t="n"/>
      <c r="BQ23" s="562" t="n"/>
      <c r="BR23" s="562" t="n"/>
      <c r="BS23" s="562" t="n"/>
      <c r="BT23" s="562" t="n"/>
      <c r="BU23" s="562" t="n"/>
      <c r="BV23" s="562" t="n"/>
      <c r="BW23" s="562" t="n"/>
      <c r="BX23" s="562" t="n"/>
      <c r="BY23" s="562" t="n"/>
      <c r="BZ23" s="562" t="n"/>
      <c r="CA23" s="562" t="n"/>
      <c r="CB23" s="562" t="n"/>
      <c r="CC23" s="562" t="n"/>
      <c r="CD23" s="562" t="n"/>
      <c r="CE23" s="562" t="n"/>
      <c r="CF23" s="562" t="n"/>
      <c r="CG23" s="562" t="n"/>
      <c r="CH23" s="562" t="n"/>
      <c r="CI23" s="562" t="n"/>
      <c r="CJ23" s="562" t="n"/>
      <c r="CK23" s="562" t="n"/>
      <c r="CL23" s="562" t="n"/>
      <c r="CM23" s="562" t="n"/>
      <c r="CN23" s="562" t="n"/>
      <c r="CO23" s="562" t="n"/>
      <c r="CP23" s="562" t="n"/>
      <c r="CQ23" s="562" t="n"/>
      <c r="CR23" s="562" t="n"/>
      <c r="CS23" s="562" t="n"/>
      <c r="CT23" s="562" t="n"/>
      <c r="CU23" s="562" t="n"/>
      <c r="CV23" s="562" t="n"/>
      <c r="CW23" s="562" t="n"/>
      <c r="CX23" s="562" t="n"/>
      <c r="CY23" s="562" t="n"/>
      <c r="CZ23" s="562" t="n"/>
      <c r="DA23" s="562" t="n"/>
      <c r="DB23" s="562" t="n"/>
    </row>
    <row r="24" ht="15" customFormat="1" customHeight="1" s="380">
      <c r="A24" s="563" t="inlineStr">
        <is>
          <t>Klump</t>
        </is>
      </c>
      <c r="B24" s="564">
        <f>Projects!$B$11</f>
        <v/>
      </c>
      <c r="C24" s="565">
        <f>EDATE(Model!$E$2,Projects!$C$11-1)</f>
        <v/>
      </c>
      <c r="D24" s="565">
        <f>EDATE(Model!$E$2,Projects!$C$11+Projects!$D$11-2)</f>
        <v/>
      </c>
      <c r="E24" s="566">
        <f>Projects!$D$11</f>
        <v/>
      </c>
      <c r="F24" s="564">
        <f>Projects!$B$11/Projects!$D$11</f>
        <v/>
      </c>
      <c r="G24" s="567">
        <f>IF(AND(Projects!$C$11&lt;=G$4,G$4&lt;=Projects!$C$11+Projects!$D$11-1),Projects!$B$11/Projects!$D$11,"")</f>
        <v/>
      </c>
      <c r="H24" s="567">
        <f>IF(AND(Projects!$C$11&lt;=H$4,H$4&lt;=Projects!$C$11+Projects!$D$11-1),Projects!$B$11/Projects!$D$11,"")</f>
        <v/>
      </c>
      <c r="I24" s="567">
        <f>IF(AND(Projects!$C$11&lt;=I$4,I$4&lt;=Projects!$C$11+Projects!$D$11-1),Projects!$B$11/Projects!$D$11,"")</f>
        <v/>
      </c>
      <c r="J24" s="567">
        <f>IF(AND(Projects!$C$11&lt;=J$4,J$4&lt;=Projects!$C$11+Projects!$D$11-1),Projects!$B$11/Projects!$D$11,"")</f>
        <v/>
      </c>
      <c r="K24" s="567">
        <f>IF(AND(Projects!$C$11&lt;=K$4,K$4&lt;=Projects!$C$11+Projects!$D$11-1),Projects!$B$11/Projects!$D$11,"")</f>
        <v/>
      </c>
      <c r="L24" s="567">
        <f>IF(AND(Projects!$C$11&lt;=L$4,L$4&lt;=Projects!$C$11+Projects!$D$11-1),Projects!$B$11/Projects!$D$11,"")</f>
        <v/>
      </c>
      <c r="M24" s="567">
        <f>IF(AND(Projects!$C$11&lt;=M$4,M$4&lt;=Projects!$C$11+Projects!$D$11-1),Projects!$B$11/Projects!$D$11,"")</f>
        <v/>
      </c>
      <c r="N24" s="567">
        <f>IF(AND(Projects!$C$11&lt;=N$4,N$4&lt;=Projects!$C$11+Projects!$D$11-1),Projects!$B$11/Projects!$D$11,"")</f>
        <v/>
      </c>
      <c r="O24" s="567">
        <f>IF(AND(Projects!$C$11&lt;=O$4,O$4&lt;=Projects!$C$11+Projects!$D$11-1),Projects!$B$11/Projects!$D$11,"")</f>
        <v/>
      </c>
      <c r="P24" s="567">
        <f>IF(AND(Projects!$C$11&lt;=P$4,P$4&lt;=Projects!$C$11+Projects!$D$11-1),Projects!$B$11/Projects!$D$11,"")</f>
        <v/>
      </c>
      <c r="Q24" s="567">
        <f>IF(AND(Projects!$C$11&lt;=Q$4,Q$4&lt;=Projects!$C$11+Projects!$D$11-1),Projects!$B$11/Projects!$D$11,"")</f>
        <v/>
      </c>
      <c r="R24" s="567">
        <f>IF(AND(Projects!$C$11&lt;=R$4,R$4&lt;=Projects!$C$11+Projects!$D$11-1),Projects!$B$11/Projects!$D$11,"")</f>
        <v/>
      </c>
      <c r="S24" s="567">
        <f>IF(AND(Projects!$C$11&lt;=S$4,S$4&lt;=Projects!$C$11+Projects!$D$11-1),Projects!$B$11/Projects!$D$11,"")</f>
        <v/>
      </c>
      <c r="T24" s="567">
        <f>IF(AND(Projects!$C$11&lt;=T$4,T$4&lt;=Projects!$C$11+Projects!$D$11-1),Projects!$B$11/Projects!$D$11,"")</f>
        <v/>
      </c>
      <c r="U24" s="567">
        <f>IF(AND(Projects!$C$11&lt;=U$4,U$4&lt;=Projects!$C$11+Projects!$D$11-1),Projects!$B$11/Projects!$D$11,"")</f>
        <v/>
      </c>
      <c r="V24" s="567">
        <f>IF(AND(Projects!$C$11&lt;=V$4,V$4&lt;=Projects!$C$11+Projects!$D$11-1),Projects!$B$11/Projects!$D$11,"")</f>
        <v/>
      </c>
      <c r="W24" s="567">
        <f>IF(AND(Projects!$C$11&lt;=W$4,W$4&lt;=Projects!$C$11+Projects!$D$11-1),Projects!$B$11/Projects!$D$11,"")</f>
        <v/>
      </c>
      <c r="X24" s="567">
        <f>IF(AND(Projects!$C$11&lt;=X$4,X$4&lt;=Projects!$C$11+Projects!$D$11-1),Projects!$B$11/Projects!$D$11,"")</f>
        <v/>
      </c>
      <c r="Y24" s="567">
        <f>IF(AND(Projects!$C$11&lt;=Y$4,Y$4&lt;=Projects!$C$11+Projects!$D$11-1),Projects!$B$11/Projects!$D$11,"")</f>
        <v/>
      </c>
      <c r="Z24" s="567">
        <f>IF(AND(Projects!$C$11&lt;=Z$4,Z$4&lt;=Projects!$C$11+Projects!$D$11-1),Projects!$B$11/Projects!$D$11,"")</f>
        <v/>
      </c>
      <c r="AA24" s="567">
        <f>IF(AND(Projects!$C$11&lt;=AA$4,AA$4&lt;=Projects!$C$11+Projects!$D$11-1),Projects!$B$11/Projects!$D$11,"")</f>
        <v/>
      </c>
      <c r="AB24" s="567">
        <f>IF(AND(Projects!$C$11&lt;=AB$4,AB$4&lt;=Projects!$C$11+Projects!$D$11-1),Projects!$B$11/Projects!$D$11,"")</f>
        <v/>
      </c>
      <c r="AC24" s="567">
        <f>IF(AND(Projects!$C$11&lt;=AC$4,AC$4&lt;=Projects!$C$11+Projects!$D$11-1),Projects!$B$11/Projects!$D$11,"")</f>
        <v/>
      </c>
      <c r="AD24" s="567">
        <f>IF(AND(Projects!$C$11&lt;=AD$4,AD$4&lt;=Projects!$C$11+Projects!$D$11-1),Projects!$B$11/Projects!$D$11,"")</f>
        <v/>
      </c>
      <c r="AE24" s="567">
        <f>IF(AND(Projects!$C$11&lt;=AE$4,AE$4&lt;=Projects!$C$11+Projects!$D$11-1),Projects!$B$11/Projects!$D$11,"")</f>
        <v/>
      </c>
      <c r="AF24" s="567">
        <f>IF(AND(Projects!$C$11&lt;=AF$4,AF$4&lt;=Projects!$C$11+Projects!$D$11-1),Projects!$B$11/Projects!$D$11,"")</f>
        <v/>
      </c>
      <c r="AG24" s="567">
        <f>IF(AND(Projects!$C$11&lt;=AG$4,AG$4&lt;=Projects!$C$11+Projects!$D$11-1),Projects!$B$11/Projects!$D$11,"")</f>
        <v/>
      </c>
      <c r="AH24" s="567">
        <f>IF(AND(Projects!$C$11&lt;=AH$4,AH$4&lt;=Projects!$C$11+Projects!$D$11-1),Projects!$B$11/Projects!$D$11,"")</f>
        <v/>
      </c>
      <c r="AI24" s="567">
        <f>IF(AND(Projects!$C$11&lt;=AI$4,AI$4&lt;=Projects!$C$11+Projects!$D$11-1),Projects!$B$11/Projects!$D$11,"")</f>
        <v/>
      </c>
      <c r="AJ24" s="567">
        <f>IF(AND(Projects!$C$11&lt;=AJ$4,AJ$4&lt;=Projects!$C$11+Projects!$D$11-1),Projects!$B$11/Projects!$D$11,"")</f>
        <v/>
      </c>
      <c r="AK24" s="567">
        <f>IF(AND(Projects!$C$11&lt;=AK$4,AK$4&lt;=Projects!$C$11+Projects!$D$11-1),Projects!$B$11/Projects!$D$11,"")</f>
        <v/>
      </c>
      <c r="AL24" s="567">
        <f>IF(AND(Projects!$C$11&lt;=AL$4,AL$4&lt;=Projects!$C$11+Projects!$D$11-1),Projects!$B$11/Projects!$D$11,"")</f>
        <v/>
      </c>
      <c r="AM24" s="567">
        <f>IF(AND(Projects!$C$11&lt;=AM$4,AM$4&lt;=Projects!$C$11+Projects!$D$11-1),Projects!$B$11/Projects!$D$11,"")</f>
        <v/>
      </c>
      <c r="AN24" s="567">
        <f>IF(AND(Projects!$C$11&lt;=AN$4,AN$4&lt;=Projects!$C$11+Projects!$D$11-1),Projects!$B$11/Projects!$D$11,"")</f>
        <v/>
      </c>
      <c r="AO24" s="567">
        <f>IF(AND(Projects!$C$11&lt;=AO$4,AO$4&lt;=Projects!$C$11+Projects!$D$11-1),Projects!$B$11/Projects!$D$11,"")</f>
        <v/>
      </c>
      <c r="AP24" s="567">
        <f>IF(AND(Projects!$C$11&lt;=AP$4,AP$4&lt;=Projects!$C$11+Projects!$D$11-1),Projects!$B$11/Projects!$D$11,"")</f>
        <v/>
      </c>
      <c r="AQ24" s="567">
        <f>IF(AND(Projects!$C$11&lt;=AQ$4,AQ$4&lt;=Projects!$C$11+Projects!$D$11-1),Projects!$B$11/Projects!$D$11,"")</f>
        <v/>
      </c>
      <c r="AR24" s="567">
        <f>IF(AND(Projects!$C$11&lt;=AR$4,AR$4&lt;=Projects!$C$11+Projects!$D$11-1),Projects!$B$11/Projects!$D$11,"")</f>
        <v/>
      </c>
      <c r="AS24" s="567">
        <f>IF(AND(Projects!$C$11&lt;=AS$4,AS$4&lt;=Projects!$C$11+Projects!$D$11-1),Projects!$B$11/Projects!$D$11,"")</f>
        <v/>
      </c>
      <c r="AT24" s="567">
        <f>IF(AND(Projects!$C$11&lt;=AT$4,AT$4&lt;=Projects!$C$11+Projects!$D$11-1),Projects!$B$11/Projects!$D$11,"")</f>
        <v/>
      </c>
      <c r="AU24" s="567">
        <f>IF(AND(Projects!$C$11&lt;=AU$4,AU$4&lt;=Projects!$C$11+Projects!$D$11-1),Projects!$B$11/Projects!$D$11,"")</f>
        <v/>
      </c>
      <c r="AV24" s="567">
        <f>IF(AND(Projects!$C$11&lt;=AV$4,AV$4&lt;=Projects!$C$11+Projects!$D$11-1),Projects!$B$11/Projects!$D$11,"")</f>
        <v/>
      </c>
      <c r="AW24" s="567">
        <f>IF(AND(Projects!$C$11&lt;=AW$4,AW$4&lt;=Projects!$C$11+Projects!$D$11-1),Projects!$B$11/Projects!$D$11,"")</f>
        <v/>
      </c>
      <c r="AX24" s="567">
        <f>IF(AND(Projects!$C$11&lt;=AX$4,AX$4&lt;=Projects!$C$11+Projects!$D$11-1),Projects!$B$11/Projects!$D$11,"")</f>
        <v/>
      </c>
      <c r="AY24" s="567">
        <f>IF(AND(Projects!$C$11&lt;=AY$4,AY$4&lt;=Projects!$C$11+Projects!$D$11-1),Projects!$B$11/Projects!$D$11,"")</f>
        <v/>
      </c>
      <c r="AZ24" s="567">
        <f>IF(AND(Projects!$C$11&lt;=AZ$4,AZ$4&lt;=Projects!$C$11+Projects!$D$11-1),Projects!$B$11/Projects!$D$11,"")</f>
        <v/>
      </c>
      <c r="BA24" s="567">
        <f>IF(AND(Projects!$C$11&lt;=BA$4,BA$4&lt;=Projects!$C$11+Projects!$D$11-1),Projects!$B$11/Projects!$D$11,"")</f>
        <v/>
      </c>
      <c r="BB24" s="567">
        <f>IF(AND(Projects!$C$11&lt;=BB$4,BB$4&lt;=Projects!$C$11+Projects!$D$11-1),Projects!$B$11/Projects!$D$11,"")</f>
        <v/>
      </c>
      <c r="BC24" s="567">
        <f>IF(AND(Projects!$C$11&lt;=BC$4,BC$4&lt;=Projects!$C$11+Projects!$D$11-1),Projects!$B$11/Projects!$D$11,"")</f>
        <v/>
      </c>
      <c r="BD24" s="567">
        <f>IF(AND(Projects!$C$11&lt;=BD$4,BD$4&lt;=Projects!$C$11+Projects!$D$11-1),Projects!$B$11/Projects!$D$11,"")</f>
        <v/>
      </c>
      <c r="BE24" s="567">
        <f>IF(AND(Projects!$C$11&lt;=BE$4,BE$4&lt;=Projects!$C$11+Projects!$D$11-1),Projects!$B$11/Projects!$D$11,"")</f>
        <v/>
      </c>
      <c r="BF24" s="567">
        <f>IF(AND(Projects!$C$11&lt;=BF$4,BF$4&lt;=Projects!$C$11+Projects!$D$11-1),Projects!$B$11/Projects!$D$11,"")</f>
        <v/>
      </c>
      <c r="BG24" s="567">
        <f>IF(AND(Projects!$C$11&lt;=BG$4,BG$4&lt;=Projects!$C$11+Projects!$D$11-1),Projects!$B$11/Projects!$D$11,"")</f>
        <v/>
      </c>
      <c r="BH24" s="567">
        <f>IF(AND(Projects!$C$11&lt;=BH$4,BH$4&lt;=Projects!$C$11+Projects!$D$11-1),Projects!$B$11/Projects!$D$11,"")</f>
        <v/>
      </c>
      <c r="BI24" s="567">
        <f>IF(AND(Projects!$C$11&lt;=BI$4,BI$4&lt;=Projects!$C$11+Projects!$D$11-1),Projects!$B$11/Projects!$D$11,"")</f>
        <v/>
      </c>
      <c r="BJ24" s="567">
        <f>IF(AND(Projects!$C$11&lt;=BJ$4,BJ$4&lt;=Projects!$C$11+Projects!$D$11-1),Projects!$B$11/Projects!$D$11,"")</f>
        <v/>
      </c>
      <c r="BK24" s="567">
        <f>IF(AND(Projects!$C$11&lt;=BK$4,BK$4&lt;=Projects!$C$11+Projects!$D$11-1),Projects!$B$11/Projects!$D$11,"")</f>
        <v/>
      </c>
      <c r="BL24" s="567">
        <f>IF(AND(Projects!$C$11&lt;=BL$4,BL$4&lt;=Projects!$C$11+Projects!$D$11-1),Projects!$B$11/Projects!$D$11,"")</f>
        <v/>
      </c>
      <c r="BM24" s="567">
        <f>IF(AND(Projects!$C$11&lt;=BM$4,BM$4&lt;=Projects!$C$11+Projects!$D$11-1),Projects!$B$11/Projects!$D$11,"")</f>
        <v/>
      </c>
      <c r="BN24" s="567">
        <f>IF(AND(Projects!$C$11&lt;=BN$4,BN$4&lt;=Projects!$C$11+Projects!$D$11-1),Projects!$B$11/Projects!$D$11,"")</f>
        <v/>
      </c>
      <c r="BO24" s="567">
        <f>IF(AND(Projects!$C$11&lt;=BO$4,BO$4&lt;=Projects!$C$11+Projects!$D$11-1),Projects!$B$11/Projects!$D$11,"")</f>
        <v/>
      </c>
      <c r="BP24" s="567">
        <f>IF(AND(Projects!$C$11&lt;=BP$4,BP$4&lt;=Projects!$C$11+Projects!$D$11-1),Projects!$B$11/Projects!$D$11,"")</f>
        <v/>
      </c>
      <c r="BQ24" s="567">
        <f>IF(AND(Projects!$C$11&lt;=BQ$4,BQ$4&lt;=Projects!$C$11+Projects!$D$11-1),Projects!$B$11/Projects!$D$11,"")</f>
        <v/>
      </c>
      <c r="BR24" s="567">
        <f>IF(AND(Projects!$C$11&lt;=BR$4,BR$4&lt;=Projects!$C$11+Projects!$D$11-1),Projects!$B$11/Projects!$D$11,"")</f>
        <v/>
      </c>
      <c r="BS24" s="567">
        <f>IF(AND(Projects!$C$11&lt;=BS$4,BS$4&lt;=Projects!$C$11+Projects!$D$11-1),Projects!$B$11/Projects!$D$11,"")</f>
        <v/>
      </c>
      <c r="BT24" s="567">
        <f>IF(AND(Projects!$C$11&lt;=BT$4,BT$4&lt;=Projects!$C$11+Projects!$D$11-1),Projects!$B$11/Projects!$D$11,"")</f>
        <v/>
      </c>
      <c r="BU24" s="567">
        <f>IF(AND(Projects!$C$11&lt;=BU$4,BU$4&lt;=Projects!$C$11+Projects!$D$11-1),Projects!$B$11/Projects!$D$11,"")</f>
        <v/>
      </c>
      <c r="BV24" s="567">
        <f>IF(AND(Projects!$C$11&lt;=BV$4,BV$4&lt;=Projects!$C$11+Projects!$D$11-1),Projects!$B$11/Projects!$D$11,"")</f>
        <v/>
      </c>
      <c r="BW24" s="567">
        <f>IF(AND(Projects!$C$11&lt;=BW$4,BW$4&lt;=Projects!$C$11+Projects!$D$11-1),Projects!$B$11/Projects!$D$11,"")</f>
        <v/>
      </c>
      <c r="BX24" s="567">
        <f>IF(AND(Projects!$C$11&lt;=BX$4,BX$4&lt;=Projects!$C$11+Projects!$D$11-1),Projects!$B$11/Projects!$D$11,"")</f>
        <v/>
      </c>
      <c r="BY24" s="567">
        <f>IF(AND(Projects!$C$11&lt;=BY$4,BY$4&lt;=Projects!$C$11+Projects!$D$11-1),Projects!$B$11/Projects!$D$11,"")</f>
        <v/>
      </c>
      <c r="BZ24" s="567">
        <f>IF(AND(Projects!$C$11&lt;=BZ$4,BZ$4&lt;=Projects!$C$11+Projects!$D$11-1),Projects!$B$11/Projects!$D$11,"")</f>
        <v/>
      </c>
      <c r="CA24" s="567">
        <f>IF(AND(Projects!$C$11&lt;=CA$4,CA$4&lt;=Projects!$C$11+Projects!$D$11-1),Projects!$B$11/Projects!$D$11,"")</f>
        <v/>
      </c>
      <c r="CB24" s="567">
        <f>IF(AND(Projects!$C$11&lt;=CB$4,CB$4&lt;=Projects!$C$11+Projects!$D$11-1),Projects!$B$11/Projects!$D$11,"")</f>
        <v/>
      </c>
      <c r="CC24" s="567">
        <f>IF(AND(Projects!$C$11&lt;=CC$4,CC$4&lt;=Projects!$C$11+Projects!$D$11-1),Projects!$B$11/Projects!$D$11,"")</f>
        <v/>
      </c>
      <c r="CD24" s="567">
        <f>IF(AND(Projects!$C$11&lt;=CD$4,CD$4&lt;=Projects!$C$11+Projects!$D$11-1),Projects!$B$11/Projects!$D$11,"")</f>
        <v/>
      </c>
      <c r="CE24" s="567">
        <f>IF(AND(Projects!$C$11&lt;=CE$4,CE$4&lt;=Projects!$C$11+Projects!$D$11-1),Projects!$B$11/Projects!$D$11,"")</f>
        <v/>
      </c>
      <c r="CF24" s="567">
        <f>IF(AND(Projects!$C$11&lt;=CF$4,CF$4&lt;=Projects!$C$11+Projects!$D$11-1),Projects!$B$11/Projects!$D$11,"")</f>
        <v/>
      </c>
      <c r="CG24" s="567">
        <f>IF(AND(Projects!$C$11&lt;=CG$4,CG$4&lt;=Projects!$C$11+Projects!$D$11-1),Projects!$B$11/Projects!$D$11,"")</f>
        <v/>
      </c>
      <c r="CH24" s="567">
        <f>IF(AND(Projects!$C$11&lt;=CH$4,CH$4&lt;=Projects!$C$11+Projects!$D$11-1),Projects!$B$11/Projects!$D$11,"")</f>
        <v/>
      </c>
      <c r="CI24" s="567">
        <f>IF(AND(Projects!$C$11&lt;=CI$4,CI$4&lt;=Projects!$C$11+Projects!$D$11-1),Projects!$B$11/Projects!$D$11,"")</f>
        <v/>
      </c>
      <c r="CJ24" s="567">
        <f>IF(AND(Projects!$C$11&lt;=CJ$4,CJ$4&lt;=Projects!$C$11+Projects!$D$11-1),Projects!$B$11/Projects!$D$11,"")</f>
        <v/>
      </c>
      <c r="CK24" s="567">
        <f>IF(AND(Projects!$C$11&lt;=CK$4,CK$4&lt;=Projects!$C$11+Projects!$D$11-1),Projects!$B$11/Projects!$D$11,"")</f>
        <v/>
      </c>
      <c r="CL24" s="567">
        <f>IF(AND(Projects!$C$11&lt;=CL$4,CL$4&lt;=Projects!$C$11+Projects!$D$11-1),Projects!$B$11/Projects!$D$11,"")</f>
        <v/>
      </c>
      <c r="CM24" s="567">
        <f>IF(AND(Projects!$C$11&lt;=CM$4,CM$4&lt;=Projects!$C$11+Projects!$D$11-1),Projects!$B$11/Projects!$D$11,"")</f>
        <v/>
      </c>
      <c r="CN24" s="567">
        <f>IF(AND(Projects!$C$11&lt;=CN$4,CN$4&lt;=Projects!$C$11+Projects!$D$11-1),Projects!$B$11/Projects!$D$11,"")</f>
        <v/>
      </c>
      <c r="CO24" s="567">
        <f>IF(AND(Projects!$C$11&lt;=CO$4,CO$4&lt;=Projects!$C$11+Projects!$D$11-1),Projects!$B$11/Projects!$D$11,"")</f>
        <v/>
      </c>
      <c r="CP24" s="567">
        <f>IF(AND(Projects!$C$11&lt;=CP$4,CP$4&lt;=Projects!$C$11+Projects!$D$11-1),Projects!$B$11/Projects!$D$11,"")</f>
        <v/>
      </c>
      <c r="CQ24" s="567">
        <f>IF(AND(Projects!$C$11&lt;=CQ$4,CQ$4&lt;=Projects!$C$11+Projects!$D$11-1),Projects!$B$11/Projects!$D$11,"")</f>
        <v/>
      </c>
      <c r="CR24" s="567">
        <f>IF(AND(Projects!$C$11&lt;=CR$4,CR$4&lt;=Projects!$C$11+Projects!$D$11-1),Projects!$B$11/Projects!$D$11,"")</f>
        <v/>
      </c>
      <c r="CS24" s="567">
        <f>IF(AND(Projects!$C$11&lt;=CS$4,CS$4&lt;=Projects!$C$11+Projects!$D$11-1),Projects!$B$11/Projects!$D$11,"")</f>
        <v/>
      </c>
      <c r="CT24" s="567">
        <f>IF(AND(Projects!$C$11&lt;=CT$4,CT$4&lt;=Projects!$C$11+Projects!$D$11-1),Projects!$B$11/Projects!$D$11,"")</f>
        <v/>
      </c>
      <c r="CU24" s="567">
        <f>IF(AND(Projects!$C$11&lt;=CU$4,CU$4&lt;=Projects!$C$11+Projects!$D$11-1),Projects!$B$11/Projects!$D$11,"")</f>
        <v/>
      </c>
      <c r="CV24" s="567">
        <f>IF(AND(Projects!$C$11&lt;=CV$4,CV$4&lt;=Projects!$C$11+Projects!$D$11-1),Projects!$B$11/Projects!$D$11,"")</f>
        <v/>
      </c>
      <c r="CW24" s="567">
        <f>IF(AND(Projects!$C$11&lt;=CW$4,CW$4&lt;=Projects!$C$11+Projects!$D$11-1),Projects!$B$11/Projects!$D$11,"")</f>
        <v/>
      </c>
      <c r="CX24" s="567">
        <f>IF(AND(Projects!$C$11&lt;=CX$4,CX$4&lt;=Projects!$C$11+Projects!$D$11-1),Projects!$B$11/Projects!$D$11,"")</f>
        <v/>
      </c>
      <c r="CY24" s="567">
        <f>IF(AND(Projects!$C$11&lt;=CY$4,CY$4&lt;=Projects!$C$11+Projects!$D$11-1),Projects!$B$11/Projects!$D$11,"")</f>
        <v/>
      </c>
      <c r="CZ24" s="567">
        <f>IF(AND(Projects!$C$11&lt;=CZ$4,CZ$4&lt;=Projects!$C$11+Projects!$D$11-1),Projects!$B$11/Projects!$D$11,"")</f>
        <v/>
      </c>
      <c r="DA24" s="567">
        <f>IF(AND(Projects!$C$11&lt;=DA$4,DA$4&lt;=Projects!$C$11+Projects!$D$11-1),Projects!$B$11/Projects!$D$11,"")</f>
        <v/>
      </c>
      <c r="DB24" s="567">
        <f>IF(AND(Projects!$C$11&lt;=DB$4,DB$4&lt;=Projects!$C$11+Projects!$D$11-1),Projects!$B$11/Projects!$D$11,"")</f>
        <v/>
      </c>
    </row>
    <row r="25" ht="15" customFormat="1" customHeight="1" s="380">
      <c r="A25" s="563" t="inlineStr">
        <is>
          <t>Scott</t>
        </is>
      </c>
      <c r="B25" s="564">
        <f>Projects!$B$12</f>
        <v/>
      </c>
      <c r="C25" s="565">
        <f>EDATE(Model!$E$2,Projects!$C$12-1)</f>
        <v/>
      </c>
      <c r="D25" s="565">
        <f>EDATE(Model!$E$2,Projects!$C$12+Projects!$D$12-2)</f>
        <v/>
      </c>
      <c r="E25" s="566">
        <f>Projects!$D$12</f>
        <v/>
      </c>
      <c r="F25" s="564">
        <f>Projects!$B$12/Projects!$D$12</f>
        <v/>
      </c>
      <c r="G25" s="567">
        <f>IF(AND(Projects!$C$12&lt;=G$4,G$4&lt;=Projects!$C$12+Projects!$D$12-1),Projects!$B$12/Projects!$D$12,"")</f>
        <v/>
      </c>
      <c r="H25" s="567">
        <f>IF(AND(Projects!$C$12&lt;=H$4,H$4&lt;=Projects!$C$12+Projects!$D$12-1),Projects!$B$12/Projects!$D$12,"")</f>
        <v/>
      </c>
      <c r="I25" s="567">
        <f>IF(AND(Projects!$C$12&lt;=I$4,I$4&lt;=Projects!$C$12+Projects!$D$12-1),Projects!$B$12/Projects!$D$12,"")</f>
        <v/>
      </c>
      <c r="J25" s="567">
        <f>IF(AND(Projects!$C$12&lt;=J$4,J$4&lt;=Projects!$C$12+Projects!$D$12-1),Projects!$B$12/Projects!$D$12,"")</f>
        <v/>
      </c>
      <c r="K25" s="567">
        <f>IF(AND(Projects!$C$12&lt;=K$4,K$4&lt;=Projects!$C$12+Projects!$D$12-1),Projects!$B$12/Projects!$D$12,"")</f>
        <v/>
      </c>
      <c r="L25" s="567">
        <f>IF(AND(Projects!$C$12&lt;=L$4,L$4&lt;=Projects!$C$12+Projects!$D$12-1),Projects!$B$12/Projects!$D$12,"")</f>
        <v/>
      </c>
      <c r="M25" s="567">
        <f>IF(AND(Projects!$C$12&lt;=M$4,M$4&lt;=Projects!$C$12+Projects!$D$12-1),Projects!$B$12/Projects!$D$12,"")</f>
        <v/>
      </c>
      <c r="N25" s="567">
        <f>IF(AND(Projects!$C$12&lt;=N$4,N$4&lt;=Projects!$C$12+Projects!$D$12-1),Projects!$B$12/Projects!$D$12,"")</f>
        <v/>
      </c>
      <c r="O25" s="567">
        <f>IF(AND(Projects!$C$12&lt;=O$4,O$4&lt;=Projects!$C$12+Projects!$D$12-1),Projects!$B$12/Projects!$D$12,"")</f>
        <v/>
      </c>
      <c r="P25" s="567">
        <f>IF(AND(Projects!$C$12&lt;=P$4,P$4&lt;=Projects!$C$12+Projects!$D$12-1),Projects!$B$12/Projects!$D$12,"")</f>
        <v/>
      </c>
      <c r="Q25" s="567">
        <f>IF(AND(Projects!$C$12&lt;=Q$4,Q$4&lt;=Projects!$C$12+Projects!$D$12-1),Projects!$B$12/Projects!$D$12,"")</f>
        <v/>
      </c>
      <c r="R25" s="567">
        <f>IF(AND(Projects!$C$12&lt;=R$4,R$4&lt;=Projects!$C$12+Projects!$D$12-1),Projects!$B$12/Projects!$D$12,"")</f>
        <v/>
      </c>
      <c r="S25" s="567">
        <f>IF(AND(Projects!$C$12&lt;=S$4,S$4&lt;=Projects!$C$12+Projects!$D$12-1),Projects!$B$12/Projects!$D$12,"")</f>
        <v/>
      </c>
      <c r="T25" s="567">
        <f>IF(AND(Projects!$C$12&lt;=T$4,T$4&lt;=Projects!$C$12+Projects!$D$12-1),Projects!$B$12/Projects!$D$12,"")</f>
        <v/>
      </c>
      <c r="U25" s="567">
        <f>IF(AND(Projects!$C$12&lt;=U$4,U$4&lt;=Projects!$C$12+Projects!$D$12-1),Projects!$B$12/Projects!$D$12,"")</f>
        <v/>
      </c>
      <c r="V25" s="567">
        <f>IF(AND(Projects!$C$12&lt;=V$4,V$4&lt;=Projects!$C$12+Projects!$D$12-1),Projects!$B$12/Projects!$D$12,"")</f>
        <v/>
      </c>
      <c r="W25" s="567">
        <f>IF(AND(Projects!$C$12&lt;=W$4,W$4&lt;=Projects!$C$12+Projects!$D$12-1),Projects!$B$12/Projects!$D$12,"")</f>
        <v/>
      </c>
      <c r="X25" s="567">
        <f>IF(AND(Projects!$C$12&lt;=X$4,X$4&lt;=Projects!$C$12+Projects!$D$12-1),Projects!$B$12/Projects!$D$12,"")</f>
        <v/>
      </c>
      <c r="Y25" s="567">
        <f>IF(AND(Projects!$C$12&lt;=Y$4,Y$4&lt;=Projects!$C$12+Projects!$D$12-1),Projects!$B$12/Projects!$D$12,"")</f>
        <v/>
      </c>
      <c r="Z25" s="567">
        <f>IF(AND(Projects!$C$12&lt;=Z$4,Z$4&lt;=Projects!$C$12+Projects!$D$12-1),Projects!$B$12/Projects!$D$12,"")</f>
        <v/>
      </c>
      <c r="AA25" s="567">
        <f>IF(AND(Projects!$C$12&lt;=AA$4,AA$4&lt;=Projects!$C$12+Projects!$D$12-1),Projects!$B$12/Projects!$D$12,"")</f>
        <v/>
      </c>
      <c r="AB25" s="567">
        <f>IF(AND(Projects!$C$12&lt;=AB$4,AB$4&lt;=Projects!$C$12+Projects!$D$12-1),Projects!$B$12/Projects!$D$12,"")</f>
        <v/>
      </c>
      <c r="AC25" s="567">
        <f>IF(AND(Projects!$C$12&lt;=AC$4,AC$4&lt;=Projects!$C$12+Projects!$D$12-1),Projects!$B$12/Projects!$D$12,"")</f>
        <v/>
      </c>
      <c r="AD25" s="567">
        <f>IF(AND(Projects!$C$12&lt;=AD$4,AD$4&lt;=Projects!$C$12+Projects!$D$12-1),Projects!$B$12/Projects!$D$12,"")</f>
        <v/>
      </c>
      <c r="AE25" s="567">
        <f>IF(AND(Projects!$C$12&lt;=AE$4,AE$4&lt;=Projects!$C$12+Projects!$D$12-1),Projects!$B$12/Projects!$D$12,"")</f>
        <v/>
      </c>
      <c r="AF25" s="567">
        <f>IF(AND(Projects!$C$12&lt;=AF$4,AF$4&lt;=Projects!$C$12+Projects!$D$12-1),Projects!$B$12/Projects!$D$12,"")</f>
        <v/>
      </c>
      <c r="AG25" s="567">
        <f>IF(AND(Projects!$C$12&lt;=AG$4,AG$4&lt;=Projects!$C$12+Projects!$D$12-1),Projects!$B$12/Projects!$D$12,"")</f>
        <v/>
      </c>
      <c r="AH25" s="567">
        <f>IF(AND(Projects!$C$12&lt;=AH$4,AH$4&lt;=Projects!$C$12+Projects!$D$12-1),Projects!$B$12/Projects!$D$12,"")</f>
        <v/>
      </c>
      <c r="AI25" s="567">
        <f>IF(AND(Projects!$C$12&lt;=AI$4,AI$4&lt;=Projects!$C$12+Projects!$D$12-1),Projects!$B$12/Projects!$D$12,"")</f>
        <v/>
      </c>
      <c r="AJ25" s="567">
        <f>IF(AND(Projects!$C$12&lt;=AJ$4,AJ$4&lt;=Projects!$C$12+Projects!$D$12-1),Projects!$B$12/Projects!$D$12,"")</f>
        <v/>
      </c>
      <c r="AK25" s="567">
        <f>IF(AND(Projects!$C$12&lt;=AK$4,AK$4&lt;=Projects!$C$12+Projects!$D$12-1),Projects!$B$12/Projects!$D$12,"")</f>
        <v/>
      </c>
      <c r="AL25" s="567">
        <f>IF(AND(Projects!$C$12&lt;=AL$4,AL$4&lt;=Projects!$C$12+Projects!$D$12-1),Projects!$B$12/Projects!$D$12,"")</f>
        <v/>
      </c>
      <c r="AM25" s="567">
        <f>IF(AND(Projects!$C$12&lt;=AM$4,AM$4&lt;=Projects!$C$12+Projects!$D$12-1),Projects!$B$12/Projects!$D$12,"")</f>
        <v/>
      </c>
      <c r="AN25" s="567">
        <f>IF(AND(Projects!$C$12&lt;=AN$4,AN$4&lt;=Projects!$C$12+Projects!$D$12-1),Projects!$B$12/Projects!$D$12,"")</f>
        <v/>
      </c>
      <c r="AO25" s="567">
        <f>IF(AND(Projects!$C$12&lt;=AO$4,AO$4&lt;=Projects!$C$12+Projects!$D$12-1),Projects!$B$12/Projects!$D$12,"")</f>
        <v/>
      </c>
      <c r="AP25" s="567">
        <f>IF(AND(Projects!$C$12&lt;=AP$4,AP$4&lt;=Projects!$C$12+Projects!$D$12-1),Projects!$B$12/Projects!$D$12,"")</f>
        <v/>
      </c>
      <c r="AQ25" s="567">
        <f>IF(AND(Projects!$C$12&lt;=AQ$4,AQ$4&lt;=Projects!$C$12+Projects!$D$12-1),Projects!$B$12/Projects!$D$12,"")</f>
        <v/>
      </c>
      <c r="AR25" s="567">
        <f>IF(AND(Projects!$C$12&lt;=AR$4,AR$4&lt;=Projects!$C$12+Projects!$D$12-1),Projects!$B$12/Projects!$D$12,"")</f>
        <v/>
      </c>
      <c r="AS25" s="567">
        <f>IF(AND(Projects!$C$12&lt;=AS$4,AS$4&lt;=Projects!$C$12+Projects!$D$12-1),Projects!$B$12/Projects!$D$12,"")</f>
        <v/>
      </c>
      <c r="AT25" s="567">
        <f>IF(AND(Projects!$C$12&lt;=AT$4,AT$4&lt;=Projects!$C$12+Projects!$D$12-1),Projects!$B$12/Projects!$D$12,"")</f>
        <v/>
      </c>
      <c r="AU25" s="567">
        <f>IF(AND(Projects!$C$12&lt;=AU$4,AU$4&lt;=Projects!$C$12+Projects!$D$12-1),Projects!$B$12/Projects!$D$12,"")</f>
        <v/>
      </c>
      <c r="AV25" s="567">
        <f>IF(AND(Projects!$C$12&lt;=AV$4,AV$4&lt;=Projects!$C$12+Projects!$D$12-1),Projects!$B$12/Projects!$D$12,"")</f>
        <v/>
      </c>
      <c r="AW25" s="567">
        <f>IF(AND(Projects!$C$12&lt;=AW$4,AW$4&lt;=Projects!$C$12+Projects!$D$12-1),Projects!$B$12/Projects!$D$12,"")</f>
        <v/>
      </c>
      <c r="AX25" s="567">
        <f>IF(AND(Projects!$C$12&lt;=AX$4,AX$4&lt;=Projects!$C$12+Projects!$D$12-1),Projects!$B$12/Projects!$D$12,"")</f>
        <v/>
      </c>
      <c r="AY25" s="567">
        <f>IF(AND(Projects!$C$12&lt;=AY$4,AY$4&lt;=Projects!$C$12+Projects!$D$12-1),Projects!$B$12/Projects!$D$12,"")</f>
        <v/>
      </c>
      <c r="AZ25" s="567">
        <f>IF(AND(Projects!$C$12&lt;=AZ$4,AZ$4&lt;=Projects!$C$12+Projects!$D$12-1),Projects!$B$12/Projects!$D$12,"")</f>
        <v/>
      </c>
      <c r="BA25" s="567">
        <f>IF(AND(Projects!$C$12&lt;=BA$4,BA$4&lt;=Projects!$C$12+Projects!$D$12-1),Projects!$B$12/Projects!$D$12,"")</f>
        <v/>
      </c>
      <c r="BB25" s="567">
        <f>IF(AND(Projects!$C$12&lt;=BB$4,BB$4&lt;=Projects!$C$12+Projects!$D$12-1),Projects!$B$12/Projects!$D$12,"")</f>
        <v/>
      </c>
      <c r="BC25" s="567">
        <f>IF(AND(Projects!$C$12&lt;=BC$4,BC$4&lt;=Projects!$C$12+Projects!$D$12-1),Projects!$B$12/Projects!$D$12,"")</f>
        <v/>
      </c>
      <c r="BD25" s="567">
        <f>IF(AND(Projects!$C$12&lt;=BD$4,BD$4&lt;=Projects!$C$12+Projects!$D$12-1),Projects!$B$12/Projects!$D$12,"")</f>
        <v/>
      </c>
      <c r="BE25" s="567">
        <f>IF(AND(Projects!$C$12&lt;=BE$4,BE$4&lt;=Projects!$C$12+Projects!$D$12-1),Projects!$B$12/Projects!$D$12,"")</f>
        <v/>
      </c>
      <c r="BF25" s="567">
        <f>IF(AND(Projects!$C$12&lt;=BF$4,BF$4&lt;=Projects!$C$12+Projects!$D$12-1),Projects!$B$12/Projects!$D$12,"")</f>
        <v/>
      </c>
      <c r="BG25" s="567">
        <f>IF(AND(Projects!$C$12&lt;=BG$4,BG$4&lt;=Projects!$C$12+Projects!$D$12-1),Projects!$B$12/Projects!$D$12,"")</f>
        <v/>
      </c>
      <c r="BH25" s="567">
        <f>IF(AND(Projects!$C$12&lt;=BH$4,BH$4&lt;=Projects!$C$12+Projects!$D$12-1),Projects!$B$12/Projects!$D$12,"")</f>
        <v/>
      </c>
      <c r="BI25" s="567">
        <f>IF(AND(Projects!$C$12&lt;=BI$4,BI$4&lt;=Projects!$C$12+Projects!$D$12-1),Projects!$B$12/Projects!$D$12,"")</f>
        <v/>
      </c>
      <c r="BJ25" s="567">
        <f>IF(AND(Projects!$C$12&lt;=BJ$4,BJ$4&lt;=Projects!$C$12+Projects!$D$12-1),Projects!$B$12/Projects!$D$12,"")</f>
        <v/>
      </c>
      <c r="BK25" s="567">
        <f>IF(AND(Projects!$C$12&lt;=BK$4,BK$4&lt;=Projects!$C$12+Projects!$D$12-1),Projects!$B$12/Projects!$D$12,"")</f>
        <v/>
      </c>
      <c r="BL25" s="567">
        <f>IF(AND(Projects!$C$12&lt;=BL$4,BL$4&lt;=Projects!$C$12+Projects!$D$12-1),Projects!$B$12/Projects!$D$12,"")</f>
        <v/>
      </c>
      <c r="BM25" s="567">
        <f>IF(AND(Projects!$C$12&lt;=BM$4,BM$4&lt;=Projects!$C$12+Projects!$D$12-1),Projects!$B$12/Projects!$D$12,"")</f>
        <v/>
      </c>
      <c r="BN25" s="567">
        <f>IF(AND(Projects!$C$12&lt;=BN$4,BN$4&lt;=Projects!$C$12+Projects!$D$12-1),Projects!$B$12/Projects!$D$12,"")</f>
        <v/>
      </c>
      <c r="BO25" s="567">
        <f>IF(AND(Projects!$C$12&lt;=BO$4,BO$4&lt;=Projects!$C$12+Projects!$D$12-1),Projects!$B$12/Projects!$D$12,"")</f>
        <v/>
      </c>
      <c r="BP25" s="567">
        <f>IF(AND(Projects!$C$12&lt;=BP$4,BP$4&lt;=Projects!$C$12+Projects!$D$12-1),Projects!$B$12/Projects!$D$12,"")</f>
        <v/>
      </c>
      <c r="BQ25" s="567">
        <f>IF(AND(Projects!$C$12&lt;=BQ$4,BQ$4&lt;=Projects!$C$12+Projects!$D$12-1),Projects!$B$12/Projects!$D$12,"")</f>
        <v/>
      </c>
      <c r="BR25" s="567">
        <f>IF(AND(Projects!$C$12&lt;=BR$4,BR$4&lt;=Projects!$C$12+Projects!$D$12-1),Projects!$B$12/Projects!$D$12,"")</f>
        <v/>
      </c>
      <c r="BS25" s="567">
        <f>IF(AND(Projects!$C$12&lt;=BS$4,BS$4&lt;=Projects!$C$12+Projects!$D$12-1),Projects!$B$12/Projects!$D$12,"")</f>
        <v/>
      </c>
      <c r="BT25" s="567">
        <f>IF(AND(Projects!$C$12&lt;=BT$4,BT$4&lt;=Projects!$C$12+Projects!$D$12-1),Projects!$B$12/Projects!$D$12,"")</f>
        <v/>
      </c>
      <c r="BU25" s="567">
        <f>IF(AND(Projects!$C$12&lt;=BU$4,BU$4&lt;=Projects!$C$12+Projects!$D$12-1),Projects!$B$12/Projects!$D$12,"")</f>
        <v/>
      </c>
      <c r="BV25" s="567">
        <f>IF(AND(Projects!$C$12&lt;=BV$4,BV$4&lt;=Projects!$C$12+Projects!$D$12-1),Projects!$B$12/Projects!$D$12,"")</f>
        <v/>
      </c>
      <c r="BW25" s="567">
        <f>IF(AND(Projects!$C$12&lt;=BW$4,BW$4&lt;=Projects!$C$12+Projects!$D$12-1),Projects!$B$12/Projects!$D$12,"")</f>
        <v/>
      </c>
      <c r="BX25" s="567">
        <f>IF(AND(Projects!$C$12&lt;=BX$4,BX$4&lt;=Projects!$C$12+Projects!$D$12-1),Projects!$B$12/Projects!$D$12,"")</f>
        <v/>
      </c>
      <c r="BY25" s="567">
        <f>IF(AND(Projects!$C$12&lt;=BY$4,BY$4&lt;=Projects!$C$12+Projects!$D$12-1),Projects!$B$12/Projects!$D$12,"")</f>
        <v/>
      </c>
      <c r="BZ25" s="567">
        <f>IF(AND(Projects!$C$12&lt;=BZ$4,BZ$4&lt;=Projects!$C$12+Projects!$D$12-1),Projects!$B$12/Projects!$D$12,"")</f>
        <v/>
      </c>
      <c r="CA25" s="567">
        <f>IF(AND(Projects!$C$12&lt;=CA$4,CA$4&lt;=Projects!$C$12+Projects!$D$12-1),Projects!$B$12/Projects!$D$12,"")</f>
        <v/>
      </c>
      <c r="CB25" s="567">
        <f>IF(AND(Projects!$C$12&lt;=CB$4,CB$4&lt;=Projects!$C$12+Projects!$D$12-1),Projects!$B$12/Projects!$D$12,"")</f>
        <v/>
      </c>
      <c r="CC25" s="567">
        <f>IF(AND(Projects!$C$12&lt;=CC$4,CC$4&lt;=Projects!$C$12+Projects!$D$12-1),Projects!$B$12/Projects!$D$12,"")</f>
        <v/>
      </c>
      <c r="CD25" s="567">
        <f>IF(AND(Projects!$C$12&lt;=CD$4,CD$4&lt;=Projects!$C$12+Projects!$D$12-1),Projects!$B$12/Projects!$D$12,"")</f>
        <v/>
      </c>
      <c r="CE25" s="567">
        <f>IF(AND(Projects!$C$12&lt;=CE$4,CE$4&lt;=Projects!$C$12+Projects!$D$12-1),Projects!$B$12/Projects!$D$12,"")</f>
        <v/>
      </c>
      <c r="CF25" s="567">
        <f>IF(AND(Projects!$C$12&lt;=CF$4,CF$4&lt;=Projects!$C$12+Projects!$D$12-1),Projects!$B$12/Projects!$D$12,"")</f>
        <v/>
      </c>
      <c r="CG25" s="567">
        <f>IF(AND(Projects!$C$12&lt;=CG$4,CG$4&lt;=Projects!$C$12+Projects!$D$12-1),Projects!$B$12/Projects!$D$12,"")</f>
        <v/>
      </c>
      <c r="CH25" s="567">
        <f>IF(AND(Projects!$C$12&lt;=CH$4,CH$4&lt;=Projects!$C$12+Projects!$D$12-1),Projects!$B$12/Projects!$D$12,"")</f>
        <v/>
      </c>
      <c r="CI25" s="567">
        <f>IF(AND(Projects!$C$12&lt;=CI$4,CI$4&lt;=Projects!$C$12+Projects!$D$12-1),Projects!$B$12/Projects!$D$12,"")</f>
        <v/>
      </c>
      <c r="CJ25" s="567">
        <f>IF(AND(Projects!$C$12&lt;=CJ$4,CJ$4&lt;=Projects!$C$12+Projects!$D$12-1),Projects!$B$12/Projects!$D$12,"")</f>
        <v/>
      </c>
      <c r="CK25" s="567">
        <f>IF(AND(Projects!$C$12&lt;=CK$4,CK$4&lt;=Projects!$C$12+Projects!$D$12-1),Projects!$B$12/Projects!$D$12,"")</f>
        <v/>
      </c>
      <c r="CL25" s="567">
        <f>IF(AND(Projects!$C$12&lt;=CL$4,CL$4&lt;=Projects!$C$12+Projects!$D$12-1),Projects!$B$12/Projects!$D$12,"")</f>
        <v/>
      </c>
      <c r="CM25" s="567">
        <f>IF(AND(Projects!$C$12&lt;=CM$4,CM$4&lt;=Projects!$C$12+Projects!$D$12-1),Projects!$B$12/Projects!$D$12,"")</f>
        <v/>
      </c>
      <c r="CN25" s="567">
        <f>IF(AND(Projects!$C$12&lt;=CN$4,CN$4&lt;=Projects!$C$12+Projects!$D$12-1),Projects!$B$12/Projects!$D$12,"")</f>
        <v/>
      </c>
      <c r="CO25" s="567">
        <f>IF(AND(Projects!$C$12&lt;=CO$4,CO$4&lt;=Projects!$C$12+Projects!$D$12-1),Projects!$B$12/Projects!$D$12,"")</f>
        <v/>
      </c>
      <c r="CP25" s="567">
        <f>IF(AND(Projects!$C$12&lt;=CP$4,CP$4&lt;=Projects!$C$12+Projects!$D$12-1),Projects!$B$12/Projects!$D$12,"")</f>
        <v/>
      </c>
      <c r="CQ25" s="567">
        <f>IF(AND(Projects!$C$12&lt;=CQ$4,CQ$4&lt;=Projects!$C$12+Projects!$D$12-1),Projects!$B$12/Projects!$D$12,"")</f>
        <v/>
      </c>
      <c r="CR25" s="567">
        <f>IF(AND(Projects!$C$12&lt;=CR$4,CR$4&lt;=Projects!$C$12+Projects!$D$12-1),Projects!$B$12/Projects!$D$12,"")</f>
        <v/>
      </c>
      <c r="CS25" s="567">
        <f>IF(AND(Projects!$C$12&lt;=CS$4,CS$4&lt;=Projects!$C$12+Projects!$D$12-1),Projects!$B$12/Projects!$D$12,"")</f>
        <v/>
      </c>
      <c r="CT25" s="567">
        <f>IF(AND(Projects!$C$12&lt;=CT$4,CT$4&lt;=Projects!$C$12+Projects!$D$12-1),Projects!$B$12/Projects!$D$12,"")</f>
        <v/>
      </c>
      <c r="CU25" s="567">
        <f>IF(AND(Projects!$C$12&lt;=CU$4,CU$4&lt;=Projects!$C$12+Projects!$D$12-1),Projects!$B$12/Projects!$D$12,"")</f>
        <v/>
      </c>
      <c r="CV25" s="567">
        <f>IF(AND(Projects!$C$12&lt;=CV$4,CV$4&lt;=Projects!$C$12+Projects!$D$12-1),Projects!$B$12/Projects!$D$12,"")</f>
        <v/>
      </c>
      <c r="CW25" s="567">
        <f>IF(AND(Projects!$C$12&lt;=CW$4,CW$4&lt;=Projects!$C$12+Projects!$D$12-1),Projects!$B$12/Projects!$D$12,"")</f>
        <v/>
      </c>
      <c r="CX25" s="567">
        <f>IF(AND(Projects!$C$12&lt;=CX$4,CX$4&lt;=Projects!$C$12+Projects!$D$12-1),Projects!$B$12/Projects!$D$12,"")</f>
        <v/>
      </c>
      <c r="CY25" s="567">
        <f>IF(AND(Projects!$C$12&lt;=CY$4,CY$4&lt;=Projects!$C$12+Projects!$D$12-1),Projects!$B$12/Projects!$D$12,"")</f>
        <v/>
      </c>
      <c r="CZ25" s="567">
        <f>IF(AND(Projects!$C$12&lt;=CZ$4,CZ$4&lt;=Projects!$C$12+Projects!$D$12-1),Projects!$B$12/Projects!$D$12,"")</f>
        <v/>
      </c>
      <c r="DA25" s="567">
        <f>IF(AND(Projects!$C$12&lt;=DA$4,DA$4&lt;=Projects!$C$12+Projects!$D$12-1),Projects!$B$12/Projects!$D$12,"")</f>
        <v/>
      </c>
      <c r="DB25" s="567">
        <f>IF(AND(Projects!$C$12&lt;=DB$4,DB$4&lt;=Projects!$C$12+Projects!$D$12-1),Projects!$B$12/Projects!$D$12,"")</f>
        <v/>
      </c>
    </row>
    <row r="26" ht="15" customFormat="1" customHeight="1" s="380">
      <c r="A26" s="563" t="inlineStr">
        <is>
          <t>Beverly (BD-04)</t>
        </is>
      </c>
      <c r="B26" s="564">
        <f>Projects!$B$20</f>
        <v/>
      </c>
      <c r="C26" s="565">
        <f>EDATE(Model!$E$2,Projects!$C$20-1)</f>
        <v/>
      </c>
      <c r="D26" s="565">
        <f>EDATE(Model!$E$2,Projects!$C$20+Projects!$D$20-2)</f>
        <v/>
      </c>
      <c r="E26" s="566">
        <f>Projects!$D$20</f>
        <v/>
      </c>
      <c r="F26" s="564">
        <f>Projects!$B$20/Projects!$D$20</f>
        <v/>
      </c>
      <c r="G26" s="567">
        <f>IF(AND(Projects!$C$20&lt;=G$4,G$4&lt;=Projects!$C$20+Projects!$D$20-1),Projects!$B$20/Projects!$D$20,"")</f>
        <v/>
      </c>
      <c r="H26" s="567">
        <f>IF(AND(Projects!$C$20&lt;=H$4,H$4&lt;=Projects!$C$20+Projects!$D$20-1),Projects!$B$20/Projects!$D$20,"")</f>
        <v/>
      </c>
      <c r="I26" s="567">
        <f>IF(AND(Projects!$C$20&lt;=I$4,I$4&lt;=Projects!$C$20+Projects!$D$20-1),Projects!$B$20/Projects!$D$20,"")</f>
        <v/>
      </c>
      <c r="J26" s="567">
        <f>IF(AND(Projects!$C$20&lt;=J$4,J$4&lt;=Projects!$C$20+Projects!$D$20-1),Projects!$B$20/Projects!$D$20,"")</f>
        <v/>
      </c>
      <c r="K26" s="567">
        <f>IF(AND(Projects!$C$20&lt;=K$4,K$4&lt;=Projects!$C$20+Projects!$D$20-1),Projects!$B$20/Projects!$D$20,"")</f>
        <v/>
      </c>
      <c r="L26" s="567">
        <f>IF(AND(Projects!$C$20&lt;=L$4,L$4&lt;=Projects!$C$20+Projects!$D$20-1),Projects!$B$20/Projects!$D$20,"")</f>
        <v/>
      </c>
      <c r="M26" s="567">
        <f>IF(AND(Projects!$C$20&lt;=M$4,M$4&lt;=Projects!$C$20+Projects!$D$20-1),Projects!$B$20/Projects!$D$20,"")</f>
        <v/>
      </c>
      <c r="N26" s="567">
        <f>IF(AND(Projects!$C$20&lt;=N$4,N$4&lt;=Projects!$C$20+Projects!$D$20-1),Projects!$B$20/Projects!$D$20,"")</f>
        <v/>
      </c>
      <c r="O26" s="567">
        <f>IF(AND(Projects!$C$20&lt;=O$4,O$4&lt;=Projects!$C$20+Projects!$D$20-1),Projects!$B$20/Projects!$D$20,"")</f>
        <v/>
      </c>
      <c r="P26" s="567">
        <f>IF(AND(Projects!$C$20&lt;=P$4,P$4&lt;=Projects!$C$20+Projects!$D$20-1),Projects!$B$20/Projects!$D$20,"")</f>
        <v/>
      </c>
      <c r="Q26" s="567">
        <f>IF(AND(Projects!$C$20&lt;=Q$4,Q$4&lt;=Projects!$C$20+Projects!$D$20-1),Projects!$B$20/Projects!$D$20,"")</f>
        <v/>
      </c>
      <c r="R26" s="567">
        <f>IF(AND(Projects!$C$20&lt;=R$4,R$4&lt;=Projects!$C$20+Projects!$D$20-1),Projects!$B$20/Projects!$D$20,"")</f>
        <v/>
      </c>
      <c r="S26" s="567">
        <f>IF(AND(Projects!$C$20&lt;=S$4,S$4&lt;=Projects!$C$20+Projects!$D$20-1),Projects!$B$20/Projects!$D$20,"")</f>
        <v/>
      </c>
      <c r="T26" s="567">
        <f>IF(AND(Projects!$C$20&lt;=T$4,T$4&lt;=Projects!$C$20+Projects!$D$20-1),Projects!$B$20/Projects!$D$20,"")</f>
        <v/>
      </c>
      <c r="U26" s="567">
        <f>IF(AND(Projects!$C$20&lt;=U$4,U$4&lt;=Projects!$C$20+Projects!$D$20-1),Projects!$B$20/Projects!$D$20,"")</f>
        <v/>
      </c>
      <c r="V26" s="567">
        <f>IF(AND(Projects!$C$20&lt;=V$4,V$4&lt;=Projects!$C$20+Projects!$D$20-1),Projects!$B$20/Projects!$D$20,"")</f>
        <v/>
      </c>
      <c r="W26" s="567">
        <f>IF(AND(Projects!$C$20&lt;=W$4,W$4&lt;=Projects!$C$20+Projects!$D$20-1),Projects!$B$20/Projects!$D$20,"")</f>
        <v/>
      </c>
      <c r="X26" s="567">
        <f>IF(AND(Projects!$C$20&lt;=X$4,X$4&lt;=Projects!$C$20+Projects!$D$20-1),Projects!$B$20/Projects!$D$20,"")</f>
        <v/>
      </c>
      <c r="Y26" s="567">
        <f>IF(AND(Projects!$C$20&lt;=Y$4,Y$4&lt;=Projects!$C$20+Projects!$D$20-1),Projects!$B$20/Projects!$D$20,"")</f>
        <v/>
      </c>
      <c r="Z26" s="567">
        <f>IF(AND(Projects!$C$20&lt;=Z$4,Z$4&lt;=Projects!$C$20+Projects!$D$20-1),Projects!$B$20/Projects!$D$20,"")</f>
        <v/>
      </c>
      <c r="AA26" s="567">
        <f>IF(AND(Projects!$C$20&lt;=AA$4,AA$4&lt;=Projects!$C$20+Projects!$D$20-1),Projects!$B$20/Projects!$D$20,"")</f>
        <v/>
      </c>
      <c r="AB26" s="567">
        <f>IF(AND(Projects!$C$20&lt;=AB$4,AB$4&lt;=Projects!$C$20+Projects!$D$20-1),Projects!$B$20/Projects!$D$20,"")</f>
        <v/>
      </c>
      <c r="AC26" s="567">
        <f>IF(AND(Projects!$C$20&lt;=AC$4,AC$4&lt;=Projects!$C$20+Projects!$D$20-1),Projects!$B$20/Projects!$D$20,"")</f>
        <v/>
      </c>
      <c r="AD26" s="567">
        <f>IF(AND(Projects!$C$20&lt;=AD$4,AD$4&lt;=Projects!$C$20+Projects!$D$20-1),Projects!$B$20/Projects!$D$20,"")</f>
        <v/>
      </c>
      <c r="AE26" s="567">
        <f>IF(AND(Projects!$C$20&lt;=AE$4,AE$4&lt;=Projects!$C$20+Projects!$D$20-1),Projects!$B$20/Projects!$D$20,"")</f>
        <v/>
      </c>
      <c r="AF26" s="567">
        <f>IF(AND(Projects!$C$20&lt;=AF$4,AF$4&lt;=Projects!$C$20+Projects!$D$20-1),Projects!$B$20/Projects!$D$20,"")</f>
        <v/>
      </c>
      <c r="AG26" s="567">
        <f>IF(AND(Projects!$C$20&lt;=AG$4,AG$4&lt;=Projects!$C$20+Projects!$D$20-1),Projects!$B$20/Projects!$D$20,"")</f>
        <v/>
      </c>
      <c r="AH26" s="567">
        <f>IF(AND(Projects!$C$20&lt;=AH$4,AH$4&lt;=Projects!$C$20+Projects!$D$20-1),Projects!$B$20/Projects!$D$20,"")</f>
        <v/>
      </c>
      <c r="AI26" s="567">
        <f>IF(AND(Projects!$C$20&lt;=AI$4,AI$4&lt;=Projects!$C$20+Projects!$D$20-1),Projects!$B$20/Projects!$D$20,"")</f>
        <v/>
      </c>
      <c r="AJ26" s="567">
        <f>IF(AND(Projects!$C$20&lt;=AJ$4,AJ$4&lt;=Projects!$C$20+Projects!$D$20-1),Projects!$B$20/Projects!$D$20,"")</f>
        <v/>
      </c>
      <c r="AK26" s="567">
        <f>IF(AND(Projects!$C$20&lt;=AK$4,AK$4&lt;=Projects!$C$20+Projects!$D$20-1),Projects!$B$20/Projects!$D$20,"")</f>
        <v/>
      </c>
      <c r="AL26" s="567">
        <f>IF(AND(Projects!$C$20&lt;=AL$4,AL$4&lt;=Projects!$C$20+Projects!$D$20-1),Projects!$B$20/Projects!$D$20,"")</f>
        <v/>
      </c>
      <c r="AM26" s="567">
        <f>IF(AND(Projects!$C$20&lt;=AM$4,AM$4&lt;=Projects!$C$20+Projects!$D$20-1),Projects!$B$20/Projects!$D$20,"")</f>
        <v/>
      </c>
      <c r="AN26" s="567">
        <f>IF(AND(Projects!$C$20&lt;=AN$4,AN$4&lt;=Projects!$C$20+Projects!$D$20-1),Projects!$B$20/Projects!$D$20,"")</f>
        <v/>
      </c>
      <c r="AO26" s="567">
        <f>IF(AND(Projects!$C$20&lt;=AO$4,AO$4&lt;=Projects!$C$20+Projects!$D$20-1),Projects!$B$20/Projects!$D$20,"")</f>
        <v/>
      </c>
      <c r="AP26" s="567">
        <f>IF(AND(Projects!$C$20&lt;=AP$4,AP$4&lt;=Projects!$C$20+Projects!$D$20-1),Projects!$B$20/Projects!$D$20,"")</f>
        <v/>
      </c>
      <c r="AQ26" s="567">
        <f>IF(AND(Projects!$C$20&lt;=AQ$4,AQ$4&lt;=Projects!$C$20+Projects!$D$20-1),Projects!$B$20/Projects!$D$20,"")</f>
        <v/>
      </c>
      <c r="AR26" s="567">
        <f>IF(AND(Projects!$C$20&lt;=AR$4,AR$4&lt;=Projects!$C$20+Projects!$D$20-1),Projects!$B$20/Projects!$D$20,"")</f>
        <v/>
      </c>
      <c r="AS26" s="567">
        <f>IF(AND(Projects!$C$20&lt;=AS$4,AS$4&lt;=Projects!$C$20+Projects!$D$20-1),Projects!$B$20/Projects!$D$20,"")</f>
        <v/>
      </c>
      <c r="AT26" s="567">
        <f>IF(AND(Projects!$C$20&lt;=AT$4,AT$4&lt;=Projects!$C$20+Projects!$D$20-1),Projects!$B$20/Projects!$D$20,"")</f>
        <v/>
      </c>
      <c r="AU26" s="567">
        <f>IF(AND(Projects!$C$20&lt;=AU$4,AU$4&lt;=Projects!$C$20+Projects!$D$20-1),Projects!$B$20/Projects!$D$20,"")</f>
        <v/>
      </c>
      <c r="AV26" s="567">
        <f>IF(AND(Projects!$C$20&lt;=AV$4,AV$4&lt;=Projects!$C$20+Projects!$D$20-1),Projects!$B$20/Projects!$D$20,"")</f>
        <v/>
      </c>
      <c r="AW26" s="567">
        <f>IF(AND(Projects!$C$20&lt;=AW$4,AW$4&lt;=Projects!$C$20+Projects!$D$20-1),Projects!$B$20/Projects!$D$20,"")</f>
        <v/>
      </c>
      <c r="AX26" s="567">
        <f>IF(AND(Projects!$C$20&lt;=AX$4,AX$4&lt;=Projects!$C$20+Projects!$D$20-1),Projects!$B$20/Projects!$D$20,"")</f>
        <v/>
      </c>
      <c r="AY26" s="567">
        <f>IF(AND(Projects!$C$20&lt;=AY$4,AY$4&lt;=Projects!$C$20+Projects!$D$20-1),Projects!$B$20/Projects!$D$20,"")</f>
        <v/>
      </c>
      <c r="AZ26" s="567">
        <f>IF(AND(Projects!$C$20&lt;=AZ$4,AZ$4&lt;=Projects!$C$20+Projects!$D$20-1),Projects!$B$20/Projects!$D$20,"")</f>
        <v/>
      </c>
      <c r="BA26" s="567">
        <f>IF(AND(Projects!$C$20&lt;=BA$4,BA$4&lt;=Projects!$C$20+Projects!$D$20-1),Projects!$B$20/Projects!$D$20,"")</f>
        <v/>
      </c>
      <c r="BB26" s="567">
        <f>IF(AND(Projects!$C$20&lt;=BB$4,BB$4&lt;=Projects!$C$20+Projects!$D$20-1),Projects!$B$20/Projects!$D$20,"")</f>
        <v/>
      </c>
      <c r="BC26" s="567">
        <f>IF(AND(Projects!$C$20&lt;=BC$4,BC$4&lt;=Projects!$C$20+Projects!$D$20-1),Projects!$B$20/Projects!$D$20,"")</f>
        <v/>
      </c>
      <c r="BD26" s="567">
        <f>IF(AND(Projects!$C$20&lt;=BD$4,BD$4&lt;=Projects!$C$20+Projects!$D$20-1),Projects!$B$20/Projects!$D$20,"")</f>
        <v/>
      </c>
      <c r="BE26" s="567">
        <f>IF(AND(Projects!$C$20&lt;=BE$4,BE$4&lt;=Projects!$C$20+Projects!$D$20-1),Projects!$B$20/Projects!$D$20,"")</f>
        <v/>
      </c>
      <c r="BF26" s="567">
        <f>IF(AND(Projects!$C$20&lt;=BF$4,BF$4&lt;=Projects!$C$20+Projects!$D$20-1),Projects!$B$20/Projects!$D$20,"")</f>
        <v/>
      </c>
      <c r="BG26" s="567">
        <f>IF(AND(Projects!$C$20&lt;=BG$4,BG$4&lt;=Projects!$C$20+Projects!$D$20-1),Projects!$B$20/Projects!$D$20,"")</f>
        <v/>
      </c>
      <c r="BH26" s="567">
        <f>IF(AND(Projects!$C$20&lt;=BH$4,BH$4&lt;=Projects!$C$20+Projects!$D$20-1),Projects!$B$20/Projects!$D$20,"")</f>
        <v/>
      </c>
      <c r="BI26" s="567">
        <f>IF(AND(Projects!$C$20&lt;=BI$4,BI$4&lt;=Projects!$C$20+Projects!$D$20-1),Projects!$B$20/Projects!$D$20,"")</f>
        <v/>
      </c>
      <c r="BJ26" s="567">
        <f>IF(AND(Projects!$C$20&lt;=BJ$4,BJ$4&lt;=Projects!$C$20+Projects!$D$20-1),Projects!$B$20/Projects!$D$20,"")</f>
        <v/>
      </c>
      <c r="BK26" s="567">
        <f>IF(AND(Projects!$C$20&lt;=BK$4,BK$4&lt;=Projects!$C$20+Projects!$D$20-1),Projects!$B$20/Projects!$D$20,"")</f>
        <v/>
      </c>
      <c r="BL26" s="567">
        <f>IF(AND(Projects!$C$20&lt;=BL$4,BL$4&lt;=Projects!$C$20+Projects!$D$20-1),Projects!$B$20/Projects!$D$20,"")</f>
        <v/>
      </c>
      <c r="BM26" s="567">
        <f>IF(AND(Projects!$C$20&lt;=BM$4,BM$4&lt;=Projects!$C$20+Projects!$D$20-1),Projects!$B$20/Projects!$D$20,"")</f>
        <v/>
      </c>
      <c r="BN26" s="567">
        <f>IF(AND(Projects!$C$20&lt;=BN$4,BN$4&lt;=Projects!$C$20+Projects!$D$20-1),Projects!$B$20/Projects!$D$20,"")</f>
        <v/>
      </c>
      <c r="BO26" s="567">
        <f>IF(AND(Projects!$C$20&lt;=BO$4,BO$4&lt;=Projects!$C$20+Projects!$D$20-1),Projects!$B$20/Projects!$D$20,"")</f>
        <v/>
      </c>
      <c r="BP26" s="567">
        <f>IF(AND(Projects!$C$20&lt;=BP$4,BP$4&lt;=Projects!$C$20+Projects!$D$20-1),Projects!$B$20/Projects!$D$20,"")</f>
        <v/>
      </c>
      <c r="BQ26" s="567">
        <f>IF(AND(Projects!$C$20&lt;=BQ$4,BQ$4&lt;=Projects!$C$20+Projects!$D$20-1),Projects!$B$20/Projects!$D$20,"")</f>
        <v/>
      </c>
      <c r="BR26" s="567">
        <f>IF(AND(Projects!$C$20&lt;=BR$4,BR$4&lt;=Projects!$C$20+Projects!$D$20-1),Projects!$B$20/Projects!$D$20,"")</f>
        <v/>
      </c>
      <c r="BS26" s="567">
        <f>IF(AND(Projects!$C$20&lt;=BS$4,BS$4&lt;=Projects!$C$20+Projects!$D$20-1),Projects!$B$20/Projects!$D$20,"")</f>
        <v/>
      </c>
      <c r="BT26" s="567">
        <f>IF(AND(Projects!$C$20&lt;=BT$4,BT$4&lt;=Projects!$C$20+Projects!$D$20-1),Projects!$B$20/Projects!$D$20,"")</f>
        <v/>
      </c>
      <c r="BU26" s="567">
        <f>IF(AND(Projects!$C$20&lt;=BU$4,BU$4&lt;=Projects!$C$20+Projects!$D$20-1),Projects!$B$20/Projects!$D$20,"")</f>
        <v/>
      </c>
      <c r="BV26" s="567">
        <f>IF(AND(Projects!$C$20&lt;=BV$4,BV$4&lt;=Projects!$C$20+Projects!$D$20-1),Projects!$B$20/Projects!$D$20,"")</f>
        <v/>
      </c>
      <c r="BW26" s="567">
        <f>IF(AND(Projects!$C$20&lt;=BW$4,BW$4&lt;=Projects!$C$20+Projects!$D$20-1),Projects!$B$20/Projects!$D$20,"")</f>
        <v/>
      </c>
      <c r="BX26" s="567">
        <f>IF(AND(Projects!$C$20&lt;=BX$4,BX$4&lt;=Projects!$C$20+Projects!$D$20-1),Projects!$B$20/Projects!$D$20,"")</f>
        <v/>
      </c>
      <c r="BY26" s="567">
        <f>IF(AND(Projects!$C$20&lt;=BY$4,BY$4&lt;=Projects!$C$20+Projects!$D$20-1),Projects!$B$20/Projects!$D$20,"")</f>
        <v/>
      </c>
      <c r="BZ26" s="567">
        <f>IF(AND(Projects!$C$20&lt;=BZ$4,BZ$4&lt;=Projects!$C$20+Projects!$D$20-1),Projects!$B$20/Projects!$D$20,"")</f>
        <v/>
      </c>
      <c r="CA26" s="567">
        <f>IF(AND(Projects!$C$20&lt;=CA$4,CA$4&lt;=Projects!$C$20+Projects!$D$20-1),Projects!$B$20/Projects!$D$20,"")</f>
        <v/>
      </c>
      <c r="CB26" s="567">
        <f>IF(AND(Projects!$C$20&lt;=CB$4,CB$4&lt;=Projects!$C$20+Projects!$D$20-1),Projects!$B$20/Projects!$D$20,"")</f>
        <v/>
      </c>
      <c r="CC26" s="567">
        <f>IF(AND(Projects!$C$20&lt;=CC$4,CC$4&lt;=Projects!$C$20+Projects!$D$20-1),Projects!$B$20/Projects!$D$20,"")</f>
        <v/>
      </c>
      <c r="CD26" s="567">
        <f>IF(AND(Projects!$C$20&lt;=CD$4,CD$4&lt;=Projects!$C$20+Projects!$D$20-1),Projects!$B$20/Projects!$D$20,"")</f>
        <v/>
      </c>
      <c r="CE26" s="567">
        <f>IF(AND(Projects!$C$20&lt;=CE$4,CE$4&lt;=Projects!$C$20+Projects!$D$20-1),Projects!$B$20/Projects!$D$20,"")</f>
        <v/>
      </c>
      <c r="CF26" s="567">
        <f>IF(AND(Projects!$C$20&lt;=CF$4,CF$4&lt;=Projects!$C$20+Projects!$D$20-1),Projects!$B$20/Projects!$D$20,"")</f>
        <v/>
      </c>
      <c r="CG26" s="567">
        <f>IF(AND(Projects!$C$20&lt;=CG$4,CG$4&lt;=Projects!$C$20+Projects!$D$20-1),Projects!$B$20/Projects!$D$20,"")</f>
        <v/>
      </c>
      <c r="CH26" s="567">
        <f>IF(AND(Projects!$C$20&lt;=CH$4,CH$4&lt;=Projects!$C$20+Projects!$D$20-1),Projects!$B$20/Projects!$D$20,"")</f>
        <v/>
      </c>
      <c r="CI26" s="567">
        <f>IF(AND(Projects!$C$20&lt;=CI$4,CI$4&lt;=Projects!$C$20+Projects!$D$20-1),Projects!$B$20/Projects!$D$20,"")</f>
        <v/>
      </c>
      <c r="CJ26" s="567">
        <f>IF(AND(Projects!$C$20&lt;=CJ$4,CJ$4&lt;=Projects!$C$20+Projects!$D$20-1),Projects!$B$20/Projects!$D$20,"")</f>
        <v/>
      </c>
      <c r="CK26" s="567">
        <f>IF(AND(Projects!$C$20&lt;=CK$4,CK$4&lt;=Projects!$C$20+Projects!$D$20-1),Projects!$B$20/Projects!$D$20,"")</f>
        <v/>
      </c>
      <c r="CL26" s="567">
        <f>IF(AND(Projects!$C$20&lt;=CL$4,CL$4&lt;=Projects!$C$20+Projects!$D$20-1),Projects!$B$20/Projects!$D$20,"")</f>
        <v/>
      </c>
      <c r="CM26" s="567">
        <f>IF(AND(Projects!$C$20&lt;=CM$4,CM$4&lt;=Projects!$C$20+Projects!$D$20-1),Projects!$B$20/Projects!$D$20,"")</f>
        <v/>
      </c>
      <c r="CN26" s="567">
        <f>IF(AND(Projects!$C$20&lt;=CN$4,CN$4&lt;=Projects!$C$20+Projects!$D$20-1),Projects!$B$20/Projects!$D$20,"")</f>
        <v/>
      </c>
      <c r="CO26" s="567">
        <f>IF(AND(Projects!$C$20&lt;=CO$4,CO$4&lt;=Projects!$C$20+Projects!$D$20-1),Projects!$B$20/Projects!$D$20,"")</f>
        <v/>
      </c>
      <c r="CP26" s="567">
        <f>IF(AND(Projects!$C$20&lt;=CP$4,CP$4&lt;=Projects!$C$20+Projects!$D$20-1),Projects!$B$20/Projects!$D$20,"")</f>
        <v/>
      </c>
      <c r="CQ26" s="567">
        <f>IF(AND(Projects!$C$20&lt;=CQ$4,CQ$4&lt;=Projects!$C$20+Projects!$D$20-1),Projects!$B$20/Projects!$D$20,"")</f>
        <v/>
      </c>
      <c r="CR26" s="567">
        <f>IF(AND(Projects!$C$20&lt;=CR$4,CR$4&lt;=Projects!$C$20+Projects!$D$20-1),Projects!$B$20/Projects!$D$20,"")</f>
        <v/>
      </c>
      <c r="CS26" s="567">
        <f>IF(AND(Projects!$C$20&lt;=CS$4,CS$4&lt;=Projects!$C$20+Projects!$D$20-1),Projects!$B$20/Projects!$D$20,"")</f>
        <v/>
      </c>
      <c r="CT26" s="567">
        <f>IF(AND(Projects!$C$20&lt;=CT$4,CT$4&lt;=Projects!$C$20+Projects!$D$20-1),Projects!$B$20/Projects!$D$20,"")</f>
        <v/>
      </c>
      <c r="CU26" s="567">
        <f>IF(AND(Projects!$C$20&lt;=CU$4,CU$4&lt;=Projects!$C$20+Projects!$D$20-1),Projects!$B$20/Projects!$D$20,"")</f>
        <v/>
      </c>
      <c r="CV26" s="567">
        <f>IF(AND(Projects!$C$20&lt;=CV$4,CV$4&lt;=Projects!$C$20+Projects!$D$20-1),Projects!$B$20/Projects!$D$20,"")</f>
        <v/>
      </c>
      <c r="CW26" s="567">
        <f>IF(AND(Projects!$C$20&lt;=CW$4,CW$4&lt;=Projects!$C$20+Projects!$D$20-1),Projects!$B$20/Projects!$D$20,"")</f>
        <v/>
      </c>
      <c r="CX26" s="567">
        <f>IF(AND(Projects!$C$20&lt;=CX$4,CX$4&lt;=Projects!$C$20+Projects!$D$20-1),Projects!$B$20/Projects!$D$20,"")</f>
        <v/>
      </c>
      <c r="CY26" s="567">
        <f>IF(AND(Projects!$C$20&lt;=CY$4,CY$4&lt;=Projects!$C$20+Projects!$D$20-1),Projects!$B$20/Projects!$D$20,"")</f>
        <v/>
      </c>
      <c r="CZ26" s="567">
        <f>IF(AND(Projects!$C$20&lt;=CZ$4,CZ$4&lt;=Projects!$C$20+Projects!$D$20-1),Projects!$B$20/Projects!$D$20,"")</f>
        <v/>
      </c>
      <c r="DA26" s="567">
        <f>IF(AND(Projects!$C$20&lt;=DA$4,DA$4&lt;=Projects!$C$20+Projects!$D$20-1),Projects!$B$20/Projects!$D$20,"")</f>
        <v/>
      </c>
      <c r="DB26" s="567">
        <f>IF(AND(Projects!$C$20&lt;=DB$4,DB$4&lt;=Projects!$C$20+Projects!$D$20-1),Projects!$B$20/Projects!$D$20,"")</f>
        <v/>
      </c>
    </row>
    <row r="27" ht="15" customFormat="1" customHeight="1" s="380">
      <c r="A27" s="563" t="inlineStr">
        <is>
          <t>Troost</t>
        </is>
      </c>
      <c r="B27" s="564">
        <f>Projects!$B$21</f>
        <v/>
      </c>
      <c r="C27" s="565">
        <f>EDATE(Model!$E$2,Projects!$C$21-1)</f>
        <v/>
      </c>
      <c r="D27" s="565">
        <f>EDATE(Model!$E$2,Projects!$C$21+Projects!$D$21-2)</f>
        <v/>
      </c>
      <c r="E27" s="566">
        <f>Projects!$D$21</f>
        <v/>
      </c>
      <c r="F27" s="564">
        <f>Projects!$B$21/Projects!$D$21</f>
        <v/>
      </c>
      <c r="G27" s="567">
        <f>IF(AND(Projects!$C$21&lt;=G$4,G$4&lt;=Projects!$C$21+Projects!$D$21-1),Projects!$B$21/Projects!$D$21,"")</f>
        <v/>
      </c>
      <c r="H27" s="567">
        <f>IF(AND(Projects!$C$21&lt;=H$4,H$4&lt;=Projects!$C$21+Projects!$D$21-1),Projects!$B$21/Projects!$D$21,"")</f>
        <v/>
      </c>
      <c r="I27" s="567">
        <f>IF(AND(Projects!$C$21&lt;=I$4,I$4&lt;=Projects!$C$21+Projects!$D$21-1),Projects!$B$21/Projects!$D$21,"")</f>
        <v/>
      </c>
      <c r="J27" s="567">
        <f>IF(AND(Projects!$C$21&lt;=J$4,J$4&lt;=Projects!$C$21+Projects!$D$21-1),Projects!$B$21/Projects!$D$21,"")</f>
        <v/>
      </c>
      <c r="K27" s="567">
        <f>IF(AND(Projects!$C$21&lt;=K$4,K$4&lt;=Projects!$C$21+Projects!$D$21-1),Projects!$B$21/Projects!$D$21,"")</f>
        <v/>
      </c>
      <c r="L27" s="567">
        <f>IF(AND(Projects!$C$21&lt;=L$4,L$4&lt;=Projects!$C$21+Projects!$D$21-1),Projects!$B$21/Projects!$D$21,"")</f>
        <v/>
      </c>
      <c r="M27" s="567">
        <f>IF(AND(Projects!$C$21&lt;=M$4,M$4&lt;=Projects!$C$21+Projects!$D$21-1),Projects!$B$21/Projects!$D$21,"")</f>
        <v/>
      </c>
      <c r="N27" s="567">
        <f>IF(AND(Projects!$C$21&lt;=N$4,N$4&lt;=Projects!$C$21+Projects!$D$21-1),Projects!$B$21/Projects!$D$21,"")</f>
        <v/>
      </c>
      <c r="O27" s="567">
        <f>IF(AND(Projects!$C$21&lt;=O$4,O$4&lt;=Projects!$C$21+Projects!$D$21-1),Projects!$B$21/Projects!$D$21,"")</f>
        <v/>
      </c>
      <c r="P27" s="567">
        <f>IF(AND(Projects!$C$21&lt;=P$4,P$4&lt;=Projects!$C$21+Projects!$D$21-1),Projects!$B$21/Projects!$D$21,"")</f>
        <v/>
      </c>
      <c r="Q27" s="567">
        <f>IF(AND(Projects!$C$21&lt;=Q$4,Q$4&lt;=Projects!$C$21+Projects!$D$21-1),Projects!$B$21/Projects!$D$21,"")</f>
        <v/>
      </c>
      <c r="R27" s="567">
        <f>IF(AND(Projects!$C$21&lt;=R$4,R$4&lt;=Projects!$C$21+Projects!$D$21-1),Projects!$B$21/Projects!$D$21,"")</f>
        <v/>
      </c>
      <c r="S27" s="567">
        <f>IF(AND(Projects!$C$21&lt;=S$4,S$4&lt;=Projects!$C$21+Projects!$D$21-1),Projects!$B$21/Projects!$D$21,"")</f>
        <v/>
      </c>
      <c r="T27" s="567">
        <f>IF(AND(Projects!$C$21&lt;=T$4,T$4&lt;=Projects!$C$21+Projects!$D$21-1),Projects!$B$21/Projects!$D$21,"")</f>
        <v/>
      </c>
      <c r="U27" s="567">
        <f>IF(AND(Projects!$C$21&lt;=U$4,U$4&lt;=Projects!$C$21+Projects!$D$21-1),Projects!$B$21/Projects!$D$21,"")</f>
        <v/>
      </c>
      <c r="V27" s="567">
        <f>IF(AND(Projects!$C$21&lt;=V$4,V$4&lt;=Projects!$C$21+Projects!$D$21-1),Projects!$B$21/Projects!$D$21,"")</f>
        <v/>
      </c>
      <c r="W27" s="567">
        <f>IF(AND(Projects!$C$21&lt;=W$4,W$4&lt;=Projects!$C$21+Projects!$D$21-1),Projects!$B$21/Projects!$D$21,"")</f>
        <v/>
      </c>
      <c r="X27" s="567">
        <f>IF(AND(Projects!$C$21&lt;=X$4,X$4&lt;=Projects!$C$21+Projects!$D$21-1),Projects!$B$21/Projects!$D$21,"")</f>
        <v/>
      </c>
      <c r="Y27" s="567">
        <f>IF(AND(Projects!$C$21&lt;=Y$4,Y$4&lt;=Projects!$C$21+Projects!$D$21-1),Projects!$B$21/Projects!$D$21,"")</f>
        <v/>
      </c>
      <c r="Z27" s="567">
        <f>IF(AND(Projects!$C$21&lt;=Z$4,Z$4&lt;=Projects!$C$21+Projects!$D$21-1),Projects!$B$21/Projects!$D$21,"")</f>
        <v/>
      </c>
      <c r="AA27" s="567">
        <f>IF(AND(Projects!$C$21&lt;=AA$4,AA$4&lt;=Projects!$C$21+Projects!$D$21-1),Projects!$B$21/Projects!$D$21,"")</f>
        <v/>
      </c>
      <c r="AB27" s="567">
        <f>IF(AND(Projects!$C$21&lt;=AB$4,AB$4&lt;=Projects!$C$21+Projects!$D$21-1),Projects!$B$21/Projects!$D$21,"")</f>
        <v/>
      </c>
      <c r="AC27" s="567">
        <f>IF(AND(Projects!$C$21&lt;=AC$4,AC$4&lt;=Projects!$C$21+Projects!$D$21-1),Projects!$B$21/Projects!$D$21,"")</f>
        <v/>
      </c>
      <c r="AD27" s="567">
        <f>IF(AND(Projects!$C$21&lt;=AD$4,AD$4&lt;=Projects!$C$21+Projects!$D$21-1),Projects!$B$21/Projects!$D$21,"")</f>
        <v/>
      </c>
      <c r="AE27" s="567">
        <f>IF(AND(Projects!$C$21&lt;=AE$4,AE$4&lt;=Projects!$C$21+Projects!$D$21-1),Projects!$B$21/Projects!$D$21,"")</f>
        <v/>
      </c>
      <c r="AF27" s="567">
        <f>IF(AND(Projects!$C$21&lt;=AF$4,AF$4&lt;=Projects!$C$21+Projects!$D$21-1),Projects!$B$21/Projects!$D$21,"")</f>
        <v/>
      </c>
      <c r="AG27" s="567">
        <f>IF(AND(Projects!$C$21&lt;=AG$4,AG$4&lt;=Projects!$C$21+Projects!$D$21-1),Projects!$B$21/Projects!$D$21,"")</f>
        <v/>
      </c>
      <c r="AH27" s="567">
        <f>IF(AND(Projects!$C$21&lt;=AH$4,AH$4&lt;=Projects!$C$21+Projects!$D$21-1),Projects!$B$21/Projects!$D$21,"")</f>
        <v/>
      </c>
      <c r="AI27" s="567">
        <f>IF(AND(Projects!$C$21&lt;=AI$4,AI$4&lt;=Projects!$C$21+Projects!$D$21-1),Projects!$B$21/Projects!$D$21,"")</f>
        <v/>
      </c>
      <c r="AJ27" s="567">
        <f>IF(AND(Projects!$C$21&lt;=AJ$4,AJ$4&lt;=Projects!$C$21+Projects!$D$21-1),Projects!$B$21/Projects!$D$21,"")</f>
        <v/>
      </c>
      <c r="AK27" s="567">
        <f>IF(AND(Projects!$C$21&lt;=AK$4,AK$4&lt;=Projects!$C$21+Projects!$D$21-1),Projects!$B$21/Projects!$D$21,"")</f>
        <v/>
      </c>
      <c r="AL27" s="567">
        <f>IF(AND(Projects!$C$21&lt;=AL$4,AL$4&lt;=Projects!$C$21+Projects!$D$21-1),Projects!$B$21/Projects!$D$21,"")</f>
        <v/>
      </c>
      <c r="AM27" s="567">
        <f>IF(AND(Projects!$C$21&lt;=AM$4,AM$4&lt;=Projects!$C$21+Projects!$D$21-1),Projects!$B$21/Projects!$D$21,"")</f>
        <v/>
      </c>
      <c r="AN27" s="567">
        <f>IF(AND(Projects!$C$21&lt;=AN$4,AN$4&lt;=Projects!$C$21+Projects!$D$21-1),Projects!$B$21/Projects!$D$21,"")</f>
        <v/>
      </c>
      <c r="AO27" s="567">
        <f>IF(AND(Projects!$C$21&lt;=AO$4,AO$4&lt;=Projects!$C$21+Projects!$D$21-1),Projects!$B$21/Projects!$D$21,"")</f>
        <v/>
      </c>
      <c r="AP27" s="567">
        <f>IF(AND(Projects!$C$21&lt;=AP$4,AP$4&lt;=Projects!$C$21+Projects!$D$21-1),Projects!$B$21/Projects!$D$21,"")</f>
        <v/>
      </c>
      <c r="AQ27" s="567">
        <f>IF(AND(Projects!$C$21&lt;=AQ$4,AQ$4&lt;=Projects!$C$21+Projects!$D$21-1),Projects!$B$21/Projects!$D$21,"")</f>
        <v/>
      </c>
      <c r="AR27" s="567">
        <f>IF(AND(Projects!$C$21&lt;=AR$4,AR$4&lt;=Projects!$C$21+Projects!$D$21-1),Projects!$B$21/Projects!$D$21,"")</f>
        <v/>
      </c>
      <c r="AS27" s="567">
        <f>IF(AND(Projects!$C$21&lt;=AS$4,AS$4&lt;=Projects!$C$21+Projects!$D$21-1),Projects!$B$21/Projects!$D$21,"")</f>
        <v/>
      </c>
      <c r="AT27" s="567">
        <f>IF(AND(Projects!$C$21&lt;=AT$4,AT$4&lt;=Projects!$C$21+Projects!$D$21-1),Projects!$B$21/Projects!$D$21,"")</f>
        <v/>
      </c>
      <c r="AU27" s="567">
        <f>IF(AND(Projects!$C$21&lt;=AU$4,AU$4&lt;=Projects!$C$21+Projects!$D$21-1),Projects!$B$21/Projects!$D$21,"")</f>
        <v/>
      </c>
      <c r="AV27" s="567">
        <f>IF(AND(Projects!$C$21&lt;=AV$4,AV$4&lt;=Projects!$C$21+Projects!$D$21-1),Projects!$B$21/Projects!$D$21,"")</f>
        <v/>
      </c>
      <c r="AW27" s="567">
        <f>IF(AND(Projects!$C$21&lt;=AW$4,AW$4&lt;=Projects!$C$21+Projects!$D$21-1),Projects!$B$21/Projects!$D$21,"")</f>
        <v/>
      </c>
      <c r="AX27" s="567">
        <f>IF(AND(Projects!$C$21&lt;=AX$4,AX$4&lt;=Projects!$C$21+Projects!$D$21-1),Projects!$B$21/Projects!$D$21,"")</f>
        <v/>
      </c>
      <c r="AY27" s="567">
        <f>IF(AND(Projects!$C$21&lt;=AY$4,AY$4&lt;=Projects!$C$21+Projects!$D$21-1),Projects!$B$21/Projects!$D$21,"")</f>
        <v/>
      </c>
      <c r="AZ27" s="567">
        <f>IF(AND(Projects!$C$21&lt;=AZ$4,AZ$4&lt;=Projects!$C$21+Projects!$D$21-1),Projects!$B$21/Projects!$D$21,"")</f>
        <v/>
      </c>
      <c r="BA27" s="567">
        <f>IF(AND(Projects!$C$21&lt;=BA$4,BA$4&lt;=Projects!$C$21+Projects!$D$21-1),Projects!$B$21/Projects!$D$21,"")</f>
        <v/>
      </c>
      <c r="BB27" s="567">
        <f>IF(AND(Projects!$C$21&lt;=BB$4,BB$4&lt;=Projects!$C$21+Projects!$D$21-1),Projects!$B$21/Projects!$D$21,"")</f>
        <v/>
      </c>
      <c r="BC27" s="567">
        <f>IF(AND(Projects!$C$21&lt;=BC$4,BC$4&lt;=Projects!$C$21+Projects!$D$21-1),Projects!$B$21/Projects!$D$21,"")</f>
        <v/>
      </c>
      <c r="BD27" s="567">
        <f>IF(AND(Projects!$C$21&lt;=BD$4,BD$4&lt;=Projects!$C$21+Projects!$D$21-1),Projects!$B$21/Projects!$D$21,"")</f>
        <v/>
      </c>
      <c r="BE27" s="567">
        <f>IF(AND(Projects!$C$21&lt;=BE$4,BE$4&lt;=Projects!$C$21+Projects!$D$21-1),Projects!$B$21/Projects!$D$21,"")</f>
        <v/>
      </c>
      <c r="BF27" s="567">
        <f>IF(AND(Projects!$C$21&lt;=BF$4,BF$4&lt;=Projects!$C$21+Projects!$D$21-1),Projects!$B$21/Projects!$D$21,"")</f>
        <v/>
      </c>
      <c r="BG27" s="567">
        <f>IF(AND(Projects!$C$21&lt;=BG$4,BG$4&lt;=Projects!$C$21+Projects!$D$21-1),Projects!$B$21/Projects!$D$21,"")</f>
        <v/>
      </c>
      <c r="BH27" s="567">
        <f>IF(AND(Projects!$C$21&lt;=BH$4,BH$4&lt;=Projects!$C$21+Projects!$D$21-1),Projects!$B$21/Projects!$D$21,"")</f>
        <v/>
      </c>
      <c r="BI27" s="567">
        <f>IF(AND(Projects!$C$21&lt;=BI$4,BI$4&lt;=Projects!$C$21+Projects!$D$21-1),Projects!$B$21/Projects!$D$21,"")</f>
        <v/>
      </c>
      <c r="BJ27" s="567">
        <f>IF(AND(Projects!$C$21&lt;=BJ$4,BJ$4&lt;=Projects!$C$21+Projects!$D$21-1),Projects!$B$21/Projects!$D$21,"")</f>
        <v/>
      </c>
      <c r="BK27" s="567">
        <f>IF(AND(Projects!$C$21&lt;=BK$4,BK$4&lt;=Projects!$C$21+Projects!$D$21-1),Projects!$B$21/Projects!$D$21,"")</f>
        <v/>
      </c>
      <c r="BL27" s="567">
        <f>IF(AND(Projects!$C$21&lt;=BL$4,BL$4&lt;=Projects!$C$21+Projects!$D$21-1),Projects!$B$21/Projects!$D$21,"")</f>
        <v/>
      </c>
      <c r="BM27" s="567">
        <f>IF(AND(Projects!$C$21&lt;=BM$4,BM$4&lt;=Projects!$C$21+Projects!$D$21-1),Projects!$B$21/Projects!$D$21,"")</f>
        <v/>
      </c>
      <c r="BN27" s="567">
        <f>IF(AND(Projects!$C$21&lt;=BN$4,BN$4&lt;=Projects!$C$21+Projects!$D$21-1),Projects!$B$21/Projects!$D$21,"")</f>
        <v/>
      </c>
      <c r="BO27" s="567">
        <f>IF(AND(Projects!$C$21&lt;=BO$4,BO$4&lt;=Projects!$C$21+Projects!$D$21-1),Projects!$B$21/Projects!$D$21,"")</f>
        <v/>
      </c>
      <c r="BP27" s="567">
        <f>IF(AND(Projects!$C$21&lt;=BP$4,BP$4&lt;=Projects!$C$21+Projects!$D$21-1),Projects!$B$21/Projects!$D$21,"")</f>
        <v/>
      </c>
      <c r="BQ27" s="567">
        <f>IF(AND(Projects!$C$21&lt;=BQ$4,BQ$4&lt;=Projects!$C$21+Projects!$D$21-1),Projects!$B$21/Projects!$D$21,"")</f>
        <v/>
      </c>
      <c r="BR27" s="567">
        <f>IF(AND(Projects!$C$21&lt;=BR$4,BR$4&lt;=Projects!$C$21+Projects!$D$21-1),Projects!$B$21/Projects!$D$21,"")</f>
        <v/>
      </c>
      <c r="BS27" s="567">
        <f>IF(AND(Projects!$C$21&lt;=BS$4,BS$4&lt;=Projects!$C$21+Projects!$D$21-1),Projects!$B$21/Projects!$D$21,"")</f>
        <v/>
      </c>
      <c r="BT27" s="567">
        <f>IF(AND(Projects!$C$21&lt;=BT$4,BT$4&lt;=Projects!$C$21+Projects!$D$21-1),Projects!$B$21/Projects!$D$21,"")</f>
        <v/>
      </c>
      <c r="BU27" s="567">
        <f>IF(AND(Projects!$C$21&lt;=BU$4,BU$4&lt;=Projects!$C$21+Projects!$D$21-1),Projects!$B$21/Projects!$D$21,"")</f>
        <v/>
      </c>
      <c r="BV27" s="567">
        <f>IF(AND(Projects!$C$21&lt;=BV$4,BV$4&lt;=Projects!$C$21+Projects!$D$21-1),Projects!$B$21/Projects!$D$21,"")</f>
        <v/>
      </c>
      <c r="BW27" s="567">
        <f>IF(AND(Projects!$C$21&lt;=BW$4,BW$4&lt;=Projects!$C$21+Projects!$D$21-1),Projects!$B$21/Projects!$D$21,"")</f>
        <v/>
      </c>
      <c r="BX27" s="567">
        <f>IF(AND(Projects!$C$21&lt;=BX$4,BX$4&lt;=Projects!$C$21+Projects!$D$21-1),Projects!$B$21/Projects!$D$21,"")</f>
        <v/>
      </c>
      <c r="BY27" s="567">
        <f>IF(AND(Projects!$C$21&lt;=BY$4,BY$4&lt;=Projects!$C$21+Projects!$D$21-1),Projects!$B$21/Projects!$D$21,"")</f>
        <v/>
      </c>
      <c r="BZ27" s="567">
        <f>IF(AND(Projects!$C$21&lt;=BZ$4,BZ$4&lt;=Projects!$C$21+Projects!$D$21-1),Projects!$B$21/Projects!$D$21,"")</f>
        <v/>
      </c>
      <c r="CA27" s="567">
        <f>IF(AND(Projects!$C$21&lt;=CA$4,CA$4&lt;=Projects!$C$21+Projects!$D$21-1),Projects!$B$21/Projects!$D$21,"")</f>
        <v/>
      </c>
      <c r="CB27" s="567">
        <f>IF(AND(Projects!$C$21&lt;=CB$4,CB$4&lt;=Projects!$C$21+Projects!$D$21-1),Projects!$B$21/Projects!$D$21,"")</f>
        <v/>
      </c>
      <c r="CC27" s="567">
        <f>IF(AND(Projects!$C$21&lt;=CC$4,CC$4&lt;=Projects!$C$21+Projects!$D$21-1),Projects!$B$21/Projects!$D$21,"")</f>
        <v/>
      </c>
      <c r="CD27" s="567">
        <f>IF(AND(Projects!$C$21&lt;=CD$4,CD$4&lt;=Projects!$C$21+Projects!$D$21-1),Projects!$B$21/Projects!$D$21,"")</f>
        <v/>
      </c>
      <c r="CE27" s="567">
        <f>IF(AND(Projects!$C$21&lt;=CE$4,CE$4&lt;=Projects!$C$21+Projects!$D$21-1),Projects!$B$21/Projects!$D$21,"")</f>
        <v/>
      </c>
      <c r="CF27" s="567">
        <f>IF(AND(Projects!$C$21&lt;=CF$4,CF$4&lt;=Projects!$C$21+Projects!$D$21-1),Projects!$B$21/Projects!$D$21,"")</f>
        <v/>
      </c>
      <c r="CG27" s="567">
        <f>IF(AND(Projects!$C$21&lt;=CG$4,CG$4&lt;=Projects!$C$21+Projects!$D$21-1),Projects!$B$21/Projects!$D$21,"")</f>
        <v/>
      </c>
      <c r="CH27" s="567">
        <f>IF(AND(Projects!$C$21&lt;=CH$4,CH$4&lt;=Projects!$C$21+Projects!$D$21-1),Projects!$B$21/Projects!$D$21,"")</f>
        <v/>
      </c>
      <c r="CI27" s="567">
        <f>IF(AND(Projects!$C$21&lt;=CI$4,CI$4&lt;=Projects!$C$21+Projects!$D$21-1),Projects!$B$21/Projects!$D$21,"")</f>
        <v/>
      </c>
      <c r="CJ27" s="567">
        <f>IF(AND(Projects!$C$21&lt;=CJ$4,CJ$4&lt;=Projects!$C$21+Projects!$D$21-1),Projects!$B$21/Projects!$D$21,"")</f>
        <v/>
      </c>
      <c r="CK27" s="567">
        <f>IF(AND(Projects!$C$21&lt;=CK$4,CK$4&lt;=Projects!$C$21+Projects!$D$21-1),Projects!$B$21/Projects!$D$21,"")</f>
        <v/>
      </c>
      <c r="CL27" s="567">
        <f>IF(AND(Projects!$C$21&lt;=CL$4,CL$4&lt;=Projects!$C$21+Projects!$D$21-1),Projects!$B$21/Projects!$D$21,"")</f>
        <v/>
      </c>
      <c r="CM27" s="567">
        <f>IF(AND(Projects!$C$21&lt;=CM$4,CM$4&lt;=Projects!$C$21+Projects!$D$21-1),Projects!$B$21/Projects!$D$21,"")</f>
        <v/>
      </c>
      <c r="CN27" s="567">
        <f>IF(AND(Projects!$C$21&lt;=CN$4,CN$4&lt;=Projects!$C$21+Projects!$D$21-1),Projects!$B$21/Projects!$D$21,"")</f>
        <v/>
      </c>
      <c r="CO27" s="567">
        <f>IF(AND(Projects!$C$21&lt;=CO$4,CO$4&lt;=Projects!$C$21+Projects!$D$21-1),Projects!$B$21/Projects!$D$21,"")</f>
        <v/>
      </c>
      <c r="CP27" s="567">
        <f>IF(AND(Projects!$C$21&lt;=CP$4,CP$4&lt;=Projects!$C$21+Projects!$D$21-1),Projects!$B$21/Projects!$D$21,"")</f>
        <v/>
      </c>
      <c r="CQ27" s="567">
        <f>IF(AND(Projects!$C$21&lt;=CQ$4,CQ$4&lt;=Projects!$C$21+Projects!$D$21-1),Projects!$B$21/Projects!$D$21,"")</f>
        <v/>
      </c>
      <c r="CR27" s="567">
        <f>IF(AND(Projects!$C$21&lt;=CR$4,CR$4&lt;=Projects!$C$21+Projects!$D$21-1),Projects!$B$21/Projects!$D$21,"")</f>
        <v/>
      </c>
      <c r="CS27" s="567">
        <f>IF(AND(Projects!$C$21&lt;=CS$4,CS$4&lt;=Projects!$C$21+Projects!$D$21-1),Projects!$B$21/Projects!$D$21,"")</f>
        <v/>
      </c>
      <c r="CT27" s="567">
        <f>IF(AND(Projects!$C$21&lt;=CT$4,CT$4&lt;=Projects!$C$21+Projects!$D$21-1),Projects!$B$21/Projects!$D$21,"")</f>
        <v/>
      </c>
      <c r="CU27" s="567">
        <f>IF(AND(Projects!$C$21&lt;=CU$4,CU$4&lt;=Projects!$C$21+Projects!$D$21-1),Projects!$B$21/Projects!$D$21,"")</f>
        <v/>
      </c>
      <c r="CV27" s="567">
        <f>IF(AND(Projects!$C$21&lt;=CV$4,CV$4&lt;=Projects!$C$21+Projects!$D$21-1),Projects!$B$21/Projects!$D$21,"")</f>
        <v/>
      </c>
      <c r="CW27" s="567">
        <f>IF(AND(Projects!$C$21&lt;=CW$4,CW$4&lt;=Projects!$C$21+Projects!$D$21-1),Projects!$B$21/Projects!$D$21,"")</f>
        <v/>
      </c>
      <c r="CX27" s="567">
        <f>IF(AND(Projects!$C$21&lt;=CX$4,CX$4&lt;=Projects!$C$21+Projects!$D$21-1),Projects!$B$21/Projects!$D$21,"")</f>
        <v/>
      </c>
      <c r="CY27" s="567">
        <f>IF(AND(Projects!$C$21&lt;=CY$4,CY$4&lt;=Projects!$C$21+Projects!$D$21-1),Projects!$B$21/Projects!$D$21,"")</f>
        <v/>
      </c>
      <c r="CZ27" s="567">
        <f>IF(AND(Projects!$C$21&lt;=CZ$4,CZ$4&lt;=Projects!$C$21+Projects!$D$21-1),Projects!$B$21/Projects!$D$21,"")</f>
        <v/>
      </c>
      <c r="DA27" s="567">
        <f>IF(AND(Projects!$C$21&lt;=DA$4,DA$4&lt;=Projects!$C$21+Projects!$D$21-1),Projects!$B$21/Projects!$D$21,"")</f>
        <v/>
      </c>
      <c r="DB27" s="567">
        <f>IF(AND(Projects!$C$21&lt;=DB$4,DB$4&lt;=Projects!$C$21+Projects!$D$21-1),Projects!$B$21/Projects!$D$21,"")</f>
        <v/>
      </c>
    </row>
    <row r="28" ht="15" customFormat="1" customHeight="1" s="380">
      <c r="A28" s="563" t="inlineStr">
        <is>
          <t>BD-06</t>
        </is>
      </c>
      <c r="B28" s="564">
        <f>Projects!$B$22</f>
        <v/>
      </c>
      <c r="C28" s="565">
        <f>EDATE(Model!$E$2,Projects!$C$22-1)</f>
        <v/>
      </c>
      <c r="D28" s="565">
        <f>EDATE(Model!$E$2,Projects!$C$22+Projects!$D$22-2)</f>
        <v/>
      </c>
      <c r="E28" s="566">
        <f>Projects!$D$22</f>
        <v/>
      </c>
      <c r="F28" s="564">
        <f>Projects!$B$22/Projects!$D$22</f>
        <v/>
      </c>
      <c r="G28" s="567">
        <f>IF(AND(Projects!$C$22&lt;=G$4,G$4&lt;=Projects!$C$22+Projects!$D$22-1),Projects!$B$22/Projects!$D$22,"")</f>
        <v/>
      </c>
      <c r="H28" s="567">
        <f>IF(AND(Projects!$C$22&lt;=H$4,H$4&lt;=Projects!$C$22+Projects!$D$22-1),Projects!$B$22/Projects!$D$22,"")</f>
        <v/>
      </c>
      <c r="I28" s="567">
        <f>IF(AND(Projects!$C$22&lt;=I$4,I$4&lt;=Projects!$C$22+Projects!$D$22-1),Projects!$B$22/Projects!$D$22,"")</f>
        <v/>
      </c>
      <c r="J28" s="567">
        <f>IF(AND(Projects!$C$22&lt;=J$4,J$4&lt;=Projects!$C$22+Projects!$D$22-1),Projects!$B$22/Projects!$D$22,"")</f>
        <v/>
      </c>
      <c r="K28" s="567">
        <f>IF(AND(Projects!$C$22&lt;=K$4,K$4&lt;=Projects!$C$22+Projects!$D$22-1),Projects!$B$22/Projects!$D$22,"")</f>
        <v/>
      </c>
      <c r="L28" s="567">
        <f>IF(AND(Projects!$C$22&lt;=L$4,L$4&lt;=Projects!$C$22+Projects!$D$22-1),Projects!$B$22/Projects!$D$22,"")</f>
        <v/>
      </c>
      <c r="M28" s="567">
        <f>IF(AND(Projects!$C$22&lt;=M$4,M$4&lt;=Projects!$C$22+Projects!$D$22-1),Projects!$B$22/Projects!$D$22,"")</f>
        <v/>
      </c>
      <c r="N28" s="567">
        <f>IF(AND(Projects!$C$22&lt;=N$4,N$4&lt;=Projects!$C$22+Projects!$D$22-1),Projects!$B$22/Projects!$D$22,"")</f>
        <v/>
      </c>
      <c r="O28" s="567">
        <f>IF(AND(Projects!$C$22&lt;=O$4,O$4&lt;=Projects!$C$22+Projects!$D$22-1),Projects!$B$22/Projects!$D$22,"")</f>
        <v/>
      </c>
      <c r="P28" s="567">
        <f>IF(AND(Projects!$C$22&lt;=P$4,P$4&lt;=Projects!$C$22+Projects!$D$22-1),Projects!$B$22/Projects!$D$22,"")</f>
        <v/>
      </c>
      <c r="Q28" s="567">
        <f>IF(AND(Projects!$C$22&lt;=Q$4,Q$4&lt;=Projects!$C$22+Projects!$D$22-1),Projects!$B$22/Projects!$D$22,"")</f>
        <v/>
      </c>
      <c r="R28" s="567">
        <f>IF(AND(Projects!$C$22&lt;=R$4,R$4&lt;=Projects!$C$22+Projects!$D$22-1),Projects!$B$22/Projects!$D$22,"")</f>
        <v/>
      </c>
      <c r="S28" s="567">
        <f>IF(AND(Projects!$C$22&lt;=S$4,S$4&lt;=Projects!$C$22+Projects!$D$22-1),Projects!$B$22/Projects!$D$22,"")</f>
        <v/>
      </c>
      <c r="T28" s="567">
        <f>IF(AND(Projects!$C$22&lt;=T$4,T$4&lt;=Projects!$C$22+Projects!$D$22-1),Projects!$B$22/Projects!$D$22,"")</f>
        <v/>
      </c>
      <c r="U28" s="567">
        <f>IF(AND(Projects!$C$22&lt;=U$4,U$4&lt;=Projects!$C$22+Projects!$D$22-1),Projects!$B$22/Projects!$D$22,"")</f>
        <v/>
      </c>
      <c r="V28" s="567">
        <f>IF(AND(Projects!$C$22&lt;=V$4,V$4&lt;=Projects!$C$22+Projects!$D$22-1),Projects!$B$22/Projects!$D$22,"")</f>
        <v/>
      </c>
      <c r="W28" s="567">
        <f>IF(AND(Projects!$C$22&lt;=W$4,W$4&lt;=Projects!$C$22+Projects!$D$22-1),Projects!$B$22/Projects!$D$22,"")</f>
        <v/>
      </c>
      <c r="X28" s="567">
        <f>IF(AND(Projects!$C$22&lt;=X$4,X$4&lt;=Projects!$C$22+Projects!$D$22-1),Projects!$B$22/Projects!$D$22,"")</f>
        <v/>
      </c>
      <c r="Y28" s="567">
        <f>IF(AND(Projects!$C$22&lt;=Y$4,Y$4&lt;=Projects!$C$22+Projects!$D$22-1),Projects!$B$22/Projects!$D$22,"")</f>
        <v/>
      </c>
      <c r="Z28" s="567">
        <f>IF(AND(Projects!$C$22&lt;=Z$4,Z$4&lt;=Projects!$C$22+Projects!$D$22-1),Projects!$B$22/Projects!$D$22,"")</f>
        <v/>
      </c>
      <c r="AA28" s="567">
        <f>IF(AND(Projects!$C$22&lt;=AA$4,AA$4&lt;=Projects!$C$22+Projects!$D$22-1),Projects!$B$22/Projects!$D$22,"")</f>
        <v/>
      </c>
      <c r="AB28" s="567">
        <f>IF(AND(Projects!$C$22&lt;=AB$4,AB$4&lt;=Projects!$C$22+Projects!$D$22-1),Projects!$B$22/Projects!$D$22,"")</f>
        <v/>
      </c>
      <c r="AC28" s="567">
        <f>IF(AND(Projects!$C$22&lt;=AC$4,AC$4&lt;=Projects!$C$22+Projects!$D$22-1),Projects!$B$22/Projects!$D$22,"")</f>
        <v/>
      </c>
      <c r="AD28" s="567">
        <f>IF(AND(Projects!$C$22&lt;=AD$4,AD$4&lt;=Projects!$C$22+Projects!$D$22-1),Projects!$B$22/Projects!$D$22,"")</f>
        <v/>
      </c>
      <c r="AE28" s="567">
        <f>IF(AND(Projects!$C$22&lt;=AE$4,AE$4&lt;=Projects!$C$22+Projects!$D$22-1),Projects!$B$22/Projects!$D$22,"")</f>
        <v/>
      </c>
      <c r="AF28" s="567">
        <f>IF(AND(Projects!$C$22&lt;=AF$4,AF$4&lt;=Projects!$C$22+Projects!$D$22-1),Projects!$B$22/Projects!$D$22,"")</f>
        <v/>
      </c>
      <c r="AG28" s="567">
        <f>IF(AND(Projects!$C$22&lt;=AG$4,AG$4&lt;=Projects!$C$22+Projects!$D$22-1),Projects!$B$22/Projects!$D$22,"")</f>
        <v/>
      </c>
      <c r="AH28" s="567">
        <f>IF(AND(Projects!$C$22&lt;=AH$4,AH$4&lt;=Projects!$C$22+Projects!$D$22-1),Projects!$B$22/Projects!$D$22,"")</f>
        <v/>
      </c>
      <c r="AI28" s="567">
        <f>IF(AND(Projects!$C$22&lt;=AI$4,AI$4&lt;=Projects!$C$22+Projects!$D$22-1),Projects!$B$22/Projects!$D$22,"")</f>
        <v/>
      </c>
      <c r="AJ28" s="567">
        <f>IF(AND(Projects!$C$22&lt;=AJ$4,AJ$4&lt;=Projects!$C$22+Projects!$D$22-1),Projects!$B$22/Projects!$D$22,"")</f>
        <v/>
      </c>
      <c r="AK28" s="567">
        <f>IF(AND(Projects!$C$22&lt;=AK$4,AK$4&lt;=Projects!$C$22+Projects!$D$22-1),Projects!$B$22/Projects!$D$22,"")</f>
        <v/>
      </c>
      <c r="AL28" s="567">
        <f>IF(AND(Projects!$C$22&lt;=AL$4,AL$4&lt;=Projects!$C$22+Projects!$D$22-1),Projects!$B$22/Projects!$D$22,"")</f>
        <v/>
      </c>
      <c r="AM28" s="567">
        <f>IF(AND(Projects!$C$22&lt;=AM$4,AM$4&lt;=Projects!$C$22+Projects!$D$22-1),Projects!$B$22/Projects!$D$22,"")</f>
        <v/>
      </c>
      <c r="AN28" s="567">
        <f>IF(AND(Projects!$C$22&lt;=AN$4,AN$4&lt;=Projects!$C$22+Projects!$D$22-1),Projects!$B$22/Projects!$D$22,"")</f>
        <v/>
      </c>
      <c r="AO28" s="567">
        <f>IF(AND(Projects!$C$22&lt;=AO$4,AO$4&lt;=Projects!$C$22+Projects!$D$22-1),Projects!$B$22/Projects!$D$22,"")</f>
        <v/>
      </c>
      <c r="AP28" s="567">
        <f>IF(AND(Projects!$C$22&lt;=AP$4,AP$4&lt;=Projects!$C$22+Projects!$D$22-1),Projects!$B$22/Projects!$D$22,"")</f>
        <v/>
      </c>
      <c r="AQ28" s="567">
        <f>IF(AND(Projects!$C$22&lt;=AQ$4,AQ$4&lt;=Projects!$C$22+Projects!$D$22-1),Projects!$B$22/Projects!$D$22,"")</f>
        <v/>
      </c>
      <c r="AR28" s="567">
        <f>IF(AND(Projects!$C$22&lt;=AR$4,AR$4&lt;=Projects!$C$22+Projects!$D$22-1),Projects!$B$22/Projects!$D$22,"")</f>
        <v/>
      </c>
      <c r="AS28" s="567">
        <f>IF(AND(Projects!$C$22&lt;=AS$4,AS$4&lt;=Projects!$C$22+Projects!$D$22-1),Projects!$B$22/Projects!$D$22,"")</f>
        <v/>
      </c>
      <c r="AT28" s="567">
        <f>IF(AND(Projects!$C$22&lt;=AT$4,AT$4&lt;=Projects!$C$22+Projects!$D$22-1),Projects!$B$22/Projects!$D$22,"")</f>
        <v/>
      </c>
      <c r="AU28" s="567">
        <f>IF(AND(Projects!$C$22&lt;=AU$4,AU$4&lt;=Projects!$C$22+Projects!$D$22-1),Projects!$B$22/Projects!$D$22,"")</f>
        <v/>
      </c>
      <c r="AV28" s="567">
        <f>IF(AND(Projects!$C$22&lt;=AV$4,AV$4&lt;=Projects!$C$22+Projects!$D$22-1),Projects!$B$22/Projects!$D$22,"")</f>
        <v/>
      </c>
      <c r="AW28" s="567">
        <f>IF(AND(Projects!$C$22&lt;=AW$4,AW$4&lt;=Projects!$C$22+Projects!$D$22-1),Projects!$B$22/Projects!$D$22,"")</f>
        <v/>
      </c>
      <c r="AX28" s="567">
        <f>IF(AND(Projects!$C$22&lt;=AX$4,AX$4&lt;=Projects!$C$22+Projects!$D$22-1),Projects!$B$22/Projects!$D$22,"")</f>
        <v/>
      </c>
      <c r="AY28" s="567">
        <f>IF(AND(Projects!$C$22&lt;=AY$4,AY$4&lt;=Projects!$C$22+Projects!$D$22-1),Projects!$B$22/Projects!$D$22,"")</f>
        <v/>
      </c>
      <c r="AZ28" s="567">
        <f>IF(AND(Projects!$C$22&lt;=AZ$4,AZ$4&lt;=Projects!$C$22+Projects!$D$22-1),Projects!$B$22/Projects!$D$22,"")</f>
        <v/>
      </c>
      <c r="BA28" s="567">
        <f>IF(AND(Projects!$C$22&lt;=BA$4,BA$4&lt;=Projects!$C$22+Projects!$D$22-1),Projects!$B$22/Projects!$D$22,"")</f>
        <v/>
      </c>
      <c r="BB28" s="567">
        <f>IF(AND(Projects!$C$22&lt;=BB$4,BB$4&lt;=Projects!$C$22+Projects!$D$22-1),Projects!$B$22/Projects!$D$22,"")</f>
        <v/>
      </c>
      <c r="BC28" s="567">
        <f>IF(AND(Projects!$C$22&lt;=BC$4,BC$4&lt;=Projects!$C$22+Projects!$D$22-1),Projects!$B$22/Projects!$D$22,"")</f>
        <v/>
      </c>
      <c r="BD28" s="567">
        <f>IF(AND(Projects!$C$22&lt;=BD$4,BD$4&lt;=Projects!$C$22+Projects!$D$22-1),Projects!$B$22/Projects!$D$22,"")</f>
        <v/>
      </c>
      <c r="BE28" s="567">
        <f>IF(AND(Projects!$C$22&lt;=BE$4,BE$4&lt;=Projects!$C$22+Projects!$D$22-1),Projects!$B$22/Projects!$D$22,"")</f>
        <v/>
      </c>
      <c r="BF28" s="567">
        <f>IF(AND(Projects!$C$22&lt;=BF$4,BF$4&lt;=Projects!$C$22+Projects!$D$22-1),Projects!$B$22/Projects!$D$22,"")</f>
        <v/>
      </c>
      <c r="BG28" s="567">
        <f>IF(AND(Projects!$C$22&lt;=BG$4,BG$4&lt;=Projects!$C$22+Projects!$D$22-1),Projects!$B$22/Projects!$D$22,"")</f>
        <v/>
      </c>
      <c r="BH28" s="567">
        <f>IF(AND(Projects!$C$22&lt;=BH$4,BH$4&lt;=Projects!$C$22+Projects!$D$22-1),Projects!$B$22/Projects!$D$22,"")</f>
        <v/>
      </c>
      <c r="BI28" s="567">
        <f>IF(AND(Projects!$C$22&lt;=BI$4,BI$4&lt;=Projects!$C$22+Projects!$D$22-1),Projects!$B$22/Projects!$D$22,"")</f>
        <v/>
      </c>
      <c r="BJ28" s="567">
        <f>IF(AND(Projects!$C$22&lt;=BJ$4,BJ$4&lt;=Projects!$C$22+Projects!$D$22-1),Projects!$B$22/Projects!$D$22,"")</f>
        <v/>
      </c>
      <c r="BK28" s="567">
        <f>IF(AND(Projects!$C$22&lt;=BK$4,BK$4&lt;=Projects!$C$22+Projects!$D$22-1),Projects!$B$22/Projects!$D$22,"")</f>
        <v/>
      </c>
      <c r="BL28" s="567">
        <f>IF(AND(Projects!$C$22&lt;=BL$4,BL$4&lt;=Projects!$C$22+Projects!$D$22-1),Projects!$B$22/Projects!$D$22,"")</f>
        <v/>
      </c>
      <c r="BM28" s="567">
        <f>IF(AND(Projects!$C$22&lt;=BM$4,BM$4&lt;=Projects!$C$22+Projects!$D$22-1),Projects!$B$22/Projects!$D$22,"")</f>
        <v/>
      </c>
      <c r="BN28" s="567">
        <f>IF(AND(Projects!$C$22&lt;=BN$4,BN$4&lt;=Projects!$C$22+Projects!$D$22-1),Projects!$B$22/Projects!$D$22,"")</f>
        <v/>
      </c>
      <c r="BO28" s="567">
        <f>IF(AND(Projects!$C$22&lt;=BO$4,BO$4&lt;=Projects!$C$22+Projects!$D$22-1),Projects!$B$22/Projects!$D$22,"")</f>
        <v/>
      </c>
      <c r="BP28" s="567">
        <f>IF(AND(Projects!$C$22&lt;=BP$4,BP$4&lt;=Projects!$C$22+Projects!$D$22-1),Projects!$B$22/Projects!$D$22,"")</f>
        <v/>
      </c>
      <c r="BQ28" s="567">
        <f>IF(AND(Projects!$C$22&lt;=BQ$4,BQ$4&lt;=Projects!$C$22+Projects!$D$22-1),Projects!$B$22/Projects!$D$22,"")</f>
        <v/>
      </c>
      <c r="BR28" s="567">
        <f>IF(AND(Projects!$C$22&lt;=BR$4,BR$4&lt;=Projects!$C$22+Projects!$D$22-1),Projects!$B$22/Projects!$D$22,"")</f>
        <v/>
      </c>
      <c r="BS28" s="567">
        <f>IF(AND(Projects!$C$22&lt;=BS$4,BS$4&lt;=Projects!$C$22+Projects!$D$22-1),Projects!$B$22/Projects!$D$22,"")</f>
        <v/>
      </c>
      <c r="BT28" s="567">
        <f>IF(AND(Projects!$C$22&lt;=BT$4,BT$4&lt;=Projects!$C$22+Projects!$D$22-1),Projects!$B$22/Projects!$D$22,"")</f>
        <v/>
      </c>
      <c r="BU28" s="567">
        <f>IF(AND(Projects!$C$22&lt;=BU$4,BU$4&lt;=Projects!$C$22+Projects!$D$22-1),Projects!$B$22/Projects!$D$22,"")</f>
        <v/>
      </c>
      <c r="BV28" s="567">
        <f>IF(AND(Projects!$C$22&lt;=BV$4,BV$4&lt;=Projects!$C$22+Projects!$D$22-1),Projects!$B$22/Projects!$D$22,"")</f>
        <v/>
      </c>
      <c r="BW28" s="567">
        <f>IF(AND(Projects!$C$22&lt;=BW$4,BW$4&lt;=Projects!$C$22+Projects!$D$22-1),Projects!$B$22/Projects!$D$22,"")</f>
        <v/>
      </c>
      <c r="BX28" s="567">
        <f>IF(AND(Projects!$C$22&lt;=BX$4,BX$4&lt;=Projects!$C$22+Projects!$D$22-1),Projects!$B$22/Projects!$D$22,"")</f>
        <v/>
      </c>
      <c r="BY28" s="567">
        <f>IF(AND(Projects!$C$22&lt;=BY$4,BY$4&lt;=Projects!$C$22+Projects!$D$22-1),Projects!$B$22/Projects!$D$22,"")</f>
        <v/>
      </c>
      <c r="BZ28" s="567">
        <f>IF(AND(Projects!$C$22&lt;=BZ$4,BZ$4&lt;=Projects!$C$22+Projects!$D$22-1),Projects!$B$22/Projects!$D$22,"")</f>
        <v/>
      </c>
      <c r="CA28" s="567">
        <f>IF(AND(Projects!$C$22&lt;=CA$4,CA$4&lt;=Projects!$C$22+Projects!$D$22-1),Projects!$B$22/Projects!$D$22,"")</f>
        <v/>
      </c>
      <c r="CB28" s="567">
        <f>IF(AND(Projects!$C$22&lt;=CB$4,CB$4&lt;=Projects!$C$22+Projects!$D$22-1),Projects!$B$22/Projects!$D$22,"")</f>
        <v/>
      </c>
      <c r="CC28" s="567">
        <f>IF(AND(Projects!$C$22&lt;=CC$4,CC$4&lt;=Projects!$C$22+Projects!$D$22-1),Projects!$B$22/Projects!$D$22,"")</f>
        <v/>
      </c>
      <c r="CD28" s="567">
        <f>IF(AND(Projects!$C$22&lt;=CD$4,CD$4&lt;=Projects!$C$22+Projects!$D$22-1),Projects!$B$22/Projects!$D$22,"")</f>
        <v/>
      </c>
      <c r="CE28" s="567">
        <f>IF(AND(Projects!$C$22&lt;=CE$4,CE$4&lt;=Projects!$C$22+Projects!$D$22-1),Projects!$B$22/Projects!$D$22,"")</f>
        <v/>
      </c>
      <c r="CF28" s="567">
        <f>IF(AND(Projects!$C$22&lt;=CF$4,CF$4&lt;=Projects!$C$22+Projects!$D$22-1),Projects!$B$22/Projects!$D$22,"")</f>
        <v/>
      </c>
      <c r="CG28" s="567">
        <f>IF(AND(Projects!$C$22&lt;=CG$4,CG$4&lt;=Projects!$C$22+Projects!$D$22-1),Projects!$B$22/Projects!$D$22,"")</f>
        <v/>
      </c>
      <c r="CH28" s="567">
        <f>IF(AND(Projects!$C$22&lt;=CH$4,CH$4&lt;=Projects!$C$22+Projects!$D$22-1),Projects!$B$22/Projects!$D$22,"")</f>
        <v/>
      </c>
      <c r="CI28" s="567">
        <f>IF(AND(Projects!$C$22&lt;=CI$4,CI$4&lt;=Projects!$C$22+Projects!$D$22-1),Projects!$B$22/Projects!$D$22,"")</f>
        <v/>
      </c>
      <c r="CJ28" s="567">
        <f>IF(AND(Projects!$C$22&lt;=CJ$4,CJ$4&lt;=Projects!$C$22+Projects!$D$22-1),Projects!$B$22/Projects!$D$22,"")</f>
        <v/>
      </c>
      <c r="CK28" s="567">
        <f>IF(AND(Projects!$C$22&lt;=CK$4,CK$4&lt;=Projects!$C$22+Projects!$D$22-1),Projects!$B$22/Projects!$D$22,"")</f>
        <v/>
      </c>
      <c r="CL28" s="567">
        <f>IF(AND(Projects!$C$22&lt;=CL$4,CL$4&lt;=Projects!$C$22+Projects!$D$22-1),Projects!$B$22/Projects!$D$22,"")</f>
        <v/>
      </c>
      <c r="CM28" s="567">
        <f>IF(AND(Projects!$C$22&lt;=CM$4,CM$4&lt;=Projects!$C$22+Projects!$D$22-1),Projects!$B$22/Projects!$D$22,"")</f>
        <v/>
      </c>
      <c r="CN28" s="567">
        <f>IF(AND(Projects!$C$22&lt;=CN$4,CN$4&lt;=Projects!$C$22+Projects!$D$22-1),Projects!$B$22/Projects!$D$22,"")</f>
        <v/>
      </c>
      <c r="CO28" s="567">
        <f>IF(AND(Projects!$C$22&lt;=CO$4,CO$4&lt;=Projects!$C$22+Projects!$D$22-1),Projects!$B$22/Projects!$D$22,"")</f>
        <v/>
      </c>
      <c r="CP28" s="567">
        <f>IF(AND(Projects!$C$22&lt;=CP$4,CP$4&lt;=Projects!$C$22+Projects!$D$22-1),Projects!$B$22/Projects!$D$22,"")</f>
        <v/>
      </c>
      <c r="CQ28" s="567">
        <f>IF(AND(Projects!$C$22&lt;=CQ$4,CQ$4&lt;=Projects!$C$22+Projects!$D$22-1),Projects!$B$22/Projects!$D$22,"")</f>
        <v/>
      </c>
      <c r="CR28" s="567">
        <f>IF(AND(Projects!$C$22&lt;=CR$4,CR$4&lt;=Projects!$C$22+Projects!$D$22-1),Projects!$B$22/Projects!$D$22,"")</f>
        <v/>
      </c>
      <c r="CS28" s="567">
        <f>IF(AND(Projects!$C$22&lt;=CS$4,CS$4&lt;=Projects!$C$22+Projects!$D$22-1),Projects!$B$22/Projects!$D$22,"")</f>
        <v/>
      </c>
      <c r="CT28" s="567">
        <f>IF(AND(Projects!$C$22&lt;=CT$4,CT$4&lt;=Projects!$C$22+Projects!$D$22-1),Projects!$B$22/Projects!$D$22,"")</f>
        <v/>
      </c>
      <c r="CU28" s="567">
        <f>IF(AND(Projects!$C$22&lt;=CU$4,CU$4&lt;=Projects!$C$22+Projects!$D$22-1),Projects!$B$22/Projects!$D$22,"")</f>
        <v/>
      </c>
      <c r="CV28" s="567">
        <f>IF(AND(Projects!$C$22&lt;=CV$4,CV$4&lt;=Projects!$C$22+Projects!$D$22-1),Projects!$B$22/Projects!$D$22,"")</f>
        <v/>
      </c>
      <c r="CW28" s="567">
        <f>IF(AND(Projects!$C$22&lt;=CW$4,CW$4&lt;=Projects!$C$22+Projects!$D$22-1),Projects!$B$22/Projects!$D$22,"")</f>
        <v/>
      </c>
      <c r="CX28" s="567">
        <f>IF(AND(Projects!$C$22&lt;=CX$4,CX$4&lt;=Projects!$C$22+Projects!$D$22-1),Projects!$B$22/Projects!$D$22,"")</f>
        <v/>
      </c>
      <c r="CY28" s="567">
        <f>IF(AND(Projects!$C$22&lt;=CY$4,CY$4&lt;=Projects!$C$22+Projects!$D$22-1),Projects!$B$22/Projects!$D$22,"")</f>
        <v/>
      </c>
      <c r="CZ28" s="567">
        <f>IF(AND(Projects!$C$22&lt;=CZ$4,CZ$4&lt;=Projects!$C$22+Projects!$D$22-1),Projects!$B$22/Projects!$D$22,"")</f>
        <v/>
      </c>
      <c r="DA28" s="567">
        <f>IF(AND(Projects!$C$22&lt;=DA$4,DA$4&lt;=Projects!$C$22+Projects!$D$22-1),Projects!$B$22/Projects!$D$22,"")</f>
        <v/>
      </c>
      <c r="DB28" s="567">
        <f>IF(AND(Projects!$C$22&lt;=DB$4,DB$4&lt;=Projects!$C$22+Projects!$D$22-1),Projects!$B$22/Projects!$D$22,"")</f>
        <v/>
      </c>
    </row>
    <row r="29" ht="15" customFormat="1" customHeight="1" s="380">
      <c r="A29" s="563" t="inlineStr">
        <is>
          <t>BD-07</t>
        </is>
      </c>
      <c r="B29" s="564">
        <f>Projects!$B$23</f>
        <v/>
      </c>
      <c r="C29" s="565">
        <f>EDATE(Model!$E$2,Projects!$C$23-1)</f>
        <v/>
      </c>
      <c r="D29" s="565">
        <f>EDATE(Model!$E$2,Projects!$C$23+Projects!$D$23-2)</f>
        <v/>
      </c>
      <c r="E29" s="566">
        <f>Projects!$D$23</f>
        <v/>
      </c>
      <c r="F29" s="564">
        <f>Projects!$B$23/Projects!$D$23</f>
        <v/>
      </c>
      <c r="G29" s="567">
        <f>IF(AND(Projects!$C$23&lt;=G$4,G$4&lt;=Projects!$C$23+Projects!$D$23-1),Projects!$B$23/Projects!$D$23,"")</f>
        <v/>
      </c>
      <c r="H29" s="567">
        <f>IF(AND(Projects!$C$23&lt;=H$4,H$4&lt;=Projects!$C$23+Projects!$D$23-1),Projects!$B$23/Projects!$D$23,"")</f>
        <v/>
      </c>
      <c r="I29" s="567">
        <f>IF(AND(Projects!$C$23&lt;=I$4,I$4&lt;=Projects!$C$23+Projects!$D$23-1),Projects!$B$23/Projects!$D$23,"")</f>
        <v/>
      </c>
      <c r="J29" s="567">
        <f>IF(AND(Projects!$C$23&lt;=J$4,J$4&lt;=Projects!$C$23+Projects!$D$23-1),Projects!$B$23/Projects!$D$23,"")</f>
        <v/>
      </c>
      <c r="K29" s="567">
        <f>IF(AND(Projects!$C$23&lt;=K$4,K$4&lt;=Projects!$C$23+Projects!$D$23-1),Projects!$B$23/Projects!$D$23,"")</f>
        <v/>
      </c>
      <c r="L29" s="567">
        <f>IF(AND(Projects!$C$23&lt;=L$4,L$4&lt;=Projects!$C$23+Projects!$D$23-1),Projects!$B$23/Projects!$D$23,"")</f>
        <v/>
      </c>
      <c r="M29" s="567">
        <f>IF(AND(Projects!$C$23&lt;=M$4,M$4&lt;=Projects!$C$23+Projects!$D$23-1),Projects!$B$23/Projects!$D$23,"")</f>
        <v/>
      </c>
      <c r="N29" s="567">
        <f>IF(AND(Projects!$C$23&lt;=N$4,N$4&lt;=Projects!$C$23+Projects!$D$23-1),Projects!$B$23/Projects!$D$23,"")</f>
        <v/>
      </c>
      <c r="O29" s="567">
        <f>IF(AND(Projects!$C$23&lt;=O$4,O$4&lt;=Projects!$C$23+Projects!$D$23-1),Projects!$B$23/Projects!$D$23,"")</f>
        <v/>
      </c>
      <c r="P29" s="567">
        <f>IF(AND(Projects!$C$23&lt;=P$4,P$4&lt;=Projects!$C$23+Projects!$D$23-1),Projects!$B$23/Projects!$D$23,"")</f>
        <v/>
      </c>
      <c r="Q29" s="567">
        <f>IF(AND(Projects!$C$23&lt;=Q$4,Q$4&lt;=Projects!$C$23+Projects!$D$23-1),Projects!$B$23/Projects!$D$23,"")</f>
        <v/>
      </c>
      <c r="R29" s="567">
        <f>IF(AND(Projects!$C$23&lt;=R$4,R$4&lt;=Projects!$C$23+Projects!$D$23-1),Projects!$B$23/Projects!$D$23,"")</f>
        <v/>
      </c>
      <c r="S29" s="567">
        <f>IF(AND(Projects!$C$23&lt;=S$4,S$4&lt;=Projects!$C$23+Projects!$D$23-1),Projects!$B$23/Projects!$D$23,"")</f>
        <v/>
      </c>
      <c r="T29" s="567">
        <f>IF(AND(Projects!$C$23&lt;=T$4,T$4&lt;=Projects!$C$23+Projects!$D$23-1),Projects!$B$23/Projects!$D$23,"")</f>
        <v/>
      </c>
      <c r="U29" s="567">
        <f>IF(AND(Projects!$C$23&lt;=U$4,U$4&lt;=Projects!$C$23+Projects!$D$23-1),Projects!$B$23/Projects!$D$23,"")</f>
        <v/>
      </c>
      <c r="V29" s="567">
        <f>IF(AND(Projects!$C$23&lt;=V$4,V$4&lt;=Projects!$C$23+Projects!$D$23-1),Projects!$B$23/Projects!$D$23,"")</f>
        <v/>
      </c>
      <c r="W29" s="567">
        <f>IF(AND(Projects!$C$23&lt;=W$4,W$4&lt;=Projects!$C$23+Projects!$D$23-1),Projects!$B$23/Projects!$D$23,"")</f>
        <v/>
      </c>
      <c r="X29" s="567">
        <f>IF(AND(Projects!$C$23&lt;=X$4,X$4&lt;=Projects!$C$23+Projects!$D$23-1),Projects!$B$23/Projects!$D$23,"")</f>
        <v/>
      </c>
      <c r="Y29" s="567">
        <f>IF(AND(Projects!$C$23&lt;=Y$4,Y$4&lt;=Projects!$C$23+Projects!$D$23-1),Projects!$B$23/Projects!$D$23,"")</f>
        <v/>
      </c>
      <c r="Z29" s="567">
        <f>IF(AND(Projects!$C$23&lt;=Z$4,Z$4&lt;=Projects!$C$23+Projects!$D$23-1),Projects!$B$23/Projects!$D$23,"")</f>
        <v/>
      </c>
      <c r="AA29" s="567">
        <f>IF(AND(Projects!$C$23&lt;=AA$4,AA$4&lt;=Projects!$C$23+Projects!$D$23-1),Projects!$B$23/Projects!$D$23,"")</f>
        <v/>
      </c>
      <c r="AB29" s="567">
        <f>IF(AND(Projects!$C$23&lt;=AB$4,AB$4&lt;=Projects!$C$23+Projects!$D$23-1),Projects!$B$23/Projects!$D$23,"")</f>
        <v/>
      </c>
      <c r="AC29" s="567">
        <f>IF(AND(Projects!$C$23&lt;=AC$4,AC$4&lt;=Projects!$C$23+Projects!$D$23-1),Projects!$B$23/Projects!$D$23,"")</f>
        <v/>
      </c>
      <c r="AD29" s="567">
        <f>IF(AND(Projects!$C$23&lt;=AD$4,AD$4&lt;=Projects!$C$23+Projects!$D$23-1),Projects!$B$23/Projects!$D$23,"")</f>
        <v/>
      </c>
      <c r="AE29" s="567">
        <f>IF(AND(Projects!$C$23&lt;=AE$4,AE$4&lt;=Projects!$C$23+Projects!$D$23-1),Projects!$B$23/Projects!$D$23,"")</f>
        <v/>
      </c>
      <c r="AF29" s="567">
        <f>IF(AND(Projects!$C$23&lt;=AF$4,AF$4&lt;=Projects!$C$23+Projects!$D$23-1),Projects!$B$23/Projects!$D$23,"")</f>
        <v/>
      </c>
      <c r="AG29" s="567">
        <f>IF(AND(Projects!$C$23&lt;=AG$4,AG$4&lt;=Projects!$C$23+Projects!$D$23-1),Projects!$B$23/Projects!$D$23,"")</f>
        <v/>
      </c>
      <c r="AH29" s="567">
        <f>IF(AND(Projects!$C$23&lt;=AH$4,AH$4&lt;=Projects!$C$23+Projects!$D$23-1),Projects!$B$23/Projects!$D$23,"")</f>
        <v/>
      </c>
      <c r="AI29" s="567">
        <f>IF(AND(Projects!$C$23&lt;=AI$4,AI$4&lt;=Projects!$C$23+Projects!$D$23-1),Projects!$B$23/Projects!$D$23,"")</f>
        <v/>
      </c>
      <c r="AJ29" s="567">
        <f>IF(AND(Projects!$C$23&lt;=AJ$4,AJ$4&lt;=Projects!$C$23+Projects!$D$23-1),Projects!$B$23/Projects!$D$23,"")</f>
        <v/>
      </c>
      <c r="AK29" s="567">
        <f>IF(AND(Projects!$C$23&lt;=AK$4,AK$4&lt;=Projects!$C$23+Projects!$D$23-1),Projects!$B$23/Projects!$D$23,"")</f>
        <v/>
      </c>
      <c r="AL29" s="567">
        <f>IF(AND(Projects!$C$23&lt;=AL$4,AL$4&lt;=Projects!$C$23+Projects!$D$23-1),Projects!$B$23/Projects!$D$23,"")</f>
        <v/>
      </c>
      <c r="AM29" s="567">
        <f>IF(AND(Projects!$C$23&lt;=AM$4,AM$4&lt;=Projects!$C$23+Projects!$D$23-1),Projects!$B$23/Projects!$D$23,"")</f>
        <v/>
      </c>
      <c r="AN29" s="567">
        <f>IF(AND(Projects!$C$23&lt;=AN$4,AN$4&lt;=Projects!$C$23+Projects!$D$23-1),Projects!$B$23/Projects!$D$23,"")</f>
        <v/>
      </c>
      <c r="AO29" s="567">
        <f>IF(AND(Projects!$C$23&lt;=AO$4,AO$4&lt;=Projects!$C$23+Projects!$D$23-1),Projects!$B$23/Projects!$D$23,"")</f>
        <v/>
      </c>
      <c r="AP29" s="567">
        <f>IF(AND(Projects!$C$23&lt;=AP$4,AP$4&lt;=Projects!$C$23+Projects!$D$23-1),Projects!$B$23/Projects!$D$23,"")</f>
        <v/>
      </c>
      <c r="AQ29" s="567">
        <f>IF(AND(Projects!$C$23&lt;=AQ$4,AQ$4&lt;=Projects!$C$23+Projects!$D$23-1),Projects!$B$23/Projects!$D$23,"")</f>
        <v/>
      </c>
      <c r="AR29" s="567">
        <f>IF(AND(Projects!$C$23&lt;=AR$4,AR$4&lt;=Projects!$C$23+Projects!$D$23-1),Projects!$B$23/Projects!$D$23,"")</f>
        <v/>
      </c>
      <c r="AS29" s="567">
        <f>IF(AND(Projects!$C$23&lt;=AS$4,AS$4&lt;=Projects!$C$23+Projects!$D$23-1),Projects!$B$23/Projects!$D$23,"")</f>
        <v/>
      </c>
      <c r="AT29" s="567">
        <f>IF(AND(Projects!$C$23&lt;=AT$4,AT$4&lt;=Projects!$C$23+Projects!$D$23-1),Projects!$B$23/Projects!$D$23,"")</f>
        <v/>
      </c>
      <c r="AU29" s="567">
        <f>IF(AND(Projects!$C$23&lt;=AU$4,AU$4&lt;=Projects!$C$23+Projects!$D$23-1),Projects!$B$23/Projects!$D$23,"")</f>
        <v/>
      </c>
      <c r="AV29" s="567">
        <f>IF(AND(Projects!$C$23&lt;=AV$4,AV$4&lt;=Projects!$C$23+Projects!$D$23-1),Projects!$B$23/Projects!$D$23,"")</f>
        <v/>
      </c>
      <c r="AW29" s="567">
        <f>IF(AND(Projects!$C$23&lt;=AW$4,AW$4&lt;=Projects!$C$23+Projects!$D$23-1),Projects!$B$23/Projects!$D$23,"")</f>
        <v/>
      </c>
      <c r="AX29" s="567">
        <f>IF(AND(Projects!$C$23&lt;=AX$4,AX$4&lt;=Projects!$C$23+Projects!$D$23-1),Projects!$B$23/Projects!$D$23,"")</f>
        <v/>
      </c>
      <c r="AY29" s="567">
        <f>IF(AND(Projects!$C$23&lt;=AY$4,AY$4&lt;=Projects!$C$23+Projects!$D$23-1),Projects!$B$23/Projects!$D$23,"")</f>
        <v/>
      </c>
      <c r="AZ29" s="567">
        <f>IF(AND(Projects!$C$23&lt;=AZ$4,AZ$4&lt;=Projects!$C$23+Projects!$D$23-1),Projects!$B$23/Projects!$D$23,"")</f>
        <v/>
      </c>
      <c r="BA29" s="567">
        <f>IF(AND(Projects!$C$23&lt;=BA$4,BA$4&lt;=Projects!$C$23+Projects!$D$23-1),Projects!$B$23/Projects!$D$23,"")</f>
        <v/>
      </c>
      <c r="BB29" s="567">
        <f>IF(AND(Projects!$C$23&lt;=BB$4,BB$4&lt;=Projects!$C$23+Projects!$D$23-1),Projects!$B$23/Projects!$D$23,"")</f>
        <v/>
      </c>
      <c r="BC29" s="567">
        <f>IF(AND(Projects!$C$23&lt;=BC$4,BC$4&lt;=Projects!$C$23+Projects!$D$23-1),Projects!$B$23/Projects!$D$23,"")</f>
        <v/>
      </c>
      <c r="BD29" s="567">
        <f>IF(AND(Projects!$C$23&lt;=BD$4,BD$4&lt;=Projects!$C$23+Projects!$D$23-1),Projects!$B$23/Projects!$D$23,"")</f>
        <v/>
      </c>
      <c r="BE29" s="567">
        <f>IF(AND(Projects!$C$23&lt;=BE$4,BE$4&lt;=Projects!$C$23+Projects!$D$23-1),Projects!$B$23/Projects!$D$23,"")</f>
        <v/>
      </c>
      <c r="BF29" s="567">
        <f>IF(AND(Projects!$C$23&lt;=BF$4,BF$4&lt;=Projects!$C$23+Projects!$D$23-1),Projects!$B$23/Projects!$D$23,"")</f>
        <v/>
      </c>
      <c r="BG29" s="567">
        <f>IF(AND(Projects!$C$23&lt;=BG$4,BG$4&lt;=Projects!$C$23+Projects!$D$23-1),Projects!$B$23/Projects!$D$23,"")</f>
        <v/>
      </c>
      <c r="BH29" s="567">
        <f>IF(AND(Projects!$C$23&lt;=BH$4,BH$4&lt;=Projects!$C$23+Projects!$D$23-1),Projects!$B$23/Projects!$D$23,"")</f>
        <v/>
      </c>
      <c r="BI29" s="567">
        <f>IF(AND(Projects!$C$23&lt;=BI$4,BI$4&lt;=Projects!$C$23+Projects!$D$23-1),Projects!$B$23/Projects!$D$23,"")</f>
        <v/>
      </c>
      <c r="BJ29" s="567">
        <f>IF(AND(Projects!$C$23&lt;=BJ$4,BJ$4&lt;=Projects!$C$23+Projects!$D$23-1),Projects!$B$23/Projects!$D$23,"")</f>
        <v/>
      </c>
      <c r="BK29" s="567">
        <f>IF(AND(Projects!$C$23&lt;=BK$4,BK$4&lt;=Projects!$C$23+Projects!$D$23-1),Projects!$B$23/Projects!$D$23,"")</f>
        <v/>
      </c>
      <c r="BL29" s="567">
        <f>IF(AND(Projects!$C$23&lt;=BL$4,BL$4&lt;=Projects!$C$23+Projects!$D$23-1),Projects!$B$23/Projects!$D$23,"")</f>
        <v/>
      </c>
      <c r="BM29" s="567">
        <f>IF(AND(Projects!$C$23&lt;=BM$4,BM$4&lt;=Projects!$C$23+Projects!$D$23-1),Projects!$B$23/Projects!$D$23,"")</f>
        <v/>
      </c>
      <c r="BN29" s="567">
        <f>IF(AND(Projects!$C$23&lt;=BN$4,BN$4&lt;=Projects!$C$23+Projects!$D$23-1),Projects!$B$23/Projects!$D$23,"")</f>
        <v/>
      </c>
      <c r="BO29" s="567">
        <f>IF(AND(Projects!$C$23&lt;=BO$4,BO$4&lt;=Projects!$C$23+Projects!$D$23-1),Projects!$B$23/Projects!$D$23,"")</f>
        <v/>
      </c>
      <c r="BP29" s="567">
        <f>IF(AND(Projects!$C$23&lt;=BP$4,BP$4&lt;=Projects!$C$23+Projects!$D$23-1),Projects!$B$23/Projects!$D$23,"")</f>
        <v/>
      </c>
      <c r="BQ29" s="567">
        <f>IF(AND(Projects!$C$23&lt;=BQ$4,BQ$4&lt;=Projects!$C$23+Projects!$D$23-1),Projects!$B$23/Projects!$D$23,"")</f>
        <v/>
      </c>
      <c r="BR29" s="567">
        <f>IF(AND(Projects!$C$23&lt;=BR$4,BR$4&lt;=Projects!$C$23+Projects!$D$23-1),Projects!$B$23/Projects!$D$23,"")</f>
        <v/>
      </c>
      <c r="BS29" s="567">
        <f>IF(AND(Projects!$C$23&lt;=BS$4,BS$4&lt;=Projects!$C$23+Projects!$D$23-1),Projects!$B$23/Projects!$D$23,"")</f>
        <v/>
      </c>
      <c r="BT29" s="567">
        <f>IF(AND(Projects!$C$23&lt;=BT$4,BT$4&lt;=Projects!$C$23+Projects!$D$23-1),Projects!$B$23/Projects!$D$23,"")</f>
        <v/>
      </c>
      <c r="BU29" s="567">
        <f>IF(AND(Projects!$C$23&lt;=BU$4,BU$4&lt;=Projects!$C$23+Projects!$D$23-1),Projects!$B$23/Projects!$D$23,"")</f>
        <v/>
      </c>
      <c r="BV29" s="567">
        <f>IF(AND(Projects!$C$23&lt;=BV$4,BV$4&lt;=Projects!$C$23+Projects!$D$23-1),Projects!$B$23/Projects!$D$23,"")</f>
        <v/>
      </c>
      <c r="BW29" s="567">
        <f>IF(AND(Projects!$C$23&lt;=BW$4,BW$4&lt;=Projects!$C$23+Projects!$D$23-1),Projects!$B$23/Projects!$D$23,"")</f>
        <v/>
      </c>
      <c r="BX29" s="567">
        <f>IF(AND(Projects!$C$23&lt;=BX$4,BX$4&lt;=Projects!$C$23+Projects!$D$23-1),Projects!$B$23/Projects!$D$23,"")</f>
        <v/>
      </c>
      <c r="BY29" s="567">
        <f>IF(AND(Projects!$C$23&lt;=BY$4,BY$4&lt;=Projects!$C$23+Projects!$D$23-1),Projects!$B$23/Projects!$D$23,"")</f>
        <v/>
      </c>
      <c r="BZ29" s="567">
        <f>IF(AND(Projects!$C$23&lt;=BZ$4,BZ$4&lt;=Projects!$C$23+Projects!$D$23-1),Projects!$B$23/Projects!$D$23,"")</f>
        <v/>
      </c>
      <c r="CA29" s="567">
        <f>IF(AND(Projects!$C$23&lt;=CA$4,CA$4&lt;=Projects!$C$23+Projects!$D$23-1),Projects!$B$23/Projects!$D$23,"")</f>
        <v/>
      </c>
      <c r="CB29" s="567">
        <f>IF(AND(Projects!$C$23&lt;=CB$4,CB$4&lt;=Projects!$C$23+Projects!$D$23-1),Projects!$B$23/Projects!$D$23,"")</f>
        <v/>
      </c>
      <c r="CC29" s="567">
        <f>IF(AND(Projects!$C$23&lt;=CC$4,CC$4&lt;=Projects!$C$23+Projects!$D$23-1),Projects!$B$23/Projects!$D$23,"")</f>
        <v/>
      </c>
      <c r="CD29" s="567">
        <f>IF(AND(Projects!$C$23&lt;=CD$4,CD$4&lt;=Projects!$C$23+Projects!$D$23-1),Projects!$B$23/Projects!$D$23,"")</f>
        <v/>
      </c>
      <c r="CE29" s="567">
        <f>IF(AND(Projects!$C$23&lt;=CE$4,CE$4&lt;=Projects!$C$23+Projects!$D$23-1),Projects!$B$23/Projects!$D$23,"")</f>
        <v/>
      </c>
      <c r="CF29" s="567">
        <f>IF(AND(Projects!$C$23&lt;=CF$4,CF$4&lt;=Projects!$C$23+Projects!$D$23-1),Projects!$B$23/Projects!$D$23,"")</f>
        <v/>
      </c>
      <c r="CG29" s="567">
        <f>IF(AND(Projects!$C$23&lt;=CG$4,CG$4&lt;=Projects!$C$23+Projects!$D$23-1),Projects!$B$23/Projects!$D$23,"")</f>
        <v/>
      </c>
      <c r="CH29" s="567">
        <f>IF(AND(Projects!$C$23&lt;=CH$4,CH$4&lt;=Projects!$C$23+Projects!$D$23-1),Projects!$B$23/Projects!$D$23,"")</f>
        <v/>
      </c>
      <c r="CI29" s="567">
        <f>IF(AND(Projects!$C$23&lt;=CI$4,CI$4&lt;=Projects!$C$23+Projects!$D$23-1),Projects!$B$23/Projects!$D$23,"")</f>
        <v/>
      </c>
      <c r="CJ29" s="567">
        <f>IF(AND(Projects!$C$23&lt;=CJ$4,CJ$4&lt;=Projects!$C$23+Projects!$D$23-1),Projects!$B$23/Projects!$D$23,"")</f>
        <v/>
      </c>
      <c r="CK29" s="567">
        <f>IF(AND(Projects!$C$23&lt;=CK$4,CK$4&lt;=Projects!$C$23+Projects!$D$23-1),Projects!$B$23/Projects!$D$23,"")</f>
        <v/>
      </c>
      <c r="CL29" s="567">
        <f>IF(AND(Projects!$C$23&lt;=CL$4,CL$4&lt;=Projects!$C$23+Projects!$D$23-1),Projects!$B$23/Projects!$D$23,"")</f>
        <v/>
      </c>
      <c r="CM29" s="567">
        <f>IF(AND(Projects!$C$23&lt;=CM$4,CM$4&lt;=Projects!$C$23+Projects!$D$23-1),Projects!$B$23/Projects!$D$23,"")</f>
        <v/>
      </c>
      <c r="CN29" s="567">
        <f>IF(AND(Projects!$C$23&lt;=CN$4,CN$4&lt;=Projects!$C$23+Projects!$D$23-1),Projects!$B$23/Projects!$D$23,"")</f>
        <v/>
      </c>
      <c r="CO29" s="567">
        <f>IF(AND(Projects!$C$23&lt;=CO$4,CO$4&lt;=Projects!$C$23+Projects!$D$23-1),Projects!$B$23/Projects!$D$23,"")</f>
        <v/>
      </c>
      <c r="CP29" s="567">
        <f>IF(AND(Projects!$C$23&lt;=CP$4,CP$4&lt;=Projects!$C$23+Projects!$D$23-1),Projects!$B$23/Projects!$D$23,"")</f>
        <v/>
      </c>
      <c r="CQ29" s="567">
        <f>IF(AND(Projects!$C$23&lt;=CQ$4,CQ$4&lt;=Projects!$C$23+Projects!$D$23-1),Projects!$B$23/Projects!$D$23,"")</f>
        <v/>
      </c>
      <c r="CR29" s="567">
        <f>IF(AND(Projects!$C$23&lt;=CR$4,CR$4&lt;=Projects!$C$23+Projects!$D$23-1),Projects!$B$23/Projects!$D$23,"")</f>
        <v/>
      </c>
      <c r="CS29" s="567">
        <f>IF(AND(Projects!$C$23&lt;=CS$4,CS$4&lt;=Projects!$C$23+Projects!$D$23-1),Projects!$B$23/Projects!$D$23,"")</f>
        <v/>
      </c>
      <c r="CT29" s="567">
        <f>IF(AND(Projects!$C$23&lt;=CT$4,CT$4&lt;=Projects!$C$23+Projects!$D$23-1),Projects!$B$23/Projects!$D$23,"")</f>
        <v/>
      </c>
      <c r="CU29" s="567">
        <f>IF(AND(Projects!$C$23&lt;=CU$4,CU$4&lt;=Projects!$C$23+Projects!$D$23-1),Projects!$B$23/Projects!$D$23,"")</f>
        <v/>
      </c>
      <c r="CV29" s="567">
        <f>IF(AND(Projects!$C$23&lt;=CV$4,CV$4&lt;=Projects!$C$23+Projects!$D$23-1),Projects!$B$23/Projects!$D$23,"")</f>
        <v/>
      </c>
      <c r="CW29" s="567">
        <f>IF(AND(Projects!$C$23&lt;=CW$4,CW$4&lt;=Projects!$C$23+Projects!$D$23-1),Projects!$B$23/Projects!$D$23,"")</f>
        <v/>
      </c>
      <c r="CX29" s="567">
        <f>IF(AND(Projects!$C$23&lt;=CX$4,CX$4&lt;=Projects!$C$23+Projects!$D$23-1),Projects!$B$23/Projects!$D$23,"")</f>
        <v/>
      </c>
      <c r="CY29" s="567">
        <f>IF(AND(Projects!$C$23&lt;=CY$4,CY$4&lt;=Projects!$C$23+Projects!$D$23-1),Projects!$B$23/Projects!$D$23,"")</f>
        <v/>
      </c>
      <c r="CZ29" s="567">
        <f>IF(AND(Projects!$C$23&lt;=CZ$4,CZ$4&lt;=Projects!$C$23+Projects!$D$23-1),Projects!$B$23/Projects!$D$23,"")</f>
        <v/>
      </c>
      <c r="DA29" s="567">
        <f>IF(AND(Projects!$C$23&lt;=DA$4,DA$4&lt;=Projects!$C$23+Projects!$D$23-1),Projects!$B$23/Projects!$D$23,"")</f>
        <v/>
      </c>
      <c r="DB29" s="567">
        <f>IF(AND(Projects!$C$23&lt;=DB$4,DB$4&lt;=Projects!$C$23+Projects!$D$23-1),Projects!$B$23/Projects!$D$23,"")</f>
        <v/>
      </c>
    </row>
    <row r="30" ht="15" customFormat="1" customHeight="1" s="380">
      <c r="A30" s="563" t="inlineStr">
        <is>
          <t>BD-08</t>
        </is>
      </c>
      <c r="B30" s="564">
        <f>Projects!$B$24</f>
        <v/>
      </c>
      <c r="C30" s="565">
        <f>EDATE(Model!$E$2,Projects!$C$24-1)</f>
        <v/>
      </c>
      <c r="D30" s="565">
        <f>EDATE(Model!$E$2,Projects!$C$24+Projects!$D$24-2)</f>
        <v/>
      </c>
      <c r="E30" s="566">
        <f>Projects!$D$24</f>
        <v/>
      </c>
      <c r="F30" s="564">
        <f>Projects!$B$24/Projects!$D$24</f>
        <v/>
      </c>
      <c r="G30" s="567">
        <f>IF(AND(Projects!$C$24&lt;=G$4,G$4&lt;=Projects!$C$24+Projects!$D$24-1),Projects!$B$24/Projects!$D$24,"")</f>
        <v/>
      </c>
      <c r="H30" s="567">
        <f>IF(AND(Projects!$C$24&lt;=H$4,H$4&lt;=Projects!$C$24+Projects!$D$24-1),Projects!$B$24/Projects!$D$24,"")</f>
        <v/>
      </c>
      <c r="I30" s="567">
        <f>IF(AND(Projects!$C$24&lt;=I$4,I$4&lt;=Projects!$C$24+Projects!$D$24-1),Projects!$B$24/Projects!$D$24,"")</f>
        <v/>
      </c>
      <c r="J30" s="567">
        <f>IF(AND(Projects!$C$24&lt;=J$4,J$4&lt;=Projects!$C$24+Projects!$D$24-1),Projects!$B$24/Projects!$D$24,"")</f>
        <v/>
      </c>
      <c r="K30" s="567">
        <f>IF(AND(Projects!$C$24&lt;=K$4,K$4&lt;=Projects!$C$24+Projects!$D$24-1),Projects!$B$24/Projects!$D$24,"")</f>
        <v/>
      </c>
      <c r="L30" s="567">
        <f>IF(AND(Projects!$C$24&lt;=L$4,L$4&lt;=Projects!$C$24+Projects!$D$24-1),Projects!$B$24/Projects!$D$24,"")</f>
        <v/>
      </c>
      <c r="M30" s="567">
        <f>IF(AND(Projects!$C$24&lt;=M$4,M$4&lt;=Projects!$C$24+Projects!$D$24-1),Projects!$B$24/Projects!$D$24,"")</f>
        <v/>
      </c>
      <c r="N30" s="567">
        <f>IF(AND(Projects!$C$24&lt;=N$4,N$4&lt;=Projects!$C$24+Projects!$D$24-1),Projects!$B$24/Projects!$D$24,"")</f>
        <v/>
      </c>
      <c r="O30" s="567">
        <f>IF(AND(Projects!$C$24&lt;=O$4,O$4&lt;=Projects!$C$24+Projects!$D$24-1),Projects!$B$24/Projects!$D$24,"")</f>
        <v/>
      </c>
      <c r="P30" s="567">
        <f>IF(AND(Projects!$C$24&lt;=P$4,P$4&lt;=Projects!$C$24+Projects!$D$24-1),Projects!$B$24/Projects!$D$24,"")</f>
        <v/>
      </c>
      <c r="Q30" s="567">
        <f>IF(AND(Projects!$C$24&lt;=Q$4,Q$4&lt;=Projects!$C$24+Projects!$D$24-1),Projects!$B$24/Projects!$D$24,"")</f>
        <v/>
      </c>
      <c r="R30" s="567">
        <f>IF(AND(Projects!$C$24&lt;=R$4,R$4&lt;=Projects!$C$24+Projects!$D$24-1),Projects!$B$24/Projects!$D$24,"")</f>
        <v/>
      </c>
      <c r="S30" s="567">
        <f>IF(AND(Projects!$C$24&lt;=S$4,S$4&lt;=Projects!$C$24+Projects!$D$24-1),Projects!$B$24/Projects!$D$24,"")</f>
        <v/>
      </c>
      <c r="T30" s="567">
        <f>IF(AND(Projects!$C$24&lt;=T$4,T$4&lt;=Projects!$C$24+Projects!$D$24-1),Projects!$B$24/Projects!$D$24,"")</f>
        <v/>
      </c>
      <c r="U30" s="567">
        <f>IF(AND(Projects!$C$24&lt;=U$4,U$4&lt;=Projects!$C$24+Projects!$D$24-1),Projects!$B$24/Projects!$D$24,"")</f>
        <v/>
      </c>
      <c r="V30" s="567">
        <f>IF(AND(Projects!$C$24&lt;=V$4,V$4&lt;=Projects!$C$24+Projects!$D$24-1),Projects!$B$24/Projects!$D$24,"")</f>
        <v/>
      </c>
      <c r="W30" s="567">
        <f>IF(AND(Projects!$C$24&lt;=W$4,W$4&lt;=Projects!$C$24+Projects!$D$24-1),Projects!$B$24/Projects!$D$24,"")</f>
        <v/>
      </c>
      <c r="X30" s="567">
        <f>IF(AND(Projects!$C$24&lt;=X$4,X$4&lt;=Projects!$C$24+Projects!$D$24-1),Projects!$B$24/Projects!$D$24,"")</f>
        <v/>
      </c>
      <c r="Y30" s="567">
        <f>IF(AND(Projects!$C$24&lt;=Y$4,Y$4&lt;=Projects!$C$24+Projects!$D$24-1),Projects!$B$24/Projects!$D$24,"")</f>
        <v/>
      </c>
      <c r="Z30" s="567">
        <f>IF(AND(Projects!$C$24&lt;=Z$4,Z$4&lt;=Projects!$C$24+Projects!$D$24-1),Projects!$B$24/Projects!$D$24,"")</f>
        <v/>
      </c>
      <c r="AA30" s="567">
        <f>IF(AND(Projects!$C$24&lt;=AA$4,AA$4&lt;=Projects!$C$24+Projects!$D$24-1),Projects!$B$24/Projects!$D$24,"")</f>
        <v/>
      </c>
      <c r="AB30" s="567">
        <f>IF(AND(Projects!$C$24&lt;=AB$4,AB$4&lt;=Projects!$C$24+Projects!$D$24-1),Projects!$B$24/Projects!$D$24,"")</f>
        <v/>
      </c>
      <c r="AC30" s="567">
        <f>IF(AND(Projects!$C$24&lt;=AC$4,AC$4&lt;=Projects!$C$24+Projects!$D$24-1),Projects!$B$24/Projects!$D$24,"")</f>
        <v/>
      </c>
      <c r="AD30" s="567">
        <f>IF(AND(Projects!$C$24&lt;=AD$4,AD$4&lt;=Projects!$C$24+Projects!$D$24-1),Projects!$B$24/Projects!$D$24,"")</f>
        <v/>
      </c>
      <c r="AE30" s="567">
        <f>IF(AND(Projects!$C$24&lt;=AE$4,AE$4&lt;=Projects!$C$24+Projects!$D$24-1),Projects!$B$24/Projects!$D$24,"")</f>
        <v/>
      </c>
      <c r="AF30" s="567">
        <f>IF(AND(Projects!$C$24&lt;=AF$4,AF$4&lt;=Projects!$C$24+Projects!$D$24-1),Projects!$B$24/Projects!$D$24,"")</f>
        <v/>
      </c>
      <c r="AG30" s="567">
        <f>IF(AND(Projects!$C$24&lt;=AG$4,AG$4&lt;=Projects!$C$24+Projects!$D$24-1),Projects!$B$24/Projects!$D$24,"")</f>
        <v/>
      </c>
      <c r="AH30" s="567">
        <f>IF(AND(Projects!$C$24&lt;=AH$4,AH$4&lt;=Projects!$C$24+Projects!$D$24-1),Projects!$B$24/Projects!$D$24,"")</f>
        <v/>
      </c>
      <c r="AI30" s="567">
        <f>IF(AND(Projects!$C$24&lt;=AI$4,AI$4&lt;=Projects!$C$24+Projects!$D$24-1),Projects!$B$24/Projects!$D$24,"")</f>
        <v/>
      </c>
      <c r="AJ30" s="567">
        <f>IF(AND(Projects!$C$24&lt;=AJ$4,AJ$4&lt;=Projects!$C$24+Projects!$D$24-1),Projects!$B$24/Projects!$D$24,"")</f>
        <v/>
      </c>
      <c r="AK30" s="567">
        <f>IF(AND(Projects!$C$24&lt;=AK$4,AK$4&lt;=Projects!$C$24+Projects!$D$24-1),Projects!$B$24/Projects!$D$24,"")</f>
        <v/>
      </c>
      <c r="AL30" s="567">
        <f>IF(AND(Projects!$C$24&lt;=AL$4,AL$4&lt;=Projects!$C$24+Projects!$D$24-1),Projects!$B$24/Projects!$D$24,"")</f>
        <v/>
      </c>
      <c r="AM30" s="567">
        <f>IF(AND(Projects!$C$24&lt;=AM$4,AM$4&lt;=Projects!$C$24+Projects!$D$24-1),Projects!$B$24/Projects!$D$24,"")</f>
        <v/>
      </c>
      <c r="AN30" s="567">
        <f>IF(AND(Projects!$C$24&lt;=AN$4,AN$4&lt;=Projects!$C$24+Projects!$D$24-1),Projects!$B$24/Projects!$D$24,"")</f>
        <v/>
      </c>
      <c r="AO30" s="567">
        <f>IF(AND(Projects!$C$24&lt;=AO$4,AO$4&lt;=Projects!$C$24+Projects!$D$24-1),Projects!$B$24/Projects!$D$24,"")</f>
        <v/>
      </c>
      <c r="AP30" s="567">
        <f>IF(AND(Projects!$C$24&lt;=AP$4,AP$4&lt;=Projects!$C$24+Projects!$D$24-1),Projects!$B$24/Projects!$D$24,"")</f>
        <v/>
      </c>
      <c r="AQ30" s="567">
        <f>IF(AND(Projects!$C$24&lt;=AQ$4,AQ$4&lt;=Projects!$C$24+Projects!$D$24-1),Projects!$B$24/Projects!$D$24,"")</f>
        <v/>
      </c>
      <c r="AR30" s="567">
        <f>IF(AND(Projects!$C$24&lt;=AR$4,AR$4&lt;=Projects!$C$24+Projects!$D$24-1),Projects!$B$24/Projects!$D$24,"")</f>
        <v/>
      </c>
      <c r="AS30" s="567">
        <f>IF(AND(Projects!$C$24&lt;=AS$4,AS$4&lt;=Projects!$C$24+Projects!$D$24-1),Projects!$B$24/Projects!$D$24,"")</f>
        <v/>
      </c>
      <c r="AT30" s="567">
        <f>IF(AND(Projects!$C$24&lt;=AT$4,AT$4&lt;=Projects!$C$24+Projects!$D$24-1),Projects!$B$24/Projects!$D$24,"")</f>
        <v/>
      </c>
      <c r="AU30" s="567">
        <f>IF(AND(Projects!$C$24&lt;=AU$4,AU$4&lt;=Projects!$C$24+Projects!$D$24-1),Projects!$B$24/Projects!$D$24,"")</f>
        <v/>
      </c>
      <c r="AV30" s="567">
        <f>IF(AND(Projects!$C$24&lt;=AV$4,AV$4&lt;=Projects!$C$24+Projects!$D$24-1),Projects!$B$24/Projects!$D$24,"")</f>
        <v/>
      </c>
      <c r="AW30" s="567">
        <f>IF(AND(Projects!$C$24&lt;=AW$4,AW$4&lt;=Projects!$C$24+Projects!$D$24-1),Projects!$B$24/Projects!$D$24,"")</f>
        <v/>
      </c>
      <c r="AX30" s="567">
        <f>IF(AND(Projects!$C$24&lt;=AX$4,AX$4&lt;=Projects!$C$24+Projects!$D$24-1),Projects!$B$24/Projects!$D$24,"")</f>
        <v/>
      </c>
      <c r="AY30" s="567">
        <f>IF(AND(Projects!$C$24&lt;=AY$4,AY$4&lt;=Projects!$C$24+Projects!$D$24-1),Projects!$B$24/Projects!$D$24,"")</f>
        <v/>
      </c>
      <c r="AZ30" s="567">
        <f>IF(AND(Projects!$C$24&lt;=AZ$4,AZ$4&lt;=Projects!$C$24+Projects!$D$24-1),Projects!$B$24/Projects!$D$24,"")</f>
        <v/>
      </c>
      <c r="BA30" s="567">
        <f>IF(AND(Projects!$C$24&lt;=BA$4,BA$4&lt;=Projects!$C$24+Projects!$D$24-1),Projects!$B$24/Projects!$D$24,"")</f>
        <v/>
      </c>
      <c r="BB30" s="567">
        <f>IF(AND(Projects!$C$24&lt;=BB$4,BB$4&lt;=Projects!$C$24+Projects!$D$24-1),Projects!$B$24/Projects!$D$24,"")</f>
        <v/>
      </c>
      <c r="BC30" s="567">
        <f>IF(AND(Projects!$C$24&lt;=BC$4,BC$4&lt;=Projects!$C$24+Projects!$D$24-1),Projects!$B$24/Projects!$D$24,"")</f>
        <v/>
      </c>
      <c r="BD30" s="567">
        <f>IF(AND(Projects!$C$24&lt;=BD$4,BD$4&lt;=Projects!$C$24+Projects!$D$24-1),Projects!$B$24/Projects!$D$24,"")</f>
        <v/>
      </c>
      <c r="BE30" s="567">
        <f>IF(AND(Projects!$C$24&lt;=BE$4,BE$4&lt;=Projects!$C$24+Projects!$D$24-1),Projects!$B$24/Projects!$D$24,"")</f>
        <v/>
      </c>
      <c r="BF30" s="567">
        <f>IF(AND(Projects!$C$24&lt;=BF$4,BF$4&lt;=Projects!$C$24+Projects!$D$24-1),Projects!$B$24/Projects!$D$24,"")</f>
        <v/>
      </c>
      <c r="BG30" s="567">
        <f>IF(AND(Projects!$C$24&lt;=BG$4,BG$4&lt;=Projects!$C$24+Projects!$D$24-1),Projects!$B$24/Projects!$D$24,"")</f>
        <v/>
      </c>
      <c r="BH30" s="567">
        <f>IF(AND(Projects!$C$24&lt;=BH$4,BH$4&lt;=Projects!$C$24+Projects!$D$24-1),Projects!$B$24/Projects!$D$24,"")</f>
        <v/>
      </c>
      <c r="BI30" s="567">
        <f>IF(AND(Projects!$C$24&lt;=BI$4,BI$4&lt;=Projects!$C$24+Projects!$D$24-1),Projects!$B$24/Projects!$D$24,"")</f>
        <v/>
      </c>
      <c r="BJ30" s="567">
        <f>IF(AND(Projects!$C$24&lt;=BJ$4,BJ$4&lt;=Projects!$C$24+Projects!$D$24-1),Projects!$B$24/Projects!$D$24,"")</f>
        <v/>
      </c>
      <c r="BK30" s="567">
        <f>IF(AND(Projects!$C$24&lt;=BK$4,BK$4&lt;=Projects!$C$24+Projects!$D$24-1),Projects!$B$24/Projects!$D$24,"")</f>
        <v/>
      </c>
      <c r="BL30" s="567">
        <f>IF(AND(Projects!$C$24&lt;=BL$4,BL$4&lt;=Projects!$C$24+Projects!$D$24-1),Projects!$B$24/Projects!$D$24,"")</f>
        <v/>
      </c>
      <c r="BM30" s="567">
        <f>IF(AND(Projects!$C$24&lt;=BM$4,BM$4&lt;=Projects!$C$24+Projects!$D$24-1),Projects!$B$24/Projects!$D$24,"")</f>
        <v/>
      </c>
      <c r="BN30" s="567">
        <f>IF(AND(Projects!$C$24&lt;=BN$4,BN$4&lt;=Projects!$C$24+Projects!$D$24-1),Projects!$B$24/Projects!$D$24,"")</f>
        <v/>
      </c>
      <c r="BO30" s="567">
        <f>IF(AND(Projects!$C$24&lt;=BO$4,BO$4&lt;=Projects!$C$24+Projects!$D$24-1),Projects!$B$24/Projects!$D$24,"")</f>
        <v/>
      </c>
      <c r="BP30" s="567">
        <f>IF(AND(Projects!$C$24&lt;=BP$4,BP$4&lt;=Projects!$C$24+Projects!$D$24-1),Projects!$B$24/Projects!$D$24,"")</f>
        <v/>
      </c>
      <c r="BQ30" s="567">
        <f>IF(AND(Projects!$C$24&lt;=BQ$4,BQ$4&lt;=Projects!$C$24+Projects!$D$24-1),Projects!$B$24/Projects!$D$24,"")</f>
        <v/>
      </c>
      <c r="BR30" s="567">
        <f>IF(AND(Projects!$C$24&lt;=BR$4,BR$4&lt;=Projects!$C$24+Projects!$D$24-1),Projects!$B$24/Projects!$D$24,"")</f>
        <v/>
      </c>
      <c r="BS30" s="567">
        <f>IF(AND(Projects!$C$24&lt;=BS$4,BS$4&lt;=Projects!$C$24+Projects!$D$24-1),Projects!$B$24/Projects!$D$24,"")</f>
        <v/>
      </c>
      <c r="BT30" s="567">
        <f>IF(AND(Projects!$C$24&lt;=BT$4,BT$4&lt;=Projects!$C$24+Projects!$D$24-1),Projects!$B$24/Projects!$D$24,"")</f>
        <v/>
      </c>
      <c r="BU30" s="567">
        <f>IF(AND(Projects!$C$24&lt;=BU$4,BU$4&lt;=Projects!$C$24+Projects!$D$24-1),Projects!$B$24/Projects!$D$24,"")</f>
        <v/>
      </c>
      <c r="BV30" s="567">
        <f>IF(AND(Projects!$C$24&lt;=BV$4,BV$4&lt;=Projects!$C$24+Projects!$D$24-1),Projects!$B$24/Projects!$D$24,"")</f>
        <v/>
      </c>
      <c r="BW30" s="567">
        <f>IF(AND(Projects!$C$24&lt;=BW$4,BW$4&lt;=Projects!$C$24+Projects!$D$24-1),Projects!$B$24/Projects!$D$24,"")</f>
        <v/>
      </c>
      <c r="BX30" s="567">
        <f>IF(AND(Projects!$C$24&lt;=BX$4,BX$4&lt;=Projects!$C$24+Projects!$D$24-1),Projects!$B$24/Projects!$D$24,"")</f>
        <v/>
      </c>
      <c r="BY30" s="567">
        <f>IF(AND(Projects!$C$24&lt;=BY$4,BY$4&lt;=Projects!$C$24+Projects!$D$24-1),Projects!$B$24/Projects!$D$24,"")</f>
        <v/>
      </c>
      <c r="BZ30" s="567">
        <f>IF(AND(Projects!$C$24&lt;=BZ$4,BZ$4&lt;=Projects!$C$24+Projects!$D$24-1),Projects!$B$24/Projects!$D$24,"")</f>
        <v/>
      </c>
      <c r="CA30" s="567">
        <f>IF(AND(Projects!$C$24&lt;=CA$4,CA$4&lt;=Projects!$C$24+Projects!$D$24-1),Projects!$B$24/Projects!$D$24,"")</f>
        <v/>
      </c>
      <c r="CB30" s="567">
        <f>IF(AND(Projects!$C$24&lt;=CB$4,CB$4&lt;=Projects!$C$24+Projects!$D$24-1),Projects!$B$24/Projects!$D$24,"")</f>
        <v/>
      </c>
      <c r="CC30" s="567">
        <f>IF(AND(Projects!$C$24&lt;=CC$4,CC$4&lt;=Projects!$C$24+Projects!$D$24-1),Projects!$B$24/Projects!$D$24,"")</f>
        <v/>
      </c>
      <c r="CD30" s="567">
        <f>IF(AND(Projects!$C$24&lt;=CD$4,CD$4&lt;=Projects!$C$24+Projects!$D$24-1),Projects!$B$24/Projects!$D$24,"")</f>
        <v/>
      </c>
      <c r="CE30" s="567">
        <f>IF(AND(Projects!$C$24&lt;=CE$4,CE$4&lt;=Projects!$C$24+Projects!$D$24-1),Projects!$B$24/Projects!$D$24,"")</f>
        <v/>
      </c>
      <c r="CF30" s="567">
        <f>IF(AND(Projects!$C$24&lt;=CF$4,CF$4&lt;=Projects!$C$24+Projects!$D$24-1),Projects!$B$24/Projects!$D$24,"")</f>
        <v/>
      </c>
      <c r="CG30" s="567">
        <f>IF(AND(Projects!$C$24&lt;=CG$4,CG$4&lt;=Projects!$C$24+Projects!$D$24-1),Projects!$B$24/Projects!$D$24,"")</f>
        <v/>
      </c>
      <c r="CH30" s="567">
        <f>IF(AND(Projects!$C$24&lt;=CH$4,CH$4&lt;=Projects!$C$24+Projects!$D$24-1),Projects!$B$24/Projects!$D$24,"")</f>
        <v/>
      </c>
      <c r="CI30" s="567">
        <f>IF(AND(Projects!$C$24&lt;=CI$4,CI$4&lt;=Projects!$C$24+Projects!$D$24-1),Projects!$B$24/Projects!$D$24,"")</f>
        <v/>
      </c>
      <c r="CJ30" s="567">
        <f>IF(AND(Projects!$C$24&lt;=CJ$4,CJ$4&lt;=Projects!$C$24+Projects!$D$24-1),Projects!$B$24/Projects!$D$24,"")</f>
        <v/>
      </c>
      <c r="CK30" s="567">
        <f>IF(AND(Projects!$C$24&lt;=CK$4,CK$4&lt;=Projects!$C$24+Projects!$D$24-1),Projects!$B$24/Projects!$D$24,"")</f>
        <v/>
      </c>
      <c r="CL30" s="567">
        <f>IF(AND(Projects!$C$24&lt;=CL$4,CL$4&lt;=Projects!$C$24+Projects!$D$24-1),Projects!$B$24/Projects!$D$24,"")</f>
        <v/>
      </c>
      <c r="CM30" s="567">
        <f>IF(AND(Projects!$C$24&lt;=CM$4,CM$4&lt;=Projects!$C$24+Projects!$D$24-1),Projects!$B$24/Projects!$D$24,"")</f>
        <v/>
      </c>
      <c r="CN30" s="567">
        <f>IF(AND(Projects!$C$24&lt;=CN$4,CN$4&lt;=Projects!$C$24+Projects!$D$24-1),Projects!$B$24/Projects!$D$24,"")</f>
        <v/>
      </c>
      <c r="CO30" s="567">
        <f>IF(AND(Projects!$C$24&lt;=CO$4,CO$4&lt;=Projects!$C$24+Projects!$D$24-1),Projects!$B$24/Projects!$D$24,"")</f>
        <v/>
      </c>
      <c r="CP30" s="567">
        <f>IF(AND(Projects!$C$24&lt;=CP$4,CP$4&lt;=Projects!$C$24+Projects!$D$24-1),Projects!$B$24/Projects!$D$24,"")</f>
        <v/>
      </c>
      <c r="CQ30" s="567">
        <f>IF(AND(Projects!$C$24&lt;=CQ$4,CQ$4&lt;=Projects!$C$24+Projects!$D$24-1),Projects!$B$24/Projects!$D$24,"")</f>
        <v/>
      </c>
      <c r="CR30" s="567">
        <f>IF(AND(Projects!$C$24&lt;=CR$4,CR$4&lt;=Projects!$C$24+Projects!$D$24-1),Projects!$B$24/Projects!$D$24,"")</f>
        <v/>
      </c>
      <c r="CS30" s="567">
        <f>IF(AND(Projects!$C$24&lt;=CS$4,CS$4&lt;=Projects!$C$24+Projects!$D$24-1),Projects!$B$24/Projects!$D$24,"")</f>
        <v/>
      </c>
      <c r="CT30" s="567">
        <f>IF(AND(Projects!$C$24&lt;=CT$4,CT$4&lt;=Projects!$C$24+Projects!$D$24-1),Projects!$B$24/Projects!$D$24,"")</f>
        <v/>
      </c>
      <c r="CU30" s="567">
        <f>IF(AND(Projects!$C$24&lt;=CU$4,CU$4&lt;=Projects!$C$24+Projects!$D$24-1),Projects!$B$24/Projects!$D$24,"")</f>
        <v/>
      </c>
      <c r="CV30" s="567">
        <f>IF(AND(Projects!$C$24&lt;=CV$4,CV$4&lt;=Projects!$C$24+Projects!$D$24-1),Projects!$B$24/Projects!$D$24,"")</f>
        <v/>
      </c>
      <c r="CW30" s="567">
        <f>IF(AND(Projects!$C$24&lt;=CW$4,CW$4&lt;=Projects!$C$24+Projects!$D$24-1),Projects!$B$24/Projects!$D$24,"")</f>
        <v/>
      </c>
      <c r="CX30" s="567">
        <f>IF(AND(Projects!$C$24&lt;=CX$4,CX$4&lt;=Projects!$C$24+Projects!$D$24-1),Projects!$B$24/Projects!$D$24,"")</f>
        <v/>
      </c>
      <c r="CY30" s="567">
        <f>IF(AND(Projects!$C$24&lt;=CY$4,CY$4&lt;=Projects!$C$24+Projects!$D$24-1),Projects!$B$24/Projects!$D$24,"")</f>
        <v/>
      </c>
      <c r="CZ30" s="567">
        <f>IF(AND(Projects!$C$24&lt;=CZ$4,CZ$4&lt;=Projects!$C$24+Projects!$D$24-1),Projects!$B$24/Projects!$D$24,"")</f>
        <v/>
      </c>
      <c r="DA30" s="567">
        <f>IF(AND(Projects!$C$24&lt;=DA$4,DA$4&lt;=Projects!$C$24+Projects!$D$24-1),Projects!$B$24/Projects!$D$24,"")</f>
        <v/>
      </c>
      <c r="DB30" s="567">
        <f>IF(AND(Projects!$C$24&lt;=DB$4,DB$4&lt;=Projects!$C$24+Projects!$D$24-1),Projects!$B$24/Projects!$D$24,"")</f>
        <v/>
      </c>
    </row>
    <row r="31" ht="15" customFormat="1" customHeight="1" s="380">
      <c r="A31" s="563" t="inlineStr">
        <is>
          <t>BD-09</t>
        </is>
      </c>
      <c r="B31" s="564">
        <f>Projects!$B$25</f>
        <v/>
      </c>
      <c r="C31" s="565">
        <f>EDATE(Model!$E$2,Projects!$C$25-1)</f>
        <v/>
      </c>
      <c r="D31" s="565">
        <f>EDATE(Model!$E$2,Projects!$C$25+Projects!$D$25-2)</f>
        <v/>
      </c>
      <c r="E31" s="566">
        <f>Projects!$D$25</f>
        <v/>
      </c>
      <c r="F31" s="564">
        <f>Projects!$B$25/Projects!$D$25</f>
        <v/>
      </c>
      <c r="G31" s="567">
        <f>IF(AND(Projects!$C$25&lt;=G$4,G$4&lt;=Projects!$C$25+Projects!$D$25-1),Projects!$B$25/Projects!$D$25,"")</f>
        <v/>
      </c>
      <c r="H31" s="567">
        <f>IF(AND(Projects!$C$25&lt;=H$4,H$4&lt;=Projects!$C$25+Projects!$D$25-1),Projects!$B$25/Projects!$D$25,"")</f>
        <v/>
      </c>
      <c r="I31" s="567">
        <f>IF(AND(Projects!$C$25&lt;=I$4,I$4&lt;=Projects!$C$25+Projects!$D$25-1),Projects!$B$25/Projects!$D$25,"")</f>
        <v/>
      </c>
      <c r="J31" s="567">
        <f>IF(AND(Projects!$C$25&lt;=J$4,J$4&lt;=Projects!$C$25+Projects!$D$25-1),Projects!$B$25/Projects!$D$25,"")</f>
        <v/>
      </c>
      <c r="K31" s="567">
        <f>IF(AND(Projects!$C$25&lt;=K$4,K$4&lt;=Projects!$C$25+Projects!$D$25-1),Projects!$B$25/Projects!$D$25,"")</f>
        <v/>
      </c>
      <c r="L31" s="567">
        <f>IF(AND(Projects!$C$25&lt;=L$4,L$4&lt;=Projects!$C$25+Projects!$D$25-1),Projects!$B$25/Projects!$D$25,"")</f>
        <v/>
      </c>
      <c r="M31" s="567">
        <f>IF(AND(Projects!$C$25&lt;=M$4,M$4&lt;=Projects!$C$25+Projects!$D$25-1),Projects!$B$25/Projects!$D$25,"")</f>
        <v/>
      </c>
      <c r="N31" s="567">
        <f>IF(AND(Projects!$C$25&lt;=N$4,N$4&lt;=Projects!$C$25+Projects!$D$25-1),Projects!$B$25/Projects!$D$25,"")</f>
        <v/>
      </c>
      <c r="O31" s="567">
        <f>IF(AND(Projects!$C$25&lt;=O$4,O$4&lt;=Projects!$C$25+Projects!$D$25-1),Projects!$B$25/Projects!$D$25,"")</f>
        <v/>
      </c>
      <c r="P31" s="567">
        <f>IF(AND(Projects!$C$25&lt;=P$4,P$4&lt;=Projects!$C$25+Projects!$D$25-1),Projects!$B$25/Projects!$D$25,"")</f>
        <v/>
      </c>
      <c r="Q31" s="567">
        <f>IF(AND(Projects!$C$25&lt;=Q$4,Q$4&lt;=Projects!$C$25+Projects!$D$25-1),Projects!$B$25/Projects!$D$25,"")</f>
        <v/>
      </c>
      <c r="R31" s="567">
        <f>IF(AND(Projects!$C$25&lt;=R$4,R$4&lt;=Projects!$C$25+Projects!$D$25-1),Projects!$B$25/Projects!$D$25,"")</f>
        <v/>
      </c>
      <c r="S31" s="567">
        <f>IF(AND(Projects!$C$25&lt;=S$4,S$4&lt;=Projects!$C$25+Projects!$D$25-1),Projects!$B$25/Projects!$D$25,"")</f>
        <v/>
      </c>
      <c r="T31" s="567">
        <f>IF(AND(Projects!$C$25&lt;=T$4,T$4&lt;=Projects!$C$25+Projects!$D$25-1),Projects!$B$25/Projects!$D$25,"")</f>
        <v/>
      </c>
      <c r="U31" s="567">
        <f>IF(AND(Projects!$C$25&lt;=U$4,U$4&lt;=Projects!$C$25+Projects!$D$25-1),Projects!$B$25/Projects!$D$25,"")</f>
        <v/>
      </c>
      <c r="V31" s="567">
        <f>IF(AND(Projects!$C$25&lt;=V$4,V$4&lt;=Projects!$C$25+Projects!$D$25-1),Projects!$B$25/Projects!$D$25,"")</f>
        <v/>
      </c>
      <c r="W31" s="567">
        <f>IF(AND(Projects!$C$25&lt;=W$4,W$4&lt;=Projects!$C$25+Projects!$D$25-1),Projects!$B$25/Projects!$D$25,"")</f>
        <v/>
      </c>
      <c r="X31" s="567">
        <f>IF(AND(Projects!$C$25&lt;=X$4,X$4&lt;=Projects!$C$25+Projects!$D$25-1),Projects!$B$25/Projects!$D$25,"")</f>
        <v/>
      </c>
      <c r="Y31" s="567">
        <f>IF(AND(Projects!$C$25&lt;=Y$4,Y$4&lt;=Projects!$C$25+Projects!$D$25-1),Projects!$B$25/Projects!$D$25,"")</f>
        <v/>
      </c>
      <c r="Z31" s="567">
        <f>IF(AND(Projects!$C$25&lt;=Z$4,Z$4&lt;=Projects!$C$25+Projects!$D$25-1),Projects!$B$25/Projects!$D$25,"")</f>
        <v/>
      </c>
      <c r="AA31" s="567">
        <f>IF(AND(Projects!$C$25&lt;=AA$4,AA$4&lt;=Projects!$C$25+Projects!$D$25-1),Projects!$B$25/Projects!$D$25,"")</f>
        <v/>
      </c>
      <c r="AB31" s="567">
        <f>IF(AND(Projects!$C$25&lt;=AB$4,AB$4&lt;=Projects!$C$25+Projects!$D$25-1),Projects!$B$25/Projects!$D$25,"")</f>
        <v/>
      </c>
      <c r="AC31" s="567">
        <f>IF(AND(Projects!$C$25&lt;=AC$4,AC$4&lt;=Projects!$C$25+Projects!$D$25-1),Projects!$B$25/Projects!$D$25,"")</f>
        <v/>
      </c>
      <c r="AD31" s="567">
        <f>IF(AND(Projects!$C$25&lt;=AD$4,AD$4&lt;=Projects!$C$25+Projects!$D$25-1),Projects!$B$25/Projects!$D$25,"")</f>
        <v/>
      </c>
      <c r="AE31" s="567">
        <f>IF(AND(Projects!$C$25&lt;=AE$4,AE$4&lt;=Projects!$C$25+Projects!$D$25-1),Projects!$B$25/Projects!$D$25,"")</f>
        <v/>
      </c>
      <c r="AF31" s="567">
        <f>IF(AND(Projects!$C$25&lt;=AF$4,AF$4&lt;=Projects!$C$25+Projects!$D$25-1),Projects!$B$25/Projects!$D$25,"")</f>
        <v/>
      </c>
      <c r="AG31" s="567">
        <f>IF(AND(Projects!$C$25&lt;=AG$4,AG$4&lt;=Projects!$C$25+Projects!$D$25-1),Projects!$B$25/Projects!$D$25,"")</f>
        <v/>
      </c>
      <c r="AH31" s="567">
        <f>IF(AND(Projects!$C$25&lt;=AH$4,AH$4&lt;=Projects!$C$25+Projects!$D$25-1),Projects!$B$25/Projects!$D$25,"")</f>
        <v/>
      </c>
      <c r="AI31" s="567">
        <f>IF(AND(Projects!$C$25&lt;=AI$4,AI$4&lt;=Projects!$C$25+Projects!$D$25-1),Projects!$B$25/Projects!$D$25,"")</f>
        <v/>
      </c>
      <c r="AJ31" s="567">
        <f>IF(AND(Projects!$C$25&lt;=AJ$4,AJ$4&lt;=Projects!$C$25+Projects!$D$25-1),Projects!$B$25/Projects!$D$25,"")</f>
        <v/>
      </c>
      <c r="AK31" s="567">
        <f>IF(AND(Projects!$C$25&lt;=AK$4,AK$4&lt;=Projects!$C$25+Projects!$D$25-1),Projects!$B$25/Projects!$D$25,"")</f>
        <v/>
      </c>
      <c r="AL31" s="567">
        <f>IF(AND(Projects!$C$25&lt;=AL$4,AL$4&lt;=Projects!$C$25+Projects!$D$25-1),Projects!$B$25/Projects!$D$25,"")</f>
        <v/>
      </c>
      <c r="AM31" s="567">
        <f>IF(AND(Projects!$C$25&lt;=AM$4,AM$4&lt;=Projects!$C$25+Projects!$D$25-1),Projects!$B$25/Projects!$D$25,"")</f>
        <v/>
      </c>
      <c r="AN31" s="567">
        <f>IF(AND(Projects!$C$25&lt;=AN$4,AN$4&lt;=Projects!$C$25+Projects!$D$25-1),Projects!$B$25/Projects!$D$25,"")</f>
        <v/>
      </c>
      <c r="AO31" s="567">
        <f>IF(AND(Projects!$C$25&lt;=AO$4,AO$4&lt;=Projects!$C$25+Projects!$D$25-1),Projects!$B$25/Projects!$D$25,"")</f>
        <v/>
      </c>
      <c r="AP31" s="567">
        <f>IF(AND(Projects!$C$25&lt;=AP$4,AP$4&lt;=Projects!$C$25+Projects!$D$25-1),Projects!$B$25/Projects!$D$25,"")</f>
        <v/>
      </c>
      <c r="AQ31" s="567">
        <f>IF(AND(Projects!$C$25&lt;=AQ$4,AQ$4&lt;=Projects!$C$25+Projects!$D$25-1),Projects!$B$25/Projects!$D$25,"")</f>
        <v/>
      </c>
      <c r="AR31" s="567">
        <f>IF(AND(Projects!$C$25&lt;=AR$4,AR$4&lt;=Projects!$C$25+Projects!$D$25-1),Projects!$B$25/Projects!$D$25,"")</f>
        <v/>
      </c>
      <c r="AS31" s="567">
        <f>IF(AND(Projects!$C$25&lt;=AS$4,AS$4&lt;=Projects!$C$25+Projects!$D$25-1),Projects!$B$25/Projects!$D$25,"")</f>
        <v/>
      </c>
      <c r="AT31" s="567">
        <f>IF(AND(Projects!$C$25&lt;=AT$4,AT$4&lt;=Projects!$C$25+Projects!$D$25-1),Projects!$B$25/Projects!$D$25,"")</f>
        <v/>
      </c>
      <c r="AU31" s="567">
        <f>IF(AND(Projects!$C$25&lt;=AU$4,AU$4&lt;=Projects!$C$25+Projects!$D$25-1),Projects!$B$25/Projects!$D$25,"")</f>
        <v/>
      </c>
      <c r="AV31" s="567">
        <f>IF(AND(Projects!$C$25&lt;=AV$4,AV$4&lt;=Projects!$C$25+Projects!$D$25-1),Projects!$B$25/Projects!$D$25,"")</f>
        <v/>
      </c>
      <c r="AW31" s="567">
        <f>IF(AND(Projects!$C$25&lt;=AW$4,AW$4&lt;=Projects!$C$25+Projects!$D$25-1),Projects!$B$25/Projects!$D$25,"")</f>
        <v/>
      </c>
      <c r="AX31" s="567">
        <f>IF(AND(Projects!$C$25&lt;=AX$4,AX$4&lt;=Projects!$C$25+Projects!$D$25-1),Projects!$B$25/Projects!$D$25,"")</f>
        <v/>
      </c>
      <c r="AY31" s="567">
        <f>IF(AND(Projects!$C$25&lt;=AY$4,AY$4&lt;=Projects!$C$25+Projects!$D$25-1),Projects!$B$25/Projects!$D$25,"")</f>
        <v/>
      </c>
      <c r="AZ31" s="567">
        <f>IF(AND(Projects!$C$25&lt;=AZ$4,AZ$4&lt;=Projects!$C$25+Projects!$D$25-1),Projects!$B$25/Projects!$D$25,"")</f>
        <v/>
      </c>
      <c r="BA31" s="567">
        <f>IF(AND(Projects!$C$25&lt;=BA$4,BA$4&lt;=Projects!$C$25+Projects!$D$25-1),Projects!$B$25/Projects!$D$25,"")</f>
        <v/>
      </c>
      <c r="BB31" s="567">
        <f>IF(AND(Projects!$C$25&lt;=BB$4,BB$4&lt;=Projects!$C$25+Projects!$D$25-1),Projects!$B$25/Projects!$D$25,"")</f>
        <v/>
      </c>
      <c r="BC31" s="567">
        <f>IF(AND(Projects!$C$25&lt;=BC$4,BC$4&lt;=Projects!$C$25+Projects!$D$25-1),Projects!$B$25/Projects!$D$25,"")</f>
        <v/>
      </c>
      <c r="BD31" s="567">
        <f>IF(AND(Projects!$C$25&lt;=BD$4,BD$4&lt;=Projects!$C$25+Projects!$D$25-1),Projects!$B$25/Projects!$D$25,"")</f>
        <v/>
      </c>
      <c r="BE31" s="567">
        <f>IF(AND(Projects!$C$25&lt;=BE$4,BE$4&lt;=Projects!$C$25+Projects!$D$25-1),Projects!$B$25/Projects!$D$25,"")</f>
        <v/>
      </c>
      <c r="BF31" s="567">
        <f>IF(AND(Projects!$C$25&lt;=BF$4,BF$4&lt;=Projects!$C$25+Projects!$D$25-1),Projects!$B$25/Projects!$D$25,"")</f>
        <v/>
      </c>
      <c r="BG31" s="567">
        <f>IF(AND(Projects!$C$25&lt;=BG$4,BG$4&lt;=Projects!$C$25+Projects!$D$25-1),Projects!$B$25/Projects!$D$25,"")</f>
        <v/>
      </c>
      <c r="BH31" s="567">
        <f>IF(AND(Projects!$C$25&lt;=BH$4,BH$4&lt;=Projects!$C$25+Projects!$D$25-1),Projects!$B$25/Projects!$D$25,"")</f>
        <v/>
      </c>
      <c r="BI31" s="567">
        <f>IF(AND(Projects!$C$25&lt;=BI$4,BI$4&lt;=Projects!$C$25+Projects!$D$25-1),Projects!$B$25/Projects!$D$25,"")</f>
        <v/>
      </c>
      <c r="BJ31" s="567">
        <f>IF(AND(Projects!$C$25&lt;=BJ$4,BJ$4&lt;=Projects!$C$25+Projects!$D$25-1),Projects!$B$25/Projects!$D$25,"")</f>
        <v/>
      </c>
      <c r="BK31" s="567">
        <f>IF(AND(Projects!$C$25&lt;=BK$4,BK$4&lt;=Projects!$C$25+Projects!$D$25-1),Projects!$B$25/Projects!$D$25,"")</f>
        <v/>
      </c>
      <c r="BL31" s="567">
        <f>IF(AND(Projects!$C$25&lt;=BL$4,BL$4&lt;=Projects!$C$25+Projects!$D$25-1),Projects!$B$25/Projects!$D$25,"")</f>
        <v/>
      </c>
      <c r="BM31" s="567">
        <f>IF(AND(Projects!$C$25&lt;=BM$4,BM$4&lt;=Projects!$C$25+Projects!$D$25-1),Projects!$B$25/Projects!$D$25,"")</f>
        <v/>
      </c>
      <c r="BN31" s="567">
        <f>IF(AND(Projects!$C$25&lt;=BN$4,BN$4&lt;=Projects!$C$25+Projects!$D$25-1),Projects!$B$25/Projects!$D$25,"")</f>
        <v/>
      </c>
      <c r="BO31" s="567">
        <f>IF(AND(Projects!$C$25&lt;=BO$4,BO$4&lt;=Projects!$C$25+Projects!$D$25-1),Projects!$B$25/Projects!$D$25,"")</f>
        <v/>
      </c>
      <c r="BP31" s="567">
        <f>IF(AND(Projects!$C$25&lt;=BP$4,BP$4&lt;=Projects!$C$25+Projects!$D$25-1),Projects!$B$25/Projects!$D$25,"")</f>
        <v/>
      </c>
      <c r="BQ31" s="567">
        <f>IF(AND(Projects!$C$25&lt;=BQ$4,BQ$4&lt;=Projects!$C$25+Projects!$D$25-1),Projects!$B$25/Projects!$D$25,"")</f>
        <v/>
      </c>
      <c r="BR31" s="567">
        <f>IF(AND(Projects!$C$25&lt;=BR$4,BR$4&lt;=Projects!$C$25+Projects!$D$25-1),Projects!$B$25/Projects!$D$25,"")</f>
        <v/>
      </c>
      <c r="BS31" s="567">
        <f>IF(AND(Projects!$C$25&lt;=BS$4,BS$4&lt;=Projects!$C$25+Projects!$D$25-1),Projects!$B$25/Projects!$D$25,"")</f>
        <v/>
      </c>
      <c r="BT31" s="567">
        <f>IF(AND(Projects!$C$25&lt;=BT$4,BT$4&lt;=Projects!$C$25+Projects!$D$25-1),Projects!$B$25/Projects!$D$25,"")</f>
        <v/>
      </c>
      <c r="BU31" s="567">
        <f>IF(AND(Projects!$C$25&lt;=BU$4,BU$4&lt;=Projects!$C$25+Projects!$D$25-1),Projects!$B$25/Projects!$D$25,"")</f>
        <v/>
      </c>
      <c r="BV31" s="567">
        <f>IF(AND(Projects!$C$25&lt;=BV$4,BV$4&lt;=Projects!$C$25+Projects!$D$25-1),Projects!$B$25/Projects!$D$25,"")</f>
        <v/>
      </c>
      <c r="BW31" s="567">
        <f>IF(AND(Projects!$C$25&lt;=BW$4,BW$4&lt;=Projects!$C$25+Projects!$D$25-1),Projects!$B$25/Projects!$D$25,"")</f>
        <v/>
      </c>
      <c r="BX31" s="567">
        <f>IF(AND(Projects!$C$25&lt;=BX$4,BX$4&lt;=Projects!$C$25+Projects!$D$25-1),Projects!$B$25/Projects!$D$25,"")</f>
        <v/>
      </c>
      <c r="BY31" s="567">
        <f>IF(AND(Projects!$C$25&lt;=BY$4,BY$4&lt;=Projects!$C$25+Projects!$D$25-1),Projects!$B$25/Projects!$D$25,"")</f>
        <v/>
      </c>
      <c r="BZ31" s="567">
        <f>IF(AND(Projects!$C$25&lt;=BZ$4,BZ$4&lt;=Projects!$C$25+Projects!$D$25-1),Projects!$B$25/Projects!$D$25,"")</f>
        <v/>
      </c>
      <c r="CA31" s="567">
        <f>IF(AND(Projects!$C$25&lt;=CA$4,CA$4&lt;=Projects!$C$25+Projects!$D$25-1),Projects!$B$25/Projects!$D$25,"")</f>
        <v/>
      </c>
      <c r="CB31" s="567">
        <f>IF(AND(Projects!$C$25&lt;=CB$4,CB$4&lt;=Projects!$C$25+Projects!$D$25-1),Projects!$B$25/Projects!$D$25,"")</f>
        <v/>
      </c>
      <c r="CC31" s="567">
        <f>IF(AND(Projects!$C$25&lt;=CC$4,CC$4&lt;=Projects!$C$25+Projects!$D$25-1),Projects!$B$25/Projects!$D$25,"")</f>
        <v/>
      </c>
      <c r="CD31" s="567">
        <f>IF(AND(Projects!$C$25&lt;=CD$4,CD$4&lt;=Projects!$C$25+Projects!$D$25-1),Projects!$B$25/Projects!$D$25,"")</f>
        <v/>
      </c>
      <c r="CE31" s="567">
        <f>IF(AND(Projects!$C$25&lt;=CE$4,CE$4&lt;=Projects!$C$25+Projects!$D$25-1),Projects!$B$25/Projects!$D$25,"")</f>
        <v/>
      </c>
      <c r="CF31" s="567">
        <f>IF(AND(Projects!$C$25&lt;=CF$4,CF$4&lt;=Projects!$C$25+Projects!$D$25-1),Projects!$B$25/Projects!$D$25,"")</f>
        <v/>
      </c>
      <c r="CG31" s="567">
        <f>IF(AND(Projects!$C$25&lt;=CG$4,CG$4&lt;=Projects!$C$25+Projects!$D$25-1),Projects!$B$25/Projects!$D$25,"")</f>
        <v/>
      </c>
      <c r="CH31" s="567">
        <f>IF(AND(Projects!$C$25&lt;=CH$4,CH$4&lt;=Projects!$C$25+Projects!$D$25-1),Projects!$B$25/Projects!$D$25,"")</f>
        <v/>
      </c>
      <c r="CI31" s="567">
        <f>IF(AND(Projects!$C$25&lt;=CI$4,CI$4&lt;=Projects!$C$25+Projects!$D$25-1),Projects!$B$25/Projects!$D$25,"")</f>
        <v/>
      </c>
      <c r="CJ31" s="567">
        <f>IF(AND(Projects!$C$25&lt;=CJ$4,CJ$4&lt;=Projects!$C$25+Projects!$D$25-1),Projects!$B$25/Projects!$D$25,"")</f>
        <v/>
      </c>
      <c r="CK31" s="567">
        <f>IF(AND(Projects!$C$25&lt;=CK$4,CK$4&lt;=Projects!$C$25+Projects!$D$25-1),Projects!$B$25/Projects!$D$25,"")</f>
        <v/>
      </c>
      <c r="CL31" s="567">
        <f>IF(AND(Projects!$C$25&lt;=CL$4,CL$4&lt;=Projects!$C$25+Projects!$D$25-1),Projects!$B$25/Projects!$D$25,"")</f>
        <v/>
      </c>
      <c r="CM31" s="567">
        <f>IF(AND(Projects!$C$25&lt;=CM$4,CM$4&lt;=Projects!$C$25+Projects!$D$25-1),Projects!$B$25/Projects!$D$25,"")</f>
        <v/>
      </c>
      <c r="CN31" s="567">
        <f>IF(AND(Projects!$C$25&lt;=CN$4,CN$4&lt;=Projects!$C$25+Projects!$D$25-1),Projects!$B$25/Projects!$D$25,"")</f>
        <v/>
      </c>
      <c r="CO31" s="567">
        <f>IF(AND(Projects!$C$25&lt;=CO$4,CO$4&lt;=Projects!$C$25+Projects!$D$25-1),Projects!$B$25/Projects!$D$25,"")</f>
        <v/>
      </c>
      <c r="CP31" s="567">
        <f>IF(AND(Projects!$C$25&lt;=CP$4,CP$4&lt;=Projects!$C$25+Projects!$D$25-1),Projects!$B$25/Projects!$D$25,"")</f>
        <v/>
      </c>
      <c r="CQ31" s="567">
        <f>IF(AND(Projects!$C$25&lt;=CQ$4,CQ$4&lt;=Projects!$C$25+Projects!$D$25-1),Projects!$B$25/Projects!$D$25,"")</f>
        <v/>
      </c>
      <c r="CR31" s="567">
        <f>IF(AND(Projects!$C$25&lt;=CR$4,CR$4&lt;=Projects!$C$25+Projects!$D$25-1),Projects!$B$25/Projects!$D$25,"")</f>
        <v/>
      </c>
      <c r="CS31" s="567">
        <f>IF(AND(Projects!$C$25&lt;=CS$4,CS$4&lt;=Projects!$C$25+Projects!$D$25-1),Projects!$B$25/Projects!$D$25,"")</f>
        <v/>
      </c>
      <c r="CT31" s="567">
        <f>IF(AND(Projects!$C$25&lt;=CT$4,CT$4&lt;=Projects!$C$25+Projects!$D$25-1),Projects!$B$25/Projects!$D$25,"")</f>
        <v/>
      </c>
      <c r="CU31" s="567">
        <f>IF(AND(Projects!$C$25&lt;=CU$4,CU$4&lt;=Projects!$C$25+Projects!$D$25-1),Projects!$B$25/Projects!$D$25,"")</f>
        <v/>
      </c>
      <c r="CV31" s="567">
        <f>IF(AND(Projects!$C$25&lt;=CV$4,CV$4&lt;=Projects!$C$25+Projects!$D$25-1),Projects!$B$25/Projects!$D$25,"")</f>
        <v/>
      </c>
      <c r="CW31" s="567">
        <f>IF(AND(Projects!$C$25&lt;=CW$4,CW$4&lt;=Projects!$C$25+Projects!$D$25-1),Projects!$B$25/Projects!$D$25,"")</f>
        <v/>
      </c>
      <c r="CX31" s="567">
        <f>IF(AND(Projects!$C$25&lt;=CX$4,CX$4&lt;=Projects!$C$25+Projects!$D$25-1),Projects!$B$25/Projects!$D$25,"")</f>
        <v/>
      </c>
      <c r="CY31" s="567">
        <f>IF(AND(Projects!$C$25&lt;=CY$4,CY$4&lt;=Projects!$C$25+Projects!$D$25-1),Projects!$B$25/Projects!$D$25,"")</f>
        <v/>
      </c>
      <c r="CZ31" s="567">
        <f>IF(AND(Projects!$C$25&lt;=CZ$4,CZ$4&lt;=Projects!$C$25+Projects!$D$25-1),Projects!$B$25/Projects!$D$25,"")</f>
        <v/>
      </c>
      <c r="DA31" s="567">
        <f>IF(AND(Projects!$C$25&lt;=DA$4,DA$4&lt;=Projects!$C$25+Projects!$D$25-1),Projects!$B$25/Projects!$D$25,"")</f>
        <v/>
      </c>
      <c r="DB31" s="567">
        <f>IF(AND(Projects!$C$25&lt;=DB$4,DB$4&lt;=Projects!$C$25+Projects!$D$25-1),Projects!$B$25/Projects!$D$25,"")</f>
        <v/>
      </c>
    </row>
    <row r="32" ht="15" customFormat="1" customHeight="1" s="380">
      <c r="A32" s="563" t="inlineStr">
        <is>
          <t>BD-13</t>
        </is>
      </c>
      <c r="B32" s="564">
        <f>Projects!$B$29</f>
        <v/>
      </c>
      <c r="C32" s="565">
        <f>EDATE(Model!$E$2,Projects!$C$29-1)</f>
        <v/>
      </c>
      <c r="D32" s="565">
        <f>EDATE(Model!$E$2,Projects!$C$29+Projects!$D$29-2)</f>
        <v/>
      </c>
      <c r="E32" s="566">
        <f>Projects!$D$29</f>
        <v/>
      </c>
      <c r="F32" s="564">
        <f>Projects!$B$29/Projects!$D$29</f>
        <v/>
      </c>
      <c r="G32" s="567">
        <f>IF(AND(Projects!$C$29&lt;=G$4,G$4&lt;=Projects!$C$29+Projects!$D$29-1),Projects!$B$29/Projects!$D$29,"")</f>
        <v/>
      </c>
      <c r="H32" s="567">
        <f>IF(AND(Projects!$C$29&lt;=H$4,H$4&lt;=Projects!$C$29+Projects!$D$29-1),Projects!$B$29/Projects!$D$29,"")</f>
        <v/>
      </c>
      <c r="I32" s="567">
        <f>IF(AND(Projects!$C$29&lt;=I$4,I$4&lt;=Projects!$C$29+Projects!$D$29-1),Projects!$B$29/Projects!$D$29,"")</f>
        <v/>
      </c>
      <c r="J32" s="567">
        <f>IF(AND(Projects!$C$29&lt;=J$4,J$4&lt;=Projects!$C$29+Projects!$D$29-1),Projects!$B$29/Projects!$D$29,"")</f>
        <v/>
      </c>
      <c r="K32" s="567">
        <f>IF(AND(Projects!$C$29&lt;=K$4,K$4&lt;=Projects!$C$29+Projects!$D$29-1),Projects!$B$29/Projects!$D$29,"")</f>
        <v/>
      </c>
      <c r="L32" s="567">
        <f>IF(AND(Projects!$C$29&lt;=L$4,L$4&lt;=Projects!$C$29+Projects!$D$29-1),Projects!$B$29/Projects!$D$29,"")</f>
        <v/>
      </c>
      <c r="M32" s="567">
        <f>IF(AND(Projects!$C$29&lt;=M$4,M$4&lt;=Projects!$C$29+Projects!$D$29-1),Projects!$B$29/Projects!$D$29,"")</f>
        <v/>
      </c>
      <c r="N32" s="567">
        <f>IF(AND(Projects!$C$29&lt;=N$4,N$4&lt;=Projects!$C$29+Projects!$D$29-1),Projects!$B$29/Projects!$D$29,"")</f>
        <v/>
      </c>
      <c r="O32" s="567">
        <f>IF(AND(Projects!$C$29&lt;=O$4,O$4&lt;=Projects!$C$29+Projects!$D$29-1),Projects!$B$29/Projects!$D$29,"")</f>
        <v/>
      </c>
      <c r="P32" s="567">
        <f>IF(AND(Projects!$C$29&lt;=P$4,P$4&lt;=Projects!$C$29+Projects!$D$29-1),Projects!$B$29/Projects!$D$29,"")</f>
        <v/>
      </c>
      <c r="Q32" s="567">
        <f>IF(AND(Projects!$C$29&lt;=Q$4,Q$4&lt;=Projects!$C$29+Projects!$D$29-1),Projects!$B$29/Projects!$D$29,"")</f>
        <v/>
      </c>
      <c r="R32" s="567">
        <f>IF(AND(Projects!$C$29&lt;=R$4,R$4&lt;=Projects!$C$29+Projects!$D$29-1),Projects!$B$29/Projects!$D$29,"")</f>
        <v/>
      </c>
      <c r="S32" s="567">
        <f>IF(AND(Projects!$C$29&lt;=S$4,S$4&lt;=Projects!$C$29+Projects!$D$29-1),Projects!$B$29/Projects!$D$29,"")</f>
        <v/>
      </c>
      <c r="T32" s="567">
        <f>IF(AND(Projects!$C$29&lt;=T$4,T$4&lt;=Projects!$C$29+Projects!$D$29-1),Projects!$B$29/Projects!$D$29,"")</f>
        <v/>
      </c>
      <c r="U32" s="567">
        <f>IF(AND(Projects!$C$29&lt;=U$4,U$4&lt;=Projects!$C$29+Projects!$D$29-1),Projects!$B$29/Projects!$D$29,"")</f>
        <v/>
      </c>
      <c r="V32" s="567">
        <f>IF(AND(Projects!$C$29&lt;=V$4,V$4&lt;=Projects!$C$29+Projects!$D$29-1),Projects!$B$29/Projects!$D$29,"")</f>
        <v/>
      </c>
      <c r="W32" s="567">
        <f>IF(AND(Projects!$C$29&lt;=W$4,W$4&lt;=Projects!$C$29+Projects!$D$29-1),Projects!$B$29/Projects!$D$29,"")</f>
        <v/>
      </c>
      <c r="X32" s="567">
        <f>IF(AND(Projects!$C$29&lt;=X$4,X$4&lt;=Projects!$C$29+Projects!$D$29-1),Projects!$B$29/Projects!$D$29,"")</f>
        <v/>
      </c>
      <c r="Y32" s="567">
        <f>IF(AND(Projects!$C$29&lt;=Y$4,Y$4&lt;=Projects!$C$29+Projects!$D$29-1),Projects!$B$29/Projects!$D$29,"")</f>
        <v/>
      </c>
      <c r="Z32" s="567">
        <f>IF(AND(Projects!$C$29&lt;=Z$4,Z$4&lt;=Projects!$C$29+Projects!$D$29-1),Projects!$B$29/Projects!$D$29,"")</f>
        <v/>
      </c>
      <c r="AA32" s="567">
        <f>IF(AND(Projects!$C$29&lt;=AA$4,AA$4&lt;=Projects!$C$29+Projects!$D$29-1),Projects!$B$29/Projects!$D$29,"")</f>
        <v/>
      </c>
      <c r="AB32" s="567">
        <f>IF(AND(Projects!$C$29&lt;=AB$4,AB$4&lt;=Projects!$C$29+Projects!$D$29-1),Projects!$B$29/Projects!$D$29,"")</f>
        <v/>
      </c>
      <c r="AC32" s="567">
        <f>IF(AND(Projects!$C$29&lt;=AC$4,AC$4&lt;=Projects!$C$29+Projects!$D$29-1),Projects!$B$29/Projects!$D$29,"")</f>
        <v/>
      </c>
      <c r="AD32" s="567">
        <f>IF(AND(Projects!$C$29&lt;=AD$4,AD$4&lt;=Projects!$C$29+Projects!$D$29-1),Projects!$B$29/Projects!$D$29,"")</f>
        <v/>
      </c>
      <c r="AE32" s="567">
        <f>IF(AND(Projects!$C$29&lt;=AE$4,AE$4&lt;=Projects!$C$29+Projects!$D$29-1),Projects!$B$29/Projects!$D$29,"")</f>
        <v/>
      </c>
      <c r="AF32" s="567">
        <f>IF(AND(Projects!$C$29&lt;=AF$4,AF$4&lt;=Projects!$C$29+Projects!$D$29-1),Projects!$B$29/Projects!$D$29,"")</f>
        <v/>
      </c>
      <c r="AG32" s="567">
        <f>IF(AND(Projects!$C$29&lt;=AG$4,AG$4&lt;=Projects!$C$29+Projects!$D$29-1),Projects!$B$29/Projects!$D$29,"")</f>
        <v/>
      </c>
      <c r="AH32" s="567">
        <f>IF(AND(Projects!$C$29&lt;=AH$4,AH$4&lt;=Projects!$C$29+Projects!$D$29-1),Projects!$B$29/Projects!$D$29,"")</f>
        <v/>
      </c>
      <c r="AI32" s="567">
        <f>IF(AND(Projects!$C$29&lt;=AI$4,AI$4&lt;=Projects!$C$29+Projects!$D$29-1),Projects!$B$29/Projects!$D$29,"")</f>
        <v/>
      </c>
      <c r="AJ32" s="567">
        <f>IF(AND(Projects!$C$29&lt;=AJ$4,AJ$4&lt;=Projects!$C$29+Projects!$D$29-1),Projects!$B$29/Projects!$D$29,"")</f>
        <v/>
      </c>
      <c r="AK32" s="567">
        <f>IF(AND(Projects!$C$29&lt;=AK$4,AK$4&lt;=Projects!$C$29+Projects!$D$29-1),Projects!$B$29/Projects!$D$29,"")</f>
        <v/>
      </c>
      <c r="AL32" s="567">
        <f>IF(AND(Projects!$C$29&lt;=AL$4,AL$4&lt;=Projects!$C$29+Projects!$D$29-1),Projects!$B$29/Projects!$D$29,"")</f>
        <v/>
      </c>
      <c r="AM32" s="567">
        <f>IF(AND(Projects!$C$29&lt;=AM$4,AM$4&lt;=Projects!$C$29+Projects!$D$29-1),Projects!$B$29/Projects!$D$29,"")</f>
        <v/>
      </c>
      <c r="AN32" s="567">
        <f>IF(AND(Projects!$C$29&lt;=AN$4,AN$4&lt;=Projects!$C$29+Projects!$D$29-1),Projects!$B$29/Projects!$D$29,"")</f>
        <v/>
      </c>
      <c r="AO32" s="567">
        <f>IF(AND(Projects!$C$29&lt;=AO$4,AO$4&lt;=Projects!$C$29+Projects!$D$29-1),Projects!$B$29/Projects!$D$29,"")</f>
        <v/>
      </c>
      <c r="AP32" s="567">
        <f>IF(AND(Projects!$C$29&lt;=AP$4,AP$4&lt;=Projects!$C$29+Projects!$D$29-1),Projects!$B$29/Projects!$D$29,"")</f>
        <v/>
      </c>
      <c r="AQ32" s="567">
        <f>IF(AND(Projects!$C$29&lt;=AQ$4,AQ$4&lt;=Projects!$C$29+Projects!$D$29-1),Projects!$B$29/Projects!$D$29,"")</f>
        <v/>
      </c>
      <c r="AR32" s="567">
        <f>IF(AND(Projects!$C$29&lt;=AR$4,AR$4&lt;=Projects!$C$29+Projects!$D$29-1),Projects!$B$29/Projects!$D$29,"")</f>
        <v/>
      </c>
      <c r="AS32" s="567">
        <f>IF(AND(Projects!$C$29&lt;=AS$4,AS$4&lt;=Projects!$C$29+Projects!$D$29-1),Projects!$B$29/Projects!$D$29,"")</f>
        <v/>
      </c>
      <c r="AT32" s="567">
        <f>IF(AND(Projects!$C$29&lt;=AT$4,AT$4&lt;=Projects!$C$29+Projects!$D$29-1),Projects!$B$29/Projects!$D$29,"")</f>
        <v/>
      </c>
      <c r="AU32" s="567">
        <f>IF(AND(Projects!$C$29&lt;=AU$4,AU$4&lt;=Projects!$C$29+Projects!$D$29-1),Projects!$B$29/Projects!$D$29,"")</f>
        <v/>
      </c>
      <c r="AV32" s="567">
        <f>IF(AND(Projects!$C$29&lt;=AV$4,AV$4&lt;=Projects!$C$29+Projects!$D$29-1),Projects!$B$29/Projects!$D$29,"")</f>
        <v/>
      </c>
      <c r="AW32" s="567">
        <f>IF(AND(Projects!$C$29&lt;=AW$4,AW$4&lt;=Projects!$C$29+Projects!$D$29-1),Projects!$B$29/Projects!$D$29,"")</f>
        <v/>
      </c>
      <c r="AX32" s="567">
        <f>IF(AND(Projects!$C$29&lt;=AX$4,AX$4&lt;=Projects!$C$29+Projects!$D$29-1),Projects!$B$29/Projects!$D$29,"")</f>
        <v/>
      </c>
      <c r="AY32" s="567">
        <f>IF(AND(Projects!$C$29&lt;=AY$4,AY$4&lt;=Projects!$C$29+Projects!$D$29-1),Projects!$B$29/Projects!$D$29,"")</f>
        <v/>
      </c>
      <c r="AZ32" s="567">
        <f>IF(AND(Projects!$C$29&lt;=AZ$4,AZ$4&lt;=Projects!$C$29+Projects!$D$29-1),Projects!$B$29/Projects!$D$29,"")</f>
        <v/>
      </c>
      <c r="BA32" s="567">
        <f>IF(AND(Projects!$C$29&lt;=BA$4,BA$4&lt;=Projects!$C$29+Projects!$D$29-1),Projects!$B$29/Projects!$D$29,"")</f>
        <v/>
      </c>
      <c r="BB32" s="567">
        <f>IF(AND(Projects!$C$29&lt;=BB$4,BB$4&lt;=Projects!$C$29+Projects!$D$29-1),Projects!$B$29/Projects!$D$29,"")</f>
        <v/>
      </c>
      <c r="BC32" s="567">
        <f>IF(AND(Projects!$C$29&lt;=BC$4,BC$4&lt;=Projects!$C$29+Projects!$D$29-1),Projects!$B$29/Projects!$D$29,"")</f>
        <v/>
      </c>
      <c r="BD32" s="567">
        <f>IF(AND(Projects!$C$29&lt;=BD$4,BD$4&lt;=Projects!$C$29+Projects!$D$29-1),Projects!$B$29/Projects!$D$29,"")</f>
        <v/>
      </c>
      <c r="BE32" s="567">
        <f>IF(AND(Projects!$C$29&lt;=BE$4,BE$4&lt;=Projects!$C$29+Projects!$D$29-1),Projects!$B$29/Projects!$D$29,"")</f>
        <v/>
      </c>
      <c r="BF32" s="567">
        <f>IF(AND(Projects!$C$29&lt;=BF$4,BF$4&lt;=Projects!$C$29+Projects!$D$29-1),Projects!$B$29/Projects!$D$29,"")</f>
        <v/>
      </c>
      <c r="BG32" s="567">
        <f>IF(AND(Projects!$C$29&lt;=BG$4,BG$4&lt;=Projects!$C$29+Projects!$D$29-1),Projects!$B$29/Projects!$D$29,"")</f>
        <v/>
      </c>
      <c r="BH32" s="567">
        <f>IF(AND(Projects!$C$29&lt;=BH$4,BH$4&lt;=Projects!$C$29+Projects!$D$29-1),Projects!$B$29/Projects!$D$29,"")</f>
        <v/>
      </c>
      <c r="BI32" s="567">
        <f>IF(AND(Projects!$C$29&lt;=BI$4,BI$4&lt;=Projects!$C$29+Projects!$D$29-1),Projects!$B$29/Projects!$D$29,"")</f>
        <v/>
      </c>
      <c r="BJ32" s="567">
        <f>IF(AND(Projects!$C$29&lt;=BJ$4,BJ$4&lt;=Projects!$C$29+Projects!$D$29-1),Projects!$B$29/Projects!$D$29,"")</f>
        <v/>
      </c>
      <c r="BK32" s="567">
        <f>IF(AND(Projects!$C$29&lt;=BK$4,BK$4&lt;=Projects!$C$29+Projects!$D$29-1),Projects!$B$29/Projects!$D$29,"")</f>
        <v/>
      </c>
      <c r="BL32" s="567">
        <f>IF(AND(Projects!$C$29&lt;=BL$4,BL$4&lt;=Projects!$C$29+Projects!$D$29-1),Projects!$B$29/Projects!$D$29,"")</f>
        <v/>
      </c>
      <c r="BM32" s="567">
        <f>IF(AND(Projects!$C$29&lt;=BM$4,BM$4&lt;=Projects!$C$29+Projects!$D$29-1),Projects!$B$29/Projects!$D$29,"")</f>
        <v/>
      </c>
      <c r="BN32" s="567">
        <f>IF(AND(Projects!$C$29&lt;=BN$4,BN$4&lt;=Projects!$C$29+Projects!$D$29-1),Projects!$B$29/Projects!$D$29,"")</f>
        <v/>
      </c>
      <c r="BO32" s="567">
        <f>IF(AND(Projects!$C$29&lt;=BO$4,BO$4&lt;=Projects!$C$29+Projects!$D$29-1),Projects!$B$29/Projects!$D$29,"")</f>
        <v/>
      </c>
      <c r="BP32" s="567">
        <f>IF(AND(Projects!$C$29&lt;=BP$4,BP$4&lt;=Projects!$C$29+Projects!$D$29-1),Projects!$B$29/Projects!$D$29,"")</f>
        <v/>
      </c>
      <c r="BQ32" s="567">
        <f>IF(AND(Projects!$C$29&lt;=BQ$4,BQ$4&lt;=Projects!$C$29+Projects!$D$29-1),Projects!$B$29/Projects!$D$29,"")</f>
        <v/>
      </c>
      <c r="BR32" s="567">
        <f>IF(AND(Projects!$C$29&lt;=BR$4,BR$4&lt;=Projects!$C$29+Projects!$D$29-1),Projects!$B$29/Projects!$D$29,"")</f>
        <v/>
      </c>
      <c r="BS32" s="567">
        <f>IF(AND(Projects!$C$29&lt;=BS$4,BS$4&lt;=Projects!$C$29+Projects!$D$29-1),Projects!$B$29/Projects!$D$29,"")</f>
        <v/>
      </c>
      <c r="BT32" s="567">
        <f>IF(AND(Projects!$C$29&lt;=BT$4,BT$4&lt;=Projects!$C$29+Projects!$D$29-1),Projects!$B$29/Projects!$D$29,"")</f>
        <v/>
      </c>
      <c r="BU32" s="567">
        <f>IF(AND(Projects!$C$29&lt;=BU$4,BU$4&lt;=Projects!$C$29+Projects!$D$29-1),Projects!$B$29/Projects!$D$29,"")</f>
        <v/>
      </c>
      <c r="BV32" s="567">
        <f>IF(AND(Projects!$C$29&lt;=BV$4,BV$4&lt;=Projects!$C$29+Projects!$D$29-1),Projects!$B$29/Projects!$D$29,"")</f>
        <v/>
      </c>
      <c r="BW32" s="567">
        <f>IF(AND(Projects!$C$29&lt;=BW$4,BW$4&lt;=Projects!$C$29+Projects!$D$29-1),Projects!$B$29/Projects!$D$29,"")</f>
        <v/>
      </c>
      <c r="BX32" s="567">
        <f>IF(AND(Projects!$C$29&lt;=BX$4,BX$4&lt;=Projects!$C$29+Projects!$D$29-1),Projects!$B$29/Projects!$D$29,"")</f>
        <v/>
      </c>
      <c r="BY32" s="567">
        <f>IF(AND(Projects!$C$29&lt;=BY$4,BY$4&lt;=Projects!$C$29+Projects!$D$29-1),Projects!$B$29/Projects!$D$29,"")</f>
        <v/>
      </c>
      <c r="BZ32" s="567">
        <f>IF(AND(Projects!$C$29&lt;=BZ$4,BZ$4&lt;=Projects!$C$29+Projects!$D$29-1),Projects!$B$29/Projects!$D$29,"")</f>
        <v/>
      </c>
      <c r="CA32" s="567">
        <f>IF(AND(Projects!$C$29&lt;=CA$4,CA$4&lt;=Projects!$C$29+Projects!$D$29-1),Projects!$B$29/Projects!$D$29,"")</f>
        <v/>
      </c>
      <c r="CB32" s="567">
        <f>IF(AND(Projects!$C$29&lt;=CB$4,CB$4&lt;=Projects!$C$29+Projects!$D$29-1),Projects!$B$29/Projects!$D$29,"")</f>
        <v/>
      </c>
      <c r="CC32" s="567">
        <f>IF(AND(Projects!$C$29&lt;=CC$4,CC$4&lt;=Projects!$C$29+Projects!$D$29-1),Projects!$B$29/Projects!$D$29,"")</f>
        <v/>
      </c>
      <c r="CD32" s="567">
        <f>IF(AND(Projects!$C$29&lt;=CD$4,CD$4&lt;=Projects!$C$29+Projects!$D$29-1),Projects!$B$29/Projects!$D$29,"")</f>
        <v/>
      </c>
      <c r="CE32" s="567">
        <f>IF(AND(Projects!$C$29&lt;=CE$4,CE$4&lt;=Projects!$C$29+Projects!$D$29-1),Projects!$B$29/Projects!$D$29,"")</f>
        <v/>
      </c>
      <c r="CF32" s="567">
        <f>IF(AND(Projects!$C$29&lt;=CF$4,CF$4&lt;=Projects!$C$29+Projects!$D$29-1),Projects!$B$29/Projects!$D$29,"")</f>
        <v/>
      </c>
      <c r="CG32" s="567">
        <f>IF(AND(Projects!$C$29&lt;=CG$4,CG$4&lt;=Projects!$C$29+Projects!$D$29-1),Projects!$B$29/Projects!$D$29,"")</f>
        <v/>
      </c>
      <c r="CH32" s="567">
        <f>IF(AND(Projects!$C$29&lt;=CH$4,CH$4&lt;=Projects!$C$29+Projects!$D$29-1),Projects!$B$29/Projects!$D$29,"")</f>
        <v/>
      </c>
      <c r="CI32" s="567">
        <f>IF(AND(Projects!$C$29&lt;=CI$4,CI$4&lt;=Projects!$C$29+Projects!$D$29-1),Projects!$B$29/Projects!$D$29,"")</f>
        <v/>
      </c>
      <c r="CJ32" s="567">
        <f>IF(AND(Projects!$C$29&lt;=CJ$4,CJ$4&lt;=Projects!$C$29+Projects!$D$29-1),Projects!$B$29/Projects!$D$29,"")</f>
        <v/>
      </c>
      <c r="CK32" s="567">
        <f>IF(AND(Projects!$C$29&lt;=CK$4,CK$4&lt;=Projects!$C$29+Projects!$D$29-1),Projects!$B$29/Projects!$D$29,"")</f>
        <v/>
      </c>
      <c r="CL32" s="567">
        <f>IF(AND(Projects!$C$29&lt;=CL$4,CL$4&lt;=Projects!$C$29+Projects!$D$29-1),Projects!$B$29/Projects!$D$29,"")</f>
        <v/>
      </c>
      <c r="CM32" s="567">
        <f>IF(AND(Projects!$C$29&lt;=CM$4,CM$4&lt;=Projects!$C$29+Projects!$D$29-1),Projects!$B$29/Projects!$D$29,"")</f>
        <v/>
      </c>
      <c r="CN32" s="567">
        <f>IF(AND(Projects!$C$29&lt;=CN$4,CN$4&lt;=Projects!$C$29+Projects!$D$29-1),Projects!$B$29/Projects!$D$29,"")</f>
        <v/>
      </c>
      <c r="CO32" s="567">
        <f>IF(AND(Projects!$C$29&lt;=CO$4,CO$4&lt;=Projects!$C$29+Projects!$D$29-1),Projects!$B$29/Projects!$D$29,"")</f>
        <v/>
      </c>
      <c r="CP32" s="567">
        <f>IF(AND(Projects!$C$29&lt;=CP$4,CP$4&lt;=Projects!$C$29+Projects!$D$29-1),Projects!$B$29/Projects!$D$29,"")</f>
        <v/>
      </c>
      <c r="CQ32" s="567">
        <f>IF(AND(Projects!$C$29&lt;=CQ$4,CQ$4&lt;=Projects!$C$29+Projects!$D$29-1),Projects!$B$29/Projects!$D$29,"")</f>
        <v/>
      </c>
      <c r="CR32" s="567">
        <f>IF(AND(Projects!$C$29&lt;=CR$4,CR$4&lt;=Projects!$C$29+Projects!$D$29-1),Projects!$B$29/Projects!$D$29,"")</f>
        <v/>
      </c>
      <c r="CS32" s="567">
        <f>IF(AND(Projects!$C$29&lt;=CS$4,CS$4&lt;=Projects!$C$29+Projects!$D$29-1),Projects!$B$29/Projects!$D$29,"")</f>
        <v/>
      </c>
      <c r="CT32" s="567">
        <f>IF(AND(Projects!$C$29&lt;=CT$4,CT$4&lt;=Projects!$C$29+Projects!$D$29-1),Projects!$B$29/Projects!$D$29,"")</f>
        <v/>
      </c>
      <c r="CU32" s="567">
        <f>IF(AND(Projects!$C$29&lt;=CU$4,CU$4&lt;=Projects!$C$29+Projects!$D$29-1),Projects!$B$29/Projects!$D$29,"")</f>
        <v/>
      </c>
      <c r="CV32" s="567">
        <f>IF(AND(Projects!$C$29&lt;=CV$4,CV$4&lt;=Projects!$C$29+Projects!$D$29-1),Projects!$B$29/Projects!$D$29,"")</f>
        <v/>
      </c>
      <c r="CW32" s="567">
        <f>IF(AND(Projects!$C$29&lt;=CW$4,CW$4&lt;=Projects!$C$29+Projects!$D$29-1),Projects!$B$29/Projects!$D$29,"")</f>
        <v/>
      </c>
      <c r="CX32" s="567">
        <f>IF(AND(Projects!$C$29&lt;=CX$4,CX$4&lt;=Projects!$C$29+Projects!$D$29-1),Projects!$B$29/Projects!$D$29,"")</f>
        <v/>
      </c>
      <c r="CY32" s="567">
        <f>IF(AND(Projects!$C$29&lt;=CY$4,CY$4&lt;=Projects!$C$29+Projects!$D$29-1),Projects!$B$29/Projects!$D$29,"")</f>
        <v/>
      </c>
      <c r="CZ32" s="567">
        <f>IF(AND(Projects!$C$29&lt;=CZ$4,CZ$4&lt;=Projects!$C$29+Projects!$D$29-1),Projects!$B$29/Projects!$D$29,"")</f>
        <v/>
      </c>
      <c r="DA32" s="567">
        <f>IF(AND(Projects!$C$29&lt;=DA$4,DA$4&lt;=Projects!$C$29+Projects!$D$29-1),Projects!$B$29/Projects!$D$29,"")</f>
        <v/>
      </c>
      <c r="DB32" s="567">
        <f>IF(AND(Projects!$C$29&lt;=DB$4,DB$4&lt;=Projects!$C$29+Projects!$D$29-1),Projects!$B$29/Projects!$D$29,"")</f>
        <v/>
      </c>
    </row>
    <row r="33" ht="15" customFormat="1" customHeight="1" s="380">
      <c r="A33" s="563" t="inlineStr">
        <is>
          <t>BD-15</t>
        </is>
      </c>
      <c r="B33" s="564">
        <f>Projects!$B$31</f>
        <v/>
      </c>
      <c r="C33" s="565">
        <f>EDATE(Model!$E$2,Projects!$C$31-1)</f>
        <v/>
      </c>
      <c r="D33" s="565">
        <f>EDATE(Model!$E$2,Projects!$C$31+Projects!$D$31-2)</f>
        <v/>
      </c>
      <c r="E33" s="566">
        <f>Projects!$D$31</f>
        <v/>
      </c>
      <c r="F33" s="564">
        <f>Projects!$B$31/Projects!$D$31</f>
        <v/>
      </c>
      <c r="G33" s="567">
        <f>IF(AND(Projects!$C$31&lt;=G$4,G$4&lt;=Projects!$C$31+Projects!$D$31-1),Projects!$B$31/Projects!$D$31,"")</f>
        <v/>
      </c>
      <c r="H33" s="567">
        <f>IF(AND(Projects!$C$31&lt;=H$4,H$4&lt;=Projects!$C$31+Projects!$D$31-1),Projects!$B$31/Projects!$D$31,"")</f>
        <v/>
      </c>
      <c r="I33" s="567">
        <f>IF(AND(Projects!$C$31&lt;=I$4,I$4&lt;=Projects!$C$31+Projects!$D$31-1),Projects!$B$31/Projects!$D$31,"")</f>
        <v/>
      </c>
      <c r="J33" s="567">
        <f>IF(AND(Projects!$C$31&lt;=J$4,J$4&lt;=Projects!$C$31+Projects!$D$31-1),Projects!$B$31/Projects!$D$31,"")</f>
        <v/>
      </c>
      <c r="K33" s="567">
        <f>IF(AND(Projects!$C$31&lt;=K$4,K$4&lt;=Projects!$C$31+Projects!$D$31-1),Projects!$B$31/Projects!$D$31,"")</f>
        <v/>
      </c>
      <c r="L33" s="567">
        <f>IF(AND(Projects!$C$31&lt;=L$4,L$4&lt;=Projects!$C$31+Projects!$D$31-1),Projects!$B$31/Projects!$D$31,"")</f>
        <v/>
      </c>
      <c r="M33" s="567">
        <f>IF(AND(Projects!$C$31&lt;=M$4,M$4&lt;=Projects!$C$31+Projects!$D$31-1),Projects!$B$31/Projects!$D$31,"")</f>
        <v/>
      </c>
      <c r="N33" s="567">
        <f>IF(AND(Projects!$C$31&lt;=N$4,N$4&lt;=Projects!$C$31+Projects!$D$31-1),Projects!$B$31/Projects!$D$31,"")</f>
        <v/>
      </c>
      <c r="O33" s="567">
        <f>IF(AND(Projects!$C$31&lt;=O$4,O$4&lt;=Projects!$C$31+Projects!$D$31-1),Projects!$B$31/Projects!$D$31,"")</f>
        <v/>
      </c>
      <c r="P33" s="567">
        <f>IF(AND(Projects!$C$31&lt;=P$4,P$4&lt;=Projects!$C$31+Projects!$D$31-1),Projects!$B$31/Projects!$D$31,"")</f>
        <v/>
      </c>
      <c r="Q33" s="567">
        <f>IF(AND(Projects!$C$31&lt;=Q$4,Q$4&lt;=Projects!$C$31+Projects!$D$31-1),Projects!$B$31/Projects!$D$31,"")</f>
        <v/>
      </c>
      <c r="R33" s="567">
        <f>IF(AND(Projects!$C$31&lt;=R$4,R$4&lt;=Projects!$C$31+Projects!$D$31-1),Projects!$B$31/Projects!$D$31,"")</f>
        <v/>
      </c>
      <c r="S33" s="567">
        <f>IF(AND(Projects!$C$31&lt;=S$4,S$4&lt;=Projects!$C$31+Projects!$D$31-1),Projects!$B$31/Projects!$D$31,"")</f>
        <v/>
      </c>
      <c r="T33" s="567">
        <f>IF(AND(Projects!$C$31&lt;=T$4,T$4&lt;=Projects!$C$31+Projects!$D$31-1),Projects!$B$31/Projects!$D$31,"")</f>
        <v/>
      </c>
      <c r="U33" s="567">
        <f>IF(AND(Projects!$C$31&lt;=U$4,U$4&lt;=Projects!$C$31+Projects!$D$31-1),Projects!$B$31/Projects!$D$31,"")</f>
        <v/>
      </c>
      <c r="V33" s="567">
        <f>IF(AND(Projects!$C$31&lt;=V$4,V$4&lt;=Projects!$C$31+Projects!$D$31-1),Projects!$B$31/Projects!$D$31,"")</f>
        <v/>
      </c>
      <c r="W33" s="567">
        <f>IF(AND(Projects!$C$31&lt;=W$4,W$4&lt;=Projects!$C$31+Projects!$D$31-1),Projects!$B$31/Projects!$D$31,"")</f>
        <v/>
      </c>
      <c r="X33" s="567">
        <f>IF(AND(Projects!$C$31&lt;=X$4,X$4&lt;=Projects!$C$31+Projects!$D$31-1),Projects!$B$31/Projects!$D$31,"")</f>
        <v/>
      </c>
      <c r="Y33" s="567">
        <f>IF(AND(Projects!$C$31&lt;=Y$4,Y$4&lt;=Projects!$C$31+Projects!$D$31-1),Projects!$B$31/Projects!$D$31,"")</f>
        <v/>
      </c>
      <c r="Z33" s="567">
        <f>IF(AND(Projects!$C$31&lt;=Z$4,Z$4&lt;=Projects!$C$31+Projects!$D$31-1),Projects!$B$31/Projects!$D$31,"")</f>
        <v/>
      </c>
      <c r="AA33" s="567">
        <f>IF(AND(Projects!$C$31&lt;=AA$4,AA$4&lt;=Projects!$C$31+Projects!$D$31-1),Projects!$B$31/Projects!$D$31,"")</f>
        <v/>
      </c>
      <c r="AB33" s="567">
        <f>IF(AND(Projects!$C$31&lt;=AB$4,AB$4&lt;=Projects!$C$31+Projects!$D$31-1),Projects!$B$31/Projects!$D$31,"")</f>
        <v/>
      </c>
      <c r="AC33" s="567">
        <f>IF(AND(Projects!$C$31&lt;=AC$4,AC$4&lt;=Projects!$C$31+Projects!$D$31-1),Projects!$B$31/Projects!$D$31,"")</f>
        <v/>
      </c>
      <c r="AD33" s="567">
        <f>IF(AND(Projects!$C$31&lt;=AD$4,AD$4&lt;=Projects!$C$31+Projects!$D$31-1),Projects!$B$31/Projects!$D$31,"")</f>
        <v/>
      </c>
      <c r="AE33" s="567">
        <f>IF(AND(Projects!$C$31&lt;=AE$4,AE$4&lt;=Projects!$C$31+Projects!$D$31-1),Projects!$B$31/Projects!$D$31,"")</f>
        <v/>
      </c>
      <c r="AF33" s="567">
        <f>IF(AND(Projects!$C$31&lt;=AF$4,AF$4&lt;=Projects!$C$31+Projects!$D$31-1),Projects!$B$31/Projects!$D$31,"")</f>
        <v/>
      </c>
      <c r="AG33" s="567">
        <f>IF(AND(Projects!$C$31&lt;=AG$4,AG$4&lt;=Projects!$C$31+Projects!$D$31-1),Projects!$B$31/Projects!$D$31,"")</f>
        <v/>
      </c>
      <c r="AH33" s="567">
        <f>IF(AND(Projects!$C$31&lt;=AH$4,AH$4&lt;=Projects!$C$31+Projects!$D$31-1),Projects!$B$31/Projects!$D$31,"")</f>
        <v/>
      </c>
      <c r="AI33" s="567">
        <f>IF(AND(Projects!$C$31&lt;=AI$4,AI$4&lt;=Projects!$C$31+Projects!$D$31-1),Projects!$B$31/Projects!$D$31,"")</f>
        <v/>
      </c>
      <c r="AJ33" s="567">
        <f>IF(AND(Projects!$C$31&lt;=AJ$4,AJ$4&lt;=Projects!$C$31+Projects!$D$31-1),Projects!$B$31/Projects!$D$31,"")</f>
        <v/>
      </c>
      <c r="AK33" s="567">
        <f>IF(AND(Projects!$C$31&lt;=AK$4,AK$4&lt;=Projects!$C$31+Projects!$D$31-1),Projects!$B$31/Projects!$D$31,"")</f>
        <v/>
      </c>
      <c r="AL33" s="567">
        <f>IF(AND(Projects!$C$31&lt;=AL$4,AL$4&lt;=Projects!$C$31+Projects!$D$31-1),Projects!$B$31/Projects!$D$31,"")</f>
        <v/>
      </c>
      <c r="AM33" s="567">
        <f>IF(AND(Projects!$C$31&lt;=AM$4,AM$4&lt;=Projects!$C$31+Projects!$D$31-1),Projects!$B$31/Projects!$D$31,"")</f>
        <v/>
      </c>
      <c r="AN33" s="567">
        <f>IF(AND(Projects!$C$31&lt;=AN$4,AN$4&lt;=Projects!$C$31+Projects!$D$31-1),Projects!$B$31/Projects!$D$31,"")</f>
        <v/>
      </c>
      <c r="AO33" s="567">
        <f>IF(AND(Projects!$C$31&lt;=AO$4,AO$4&lt;=Projects!$C$31+Projects!$D$31-1),Projects!$B$31/Projects!$D$31,"")</f>
        <v/>
      </c>
      <c r="AP33" s="567">
        <f>IF(AND(Projects!$C$31&lt;=AP$4,AP$4&lt;=Projects!$C$31+Projects!$D$31-1),Projects!$B$31/Projects!$D$31,"")</f>
        <v/>
      </c>
      <c r="AQ33" s="567">
        <f>IF(AND(Projects!$C$31&lt;=AQ$4,AQ$4&lt;=Projects!$C$31+Projects!$D$31-1),Projects!$B$31/Projects!$D$31,"")</f>
        <v/>
      </c>
      <c r="AR33" s="567">
        <f>IF(AND(Projects!$C$31&lt;=AR$4,AR$4&lt;=Projects!$C$31+Projects!$D$31-1),Projects!$B$31/Projects!$D$31,"")</f>
        <v/>
      </c>
      <c r="AS33" s="567">
        <f>IF(AND(Projects!$C$31&lt;=AS$4,AS$4&lt;=Projects!$C$31+Projects!$D$31-1),Projects!$B$31/Projects!$D$31,"")</f>
        <v/>
      </c>
      <c r="AT33" s="567">
        <f>IF(AND(Projects!$C$31&lt;=AT$4,AT$4&lt;=Projects!$C$31+Projects!$D$31-1),Projects!$B$31/Projects!$D$31,"")</f>
        <v/>
      </c>
      <c r="AU33" s="567">
        <f>IF(AND(Projects!$C$31&lt;=AU$4,AU$4&lt;=Projects!$C$31+Projects!$D$31-1),Projects!$B$31/Projects!$D$31,"")</f>
        <v/>
      </c>
      <c r="AV33" s="567">
        <f>IF(AND(Projects!$C$31&lt;=AV$4,AV$4&lt;=Projects!$C$31+Projects!$D$31-1),Projects!$B$31/Projects!$D$31,"")</f>
        <v/>
      </c>
      <c r="AW33" s="567">
        <f>IF(AND(Projects!$C$31&lt;=AW$4,AW$4&lt;=Projects!$C$31+Projects!$D$31-1),Projects!$B$31/Projects!$D$31,"")</f>
        <v/>
      </c>
      <c r="AX33" s="567">
        <f>IF(AND(Projects!$C$31&lt;=AX$4,AX$4&lt;=Projects!$C$31+Projects!$D$31-1),Projects!$B$31/Projects!$D$31,"")</f>
        <v/>
      </c>
      <c r="AY33" s="567">
        <f>IF(AND(Projects!$C$31&lt;=AY$4,AY$4&lt;=Projects!$C$31+Projects!$D$31-1),Projects!$B$31/Projects!$D$31,"")</f>
        <v/>
      </c>
      <c r="AZ33" s="567">
        <f>IF(AND(Projects!$C$31&lt;=AZ$4,AZ$4&lt;=Projects!$C$31+Projects!$D$31-1),Projects!$B$31/Projects!$D$31,"")</f>
        <v/>
      </c>
      <c r="BA33" s="567">
        <f>IF(AND(Projects!$C$31&lt;=BA$4,BA$4&lt;=Projects!$C$31+Projects!$D$31-1),Projects!$B$31/Projects!$D$31,"")</f>
        <v/>
      </c>
      <c r="BB33" s="567">
        <f>IF(AND(Projects!$C$31&lt;=BB$4,BB$4&lt;=Projects!$C$31+Projects!$D$31-1),Projects!$B$31/Projects!$D$31,"")</f>
        <v/>
      </c>
      <c r="BC33" s="567">
        <f>IF(AND(Projects!$C$31&lt;=BC$4,BC$4&lt;=Projects!$C$31+Projects!$D$31-1),Projects!$B$31/Projects!$D$31,"")</f>
        <v/>
      </c>
      <c r="BD33" s="567">
        <f>IF(AND(Projects!$C$31&lt;=BD$4,BD$4&lt;=Projects!$C$31+Projects!$D$31-1),Projects!$B$31/Projects!$D$31,"")</f>
        <v/>
      </c>
      <c r="BE33" s="567">
        <f>IF(AND(Projects!$C$31&lt;=BE$4,BE$4&lt;=Projects!$C$31+Projects!$D$31-1),Projects!$B$31/Projects!$D$31,"")</f>
        <v/>
      </c>
      <c r="BF33" s="567">
        <f>IF(AND(Projects!$C$31&lt;=BF$4,BF$4&lt;=Projects!$C$31+Projects!$D$31-1),Projects!$B$31/Projects!$D$31,"")</f>
        <v/>
      </c>
      <c r="BG33" s="567">
        <f>IF(AND(Projects!$C$31&lt;=BG$4,BG$4&lt;=Projects!$C$31+Projects!$D$31-1),Projects!$B$31/Projects!$D$31,"")</f>
        <v/>
      </c>
      <c r="BH33" s="567">
        <f>IF(AND(Projects!$C$31&lt;=BH$4,BH$4&lt;=Projects!$C$31+Projects!$D$31-1),Projects!$B$31/Projects!$D$31,"")</f>
        <v/>
      </c>
      <c r="BI33" s="567">
        <f>IF(AND(Projects!$C$31&lt;=BI$4,BI$4&lt;=Projects!$C$31+Projects!$D$31-1),Projects!$B$31/Projects!$D$31,"")</f>
        <v/>
      </c>
      <c r="BJ33" s="567">
        <f>IF(AND(Projects!$C$31&lt;=BJ$4,BJ$4&lt;=Projects!$C$31+Projects!$D$31-1),Projects!$B$31/Projects!$D$31,"")</f>
        <v/>
      </c>
      <c r="BK33" s="567">
        <f>IF(AND(Projects!$C$31&lt;=BK$4,BK$4&lt;=Projects!$C$31+Projects!$D$31-1),Projects!$B$31/Projects!$D$31,"")</f>
        <v/>
      </c>
      <c r="BL33" s="567">
        <f>IF(AND(Projects!$C$31&lt;=BL$4,BL$4&lt;=Projects!$C$31+Projects!$D$31-1),Projects!$B$31/Projects!$D$31,"")</f>
        <v/>
      </c>
      <c r="BM33" s="567">
        <f>IF(AND(Projects!$C$31&lt;=BM$4,BM$4&lt;=Projects!$C$31+Projects!$D$31-1),Projects!$B$31/Projects!$D$31,"")</f>
        <v/>
      </c>
      <c r="BN33" s="567">
        <f>IF(AND(Projects!$C$31&lt;=BN$4,BN$4&lt;=Projects!$C$31+Projects!$D$31-1),Projects!$B$31/Projects!$D$31,"")</f>
        <v/>
      </c>
      <c r="BO33" s="567">
        <f>IF(AND(Projects!$C$31&lt;=BO$4,BO$4&lt;=Projects!$C$31+Projects!$D$31-1),Projects!$B$31/Projects!$D$31,"")</f>
        <v/>
      </c>
      <c r="BP33" s="567">
        <f>IF(AND(Projects!$C$31&lt;=BP$4,BP$4&lt;=Projects!$C$31+Projects!$D$31-1),Projects!$B$31/Projects!$D$31,"")</f>
        <v/>
      </c>
      <c r="BQ33" s="567">
        <f>IF(AND(Projects!$C$31&lt;=BQ$4,BQ$4&lt;=Projects!$C$31+Projects!$D$31-1),Projects!$B$31/Projects!$D$31,"")</f>
        <v/>
      </c>
      <c r="BR33" s="567">
        <f>IF(AND(Projects!$C$31&lt;=BR$4,BR$4&lt;=Projects!$C$31+Projects!$D$31-1),Projects!$B$31/Projects!$D$31,"")</f>
        <v/>
      </c>
      <c r="BS33" s="567">
        <f>IF(AND(Projects!$C$31&lt;=BS$4,BS$4&lt;=Projects!$C$31+Projects!$D$31-1),Projects!$B$31/Projects!$D$31,"")</f>
        <v/>
      </c>
      <c r="BT33" s="567">
        <f>IF(AND(Projects!$C$31&lt;=BT$4,BT$4&lt;=Projects!$C$31+Projects!$D$31-1),Projects!$B$31/Projects!$D$31,"")</f>
        <v/>
      </c>
      <c r="BU33" s="567">
        <f>IF(AND(Projects!$C$31&lt;=BU$4,BU$4&lt;=Projects!$C$31+Projects!$D$31-1),Projects!$B$31/Projects!$D$31,"")</f>
        <v/>
      </c>
      <c r="BV33" s="567">
        <f>IF(AND(Projects!$C$31&lt;=BV$4,BV$4&lt;=Projects!$C$31+Projects!$D$31-1),Projects!$B$31/Projects!$D$31,"")</f>
        <v/>
      </c>
      <c r="BW33" s="567">
        <f>IF(AND(Projects!$C$31&lt;=BW$4,BW$4&lt;=Projects!$C$31+Projects!$D$31-1),Projects!$B$31/Projects!$D$31,"")</f>
        <v/>
      </c>
      <c r="BX33" s="567">
        <f>IF(AND(Projects!$C$31&lt;=BX$4,BX$4&lt;=Projects!$C$31+Projects!$D$31-1),Projects!$B$31/Projects!$D$31,"")</f>
        <v/>
      </c>
      <c r="BY33" s="567">
        <f>IF(AND(Projects!$C$31&lt;=BY$4,BY$4&lt;=Projects!$C$31+Projects!$D$31-1),Projects!$B$31/Projects!$D$31,"")</f>
        <v/>
      </c>
      <c r="BZ33" s="567">
        <f>IF(AND(Projects!$C$31&lt;=BZ$4,BZ$4&lt;=Projects!$C$31+Projects!$D$31-1),Projects!$B$31/Projects!$D$31,"")</f>
        <v/>
      </c>
      <c r="CA33" s="567">
        <f>IF(AND(Projects!$C$31&lt;=CA$4,CA$4&lt;=Projects!$C$31+Projects!$D$31-1),Projects!$B$31/Projects!$D$31,"")</f>
        <v/>
      </c>
      <c r="CB33" s="567">
        <f>IF(AND(Projects!$C$31&lt;=CB$4,CB$4&lt;=Projects!$C$31+Projects!$D$31-1),Projects!$B$31/Projects!$D$31,"")</f>
        <v/>
      </c>
      <c r="CC33" s="567">
        <f>IF(AND(Projects!$C$31&lt;=CC$4,CC$4&lt;=Projects!$C$31+Projects!$D$31-1),Projects!$B$31/Projects!$D$31,"")</f>
        <v/>
      </c>
      <c r="CD33" s="567">
        <f>IF(AND(Projects!$C$31&lt;=CD$4,CD$4&lt;=Projects!$C$31+Projects!$D$31-1),Projects!$B$31/Projects!$D$31,"")</f>
        <v/>
      </c>
      <c r="CE33" s="567">
        <f>IF(AND(Projects!$C$31&lt;=CE$4,CE$4&lt;=Projects!$C$31+Projects!$D$31-1),Projects!$B$31/Projects!$D$31,"")</f>
        <v/>
      </c>
      <c r="CF33" s="567">
        <f>IF(AND(Projects!$C$31&lt;=CF$4,CF$4&lt;=Projects!$C$31+Projects!$D$31-1),Projects!$B$31/Projects!$D$31,"")</f>
        <v/>
      </c>
      <c r="CG33" s="567">
        <f>IF(AND(Projects!$C$31&lt;=CG$4,CG$4&lt;=Projects!$C$31+Projects!$D$31-1),Projects!$B$31/Projects!$D$31,"")</f>
        <v/>
      </c>
      <c r="CH33" s="567">
        <f>IF(AND(Projects!$C$31&lt;=CH$4,CH$4&lt;=Projects!$C$31+Projects!$D$31-1),Projects!$B$31/Projects!$D$31,"")</f>
        <v/>
      </c>
      <c r="CI33" s="567">
        <f>IF(AND(Projects!$C$31&lt;=CI$4,CI$4&lt;=Projects!$C$31+Projects!$D$31-1),Projects!$B$31/Projects!$D$31,"")</f>
        <v/>
      </c>
      <c r="CJ33" s="567">
        <f>IF(AND(Projects!$C$31&lt;=CJ$4,CJ$4&lt;=Projects!$C$31+Projects!$D$31-1),Projects!$B$31/Projects!$D$31,"")</f>
        <v/>
      </c>
      <c r="CK33" s="567">
        <f>IF(AND(Projects!$C$31&lt;=CK$4,CK$4&lt;=Projects!$C$31+Projects!$D$31-1),Projects!$B$31/Projects!$D$31,"")</f>
        <v/>
      </c>
      <c r="CL33" s="567">
        <f>IF(AND(Projects!$C$31&lt;=CL$4,CL$4&lt;=Projects!$C$31+Projects!$D$31-1),Projects!$B$31/Projects!$D$31,"")</f>
        <v/>
      </c>
      <c r="CM33" s="567">
        <f>IF(AND(Projects!$C$31&lt;=CM$4,CM$4&lt;=Projects!$C$31+Projects!$D$31-1),Projects!$B$31/Projects!$D$31,"")</f>
        <v/>
      </c>
      <c r="CN33" s="567">
        <f>IF(AND(Projects!$C$31&lt;=CN$4,CN$4&lt;=Projects!$C$31+Projects!$D$31-1),Projects!$B$31/Projects!$D$31,"")</f>
        <v/>
      </c>
      <c r="CO33" s="567">
        <f>IF(AND(Projects!$C$31&lt;=CO$4,CO$4&lt;=Projects!$C$31+Projects!$D$31-1),Projects!$B$31/Projects!$D$31,"")</f>
        <v/>
      </c>
      <c r="CP33" s="567">
        <f>IF(AND(Projects!$C$31&lt;=CP$4,CP$4&lt;=Projects!$C$31+Projects!$D$31-1),Projects!$B$31/Projects!$D$31,"")</f>
        <v/>
      </c>
      <c r="CQ33" s="567">
        <f>IF(AND(Projects!$C$31&lt;=CQ$4,CQ$4&lt;=Projects!$C$31+Projects!$D$31-1),Projects!$B$31/Projects!$D$31,"")</f>
        <v/>
      </c>
      <c r="CR33" s="567">
        <f>IF(AND(Projects!$C$31&lt;=CR$4,CR$4&lt;=Projects!$C$31+Projects!$D$31-1),Projects!$B$31/Projects!$D$31,"")</f>
        <v/>
      </c>
      <c r="CS33" s="567">
        <f>IF(AND(Projects!$C$31&lt;=CS$4,CS$4&lt;=Projects!$C$31+Projects!$D$31-1),Projects!$B$31/Projects!$D$31,"")</f>
        <v/>
      </c>
      <c r="CT33" s="567">
        <f>IF(AND(Projects!$C$31&lt;=CT$4,CT$4&lt;=Projects!$C$31+Projects!$D$31-1),Projects!$B$31/Projects!$D$31,"")</f>
        <v/>
      </c>
      <c r="CU33" s="567">
        <f>IF(AND(Projects!$C$31&lt;=CU$4,CU$4&lt;=Projects!$C$31+Projects!$D$31-1),Projects!$B$31/Projects!$D$31,"")</f>
        <v/>
      </c>
      <c r="CV33" s="567">
        <f>IF(AND(Projects!$C$31&lt;=CV$4,CV$4&lt;=Projects!$C$31+Projects!$D$31-1),Projects!$B$31/Projects!$D$31,"")</f>
        <v/>
      </c>
      <c r="CW33" s="567">
        <f>IF(AND(Projects!$C$31&lt;=CW$4,CW$4&lt;=Projects!$C$31+Projects!$D$31-1),Projects!$B$31/Projects!$D$31,"")</f>
        <v/>
      </c>
      <c r="CX33" s="567">
        <f>IF(AND(Projects!$C$31&lt;=CX$4,CX$4&lt;=Projects!$C$31+Projects!$D$31-1),Projects!$B$31/Projects!$D$31,"")</f>
        <v/>
      </c>
      <c r="CY33" s="567">
        <f>IF(AND(Projects!$C$31&lt;=CY$4,CY$4&lt;=Projects!$C$31+Projects!$D$31-1),Projects!$B$31/Projects!$D$31,"")</f>
        <v/>
      </c>
      <c r="CZ33" s="567">
        <f>IF(AND(Projects!$C$31&lt;=CZ$4,CZ$4&lt;=Projects!$C$31+Projects!$D$31-1),Projects!$B$31/Projects!$D$31,"")</f>
        <v/>
      </c>
      <c r="DA33" s="567">
        <f>IF(AND(Projects!$C$31&lt;=DA$4,DA$4&lt;=Projects!$C$31+Projects!$D$31-1),Projects!$B$31/Projects!$D$31,"")</f>
        <v/>
      </c>
      <c r="DB33" s="567">
        <f>IF(AND(Projects!$C$31&lt;=DB$4,DB$4&lt;=Projects!$C$31+Projects!$D$31-1),Projects!$B$31/Projects!$D$31,"")</f>
        <v/>
      </c>
    </row>
    <row r="34" ht="15" customFormat="1" customHeight="1" s="380">
      <c r="A34" s="563" t="inlineStr">
        <is>
          <t>BD-16</t>
        </is>
      </c>
      <c r="B34" s="564">
        <f>Projects!$B$32</f>
        <v/>
      </c>
      <c r="C34" s="565">
        <f>EDATE(Model!$E$2,Projects!$C$32-1)</f>
        <v/>
      </c>
      <c r="D34" s="565">
        <f>EDATE(Model!$E$2,Projects!$C$32+Projects!$D$32-2)</f>
        <v/>
      </c>
      <c r="E34" s="566">
        <f>Projects!$D$32</f>
        <v/>
      </c>
      <c r="F34" s="564">
        <f>Projects!$B$32/Projects!$D$32</f>
        <v/>
      </c>
      <c r="G34" s="567">
        <f>IF(AND(Projects!$C$32&lt;=G$4,G$4&lt;=Projects!$C$32+Projects!$D$32-1),Projects!$B$32/Projects!$D$32,"")</f>
        <v/>
      </c>
      <c r="H34" s="567">
        <f>IF(AND(Projects!$C$32&lt;=H$4,H$4&lt;=Projects!$C$32+Projects!$D$32-1),Projects!$B$32/Projects!$D$32,"")</f>
        <v/>
      </c>
      <c r="I34" s="567">
        <f>IF(AND(Projects!$C$32&lt;=I$4,I$4&lt;=Projects!$C$32+Projects!$D$32-1),Projects!$B$32/Projects!$D$32,"")</f>
        <v/>
      </c>
      <c r="J34" s="567">
        <f>IF(AND(Projects!$C$32&lt;=J$4,J$4&lt;=Projects!$C$32+Projects!$D$32-1),Projects!$B$32/Projects!$D$32,"")</f>
        <v/>
      </c>
      <c r="K34" s="567">
        <f>IF(AND(Projects!$C$32&lt;=K$4,K$4&lt;=Projects!$C$32+Projects!$D$32-1),Projects!$B$32/Projects!$D$32,"")</f>
        <v/>
      </c>
      <c r="L34" s="567">
        <f>IF(AND(Projects!$C$32&lt;=L$4,L$4&lt;=Projects!$C$32+Projects!$D$32-1),Projects!$B$32/Projects!$D$32,"")</f>
        <v/>
      </c>
      <c r="M34" s="567">
        <f>IF(AND(Projects!$C$32&lt;=M$4,M$4&lt;=Projects!$C$32+Projects!$D$32-1),Projects!$B$32/Projects!$D$32,"")</f>
        <v/>
      </c>
      <c r="N34" s="567">
        <f>IF(AND(Projects!$C$32&lt;=N$4,N$4&lt;=Projects!$C$32+Projects!$D$32-1),Projects!$B$32/Projects!$D$32,"")</f>
        <v/>
      </c>
      <c r="O34" s="567">
        <f>IF(AND(Projects!$C$32&lt;=O$4,O$4&lt;=Projects!$C$32+Projects!$D$32-1),Projects!$B$32/Projects!$D$32,"")</f>
        <v/>
      </c>
      <c r="P34" s="567">
        <f>IF(AND(Projects!$C$32&lt;=P$4,P$4&lt;=Projects!$C$32+Projects!$D$32-1),Projects!$B$32/Projects!$D$32,"")</f>
        <v/>
      </c>
      <c r="Q34" s="567">
        <f>IF(AND(Projects!$C$32&lt;=Q$4,Q$4&lt;=Projects!$C$32+Projects!$D$32-1),Projects!$B$32/Projects!$D$32,"")</f>
        <v/>
      </c>
      <c r="R34" s="567">
        <f>IF(AND(Projects!$C$32&lt;=R$4,R$4&lt;=Projects!$C$32+Projects!$D$32-1),Projects!$B$32/Projects!$D$32,"")</f>
        <v/>
      </c>
      <c r="S34" s="567">
        <f>IF(AND(Projects!$C$32&lt;=S$4,S$4&lt;=Projects!$C$32+Projects!$D$32-1),Projects!$B$32/Projects!$D$32,"")</f>
        <v/>
      </c>
      <c r="T34" s="567">
        <f>IF(AND(Projects!$C$32&lt;=T$4,T$4&lt;=Projects!$C$32+Projects!$D$32-1),Projects!$B$32/Projects!$D$32,"")</f>
        <v/>
      </c>
      <c r="U34" s="567">
        <f>IF(AND(Projects!$C$32&lt;=U$4,U$4&lt;=Projects!$C$32+Projects!$D$32-1),Projects!$B$32/Projects!$D$32,"")</f>
        <v/>
      </c>
      <c r="V34" s="567">
        <f>IF(AND(Projects!$C$32&lt;=V$4,V$4&lt;=Projects!$C$32+Projects!$D$32-1),Projects!$B$32/Projects!$D$32,"")</f>
        <v/>
      </c>
      <c r="W34" s="567">
        <f>IF(AND(Projects!$C$32&lt;=W$4,W$4&lt;=Projects!$C$32+Projects!$D$32-1),Projects!$B$32/Projects!$D$32,"")</f>
        <v/>
      </c>
      <c r="X34" s="567">
        <f>IF(AND(Projects!$C$32&lt;=X$4,X$4&lt;=Projects!$C$32+Projects!$D$32-1),Projects!$B$32/Projects!$D$32,"")</f>
        <v/>
      </c>
      <c r="Y34" s="567">
        <f>IF(AND(Projects!$C$32&lt;=Y$4,Y$4&lt;=Projects!$C$32+Projects!$D$32-1),Projects!$B$32/Projects!$D$32,"")</f>
        <v/>
      </c>
      <c r="Z34" s="567">
        <f>IF(AND(Projects!$C$32&lt;=Z$4,Z$4&lt;=Projects!$C$32+Projects!$D$32-1),Projects!$B$32/Projects!$D$32,"")</f>
        <v/>
      </c>
      <c r="AA34" s="567">
        <f>IF(AND(Projects!$C$32&lt;=AA$4,AA$4&lt;=Projects!$C$32+Projects!$D$32-1),Projects!$B$32/Projects!$D$32,"")</f>
        <v/>
      </c>
      <c r="AB34" s="567">
        <f>IF(AND(Projects!$C$32&lt;=AB$4,AB$4&lt;=Projects!$C$32+Projects!$D$32-1),Projects!$B$32/Projects!$D$32,"")</f>
        <v/>
      </c>
      <c r="AC34" s="567">
        <f>IF(AND(Projects!$C$32&lt;=AC$4,AC$4&lt;=Projects!$C$32+Projects!$D$32-1),Projects!$B$32/Projects!$D$32,"")</f>
        <v/>
      </c>
      <c r="AD34" s="567">
        <f>IF(AND(Projects!$C$32&lt;=AD$4,AD$4&lt;=Projects!$C$32+Projects!$D$32-1),Projects!$B$32/Projects!$D$32,"")</f>
        <v/>
      </c>
      <c r="AE34" s="567">
        <f>IF(AND(Projects!$C$32&lt;=AE$4,AE$4&lt;=Projects!$C$32+Projects!$D$32-1),Projects!$B$32/Projects!$D$32,"")</f>
        <v/>
      </c>
      <c r="AF34" s="567">
        <f>IF(AND(Projects!$C$32&lt;=AF$4,AF$4&lt;=Projects!$C$32+Projects!$D$32-1),Projects!$B$32/Projects!$D$32,"")</f>
        <v/>
      </c>
      <c r="AG34" s="567">
        <f>IF(AND(Projects!$C$32&lt;=AG$4,AG$4&lt;=Projects!$C$32+Projects!$D$32-1),Projects!$B$32/Projects!$D$32,"")</f>
        <v/>
      </c>
      <c r="AH34" s="567">
        <f>IF(AND(Projects!$C$32&lt;=AH$4,AH$4&lt;=Projects!$C$32+Projects!$D$32-1),Projects!$B$32/Projects!$D$32,"")</f>
        <v/>
      </c>
      <c r="AI34" s="567">
        <f>IF(AND(Projects!$C$32&lt;=AI$4,AI$4&lt;=Projects!$C$32+Projects!$D$32-1),Projects!$B$32/Projects!$D$32,"")</f>
        <v/>
      </c>
      <c r="AJ34" s="567">
        <f>IF(AND(Projects!$C$32&lt;=AJ$4,AJ$4&lt;=Projects!$C$32+Projects!$D$32-1),Projects!$B$32/Projects!$D$32,"")</f>
        <v/>
      </c>
      <c r="AK34" s="567">
        <f>IF(AND(Projects!$C$32&lt;=AK$4,AK$4&lt;=Projects!$C$32+Projects!$D$32-1),Projects!$B$32/Projects!$D$32,"")</f>
        <v/>
      </c>
      <c r="AL34" s="567">
        <f>IF(AND(Projects!$C$32&lt;=AL$4,AL$4&lt;=Projects!$C$32+Projects!$D$32-1),Projects!$B$32/Projects!$D$32,"")</f>
        <v/>
      </c>
      <c r="AM34" s="567">
        <f>IF(AND(Projects!$C$32&lt;=AM$4,AM$4&lt;=Projects!$C$32+Projects!$D$32-1),Projects!$B$32/Projects!$D$32,"")</f>
        <v/>
      </c>
      <c r="AN34" s="567">
        <f>IF(AND(Projects!$C$32&lt;=AN$4,AN$4&lt;=Projects!$C$32+Projects!$D$32-1),Projects!$B$32/Projects!$D$32,"")</f>
        <v/>
      </c>
      <c r="AO34" s="567">
        <f>IF(AND(Projects!$C$32&lt;=AO$4,AO$4&lt;=Projects!$C$32+Projects!$D$32-1),Projects!$B$32/Projects!$D$32,"")</f>
        <v/>
      </c>
      <c r="AP34" s="567">
        <f>IF(AND(Projects!$C$32&lt;=AP$4,AP$4&lt;=Projects!$C$32+Projects!$D$32-1),Projects!$B$32/Projects!$D$32,"")</f>
        <v/>
      </c>
      <c r="AQ34" s="567">
        <f>IF(AND(Projects!$C$32&lt;=AQ$4,AQ$4&lt;=Projects!$C$32+Projects!$D$32-1),Projects!$B$32/Projects!$D$32,"")</f>
        <v/>
      </c>
      <c r="AR34" s="567">
        <f>IF(AND(Projects!$C$32&lt;=AR$4,AR$4&lt;=Projects!$C$32+Projects!$D$32-1),Projects!$B$32/Projects!$D$32,"")</f>
        <v/>
      </c>
      <c r="AS34" s="567">
        <f>IF(AND(Projects!$C$32&lt;=AS$4,AS$4&lt;=Projects!$C$32+Projects!$D$32-1),Projects!$B$32/Projects!$D$32,"")</f>
        <v/>
      </c>
      <c r="AT34" s="567">
        <f>IF(AND(Projects!$C$32&lt;=AT$4,AT$4&lt;=Projects!$C$32+Projects!$D$32-1),Projects!$B$32/Projects!$D$32,"")</f>
        <v/>
      </c>
      <c r="AU34" s="567">
        <f>IF(AND(Projects!$C$32&lt;=AU$4,AU$4&lt;=Projects!$C$32+Projects!$D$32-1),Projects!$B$32/Projects!$D$32,"")</f>
        <v/>
      </c>
      <c r="AV34" s="567">
        <f>IF(AND(Projects!$C$32&lt;=AV$4,AV$4&lt;=Projects!$C$32+Projects!$D$32-1),Projects!$B$32/Projects!$D$32,"")</f>
        <v/>
      </c>
      <c r="AW34" s="567">
        <f>IF(AND(Projects!$C$32&lt;=AW$4,AW$4&lt;=Projects!$C$32+Projects!$D$32-1),Projects!$B$32/Projects!$D$32,"")</f>
        <v/>
      </c>
      <c r="AX34" s="567">
        <f>IF(AND(Projects!$C$32&lt;=AX$4,AX$4&lt;=Projects!$C$32+Projects!$D$32-1),Projects!$B$32/Projects!$D$32,"")</f>
        <v/>
      </c>
      <c r="AY34" s="567">
        <f>IF(AND(Projects!$C$32&lt;=AY$4,AY$4&lt;=Projects!$C$32+Projects!$D$32-1),Projects!$B$32/Projects!$D$32,"")</f>
        <v/>
      </c>
      <c r="AZ34" s="567">
        <f>IF(AND(Projects!$C$32&lt;=AZ$4,AZ$4&lt;=Projects!$C$32+Projects!$D$32-1),Projects!$B$32/Projects!$D$32,"")</f>
        <v/>
      </c>
      <c r="BA34" s="567">
        <f>IF(AND(Projects!$C$32&lt;=BA$4,BA$4&lt;=Projects!$C$32+Projects!$D$32-1),Projects!$B$32/Projects!$D$32,"")</f>
        <v/>
      </c>
      <c r="BB34" s="567">
        <f>IF(AND(Projects!$C$32&lt;=BB$4,BB$4&lt;=Projects!$C$32+Projects!$D$32-1),Projects!$B$32/Projects!$D$32,"")</f>
        <v/>
      </c>
      <c r="BC34" s="567">
        <f>IF(AND(Projects!$C$32&lt;=BC$4,BC$4&lt;=Projects!$C$32+Projects!$D$32-1),Projects!$B$32/Projects!$D$32,"")</f>
        <v/>
      </c>
      <c r="BD34" s="567">
        <f>IF(AND(Projects!$C$32&lt;=BD$4,BD$4&lt;=Projects!$C$32+Projects!$D$32-1),Projects!$B$32/Projects!$D$32,"")</f>
        <v/>
      </c>
      <c r="BE34" s="567">
        <f>IF(AND(Projects!$C$32&lt;=BE$4,BE$4&lt;=Projects!$C$32+Projects!$D$32-1),Projects!$B$32/Projects!$D$32,"")</f>
        <v/>
      </c>
      <c r="BF34" s="567">
        <f>IF(AND(Projects!$C$32&lt;=BF$4,BF$4&lt;=Projects!$C$32+Projects!$D$32-1),Projects!$B$32/Projects!$D$32,"")</f>
        <v/>
      </c>
      <c r="BG34" s="567">
        <f>IF(AND(Projects!$C$32&lt;=BG$4,BG$4&lt;=Projects!$C$32+Projects!$D$32-1),Projects!$B$32/Projects!$D$32,"")</f>
        <v/>
      </c>
      <c r="BH34" s="567">
        <f>IF(AND(Projects!$C$32&lt;=BH$4,BH$4&lt;=Projects!$C$32+Projects!$D$32-1),Projects!$B$32/Projects!$D$32,"")</f>
        <v/>
      </c>
      <c r="BI34" s="567">
        <f>IF(AND(Projects!$C$32&lt;=BI$4,BI$4&lt;=Projects!$C$32+Projects!$D$32-1),Projects!$B$32/Projects!$D$32,"")</f>
        <v/>
      </c>
      <c r="BJ34" s="567">
        <f>IF(AND(Projects!$C$32&lt;=BJ$4,BJ$4&lt;=Projects!$C$32+Projects!$D$32-1),Projects!$B$32/Projects!$D$32,"")</f>
        <v/>
      </c>
      <c r="BK34" s="567">
        <f>IF(AND(Projects!$C$32&lt;=BK$4,BK$4&lt;=Projects!$C$32+Projects!$D$32-1),Projects!$B$32/Projects!$D$32,"")</f>
        <v/>
      </c>
      <c r="BL34" s="567">
        <f>IF(AND(Projects!$C$32&lt;=BL$4,BL$4&lt;=Projects!$C$32+Projects!$D$32-1),Projects!$B$32/Projects!$D$32,"")</f>
        <v/>
      </c>
      <c r="BM34" s="567">
        <f>IF(AND(Projects!$C$32&lt;=BM$4,BM$4&lt;=Projects!$C$32+Projects!$D$32-1),Projects!$B$32/Projects!$D$32,"")</f>
        <v/>
      </c>
      <c r="BN34" s="567">
        <f>IF(AND(Projects!$C$32&lt;=BN$4,BN$4&lt;=Projects!$C$32+Projects!$D$32-1),Projects!$B$32/Projects!$D$32,"")</f>
        <v/>
      </c>
      <c r="BO34" s="567">
        <f>IF(AND(Projects!$C$32&lt;=BO$4,BO$4&lt;=Projects!$C$32+Projects!$D$32-1),Projects!$B$32/Projects!$D$32,"")</f>
        <v/>
      </c>
      <c r="BP34" s="567">
        <f>IF(AND(Projects!$C$32&lt;=BP$4,BP$4&lt;=Projects!$C$32+Projects!$D$32-1),Projects!$B$32/Projects!$D$32,"")</f>
        <v/>
      </c>
      <c r="BQ34" s="567">
        <f>IF(AND(Projects!$C$32&lt;=BQ$4,BQ$4&lt;=Projects!$C$32+Projects!$D$32-1),Projects!$B$32/Projects!$D$32,"")</f>
        <v/>
      </c>
      <c r="BR34" s="567">
        <f>IF(AND(Projects!$C$32&lt;=BR$4,BR$4&lt;=Projects!$C$32+Projects!$D$32-1),Projects!$B$32/Projects!$D$32,"")</f>
        <v/>
      </c>
      <c r="BS34" s="567">
        <f>IF(AND(Projects!$C$32&lt;=BS$4,BS$4&lt;=Projects!$C$32+Projects!$D$32-1),Projects!$B$32/Projects!$D$32,"")</f>
        <v/>
      </c>
      <c r="BT34" s="567">
        <f>IF(AND(Projects!$C$32&lt;=BT$4,BT$4&lt;=Projects!$C$32+Projects!$D$32-1),Projects!$B$32/Projects!$D$32,"")</f>
        <v/>
      </c>
      <c r="BU34" s="567">
        <f>IF(AND(Projects!$C$32&lt;=BU$4,BU$4&lt;=Projects!$C$32+Projects!$D$32-1),Projects!$B$32/Projects!$D$32,"")</f>
        <v/>
      </c>
      <c r="BV34" s="567">
        <f>IF(AND(Projects!$C$32&lt;=BV$4,BV$4&lt;=Projects!$C$32+Projects!$D$32-1),Projects!$B$32/Projects!$D$32,"")</f>
        <v/>
      </c>
      <c r="BW34" s="567">
        <f>IF(AND(Projects!$C$32&lt;=BW$4,BW$4&lt;=Projects!$C$32+Projects!$D$32-1),Projects!$B$32/Projects!$D$32,"")</f>
        <v/>
      </c>
      <c r="BX34" s="567">
        <f>IF(AND(Projects!$C$32&lt;=BX$4,BX$4&lt;=Projects!$C$32+Projects!$D$32-1),Projects!$B$32/Projects!$D$32,"")</f>
        <v/>
      </c>
      <c r="BY34" s="567">
        <f>IF(AND(Projects!$C$32&lt;=BY$4,BY$4&lt;=Projects!$C$32+Projects!$D$32-1),Projects!$B$32/Projects!$D$32,"")</f>
        <v/>
      </c>
      <c r="BZ34" s="567">
        <f>IF(AND(Projects!$C$32&lt;=BZ$4,BZ$4&lt;=Projects!$C$32+Projects!$D$32-1),Projects!$B$32/Projects!$D$32,"")</f>
        <v/>
      </c>
      <c r="CA34" s="567">
        <f>IF(AND(Projects!$C$32&lt;=CA$4,CA$4&lt;=Projects!$C$32+Projects!$D$32-1),Projects!$B$32/Projects!$D$32,"")</f>
        <v/>
      </c>
      <c r="CB34" s="567">
        <f>IF(AND(Projects!$C$32&lt;=CB$4,CB$4&lt;=Projects!$C$32+Projects!$D$32-1),Projects!$B$32/Projects!$D$32,"")</f>
        <v/>
      </c>
      <c r="CC34" s="567">
        <f>IF(AND(Projects!$C$32&lt;=CC$4,CC$4&lt;=Projects!$C$32+Projects!$D$32-1),Projects!$B$32/Projects!$D$32,"")</f>
        <v/>
      </c>
      <c r="CD34" s="567">
        <f>IF(AND(Projects!$C$32&lt;=CD$4,CD$4&lt;=Projects!$C$32+Projects!$D$32-1),Projects!$B$32/Projects!$D$32,"")</f>
        <v/>
      </c>
      <c r="CE34" s="567">
        <f>IF(AND(Projects!$C$32&lt;=CE$4,CE$4&lt;=Projects!$C$32+Projects!$D$32-1),Projects!$B$32/Projects!$D$32,"")</f>
        <v/>
      </c>
      <c r="CF34" s="567">
        <f>IF(AND(Projects!$C$32&lt;=CF$4,CF$4&lt;=Projects!$C$32+Projects!$D$32-1),Projects!$B$32/Projects!$D$32,"")</f>
        <v/>
      </c>
      <c r="CG34" s="567">
        <f>IF(AND(Projects!$C$32&lt;=CG$4,CG$4&lt;=Projects!$C$32+Projects!$D$32-1),Projects!$B$32/Projects!$D$32,"")</f>
        <v/>
      </c>
      <c r="CH34" s="567">
        <f>IF(AND(Projects!$C$32&lt;=CH$4,CH$4&lt;=Projects!$C$32+Projects!$D$32-1),Projects!$B$32/Projects!$D$32,"")</f>
        <v/>
      </c>
      <c r="CI34" s="567">
        <f>IF(AND(Projects!$C$32&lt;=CI$4,CI$4&lt;=Projects!$C$32+Projects!$D$32-1),Projects!$B$32/Projects!$D$32,"")</f>
        <v/>
      </c>
      <c r="CJ34" s="567">
        <f>IF(AND(Projects!$C$32&lt;=CJ$4,CJ$4&lt;=Projects!$C$32+Projects!$D$32-1),Projects!$B$32/Projects!$D$32,"")</f>
        <v/>
      </c>
      <c r="CK34" s="567">
        <f>IF(AND(Projects!$C$32&lt;=CK$4,CK$4&lt;=Projects!$C$32+Projects!$D$32-1),Projects!$B$32/Projects!$D$32,"")</f>
        <v/>
      </c>
      <c r="CL34" s="567">
        <f>IF(AND(Projects!$C$32&lt;=CL$4,CL$4&lt;=Projects!$C$32+Projects!$D$32-1),Projects!$B$32/Projects!$D$32,"")</f>
        <v/>
      </c>
      <c r="CM34" s="567">
        <f>IF(AND(Projects!$C$32&lt;=CM$4,CM$4&lt;=Projects!$C$32+Projects!$D$32-1),Projects!$B$32/Projects!$D$32,"")</f>
        <v/>
      </c>
      <c r="CN34" s="567">
        <f>IF(AND(Projects!$C$32&lt;=CN$4,CN$4&lt;=Projects!$C$32+Projects!$D$32-1),Projects!$B$32/Projects!$D$32,"")</f>
        <v/>
      </c>
      <c r="CO34" s="567">
        <f>IF(AND(Projects!$C$32&lt;=CO$4,CO$4&lt;=Projects!$C$32+Projects!$D$32-1),Projects!$B$32/Projects!$D$32,"")</f>
        <v/>
      </c>
      <c r="CP34" s="567">
        <f>IF(AND(Projects!$C$32&lt;=CP$4,CP$4&lt;=Projects!$C$32+Projects!$D$32-1),Projects!$B$32/Projects!$D$32,"")</f>
        <v/>
      </c>
      <c r="CQ34" s="567">
        <f>IF(AND(Projects!$C$32&lt;=CQ$4,CQ$4&lt;=Projects!$C$32+Projects!$D$32-1),Projects!$B$32/Projects!$D$32,"")</f>
        <v/>
      </c>
      <c r="CR34" s="567">
        <f>IF(AND(Projects!$C$32&lt;=CR$4,CR$4&lt;=Projects!$C$32+Projects!$D$32-1),Projects!$B$32/Projects!$D$32,"")</f>
        <v/>
      </c>
      <c r="CS34" s="567">
        <f>IF(AND(Projects!$C$32&lt;=CS$4,CS$4&lt;=Projects!$C$32+Projects!$D$32-1),Projects!$B$32/Projects!$D$32,"")</f>
        <v/>
      </c>
      <c r="CT34" s="567">
        <f>IF(AND(Projects!$C$32&lt;=CT$4,CT$4&lt;=Projects!$C$32+Projects!$D$32-1),Projects!$B$32/Projects!$D$32,"")</f>
        <v/>
      </c>
      <c r="CU34" s="567">
        <f>IF(AND(Projects!$C$32&lt;=CU$4,CU$4&lt;=Projects!$C$32+Projects!$D$32-1),Projects!$B$32/Projects!$D$32,"")</f>
        <v/>
      </c>
      <c r="CV34" s="567">
        <f>IF(AND(Projects!$C$32&lt;=CV$4,CV$4&lt;=Projects!$C$32+Projects!$D$32-1),Projects!$B$32/Projects!$D$32,"")</f>
        <v/>
      </c>
      <c r="CW34" s="567">
        <f>IF(AND(Projects!$C$32&lt;=CW$4,CW$4&lt;=Projects!$C$32+Projects!$D$32-1),Projects!$B$32/Projects!$D$32,"")</f>
        <v/>
      </c>
      <c r="CX34" s="567">
        <f>IF(AND(Projects!$C$32&lt;=CX$4,CX$4&lt;=Projects!$C$32+Projects!$D$32-1),Projects!$B$32/Projects!$D$32,"")</f>
        <v/>
      </c>
      <c r="CY34" s="567">
        <f>IF(AND(Projects!$C$32&lt;=CY$4,CY$4&lt;=Projects!$C$32+Projects!$D$32-1),Projects!$B$32/Projects!$D$32,"")</f>
        <v/>
      </c>
      <c r="CZ34" s="567">
        <f>IF(AND(Projects!$C$32&lt;=CZ$4,CZ$4&lt;=Projects!$C$32+Projects!$D$32-1),Projects!$B$32/Projects!$D$32,"")</f>
        <v/>
      </c>
      <c r="DA34" s="567">
        <f>IF(AND(Projects!$C$32&lt;=DA$4,DA$4&lt;=Projects!$C$32+Projects!$D$32-1),Projects!$B$32/Projects!$D$32,"")</f>
        <v/>
      </c>
      <c r="DB34" s="567">
        <f>IF(AND(Projects!$C$32&lt;=DB$4,DB$4&lt;=Projects!$C$32+Projects!$D$32-1),Projects!$B$32/Projects!$D$32,"")</f>
        <v/>
      </c>
    </row>
    <row r="35" ht="15" customFormat="1" customHeight="1" s="380">
      <c r="A35" s="563" t="inlineStr">
        <is>
          <t>BD-17</t>
        </is>
      </c>
      <c r="B35" s="564">
        <f>Projects!$B$33</f>
        <v/>
      </c>
      <c r="C35" s="565">
        <f>EDATE(Model!$E$2,Projects!$C$33-1)</f>
        <v/>
      </c>
      <c r="D35" s="565">
        <f>EDATE(Model!$E$2,Projects!$C$33+Projects!$D$33-2)</f>
        <v/>
      </c>
      <c r="E35" s="566">
        <f>Projects!$D$33</f>
        <v/>
      </c>
      <c r="F35" s="564">
        <f>Projects!$B$33/Projects!$D$33</f>
        <v/>
      </c>
      <c r="G35" s="567">
        <f>IF(AND(Projects!$C$33&lt;=G$4,G$4&lt;=Projects!$C$33+Projects!$D$33-1),Projects!$B$33/Projects!$D$33,"")</f>
        <v/>
      </c>
      <c r="H35" s="567">
        <f>IF(AND(Projects!$C$33&lt;=H$4,H$4&lt;=Projects!$C$33+Projects!$D$33-1),Projects!$B$33/Projects!$D$33,"")</f>
        <v/>
      </c>
      <c r="I35" s="567">
        <f>IF(AND(Projects!$C$33&lt;=I$4,I$4&lt;=Projects!$C$33+Projects!$D$33-1),Projects!$B$33/Projects!$D$33,"")</f>
        <v/>
      </c>
      <c r="J35" s="567">
        <f>IF(AND(Projects!$C$33&lt;=J$4,J$4&lt;=Projects!$C$33+Projects!$D$33-1),Projects!$B$33/Projects!$D$33,"")</f>
        <v/>
      </c>
      <c r="K35" s="567">
        <f>IF(AND(Projects!$C$33&lt;=K$4,K$4&lt;=Projects!$C$33+Projects!$D$33-1),Projects!$B$33/Projects!$D$33,"")</f>
        <v/>
      </c>
      <c r="L35" s="567">
        <f>IF(AND(Projects!$C$33&lt;=L$4,L$4&lt;=Projects!$C$33+Projects!$D$33-1),Projects!$B$33/Projects!$D$33,"")</f>
        <v/>
      </c>
      <c r="M35" s="567">
        <f>IF(AND(Projects!$C$33&lt;=M$4,M$4&lt;=Projects!$C$33+Projects!$D$33-1),Projects!$B$33/Projects!$D$33,"")</f>
        <v/>
      </c>
      <c r="N35" s="567">
        <f>IF(AND(Projects!$C$33&lt;=N$4,N$4&lt;=Projects!$C$33+Projects!$D$33-1),Projects!$B$33/Projects!$D$33,"")</f>
        <v/>
      </c>
      <c r="O35" s="567">
        <f>IF(AND(Projects!$C$33&lt;=O$4,O$4&lt;=Projects!$C$33+Projects!$D$33-1),Projects!$B$33/Projects!$D$33,"")</f>
        <v/>
      </c>
      <c r="P35" s="567">
        <f>IF(AND(Projects!$C$33&lt;=P$4,P$4&lt;=Projects!$C$33+Projects!$D$33-1),Projects!$B$33/Projects!$D$33,"")</f>
        <v/>
      </c>
      <c r="Q35" s="567">
        <f>IF(AND(Projects!$C$33&lt;=Q$4,Q$4&lt;=Projects!$C$33+Projects!$D$33-1),Projects!$B$33/Projects!$D$33,"")</f>
        <v/>
      </c>
      <c r="R35" s="567">
        <f>IF(AND(Projects!$C$33&lt;=R$4,R$4&lt;=Projects!$C$33+Projects!$D$33-1),Projects!$B$33/Projects!$D$33,"")</f>
        <v/>
      </c>
      <c r="S35" s="567">
        <f>IF(AND(Projects!$C$33&lt;=S$4,S$4&lt;=Projects!$C$33+Projects!$D$33-1),Projects!$B$33/Projects!$D$33,"")</f>
        <v/>
      </c>
      <c r="T35" s="567">
        <f>IF(AND(Projects!$C$33&lt;=T$4,T$4&lt;=Projects!$C$33+Projects!$D$33-1),Projects!$B$33/Projects!$D$33,"")</f>
        <v/>
      </c>
      <c r="U35" s="567">
        <f>IF(AND(Projects!$C$33&lt;=U$4,U$4&lt;=Projects!$C$33+Projects!$D$33-1),Projects!$B$33/Projects!$D$33,"")</f>
        <v/>
      </c>
      <c r="V35" s="567">
        <f>IF(AND(Projects!$C$33&lt;=V$4,V$4&lt;=Projects!$C$33+Projects!$D$33-1),Projects!$B$33/Projects!$D$33,"")</f>
        <v/>
      </c>
      <c r="W35" s="567">
        <f>IF(AND(Projects!$C$33&lt;=W$4,W$4&lt;=Projects!$C$33+Projects!$D$33-1),Projects!$B$33/Projects!$D$33,"")</f>
        <v/>
      </c>
      <c r="X35" s="567">
        <f>IF(AND(Projects!$C$33&lt;=X$4,X$4&lt;=Projects!$C$33+Projects!$D$33-1),Projects!$B$33/Projects!$D$33,"")</f>
        <v/>
      </c>
      <c r="Y35" s="567">
        <f>IF(AND(Projects!$C$33&lt;=Y$4,Y$4&lt;=Projects!$C$33+Projects!$D$33-1),Projects!$B$33/Projects!$D$33,"")</f>
        <v/>
      </c>
      <c r="Z35" s="567">
        <f>IF(AND(Projects!$C$33&lt;=Z$4,Z$4&lt;=Projects!$C$33+Projects!$D$33-1),Projects!$B$33/Projects!$D$33,"")</f>
        <v/>
      </c>
      <c r="AA35" s="567">
        <f>IF(AND(Projects!$C$33&lt;=AA$4,AA$4&lt;=Projects!$C$33+Projects!$D$33-1),Projects!$B$33/Projects!$D$33,"")</f>
        <v/>
      </c>
      <c r="AB35" s="567">
        <f>IF(AND(Projects!$C$33&lt;=AB$4,AB$4&lt;=Projects!$C$33+Projects!$D$33-1),Projects!$B$33/Projects!$D$33,"")</f>
        <v/>
      </c>
      <c r="AC35" s="567">
        <f>IF(AND(Projects!$C$33&lt;=AC$4,AC$4&lt;=Projects!$C$33+Projects!$D$33-1),Projects!$B$33/Projects!$D$33,"")</f>
        <v/>
      </c>
      <c r="AD35" s="567">
        <f>IF(AND(Projects!$C$33&lt;=AD$4,AD$4&lt;=Projects!$C$33+Projects!$D$33-1),Projects!$B$33/Projects!$D$33,"")</f>
        <v/>
      </c>
      <c r="AE35" s="567">
        <f>IF(AND(Projects!$C$33&lt;=AE$4,AE$4&lt;=Projects!$C$33+Projects!$D$33-1),Projects!$B$33/Projects!$D$33,"")</f>
        <v/>
      </c>
      <c r="AF35" s="567">
        <f>IF(AND(Projects!$C$33&lt;=AF$4,AF$4&lt;=Projects!$C$33+Projects!$D$33-1),Projects!$B$33/Projects!$D$33,"")</f>
        <v/>
      </c>
      <c r="AG35" s="567">
        <f>IF(AND(Projects!$C$33&lt;=AG$4,AG$4&lt;=Projects!$C$33+Projects!$D$33-1),Projects!$B$33/Projects!$D$33,"")</f>
        <v/>
      </c>
      <c r="AH35" s="567">
        <f>IF(AND(Projects!$C$33&lt;=AH$4,AH$4&lt;=Projects!$C$33+Projects!$D$33-1),Projects!$B$33/Projects!$D$33,"")</f>
        <v/>
      </c>
      <c r="AI35" s="567">
        <f>IF(AND(Projects!$C$33&lt;=AI$4,AI$4&lt;=Projects!$C$33+Projects!$D$33-1),Projects!$B$33/Projects!$D$33,"")</f>
        <v/>
      </c>
      <c r="AJ35" s="567">
        <f>IF(AND(Projects!$C$33&lt;=AJ$4,AJ$4&lt;=Projects!$C$33+Projects!$D$33-1),Projects!$B$33/Projects!$D$33,"")</f>
        <v/>
      </c>
      <c r="AK35" s="567">
        <f>IF(AND(Projects!$C$33&lt;=AK$4,AK$4&lt;=Projects!$C$33+Projects!$D$33-1),Projects!$B$33/Projects!$D$33,"")</f>
        <v/>
      </c>
      <c r="AL35" s="567">
        <f>IF(AND(Projects!$C$33&lt;=AL$4,AL$4&lt;=Projects!$C$33+Projects!$D$33-1),Projects!$B$33/Projects!$D$33,"")</f>
        <v/>
      </c>
      <c r="AM35" s="567">
        <f>IF(AND(Projects!$C$33&lt;=AM$4,AM$4&lt;=Projects!$C$33+Projects!$D$33-1),Projects!$B$33/Projects!$D$33,"")</f>
        <v/>
      </c>
      <c r="AN35" s="567">
        <f>IF(AND(Projects!$C$33&lt;=AN$4,AN$4&lt;=Projects!$C$33+Projects!$D$33-1),Projects!$B$33/Projects!$D$33,"")</f>
        <v/>
      </c>
      <c r="AO35" s="567">
        <f>IF(AND(Projects!$C$33&lt;=AO$4,AO$4&lt;=Projects!$C$33+Projects!$D$33-1),Projects!$B$33/Projects!$D$33,"")</f>
        <v/>
      </c>
      <c r="AP35" s="567">
        <f>IF(AND(Projects!$C$33&lt;=AP$4,AP$4&lt;=Projects!$C$33+Projects!$D$33-1),Projects!$B$33/Projects!$D$33,"")</f>
        <v/>
      </c>
      <c r="AQ35" s="567">
        <f>IF(AND(Projects!$C$33&lt;=AQ$4,AQ$4&lt;=Projects!$C$33+Projects!$D$33-1),Projects!$B$33/Projects!$D$33,"")</f>
        <v/>
      </c>
      <c r="AR35" s="567">
        <f>IF(AND(Projects!$C$33&lt;=AR$4,AR$4&lt;=Projects!$C$33+Projects!$D$33-1),Projects!$B$33/Projects!$D$33,"")</f>
        <v/>
      </c>
      <c r="AS35" s="567">
        <f>IF(AND(Projects!$C$33&lt;=AS$4,AS$4&lt;=Projects!$C$33+Projects!$D$33-1),Projects!$B$33/Projects!$D$33,"")</f>
        <v/>
      </c>
      <c r="AT35" s="567">
        <f>IF(AND(Projects!$C$33&lt;=AT$4,AT$4&lt;=Projects!$C$33+Projects!$D$33-1),Projects!$B$33/Projects!$D$33,"")</f>
        <v/>
      </c>
      <c r="AU35" s="567">
        <f>IF(AND(Projects!$C$33&lt;=AU$4,AU$4&lt;=Projects!$C$33+Projects!$D$33-1),Projects!$B$33/Projects!$D$33,"")</f>
        <v/>
      </c>
      <c r="AV35" s="567">
        <f>IF(AND(Projects!$C$33&lt;=AV$4,AV$4&lt;=Projects!$C$33+Projects!$D$33-1),Projects!$B$33/Projects!$D$33,"")</f>
        <v/>
      </c>
      <c r="AW35" s="567">
        <f>IF(AND(Projects!$C$33&lt;=AW$4,AW$4&lt;=Projects!$C$33+Projects!$D$33-1),Projects!$B$33/Projects!$D$33,"")</f>
        <v/>
      </c>
      <c r="AX35" s="567">
        <f>IF(AND(Projects!$C$33&lt;=AX$4,AX$4&lt;=Projects!$C$33+Projects!$D$33-1),Projects!$B$33/Projects!$D$33,"")</f>
        <v/>
      </c>
      <c r="AY35" s="567">
        <f>IF(AND(Projects!$C$33&lt;=AY$4,AY$4&lt;=Projects!$C$33+Projects!$D$33-1),Projects!$B$33/Projects!$D$33,"")</f>
        <v/>
      </c>
      <c r="AZ35" s="567">
        <f>IF(AND(Projects!$C$33&lt;=AZ$4,AZ$4&lt;=Projects!$C$33+Projects!$D$33-1),Projects!$B$33/Projects!$D$33,"")</f>
        <v/>
      </c>
      <c r="BA35" s="567">
        <f>IF(AND(Projects!$C$33&lt;=BA$4,BA$4&lt;=Projects!$C$33+Projects!$D$33-1),Projects!$B$33/Projects!$D$33,"")</f>
        <v/>
      </c>
      <c r="BB35" s="567">
        <f>IF(AND(Projects!$C$33&lt;=BB$4,BB$4&lt;=Projects!$C$33+Projects!$D$33-1),Projects!$B$33/Projects!$D$33,"")</f>
        <v/>
      </c>
      <c r="BC35" s="567">
        <f>IF(AND(Projects!$C$33&lt;=BC$4,BC$4&lt;=Projects!$C$33+Projects!$D$33-1),Projects!$B$33/Projects!$D$33,"")</f>
        <v/>
      </c>
      <c r="BD35" s="567">
        <f>IF(AND(Projects!$C$33&lt;=BD$4,BD$4&lt;=Projects!$C$33+Projects!$D$33-1),Projects!$B$33/Projects!$D$33,"")</f>
        <v/>
      </c>
      <c r="BE35" s="567">
        <f>IF(AND(Projects!$C$33&lt;=BE$4,BE$4&lt;=Projects!$C$33+Projects!$D$33-1),Projects!$B$33/Projects!$D$33,"")</f>
        <v/>
      </c>
      <c r="BF35" s="567">
        <f>IF(AND(Projects!$C$33&lt;=BF$4,BF$4&lt;=Projects!$C$33+Projects!$D$33-1),Projects!$B$33/Projects!$D$33,"")</f>
        <v/>
      </c>
      <c r="BG35" s="567">
        <f>IF(AND(Projects!$C$33&lt;=BG$4,BG$4&lt;=Projects!$C$33+Projects!$D$33-1),Projects!$B$33/Projects!$D$33,"")</f>
        <v/>
      </c>
      <c r="BH35" s="567">
        <f>IF(AND(Projects!$C$33&lt;=BH$4,BH$4&lt;=Projects!$C$33+Projects!$D$33-1),Projects!$B$33/Projects!$D$33,"")</f>
        <v/>
      </c>
      <c r="BI35" s="567">
        <f>IF(AND(Projects!$C$33&lt;=BI$4,BI$4&lt;=Projects!$C$33+Projects!$D$33-1),Projects!$B$33/Projects!$D$33,"")</f>
        <v/>
      </c>
      <c r="BJ35" s="567">
        <f>IF(AND(Projects!$C$33&lt;=BJ$4,BJ$4&lt;=Projects!$C$33+Projects!$D$33-1),Projects!$B$33/Projects!$D$33,"")</f>
        <v/>
      </c>
      <c r="BK35" s="567">
        <f>IF(AND(Projects!$C$33&lt;=BK$4,BK$4&lt;=Projects!$C$33+Projects!$D$33-1),Projects!$B$33/Projects!$D$33,"")</f>
        <v/>
      </c>
      <c r="BL35" s="567">
        <f>IF(AND(Projects!$C$33&lt;=BL$4,BL$4&lt;=Projects!$C$33+Projects!$D$33-1),Projects!$B$33/Projects!$D$33,"")</f>
        <v/>
      </c>
      <c r="BM35" s="567">
        <f>IF(AND(Projects!$C$33&lt;=BM$4,BM$4&lt;=Projects!$C$33+Projects!$D$33-1),Projects!$B$33/Projects!$D$33,"")</f>
        <v/>
      </c>
      <c r="BN35" s="567">
        <f>IF(AND(Projects!$C$33&lt;=BN$4,BN$4&lt;=Projects!$C$33+Projects!$D$33-1),Projects!$B$33/Projects!$D$33,"")</f>
        <v/>
      </c>
      <c r="BO35" s="567">
        <f>IF(AND(Projects!$C$33&lt;=BO$4,BO$4&lt;=Projects!$C$33+Projects!$D$33-1),Projects!$B$33/Projects!$D$33,"")</f>
        <v/>
      </c>
      <c r="BP35" s="567">
        <f>IF(AND(Projects!$C$33&lt;=BP$4,BP$4&lt;=Projects!$C$33+Projects!$D$33-1),Projects!$B$33/Projects!$D$33,"")</f>
        <v/>
      </c>
      <c r="BQ35" s="567">
        <f>IF(AND(Projects!$C$33&lt;=BQ$4,BQ$4&lt;=Projects!$C$33+Projects!$D$33-1),Projects!$B$33/Projects!$D$33,"")</f>
        <v/>
      </c>
      <c r="BR35" s="567">
        <f>IF(AND(Projects!$C$33&lt;=BR$4,BR$4&lt;=Projects!$C$33+Projects!$D$33-1),Projects!$B$33/Projects!$D$33,"")</f>
        <v/>
      </c>
      <c r="BS35" s="567">
        <f>IF(AND(Projects!$C$33&lt;=BS$4,BS$4&lt;=Projects!$C$33+Projects!$D$33-1),Projects!$B$33/Projects!$D$33,"")</f>
        <v/>
      </c>
      <c r="BT35" s="567">
        <f>IF(AND(Projects!$C$33&lt;=BT$4,BT$4&lt;=Projects!$C$33+Projects!$D$33-1),Projects!$B$33/Projects!$D$33,"")</f>
        <v/>
      </c>
      <c r="BU35" s="567">
        <f>IF(AND(Projects!$C$33&lt;=BU$4,BU$4&lt;=Projects!$C$33+Projects!$D$33-1),Projects!$B$33/Projects!$D$33,"")</f>
        <v/>
      </c>
      <c r="BV35" s="567">
        <f>IF(AND(Projects!$C$33&lt;=BV$4,BV$4&lt;=Projects!$C$33+Projects!$D$33-1),Projects!$B$33/Projects!$D$33,"")</f>
        <v/>
      </c>
      <c r="BW35" s="567">
        <f>IF(AND(Projects!$C$33&lt;=BW$4,BW$4&lt;=Projects!$C$33+Projects!$D$33-1),Projects!$B$33/Projects!$D$33,"")</f>
        <v/>
      </c>
      <c r="BX35" s="567">
        <f>IF(AND(Projects!$C$33&lt;=BX$4,BX$4&lt;=Projects!$C$33+Projects!$D$33-1),Projects!$B$33/Projects!$D$33,"")</f>
        <v/>
      </c>
      <c r="BY35" s="567">
        <f>IF(AND(Projects!$C$33&lt;=BY$4,BY$4&lt;=Projects!$C$33+Projects!$D$33-1),Projects!$B$33/Projects!$D$33,"")</f>
        <v/>
      </c>
      <c r="BZ35" s="567">
        <f>IF(AND(Projects!$C$33&lt;=BZ$4,BZ$4&lt;=Projects!$C$33+Projects!$D$33-1),Projects!$B$33/Projects!$D$33,"")</f>
        <v/>
      </c>
      <c r="CA35" s="567">
        <f>IF(AND(Projects!$C$33&lt;=CA$4,CA$4&lt;=Projects!$C$33+Projects!$D$33-1),Projects!$B$33/Projects!$D$33,"")</f>
        <v/>
      </c>
      <c r="CB35" s="567">
        <f>IF(AND(Projects!$C$33&lt;=CB$4,CB$4&lt;=Projects!$C$33+Projects!$D$33-1),Projects!$B$33/Projects!$D$33,"")</f>
        <v/>
      </c>
      <c r="CC35" s="567">
        <f>IF(AND(Projects!$C$33&lt;=CC$4,CC$4&lt;=Projects!$C$33+Projects!$D$33-1),Projects!$B$33/Projects!$D$33,"")</f>
        <v/>
      </c>
      <c r="CD35" s="567">
        <f>IF(AND(Projects!$C$33&lt;=CD$4,CD$4&lt;=Projects!$C$33+Projects!$D$33-1),Projects!$B$33/Projects!$D$33,"")</f>
        <v/>
      </c>
      <c r="CE35" s="567">
        <f>IF(AND(Projects!$C$33&lt;=CE$4,CE$4&lt;=Projects!$C$33+Projects!$D$33-1),Projects!$B$33/Projects!$D$33,"")</f>
        <v/>
      </c>
      <c r="CF35" s="567">
        <f>IF(AND(Projects!$C$33&lt;=CF$4,CF$4&lt;=Projects!$C$33+Projects!$D$33-1),Projects!$B$33/Projects!$D$33,"")</f>
        <v/>
      </c>
      <c r="CG35" s="567">
        <f>IF(AND(Projects!$C$33&lt;=CG$4,CG$4&lt;=Projects!$C$33+Projects!$D$33-1),Projects!$B$33/Projects!$D$33,"")</f>
        <v/>
      </c>
      <c r="CH35" s="567">
        <f>IF(AND(Projects!$C$33&lt;=CH$4,CH$4&lt;=Projects!$C$33+Projects!$D$33-1),Projects!$B$33/Projects!$D$33,"")</f>
        <v/>
      </c>
      <c r="CI35" s="567">
        <f>IF(AND(Projects!$C$33&lt;=CI$4,CI$4&lt;=Projects!$C$33+Projects!$D$33-1),Projects!$B$33/Projects!$D$33,"")</f>
        <v/>
      </c>
      <c r="CJ35" s="567">
        <f>IF(AND(Projects!$C$33&lt;=CJ$4,CJ$4&lt;=Projects!$C$33+Projects!$D$33-1),Projects!$B$33/Projects!$D$33,"")</f>
        <v/>
      </c>
      <c r="CK35" s="567">
        <f>IF(AND(Projects!$C$33&lt;=CK$4,CK$4&lt;=Projects!$C$33+Projects!$D$33-1),Projects!$B$33/Projects!$D$33,"")</f>
        <v/>
      </c>
      <c r="CL35" s="567">
        <f>IF(AND(Projects!$C$33&lt;=CL$4,CL$4&lt;=Projects!$C$33+Projects!$D$33-1),Projects!$B$33/Projects!$D$33,"")</f>
        <v/>
      </c>
      <c r="CM35" s="567">
        <f>IF(AND(Projects!$C$33&lt;=CM$4,CM$4&lt;=Projects!$C$33+Projects!$D$33-1),Projects!$B$33/Projects!$D$33,"")</f>
        <v/>
      </c>
      <c r="CN35" s="567">
        <f>IF(AND(Projects!$C$33&lt;=CN$4,CN$4&lt;=Projects!$C$33+Projects!$D$33-1),Projects!$B$33/Projects!$D$33,"")</f>
        <v/>
      </c>
      <c r="CO35" s="567">
        <f>IF(AND(Projects!$C$33&lt;=CO$4,CO$4&lt;=Projects!$C$33+Projects!$D$33-1),Projects!$B$33/Projects!$D$33,"")</f>
        <v/>
      </c>
      <c r="CP35" s="567">
        <f>IF(AND(Projects!$C$33&lt;=CP$4,CP$4&lt;=Projects!$C$33+Projects!$D$33-1),Projects!$B$33/Projects!$D$33,"")</f>
        <v/>
      </c>
      <c r="CQ35" s="567">
        <f>IF(AND(Projects!$C$33&lt;=CQ$4,CQ$4&lt;=Projects!$C$33+Projects!$D$33-1),Projects!$B$33/Projects!$D$33,"")</f>
        <v/>
      </c>
      <c r="CR35" s="567">
        <f>IF(AND(Projects!$C$33&lt;=CR$4,CR$4&lt;=Projects!$C$33+Projects!$D$33-1),Projects!$B$33/Projects!$D$33,"")</f>
        <v/>
      </c>
      <c r="CS35" s="567">
        <f>IF(AND(Projects!$C$33&lt;=CS$4,CS$4&lt;=Projects!$C$33+Projects!$D$33-1),Projects!$B$33/Projects!$D$33,"")</f>
        <v/>
      </c>
      <c r="CT35" s="567">
        <f>IF(AND(Projects!$C$33&lt;=CT$4,CT$4&lt;=Projects!$C$33+Projects!$D$33-1),Projects!$B$33/Projects!$D$33,"")</f>
        <v/>
      </c>
      <c r="CU35" s="567">
        <f>IF(AND(Projects!$C$33&lt;=CU$4,CU$4&lt;=Projects!$C$33+Projects!$D$33-1),Projects!$B$33/Projects!$D$33,"")</f>
        <v/>
      </c>
      <c r="CV35" s="567">
        <f>IF(AND(Projects!$C$33&lt;=CV$4,CV$4&lt;=Projects!$C$33+Projects!$D$33-1),Projects!$B$33/Projects!$D$33,"")</f>
        <v/>
      </c>
      <c r="CW35" s="567">
        <f>IF(AND(Projects!$C$33&lt;=CW$4,CW$4&lt;=Projects!$C$33+Projects!$D$33-1),Projects!$B$33/Projects!$D$33,"")</f>
        <v/>
      </c>
      <c r="CX35" s="567">
        <f>IF(AND(Projects!$C$33&lt;=CX$4,CX$4&lt;=Projects!$C$33+Projects!$D$33-1),Projects!$B$33/Projects!$D$33,"")</f>
        <v/>
      </c>
      <c r="CY35" s="567">
        <f>IF(AND(Projects!$C$33&lt;=CY$4,CY$4&lt;=Projects!$C$33+Projects!$D$33-1),Projects!$B$33/Projects!$D$33,"")</f>
        <v/>
      </c>
      <c r="CZ35" s="567">
        <f>IF(AND(Projects!$C$33&lt;=CZ$4,CZ$4&lt;=Projects!$C$33+Projects!$D$33-1),Projects!$B$33/Projects!$D$33,"")</f>
        <v/>
      </c>
      <c r="DA35" s="567">
        <f>IF(AND(Projects!$C$33&lt;=DA$4,DA$4&lt;=Projects!$C$33+Projects!$D$33-1),Projects!$B$33/Projects!$D$33,"")</f>
        <v/>
      </c>
      <c r="DB35" s="567">
        <f>IF(AND(Projects!$C$33&lt;=DB$4,DB$4&lt;=Projects!$C$33+Projects!$D$33-1),Projects!$B$33/Projects!$D$33,"")</f>
        <v/>
      </c>
    </row>
    <row r="36" ht="15" customFormat="1" customHeight="1" s="380">
      <c r="A36" s="563" t="inlineStr">
        <is>
          <t>BD-18</t>
        </is>
      </c>
      <c r="B36" s="564">
        <f>Projects!$B$34</f>
        <v/>
      </c>
      <c r="C36" s="565">
        <f>EDATE(Model!$E$2,Projects!$C$34-1)</f>
        <v/>
      </c>
      <c r="D36" s="565">
        <f>EDATE(Model!$E$2,Projects!$C$34+Projects!$D$34-2)</f>
        <v/>
      </c>
      <c r="E36" s="566">
        <f>Projects!$D$34</f>
        <v/>
      </c>
      <c r="F36" s="564">
        <f>Projects!$B$34/Projects!$D$34</f>
        <v/>
      </c>
      <c r="G36" s="567">
        <f>IF(AND(Projects!$C$34&lt;=G$4,G$4&lt;=Projects!$C$34+Projects!$D$34-1),Projects!$B$34/Projects!$D$34,"")</f>
        <v/>
      </c>
      <c r="H36" s="567">
        <f>IF(AND(Projects!$C$34&lt;=H$4,H$4&lt;=Projects!$C$34+Projects!$D$34-1),Projects!$B$34/Projects!$D$34,"")</f>
        <v/>
      </c>
      <c r="I36" s="567">
        <f>IF(AND(Projects!$C$34&lt;=I$4,I$4&lt;=Projects!$C$34+Projects!$D$34-1),Projects!$B$34/Projects!$D$34,"")</f>
        <v/>
      </c>
      <c r="J36" s="567">
        <f>IF(AND(Projects!$C$34&lt;=J$4,J$4&lt;=Projects!$C$34+Projects!$D$34-1),Projects!$B$34/Projects!$D$34,"")</f>
        <v/>
      </c>
      <c r="K36" s="567">
        <f>IF(AND(Projects!$C$34&lt;=K$4,K$4&lt;=Projects!$C$34+Projects!$D$34-1),Projects!$B$34/Projects!$D$34,"")</f>
        <v/>
      </c>
      <c r="L36" s="567">
        <f>IF(AND(Projects!$C$34&lt;=L$4,L$4&lt;=Projects!$C$34+Projects!$D$34-1),Projects!$B$34/Projects!$D$34,"")</f>
        <v/>
      </c>
      <c r="M36" s="567">
        <f>IF(AND(Projects!$C$34&lt;=M$4,M$4&lt;=Projects!$C$34+Projects!$D$34-1),Projects!$B$34/Projects!$D$34,"")</f>
        <v/>
      </c>
      <c r="N36" s="567">
        <f>IF(AND(Projects!$C$34&lt;=N$4,N$4&lt;=Projects!$C$34+Projects!$D$34-1),Projects!$B$34/Projects!$D$34,"")</f>
        <v/>
      </c>
      <c r="O36" s="567">
        <f>IF(AND(Projects!$C$34&lt;=O$4,O$4&lt;=Projects!$C$34+Projects!$D$34-1),Projects!$B$34/Projects!$D$34,"")</f>
        <v/>
      </c>
      <c r="P36" s="567">
        <f>IF(AND(Projects!$C$34&lt;=P$4,P$4&lt;=Projects!$C$34+Projects!$D$34-1),Projects!$B$34/Projects!$D$34,"")</f>
        <v/>
      </c>
      <c r="Q36" s="567">
        <f>IF(AND(Projects!$C$34&lt;=Q$4,Q$4&lt;=Projects!$C$34+Projects!$D$34-1),Projects!$B$34/Projects!$D$34,"")</f>
        <v/>
      </c>
      <c r="R36" s="567">
        <f>IF(AND(Projects!$C$34&lt;=R$4,R$4&lt;=Projects!$C$34+Projects!$D$34-1),Projects!$B$34/Projects!$D$34,"")</f>
        <v/>
      </c>
      <c r="S36" s="567">
        <f>IF(AND(Projects!$C$34&lt;=S$4,S$4&lt;=Projects!$C$34+Projects!$D$34-1),Projects!$B$34/Projects!$D$34,"")</f>
        <v/>
      </c>
      <c r="T36" s="567">
        <f>IF(AND(Projects!$C$34&lt;=T$4,T$4&lt;=Projects!$C$34+Projects!$D$34-1),Projects!$B$34/Projects!$D$34,"")</f>
        <v/>
      </c>
      <c r="U36" s="567">
        <f>IF(AND(Projects!$C$34&lt;=U$4,U$4&lt;=Projects!$C$34+Projects!$D$34-1),Projects!$B$34/Projects!$D$34,"")</f>
        <v/>
      </c>
      <c r="V36" s="567">
        <f>IF(AND(Projects!$C$34&lt;=V$4,V$4&lt;=Projects!$C$34+Projects!$D$34-1),Projects!$B$34/Projects!$D$34,"")</f>
        <v/>
      </c>
      <c r="W36" s="567">
        <f>IF(AND(Projects!$C$34&lt;=W$4,W$4&lt;=Projects!$C$34+Projects!$D$34-1),Projects!$B$34/Projects!$D$34,"")</f>
        <v/>
      </c>
      <c r="X36" s="567">
        <f>IF(AND(Projects!$C$34&lt;=X$4,X$4&lt;=Projects!$C$34+Projects!$D$34-1),Projects!$B$34/Projects!$D$34,"")</f>
        <v/>
      </c>
      <c r="Y36" s="567">
        <f>IF(AND(Projects!$C$34&lt;=Y$4,Y$4&lt;=Projects!$C$34+Projects!$D$34-1),Projects!$B$34/Projects!$D$34,"")</f>
        <v/>
      </c>
      <c r="Z36" s="567">
        <f>IF(AND(Projects!$C$34&lt;=Z$4,Z$4&lt;=Projects!$C$34+Projects!$D$34-1),Projects!$B$34/Projects!$D$34,"")</f>
        <v/>
      </c>
      <c r="AA36" s="567">
        <f>IF(AND(Projects!$C$34&lt;=AA$4,AA$4&lt;=Projects!$C$34+Projects!$D$34-1),Projects!$B$34/Projects!$D$34,"")</f>
        <v/>
      </c>
      <c r="AB36" s="567">
        <f>IF(AND(Projects!$C$34&lt;=AB$4,AB$4&lt;=Projects!$C$34+Projects!$D$34-1),Projects!$B$34/Projects!$D$34,"")</f>
        <v/>
      </c>
      <c r="AC36" s="567">
        <f>IF(AND(Projects!$C$34&lt;=AC$4,AC$4&lt;=Projects!$C$34+Projects!$D$34-1),Projects!$B$34/Projects!$D$34,"")</f>
        <v/>
      </c>
      <c r="AD36" s="567">
        <f>IF(AND(Projects!$C$34&lt;=AD$4,AD$4&lt;=Projects!$C$34+Projects!$D$34-1),Projects!$B$34/Projects!$D$34,"")</f>
        <v/>
      </c>
      <c r="AE36" s="567">
        <f>IF(AND(Projects!$C$34&lt;=AE$4,AE$4&lt;=Projects!$C$34+Projects!$D$34-1),Projects!$B$34/Projects!$D$34,"")</f>
        <v/>
      </c>
      <c r="AF36" s="567">
        <f>IF(AND(Projects!$C$34&lt;=AF$4,AF$4&lt;=Projects!$C$34+Projects!$D$34-1),Projects!$B$34/Projects!$D$34,"")</f>
        <v/>
      </c>
      <c r="AG36" s="567">
        <f>IF(AND(Projects!$C$34&lt;=AG$4,AG$4&lt;=Projects!$C$34+Projects!$D$34-1),Projects!$B$34/Projects!$D$34,"")</f>
        <v/>
      </c>
      <c r="AH36" s="567">
        <f>IF(AND(Projects!$C$34&lt;=AH$4,AH$4&lt;=Projects!$C$34+Projects!$D$34-1),Projects!$B$34/Projects!$D$34,"")</f>
        <v/>
      </c>
      <c r="AI36" s="567">
        <f>IF(AND(Projects!$C$34&lt;=AI$4,AI$4&lt;=Projects!$C$34+Projects!$D$34-1),Projects!$B$34/Projects!$D$34,"")</f>
        <v/>
      </c>
      <c r="AJ36" s="567">
        <f>IF(AND(Projects!$C$34&lt;=AJ$4,AJ$4&lt;=Projects!$C$34+Projects!$D$34-1),Projects!$B$34/Projects!$D$34,"")</f>
        <v/>
      </c>
      <c r="AK36" s="567">
        <f>IF(AND(Projects!$C$34&lt;=AK$4,AK$4&lt;=Projects!$C$34+Projects!$D$34-1),Projects!$B$34/Projects!$D$34,"")</f>
        <v/>
      </c>
      <c r="AL36" s="567">
        <f>IF(AND(Projects!$C$34&lt;=AL$4,AL$4&lt;=Projects!$C$34+Projects!$D$34-1),Projects!$B$34/Projects!$D$34,"")</f>
        <v/>
      </c>
      <c r="AM36" s="567">
        <f>IF(AND(Projects!$C$34&lt;=AM$4,AM$4&lt;=Projects!$C$34+Projects!$D$34-1),Projects!$B$34/Projects!$D$34,"")</f>
        <v/>
      </c>
      <c r="AN36" s="567">
        <f>IF(AND(Projects!$C$34&lt;=AN$4,AN$4&lt;=Projects!$C$34+Projects!$D$34-1),Projects!$B$34/Projects!$D$34,"")</f>
        <v/>
      </c>
      <c r="AO36" s="567">
        <f>IF(AND(Projects!$C$34&lt;=AO$4,AO$4&lt;=Projects!$C$34+Projects!$D$34-1),Projects!$B$34/Projects!$D$34,"")</f>
        <v/>
      </c>
      <c r="AP36" s="567">
        <f>IF(AND(Projects!$C$34&lt;=AP$4,AP$4&lt;=Projects!$C$34+Projects!$D$34-1),Projects!$B$34/Projects!$D$34,"")</f>
        <v/>
      </c>
      <c r="AQ36" s="567">
        <f>IF(AND(Projects!$C$34&lt;=AQ$4,AQ$4&lt;=Projects!$C$34+Projects!$D$34-1),Projects!$B$34/Projects!$D$34,"")</f>
        <v/>
      </c>
      <c r="AR36" s="567">
        <f>IF(AND(Projects!$C$34&lt;=AR$4,AR$4&lt;=Projects!$C$34+Projects!$D$34-1),Projects!$B$34/Projects!$D$34,"")</f>
        <v/>
      </c>
      <c r="AS36" s="567">
        <f>IF(AND(Projects!$C$34&lt;=AS$4,AS$4&lt;=Projects!$C$34+Projects!$D$34-1),Projects!$B$34/Projects!$D$34,"")</f>
        <v/>
      </c>
      <c r="AT36" s="567">
        <f>IF(AND(Projects!$C$34&lt;=AT$4,AT$4&lt;=Projects!$C$34+Projects!$D$34-1),Projects!$B$34/Projects!$D$34,"")</f>
        <v/>
      </c>
      <c r="AU36" s="567">
        <f>IF(AND(Projects!$C$34&lt;=AU$4,AU$4&lt;=Projects!$C$34+Projects!$D$34-1),Projects!$B$34/Projects!$D$34,"")</f>
        <v/>
      </c>
      <c r="AV36" s="567">
        <f>IF(AND(Projects!$C$34&lt;=AV$4,AV$4&lt;=Projects!$C$34+Projects!$D$34-1),Projects!$B$34/Projects!$D$34,"")</f>
        <v/>
      </c>
      <c r="AW36" s="567">
        <f>IF(AND(Projects!$C$34&lt;=AW$4,AW$4&lt;=Projects!$C$34+Projects!$D$34-1),Projects!$B$34/Projects!$D$34,"")</f>
        <v/>
      </c>
      <c r="AX36" s="567">
        <f>IF(AND(Projects!$C$34&lt;=AX$4,AX$4&lt;=Projects!$C$34+Projects!$D$34-1),Projects!$B$34/Projects!$D$34,"")</f>
        <v/>
      </c>
      <c r="AY36" s="567">
        <f>IF(AND(Projects!$C$34&lt;=AY$4,AY$4&lt;=Projects!$C$34+Projects!$D$34-1),Projects!$B$34/Projects!$D$34,"")</f>
        <v/>
      </c>
      <c r="AZ36" s="567">
        <f>IF(AND(Projects!$C$34&lt;=AZ$4,AZ$4&lt;=Projects!$C$34+Projects!$D$34-1),Projects!$B$34/Projects!$D$34,"")</f>
        <v/>
      </c>
      <c r="BA36" s="567">
        <f>IF(AND(Projects!$C$34&lt;=BA$4,BA$4&lt;=Projects!$C$34+Projects!$D$34-1),Projects!$B$34/Projects!$D$34,"")</f>
        <v/>
      </c>
      <c r="BB36" s="567">
        <f>IF(AND(Projects!$C$34&lt;=BB$4,BB$4&lt;=Projects!$C$34+Projects!$D$34-1),Projects!$B$34/Projects!$D$34,"")</f>
        <v/>
      </c>
      <c r="BC36" s="567">
        <f>IF(AND(Projects!$C$34&lt;=BC$4,BC$4&lt;=Projects!$C$34+Projects!$D$34-1),Projects!$B$34/Projects!$D$34,"")</f>
        <v/>
      </c>
      <c r="BD36" s="567">
        <f>IF(AND(Projects!$C$34&lt;=BD$4,BD$4&lt;=Projects!$C$34+Projects!$D$34-1),Projects!$B$34/Projects!$D$34,"")</f>
        <v/>
      </c>
      <c r="BE36" s="567">
        <f>IF(AND(Projects!$C$34&lt;=BE$4,BE$4&lt;=Projects!$C$34+Projects!$D$34-1),Projects!$B$34/Projects!$D$34,"")</f>
        <v/>
      </c>
      <c r="BF36" s="567">
        <f>IF(AND(Projects!$C$34&lt;=BF$4,BF$4&lt;=Projects!$C$34+Projects!$D$34-1),Projects!$B$34/Projects!$D$34,"")</f>
        <v/>
      </c>
      <c r="BG36" s="567">
        <f>IF(AND(Projects!$C$34&lt;=BG$4,BG$4&lt;=Projects!$C$34+Projects!$D$34-1),Projects!$B$34/Projects!$D$34,"")</f>
        <v/>
      </c>
      <c r="BH36" s="567">
        <f>IF(AND(Projects!$C$34&lt;=BH$4,BH$4&lt;=Projects!$C$34+Projects!$D$34-1),Projects!$B$34/Projects!$D$34,"")</f>
        <v/>
      </c>
      <c r="BI36" s="567">
        <f>IF(AND(Projects!$C$34&lt;=BI$4,BI$4&lt;=Projects!$C$34+Projects!$D$34-1),Projects!$B$34/Projects!$D$34,"")</f>
        <v/>
      </c>
      <c r="BJ36" s="567">
        <f>IF(AND(Projects!$C$34&lt;=BJ$4,BJ$4&lt;=Projects!$C$34+Projects!$D$34-1),Projects!$B$34/Projects!$D$34,"")</f>
        <v/>
      </c>
      <c r="BK36" s="567">
        <f>IF(AND(Projects!$C$34&lt;=BK$4,BK$4&lt;=Projects!$C$34+Projects!$D$34-1),Projects!$B$34/Projects!$D$34,"")</f>
        <v/>
      </c>
      <c r="BL36" s="567">
        <f>IF(AND(Projects!$C$34&lt;=BL$4,BL$4&lt;=Projects!$C$34+Projects!$D$34-1),Projects!$B$34/Projects!$D$34,"")</f>
        <v/>
      </c>
      <c r="BM36" s="567">
        <f>IF(AND(Projects!$C$34&lt;=BM$4,BM$4&lt;=Projects!$C$34+Projects!$D$34-1),Projects!$B$34/Projects!$D$34,"")</f>
        <v/>
      </c>
      <c r="BN36" s="567">
        <f>IF(AND(Projects!$C$34&lt;=BN$4,BN$4&lt;=Projects!$C$34+Projects!$D$34-1),Projects!$B$34/Projects!$D$34,"")</f>
        <v/>
      </c>
      <c r="BO36" s="567">
        <f>IF(AND(Projects!$C$34&lt;=BO$4,BO$4&lt;=Projects!$C$34+Projects!$D$34-1),Projects!$B$34/Projects!$D$34,"")</f>
        <v/>
      </c>
      <c r="BP36" s="567">
        <f>IF(AND(Projects!$C$34&lt;=BP$4,BP$4&lt;=Projects!$C$34+Projects!$D$34-1),Projects!$B$34/Projects!$D$34,"")</f>
        <v/>
      </c>
      <c r="BQ36" s="567">
        <f>IF(AND(Projects!$C$34&lt;=BQ$4,BQ$4&lt;=Projects!$C$34+Projects!$D$34-1),Projects!$B$34/Projects!$D$34,"")</f>
        <v/>
      </c>
      <c r="BR36" s="567">
        <f>IF(AND(Projects!$C$34&lt;=BR$4,BR$4&lt;=Projects!$C$34+Projects!$D$34-1),Projects!$B$34/Projects!$D$34,"")</f>
        <v/>
      </c>
      <c r="BS36" s="567">
        <f>IF(AND(Projects!$C$34&lt;=BS$4,BS$4&lt;=Projects!$C$34+Projects!$D$34-1),Projects!$B$34/Projects!$D$34,"")</f>
        <v/>
      </c>
      <c r="BT36" s="567">
        <f>IF(AND(Projects!$C$34&lt;=BT$4,BT$4&lt;=Projects!$C$34+Projects!$D$34-1),Projects!$B$34/Projects!$D$34,"")</f>
        <v/>
      </c>
      <c r="BU36" s="567">
        <f>IF(AND(Projects!$C$34&lt;=BU$4,BU$4&lt;=Projects!$C$34+Projects!$D$34-1),Projects!$B$34/Projects!$D$34,"")</f>
        <v/>
      </c>
      <c r="BV36" s="567">
        <f>IF(AND(Projects!$C$34&lt;=BV$4,BV$4&lt;=Projects!$C$34+Projects!$D$34-1),Projects!$B$34/Projects!$D$34,"")</f>
        <v/>
      </c>
      <c r="BW36" s="567">
        <f>IF(AND(Projects!$C$34&lt;=BW$4,BW$4&lt;=Projects!$C$34+Projects!$D$34-1),Projects!$B$34/Projects!$D$34,"")</f>
        <v/>
      </c>
      <c r="BX36" s="567">
        <f>IF(AND(Projects!$C$34&lt;=BX$4,BX$4&lt;=Projects!$C$34+Projects!$D$34-1),Projects!$B$34/Projects!$D$34,"")</f>
        <v/>
      </c>
      <c r="BY36" s="567">
        <f>IF(AND(Projects!$C$34&lt;=BY$4,BY$4&lt;=Projects!$C$34+Projects!$D$34-1),Projects!$B$34/Projects!$D$34,"")</f>
        <v/>
      </c>
      <c r="BZ36" s="567">
        <f>IF(AND(Projects!$C$34&lt;=BZ$4,BZ$4&lt;=Projects!$C$34+Projects!$D$34-1),Projects!$B$34/Projects!$D$34,"")</f>
        <v/>
      </c>
      <c r="CA36" s="567">
        <f>IF(AND(Projects!$C$34&lt;=CA$4,CA$4&lt;=Projects!$C$34+Projects!$D$34-1),Projects!$B$34/Projects!$D$34,"")</f>
        <v/>
      </c>
      <c r="CB36" s="567">
        <f>IF(AND(Projects!$C$34&lt;=CB$4,CB$4&lt;=Projects!$C$34+Projects!$D$34-1),Projects!$B$34/Projects!$D$34,"")</f>
        <v/>
      </c>
      <c r="CC36" s="567">
        <f>IF(AND(Projects!$C$34&lt;=CC$4,CC$4&lt;=Projects!$C$34+Projects!$D$34-1),Projects!$B$34/Projects!$D$34,"")</f>
        <v/>
      </c>
      <c r="CD36" s="567">
        <f>IF(AND(Projects!$C$34&lt;=CD$4,CD$4&lt;=Projects!$C$34+Projects!$D$34-1),Projects!$B$34/Projects!$D$34,"")</f>
        <v/>
      </c>
      <c r="CE36" s="567">
        <f>IF(AND(Projects!$C$34&lt;=CE$4,CE$4&lt;=Projects!$C$34+Projects!$D$34-1),Projects!$B$34/Projects!$D$34,"")</f>
        <v/>
      </c>
      <c r="CF36" s="567">
        <f>IF(AND(Projects!$C$34&lt;=CF$4,CF$4&lt;=Projects!$C$34+Projects!$D$34-1),Projects!$B$34/Projects!$D$34,"")</f>
        <v/>
      </c>
      <c r="CG36" s="567">
        <f>IF(AND(Projects!$C$34&lt;=CG$4,CG$4&lt;=Projects!$C$34+Projects!$D$34-1),Projects!$B$34/Projects!$D$34,"")</f>
        <v/>
      </c>
      <c r="CH36" s="567">
        <f>IF(AND(Projects!$C$34&lt;=CH$4,CH$4&lt;=Projects!$C$34+Projects!$D$34-1),Projects!$B$34/Projects!$D$34,"")</f>
        <v/>
      </c>
      <c r="CI36" s="567">
        <f>IF(AND(Projects!$C$34&lt;=CI$4,CI$4&lt;=Projects!$C$34+Projects!$D$34-1),Projects!$B$34/Projects!$D$34,"")</f>
        <v/>
      </c>
      <c r="CJ36" s="567">
        <f>IF(AND(Projects!$C$34&lt;=CJ$4,CJ$4&lt;=Projects!$C$34+Projects!$D$34-1),Projects!$B$34/Projects!$D$34,"")</f>
        <v/>
      </c>
      <c r="CK36" s="567">
        <f>IF(AND(Projects!$C$34&lt;=CK$4,CK$4&lt;=Projects!$C$34+Projects!$D$34-1),Projects!$B$34/Projects!$D$34,"")</f>
        <v/>
      </c>
      <c r="CL36" s="567">
        <f>IF(AND(Projects!$C$34&lt;=CL$4,CL$4&lt;=Projects!$C$34+Projects!$D$34-1),Projects!$B$34/Projects!$D$34,"")</f>
        <v/>
      </c>
      <c r="CM36" s="567">
        <f>IF(AND(Projects!$C$34&lt;=CM$4,CM$4&lt;=Projects!$C$34+Projects!$D$34-1),Projects!$B$34/Projects!$D$34,"")</f>
        <v/>
      </c>
      <c r="CN36" s="567">
        <f>IF(AND(Projects!$C$34&lt;=CN$4,CN$4&lt;=Projects!$C$34+Projects!$D$34-1),Projects!$B$34/Projects!$D$34,"")</f>
        <v/>
      </c>
      <c r="CO36" s="567">
        <f>IF(AND(Projects!$C$34&lt;=CO$4,CO$4&lt;=Projects!$C$34+Projects!$D$34-1),Projects!$B$34/Projects!$D$34,"")</f>
        <v/>
      </c>
      <c r="CP36" s="567">
        <f>IF(AND(Projects!$C$34&lt;=CP$4,CP$4&lt;=Projects!$C$34+Projects!$D$34-1),Projects!$B$34/Projects!$D$34,"")</f>
        <v/>
      </c>
      <c r="CQ36" s="567">
        <f>IF(AND(Projects!$C$34&lt;=CQ$4,CQ$4&lt;=Projects!$C$34+Projects!$D$34-1),Projects!$B$34/Projects!$D$34,"")</f>
        <v/>
      </c>
      <c r="CR36" s="567">
        <f>IF(AND(Projects!$C$34&lt;=CR$4,CR$4&lt;=Projects!$C$34+Projects!$D$34-1),Projects!$B$34/Projects!$D$34,"")</f>
        <v/>
      </c>
      <c r="CS36" s="567">
        <f>IF(AND(Projects!$C$34&lt;=CS$4,CS$4&lt;=Projects!$C$34+Projects!$D$34-1),Projects!$B$34/Projects!$D$34,"")</f>
        <v/>
      </c>
      <c r="CT36" s="567">
        <f>IF(AND(Projects!$C$34&lt;=CT$4,CT$4&lt;=Projects!$C$34+Projects!$D$34-1),Projects!$B$34/Projects!$D$34,"")</f>
        <v/>
      </c>
      <c r="CU36" s="567">
        <f>IF(AND(Projects!$C$34&lt;=CU$4,CU$4&lt;=Projects!$C$34+Projects!$D$34-1),Projects!$B$34/Projects!$D$34,"")</f>
        <v/>
      </c>
      <c r="CV36" s="567">
        <f>IF(AND(Projects!$C$34&lt;=CV$4,CV$4&lt;=Projects!$C$34+Projects!$D$34-1),Projects!$B$34/Projects!$D$34,"")</f>
        <v/>
      </c>
      <c r="CW36" s="567">
        <f>IF(AND(Projects!$C$34&lt;=CW$4,CW$4&lt;=Projects!$C$34+Projects!$D$34-1),Projects!$B$34/Projects!$D$34,"")</f>
        <v/>
      </c>
      <c r="CX36" s="567">
        <f>IF(AND(Projects!$C$34&lt;=CX$4,CX$4&lt;=Projects!$C$34+Projects!$D$34-1),Projects!$B$34/Projects!$D$34,"")</f>
        <v/>
      </c>
      <c r="CY36" s="567">
        <f>IF(AND(Projects!$C$34&lt;=CY$4,CY$4&lt;=Projects!$C$34+Projects!$D$34-1),Projects!$B$34/Projects!$D$34,"")</f>
        <v/>
      </c>
      <c r="CZ36" s="567">
        <f>IF(AND(Projects!$C$34&lt;=CZ$4,CZ$4&lt;=Projects!$C$34+Projects!$D$34-1),Projects!$B$34/Projects!$D$34,"")</f>
        <v/>
      </c>
      <c r="DA36" s="567">
        <f>IF(AND(Projects!$C$34&lt;=DA$4,DA$4&lt;=Projects!$C$34+Projects!$D$34-1),Projects!$B$34/Projects!$D$34,"")</f>
        <v/>
      </c>
      <c r="DB36" s="567">
        <f>IF(AND(Projects!$C$34&lt;=DB$4,DB$4&lt;=Projects!$C$34+Projects!$D$34-1),Projects!$B$34/Projects!$D$34,"")</f>
        <v/>
      </c>
    </row>
    <row r="37" ht="15" customFormat="1" customHeight="1" s="380">
      <c r="A37" s="563" t="inlineStr">
        <is>
          <t>BD-19</t>
        </is>
      </c>
      <c r="B37" s="564">
        <f>Projects!$B$35</f>
        <v/>
      </c>
      <c r="C37" s="565">
        <f>EDATE(Model!$E$2,Projects!$C$35-1)</f>
        <v/>
      </c>
      <c r="D37" s="565">
        <f>EDATE(Model!$E$2,Projects!$C$35+Projects!$D$35-2)</f>
        <v/>
      </c>
      <c r="E37" s="566">
        <f>Projects!$D$35</f>
        <v/>
      </c>
      <c r="F37" s="564">
        <f>Projects!$B$35/Projects!$D$35</f>
        <v/>
      </c>
      <c r="G37" s="567">
        <f>IF(AND(Projects!$C$35&lt;=G$4,G$4&lt;=Projects!$C$35+Projects!$D$35-1),Projects!$B$35/Projects!$D$35,"")</f>
        <v/>
      </c>
      <c r="H37" s="567">
        <f>IF(AND(Projects!$C$35&lt;=H$4,H$4&lt;=Projects!$C$35+Projects!$D$35-1),Projects!$B$35/Projects!$D$35,"")</f>
        <v/>
      </c>
      <c r="I37" s="567">
        <f>IF(AND(Projects!$C$35&lt;=I$4,I$4&lt;=Projects!$C$35+Projects!$D$35-1),Projects!$B$35/Projects!$D$35,"")</f>
        <v/>
      </c>
      <c r="J37" s="567">
        <f>IF(AND(Projects!$C$35&lt;=J$4,J$4&lt;=Projects!$C$35+Projects!$D$35-1),Projects!$B$35/Projects!$D$35,"")</f>
        <v/>
      </c>
      <c r="K37" s="567">
        <f>IF(AND(Projects!$C$35&lt;=K$4,K$4&lt;=Projects!$C$35+Projects!$D$35-1),Projects!$B$35/Projects!$D$35,"")</f>
        <v/>
      </c>
      <c r="L37" s="567">
        <f>IF(AND(Projects!$C$35&lt;=L$4,L$4&lt;=Projects!$C$35+Projects!$D$35-1),Projects!$B$35/Projects!$D$35,"")</f>
        <v/>
      </c>
      <c r="M37" s="567">
        <f>IF(AND(Projects!$C$35&lt;=M$4,M$4&lt;=Projects!$C$35+Projects!$D$35-1),Projects!$B$35/Projects!$D$35,"")</f>
        <v/>
      </c>
      <c r="N37" s="567">
        <f>IF(AND(Projects!$C$35&lt;=N$4,N$4&lt;=Projects!$C$35+Projects!$D$35-1),Projects!$B$35/Projects!$D$35,"")</f>
        <v/>
      </c>
      <c r="O37" s="567">
        <f>IF(AND(Projects!$C$35&lt;=O$4,O$4&lt;=Projects!$C$35+Projects!$D$35-1),Projects!$B$35/Projects!$D$35,"")</f>
        <v/>
      </c>
      <c r="P37" s="567">
        <f>IF(AND(Projects!$C$35&lt;=P$4,P$4&lt;=Projects!$C$35+Projects!$D$35-1),Projects!$B$35/Projects!$D$35,"")</f>
        <v/>
      </c>
      <c r="Q37" s="567">
        <f>IF(AND(Projects!$C$35&lt;=Q$4,Q$4&lt;=Projects!$C$35+Projects!$D$35-1),Projects!$B$35/Projects!$D$35,"")</f>
        <v/>
      </c>
      <c r="R37" s="567">
        <f>IF(AND(Projects!$C$35&lt;=R$4,R$4&lt;=Projects!$C$35+Projects!$D$35-1),Projects!$B$35/Projects!$D$35,"")</f>
        <v/>
      </c>
      <c r="S37" s="567">
        <f>IF(AND(Projects!$C$35&lt;=S$4,S$4&lt;=Projects!$C$35+Projects!$D$35-1),Projects!$B$35/Projects!$D$35,"")</f>
        <v/>
      </c>
      <c r="T37" s="567">
        <f>IF(AND(Projects!$C$35&lt;=T$4,T$4&lt;=Projects!$C$35+Projects!$D$35-1),Projects!$B$35/Projects!$D$35,"")</f>
        <v/>
      </c>
      <c r="U37" s="567">
        <f>IF(AND(Projects!$C$35&lt;=U$4,U$4&lt;=Projects!$C$35+Projects!$D$35-1),Projects!$B$35/Projects!$D$35,"")</f>
        <v/>
      </c>
      <c r="V37" s="567">
        <f>IF(AND(Projects!$C$35&lt;=V$4,V$4&lt;=Projects!$C$35+Projects!$D$35-1),Projects!$B$35/Projects!$D$35,"")</f>
        <v/>
      </c>
      <c r="W37" s="567">
        <f>IF(AND(Projects!$C$35&lt;=W$4,W$4&lt;=Projects!$C$35+Projects!$D$35-1),Projects!$B$35/Projects!$D$35,"")</f>
        <v/>
      </c>
      <c r="X37" s="567">
        <f>IF(AND(Projects!$C$35&lt;=X$4,X$4&lt;=Projects!$C$35+Projects!$D$35-1),Projects!$B$35/Projects!$D$35,"")</f>
        <v/>
      </c>
      <c r="Y37" s="567">
        <f>IF(AND(Projects!$C$35&lt;=Y$4,Y$4&lt;=Projects!$C$35+Projects!$D$35-1),Projects!$B$35/Projects!$D$35,"")</f>
        <v/>
      </c>
      <c r="Z37" s="567">
        <f>IF(AND(Projects!$C$35&lt;=Z$4,Z$4&lt;=Projects!$C$35+Projects!$D$35-1),Projects!$B$35/Projects!$D$35,"")</f>
        <v/>
      </c>
      <c r="AA37" s="567">
        <f>IF(AND(Projects!$C$35&lt;=AA$4,AA$4&lt;=Projects!$C$35+Projects!$D$35-1),Projects!$B$35/Projects!$D$35,"")</f>
        <v/>
      </c>
      <c r="AB37" s="567">
        <f>IF(AND(Projects!$C$35&lt;=AB$4,AB$4&lt;=Projects!$C$35+Projects!$D$35-1),Projects!$B$35/Projects!$D$35,"")</f>
        <v/>
      </c>
      <c r="AC37" s="567">
        <f>IF(AND(Projects!$C$35&lt;=AC$4,AC$4&lt;=Projects!$C$35+Projects!$D$35-1),Projects!$B$35/Projects!$D$35,"")</f>
        <v/>
      </c>
      <c r="AD37" s="567">
        <f>IF(AND(Projects!$C$35&lt;=AD$4,AD$4&lt;=Projects!$C$35+Projects!$D$35-1),Projects!$B$35/Projects!$D$35,"")</f>
        <v/>
      </c>
      <c r="AE37" s="567">
        <f>IF(AND(Projects!$C$35&lt;=AE$4,AE$4&lt;=Projects!$C$35+Projects!$D$35-1),Projects!$B$35/Projects!$D$35,"")</f>
        <v/>
      </c>
      <c r="AF37" s="567">
        <f>IF(AND(Projects!$C$35&lt;=AF$4,AF$4&lt;=Projects!$C$35+Projects!$D$35-1),Projects!$B$35/Projects!$D$35,"")</f>
        <v/>
      </c>
      <c r="AG37" s="567">
        <f>IF(AND(Projects!$C$35&lt;=AG$4,AG$4&lt;=Projects!$C$35+Projects!$D$35-1),Projects!$B$35/Projects!$D$35,"")</f>
        <v/>
      </c>
      <c r="AH37" s="567">
        <f>IF(AND(Projects!$C$35&lt;=AH$4,AH$4&lt;=Projects!$C$35+Projects!$D$35-1),Projects!$B$35/Projects!$D$35,"")</f>
        <v/>
      </c>
      <c r="AI37" s="567">
        <f>IF(AND(Projects!$C$35&lt;=AI$4,AI$4&lt;=Projects!$C$35+Projects!$D$35-1),Projects!$B$35/Projects!$D$35,"")</f>
        <v/>
      </c>
      <c r="AJ37" s="567">
        <f>IF(AND(Projects!$C$35&lt;=AJ$4,AJ$4&lt;=Projects!$C$35+Projects!$D$35-1),Projects!$B$35/Projects!$D$35,"")</f>
        <v/>
      </c>
      <c r="AK37" s="567">
        <f>IF(AND(Projects!$C$35&lt;=AK$4,AK$4&lt;=Projects!$C$35+Projects!$D$35-1),Projects!$B$35/Projects!$D$35,"")</f>
        <v/>
      </c>
      <c r="AL37" s="567">
        <f>IF(AND(Projects!$C$35&lt;=AL$4,AL$4&lt;=Projects!$C$35+Projects!$D$35-1),Projects!$B$35/Projects!$D$35,"")</f>
        <v/>
      </c>
      <c r="AM37" s="567">
        <f>IF(AND(Projects!$C$35&lt;=AM$4,AM$4&lt;=Projects!$C$35+Projects!$D$35-1),Projects!$B$35/Projects!$D$35,"")</f>
        <v/>
      </c>
      <c r="AN37" s="567">
        <f>IF(AND(Projects!$C$35&lt;=AN$4,AN$4&lt;=Projects!$C$35+Projects!$D$35-1),Projects!$B$35/Projects!$D$35,"")</f>
        <v/>
      </c>
      <c r="AO37" s="567">
        <f>IF(AND(Projects!$C$35&lt;=AO$4,AO$4&lt;=Projects!$C$35+Projects!$D$35-1),Projects!$B$35/Projects!$D$35,"")</f>
        <v/>
      </c>
      <c r="AP37" s="567">
        <f>IF(AND(Projects!$C$35&lt;=AP$4,AP$4&lt;=Projects!$C$35+Projects!$D$35-1),Projects!$B$35/Projects!$D$35,"")</f>
        <v/>
      </c>
      <c r="AQ37" s="567">
        <f>IF(AND(Projects!$C$35&lt;=AQ$4,AQ$4&lt;=Projects!$C$35+Projects!$D$35-1),Projects!$B$35/Projects!$D$35,"")</f>
        <v/>
      </c>
      <c r="AR37" s="567">
        <f>IF(AND(Projects!$C$35&lt;=AR$4,AR$4&lt;=Projects!$C$35+Projects!$D$35-1),Projects!$B$35/Projects!$D$35,"")</f>
        <v/>
      </c>
      <c r="AS37" s="567">
        <f>IF(AND(Projects!$C$35&lt;=AS$4,AS$4&lt;=Projects!$C$35+Projects!$D$35-1),Projects!$B$35/Projects!$D$35,"")</f>
        <v/>
      </c>
      <c r="AT37" s="567">
        <f>IF(AND(Projects!$C$35&lt;=AT$4,AT$4&lt;=Projects!$C$35+Projects!$D$35-1),Projects!$B$35/Projects!$D$35,"")</f>
        <v/>
      </c>
      <c r="AU37" s="567">
        <f>IF(AND(Projects!$C$35&lt;=AU$4,AU$4&lt;=Projects!$C$35+Projects!$D$35-1),Projects!$B$35/Projects!$D$35,"")</f>
        <v/>
      </c>
      <c r="AV37" s="567">
        <f>IF(AND(Projects!$C$35&lt;=AV$4,AV$4&lt;=Projects!$C$35+Projects!$D$35-1),Projects!$B$35/Projects!$D$35,"")</f>
        <v/>
      </c>
      <c r="AW37" s="567">
        <f>IF(AND(Projects!$C$35&lt;=AW$4,AW$4&lt;=Projects!$C$35+Projects!$D$35-1),Projects!$B$35/Projects!$D$35,"")</f>
        <v/>
      </c>
      <c r="AX37" s="567">
        <f>IF(AND(Projects!$C$35&lt;=AX$4,AX$4&lt;=Projects!$C$35+Projects!$D$35-1),Projects!$B$35/Projects!$D$35,"")</f>
        <v/>
      </c>
      <c r="AY37" s="567">
        <f>IF(AND(Projects!$C$35&lt;=AY$4,AY$4&lt;=Projects!$C$35+Projects!$D$35-1),Projects!$B$35/Projects!$D$35,"")</f>
        <v/>
      </c>
      <c r="AZ37" s="567">
        <f>IF(AND(Projects!$C$35&lt;=AZ$4,AZ$4&lt;=Projects!$C$35+Projects!$D$35-1),Projects!$B$35/Projects!$D$35,"")</f>
        <v/>
      </c>
      <c r="BA37" s="567">
        <f>IF(AND(Projects!$C$35&lt;=BA$4,BA$4&lt;=Projects!$C$35+Projects!$D$35-1),Projects!$B$35/Projects!$D$35,"")</f>
        <v/>
      </c>
      <c r="BB37" s="567">
        <f>IF(AND(Projects!$C$35&lt;=BB$4,BB$4&lt;=Projects!$C$35+Projects!$D$35-1),Projects!$B$35/Projects!$D$35,"")</f>
        <v/>
      </c>
      <c r="BC37" s="567">
        <f>IF(AND(Projects!$C$35&lt;=BC$4,BC$4&lt;=Projects!$C$35+Projects!$D$35-1),Projects!$B$35/Projects!$D$35,"")</f>
        <v/>
      </c>
      <c r="BD37" s="567">
        <f>IF(AND(Projects!$C$35&lt;=BD$4,BD$4&lt;=Projects!$C$35+Projects!$D$35-1),Projects!$B$35/Projects!$D$35,"")</f>
        <v/>
      </c>
      <c r="BE37" s="567">
        <f>IF(AND(Projects!$C$35&lt;=BE$4,BE$4&lt;=Projects!$C$35+Projects!$D$35-1),Projects!$B$35/Projects!$D$35,"")</f>
        <v/>
      </c>
      <c r="BF37" s="567">
        <f>IF(AND(Projects!$C$35&lt;=BF$4,BF$4&lt;=Projects!$C$35+Projects!$D$35-1),Projects!$B$35/Projects!$D$35,"")</f>
        <v/>
      </c>
      <c r="BG37" s="567">
        <f>IF(AND(Projects!$C$35&lt;=BG$4,BG$4&lt;=Projects!$C$35+Projects!$D$35-1),Projects!$B$35/Projects!$D$35,"")</f>
        <v/>
      </c>
      <c r="BH37" s="567">
        <f>IF(AND(Projects!$C$35&lt;=BH$4,BH$4&lt;=Projects!$C$35+Projects!$D$35-1),Projects!$B$35/Projects!$D$35,"")</f>
        <v/>
      </c>
      <c r="BI37" s="567">
        <f>IF(AND(Projects!$C$35&lt;=BI$4,BI$4&lt;=Projects!$C$35+Projects!$D$35-1),Projects!$B$35/Projects!$D$35,"")</f>
        <v/>
      </c>
      <c r="BJ37" s="567">
        <f>IF(AND(Projects!$C$35&lt;=BJ$4,BJ$4&lt;=Projects!$C$35+Projects!$D$35-1),Projects!$B$35/Projects!$D$35,"")</f>
        <v/>
      </c>
      <c r="BK37" s="567">
        <f>IF(AND(Projects!$C$35&lt;=BK$4,BK$4&lt;=Projects!$C$35+Projects!$D$35-1),Projects!$B$35/Projects!$D$35,"")</f>
        <v/>
      </c>
      <c r="BL37" s="567">
        <f>IF(AND(Projects!$C$35&lt;=BL$4,BL$4&lt;=Projects!$C$35+Projects!$D$35-1),Projects!$B$35/Projects!$D$35,"")</f>
        <v/>
      </c>
      <c r="BM37" s="567">
        <f>IF(AND(Projects!$C$35&lt;=BM$4,BM$4&lt;=Projects!$C$35+Projects!$D$35-1),Projects!$B$35/Projects!$D$35,"")</f>
        <v/>
      </c>
      <c r="BN37" s="567">
        <f>IF(AND(Projects!$C$35&lt;=BN$4,BN$4&lt;=Projects!$C$35+Projects!$D$35-1),Projects!$B$35/Projects!$D$35,"")</f>
        <v/>
      </c>
      <c r="BO37" s="567">
        <f>IF(AND(Projects!$C$35&lt;=BO$4,BO$4&lt;=Projects!$C$35+Projects!$D$35-1),Projects!$B$35/Projects!$D$35,"")</f>
        <v/>
      </c>
      <c r="BP37" s="567">
        <f>IF(AND(Projects!$C$35&lt;=BP$4,BP$4&lt;=Projects!$C$35+Projects!$D$35-1),Projects!$B$35/Projects!$D$35,"")</f>
        <v/>
      </c>
      <c r="BQ37" s="567">
        <f>IF(AND(Projects!$C$35&lt;=BQ$4,BQ$4&lt;=Projects!$C$35+Projects!$D$35-1),Projects!$B$35/Projects!$D$35,"")</f>
        <v/>
      </c>
      <c r="BR37" s="567">
        <f>IF(AND(Projects!$C$35&lt;=BR$4,BR$4&lt;=Projects!$C$35+Projects!$D$35-1),Projects!$B$35/Projects!$D$35,"")</f>
        <v/>
      </c>
      <c r="BS37" s="567">
        <f>IF(AND(Projects!$C$35&lt;=BS$4,BS$4&lt;=Projects!$C$35+Projects!$D$35-1),Projects!$B$35/Projects!$D$35,"")</f>
        <v/>
      </c>
      <c r="BT37" s="567">
        <f>IF(AND(Projects!$C$35&lt;=BT$4,BT$4&lt;=Projects!$C$35+Projects!$D$35-1),Projects!$B$35/Projects!$D$35,"")</f>
        <v/>
      </c>
      <c r="BU37" s="567">
        <f>IF(AND(Projects!$C$35&lt;=BU$4,BU$4&lt;=Projects!$C$35+Projects!$D$35-1),Projects!$B$35/Projects!$D$35,"")</f>
        <v/>
      </c>
      <c r="BV37" s="567">
        <f>IF(AND(Projects!$C$35&lt;=BV$4,BV$4&lt;=Projects!$C$35+Projects!$D$35-1),Projects!$B$35/Projects!$D$35,"")</f>
        <v/>
      </c>
      <c r="BW37" s="567">
        <f>IF(AND(Projects!$C$35&lt;=BW$4,BW$4&lt;=Projects!$C$35+Projects!$D$35-1),Projects!$B$35/Projects!$D$35,"")</f>
        <v/>
      </c>
      <c r="BX37" s="567">
        <f>IF(AND(Projects!$C$35&lt;=BX$4,BX$4&lt;=Projects!$C$35+Projects!$D$35-1),Projects!$B$35/Projects!$D$35,"")</f>
        <v/>
      </c>
      <c r="BY37" s="567">
        <f>IF(AND(Projects!$C$35&lt;=BY$4,BY$4&lt;=Projects!$C$35+Projects!$D$35-1),Projects!$B$35/Projects!$D$35,"")</f>
        <v/>
      </c>
      <c r="BZ37" s="567">
        <f>IF(AND(Projects!$C$35&lt;=BZ$4,BZ$4&lt;=Projects!$C$35+Projects!$D$35-1),Projects!$B$35/Projects!$D$35,"")</f>
        <v/>
      </c>
      <c r="CA37" s="567">
        <f>IF(AND(Projects!$C$35&lt;=CA$4,CA$4&lt;=Projects!$C$35+Projects!$D$35-1),Projects!$B$35/Projects!$D$35,"")</f>
        <v/>
      </c>
      <c r="CB37" s="567">
        <f>IF(AND(Projects!$C$35&lt;=CB$4,CB$4&lt;=Projects!$C$35+Projects!$D$35-1),Projects!$B$35/Projects!$D$35,"")</f>
        <v/>
      </c>
      <c r="CC37" s="567">
        <f>IF(AND(Projects!$C$35&lt;=CC$4,CC$4&lt;=Projects!$C$35+Projects!$D$35-1),Projects!$B$35/Projects!$D$35,"")</f>
        <v/>
      </c>
      <c r="CD37" s="567">
        <f>IF(AND(Projects!$C$35&lt;=CD$4,CD$4&lt;=Projects!$C$35+Projects!$D$35-1),Projects!$B$35/Projects!$D$35,"")</f>
        <v/>
      </c>
      <c r="CE37" s="567">
        <f>IF(AND(Projects!$C$35&lt;=CE$4,CE$4&lt;=Projects!$C$35+Projects!$D$35-1),Projects!$B$35/Projects!$D$35,"")</f>
        <v/>
      </c>
      <c r="CF37" s="567">
        <f>IF(AND(Projects!$C$35&lt;=CF$4,CF$4&lt;=Projects!$C$35+Projects!$D$35-1),Projects!$B$35/Projects!$D$35,"")</f>
        <v/>
      </c>
      <c r="CG37" s="567">
        <f>IF(AND(Projects!$C$35&lt;=CG$4,CG$4&lt;=Projects!$C$35+Projects!$D$35-1),Projects!$B$35/Projects!$D$35,"")</f>
        <v/>
      </c>
      <c r="CH37" s="567">
        <f>IF(AND(Projects!$C$35&lt;=CH$4,CH$4&lt;=Projects!$C$35+Projects!$D$35-1),Projects!$B$35/Projects!$D$35,"")</f>
        <v/>
      </c>
      <c r="CI37" s="567">
        <f>IF(AND(Projects!$C$35&lt;=CI$4,CI$4&lt;=Projects!$C$35+Projects!$D$35-1),Projects!$B$35/Projects!$D$35,"")</f>
        <v/>
      </c>
      <c r="CJ37" s="567">
        <f>IF(AND(Projects!$C$35&lt;=CJ$4,CJ$4&lt;=Projects!$C$35+Projects!$D$35-1),Projects!$B$35/Projects!$D$35,"")</f>
        <v/>
      </c>
      <c r="CK37" s="567">
        <f>IF(AND(Projects!$C$35&lt;=CK$4,CK$4&lt;=Projects!$C$35+Projects!$D$35-1),Projects!$B$35/Projects!$D$35,"")</f>
        <v/>
      </c>
      <c r="CL37" s="567">
        <f>IF(AND(Projects!$C$35&lt;=CL$4,CL$4&lt;=Projects!$C$35+Projects!$D$35-1),Projects!$B$35/Projects!$D$35,"")</f>
        <v/>
      </c>
      <c r="CM37" s="567">
        <f>IF(AND(Projects!$C$35&lt;=CM$4,CM$4&lt;=Projects!$C$35+Projects!$D$35-1),Projects!$B$35/Projects!$D$35,"")</f>
        <v/>
      </c>
      <c r="CN37" s="567">
        <f>IF(AND(Projects!$C$35&lt;=CN$4,CN$4&lt;=Projects!$C$35+Projects!$D$35-1),Projects!$B$35/Projects!$D$35,"")</f>
        <v/>
      </c>
      <c r="CO37" s="567">
        <f>IF(AND(Projects!$C$35&lt;=CO$4,CO$4&lt;=Projects!$C$35+Projects!$D$35-1),Projects!$B$35/Projects!$D$35,"")</f>
        <v/>
      </c>
      <c r="CP37" s="567">
        <f>IF(AND(Projects!$C$35&lt;=CP$4,CP$4&lt;=Projects!$C$35+Projects!$D$35-1),Projects!$B$35/Projects!$D$35,"")</f>
        <v/>
      </c>
      <c r="CQ37" s="567">
        <f>IF(AND(Projects!$C$35&lt;=CQ$4,CQ$4&lt;=Projects!$C$35+Projects!$D$35-1),Projects!$B$35/Projects!$D$35,"")</f>
        <v/>
      </c>
      <c r="CR37" s="567">
        <f>IF(AND(Projects!$C$35&lt;=CR$4,CR$4&lt;=Projects!$C$35+Projects!$D$35-1),Projects!$B$35/Projects!$D$35,"")</f>
        <v/>
      </c>
      <c r="CS37" s="567">
        <f>IF(AND(Projects!$C$35&lt;=CS$4,CS$4&lt;=Projects!$C$35+Projects!$D$35-1),Projects!$B$35/Projects!$D$35,"")</f>
        <v/>
      </c>
      <c r="CT37" s="567">
        <f>IF(AND(Projects!$C$35&lt;=CT$4,CT$4&lt;=Projects!$C$35+Projects!$D$35-1),Projects!$B$35/Projects!$D$35,"")</f>
        <v/>
      </c>
      <c r="CU37" s="567">
        <f>IF(AND(Projects!$C$35&lt;=CU$4,CU$4&lt;=Projects!$C$35+Projects!$D$35-1),Projects!$B$35/Projects!$D$35,"")</f>
        <v/>
      </c>
      <c r="CV37" s="567">
        <f>IF(AND(Projects!$C$35&lt;=CV$4,CV$4&lt;=Projects!$C$35+Projects!$D$35-1),Projects!$B$35/Projects!$D$35,"")</f>
        <v/>
      </c>
      <c r="CW37" s="567">
        <f>IF(AND(Projects!$C$35&lt;=CW$4,CW$4&lt;=Projects!$C$35+Projects!$D$35-1),Projects!$B$35/Projects!$D$35,"")</f>
        <v/>
      </c>
      <c r="CX37" s="567">
        <f>IF(AND(Projects!$C$35&lt;=CX$4,CX$4&lt;=Projects!$C$35+Projects!$D$35-1),Projects!$B$35/Projects!$D$35,"")</f>
        <v/>
      </c>
      <c r="CY37" s="567">
        <f>IF(AND(Projects!$C$35&lt;=CY$4,CY$4&lt;=Projects!$C$35+Projects!$D$35-1),Projects!$B$35/Projects!$D$35,"")</f>
        <v/>
      </c>
      <c r="CZ37" s="567">
        <f>IF(AND(Projects!$C$35&lt;=CZ$4,CZ$4&lt;=Projects!$C$35+Projects!$D$35-1),Projects!$B$35/Projects!$D$35,"")</f>
        <v/>
      </c>
      <c r="DA37" s="567">
        <f>IF(AND(Projects!$C$35&lt;=DA$4,DA$4&lt;=Projects!$C$35+Projects!$D$35-1),Projects!$B$35/Projects!$D$35,"")</f>
        <v/>
      </c>
      <c r="DB37" s="567">
        <f>IF(AND(Projects!$C$35&lt;=DB$4,DB$4&lt;=Projects!$C$35+Projects!$D$35-1),Projects!$B$35/Projects!$D$35,"")</f>
        <v/>
      </c>
    </row>
    <row r="38" ht="15" customFormat="1" customHeight="1" s="380">
      <c r="A38" s="563" t="inlineStr">
        <is>
          <t>BD-20</t>
        </is>
      </c>
      <c r="B38" s="564">
        <f>Projects!$B$36</f>
        <v/>
      </c>
      <c r="C38" s="565">
        <f>EDATE(Model!$E$2,Projects!$C$36-1)</f>
        <v/>
      </c>
      <c r="D38" s="565">
        <f>EDATE(Model!$E$2,Projects!$C$36+Projects!$D$36-2)</f>
        <v/>
      </c>
      <c r="E38" s="566">
        <f>Projects!$D$36</f>
        <v/>
      </c>
      <c r="F38" s="564">
        <f>Projects!$B$36/Projects!$D$36</f>
        <v/>
      </c>
      <c r="G38" s="567">
        <f>IF(AND(Projects!$C$36&lt;=G$4,G$4&lt;=Projects!$C$36+Projects!$D$36-1),Projects!$B$36/Projects!$D$36,"")</f>
        <v/>
      </c>
      <c r="H38" s="567">
        <f>IF(AND(Projects!$C$36&lt;=H$4,H$4&lt;=Projects!$C$36+Projects!$D$36-1),Projects!$B$36/Projects!$D$36,"")</f>
        <v/>
      </c>
      <c r="I38" s="567">
        <f>IF(AND(Projects!$C$36&lt;=I$4,I$4&lt;=Projects!$C$36+Projects!$D$36-1),Projects!$B$36/Projects!$D$36,"")</f>
        <v/>
      </c>
      <c r="J38" s="567">
        <f>IF(AND(Projects!$C$36&lt;=J$4,J$4&lt;=Projects!$C$36+Projects!$D$36-1),Projects!$B$36/Projects!$D$36,"")</f>
        <v/>
      </c>
      <c r="K38" s="567">
        <f>IF(AND(Projects!$C$36&lt;=K$4,K$4&lt;=Projects!$C$36+Projects!$D$36-1),Projects!$B$36/Projects!$D$36,"")</f>
        <v/>
      </c>
      <c r="L38" s="567">
        <f>IF(AND(Projects!$C$36&lt;=L$4,L$4&lt;=Projects!$C$36+Projects!$D$36-1),Projects!$B$36/Projects!$D$36,"")</f>
        <v/>
      </c>
      <c r="M38" s="567">
        <f>IF(AND(Projects!$C$36&lt;=M$4,M$4&lt;=Projects!$C$36+Projects!$D$36-1),Projects!$B$36/Projects!$D$36,"")</f>
        <v/>
      </c>
      <c r="N38" s="567">
        <f>IF(AND(Projects!$C$36&lt;=N$4,N$4&lt;=Projects!$C$36+Projects!$D$36-1),Projects!$B$36/Projects!$D$36,"")</f>
        <v/>
      </c>
      <c r="O38" s="567">
        <f>IF(AND(Projects!$C$36&lt;=O$4,O$4&lt;=Projects!$C$36+Projects!$D$36-1),Projects!$B$36/Projects!$D$36,"")</f>
        <v/>
      </c>
      <c r="P38" s="567">
        <f>IF(AND(Projects!$C$36&lt;=P$4,P$4&lt;=Projects!$C$36+Projects!$D$36-1),Projects!$B$36/Projects!$D$36,"")</f>
        <v/>
      </c>
      <c r="Q38" s="567">
        <f>IF(AND(Projects!$C$36&lt;=Q$4,Q$4&lt;=Projects!$C$36+Projects!$D$36-1),Projects!$B$36/Projects!$D$36,"")</f>
        <v/>
      </c>
      <c r="R38" s="567">
        <f>IF(AND(Projects!$C$36&lt;=R$4,R$4&lt;=Projects!$C$36+Projects!$D$36-1),Projects!$B$36/Projects!$D$36,"")</f>
        <v/>
      </c>
      <c r="S38" s="567">
        <f>IF(AND(Projects!$C$36&lt;=S$4,S$4&lt;=Projects!$C$36+Projects!$D$36-1),Projects!$B$36/Projects!$D$36,"")</f>
        <v/>
      </c>
      <c r="T38" s="567">
        <f>IF(AND(Projects!$C$36&lt;=T$4,T$4&lt;=Projects!$C$36+Projects!$D$36-1),Projects!$B$36/Projects!$D$36,"")</f>
        <v/>
      </c>
      <c r="U38" s="567">
        <f>IF(AND(Projects!$C$36&lt;=U$4,U$4&lt;=Projects!$C$36+Projects!$D$36-1),Projects!$B$36/Projects!$D$36,"")</f>
        <v/>
      </c>
      <c r="V38" s="567">
        <f>IF(AND(Projects!$C$36&lt;=V$4,V$4&lt;=Projects!$C$36+Projects!$D$36-1),Projects!$B$36/Projects!$D$36,"")</f>
        <v/>
      </c>
      <c r="W38" s="567">
        <f>IF(AND(Projects!$C$36&lt;=W$4,W$4&lt;=Projects!$C$36+Projects!$D$36-1),Projects!$B$36/Projects!$D$36,"")</f>
        <v/>
      </c>
      <c r="X38" s="567">
        <f>IF(AND(Projects!$C$36&lt;=X$4,X$4&lt;=Projects!$C$36+Projects!$D$36-1),Projects!$B$36/Projects!$D$36,"")</f>
        <v/>
      </c>
      <c r="Y38" s="567">
        <f>IF(AND(Projects!$C$36&lt;=Y$4,Y$4&lt;=Projects!$C$36+Projects!$D$36-1),Projects!$B$36/Projects!$D$36,"")</f>
        <v/>
      </c>
      <c r="Z38" s="567">
        <f>IF(AND(Projects!$C$36&lt;=Z$4,Z$4&lt;=Projects!$C$36+Projects!$D$36-1),Projects!$B$36/Projects!$D$36,"")</f>
        <v/>
      </c>
      <c r="AA38" s="567">
        <f>IF(AND(Projects!$C$36&lt;=AA$4,AA$4&lt;=Projects!$C$36+Projects!$D$36-1),Projects!$B$36/Projects!$D$36,"")</f>
        <v/>
      </c>
      <c r="AB38" s="567">
        <f>IF(AND(Projects!$C$36&lt;=AB$4,AB$4&lt;=Projects!$C$36+Projects!$D$36-1),Projects!$B$36/Projects!$D$36,"")</f>
        <v/>
      </c>
      <c r="AC38" s="567">
        <f>IF(AND(Projects!$C$36&lt;=AC$4,AC$4&lt;=Projects!$C$36+Projects!$D$36-1),Projects!$B$36/Projects!$D$36,"")</f>
        <v/>
      </c>
      <c r="AD38" s="567">
        <f>IF(AND(Projects!$C$36&lt;=AD$4,AD$4&lt;=Projects!$C$36+Projects!$D$36-1),Projects!$B$36/Projects!$D$36,"")</f>
        <v/>
      </c>
      <c r="AE38" s="567">
        <f>IF(AND(Projects!$C$36&lt;=AE$4,AE$4&lt;=Projects!$C$36+Projects!$D$36-1),Projects!$B$36/Projects!$D$36,"")</f>
        <v/>
      </c>
      <c r="AF38" s="567">
        <f>IF(AND(Projects!$C$36&lt;=AF$4,AF$4&lt;=Projects!$C$36+Projects!$D$36-1),Projects!$B$36/Projects!$D$36,"")</f>
        <v/>
      </c>
      <c r="AG38" s="567">
        <f>IF(AND(Projects!$C$36&lt;=AG$4,AG$4&lt;=Projects!$C$36+Projects!$D$36-1),Projects!$B$36/Projects!$D$36,"")</f>
        <v/>
      </c>
      <c r="AH38" s="567">
        <f>IF(AND(Projects!$C$36&lt;=AH$4,AH$4&lt;=Projects!$C$36+Projects!$D$36-1),Projects!$B$36/Projects!$D$36,"")</f>
        <v/>
      </c>
      <c r="AI38" s="567">
        <f>IF(AND(Projects!$C$36&lt;=AI$4,AI$4&lt;=Projects!$C$36+Projects!$D$36-1),Projects!$B$36/Projects!$D$36,"")</f>
        <v/>
      </c>
      <c r="AJ38" s="567">
        <f>IF(AND(Projects!$C$36&lt;=AJ$4,AJ$4&lt;=Projects!$C$36+Projects!$D$36-1),Projects!$B$36/Projects!$D$36,"")</f>
        <v/>
      </c>
      <c r="AK38" s="567">
        <f>IF(AND(Projects!$C$36&lt;=AK$4,AK$4&lt;=Projects!$C$36+Projects!$D$36-1),Projects!$B$36/Projects!$D$36,"")</f>
        <v/>
      </c>
      <c r="AL38" s="567">
        <f>IF(AND(Projects!$C$36&lt;=AL$4,AL$4&lt;=Projects!$C$36+Projects!$D$36-1),Projects!$B$36/Projects!$D$36,"")</f>
        <v/>
      </c>
      <c r="AM38" s="567">
        <f>IF(AND(Projects!$C$36&lt;=AM$4,AM$4&lt;=Projects!$C$36+Projects!$D$36-1),Projects!$B$36/Projects!$D$36,"")</f>
        <v/>
      </c>
      <c r="AN38" s="567">
        <f>IF(AND(Projects!$C$36&lt;=AN$4,AN$4&lt;=Projects!$C$36+Projects!$D$36-1),Projects!$B$36/Projects!$D$36,"")</f>
        <v/>
      </c>
      <c r="AO38" s="567">
        <f>IF(AND(Projects!$C$36&lt;=AO$4,AO$4&lt;=Projects!$C$36+Projects!$D$36-1),Projects!$B$36/Projects!$D$36,"")</f>
        <v/>
      </c>
      <c r="AP38" s="567">
        <f>IF(AND(Projects!$C$36&lt;=AP$4,AP$4&lt;=Projects!$C$36+Projects!$D$36-1),Projects!$B$36/Projects!$D$36,"")</f>
        <v/>
      </c>
      <c r="AQ38" s="567">
        <f>IF(AND(Projects!$C$36&lt;=AQ$4,AQ$4&lt;=Projects!$C$36+Projects!$D$36-1),Projects!$B$36/Projects!$D$36,"")</f>
        <v/>
      </c>
      <c r="AR38" s="567">
        <f>IF(AND(Projects!$C$36&lt;=AR$4,AR$4&lt;=Projects!$C$36+Projects!$D$36-1),Projects!$B$36/Projects!$D$36,"")</f>
        <v/>
      </c>
      <c r="AS38" s="567">
        <f>IF(AND(Projects!$C$36&lt;=AS$4,AS$4&lt;=Projects!$C$36+Projects!$D$36-1),Projects!$B$36/Projects!$D$36,"")</f>
        <v/>
      </c>
      <c r="AT38" s="567">
        <f>IF(AND(Projects!$C$36&lt;=AT$4,AT$4&lt;=Projects!$C$36+Projects!$D$36-1),Projects!$B$36/Projects!$D$36,"")</f>
        <v/>
      </c>
      <c r="AU38" s="567">
        <f>IF(AND(Projects!$C$36&lt;=AU$4,AU$4&lt;=Projects!$C$36+Projects!$D$36-1),Projects!$B$36/Projects!$D$36,"")</f>
        <v/>
      </c>
      <c r="AV38" s="567">
        <f>IF(AND(Projects!$C$36&lt;=AV$4,AV$4&lt;=Projects!$C$36+Projects!$D$36-1),Projects!$B$36/Projects!$D$36,"")</f>
        <v/>
      </c>
      <c r="AW38" s="567">
        <f>IF(AND(Projects!$C$36&lt;=AW$4,AW$4&lt;=Projects!$C$36+Projects!$D$36-1),Projects!$B$36/Projects!$D$36,"")</f>
        <v/>
      </c>
      <c r="AX38" s="567">
        <f>IF(AND(Projects!$C$36&lt;=AX$4,AX$4&lt;=Projects!$C$36+Projects!$D$36-1),Projects!$B$36/Projects!$D$36,"")</f>
        <v/>
      </c>
      <c r="AY38" s="567">
        <f>IF(AND(Projects!$C$36&lt;=AY$4,AY$4&lt;=Projects!$C$36+Projects!$D$36-1),Projects!$B$36/Projects!$D$36,"")</f>
        <v/>
      </c>
      <c r="AZ38" s="567">
        <f>IF(AND(Projects!$C$36&lt;=AZ$4,AZ$4&lt;=Projects!$C$36+Projects!$D$36-1),Projects!$B$36/Projects!$D$36,"")</f>
        <v/>
      </c>
      <c r="BA38" s="567">
        <f>IF(AND(Projects!$C$36&lt;=BA$4,BA$4&lt;=Projects!$C$36+Projects!$D$36-1),Projects!$B$36/Projects!$D$36,"")</f>
        <v/>
      </c>
      <c r="BB38" s="567">
        <f>IF(AND(Projects!$C$36&lt;=BB$4,BB$4&lt;=Projects!$C$36+Projects!$D$36-1),Projects!$B$36/Projects!$D$36,"")</f>
        <v/>
      </c>
      <c r="BC38" s="567">
        <f>IF(AND(Projects!$C$36&lt;=BC$4,BC$4&lt;=Projects!$C$36+Projects!$D$36-1),Projects!$B$36/Projects!$D$36,"")</f>
        <v/>
      </c>
      <c r="BD38" s="567">
        <f>IF(AND(Projects!$C$36&lt;=BD$4,BD$4&lt;=Projects!$C$36+Projects!$D$36-1),Projects!$B$36/Projects!$D$36,"")</f>
        <v/>
      </c>
      <c r="BE38" s="567">
        <f>IF(AND(Projects!$C$36&lt;=BE$4,BE$4&lt;=Projects!$C$36+Projects!$D$36-1),Projects!$B$36/Projects!$D$36,"")</f>
        <v/>
      </c>
      <c r="BF38" s="567">
        <f>IF(AND(Projects!$C$36&lt;=BF$4,BF$4&lt;=Projects!$C$36+Projects!$D$36-1),Projects!$B$36/Projects!$D$36,"")</f>
        <v/>
      </c>
      <c r="BG38" s="567">
        <f>IF(AND(Projects!$C$36&lt;=BG$4,BG$4&lt;=Projects!$C$36+Projects!$D$36-1),Projects!$B$36/Projects!$D$36,"")</f>
        <v/>
      </c>
      <c r="BH38" s="567">
        <f>IF(AND(Projects!$C$36&lt;=BH$4,BH$4&lt;=Projects!$C$36+Projects!$D$36-1),Projects!$B$36/Projects!$D$36,"")</f>
        <v/>
      </c>
      <c r="BI38" s="567">
        <f>IF(AND(Projects!$C$36&lt;=BI$4,BI$4&lt;=Projects!$C$36+Projects!$D$36-1),Projects!$B$36/Projects!$D$36,"")</f>
        <v/>
      </c>
      <c r="BJ38" s="567">
        <f>IF(AND(Projects!$C$36&lt;=BJ$4,BJ$4&lt;=Projects!$C$36+Projects!$D$36-1),Projects!$B$36/Projects!$D$36,"")</f>
        <v/>
      </c>
      <c r="BK38" s="567">
        <f>IF(AND(Projects!$C$36&lt;=BK$4,BK$4&lt;=Projects!$C$36+Projects!$D$36-1),Projects!$B$36/Projects!$D$36,"")</f>
        <v/>
      </c>
      <c r="BL38" s="567">
        <f>IF(AND(Projects!$C$36&lt;=BL$4,BL$4&lt;=Projects!$C$36+Projects!$D$36-1),Projects!$B$36/Projects!$D$36,"")</f>
        <v/>
      </c>
      <c r="BM38" s="567">
        <f>IF(AND(Projects!$C$36&lt;=BM$4,BM$4&lt;=Projects!$C$36+Projects!$D$36-1),Projects!$B$36/Projects!$D$36,"")</f>
        <v/>
      </c>
      <c r="BN38" s="567">
        <f>IF(AND(Projects!$C$36&lt;=BN$4,BN$4&lt;=Projects!$C$36+Projects!$D$36-1),Projects!$B$36/Projects!$D$36,"")</f>
        <v/>
      </c>
      <c r="BO38" s="567">
        <f>IF(AND(Projects!$C$36&lt;=BO$4,BO$4&lt;=Projects!$C$36+Projects!$D$36-1),Projects!$B$36/Projects!$D$36,"")</f>
        <v/>
      </c>
      <c r="BP38" s="567">
        <f>IF(AND(Projects!$C$36&lt;=BP$4,BP$4&lt;=Projects!$C$36+Projects!$D$36-1),Projects!$B$36/Projects!$D$36,"")</f>
        <v/>
      </c>
      <c r="BQ38" s="567">
        <f>IF(AND(Projects!$C$36&lt;=BQ$4,BQ$4&lt;=Projects!$C$36+Projects!$D$36-1),Projects!$B$36/Projects!$D$36,"")</f>
        <v/>
      </c>
      <c r="BR38" s="567">
        <f>IF(AND(Projects!$C$36&lt;=BR$4,BR$4&lt;=Projects!$C$36+Projects!$D$36-1),Projects!$B$36/Projects!$D$36,"")</f>
        <v/>
      </c>
      <c r="BS38" s="567">
        <f>IF(AND(Projects!$C$36&lt;=BS$4,BS$4&lt;=Projects!$C$36+Projects!$D$36-1),Projects!$B$36/Projects!$D$36,"")</f>
        <v/>
      </c>
      <c r="BT38" s="567">
        <f>IF(AND(Projects!$C$36&lt;=BT$4,BT$4&lt;=Projects!$C$36+Projects!$D$36-1),Projects!$B$36/Projects!$D$36,"")</f>
        <v/>
      </c>
      <c r="BU38" s="567">
        <f>IF(AND(Projects!$C$36&lt;=BU$4,BU$4&lt;=Projects!$C$36+Projects!$D$36-1),Projects!$B$36/Projects!$D$36,"")</f>
        <v/>
      </c>
      <c r="BV38" s="567">
        <f>IF(AND(Projects!$C$36&lt;=BV$4,BV$4&lt;=Projects!$C$36+Projects!$D$36-1),Projects!$B$36/Projects!$D$36,"")</f>
        <v/>
      </c>
      <c r="BW38" s="567">
        <f>IF(AND(Projects!$C$36&lt;=BW$4,BW$4&lt;=Projects!$C$36+Projects!$D$36-1),Projects!$B$36/Projects!$D$36,"")</f>
        <v/>
      </c>
      <c r="BX38" s="567">
        <f>IF(AND(Projects!$C$36&lt;=BX$4,BX$4&lt;=Projects!$C$36+Projects!$D$36-1),Projects!$B$36/Projects!$D$36,"")</f>
        <v/>
      </c>
      <c r="BY38" s="567">
        <f>IF(AND(Projects!$C$36&lt;=BY$4,BY$4&lt;=Projects!$C$36+Projects!$D$36-1),Projects!$B$36/Projects!$D$36,"")</f>
        <v/>
      </c>
      <c r="BZ38" s="567">
        <f>IF(AND(Projects!$C$36&lt;=BZ$4,BZ$4&lt;=Projects!$C$36+Projects!$D$36-1),Projects!$B$36/Projects!$D$36,"")</f>
        <v/>
      </c>
      <c r="CA38" s="567">
        <f>IF(AND(Projects!$C$36&lt;=CA$4,CA$4&lt;=Projects!$C$36+Projects!$D$36-1),Projects!$B$36/Projects!$D$36,"")</f>
        <v/>
      </c>
      <c r="CB38" s="567">
        <f>IF(AND(Projects!$C$36&lt;=CB$4,CB$4&lt;=Projects!$C$36+Projects!$D$36-1),Projects!$B$36/Projects!$D$36,"")</f>
        <v/>
      </c>
      <c r="CC38" s="567">
        <f>IF(AND(Projects!$C$36&lt;=CC$4,CC$4&lt;=Projects!$C$36+Projects!$D$36-1),Projects!$B$36/Projects!$D$36,"")</f>
        <v/>
      </c>
      <c r="CD38" s="567">
        <f>IF(AND(Projects!$C$36&lt;=CD$4,CD$4&lt;=Projects!$C$36+Projects!$D$36-1),Projects!$B$36/Projects!$D$36,"")</f>
        <v/>
      </c>
      <c r="CE38" s="567">
        <f>IF(AND(Projects!$C$36&lt;=CE$4,CE$4&lt;=Projects!$C$36+Projects!$D$36-1),Projects!$B$36/Projects!$D$36,"")</f>
        <v/>
      </c>
      <c r="CF38" s="567">
        <f>IF(AND(Projects!$C$36&lt;=CF$4,CF$4&lt;=Projects!$C$36+Projects!$D$36-1),Projects!$B$36/Projects!$D$36,"")</f>
        <v/>
      </c>
      <c r="CG38" s="567">
        <f>IF(AND(Projects!$C$36&lt;=CG$4,CG$4&lt;=Projects!$C$36+Projects!$D$36-1),Projects!$B$36/Projects!$D$36,"")</f>
        <v/>
      </c>
      <c r="CH38" s="567">
        <f>IF(AND(Projects!$C$36&lt;=CH$4,CH$4&lt;=Projects!$C$36+Projects!$D$36-1),Projects!$B$36/Projects!$D$36,"")</f>
        <v/>
      </c>
      <c r="CI38" s="567">
        <f>IF(AND(Projects!$C$36&lt;=CI$4,CI$4&lt;=Projects!$C$36+Projects!$D$36-1),Projects!$B$36/Projects!$D$36,"")</f>
        <v/>
      </c>
      <c r="CJ38" s="567">
        <f>IF(AND(Projects!$C$36&lt;=CJ$4,CJ$4&lt;=Projects!$C$36+Projects!$D$36-1),Projects!$B$36/Projects!$D$36,"")</f>
        <v/>
      </c>
      <c r="CK38" s="567">
        <f>IF(AND(Projects!$C$36&lt;=CK$4,CK$4&lt;=Projects!$C$36+Projects!$D$36-1),Projects!$B$36/Projects!$D$36,"")</f>
        <v/>
      </c>
      <c r="CL38" s="567">
        <f>IF(AND(Projects!$C$36&lt;=CL$4,CL$4&lt;=Projects!$C$36+Projects!$D$36-1),Projects!$B$36/Projects!$D$36,"")</f>
        <v/>
      </c>
      <c r="CM38" s="567">
        <f>IF(AND(Projects!$C$36&lt;=CM$4,CM$4&lt;=Projects!$C$36+Projects!$D$36-1),Projects!$B$36/Projects!$D$36,"")</f>
        <v/>
      </c>
      <c r="CN38" s="567">
        <f>IF(AND(Projects!$C$36&lt;=CN$4,CN$4&lt;=Projects!$C$36+Projects!$D$36-1),Projects!$B$36/Projects!$D$36,"")</f>
        <v/>
      </c>
      <c r="CO38" s="567">
        <f>IF(AND(Projects!$C$36&lt;=CO$4,CO$4&lt;=Projects!$C$36+Projects!$D$36-1),Projects!$B$36/Projects!$D$36,"")</f>
        <v/>
      </c>
      <c r="CP38" s="567">
        <f>IF(AND(Projects!$C$36&lt;=CP$4,CP$4&lt;=Projects!$C$36+Projects!$D$36-1),Projects!$B$36/Projects!$D$36,"")</f>
        <v/>
      </c>
      <c r="CQ38" s="567">
        <f>IF(AND(Projects!$C$36&lt;=CQ$4,CQ$4&lt;=Projects!$C$36+Projects!$D$36-1),Projects!$B$36/Projects!$D$36,"")</f>
        <v/>
      </c>
      <c r="CR38" s="567">
        <f>IF(AND(Projects!$C$36&lt;=CR$4,CR$4&lt;=Projects!$C$36+Projects!$D$36-1),Projects!$B$36/Projects!$D$36,"")</f>
        <v/>
      </c>
      <c r="CS38" s="567">
        <f>IF(AND(Projects!$C$36&lt;=CS$4,CS$4&lt;=Projects!$C$36+Projects!$D$36-1),Projects!$B$36/Projects!$D$36,"")</f>
        <v/>
      </c>
      <c r="CT38" s="567">
        <f>IF(AND(Projects!$C$36&lt;=CT$4,CT$4&lt;=Projects!$C$36+Projects!$D$36-1),Projects!$B$36/Projects!$D$36,"")</f>
        <v/>
      </c>
      <c r="CU38" s="567">
        <f>IF(AND(Projects!$C$36&lt;=CU$4,CU$4&lt;=Projects!$C$36+Projects!$D$36-1),Projects!$B$36/Projects!$D$36,"")</f>
        <v/>
      </c>
      <c r="CV38" s="567">
        <f>IF(AND(Projects!$C$36&lt;=CV$4,CV$4&lt;=Projects!$C$36+Projects!$D$36-1),Projects!$B$36/Projects!$D$36,"")</f>
        <v/>
      </c>
      <c r="CW38" s="567">
        <f>IF(AND(Projects!$C$36&lt;=CW$4,CW$4&lt;=Projects!$C$36+Projects!$D$36-1),Projects!$B$36/Projects!$D$36,"")</f>
        <v/>
      </c>
      <c r="CX38" s="567">
        <f>IF(AND(Projects!$C$36&lt;=CX$4,CX$4&lt;=Projects!$C$36+Projects!$D$36-1),Projects!$B$36/Projects!$D$36,"")</f>
        <v/>
      </c>
      <c r="CY38" s="567">
        <f>IF(AND(Projects!$C$36&lt;=CY$4,CY$4&lt;=Projects!$C$36+Projects!$D$36-1),Projects!$B$36/Projects!$D$36,"")</f>
        <v/>
      </c>
      <c r="CZ38" s="567">
        <f>IF(AND(Projects!$C$36&lt;=CZ$4,CZ$4&lt;=Projects!$C$36+Projects!$D$36-1),Projects!$B$36/Projects!$D$36,"")</f>
        <v/>
      </c>
      <c r="DA38" s="567">
        <f>IF(AND(Projects!$C$36&lt;=DA$4,DA$4&lt;=Projects!$C$36+Projects!$D$36-1),Projects!$B$36/Projects!$D$36,"")</f>
        <v/>
      </c>
      <c r="DB38" s="567">
        <f>IF(AND(Projects!$C$36&lt;=DB$4,DB$4&lt;=Projects!$C$36+Projects!$D$36-1),Projects!$B$36/Projects!$D$36,"")</f>
        <v/>
      </c>
    </row>
    <row r="39" ht="15" customFormat="1" customHeight="1" s="380">
      <c r="A39" s="563" t="inlineStr">
        <is>
          <t>BD-23</t>
        </is>
      </c>
      <c r="B39" s="564">
        <f>Projects!$B$39</f>
        <v/>
      </c>
      <c r="C39" s="565">
        <f>EDATE(Model!$E$2,Projects!$C$39-1)</f>
        <v/>
      </c>
      <c r="D39" s="565">
        <f>EDATE(Model!$E$2,Projects!$C$39+Projects!$D$39-2)</f>
        <v/>
      </c>
      <c r="E39" s="566">
        <f>Projects!$D$39</f>
        <v/>
      </c>
      <c r="F39" s="564">
        <f>Projects!$B$39/Projects!$D$39</f>
        <v/>
      </c>
      <c r="G39" s="567">
        <f>IF(AND(Projects!$C$39&lt;=G$4,G$4&lt;=Projects!$C$39+Projects!$D$39-1),Projects!$B$39/Projects!$D$39,"")</f>
        <v/>
      </c>
      <c r="H39" s="567">
        <f>IF(AND(Projects!$C$39&lt;=H$4,H$4&lt;=Projects!$C$39+Projects!$D$39-1),Projects!$B$39/Projects!$D$39,"")</f>
        <v/>
      </c>
      <c r="I39" s="567">
        <f>IF(AND(Projects!$C$39&lt;=I$4,I$4&lt;=Projects!$C$39+Projects!$D$39-1),Projects!$B$39/Projects!$D$39,"")</f>
        <v/>
      </c>
      <c r="J39" s="567">
        <f>IF(AND(Projects!$C$39&lt;=J$4,J$4&lt;=Projects!$C$39+Projects!$D$39-1),Projects!$B$39/Projects!$D$39,"")</f>
        <v/>
      </c>
      <c r="K39" s="567">
        <f>IF(AND(Projects!$C$39&lt;=K$4,K$4&lt;=Projects!$C$39+Projects!$D$39-1),Projects!$B$39/Projects!$D$39,"")</f>
        <v/>
      </c>
      <c r="L39" s="567">
        <f>IF(AND(Projects!$C$39&lt;=L$4,L$4&lt;=Projects!$C$39+Projects!$D$39-1),Projects!$B$39/Projects!$D$39,"")</f>
        <v/>
      </c>
      <c r="M39" s="567">
        <f>IF(AND(Projects!$C$39&lt;=M$4,M$4&lt;=Projects!$C$39+Projects!$D$39-1),Projects!$B$39/Projects!$D$39,"")</f>
        <v/>
      </c>
      <c r="N39" s="567">
        <f>IF(AND(Projects!$C$39&lt;=N$4,N$4&lt;=Projects!$C$39+Projects!$D$39-1),Projects!$B$39/Projects!$D$39,"")</f>
        <v/>
      </c>
      <c r="O39" s="567">
        <f>IF(AND(Projects!$C$39&lt;=O$4,O$4&lt;=Projects!$C$39+Projects!$D$39-1),Projects!$B$39/Projects!$D$39,"")</f>
        <v/>
      </c>
      <c r="P39" s="567">
        <f>IF(AND(Projects!$C$39&lt;=P$4,P$4&lt;=Projects!$C$39+Projects!$D$39-1),Projects!$B$39/Projects!$D$39,"")</f>
        <v/>
      </c>
      <c r="Q39" s="567">
        <f>IF(AND(Projects!$C$39&lt;=Q$4,Q$4&lt;=Projects!$C$39+Projects!$D$39-1),Projects!$B$39/Projects!$D$39,"")</f>
        <v/>
      </c>
      <c r="R39" s="567">
        <f>IF(AND(Projects!$C$39&lt;=R$4,R$4&lt;=Projects!$C$39+Projects!$D$39-1),Projects!$B$39/Projects!$D$39,"")</f>
        <v/>
      </c>
      <c r="S39" s="567">
        <f>IF(AND(Projects!$C$39&lt;=S$4,S$4&lt;=Projects!$C$39+Projects!$D$39-1),Projects!$B$39/Projects!$D$39,"")</f>
        <v/>
      </c>
      <c r="T39" s="567">
        <f>IF(AND(Projects!$C$39&lt;=T$4,T$4&lt;=Projects!$C$39+Projects!$D$39-1),Projects!$B$39/Projects!$D$39,"")</f>
        <v/>
      </c>
      <c r="U39" s="567">
        <f>IF(AND(Projects!$C$39&lt;=U$4,U$4&lt;=Projects!$C$39+Projects!$D$39-1),Projects!$B$39/Projects!$D$39,"")</f>
        <v/>
      </c>
      <c r="V39" s="567">
        <f>IF(AND(Projects!$C$39&lt;=V$4,V$4&lt;=Projects!$C$39+Projects!$D$39-1),Projects!$B$39/Projects!$D$39,"")</f>
        <v/>
      </c>
      <c r="W39" s="567">
        <f>IF(AND(Projects!$C$39&lt;=W$4,W$4&lt;=Projects!$C$39+Projects!$D$39-1),Projects!$B$39/Projects!$D$39,"")</f>
        <v/>
      </c>
      <c r="X39" s="567">
        <f>IF(AND(Projects!$C$39&lt;=X$4,X$4&lt;=Projects!$C$39+Projects!$D$39-1),Projects!$B$39/Projects!$D$39,"")</f>
        <v/>
      </c>
      <c r="Y39" s="567">
        <f>IF(AND(Projects!$C$39&lt;=Y$4,Y$4&lt;=Projects!$C$39+Projects!$D$39-1),Projects!$B$39/Projects!$D$39,"")</f>
        <v/>
      </c>
      <c r="Z39" s="567">
        <f>IF(AND(Projects!$C$39&lt;=Z$4,Z$4&lt;=Projects!$C$39+Projects!$D$39-1),Projects!$B$39/Projects!$D$39,"")</f>
        <v/>
      </c>
      <c r="AA39" s="567">
        <f>IF(AND(Projects!$C$39&lt;=AA$4,AA$4&lt;=Projects!$C$39+Projects!$D$39-1),Projects!$B$39/Projects!$D$39,"")</f>
        <v/>
      </c>
      <c r="AB39" s="567">
        <f>IF(AND(Projects!$C$39&lt;=AB$4,AB$4&lt;=Projects!$C$39+Projects!$D$39-1),Projects!$B$39/Projects!$D$39,"")</f>
        <v/>
      </c>
      <c r="AC39" s="567">
        <f>IF(AND(Projects!$C$39&lt;=AC$4,AC$4&lt;=Projects!$C$39+Projects!$D$39-1),Projects!$B$39/Projects!$D$39,"")</f>
        <v/>
      </c>
      <c r="AD39" s="567">
        <f>IF(AND(Projects!$C$39&lt;=AD$4,AD$4&lt;=Projects!$C$39+Projects!$D$39-1),Projects!$B$39/Projects!$D$39,"")</f>
        <v/>
      </c>
      <c r="AE39" s="567">
        <f>IF(AND(Projects!$C$39&lt;=AE$4,AE$4&lt;=Projects!$C$39+Projects!$D$39-1),Projects!$B$39/Projects!$D$39,"")</f>
        <v/>
      </c>
      <c r="AF39" s="567">
        <f>IF(AND(Projects!$C$39&lt;=AF$4,AF$4&lt;=Projects!$C$39+Projects!$D$39-1),Projects!$B$39/Projects!$D$39,"")</f>
        <v/>
      </c>
      <c r="AG39" s="567">
        <f>IF(AND(Projects!$C$39&lt;=AG$4,AG$4&lt;=Projects!$C$39+Projects!$D$39-1),Projects!$B$39/Projects!$D$39,"")</f>
        <v/>
      </c>
      <c r="AH39" s="567">
        <f>IF(AND(Projects!$C$39&lt;=AH$4,AH$4&lt;=Projects!$C$39+Projects!$D$39-1),Projects!$B$39/Projects!$D$39,"")</f>
        <v/>
      </c>
      <c r="AI39" s="567">
        <f>IF(AND(Projects!$C$39&lt;=AI$4,AI$4&lt;=Projects!$C$39+Projects!$D$39-1),Projects!$B$39/Projects!$D$39,"")</f>
        <v/>
      </c>
      <c r="AJ39" s="567">
        <f>IF(AND(Projects!$C$39&lt;=AJ$4,AJ$4&lt;=Projects!$C$39+Projects!$D$39-1),Projects!$B$39/Projects!$D$39,"")</f>
        <v/>
      </c>
      <c r="AK39" s="567">
        <f>IF(AND(Projects!$C$39&lt;=AK$4,AK$4&lt;=Projects!$C$39+Projects!$D$39-1),Projects!$B$39/Projects!$D$39,"")</f>
        <v/>
      </c>
      <c r="AL39" s="567">
        <f>IF(AND(Projects!$C$39&lt;=AL$4,AL$4&lt;=Projects!$C$39+Projects!$D$39-1),Projects!$B$39/Projects!$D$39,"")</f>
        <v/>
      </c>
      <c r="AM39" s="567">
        <f>IF(AND(Projects!$C$39&lt;=AM$4,AM$4&lt;=Projects!$C$39+Projects!$D$39-1),Projects!$B$39/Projects!$D$39,"")</f>
        <v/>
      </c>
      <c r="AN39" s="567">
        <f>IF(AND(Projects!$C$39&lt;=AN$4,AN$4&lt;=Projects!$C$39+Projects!$D$39-1),Projects!$B$39/Projects!$D$39,"")</f>
        <v/>
      </c>
      <c r="AO39" s="567">
        <f>IF(AND(Projects!$C$39&lt;=AO$4,AO$4&lt;=Projects!$C$39+Projects!$D$39-1),Projects!$B$39/Projects!$D$39,"")</f>
        <v/>
      </c>
      <c r="AP39" s="567">
        <f>IF(AND(Projects!$C$39&lt;=AP$4,AP$4&lt;=Projects!$C$39+Projects!$D$39-1),Projects!$B$39/Projects!$D$39,"")</f>
        <v/>
      </c>
      <c r="AQ39" s="567">
        <f>IF(AND(Projects!$C$39&lt;=AQ$4,AQ$4&lt;=Projects!$C$39+Projects!$D$39-1),Projects!$B$39/Projects!$D$39,"")</f>
        <v/>
      </c>
      <c r="AR39" s="567">
        <f>IF(AND(Projects!$C$39&lt;=AR$4,AR$4&lt;=Projects!$C$39+Projects!$D$39-1),Projects!$B$39/Projects!$D$39,"")</f>
        <v/>
      </c>
      <c r="AS39" s="567">
        <f>IF(AND(Projects!$C$39&lt;=AS$4,AS$4&lt;=Projects!$C$39+Projects!$D$39-1),Projects!$B$39/Projects!$D$39,"")</f>
        <v/>
      </c>
      <c r="AT39" s="567">
        <f>IF(AND(Projects!$C$39&lt;=AT$4,AT$4&lt;=Projects!$C$39+Projects!$D$39-1),Projects!$B$39/Projects!$D$39,"")</f>
        <v/>
      </c>
      <c r="AU39" s="567">
        <f>IF(AND(Projects!$C$39&lt;=AU$4,AU$4&lt;=Projects!$C$39+Projects!$D$39-1),Projects!$B$39/Projects!$D$39,"")</f>
        <v/>
      </c>
      <c r="AV39" s="567">
        <f>IF(AND(Projects!$C$39&lt;=AV$4,AV$4&lt;=Projects!$C$39+Projects!$D$39-1),Projects!$B$39/Projects!$D$39,"")</f>
        <v/>
      </c>
      <c r="AW39" s="567">
        <f>IF(AND(Projects!$C$39&lt;=AW$4,AW$4&lt;=Projects!$C$39+Projects!$D$39-1),Projects!$B$39/Projects!$D$39,"")</f>
        <v/>
      </c>
      <c r="AX39" s="567">
        <f>IF(AND(Projects!$C$39&lt;=AX$4,AX$4&lt;=Projects!$C$39+Projects!$D$39-1),Projects!$B$39/Projects!$D$39,"")</f>
        <v/>
      </c>
      <c r="AY39" s="567">
        <f>IF(AND(Projects!$C$39&lt;=AY$4,AY$4&lt;=Projects!$C$39+Projects!$D$39-1),Projects!$B$39/Projects!$D$39,"")</f>
        <v/>
      </c>
      <c r="AZ39" s="567">
        <f>IF(AND(Projects!$C$39&lt;=AZ$4,AZ$4&lt;=Projects!$C$39+Projects!$D$39-1),Projects!$B$39/Projects!$D$39,"")</f>
        <v/>
      </c>
      <c r="BA39" s="567">
        <f>IF(AND(Projects!$C$39&lt;=BA$4,BA$4&lt;=Projects!$C$39+Projects!$D$39-1),Projects!$B$39/Projects!$D$39,"")</f>
        <v/>
      </c>
      <c r="BB39" s="567">
        <f>IF(AND(Projects!$C$39&lt;=BB$4,BB$4&lt;=Projects!$C$39+Projects!$D$39-1),Projects!$B$39/Projects!$D$39,"")</f>
        <v/>
      </c>
      <c r="BC39" s="567">
        <f>IF(AND(Projects!$C$39&lt;=BC$4,BC$4&lt;=Projects!$C$39+Projects!$D$39-1),Projects!$B$39/Projects!$D$39,"")</f>
        <v/>
      </c>
      <c r="BD39" s="567">
        <f>IF(AND(Projects!$C$39&lt;=BD$4,BD$4&lt;=Projects!$C$39+Projects!$D$39-1),Projects!$B$39/Projects!$D$39,"")</f>
        <v/>
      </c>
      <c r="BE39" s="567">
        <f>IF(AND(Projects!$C$39&lt;=BE$4,BE$4&lt;=Projects!$C$39+Projects!$D$39-1),Projects!$B$39/Projects!$D$39,"")</f>
        <v/>
      </c>
      <c r="BF39" s="567">
        <f>IF(AND(Projects!$C$39&lt;=BF$4,BF$4&lt;=Projects!$C$39+Projects!$D$39-1),Projects!$B$39/Projects!$D$39,"")</f>
        <v/>
      </c>
      <c r="BG39" s="567">
        <f>IF(AND(Projects!$C$39&lt;=BG$4,BG$4&lt;=Projects!$C$39+Projects!$D$39-1),Projects!$B$39/Projects!$D$39,"")</f>
        <v/>
      </c>
      <c r="BH39" s="567">
        <f>IF(AND(Projects!$C$39&lt;=BH$4,BH$4&lt;=Projects!$C$39+Projects!$D$39-1),Projects!$B$39/Projects!$D$39,"")</f>
        <v/>
      </c>
      <c r="BI39" s="567">
        <f>IF(AND(Projects!$C$39&lt;=BI$4,BI$4&lt;=Projects!$C$39+Projects!$D$39-1),Projects!$B$39/Projects!$D$39,"")</f>
        <v/>
      </c>
      <c r="BJ39" s="567">
        <f>IF(AND(Projects!$C$39&lt;=BJ$4,BJ$4&lt;=Projects!$C$39+Projects!$D$39-1),Projects!$B$39/Projects!$D$39,"")</f>
        <v/>
      </c>
      <c r="BK39" s="567">
        <f>IF(AND(Projects!$C$39&lt;=BK$4,BK$4&lt;=Projects!$C$39+Projects!$D$39-1),Projects!$B$39/Projects!$D$39,"")</f>
        <v/>
      </c>
      <c r="BL39" s="567">
        <f>IF(AND(Projects!$C$39&lt;=BL$4,BL$4&lt;=Projects!$C$39+Projects!$D$39-1),Projects!$B$39/Projects!$D$39,"")</f>
        <v/>
      </c>
      <c r="BM39" s="567">
        <f>IF(AND(Projects!$C$39&lt;=BM$4,BM$4&lt;=Projects!$C$39+Projects!$D$39-1),Projects!$B$39/Projects!$D$39,"")</f>
        <v/>
      </c>
      <c r="BN39" s="567">
        <f>IF(AND(Projects!$C$39&lt;=BN$4,BN$4&lt;=Projects!$C$39+Projects!$D$39-1),Projects!$B$39/Projects!$D$39,"")</f>
        <v/>
      </c>
      <c r="BO39" s="567">
        <f>IF(AND(Projects!$C$39&lt;=BO$4,BO$4&lt;=Projects!$C$39+Projects!$D$39-1),Projects!$B$39/Projects!$D$39,"")</f>
        <v/>
      </c>
      <c r="BP39" s="567">
        <f>IF(AND(Projects!$C$39&lt;=BP$4,BP$4&lt;=Projects!$C$39+Projects!$D$39-1),Projects!$B$39/Projects!$D$39,"")</f>
        <v/>
      </c>
      <c r="BQ39" s="567">
        <f>IF(AND(Projects!$C$39&lt;=BQ$4,BQ$4&lt;=Projects!$C$39+Projects!$D$39-1),Projects!$B$39/Projects!$D$39,"")</f>
        <v/>
      </c>
      <c r="BR39" s="567">
        <f>IF(AND(Projects!$C$39&lt;=BR$4,BR$4&lt;=Projects!$C$39+Projects!$D$39-1),Projects!$B$39/Projects!$D$39,"")</f>
        <v/>
      </c>
      <c r="BS39" s="567">
        <f>IF(AND(Projects!$C$39&lt;=BS$4,BS$4&lt;=Projects!$C$39+Projects!$D$39-1),Projects!$B$39/Projects!$D$39,"")</f>
        <v/>
      </c>
      <c r="BT39" s="567">
        <f>IF(AND(Projects!$C$39&lt;=BT$4,BT$4&lt;=Projects!$C$39+Projects!$D$39-1),Projects!$B$39/Projects!$D$39,"")</f>
        <v/>
      </c>
      <c r="BU39" s="567">
        <f>IF(AND(Projects!$C$39&lt;=BU$4,BU$4&lt;=Projects!$C$39+Projects!$D$39-1),Projects!$B$39/Projects!$D$39,"")</f>
        <v/>
      </c>
      <c r="BV39" s="567">
        <f>IF(AND(Projects!$C$39&lt;=BV$4,BV$4&lt;=Projects!$C$39+Projects!$D$39-1),Projects!$B$39/Projects!$D$39,"")</f>
        <v/>
      </c>
      <c r="BW39" s="567">
        <f>IF(AND(Projects!$C$39&lt;=BW$4,BW$4&lt;=Projects!$C$39+Projects!$D$39-1),Projects!$B$39/Projects!$D$39,"")</f>
        <v/>
      </c>
      <c r="BX39" s="567">
        <f>IF(AND(Projects!$C$39&lt;=BX$4,BX$4&lt;=Projects!$C$39+Projects!$D$39-1),Projects!$B$39/Projects!$D$39,"")</f>
        <v/>
      </c>
      <c r="BY39" s="567">
        <f>IF(AND(Projects!$C$39&lt;=BY$4,BY$4&lt;=Projects!$C$39+Projects!$D$39-1),Projects!$B$39/Projects!$D$39,"")</f>
        <v/>
      </c>
      <c r="BZ39" s="567">
        <f>IF(AND(Projects!$C$39&lt;=BZ$4,BZ$4&lt;=Projects!$C$39+Projects!$D$39-1),Projects!$B$39/Projects!$D$39,"")</f>
        <v/>
      </c>
      <c r="CA39" s="567">
        <f>IF(AND(Projects!$C$39&lt;=CA$4,CA$4&lt;=Projects!$C$39+Projects!$D$39-1),Projects!$B$39/Projects!$D$39,"")</f>
        <v/>
      </c>
      <c r="CB39" s="567">
        <f>IF(AND(Projects!$C$39&lt;=CB$4,CB$4&lt;=Projects!$C$39+Projects!$D$39-1),Projects!$B$39/Projects!$D$39,"")</f>
        <v/>
      </c>
      <c r="CC39" s="567">
        <f>IF(AND(Projects!$C$39&lt;=CC$4,CC$4&lt;=Projects!$C$39+Projects!$D$39-1),Projects!$B$39/Projects!$D$39,"")</f>
        <v/>
      </c>
      <c r="CD39" s="567">
        <f>IF(AND(Projects!$C$39&lt;=CD$4,CD$4&lt;=Projects!$C$39+Projects!$D$39-1),Projects!$B$39/Projects!$D$39,"")</f>
        <v/>
      </c>
      <c r="CE39" s="567">
        <f>IF(AND(Projects!$C$39&lt;=CE$4,CE$4&lt;=Projects!$C$39+Projects!$D$39-1),Projects!$B$39/Projects!$D$39,"")</f>
        <v/>
      </c>
      <c r="CF39" s="567">
        <f>IF(AND(Projects!$C$39&lt;=CF$4,CF$4&lt;=Projects!$C$39+Projects!$D$39-1),Projects!$B$39/Projects!$D$39,"")</f>
        <v/>
      </c>
      <c r="CG39" s="567">
        <f>IF(AND(Projects!$C$39&lt;=CG$4,CG$4&lt;=Projects!$C$39+Projects!$D$39-1),Projects!$B$39/Projects!$D$39,"")</f>
        <v/>
      </c>
      <c r="CH39" s="567">
        <f>IF(AND(Projects!$C$39&lt;=CH$4,CH$4&lt;=Projects!$C$39+Projects!$D$39-1),Projects!$B$39/Projects!$D$39,"")</f>
        <v/>
      </c>
      <c r="CI39" s="567">
        <f>IF(AND(Projects!$C$39&lt;=CI$4,CI$4&lt;=Projects!$C$39+Projects!$D$39-1),Projects!$B$39/Projects!$D$39,"")</f>
        <v/>
      </c>
      <c r="CJ39" s="567">
        <f>IF(AND(Projects!$C$39&lt;=CJ$4,CJ$4&lt;=Projects!$C$39+Projects!$D$39-1),Projects!$B$39/Projects!$D$39,"")</f>
        <v/>
      </c>
      <c r="CK39" s="567">
        <f>IF(AND(Projects!$C$39&lt;=CK$4,CK$4&lt;=Projects!$C$39+Projects!$D$39-1),Projects!$B$39/Projects!$D$39,"")</f>
        <v/>
      </c>
      <c r="CL39" s="567">
        <f>IF(AND(Projects!$C$39&lt;=CL$4,CL$4&lt;=Projects!$C$39+Projects!$D$39-1),Projects!$B$39/Projects!$D$39,"")</f>
        <v/>
      </c>
      <c r="CM39" s="567">
        <f>IF(AND(Projects!$C$39&lt;=CM$4,CM$4&lt;=Projects!$C$39+Projects!$D$39-1),Projects!$B$39/Projects!$D$39,"")</f>
        <v/>
      </c>
      <c r="CN39" s="567">
        <f>IF(AND(Projects!$C$39&lt;=CN$4,CN$4&lt;=Projects!$C$39+Projects!$D$39-1),Projects!$B$39/Projects!$D$39,"")</f>
        <v/>
      </c>
      <c r="CO39" s="567">
        <f>IF(AND(Projects!$C$39&lt;=CO$4,CO$4&lt;=Projects!$C$39+Projects!$D$39-1),Projects!$B$39/Projects!$D$39,"")</f>
        <v/>
      </c>
      <c r="CP39" s="567">
        <f>IF(AND(Projects!$C$39&lt;=CP$4,CP$4&lt;=Projects!$C$39+Projects!$D$39-1),Projects!$B$39/Projects!$D$39,"")</f>
        <v/>
      </c>
      <c r="CQ39" s="567">
        <f>IF(AND(Projects!$C$39&lt;=CQ$4,CQ$4&lt;=Projects!$C$39+Projects!$D$39-1),Projects!$B$39/Projects!$D$39,"")</f>
        <v/>
      </c>
      <c r="CR39" s="567">
        <f>IF(AND(Projects!$C$39&lt;=CR$4,CR$4&lt;=Projects!$C$39+Projects!$D$39-1),Projects!$B$39/Projects!$D$39,"")</f>
        <v/>
      </c>
      <c r="CS39" s="567">
        <f>IF(AND(Projects!$C$39&lt;=CS$4,CS$4&lt;=Projects!$C$39+Projects!$D$39-1),Projects!$B$39/Projects!$D$39,"")</f>
        <v/>
      </c>
      <c r="CT39" s="567">
        <f>IF(AND(Projects!$C$39&lt;=CT$4,CT$4&lt;=Projects!$C$39+Projects!$D$39-1),Projects!$B$39/Projects!$D$39,"")</f>
        <v/>
      </c>
      <c r="CU39" s="567">
        <f>IF(AND(Projects!$C$39&lt;=CU$4,CU$4&lt;=Projects!$C$39+Projects!$D$39-1),Projects!$B$39/Projects!$D$39,"")</f>
        <v/>
      </c>
      <c r="CV39" s="567">
        <f>IF(AND(Projects!$C$39&lt;=CV$4,CV$4&lt;=Projects!$C$39+Projects!$D$39-1),Projects!$B$39/Projects!$D$39,"")</f>
        <v/>
      </c>
      <c r="CW39" s="567">
        <f>IF(AND(Projects!$C$39&lt;=CW$4,CW$4&lt;=Projects!$C$39+Projects!$D$39-1),Projects!$B$39/Projects!$D$39,"")</f>
        <v/>
      </c>
      <c r="CX39" s="567">
        <f>IF(AND(Projects!$C$39&lt;=CX$4,CX$4&lt;=Projects!$C$39+Projects!$D$39-1),Projects!$B$39/Projects!$D$39,"")</f>
        <v/>
      </c>
      <c r="CY39" s="567">
        <f>IF(AND(Projects!$C$39&lt;=CY$4,CY$4&lt;=Projects!$C$39+Projects!$D$39-1),Projects!$B$39/Projects!$D$39,"")</f>
        <v/>
      </c>
      <c r="CZ39" s="567">
        <f>IF(AND(Projects!$C$39&lt;=CZ$4,CZ$4&lt;=Projects!$C$39+Projects!$D$39-1),Projects!$B$39/Projects!$D$39,"")</f>
        <v/>
      </c>
      <c r="DA39" s="567">
        <f>IF(AND(Projects!$C$39&lt;=DA$4,DA$4&lt;=Projects!$C$39+Projects!$D$39-1),Projects!$B$39/Projects!$D$39,"")</f>
        <v/>
      </c>
      <c r="DB39" s="567">
        <f>IF(AND(Projects!$C$39&lt;=DB$4,DB$4&lt;=Projects!$C$39+Projects!$D$39-1),Projects!$B$39/Projects!$D$39,"")</f>
        <v/>
      </c>
    </row>
    <row r="40" ht="15" customFormat="1" customHeight="1" s="380">
      <c r="A40" s="563" t="inlineStr">
        <is>
          <t>BD-26</t>
        </is>
      </c>
      <c r="B40" s="564">
        <f>Projects!$B$42</f>
        <v/>
      </c>
      <c r="C40" s="565">
        <f>EDATE(Model!$E$2,Projects!$C$42-1)</f>
        <v/>
      </c>
      <c r="D40" s="565">
        <f>EDATE(Model!$E$2,Projects!$C$42+Projects!$D$42-2)</f>
        <v/>
      </c>
      <c r="E40" s="566">
        <f>Projects!$D$42</f>
        <v/>
      </c>
      <c r="F40" s="564">
        <f>Projects!$B$42/Projects!$D$42</f>
        <v/>
      </c>
      <c r="G40" s="567">
        <f>IF(AND(Projects!$C$42&lt;=G$4,G$4&lt;=Projects!$C$42+Projects!$D$42-1),Projects!$B$42/Projects!$D$42,"")</f>
        <v/>
      </c>
      <c r="H40" s="567">
        <f>IF(AND(Projects!$C$42&lt;=H$4,H$4&lt;=Projects!$C$42+Projects!$D$42-1),Projects!$B$42/Projects!$D$42,"")</f>
        <v/>
      </c>
      <c r="I40" s="567">
        <f>IF(AND(Projects!$C$42&lt;=I$4,I$4&lt;=Projects!$C$42+Projects!$D$42-1),Projects!$B$42/Projects!$D$42,"")</f>
        <v/>
      </c>
      <c r="J40" s="567">
        <f>IF(AND(Projects!$C$42&lt;=J$4,J$4&lt;=Projects!$C$42+Projects!$D$42-1),Projects!$B$42/Projects!$D$42,"")</f>
        <v/>
      </c>
      <c r="K40" s="567">
        <f>IF(AND(Projects!$C$42&lt;=K$4,K$4&lt;=Projects!$C$42+Projects!$D$42-1),Projects!$B$42/Projects!$D$42,"")</f>
        <v/>
      </c>
      <c r="L40" s="567">
        <f>IF(AND(Projects!$C$42&lt;=L$4,L$4&lt;=Projects!$C$42+Projects!$D$42-1),Projects!$B$42/Projects!$D$42,"")</f>
        <v/>
      </c>
      <c r="M40" s="567">
        <f>IF(AND(Projects!$C$42&lt;=M$4,M$4&lt;=Projects!$C$42+Projects!$D$42-1),Projects!$B$42/Projects!$D$42,"")</f>
        <v/>
      </c>
      <c r="N40" s="567">
        <f>IF(AND(Projects!$C$42&lt;=N$4,N$4&lt;=Projects!$C$42+Projects!$D$42-1),Projects!$B$42/Projects!$D$42,"")</f>
        <v/>
      </c>
      <c r="O40" s="567">
        <f>IF(AND(Projects!$C$42&lt;=O$4,O$4&lt;=Projects!$C$42+Projects!$D$42-1),Projects!$B$42/Projects!$D$42,"")</f>
        <v/>
      </c>
      <c r="P40" s="567">
        <f>IF(AND(Projects!$C$42&lt;=P$4,P$4&lt;=Projects!$C$42+Projects!$D$42-1),Projects!$B$42/Projects!$D$42,"")</f>
        <v/>
      </c>
      <c r="Q40" s="567">
        <f>IF(AND(Projects!$C$42&lt;=Q$4,Q$4&lt;=Projects!$C$42+Projects!$D$42-1),Projects!$B$42/Projects!$D$42,"")</f>
        <v/>
      </c>
      <c r="R40" s="567">
        <f>IF(AND(Projects!$C$42&lt;=R$4,R$4&lt;=Projects!$C$42+Projects!$D$42-1),Projects!$B$42/Projects!$D$42,"")</f>
        <v/>
      </c>
      <c r="S40" s="567">
        <f>IF(AND(Projects!$C$42&lt;=S$4,S$4&lt;=Projects!$C$42+Projects!$D$42-1),Projects!$B$42/Projects!$D$42,"")</f>
        <v/>
      </c>
      <c r="T40" s="567">
        <f>IF(AND(Projects!$C$42&lt;=T$4,T$4&lt;=Projects!$C$42+Projects!$D$42-1),Projects!$B$42/Projects!$D$42,"")</f>
        <v/>
      </c>
      <c r="U40" s="567">
        <f>IF(AND(Projects!$C$42&lt;=U$4,U$4&lt;=Projects!$C$42+Projects!$D$42-1),Projects!$B$42/Projects!$D$42,"")</f>
        <v/>
      </c>
      <c r="V40" s="567">
        <f>IF(AND(Projects!$C$42&lt;=V$4,V$4&lt;=Projects!$C$42+Projects!$D$42-1),Projects!$B$42/Projects!$D$42,"")</f>
        <v/>
      </c>
      <c r="W40" s="567">
        <f>IF(AND(Projects!$C$42&lt;=W$4,W$4&lt;=Projects!$C$42+Projects!$D$42-1),Projects!$B$42/Projects!$D$42,"")</f>
        <v/>
      </c>
      <c r="X40" s="567">
        <f>IF(AND(Projects!$C$42&lt;=X$4,X$4&lt;=Projects!$C$42+Projects!$D$42-1),Projects!$B$42/Projects!$D$42,"")</f>
        <v/>
      </c>
      <c r="Y40" s="567">
        <f>IF(AND(Projects!$C$42&lt;=Y$4,Y$4&lt;=Projects!$C$42+Projects!$D$42-1),Projects!$B$42/Projects!$D$42,"")</f>
        <v/>
      </c>
      <c r="Z40" s="567">
        <f>IF(AND(Projects!$C$42&lt;=Z$4,Z$4&lt;=Projects!$C$42+Projects!$D$42-1),Projects!$B$42/Projects!$D$42,"")</f>
        <v/>
      </c>
      <c r="AA40" s="567">
        <f>IF(AND(Projects!$C$42&lt;=AA$4,AA$4&lt;=Projects!$C$42+Projects!$D$42-1),Projects!$B$42/Projects!$D$42,"")</f>
        <v/>
      </c>
      <c r="AB40" s="567">
        <f>IF(AND(Projects!$C$42&lt;=AB$4,AB$4&lt;=Projects!$C$42+Projects!$D$42-1),Projects!$B$42/Projects!$D$42,"")</f>
        <v/>
      </c>
      <c r="AC40" s="567">
        <f>IF(AND(Projects!$C$42&lt;=AC$4,AC$4&lt;=Projects!$C$42+Projects!$D$42-1),Projects!$B$42/Projects!$D$42,"")</f>
        <v/>
      </c>
      <c r="AD40" s="567">
        <f>IF(AND(Projects!$C$42&lt;=AD$4,AD$4&lt;=Projects!$C$42+Projects!$D$42-1),Projects!$B$42/Projects!$D$42,"")</f>
        <v/>
      </c>
      <c r="AE40" s="567">
        <f>IF(AND(Projects!$C$42&lt;=AE$4,AE$4&lt;=Projects!$C$42+Projects!$D$42-1),Projects!$B$42/Projects!$D$42,"")</f>
        <v/>
      </c>
      <c r="AF40" s="567">
        <f>IF(AND(Projects!$C$42&lt;=AF$4,AF$4&lt;=Projects!$C$42+Projects!$D$42-1),Projects!$B$42/Projects!$D$42,"")</f>
        <v/>
      </c>
      <c r="AG40" s="567">
        <f>IF(AND(Projects!$C$42&lt;=AG$4,AG$4&lt;=Projects!$C$42+Projects!$D$42-1),Projects!$B$42/Projects!$D$42,"")</f>
        <v/>
      </c>
      <c r="AH40" s="567">
        <f>IF(AND(Projects!$C$42&lt;=AH$4,AH$4&lt;=Projects!$C$42+Projects!$D$42-1),Projects!$B$42/Projects!$D$42,"")</f>
        <v/>
      </c>
      <c r="AI40" s="567">
        <f>IF(AND(Projects!$C$42&lt;=AI$4,AI$4&lt;=Projects!$C$42+Projects!$D$42-1),Projects!$B$42/Projects!$D$42,"")</f>
        <v/>
      </c>
      <c r="AJ40" s="567">
        <f>IF(AND(Projects!$C$42&lt;=AJ$4,AJ$4&lt;=Projects!$C$42+Projects!$D$42-1),Projects!$B$42/Projects!$D$42,"")</f>
        <v/>
      </c>
      <c r="AK40" s="567">
        <f>IF(AND(Projects!$C$42&lt;=AK$4,AK$4&lt;=Projects!$C$42+Projects!$D$42-1),Projects!$B$42/Projects!$D$42,"")</f>
        <v/>
      </c>
      <c r="AL40" s="567">
        <f>IF(AND(Projects!$C$42&lt;=AL$4,AL$4&lt;=Projects!$C$42+Projects!$D$42-1),Projects!$B$42/Projects!$D$42,"")</f>
        <v/>
      </c>
      <c r="AM40" s="567">
        <f>IF(AND(Projects!$C$42&lt;=AM$4,AM$4&lt;=Projects!$C$42+Projects!$D$42-1),Projects!$B$42/Projects!$D$42,"")</f>
        <v/>
      </c>
      <c r="AN40" s="567">
        <f>IF(AND(Projects!$C$42&lt;=AN$4,AN$4&lt;=Projects!$C$42+Projects!$D$42-1),Projects!$B$42/Projects!$D$42,"")</f>
        <v/>
      </c>
      <c r="AO40" s="567">
        <f>IF(AND(Projects!$C$42&lt;=AO$4,AO$4&lt;=Projects!$C$42+Projects!$D$42-1),Projects!$B$42/Projects!$D$42,"")</f>
        <v/>
      </c>
      <c r="AP40" s="567">
        <f>IF(AND(Projects!$C$42&lt;=AP$4,AP$4&lt;=Projects!$C$42+Projects!$D$42-1),Projects!$B$42/Projects!$D$42,"")</f>
        <v/>
      </c>
      <c r="AQ40" s="567">
        <f>IF(AND(Projects!$C$42&lt;=AQ$4,AQ$4&lt;=Projects!$C$42+Projects!$D$42-1),Projects!$B$42/Projects!$D$42,"")</f>
        <v/>
      </c>
      <c r="AR40" s="567">
        <f>IF(AND(Projects!$C$42&lt;=AR$4,AR$4&lt;=Projects!$C$42+Projects!$D$42-1),Projects!$B$42/Projects!$D$42,"")</f>
        <v/>
      </c>
      <c r="AS40" s="567">
        <f>IF(AND(Projects!$C$42&lt;=AS$4,AS$4&lt;=Projects!$C$42+Projects!$D$42-1),Projects!$B$42/Projects!$D$42,"")</f>
        <v/>
      </c>
      <c r="AT40" s="567">
        <f>IF(AND(Projects!$C$42&lt;=AT$4,AT$4&lt;=Projects!$C$42+Projects!$D$42-1),Projects!$B$42/Projects!$D$42,"")</f>
        <v/>
      </c>
      <c r="AU40" s="567">
        <f>IF(AND(Projects!$C$42&lt;=AU$4,AU$4&lt;=Projects!$C$42+Projects!$D$42-1),Projects!$B$42/Projects!$D$42,"")</f>
        <v/>
      </c>
      <c r="AV40" s="567">
        <f>IF(AND(Projects!$C$42&lt;=AV$4,AV$4&lt;=Projects!$C$42+Projects!$D$42-1),Projects!$B$42/Projects!$D$42,"")</f>
        <v/>
      </c>
      <c r="AW40" s="567">
        <f>IF(AND(Projects!$C$42&lt;=AW$4,AW$4&lt;=Projects!$C$42+Projects!$D$42-1),Projects!$B$42/Projects!$D$42,"")</f>
        <v/>
      </c>
      <c r="AX40" s="567">
        <f>IF(AND(Projects!$C$42&lt;=AX$4,AX$4&lt;=Projects!$C$42+Projects!$D$42-1),Projects!$B$42/Projects!$D$42,"")</f>
        <v/>
      </c>
      <c r="AY40" s="567">
        <f>IF(AND(Projects!$C$42&lt;=AY$4,AY$4&lt;=Projects!$C$42+Projects!$D$42-1),Projects!$B$42/Projects!$D$42,"")</f>
        <v/>
      </c>
      <c r="AZ40" s="567">
        <f>IF(AND(Projects!$C$42&lt;=AZ$4,AZ$4&lt;=Projects!$C$42+Projects!$D$42-1),Projects!$B$42/Projects!$D$42,"")</f>
        <v/>
      </c>
      <c r="BA40" s="567">
        <f>IF(AND(Projects!$C$42&lt;=BA$4,BA$4&lt;=Projects!$C$42+Projects!$D$42-1),Projects!$B$42/Projects!$D$42,"")</f>
        <v/>
      </c>
      <c r="BB40" s="567">
        <f>IF(AND(Projects!$C$42&lt;=BB$4,BB$4&lt;=Projects!$C$42+Projects!$D$42-1),Projects!$B$42/Projects!$D$42,"")</f>
        <v/>
      </c>
      <c r="BC40" s="567">
        <f>IF(AND(Projects!$C$42&lt;=BC$4,BC$4&lt;=Projects!$C$42+Projects!$D$42-1),Projects!$B$42/Projects!$D$42,"")</f>
        <v/>
      </c>
      <c r="BD40" s="567">
        <f>IF(AND(Projects!$C$42&lt;=BD$4,BD$4&lt;=Projects!$C$42+Projects!$D$42-1),Projects!$B$42/Projects!$D$42,"")</f>
        <v/>
      </c>
      <c r="BE40" s="567">
        <f>IF(AND(Projects!$C$42&lt;=BE$4,BE$4&lt;=Projects!$C$42+Projects!$D$42-1),Projects!$B$42/Projects!$D$42,"")</f>
        <v/>
      </c>
      <c r="BF40" s="567">
        <f>IF(AND(Projects!$C$42&lt;=BF$4,BF$4&lt;=Projects!$C$42+Projects!$D$42-1),Projects!$B$42/Projects!$D$42,"")</f>
        <v/>
      </c>
      <c r="BG40" s="567">
        <f>IF(AND(Projects!$C$42&lt;=BG$4,BG$4&lt;=Projects!$C$42+Projects!$D$42-1),Projects!$B$42/Projects!$D$42,"")</f>
        <v/>
      </c>
      <c r="BH40" s="567">
        <f>IF(AND(Projects!$C$42&lt;=BH$4,BH$4&lt;=Projects!$C$42+Projects!$D$42-1),Projects!$B$42/Projects!$D$42,"")</f>
        <v/>
      </c>
      <c r="BI40" s="567">
        <f>IF(AND(Projects!$C$42&lt;=BI$4,BI$4&lt;=Projects!$C$42+Projects!$D$42-1),Projects!$B$42/Projects!$D$42,"")</f>
        <v/>
      </c>
      <c r="BJ40" s="567">
        <f>IF(AND(Projects!$C$42&lt;=BJ$4,BJ$4&lt;=Projects!$C$42+Projects!$D$42-1),Projects!$B$42/Projects!$D$42,"")</f>
        <v/>
      </c>
      <c r="BK40" s="567">
        <f>IF(AND(Projects!$C$42&lt;=BK$4,BK$4&lt;=Projects!$C$42+Projects!$D$42-1),Projects!$B$42/Projects!$D$42,"")</f>
        <v/>
      </c>
      <c r="BL40" s="567">
        <f>IF(AND(Projects!$C$42&lt;=BL$4,BL$4&lt;=Projects!$C$42+Projects!$D$42-1),Projects!$B$42/Projects!$D$42,"")</f>
        <v/>
      </c>
      <c r="BM40" s="567">
        <f>IF(AND(Projects!$C$42&lt;=BM$4,BM$4&lt;=Projects!$C$42+Projects!$D$42-1),Projects!$B$42/Projects!$D$42,"")</f>
        <v/>
      </c>
      <c r="BN40" s="567">
        <f>IF(AND(Projects!$C$42&lt;=BN$4,BN$4&lt;=Projects!$C$42+Projects!$D$42-1),Projects!$B$42/Projects!$D$42,"")</f>
        <v/>
      </c>
      <c r="BO40" s="567">
        <f>IF(AND(Projects!$C$42&lt;=BO$4,BO$4&lt;=Projects!$C$42+Projects!$D$42-1),Projects!$B$42/Projects!$D$42,"")</f>
        <v/>
      </c>
      <c r="BP40" s="567">
        <f>IF(AND(Projects!$C$42&lt;=BP$4,BP$4&lt;=Projects!$C$42+Projects!$D$42-1),Projects!$B$42/Projects!$D$42,"")</f>
        <v/>
      </c>
      <c r="BQ40" s="567">
        <f>IF(AND(Projects!$C$42&lt;=BQ$4,BQ$4&lt;=Projects!$C$42+Projects!$D$42-1),Projects!$B$42/Projects!$D$42,"")</f>
        <v/>
      </c>
      <c r="BR40" s="567">
        <f>IF(AND(Projects!$C$42&lt;=BR$4,BR$4&lt;=Projects!$C$42+Projects!$D$42-1),Projects!$B$42/Projects!$D$42,"")</f>
        <v/>
      </c>
      <c r="BS40" s="567">
        <f>IF(AND(Projects!$C$42&lt;=BS$4,BS$4&lt;=Projects!$C$42+Projects!$D$42-1),Projects!$B$42/Projects!$D$42,"")</f>
        <v/>
      </c>
      <c r="BT40" s="567">
        <f>IF(AND(Projects!$C$42&lt;=BT$4,BT$4&lt;=Projects!$C$42+Projects!$D$42-1),Projects!$B$42/Projects!$D$42,"")</f>
        <v/>
      </c>
      <c r="BU40" s="567">
        <f>IF(AND(Projects!$C$42&lt;=BU$4,BU$4&lt;=Projects!$C$42+Projects!$D$42-1),Projects!$B$42/Projects!$D$42,"")</f>
        <v/>
      </c>
      <c r="BV40" s="567">
        <f>IF(AND(Projects!$C$42&lt;=BV$4,BV$4&lt;=Projects!$C$42+Projects!$D$42-1),Projects!$B$42/Projects!$D$42,"")</f>
        <v/>
      </c>
      <c r="BW40" s="567">
        <f>IF(AND(Projects!$C$42&lt;=BW$4,BW$4&lt;=Projects!$C$42+Projects!$D$42-1),Projects!$B$42/Projects!$D$42,"")</f>
        <v/>
      </c>
      <c r="BX40" s="567">
        <f>IF(AND(Projects!$C$42&lt;=BX$4,BX$4&lt;=Projects!$C$42+Projects!$D$42-1),Projects!$B$42/Projects!$D$42,"")</f>
        <v/>
      </c>
      <c r="BY40" s="567">
        <f>IF(AND(Projects!$C$42&lt;=BY$4,BY$4&lt;=Projects!$C$42+Projects!$D$42-1),Projects!$B$42/Projects!$D$42,"")</f>
        <v/>
      </c>
      <c r="BZ40" s="567">
        <f>IF(AND(Projects!$C$42&lt;=BZ$4,BZ$4&lt;=Projects!$C$42+Projects!$D$42-1),Projects!$B$42/Projects!$D$42,"")</f>
        <v/>
      </c>
      <c r="CA40" s="567">
        <f>IF(AND(Projects!$C$42&lt;=CA$4,CA$4&lt;=Projects!$C$42+Projects!$D$42-1),Projects!$B$42/Projects!$D$42,"")</f>
        <v/>
      </c>
      <c r="CB40" s="567">
        <f>IF(AND(Projects!$C$42&lt;=CB$4,CB$4&lt;=Projects!$C$42+Projects!$D$42-1),Projects!$B$42/Projects!$D$42,"")</f>
        <v/>
      </c>
      <c r="CC40" s="567">
        <f>IF(AND(Projects!$C$42&lt;=CC$4,CC$4&lt;=Projects!$C$42+Projects!$D$42-1),Projects!$B$42/Projects!$D$42,"")</f>
        <v/>
      </c>
      <c r="CD40" s="567">
        <f>IF(AND(Projects!$C$42&lt;=CD$4,CD$4&lt;=Projects!$C$42+Projects!$D$42-1),Projects!$B$42/Projects!$D$42,"")</f>
        <v/>
      </c>
      <c r="CE40" s="567">
        <f>IF(AND(Projects!$C$42&lt;=CE$4,CE$4&lt;=Projects!$C$42+Projects!$D$42-1),Projects!$B$42/Projects!$D$42,"")</f>
        <v/>
      </c>
      <c r="CF40" s="567">
        <f>IF(AND(Projects!$C$42&lt;=CF$4,CF$4&lt;=Projects!$C$42+Projects!$D$42-1),Projects!$B$42/Projects!$D$42,"")</f>
        <v/>
      </c>
      <c r="CG40" s="567">
        <f>IF(AND(Projects!$C$42&lt;=CG$4,CG$4&lt;=Projects!$C$42+Projects!$D$42-1),Projects!$B$42/Projects!$D$42,"")</f>
        <v/>
      </c>
      <c r="CH40" s="567">
        <f>IF(AND(Projects!$C$42&lt;=CH$4,CH$4&lt;=Projects!$C$42+Projects!$D$42-1),Projects!$B$42/Projects!$D$42,"")</f>
        <v/>
      </c>
      <c r="CI40" s="567">
        <f>IF(AND(Projects!$C$42&lt;=CI$4,CI$4&lt;=Projects!$C$42+Projects!$D$42-1),Projects!$B$42/Projects!$D$42,"")</f>
        <v/>
      </c>
      <c r="CJ40" s="567">
        <f>IF(AND(Projects!$C$42&lt;=CJ$4,CJ$4&lt;=Projects!$C$42+Projects!$D$42-1),Projects!$B$42/Projects!$D$42,"")</f>
        <v/>
      </c>
      <c r="CK40" s="567">
        <f>IF(AND(Projects!$C$42&lt;=CK$4,CK$4&lt;=Projects!$C$42+Projects!$D$42-1),Projects!$B$42/Projects!$D$42,"")</f>
        <v/>
      </c>
      <c r="CL40" s="567">
        <f>IF(AND(Projects!$C$42&lt;=CL$4,CL$4&lt;=Projects!$C$42+Projects!$D$42-1),Projects!$B$42/Projects!$D$42,"")</f>
        <v/>
      </c>
      <c r="CM40" s="567">
        <f>IF(AND(Projects!$C$42&lt;=CM$4,CM$4&lt;=Projects!$C$42+Projects!$D$42-1),Projects!$B$42/Projects!$D$42,"")</f>
        <v/>
      </c>
      <c r="CN40" s="567">
        <f>IF(AND(Projects!$C$42&lt;=CN$4,CN$4&lt;=Projects!$C$42+Projects!$D$42-1),Projects!$B$42/Projects!$D$42,"")</f>
        <v/>
      </c>
      <c r="CO40" s="567">
        <f>IF(AND(Projects!$C$42&lt;=CO$4,CO$4&lt;=Projects!$C$42+Projects!$D$42-1),Projects!$B$42/Projects!$D$42,"")</f>
        <v/>
      </c>
      <c r="CP40" s="567">
        <f>IF(AND(Projects!$C$42&lt;=CP$4,CP$4&lt;=Projects!$C$42+Projects!$D$42-1),Projects!$B$42/Projects!$D$42,"")</f>
        <v/>
      </c>
      <c r="CQ40" s="567">
        <f>IF(AND(Projects!$C$42&lt;=CQ$4,CQ$4&lt;=Projects!$C$42+Projects!$D$42-1),Projects!$B$42/Projects!$D$42,"")</f>
        <v/>
      </c>
      <c r="CR40" s="567">
        <f>IF(AND(Projects!$C$42&lt;=CR$4,CR$4&lt;=Projects!$C$42+Projects!$D$42-1),Projects!$B$42/Projects!$D$42,"")</f>
        <v/>
      </c>
      <c r="CS40" s="567">
        <f>IF(AND(Projects!$C$42&lt;=CS$4,CS$4&lt;=Projects!$C$42+Projects!$D$42-1),Projects!$B$42/Projects!$D$42,"")</f>
        <v/>
      </c>
      <c r="CT40" s="567">
        <f>IF(AND(Projects!$C$42&lt;=CT$4,CT$4&lt;=Projects!$C$42+Projects!$D$42-1),Projects!$B$42/Projects!$D$42,"")</f>
        <v/>
      </c>
      <c r="CU40" s="567">
        <f>IF(AND(Projects!$C$42&lt;=CU$4,CU$4&lt;=Projects!$C$42+Projects!$D$42-1),Projects!$B$42/Projects!$D$42,"")</f>
        <v/>
      </c>
      <c r="CV40" s="567">
        <f>IF(AND(Projects!$C$42&lt;=CV$4,CV$4&lt;=Projects!$C$42+Projects!$D$42-1),Projects!$B$42/Projects!$D$42,"")</f>
        <v/>
      </c>
      <c r="CW40" s="567">
        <f>IF(AND(Projects!$C$42&lt;=CW$4,CW$4&lt;=Projects!$C$42+Projects!$D$42-1),Projects!$B$42/Projects!$D$42,"")</f>
        <v/>
      </c>
      <c r="CX40" s="567">
        <f>IF(AND(Projects!$C$42&lt;=CX$4,CX$4&lt;=Projects!$C$42+Projects!$D$42-1),Projects!$B$42/Projects!$D$42,"")</f>
        <v/>
      </c>
      <c r="CY40" s="567">
        <f>IF(AND(Projects!$C$42&lt;=CY$4,CY$4&lt;=Projects!$C$42+Projects!$D$42-1),Projects!$B$42/Projects!$D$42,"")</f>
        <v/>
      </c>
      <c r="CZ40" s="567">
        <f>IF(AND(Projects!$C$42&lt;=CZ$4,CZ$4&lt;=Projects!$C$42+Projects!$D$42-1),Projects!$B$42/Projects!$D$42,"")</f>
        <v/>
      </c>
      <c r="DA40" s="567">
        <f>IF(AND(Projects!$C$42&lt;=DA$4,DA$4&lt;=Projects!$C$42+Projects!$D$42-1),Projects!$B$42/Projects!$D$42,"")</f>
        <v/>
      </c>
      <c r="DB40" s="567">
        <f>IF(AND(Projects!$C$42&lt;=DB$4,DB$4&lt;=Projects!$C$42+Projects!$D$42-1),Projects!$B$42/Projects!$D$42,"")</f>
        <v/>
      </c>
    </row>
    <row r="41" ht="15" customFormat="1" customHeight="1" s="380">
      <c r="A41" s="563" t="inlineStr">
        <is>
          <t>BD-27</t>
        </is>
      </c>
      <c r="B41" s="564">
        <f>Projects!$B$43</f>
        <v/>
      </c>
      <c r="C41" s="565">
        <f>EDATE(Model!$E$2,Projects!$C$43-1)</f>
        <v/>
      </c>
      <c r="D41" s="565">
        <f>EDATE(Model!$E$2,Projects!$C$43+Projects!$D$43-2)</f>
        <v/>
      </c>
      <c r="E41" s="566">
        <f>Projects!$D$43</f>
        <v/>
      </c>
      <c r="F41" s="564">
        <f>Projects!$B$43/Projects!$D$43</f>
        <v/>
      </c>
      <c r="G41" s="567">
        <f>IF(AND(Projects!$C$43&lt;=G$4,G$4&lt;=Projects!$C$43+Projects!$D$43-1),Projects!$B$43/Projects!$D$43,"")</f>
        <v/>
      </c>
      <c r="H41" s="567">
        <f>IF(AND(Projects!$C$43&lt;=H$4,H$4&lt;=Projects!$C$43+Projects!$D$43-1),Projects!$B$43/Projects!$D$43,"")</f>
        <v/>
      </c>
      <c r="I41" s="567">
        <f>IF(AND(Projects!$C$43&lt;=I$4,I$4&lt;=Projects!$C$43+Projects!$D$43-1),Projects!$B$43/Projects!$D$43,"")</f>
        <v/>
      </c>
      <c r="J41" s="567">
        <f>IF(AND(Projects!$C$43&lt;=J$4,J$4&lt;=Projects!$C$43+Projects!$D$43-1),Projects!$B$43/Projects!$D$43,"")</f>
        <v/>
      </c>
      <c r="K41" s="567">
        <f>IF(AND(Projects!$C$43&lt;=K$4,K$4&lt;=Projects!$C$43+Projects!$D$43-1),Projects!$B$43/Projects!$D$43,"")</f>
        <v/>
      </c>
      <c r="L41" s="567">
        <f>IF(AND(Projects!$C$43&lt;=L$4,L$4&lt;=Projects!$C$43+Projects!$D$43-1),Projects!$B$43/Projects!$D$43,"")</f>
        <v/>
      </c>
      <c r="M41" s="567">
        <f>IF(AND(Projects!$C$43&lt;=M$4,M$4&lt;=Projects!$C$43+Projects!$D$43-1),Projects!$B$43/Projects!$D$43,"")</f>
        <v/>
      </c>
      <c r="N41" s="567">
        <f>IF(AND(Projects!$C$43&lt;=N$4,N$4&lt;=Projects!$C$43+Projects!$D$43-1),Projects!$B$43/Projects!$D$43,"")</f>
        <v/>
      </c>
      <c r="O41" s="567">
        <f>IF(AND(Projects!$C$43&lt;=O$4,O$4&lt;=Projects!$C$43+Projects!$D$43-1),Projects!$B$43/Projects!$D$43,"")</f>
        <v/>
      </c>
      <c r="P41" s="567">
        <f>IF(AND(Projects!$C$43&lt;=P$4,P$4&lt;=Projects!$C$43+Projects!$D$43-1),Projects!$B$43/Projects!$D$43,"")</f>
        <v/>
      </c>
      <c r="Q41" s="567">
        <f>IF(AND(Projects!$C$43&lt;=Q$4,Q$4&lt;=Projects!$C$43+Projects!$D$43-1),Projects!$B$43/Projects!$D$43,"")</f>
        <v/>
      </c>
      <c r="R41" s="567">
        <f>IF(AND(Projects!$C$43&lt;=R$4,R$4&lt;=Projects!$C$43+Projects!$D$43-1),Projects!$B$43/Projects!$D$43,"")</f>
        <v/>
      </c>
      <c r="S41" s="567">
        <f>IF(AND(Projects!$C$43&lt;=S$4,S$4&lt;=Projects!$C$43+Projects!$D$43-1),Projects!$B$43/Projects!$D$43,"")</f>
        <v/>
      </c>
      <c r="T41" s="567">
        <f>IF(AND(Projects!$C$43&lt;=T$4,T$4&lt;=Projects!$C$43+Projects!$D$43-1),Projects!$B$43/Projects!$D$43,"")</f>
        <v/>
      </c>
      <c r="U41" s="567">
        <f>IF(AND(Projects!$C$43&lt;=U$4,U$4&lt;=Projects!$C$43+Projects!$D$43-1),Projects!$B$43/Projects!$D$43,"")</f>
        <v/>
      </c>
      <c r="V41" s="567">
        <f>IF(AND(Projects!$C$43&lt;=V$4,V$4&lt;=Projects!$C$43+Projects!$D$43-1),Projects!$B$43/Projects!$D$43,"")</f>
        <v/>
      </c>
      <c r="W41" s="567">
        <f>IF(AND(Projects!$C$43&lt;=W$4,W$4&lt;=Projects!$C$43+Projects!$D$43-1),Projects!$B$43/Projects!$D$43,"")</f>
        <v/>
      </c>
      <c r="X41" s="567">
        <f>IF(AND(Projects!$C$43&lt;=X$4,X$4&lt;=Projects!$C$43+Projects!$D$43-1),Projects!$B$43/Projects!$D$43,"")</f>
        <v/>
      </c>
      <c r="Y41" s="567">
        <f>IF(AND(Projects!$C$43&lt;=Y$4,Y$4&lt;=Projects!$C$43+Projects!$D$43-1),Projects!$B$43/Projects!$D$43,"")</f>
        <v/>
      </c>
      <c r="Z41" s="567">
        <f>IF(AND(Projects!$C$43&lt;=Z$4,Z$4&lt;=Projects!$C$43+Projects!$D$43-1),Projects!$B$43/Projects!$D$43,"")</f>
        <v/>
      </c>
      <c r="AA41" s="567">
        <f>IF(AND(Projects!$C$43&lt;=AA$4,AA$4&lt;=Projects!$C$43+Projects!$D$43-1),Projects!$B$43/Projects!$D$43,"")</f>
        <v/>
      </c>
      <c r="AB41" s="567">
        <f>IF(AND(Projects!$C$43&lt;=AB$4,AB$4&lt;=Projects!$C$43+Projects!$D$43-1),Projects!$B$43/Projects!$D$43,"")</f>
        <v/>
      </c>
      <c r="AC41" s="567">
        <f>IF(AND(Projects!$C$43&lt;=AC$4,AC$4&lt;=Projects!$C$43+Projects!$D$43-1),Projects!$B$43/Projects!$D$43,"")</f>
        <v/>
      </c>
      <c r="AD41" s="567">
        <f>IF(AND(Projects!$C$43&lt;=AD$4,AD$4&lt;=Projects!$C$43+Projects!$D$43-1),Projects!$B$43/Projects!$D$43,"")</f>
        <v/>
      </c>
      <c r="AE41" s="567">
        <f>IF(AND(Projects!$C$43&lt;=AE$4,AE$4&lt;=Projects!$C$43+Projects!$D$43-1),Projects!$B$43/Projects!$D$43,"")</f>
        <v/>
      </c>
      <c r="AF41" s="567">
        <f>IF(AND(Projects!$C$43&lt;=AF$4,AF$4&lt;=Projects!$C$43+Projects!$D$43-1),Projects!$B$43/Projects!$D$43,"")</f>
        <v/>
      </c>
      <c r="AG41" s="567">
        <f>IF(AND(Projects!$C$43&lt;=AG$4,AG$4&lt;=Projects!$C$43+Projects!$D$43-1),Projects!$B$43/Projects!$D$43,"")</f>
        <v/>
      </c>
      <c r="AH41" s="567">
        <f>IF(AND(Projects!$C$43&lt;=AH$4,AH$4&lt;=Projects!$C$43+Projects!$D$43-1),Projects!$B$43/Projects!$D$43,"")</f>
        <v/>
      </c>
      <c r="AI41" s="567">
        <f>IF(AND(Projects!$C$43&lt;=AI$4,AI$4&lt;=Projects!$C$43+Projects!$D$43-1),Projects!$B$43/Projects!$D$43,"")</f>
        <v/>
      </c>
      <c r="AJ41" s="567">
        <f>IF(AND(Projects!$C$43&lt;=AJ$4,AJ$4&lt;=Projects!$C$43+Projects!$D$43-1),Projects!$B$43/Projects!$D$43,"")</f>
        <v/>
      </c>
      <c r="AK41" s="567">
        <f>IF(AND(Projects!$C$43&lt;=AK$4,AK$4&lt;=Projects!$C$43+Projects!$D$43-1),Projects!$B$43/Projects!$D$43,"")</f>
        <v/>
      </c>
      <c r="AL41" s="567">
        <f>IF(AND(Projects!$C$43&lt;=AL$4,AL$4&lt;=Projects!$C$43+Projects!$D$43-1),Projects!$B$43/Projects!$D$43,"")</f>
        <v/>
      </c>
      <c r="AM41" s="567">
        <f>IF(AND(Projects!$C$43&lt;=AM$4,AM$4&lt;=Projects!$C$43+Projects!$D$43-1),Projects!$B$43/Projects!$D$43,"")</f>
        <v/>
      </c>
      <c r="AN41" s="567">
        <f>IF(AND(Projects!$C$43&lt;=AN$4,AN$4&lt;=Projects!$C$43+Projects!$D$43-1),Projects!$B$43/Projects!$D$43,"")</f>
        <v/>
      </c>
      <c r="AO41" s="567">
        <f>IF(AND(Projects!$C$43&lt;=AO$4,AO$4&lt;=Projects!$C$43+Projects!$D$43-1),Projects!$B$43/Projects!$D$43,"")</f>
        <v/>
      </c>
      <c r="AP41" s="567">
        <f>IF(AND(Projects!$C$43&lt;=AP$4,AP$4&lt;=Projects!$C$43+Projects!$D$43-1),Projects!$B$43/Projects!$D$43,"")</f>
        <v/>
      </c>
      <c r="AQ41" s="567">
        <f>IF(AND(Projects!$C$43&lt;=AQ$4,AQ$4&lt;=Projects!$C$43+Projects!$D$43-1),Projects!$B$43/Projects!$D$43,"")</f>
        <v/>
      </c>
      <c r="AR41" s="567">
        <f>IF(AND(Projects!$C$43&lt;=AR$4,AR$4&lt;=Projects!$C$43+Projects!$D$43-1),Projects!$B$43/Projects!$D$43,"")</f>
        <v/>
      </c>
      <c r="AS41" s="567">
        <f>IF(AND(Projects!$C$43&lt;=AS$4,AS$4&lt;=Projects!$C$43+Projects!$D$43-1),Projects!$B$43/Projects!$D$43,"")</f>
        <v/>
      </c>
      <c r="AT41" s="567">
        <f>IF(AND(Projects!$C$43&lt;=AT$4,AT$4&lt;=Projects!$C$43+Projects!$D$43-1),Projects!$B$43/Projects!$D$43,"")</f>
        <v/>
      </c>
      <c r="AU41" s="567">
        <f>IF(AND(Projects!$C$43&lt;=AU$4,AU$4&lt;=Projects!$C$43+Projects!$D$43-1),Projects!$B$43/Projects!$D$43,"")</f>
        <v/>
      </c>
      <c r="AV41" s="567">
        <f>IF(AND(Projects!$C$43&lt;=AV$4,AV$4&lt;=Projects!$C$43+Projects!$D$43-1),Projects!$B$43/Projects!$D$43,"")</f>
        <v/>
      </c>
      <c r="AW41" s="567">
        <f>IF(AND(Projects!$C$43&lt;=AW$4,AW$4&lt;=Projects!$C$43+Projects!$D$43-1),Projects!$B$43/Projects!$D$43,"")</f>
        <v/>
      </c>
      <c r="AX41" s="567">
        <f>IF(AND(Projects!$C$43&lt;=AX$4,AX$4&lt;=Projects!$C$43+Projects!$D$43-1),Projects!$B$43/Projects!$D$43,"")</f>
        <v/>
      </c>
      <c r="AY41" s="567">
        <f>IF(AND(Projects!$C$43&lt;=AY$4,AY$4&lt;=Projects!$C$43+Projects!$D$43-1),Projects!$B$43/Projects!$D$43,"")</f>
        <v/>
      </c>
      <c r="AZ41" s="567">
        <f>IF(AND(Projects!$C$43&lt;=AZ$4,AZ$4&lt;=Projects!$C$43+Projects!$D$43-1),Projects!$B$43/Projects!$D$43,"")</f>
        <v/>
      </c>
      <c r="BA41" s="567">
        <f>IF(AND(Projects!$C$43&lt;=BA$4,BA$4&lt;=Projects!$C$43+Projects!$D$43-1),Projects!$B$43/Projects!$D$43,"")</f>
        <v/>
      </c>
      <c r="BB41" s="567">
        <f>IF(AND(Projects!$C$43&lt;=BB$4,BB$4&lt;=Projects!$C$43+Projects!$D$43-1),Projects!$B$43/Projects!$D$43,"")</f>
        <v/>
      </c>
      <c r="BC41" s="567">
        <f>IF(AND(Projects!$C$43&lt;=BC$4,BC$4&lt;=Projects!$C$43+Projects!$D$43-1),Projects!$B$43/Projects!$D$43,"")</f>
        <v/>
      </c>
      <c r="BD41" s="567">
        <f>IF(AND(Projects!$C$43&lt;=BD$4,BD$4&lt;=Projects!$C$43+Projects!$D$43-1),Projects!$B$43/Projects!$D$43,"")</f>
        <v/>
      </c>
      <c r="BE41" s="567">
        <f>IF(AND(Projects!$C$43&lt;=BE$4,BE$4&lt;=Projects!$C$43+Projects!$D$43-1),Projects!$B$43/Projects!$D$43,"")</f>
        <v/>
      </c>
      <c r="BF41" s="567">
        <f>IF(AND(Projects!$C$43&lt;=BF$4,BF$4&lt;=Projects!$C$43+Projects!$D$43-1),Projects!$B$43/Projects!$D$43,"")</f>
        <v/>
      </c>
      <c r="BG41" s="567">
        <f>IF(AND(Projects!$C$43&lt;=BG$4,BG$4&lt;=Projects!$C$43+Projects!$D$43-1),Projects!$B$43/Projects!$D$43,"")</f>
        <v/>
      </c>
      <c r="BH41" s="567">
        <f>IF(AND(Projects!$C$43&lt;=BH$4,BH$4&lt;=Projects!$C$43+Projects!$D$43-1),Projects!$B$43/Projects!$D$43,"")</f>
        <v/>
      </c>
      <c r="BI41" s="567">
        <f>IF(AND(Projects!$C$43&lt;=BI$4,BI$4&lt;=Projects!$C$43+Projects!$D$43-1),Projects!$B$43/Projects!$D$43,"")</f>
        <v/>
      </c>
      <c r="BJ41" s="567">
        <f>IF(AND(Projects!$C$43&lt;=BJ$4,BJ$4&lt;=Projects!$C$43+Projects!$D$43-1),Projects!$B$43/Projects!$D$43,"")</f>
        <v/>
      </c>
      <c r="BK41" s="567">
        <f>IF(AND(Projects!$C$43&lt;=BK$4,BK$4&lt;=Projects!$C$43+Projects!$D$43-1),Projects!$B$43/Projects!$D$43,"")</f>
        <v/>
      </c>
      <c r="BL41" s="567">
        <f>IF(AND(Projects!$C$43&lt;=BL$4,BL$4&lt;=Projects!$C$43+Projects!$D$43-1),Projects!$B$43/Projects!$D$43,"")</f>
        <v/>
      </c>
      <c r="BM41" s="567">
        <f>IF(AND(Projects!$C$43&lt;=BM$4,BM$4&lt;=Projects!$C$43+Projects!$D$43-1),Projects!$B$43/Projects!$D$43,"")</f>
        <v/>
      </c>
      <c r="BN41" s="567">
        <f>IF(AND(Projects!$C$43&lt;=BN$4,BN$4&lt;=Projects!$C$43+Projects!$D$43-1),Projects!$B$43/Projects!$D$43,"")</f>
        <v/>
      </c>
      <c r="BO41" s="567">
        <f>IF(AND(Projects!$C$43&lt;=BO$4,BO$4&lt;=Projects!$C$43+Projects!$D$43-1),Projects!$B$43/Projects!$D$43,"")</f>
        <v/>
      </c>
      <c r="BP41" s="567">
        <f>IF(AND(Projects!$C$43&lt;=BP$4,BP$4&lt;=Projects!$C$43+Projects!$D$43-1),Projects!$B$43/Projects!$D$43,"")</f>
        <v/>
      </c>
      <c r="BQ41" s="567">
        <f>IF(AND(Projects!$C$43&lt;=BQ$4,BQ$4&lt;=Projects!$C$43+Projects!$D$43-1),Projects!$B$43/Projects!$D$43,"")</f>
        <v/>
      </c>
      <c r="BR41" s="567">
        <f>IF(AND(Projects!$C$43&lt;=BR$4,BR$4&lt;=Projects!$C$43+Projects!$D$43-1),Projects!$B$43/Projects!$D$43,"")</f>
        <v/>
      </c>
      <c r="BS41" s="567">
        <f>IF(AND(Projects!$C$43&lt;=BS$4,BS$4&lt;=Projects!$C$43+Projects!$D$43-1),Projects!$B$43/Projects!$D$43,"")</f>
        <v/>
      </c>
      <c r="BT41" s="567">
        <f>IF(AND(Projects!$C$43&lt;=BT$4,BT$4&lt;=Projects!$C$43+Projects!$D$43-1),Projects!$B$43/Projects!$D$43,"")</f>
        <v/>
      </c>
      <c r="BU41" s="567">
        <f>IF(AND(Projects!$C$43&lt;=BU$4,BU$4&lt;=Projects!$C$43+Projects!$D$43-1),Projects!$B$43/Projects!$D$43,"")</f>
        <v/>
      </c>
      <c r="BV41" s="567">
        <f>IF(AND(Projects!$C$43&lt;=BV$4,BV$4&lt;=Projects!$C$43+Projects!$D$43-1),Projects!$B$43/Projects!$D$43,"")</f>
        <v/>
      </c>
      <c r="BW41" s="567">
        <f>IF(AND(Projects!$C$43&lt;=BW$4,BW$4&lt;=Projects!$C$43+Projects!$D$43-1),Projects!$B$43/Projects!$D$43,"")</f>
        <v/>
      </c>
      <c r="BX41" s="567">
        <f>IF(AND(Projects!$C$43&lt;=BX$4,BX$4&lt;=Projects!$C$43+Projects!$D$43-1),Projects!$B$43/Projects!$D$43,"")</f>
        <v/>
      </c>
      <c r="BY41" s="567">
        <f>IF(AND(Projects!$C$43&lt;=BY$4,BY$4&lt;=Projects!$C$43+Projects!$D$43-1),Projects!$B$43/Projects!$D$43,"")</f>
        <v/>
      </c>
      <c r="BZ41" s="567">
        <f>IF(AND(Projects!$C$43&lt;=BZ$4,BZ$4&lt;=Projects!$C$43+Projects!$D$43-1),Projects!$B$43/Projects!$D$43,"")</f>
        <v/>
      </c>
      <c r="CA41" s="567">
        <f>IF(AND(Projects!$C$43&lt;=CA$4,CA$4&lt;=Projects!$C$43+Projects!$D$43-1),Projects!$B$43/Projects!$D$43,"")</f>
        <v/>
      </c>
      <c r="CB41" s="567">
        <f>IF(AND(Projects!$C$43&lt;=CB$4,CB$4&lt;=Projects!$C$43+Projects!$D$43-1),Projects!$B$43/Projects!$D$43,"")</f>
        <v/>
      </c>
      <c r="CC41" s="567">
        <f>IF(AND(Projects!$C$43&lt;=CC$4,CC$4&lt;=Projects!$C$43+Projects!$D$43-1),Projects!$B$43/Projects!$D$43,"")</f>
        <v/>
      </c>
      <c r="CD41" s="567">
        <f>IF(AND(Projects!$C$43&lt;=CD$4,CD$4&lt;=Projects!$C$43+Projects!$D$43-1),Projects!$B$43/Projects!$D$43,"")</f>
        <v/>
      </c>
      <c r="CE41" s="567">
        <f>IF(AND(Projects!$C$43&lt;=CE$4,CE$4&lt;=Projects!$C$43+Projects!$D$43-1),Projects!$B$43/Projects!$D$43,"")</f>
        <v/>
      </c>
      <c r="CF41" s="567">
        <f>IF(AND(Projects!$C$43&lt;=CF$4,CF$4&lt;=Projects!$C$43+Projects!$D$43-1),Projects!$B$43/Projects!$D$43,"")</f>
        <v/>
      </c>
      <c r="CG41" s="567">
        <f>IF(AND(Projects!$C$43&lt;=CG$4,CG$4&lt;=Projects!$C$43+Projects!$D$43-1),Projects!$B$43/Projects!$D$43,"")</f>
        <v/>
      </c>
      <c r="CH41" s="567">
        <f>IF(AND(Projects!$C$43&lt;=CH$4,CH$4&lt;=Projects!$C$43+Projects!$D$43-1),Projects!$B$43/Projects!$D$43,"")</f>
        <v/>
      </c>
      <c r="CI41" s="567">
        <f>IF(AND(Projects!$C$43&lt;=CI$4,CI$4&lt;=Projects!$C$43+Projects!$D$43-1),Projects!$B$43/Projects!$D$43,"")</f>
        <v/>
      </c>
      <c r="CJ41" s="567">
        <f>IF(AND(Projects!$C$43&lt;=CJ$4,CJ$4&lt;=Projects!$C$43+Projects!$D$43-1),Projects!$B$43/Projects!$D$43,"")</f>
        <v/>
      </c>
      <c r="CK41" s="567">
        <f>IF(AND(Projects!$C$43&lt;=CK$4,CK$4&lt;=Projects!$C$43+Projects!$D$43-1),Projects!$B$43/Projects!$D$43,"")</f>
        <v/>
      </c>
      <c r="CL41" s="567">
        <f>IF(AND(Projects!$C$43&lt;=CL$4,CL$4&lt;=Projects!$C$43+Projects!$D$43-1),Projects!$B$43/Projects!$D$43,"")</f>
        <v/>
      </c>
      <c r="CM41" s="567">
        <f>IF(AND(Projects!$C$43&lt;=CM$4,CM$4&lt;=Projects!$C$43+Projects!$D$43-1),Projects!$B$43/Projects!$D$43,"")</f>
        <v/>
      </c>
      <c r="CN41" s="567">
        <f>IF(AND(Projects!$C$43&lt;=CN$4,CN$4&lt;=Projects!$C$43+Projects!$D$43-1),Projects!$B$43/Projects!$D$43,"")</f>
        <v/>
      </c>
      <c r="CO41" s="567">
        <f>IF(AND(Projects!$C$43&lt;=CO$4,CO$4&lt;=Projects!$C$43+Projects!$D$43-1),Projects!$B$43/Projects!$D$43,"")</f>
        <v/>
      </c>
      <c r="CP41" s="567">
        <f>IF(AND(Projects!$C$43&lt;=CP$4,CP$4&lt;=Projects!$C$43+Projects!$D$43-1),Projects!$B$43/Projects!$D$43,"")</f>
        <v/>
      </c>
      <c r="CQ41" s="567">
        <f>IF(AND(Projects!$C$43&lt;=CQ$4,CQ$4&lt;=Projects!$C$43+Projects!$D$43-1),Projects!$B$43/Projects!$D$43,"")</f>
        <v/>
      </c>
      <c r="CR41" s="567">
        <f>IF(AND(Projects!$C$43&lt;=CR$4,CR$4&lt;=Projects!$C$43+Projects!$D$43-1),Projects!$B$43/Projects!$D$43,"")</f>
        <v/>
      </c>
      <c r="CS41" s="567">
        <f>IF(AND(Projects!$C$43&lt;=CS$4,CS$4&lt;=Projects!$C$43+Projects!$D$43-1),Projects!$B$43/Projects!$D$43,"")</f>
        <v/>
      </c>
      <c r="CT41" s="567">
        <f>IF(AND(Projects!$C$43&lt;=CT$4,CT$4&lt;=Projects!$C$43+Projects!$D$43-1),Projects!$B$43/Projects!$D$43,"")</f>
        <v/>
      </c>
      <c r="CU41" s="567">
        <f>IF(AND(Projects!$C$43&lt;=CU$4,CU$4&lt;=Projects!$C$43+Projects!$D$43-1),Projects!$B$43/Projects!$D$43,"")</f>
        <v/>
      </c>
      <c r="CV41" s="567">
        <f>IF(AND(Projects!$C$43&lt;=CV$4,CV$4&lt;=Projects!$C$43+Projects!$D$43-1),Projects!$B$43/Projects!$D$43,"")</f>
        <v/>
      </c>
      <c r="CW41" s="567">
        <f>IF(AND(Projects!$C$43&lt;=CW$4,CW$4&lt;=Projects!$C$43+Projects!$D$43-1),Projects!$B$43/Projects!$D$43,"")</f>
        <v/>
      </c>
      <c r="CX41" s="567">
        <f>IF(AND(Projects!$C$43&lt;=CX$4,CX$4&lt;=Projects!$C$43+Projects!$D$43-1),Projects!$B$43/Projects!$D$43,"")</f>
        <v/>
      </c>
      <c r="CY41" s="567">
        <f>IF(AND(Projects!$C$43&lt;=CY$4,CY$4&lt;=Projects!$C$43+Projects!$D$43-1),Projects!$B$43/Projects!$D$43,"")</f>
        <v/>
      </c>
      <c r="CZ41" s="567">
        <f>IF(AND(Projects!$C$43&lt;=CZ$4,CZ$4&lt;=Projects!$C$43+Projects!$D$43-1),Projects!$B$43/Projects!$D$43,"")</f>
        <v/>
      </c>
      <c r="DA41" s="567">
        <f>IF(AND(Projects!$C$43&lt;=DA$4,DA$4&lt;=Projects!$C$43+Projects!$D$43-1),Projects!$B$43/Projects!$D$43,"")</f>
        <v/>
      </c>
      <c r="DB41" s="567">
        <f>IF(AND(Projects!$C$43&lt;=DB$4,DB$4&lt;=Projects!$C$43+Projects!$D$43-1),Projects!$B$43/Projects!$D$43,"")</f>
        <v/>
      </c>
    </row>
    <row r="42" ht="15" customFormat="1" customHeight="1" s="380">
      <c r="A42" s="563" t="inlineStr">
        <is>
          <t>BD-28</t>
        </is>
      </c>
      <c r="B42" s="564">
        <f>Projects!$B$44</f>
        <v/>
      </c>
      <c r="C42" s="565">
        <f>EDATE(Model!$E$2,Projects!$C$44-1)</f>
        <v/>
      </c>
      <c r="D42" s="565">
        <f>EDATE(Model!$E$2,Projects!$C$44+Projects!$D$44-2)</f>
        <v/>
      </c>
      <c r="E42" s="566">
        <f>Projects!$D$44</f>
        <v/>
      </c>
      <c r="F42" s="564">
        <f>Projects!$B$44/Projects!$D$44</f>
        <v/>
      </c>
      <c r="G42" s="567">
        <f>IF(AND(Projects!$C$44&lt;=G$4,G$4&lt;=Projects!$C$44+Projects!$D$44-1),Projects!$B$44/Projects!$D$44,"")</f>
        <v/>
      </c>
      <c r="H42" s="567">
        <f>IF(AND(Projects!$C$44&lt;=H$4,H$4&lt;=Projects!$C$44+Projects!$D$44-1),Projects!$B$44/Projects!$D$44,"")</f>
        <v/>
      </c>
      <c r="I42" s="567">
        <f>IF(AND(Projects!$C$44&lt;=I$4,I$4&lt;=Projects!$C$44+Projects!$D$44-1),Projects!$B$44/Projects!$D$44,"")</f>
        <v/>
      </c>
      <c r="J42" s="567">
        <f>IF(AND(Projects!$C$44&lt;=J$4,J$4&lt;=Projects!$C$44+Projects!$D$44-1),Projects!$B$44/Projects!$D$44,"")</f>
        <v/>
      </c>
      <c r="K42" s="567">
        <f>IF(AND(Projects!$C$44&lt;=K$4,K$4&lt;=Projects!$C$44+Projects!$D$44-1),Projects!$B$44/Projects!$D$44,"")</f>
        <v/>
      </c>
      <c r="L42" s="567">
        <f>IF(AND(Projects!$C$44&lt;=L$4,L$4&lt;=Projects!$C$44+Projects!$D$44-1),Projects!$B$44/Projects!$D$44,"")</f>
        <v/>
      </c>
      <c r="M42" s="567">
        <f>IF(AND(Projects!$C$44&lt;=M$4,M$4&lt;=Projects!$C$44+Projects!$D$44-1),Projects!$B$44/Projects!$D$44,"")</f>
        <v/>
      </c>
      <c r="N42" s="567">
        <f>IF(AND(Projects!$C$44&lt;=N$4,N$4&lt;=Projects!$C$44+Projects!$D$44-1),Projects!$B$44/Projects!$D$44,"")</f>
        <v/>
      </c>
      <c r="O42" s="567">
        <f>IF(AND(Projects!$C$44&lt;=O$4,O$4&lt;=Projects!$C$44+Projects!$D$44-1),Projects!$B$44/Projects!$D$44,"")</f>
        <v/>
      </c>
      <c r="P42" s="567">
        <f>IF(AND(Projects!$C$44&lt;=P$4,P$4&lt;=Projects!$C$44+Projects!$D$44-1),Projects!$B$44/Projects!$D$44,"")</f>
        <v/>
      </c>
      <c r="Q42" s="567">
        <f>IF(AND(Projects!$C$44&lt;=Q$4,Q$4&lt;=Projects!$C$44+Projects!$D$44-1),Projects!$B$44/Projects!$D$44,"")</f>
        <v/>
      </c>
      <c r="R42" s="567">
        <f>IF(AND(Projects!$C$44&lt;=R$4,R$4&lt;=Projects!$C$44+Projects!$D$44-1),Projects!$B$44/Projects!$D$44,"")</f>
        <v/>
      </c>
      <c r="S42" s="567">
        <f>IF(AND(Projects!$C$44&lt;=S$4,S$4&lt;=Projects!$C$44+Projects!$D$44-1),Projects!$B$44/Projects!$D$44,"")</f>
        <v/>
      </c>
      <c r="T42" s="567">
        <f>IF(AND(Projects!$C$44&lt;=T$4,T$4&lt;=Projects!$C$44+Projects!$D$44-1),Projects!$B$44/Projects!$D$44,"")</f>
        <v/>
      </c>
      <c r="U42" s="567">
        <f>IF(AND(Projects!$C$44&lt;=U$4,U$4&lt;=Projects!$C$44+Projects!$D$44-1),Projects!$B$44/Projects!$D$44,"")</f>
        <v/>
      </c>
      <c r="V42" s="567">
        <f>IF(AND(Projects!$C$44&lt;=V$4,V$4&lt;=Projects!$C$44+Projects!$D$44-1),Projects!$B$44/Projects!$D$44,"")</f>
        <v/>
      </c>
      <c r="W42" s="567">
        <f>IF(AND(Projects!$C$44&lt;=W$4,W$4&lt;=Projects!$C$44+Projects!$D$44-1),Projects!$B$44/Projects!$D$44,"")</f>
        <v/>
      </c>
      <c r="X42" s="567">
        <f>IF(AND(Projects!$C$44&lt;=X$4,X$4&lt;=Projects!$C$44+Projects!$D$44-1),Projects!$B$44/Projects!$D$44,"")</f>
        <v/>
      </c>
      <c r="Y42" s="567">
        <f>IF(AND(Projects!$C$44&lt;=Y$4,Y$4&lt;=Projects!$C$44+Projects!$D$44-1),Projects!$B$44/Projects!$D$44,"")</f>
        <v/>
      </c>
      <c r="Z42" s="567">
        <f>IF(AND(Projects!$C$44&lt;=Z$4,Z$4&lt;=Projects!$C$44+Projects!$D$44-1),Projects!$B$44/Projects!$D$44,"")</f>
        <v/>
      </c>
      <c r="AA42" s="567">
        <f>IF(AND(Projects!$C$44&lt;=AA$4,AA$4&lt;=Projects!$C$44+Projects!$D$44-1),Projects!$B$44/Projects!$D$44,"")</f>
        <v/>
      </c>
      <c r="AB42" s="567">
        <f>IF(AND(Projects!$C$44&lt;=AB$4,AB$4&lt;=Projects!$C$44+Projects!$D$44-1),Projects!$B$44/Projects!$D$44,"")</f>
        <v/>
      </c>
      <c r="AC42" s="567">
        <f>IF(AND(Projects!$C$44&lt;=AC$4,AC$4&lt;=Projects!$C$44+Projects!$D$44-1),Projects!$B$44/Projects!$D$44,"")</f>
        <v/>
      </c>
      <c r="AD42" s="567">
        <f>IF(AND(Projects!$C$44&lt;=AD$4,AD$4&lt;=Projects!$C$44+Projects!$D$44-1),Projects!$B$44/Projects!$D$44,"")</f>
        <v/>
      </c>
      <c r="AE42" s="567">
        <f>IF(AND(Projects!$C$44&lt;=AE$4,AE$4&lt;=Projects!$C$44+Projects!$D$44-1),Projects!$B$44/Projects!$D$44,"")</f>
        <v/>
      </c>
      <c r="AF42" s="567">
        <f>IF(AND(Projects!$C$44&lt;=AF$4,AF$4&lt;=Projects!$C$44+Projects!$D$44-1),Projects!$B$44/Projects!$D$44,"")</f>
        <v/>
      </c>
      <c r="AG42" s="567">
        <f>IF(AND(Projects!$C$44&lt;=AG$4,AG$4&lt;=Projects!$C$44+Projects!$D$44-1),Projects!$B$44/Projects!$D$44,"")</f>
        <v/>
      </c>
      <c r="AH42" s="567">
        <f>IF(AND(Projects!$C$44&lt;=AH$4,AH$4&lt;=Projects!$C$44+Projects!$D$44-1),Projects!$B$44/Projects!$D$44,"")</f>
        <v/>
      </c>
      <c r="AI42" s="567">
        <f>IF(AND(Projects!$C$44&lt;=AI$4,AI$4&lt;=Projects!$C$44+Projects!$D$44-1),Projects!$B$44/Projects!$D$44,"")</f>
        <v/>
      </c>
      <c r="AJ42" s="567">
        <f>IF(AND(Projects!$C$44&lt;=AJ$4,AJ$4&lt;=Projects!$C$44+Projects!$D$44-1),Projects!$B$44/Projects!$D$44,"")</f>
        <v/>
      </c>
      <c r="AK42" s="567">
        <f>IF(AND(Projects!$C$44&lt;=AK$4,AK$4&lt;=Projects!$C$44+Projects!$D$44-1),Projects!$B$44/Projects!$D$44,"")</f>
        <v/>
      </c>
      <c r="AL42" s="567">
        <f>IF(AND(Projects!$C$44&lt;=AL$4,AL$4&lt;=Projects!$C$44+Projects!$D$44-1),Projects!$B$44/Projects!$D$44,"")</f>
        <v/>
      </c>
      <c r="AM42" s="567">
        <f>IF(AND(Projects!$C$44&lt;=AM$4,AM$4&lt;=Projects!$C$44+Projects!$D$44-1),Projects!$B$44/Projects!$D$44,"")</f>
        <v/>
      </c>
      <c r="AN42" s="567">
        <f>IF(AND(Projects!$C$44&lt;=AN$4,AN$4&lt;=Projects!$C$44+Projects!$D$44-1),Projects!$B$44/Projects!$D$44,"")</f>
        <v/>
      </c>
      <c r="AO42" s="567">
        <f>IF(AND(Projects!$C$44&lt;=AO$4,AO$4&lt;=Projects!$C$44+Projects!$D$44-1),Projects!$B$44/Projects!$D$44,"")</f>
        <v/>
      </c>
      <c r="AP42" s="567">
        <f>IF(AND(Projects!$C$44&lt;=AP$4,AP$4&lt;=Projects!$C$44+Projects!$D$44-1),Projects!$B$44/Projects!$D$44,"")</f>
        <v/>
      </c>
      <c r="AQ42" s="567">
        <f>IF(AND(Projects!$C$44&lt;=AQ$4,AQ$4&lt;=Projects!$C$44+Projects!$D$44-1),Projects!$B$44/Projects!$D$44,"")</f>
        <v/>
      </c>
      <c r="AR42" s="567">
        <f>IF(AND(Projects!$C$44&lt;=AR$4,AR$4&lt;=Projects!$C$44+Projects!$D$44-1),Projects!$B$44/Projects!$D$44,"")</f>
        <v/>
      </c>
      <c r="AS42" s="567">
        <f>IF(AND(Projects!$C$44&lt;=AS$4,AS$4&lt;=Projects!$C$44+Projects!$D$44-1),Projects!$B$44/Projects!$D$44,"")</f>
        <v/>
      </c>
      <c r="AT42" s="567">
        <f>IF(AND(Projects!$C$44&lt;=AT$4,AT$4&lt;=Projects!$C$44+Projects!$D$44-1),Projects!$B$44/Projects!$D$44,"")</f>
        <v/>
      </c>
      <c r="AU42" s="567">
        <f>IF(AND(Projects!$C$44&lt;=AU$4,AU$4&lt;=Projects!$C$44+Projects!$D$44-1),Projects!$B$44/Projects!$D$44,"")</f>
        <v/>
      </c>
      <c r="AV42" s="567">
        <f>IF(AND(Projects!$C$44&lt;=AV$4,AV$4&lt;=Projects!$C$44+Projects!$D$44-1),Projects!$B$44/Projects!$D$44,"")</f>
        <v/>
      </c>
      <c r="AW42" s="567">
        <f>IF(AND(Projects!$C$44&lt;=AW$4,AW$4&lt;=Projects!$C$44+Projects!$D$44-1),Projects!$B$44/Projects!$D$44,"")</f>
        <v/>
      </c>
      <c r="AX42" s="567">
        <f>IF(AND(Projects!$C$44&lt;=AX$4,AX$4&lt;=Projects!$C$44+Projects!$D$44-1),Projects!$B$44/Projects!$D$44,"")</f>
        <v/>
      </c>
      <c r="AY42" s="567">
        <f>IF(AND(Projects!$C$44&lt;=AY$4,AY$4&lt;=Projects!$C$44+Projects!$D$44-1),Projects!$B$44/Projects!$D$44,"")</f>
        <v/>
      </c>
      <c r="AZ42" s="567">
        <f>IF(AND(Projects!$C$44&lt;=AZ$4,AZ$4&lt;=Projects!$C$44+Projects!$D$44-1),Projects!$B$44/Projects!$D$44,"")</f>
        <v/>
      </c>
      <c r="BA42" s="567">
        <f>IF(AND(Projects!$C$44&lt;=BA$4,BA$4&lt;=Projects!$C$44+Projects!$D$44-1),Projects!$B$44/Projects!$D$44,"")</f>
        <v/>
      </c>
      <c r="BB42" s="567">
        <f>IF(AND(Projects!$C$44&lt;=BB$4,BB$4&lt;=Projects!$C$44+Projects!$D$44-1),Projects!$B$44/Projects!$D$44,"")</f>
        <v/>
      </c>
      <c r="BC42" s="567">
        <f>IF(AND(Projects!$C$44&lt;=BC$4,BC$4&lt;=Projects!$C$44+Projects!$D$44-1),Projects!$B$44/Projects!$D$44,"")</f>
        <v/>
      </c>
      <c r="BD42" s="567">
        <f>IF(AND(Projects!$C$44&lt;=BD$4,BD$4&lt;=Projects!$C$44+Projects!$D$44-1),Projects!$B$44/Projects!$D$44,"")</f>
        <v/>
      </c>
      <c r="BE42" s="567">
        <f>IF(AND(Projects!$C$44&lt;=BE$4,BE$4&lt;=Projects!$C$44+Projects!$D$44-1),Projects!$B$44/Projects!$D$44,"")</f>
        <v/>
      </c>
      <c r="BF42" s="567">
        <f>IF(AND(Projects!$C$44&lt;=BF$4,BF$4&lt;=Projects!$C$44+Projects!$D$44-1),Projects!$B$44/Projects!$D$44,"")</f>
        <v/>
      </c>
      <c r="BG42" s="567">
        <f>IF(AND(Projects!$C$44&lt;=BG$4,BG$4&lt;=Projects!$C$44+Projects!$D$44-1),Projects!$B$44/Projects!$D$44,"")</f>
        <v/>
      </c>
      <c r="BH42" s="567">
        <f>IF(AND(Projects!$C$44&lt;=BH$4,BH$4&lt;=Projects!$C$44+Projects!$D$44-1),Projects!$B$44/Projects!$D$44,"")</f>
        <v/>
      </c>
      <c r="BI42" s="567">
        <f>IF(AND(Projects!$C$44&lt;=BI$4,BI$4&lt;=Projects!$C$44+Projects!$D$44-1),Projects!$B$44/Projects!$D$44,"")</f>
        <v/>
      </c>
      <c r="BJ42" s="567">
        <f>IF(AND(Projects!$C$44&lt;=BJ$4,BJ$4&lt;=Projects!$C$44+Projects!$D$44-1),Projects!$B$44/Projects!$D$44,"")</f>
        <v/>
      </c>
      <c r="BK42" s="567">
        <f>IF(AND(Projects!$C$44&lt;=BK$4,BK$4&lt;=Projects!$C$44+Projects!$D$44-1),Projects!$B$44/Projects!$D$44,"")</f>
        <v/>
      </c>
      <c r="BL42" s="567">
        <f>IF(AND(Projects!$C$44&lt;=BL$4,BL$4&lt;=Projects!$C$44+Projects!$D$44-1),Projects!$B$44/Projects!$D$44,"")</f>
        <v/>
      </c>
      <c r="BM42" s="567">
        <f>IF(AND(Projects!$C$44&lt;=BM$4,BM$4&lt;=Projects!$C$44+Projects!$D$44-1),Projects!$B$44/Projects!$D$44,"")</f>
        <v/>
      </c>
      <c r="BN42" s="567">
        <f>IF(AND(Projects!$C$44&lt;=BN$4,BN$4&lt;=Projects!$C$44+Projects!$D$44-1),Projects!$B$44/Projects!$D$44,"")</f>
        <v/>
      </c>
      <c r="BO42" s="567">
        <f>IF(AND(Projects!$C$44&lt;=BO$4,BO$4&lt;=Projects!$C$44+Projects!$D$44-1),Projects!$B$44/Projects!$D$44,"")</f>
        <v/>
      </c>
      <c r="BP42" s="567">
        <f>IF(AND(Projects!$C$44&lt;=BP$4,BP$4&lt;=Projects!$C$44+Projects!$D$44-1),Projects!$B$44/Projects!$D$44,"")</f>
        <v/>
      </c>
      <c r="BQ42" s="567">
        <f>IF(AND(Projects!$C$44&lt;=BQ$4,BQ$4&lt;=Projects!$C$44+Projects!$D$44-1),Projects!$B$44/Projects!$D$44,"")</f>
        <v/>
      </c>
      <c r="BR42" s="567">
        <f>IF(AND(Projects!$C$44&lt;=BR$4,BR$4&lt;=Projects!$C$44+Projects!$D$44-1),Projects!$B$44/Projects!$D$44,"")</f>
        <v/>
      </c>
      <c r="BS42" s="567">
        <f>IF(AND(Projects!$C$44&lt;=BS$4,BS$4&lt;=Projects!$C$44+Projects!$D$44-1),Projects!$B$44/Projects!$D$44,"")</f>
        <v/>
      </c>
      <c r="BT42" s="567">
        <f>IF(AND(Projects!$C$44&lt;=BT$4,BT$4&lt;=Projects!$C$44+Projects!$D$44-1),Projects!$B$44/Projects!$D$44,"")</f>
        <v/>
      </c>
      <c r="BU42" s="567">
        <f>IF(AND(Projects!$C$44&lt;=BU$4,BU$4&lt;=Projects!$C$44+Projects!$D$44-1),Projects!$B$44/Projects!$D$44,"")</f>
        <v/>
      </c>
      <c r="BV42" s="567">
        <f>IF(AND(Projects!$C$44&lt;=BV$4,BV$4&lt;=Projects!$C$44+Projects!$D$44-1),Projects!$B$44/Projects!$D$44,"")</f>
        <v/>
      </c>
      <c r="BW42" s="567">
        <f>IF(AND(Projects!$C$44&lt;=BW$4,BW$4&lt;=Projects!$C$44+Projects!$D$44-1),Projects!$B$44/Projects!$D$44,"")</f>
        <v/>
      </c>
      <c r="BX42" s="567">
        <f>IF(AND(Projects!$C$44&lt;=BX$4,BX$4&lt;=Projects!$C$44+Projects!$D$44-1),Projects!$B$44/Projects!$D$44,"")</f>
        <v/>
      </c>
      <c r="BY42" s="567">
        <f>IF(AND(Projects!$C$44&lt;=BY$4,BY$4&lt;=Projects!$C$44+Projects!$D$44-1),Projects!$B$44/Projects!$D$44,"")</f>
        <v/>
      </c>
      <c r="BZ42" s="567">
        <f>IF(AND(Projects!$C$44&lt;=BZ$4,BZ$4&lt;=Projects!$C$44+Projects!$D$44-1),Projects!$B$44/Projects!$D$44,"")</f>
        <v/>
      </c>
      <c r="CA42" s="567">
        <f>IF(AND(Projects!$C$44&lt;=CA$4,CA$4&lt;=Projects!$C$44+Projects!$D$44-1),Projects!$B$44/Projects!$D$44,"")</f>
        <v/>
      </c>
      <c r="CB42" s="567">
        <f>IF(AND(Projects!$C$44&lt;=CB$4,CB$4&lt;=Projects!$C$44+Projects!$D$44-1),Projects!$B$44/Projects!$D$44,"")</f>
        <v/>
      </c>
      <c r="CC42" s="567">
        <f>IF(AND(Projects!$C$44&lt;=CC$4,CC$4&lt;=Projects!$C$44+Projects!$D$44-1),Projects!$B$44/Projects!$D$44,"")</f>
        <v/>
      </c>
      <c r="CD42" s="567">
        <f>IF(AND(Projects!$C$44&lt;=CD$4,CD$4&lt;=Projects!$C$44+Projects!$D$44-1),Projects!$B$44/Projects!$D$44,"")</f>
        <v/>
      </c>
      <c r="CE42" s="567">
        <f>IF(AND(Projects!$C$44&lt;=CE$4,CE$4&lt;=Projects!$C$44+Projects!$D$44-1),Projects!$B$44/Projects!$D$44,"")</f>
        <v/>
      </c>
      <c r="CF42" s="567">
        <f>IF(AND(Projects!$C$44&lt;=CF$4,CF$4&lt;=Projects!$C$44+Projects!$D$44-1),Projects!$B$44/Projects!$D$44,"")</f>
        <v/>
      </c>
      <c r="CG42" s="567">
        <f>IF(AND(Projects!$C$44&lt;=CG$4,CG$4&lt;=Projects!$C$44+Projects!$D$44-1),Projects!$B$44/Projects!$D$44,"")</f>
        <v/>
      </c>
      <c r="CH42" s="567">
        <f>IF(AND(Projects!$C$44&lt;=CH$4,CH$4&lt;=Projects!$C$44+Projects!$D$44-1),Projects!$B$44/Projects!$D$44,"")</f>
        <v/>
      </c>
      <c r="CI42" s="567">
        <f>IF(AND(Projects!$C$44&lt;=CI$4,CI$4&lt;=Projects!$C$44+Projects!$D$44-1),Projects!$B$44/Projects!$D$44,"")</f>
        <v/>
      </c>
      <c r="CJ42" s="567">
        <f>IF(AND(Projects!$C$44&lt;=CJ$4,CJ$4&lt;=Projects!$C$44+Projects!$D$44-1),Projects!$B$44/Projects!$D$44,"")</f>
        <v/>
      </c>
      <c r="CK42" s="567">
        <f>IF(AND(Projects!$C$44&lt;=CK$4,CK$4&lt;=Projects!$C$44+Projects!$D$44-1),Projects!$B$44/Projects!$D$44,"")</f>
        <v/>
      </c>
      <c r="CL42" s="567">
        <f>IF(AND(Projects!$C$44&lt;=CL$4,CL$4&lt;=Projects!$C$44+Projects!$D$44-1),Projects!$B$44/Projects!$D$44,"")</f>
        <v/>
      </c>
      <c r="CM42" s="567">
        <f>IF(AND(Projects!$C$44&lt;=CM$4,CM$4&lt;=Projects!$C$44+Projects!$D$44-1),Projects!$B$44/Projects!$D$44,"")</f>
        <v/>
      </c>
      <c r="CN42" s="567">
        <f>IF(AND(Projects!$C$44&lt;=CN$4,CN$4&lt;=Projects!$C$44+Projects!$D$44-1),Projects!$B$44/Projects!$D$44,"")</f>
        <v/>
      </c>
      <c r="CO42" s="567">
        <f>IF(AND(Projects!$C$44&lt;=CO$4,CO$4&lt;=Projects!$C$44+Projects!$D$44-1),Projects!$B$44/Projects!$D$44,"")</f>
        <v/>
      </c>
      <c r="CP42" s="567">
        <f>IF(AND(Projects!$C$44&lt;=CP$4,CP$4&lt;=Projects!$C$44+Projects!$D$44-1),Projects!$B$44/Projects!$D$44,"")</f>
        <v/>
      </c>
      <c r="CQ42" s="567">
        <f>IF(AND(Projects!$C$44&lt;=CQ$4,CQ$4&lt;=Projects!$C$44+Projects!$D$44-1),Projects!$B$44/Projects!$D$44,"")</f>
        <v/>
      </c>
      <c r="CR42" s="567">
        <f>IF(AND(Projects!$C$44&lt;=CR$4,CR$4&lt;=Projects!$C$44+Projects!$D$44-1),Projects!$B$44/Projects!$D$44,"")</f>
        <v/>
      </c>
      <c r="CS42" s="567">
        <f>IF(AND(Projects!$C$44&lt;=CS$4,CS$4&lt;=Projects!$C$44+Projects!$D$44-1),Projects!$B$44/Projects!$D$44,"")</f>
        <v/>
      </c>
      <c r="CT42" s="567">
        <f>IF(AND(Projects!$C$44&lt;=CT$4,CT$4&lt;=Projects!$C$44+Projects!$D$44-1),Projects!$B$44/Projects!$D$44,"")</f>
        <v/>
      </c>
      <c r="CU42" s="567">
        <f>IF(AND(Projects!$C$44&lt;=CU$4,CU$4&lt;=Projects!$C$44+Projects!$D$44-1),Projects!$B$44/Projects!$D$44,"")</f>
        <v/>
      </c>
      <c r="CV42" s="567">
        <f>IF(AND(Projects!$C$44&lt;=CV$4,CV$4&lt;=Projects!$C$44+Projects!$D$44-1),Projects!$B$44/Projects!$D$44,"")</f>
        <v/>
      </c>
      <c r="CW42" s="567">
        <f>IF(AND(Projects!$C$44&lt;=CW$4,CW$4&lt;=Projects!$C$44+Projects!$D$44-1),Projects!$B$44/Projects!$D$44,"")</f>
        <v/>
      </c>
      <c r="CX42" s="567">
        <f>IF(AND(Projects!$C$44&lt;=CX$4,CX$4&lt;=Projects!$C$44+Projects!$D$44-1),Projects!$B$44/Projects!$D$44,"")</f>
        <v/>
      </c>
      <c r="CY42" s="567">
        <f>IF(AND(Projects!$C$44&lt;=CY$4,CY$4&lt;=Projects!$C$44+Projects!$D$44-1),Projects!$B$44/Projects!$D$44,"")</f>
        <v/>
      </c>
      <c r="CZ42" s="567">
        <f>IF(AND(Projects!$C$44&lt;=CZ$4,CZ$4&lt;=Projects!$C$44+Projects!$D$44-1),Projects!$B$44/Projects!$D$44,"")</f>
        <v/>
      </c>
      <c r="DA42" s="567">
        <f>IF(AND(Projects!$C$44&lt;=DA$4,DA$4&lt;=Projects!$C$44+Projects!$D$44-1),Projects!$B$44/Projects!$D$44,"")</f>
        <v/>
      </c>
      <c r="DB42" s="567">
        <f>IF(AND(Projects!$C$44&lt;=DB$4,DB$4&lt;=Projects!$C$44+Projects!$D$44-1),Projects!$B$44/Projects!$D$44,"")</f>
        <v/>
      </c>
    </row>
    <row r="43" ht="15" customFormat="1" customHeight="1" s="380">
      <c r="A43" s="563" t="inlineStr">
        <is>
          <t>BD-29</t>
        </is>
      </c>
      <c r="B43" s="564">
        <f>Projects!$B$45</f>
        <v/>
      </c>
      <c r="C43" s="565">
        <f>EDATE(Model!$E$2,Projects!$C$45-1)</f>
        <v/>
      </c>
      <c r="D43" s="565">
        <f>EDATE(Model!$E$2,Projects!$C$45+Projects!$D$45-2)</f>
        <v/>
      </c>
      <c r="E43" s="566">
        <f>Projects!$D$45</f>
        <v/>
      </c>
      <c r="F43" s="564">
        <f>Projects!$B$45/Projects!$D$45</f>
        <v/>
      </c>
      <c r="G43" s="567">
        <f>IF(AND(Projects!$C$45&lt;=G$4,G$4&lt;=Projects!$C$45+Projects!$D$45-1),Projects!$B$45/Projects!$D$45,"")</f>
        <v/>
      </c>
      <c r="H43" s="567">
        <f>IF(AND(Projects!$C$45&lt;=H$4,H$4&lt;=Projects!$C$45+Projects!$D$45-1),Projects!$B$45/Projects!$D$45,"")</f>
        <v/>
      </c>
      <c r="I43" s="567">
        <f>IF(AND(Projects!$C$45&lt;=I$4,I$4&lt;=Projects!$C$45+Projects!$D$45-1),Projects!$B$45/Projects!$D$45,"")</f>
        <v/>
      </c>
      <c r="J43" s="567">
        <f>IF(AND(Projects!$C$45&lt;=J$4,J$4&lt;=Projects!$C$45+Projects!$D$45-1),Projects!$B$45/Projects!$D$45,"")</f>
        <v/>
      </c>
      <c r="K43" s="567">
        <f>IF(AND(Projects!$C$45&lt;=K$4,K$4&lt;=Projects!$C$45+Projects!$D$45-1),Projects!$B$45/Projects!$D$45,"")</f>
        <v/>
      </c>
      <c r="L43" s="567">
        <f>IF(AND(Projects!$C$45&lt;=L$4,L$4&lt;=Projects!$C$45+Projects!$D$45-1),Projects!$B$45/Projects!$D$45,"")</f>
        <v/>
      </c>
      <c r="M43" s="567">
        <f>IF(AND(Projects!$C$45&lt;=M$4,M$4&lt;=Projects!$C$45+Projects!$D$45-1),Projects!$B$45/Projects!$D$45,"")</f>
        <v/>
      </c>
      <c r="N43" s="567">
        <f>IF(AND(Projects!$C$45&lt;=N$4,N$4&lt;=Projects!$C$45+Projects!$D$45-1),Projects!$B$45/Projects!$D$45,"")</f>
        <v/>
      </c>
      <c r="O43" s="567">
        <f>IF(AND(Projects!$C$45&lt;=O$4,O$4&lt;=Projects!$C$45+Projects!$D$45-1),Projects!$B$45/Projects!$D$45,"")</f>
        <v/>
      </c>
      <c r="P43" s="567">
        <f>IF(AND(Projects!$C$45&lt;=P$4,P$4&lt;=Projects!$C$45+Projects!$D$45-1),Projects!$B$45/Projects!$D$45,"")</f>
        <v/>
      </c>
      <c r="Q43" s="567">
        <f>IF(AND(Projects!$C$45&lt;=Q$4,Q$4&lt;=Projects!$C$45+Projects!$D$45-1),Projects!$B$45/Projects!$D$45,"")</f>
        <v/>
      </c>
      <c r="R43" s="567">
        <f>IF(AND(Projects!$C$45&lt;=R$4,R$4&lt;=Projects!$C$45+Projects!$D$45-1),Projects!$B$45/Projects!$D$45,"")</f>
        <v/>
      </c>
      <c r="S43" s="567">
        <f>IF(AND(Projects!$C$45&lt;=S$4,S$4&lt;=Projects!$C$45+Projects!$D$45-1),Projects!$B$45/Projects!$D$45,"")</f>
        <v/>
      </c>
      <c r="T43" s="567">
        <f>IF(AND(Projects!$C$45&lt;=T$4,T$4&lt;=Projects!$C$45+Projects!$D$45-1),Projects!$B$45/Projects!$D$45,"")</f>
        <v/>
      </c>
      <c r="U43" s="567">
        <f>IF(AND(Projects!$C$45&lt;=U$4,U$4&lt;=Projects!$C$45+Projects!$D$45-1),Projects!$B$45/Projects!$D$45,"")</f>
        <v/>
      </c>
      <c r="V43" s="567">
        <f>IF(AND(Projects!$C$45&lt;=V$4,V$4&lt;=Projects!$C$45+Projects!$D$45-1),Projects!$B$45/Projects!$D$45,"")</f>
        <v/>
      </c>
      <c r="W43" s="567">
        <f>IF(AND(Projects!$C$45&lt;=W$4,W$4&lt;=Projects!$C$45+Projects!$D$45-1),Projects!$B$45/Projects!$D$45,"")</f>
        <v/>
      </c>
      <c r="X43" s="567">
        <f>IF(AND(Projects!$C$45&lt;=X$4,X$4&lt;=Projects!$C$45+Projects!$D$45-1),Projects!$B$45/Projects!$D$45,"")</f>
        <v/>
      </c>
      <c r="Y43" s="567">
        <f>IF(AND(Projects!$C$45&lt;=Y$4,Y$4&lt;=Projects!$C$45+Projects!$D$45-1),Projects!$B$45/Projects!$D$45,"")</f>
        <v/>
      </c>
      <c r="Z43" s="567">
        <f>IF(AND(Projects!$C$45&lt;=Z$4,Z$4&lt;=Projects!$C$45+Projects!$D$45-1),Projects!$B$45/Projects!$D$45,"")</f>
        <v/>
      </c>
      <c r="AA43" s="567">
        <f>IF(AND(Projects!$C$45&lt;=AA$4,AA$4&lt;=Projects!$C$45+Projects!$D$45-1),Projects!$B$45/Projects!$D$45,"")</f>
        <v/>
      </c>
      <c r="AB43" s="567">
        <f>IF(AND(Projects!$C$45&lt;=AB$4,AB$4&lt;=Projects!$C$45+Projects!$D$45-1),Projects!$B$45/Projects!$D$45,"")</f>
        <v/>
      </c>
      <c r="AC43" s="567">
        <f>IF(AND(Projects!$C$45&lt;=AC$4,AC$4&lt;=Projects!$C$45+Projects!$D$45-1),Projects!$B$45/Projects!$D$45,"")</f>
        <v/>
      </c>
      <c r="AD43" s="567">
        <f>IF(AND(Projects!$C$45&lt;=AD$4,AD$4&lt;=Projects!$C$45+Projects!$D$45-1),Projects!$B$45/Projects!$D$45,"")</f>
        <v/>
      </c>
      <c r="AE43" s="567">
        <f>IF(AND(Projects!$C$45&lt;=AE$4,AE$4&lt;=Projects!$C$45+Projects!$D$45-1),Projects!$B$45/Projects!$D$45,"")</f>
        <v/>
      </c>
      <c r="AF43" s="567">
        <f>IF(AND(Projects!$C$45&lt;=AF$4,AF$4&lt;=Projects!$C$45+Projects!$D$45-1),Projects!$B$45/Projects!$D$45,"")</f>
        <v/>
      </c>
      <c r="AG43" s="567">
        <f>IF(AND(Projects!$C$45&lt;=AG$4,AG$4&lt;=Projects!$C$45+Projects!$D$45-1),Projects!$B$45/Projects!$D$45,"")</f>
        <v/>
      </c>
      <c r="AH43" s="567">
        <f>IF(AND(Projects!$C$45&lt;=AH$4,AH$4&lt;=Projects!$C$45+Projects!$D$45-1),Projects!$B$45/Projects!$D$45,"")</f>
        <v/>
      </c>
      <c r="AI43" s="567">
        <f>IF(AND(Projects!$C$45&lt;=AI$4,AI$4&lt;=Projects!$C$45+Projects!$D$45-1),Projects!$B$45/Projects!$D$45,"")</f>
        <v/>
      </c>
      <c r="AJ43" s="567">
        <f>IF(AND(Projects!$C$45&lt;=AJ$4,AJ$4&lt;=Projects!$C$45+Projects!$D$45-1),Projects!$B$45/Projects!$D$45,"")</f>
        <v/>
      </c>
      <c r="AK43" s="567">
        <f>IF(AND(Projects!$C$45&lt;=AK$4,AK$4&lt;=Projects!$C$45+Projects!$D$45-1),Projects!$B$45/Projects!$D$45,"")</f>
        <v/>
      </c>
      <c r="AL43" s="567">
        <f>IF(AND(Projects!$C$45&lt;=AL$4,AL$4&lt;=Projects!$C$45+Projects!$D$45-1),Projects!$B$45/Projects!$D$45,"")</f>
        <v/>
      </c>
      <c r="AM43" s="567">
        <f>IF(AND(Projects!$C$45&lt;=AM$4,AM$4&lt;=Projects!$C$45+Projects!$D$45-1),Projects!$B$45/Projects!$D$45,"")</f>
        <v/>
      </c>
      <c r="AN43" s="567">
        <f>IF(AND(Projects!$C$45&lt;=AN$4,AN$4&lt;=Projects!$C$45+Projects!$D$45-1),Projects!$B$45/Projects!$D$45,"")</f>
        <v/>
      </c>
      <c r="AO43" s="567">
        <f>IF(AND(Projects!$C$45&lt;=AO$4,AO$4&lt;=Projects!$C$45+Projects!$D$45-1),Projects!$B$45/Projects!$D$45,"")</f>
        <v/>
      </c>
      <c r="AP43" s="567">
        <f>IF(AND(Projects!$C$45&lt;=AP$4,AP$4&lt;=Projects!$C$45+Projects!$D$45-1),Projects!$B$45/Projects!$D$45,"")</f>
        <v/>
      </c>
      <c r="AQ43" s="567">
        <f>IF(AND(Projects!$C$45&lt;=AQ$4,AQ$4&lt;=Projects!$C$45+Projects!$D$45-1),Projects!$B$45/Projects!$D$45,"")</f>
        <v/>
      </c>
      <c r="AR43" s="567">
        <f>IF(AND(Projects!$C$45&lt;=AR$4,AR$4&lt;=Projects!$C$45+Projects!$D$45-1),Projects!$B$45/Projects!$D$45,"")</f>
        <v/>
      </c>
      <c r="AS43" s="567">
        <f>IF(AND(Projects!$C$45&lt;=AS$4,AS$4&lt;=Projects!$C$45+Projects!$D$45-1),Projects!$B$45/Projects!$D$45,"")</f>
        <v/>
      </c>
      <c r="AT43" s="567">
        <f>IF(AND(Projects!$C$45&lt;=AT$4,AT$4&lt;=Projects!$C$45+Projects!$D$45-1),Projects!$B$45/Projects!$D$45,"")</f>
        <v/>
      </c>
      <c r="AU43" s="567">
        <f>IF(AND(Projects!$C$45&lt;=AU$4,AU$4&lt;=Projects!$C$45+Projects!$D$45-1),Projects!$B$45/Projects!$D$45,"")</f>
        <v/>
      </c>
      <c r="AV43" s="567">
        <f>IF(AND(Projects!$C$45&lt;=AV$4,AV$4&lt;=Projects!$C$45+Projects!$D$45-1),Projects!$B$45/Projects!$D$45,"")</f>
        <v/>
      </c>
      <c r="AW43" s="567">
        <f>IF(AND(Projects!$C$45&lt;=AW$4,AW$4&lt;=Projects!$C$45+Projects!$D$45-1),Projects!$B$45/Projects!$D$45,"")</f>
        <v/>
      </c>
      <c r="AX43" s="567">
        <f>IF(AND(Projects!$C$45&lt;=AX$4,AX$4&lt;=Projects!$C$45+Projects!$D$45-1),Projects!$B$45/Projects!$D$45,"")</f>
        <v/>
      </c>
      <c r="AY43" s="567">
        <f>IF(AND(Projects!$C$45&lt;=AY$4,AY$4&lt;=Projects!$C$45+Projects!$D$45-1),Projects!$B$45/Projects!$D$45,"")</f>
        <v/>
      </c>
      <c r="AZ43" s="567">
        <f>IF(AND(Projects!$C$45&lt;=AZ$4,AZ$4&lt;=Projects!$C$45+Projects!$D$45-1),Projects!$B$45/Projects!$D$45,"")</f>
        <v/>
      </c>
      <c r="BA43" s="567">
        <f>IF(AND(Projects!$C$45&lt;=BA$4,BA$4&lt;=Projects!$C$45+Projects!$D$45-1),Projects!$B$45/Projects!$D$45,"")</f>
        <v/>
      </c>
      <c r="BB43" s="567">
        <f>IF(AND(Projects!$C$45&lt;=BB$4,BB$4&lt;=Projects!$C$45+Projects!$D$45-1),Projects!$B$45/Projects!$D$45,"")</f>
        <v/>
      </c>
      <c r="BC43" s="567">
        <f>IF(AND(Projects!$C$45&lt;=BC$4,BC$4&lt;=Projects!$C$45+Projects!$D$45-1),Projects!$B$45/Projects!$D$45,"")</f>
        <v/>
      </c>
      <c r="BD43" s="567">
        <f>IF(AND(Projects!$C$45&lt;=BD$4,BD$4&lt;=Projects!$C$45+Projects!$D$45-1),Projects!$B$45/Projects!$D$45,"")</f>
        <v/>
      </c>
      <c r="BE43" s="567">
        <f>IF(AND(Projects!$C$45&lt;=BE$4,BE$4&lt;=Projects!$C$45+Projects!$D$45-1),Projects!$B$45/Projects!$D$45,"")</f>
        <v/>
      </c>
      <c r="BF43" s="567">
        <f>IF(AND(Projects!$C$45&lt;=BF$4,BF$4&lt;=Projects!$C$45+Projects!$D$45-1),Projects!$B$45/Projects!$D$45,"")</f>
        <v/>
      </c>
      <c r="BG43" s="567">
        <f>IF(AND(Projects!$C$45&lt;=BG$4,BG$4&lt;=Projects!$C$45+Projects!$D$45-1),Projects!$B$45/Projects!$D$45,"")</f>
        <v/>
      </c>
      <c r="BH43" s="567">
        <f>IF(AND(Projects!$C$45&lt;=BH$4,BH$4&lt;=Projects!$C$45+Projects!$D$45-1),Projects!$B$45/Projects!$D$45,"")</f>
        <v/>
      </c>
      <c r="BI43" s="567">
        <f>IF(AND(Projects!$C$45&lt;=BI$4,BI$4&lt;=Projects!$C$45+Projects!$D$45-1),Projects!$B$45/Projects!$D$45,"")</f>
        <v/>
      </c>
      <c r="BJ43" s="567">
        <f>IF(AND(Projects!$C$45&lt;=BJ$4,BJ$4&lt;=Projects!$C$45+Projects!$D$45-1),Projects!$B$45/Projects!$D$45,"")</f>
        <v/>
      </c>
      <c r="BK43" s="567">
        <f>IF(AND(Projects!$C$45&lt;=BK$4,BK$4&lt;=Projects!$C$45+Projects!$D$45-1),Projects!$B$45/Projects!$D$45,"")</f>
        <v/>
      </c>
      <c r="BL43" s="567">
        <f>IF(AND(Projects!$C$45&lt;=BL$4,BL$4&lt;=Projects!$C$45+Projects!$D$45-1),Projects!$B$45/Projects!$D$45,"")</f>
        <v/>
      </c>
      <c r="BM43" s="567">
        <f>IF(AND(Projects!$C$45&lt;=BM$4,BM$4&lt;=Projects!$C$45+Projects!$D$45-1),Projects!$B$45/Projects!$D$45,"")</f>
        <v/>
      </c>
      <c r="BN43" s="567">
        <f>IF(AND(Projects!$C$45&lt;=BN$4,BN$4&lt;=Projects!$C$45+Projects!$D$45-1),Projects!$B$45/Projects!$D$45,"")</f>
        <v/>
      </c>
      <c r="BO43" s="567">
        <f>IF(AND(Projects!$C$45&lt;=BO$4,BO$4&lt;=Projects!$C$45+Projects!$D$45-1),Projects!$B$45/Projects!$D$45,"")</f>
        <v/>
      </c>
      <c r="BP43" s="567">
        <f>IF(AND(Projects!$C$45&lt;=BP$4,BP$4&lt;=Projects!$C$45+Projects!$D$45-1),Projects!$B$45/Projects!$D$45,"")</f>
        <v/>
      </c>
      <c r="BQ43" s="567">
        <f>IF(AND(Projects!$C$45&lt;=BQ$4,BQ$4&lt;=Projects!$C$45+Projects!$D$45-1),Projects!$B$45/Projects!$D$45,"")</f>
        <v/>
      </c>
      <c r="BR43" s="567">
        <f>IF(AND(Projects!$C$45&lt;=BR$4,BR$4&lt;=Projects!$C$45+Projects!$D$45-1),Projects!$B$45/Projects!$D$45,"")</f>
        <v/>
      </c>
      <c r="BS43" s="567">
        <f>IF(AND(Projects!$C$45&lt;=BS$4,BS$4&lt;=Projects!$C$45+Projects!$D$45-1),Projects!$B$45/Projects!$D$45,"")</f>
        <v/>
      </c>
      <c r="BT43" s="567">
        <f>IF(AND(Projects!$C$45&lt;=BT$4,BT$4&lt;=Projects!$C$45+Projects!$D$45-1),Projects!$B$45/Projects!$D$45,"")</f>
        <v/>
      </c>
      <c r="BU43" s="567">
        <f>IF(AND(Projects!$C$45&lt;=BU$4,BU$4&lt;=Projects!$C$45+Projects!$D$45-1),Projects!$B$45/Projects!$D$45,"")</f>
        <v/>
      </c>
      <c r="BV43" s="567">
        <f>IF(AND(Projects!$C$45&lt;=BV$4,BV$4&lt;=Projects!$C$45+Projects!$D$45-1),Projects!$B$45/Projects!$D$45,"")</f>
        <v/>
      </c>
      <c r="BW43" s="567">
        <f>IF(AND(Projects!$C$45&lt;=BW$4,BW$4&lt;=Projects!$C$45+Projects!$D$45-1),Projects!$B$45/Projects!$D$45,"")</f>
        <v/>
      </c>
      <c r="BX43" s="567">
        <f>IF(AND(Projects!$C$45&lt;=BX$4,BX$4&lt;=Projects!$C$45+Projects!$D$45-1),Projects!$B$45/Projects!$D$45,"")</f>
        <v/>
      </c>
      <c r="BY43" s="567">
        <f>IF(AND(Projects!$C$45&lt;=BY$4,BY$4&lt;=Projects!$C$45+Projects!$D$45-1),Projects!$B$45/Projects!$D$45,"")</f>
        <v/>
      </c>
      <c r="BZ43" s="567">
        <f>IF(AND(Projects!$C$45&lt;=BZ$4,BZ$4&lt;=Projects!$C$45+Projects!$D$45-1),Projects!$B$45/Projects!$D$45,"")</f>
        <v/>
      </c>
      <c r="CA43" s="567">
        <f>IF(AND(Projects!$C$45&lt;=CA$4,CA$4&lt;=Projects!$C$45+Projects!$D$45-1),Projects!$B$45/Projects!$D$45,"")</f>
        <v/>
      </c>
      <c r="CB43" s="567">
        <f>IF(AND(Projects!$C$45&lt;=CB$4,CB$4&lt;=Projects!$C$45+Projects!$D$45-1),Projects!$B$45/Projects!$D$45,"")</f>
        <v/>
      </c>
      <c r="CC43" s="567">
        <f>IF(AND(Projects!$C$45&lt;=CC$4,CC$4&lt;=Projects!$C$45+Projects!$D$45-1),Projects!$B$45/Projects!$D$45,"")</f>
        <v/>
      </c>
      <c r="CD43" s="567">
        <f>IF(AND(Projects!$C$45&lt;=CD$4,CD$4&lt;=Projects!$C$45+Projects!$D$45-1),Projects!$B$45/Projects!$D$45,"")</f>
        <v/>
      </c>
      <c r="CE43" s="567">
        <f>IF(AND(Projects!$C$45&lt;=CE$4,CE$4&lt;=Projects!$C$45+Projects!$D$45-1),Projects!$B$45/Projects!$D$45,"")</f>
        <v/>
      </c>
      <c r="CF43" s="567">
        <f>IF(AND(Projects!$C$45&lt;=CF$4,CF$4&lt;=Projects!$C$45+Projects!$D$45-1),Projects!$B$45/Projects!$D$45,"")</f>
        <v/>
      </c>
      <c r="CG43" s="567">
        <f>IF(AND(Projects!$C$45&lt;=CG$4,CG$4&lt;=Projects!$C$45+Projects!$D$45-1),Projects!$B$45/Projects!$D$45,"")</f>
        <v/>
      </c>
      <c r="CH43" s="567">
        <f>IF(AND(Projects!$C$45&lt;=CH$4,CH$4&lt;=Projects!$C$45+Projects!$D$45-1),Projects!$B$45/Projects!$D$45,"")</f>
        <v/>
      </c>
      <c r="CI43" s="567">
        <f>IF(AND(Projects!$C$45&lt;=CI$4,CI$4&lt;=Projects!$C$45+Projects!$D$45-1),Projects!$B$45/Projects!$D$45,"")</f>
        <v/>
      </c>
      <c r="CJ43" s="567">
        <f>IF(AND(Projects!$C$45&lt;=CJ$4,CJ$4&lt;=Projects!$C$45+Projects!$D$45-1),Projects!$B$45/Projects!$D$45,"")</f>
        <v/>
      </c>
      <c r="CK43" s="567">
        <f>IF(AND(Projects!$C$45&lt;=CK$4,CK$4&lt;=Projects!$C$45+Projects!$D$45-1),Projects!$B$45/Projects!$D$45,"")</f>
        <v/>
      </c>
      <c r="CL43" s="567">
        <f>IF(AND(Projects!$C$45&lt;=CL$4,CL$4&lt;=Projects!$C$45+Projects!$D$45-1),Projects!$B$45/Projects!$D$45,"")</f>
        <v/>
      </c>
      <c r="CM43" s="567">
        <f>IF(AND(Projects!$C$45&lt;=CM$4,CM$4&lt;=Projects!$C$45+Projects!$D$45-1),Projects!$B$45/Projects!$D$45,"")</f>
        <v/>
      </c>
      <c r="CN43" s="567">
        <f>IF(AND(Projects!$C$45&lt;=CN$4,CN$4&lt;=Projects!$C$45+Projects!$D$45-1),Projects!$B$45/Projects!$D$45,"")</f>
        <v/>
      </c>
      <c r="CO43" s="567">
        <f>IF(AND(Projects!$C$45&lt;=CO$4,CO$4&lt;=Projects!$C$45+Projects!$D$45-1),Projects!$B$45/Projects!$D$45,"")</f>
        <v/>
      </c>
      <c r="CP43" s="567">
        <f>IF(AND(Projects!$C$45&lt;=CP$4,CP$4&lt;=Projects!$C$45+Projects!$D$45-1),Projects!$B$45/Projects!$D$45,"")</f>
        <v/>
      </c>
      <c r="CQ43" s="567">
        <f>IF(AND(Projects!$C$45&lt;=CQ$4,CQ$4&lt;=Projects!$C$45+Projects!$D$45-1),Projects!$B$45/Projects!$D$45,"")</f>
        <v/>
      </c>
      <c r="CR43" s="567">
        <f>IF(AND(Projects!$C$45&lt;=CR$4,CR$4&lt;=Projects!$C$45+Projects!$D$45-1),Projects!$B$45/Projects!$D$45,"")</f>
        <v/>
      </c>
      <c r="CS43" s="567">
        <f>IF(AND(Projects!$C$45&lt;=CS$4,CS$4&lt;=Projects!$C$45+Projects!$D$45-1),Projects!$B$45/Projects!$D$45,"")</f>
        <v/>
      </c>
      <c r="CT43" s="567">
        <f>IF(AND(Projects!$C$45&lt;=CT$4,CT$4&lt;=Projects!$C$45+Projects!$D$45-1),Projects!$B$45/Projects!$D$45,"")</f>
        <v/>
      </c>
      <c r="CU43" s="567">
        <f>IF(AND(Projects!$C$45&lt;=CU$4,CU$4&lt;=Projects!$C$45+Projects!$D$45-1),Projects!$B$45/Projects!$D$45,"")</f>
        <v/>
      </c>
      <c r="CV43" s="567">
        <f>IF(AND(Projects!$C$45&lt;=CV$4,CV$4&lt;=Projects!$C$45+Projects!$D$45-1),Projects!$B$45/Projects!$D$45,"")</f>
        <v/>
      </c>
      <c r="CW43" s="567">
        <f>IF(AND(Projects!$C$45&lt;=CW$4,CW$4&lt;=Projects!$C$45+Projects!$D$45-1),Projects!$B$45/Projects!$D$45,"")</f>
        <v/>
      </c>
      <c r="CX43" s="567">
        <f>IF(AND(Projects!$C$45&lt;=CX$4,CX$4&lt;=Projects!$C$45+Projects!$D$45-1),Projects!$B$45/Projects!$D$45,"")</f>
        <v/>
      </c>
      <c r="CY43" s="567">
        <f>IF(AND(Projects!$C$45&lt;=CY$4,CY$4&lt;=Projects!$C$45+Projects!$D$45-1),Projects!$B$45/Projects!$D$45,"")</f>
        <v/>
      </c>
      <c r="CZ43" s="567">
        <f>IF(AND(Projects!$C$45&lt;=CZ$4,CZ$4&lt;=Projects!$C$45+Projects!$D$45-1),Projects!$B$45/Projects!$D$45,"")</f>
        <v/>
      </c>
      <c r="DA43" s="567">
        <f>IF(AND(Projects!$C$45&lt;=DA$4,DA$4&lt;=Projects!$C$45+Projects!$D$45-1),Projects!$B$45/Projects!$D$45,"")</f>
        <v/>
      </c>
      <c r="DB43" s="567">
        <f>IF(AND(Projects!$C$45&lt;=DB$4,DB$4&lt;=Projects!$C$45+Projects!$D$45-1),Projects!$B$45/Projects!$D$45,"")</f>
        <v/>
      </c>
    </row>
    <row r="44" ht="15" customFormat="1" customHeight="1" s="380">
      <c r="A44" s="563" t="inlineStr">
        <is>
          <t>BD-30</t>
        </is>
      </c>
      <c r="B44" s="564">
        <f>Projects!$B$46</f>
        <v/>
      </c>
      <c r="C44" s="565">
        <f>EDATE(Model!$E$2,Projects!$C$46-1)</f>
        <v/>
      </c>
      <c r="D44" s="565">
        <f>EDATE(Model!$E$2,Projects!$C$46+Projects!$D$46-2)</f>
        <v/>
      </c>
      <c r="E44" s="566">
        <f>Projects!$D$46</f>
        <v/>
      </c>
      <c r="F44" s="564">
        <f>Projects!$B$46/Projects!$D$46</f>
        <v/>
      </c>
      <c r="G44" s="567">
        <f>IF(AND(Projects!$C$46&lt;=G$4,G$4&lt;=Projects!$C$46+Projects!$D$46-1),Projects!$B$46/Projects!$D$46,"")</f>
        <v/>
      </c>
      <c r="H44" s="567">
        <f>IF(AND(Projects!$C$46&lt;=H$4,H$4&lt;=Projects!$C$46+Projects!$D$46-1),Projects!$B$46/Projects!$D$46,"")</f>
        <v/>
      </c>
      <c r="I44" s="567">
        <f>IF(AND(Projects!$C$46&lt;=I$4,I$4&lt;=Projects!$C$46+Projects!$D$46-1),Projects!$B$46/Projects!$D$46,"")</f>
        <v/>
      </c>
      <c r="J44" s="567">
        <f>IF(AND(Projects!$C$46&lt;=J$4,J$4&lt;=Projects!$C$46+Projects!$D$46-1),Projects!$B$46/Projects!$D$46,"")</f>
        <v/>
      </c>
      <c r="K44" s="567">
        <f>IF(AND(Projects!$C$46&lt;=K$4,K$4&lt;=Projects!$C$46+Projects!$D$46-1),Projects!$B$46/Projects!$D$46,"")</f>
        <v/>
      </c>
      <c r="L44" s="567">
        <f>IF(AND(Projects!$C$46&lt;=L$4,L$4&lt;=Projects!$C$46+Projects!$D$46-1),Projects!$B$46/Projects!$D$46,"")</f>
        <v/>
      </c>
      <c r="M44" s="567">
        <f>IF(AND(Projects!$C$46&lt;=M$4,M$4&lt;=Projects!$C$46+Projects!$D$46-1),Projects!$B$46/Projects!$D$46,"")</f>
        <v/>
      </c>
      <c r="N44" s="567">
        <f>IF(AND(Projects!$C$46&lt;=N$4,N$4&lt;=Projects!$C$46+Projects!$D$46-1),Projects!$B$46/Projects!$D$46,"")</f>
        <v/>
      </c>
      <c r="O44" s="567">
        <f>IF(AND(Projects!$C$46&lt;=O$4,O$4&lt;=Projects!$C$46+Projects!$D$46-1),Projects!$B$46/Projects!$D$46,"")</f>
        <v/>
      </c>
      <c r="P44" s="567">
        <f>IF(AND(Projects!$C$46&lt;=P$4,P$4&lt;=Projects!$C$46+Projects!$D$46-1),Projects!$B$46/Projects!$D$46,"")</f>
        <v/>
      </c>
      <c r="Q44" s="567">
        <f>IF(AND(Projects!$C$46&lt;=Q$4,Q$4&lt;=Projects!$C$46+Projects!$D$46-1),Projects!$B$46/Projects!$D$46,"")</f>
        <v/>
      </c>
      <c r="R44" s="567">
        <f>IF(AND(Projects!$C$46&lt;=R$4,R$4&lt;=Projects!$C$46+Projects!$D$46-1),Projects!$B$46/Projects!$D$46,"")</f>
        <v/>
      </c>
      <c r="S44" s="567">
        <f>IF(AND(Projects!$C$46&lt;=S$4,S$4&lt;=Projects!$C$46+Projects!$D$46-1),Projects!$B$46/Projects!$D$46,"")</f>
        <v/>
      </c>
      <c r="T44" s="567">
        <f>IF(AND(Projects!$C$46&lt;=T$4,T$4&lt;=Projects!$C$46+Projects!$D$46-1),Projects!$B$46/Projects!$D$46,"")</f>
        <v/>
      </c>
      <c r="U44" s="567">
        <f>IF(AND(Projects!$C$46&lt;=U$4,U$4&lt;=Projects!$C$46+Projects!$D$46-1),Projects!$B$46/Projects!$D$46,"")</f>
        <v/>
      </c>
      <c r="V44" s="567">
        <f>IF(AND(Projects!$C$46&lt;=V$4,V$4&lt;=Projects!$C$46+Projects!$D$46-1),Projects!$B$46/Projects!$D$46,"")</f>
        <v/>
      </c>
      <c r="W44" s="567">
        <f>IF(AND(Projects!$C$46&lt;=W$4,W$4&lt;=Projects!$C$46+Projects!$D$46-1),Projects!$B$46/Projects!$D$46,"")</f>
        <v/>
      </c>
      <c r="X44" s="567">
        <f>IF(AND(Projects!$C$46&lt;=X$4,X$4&lt;=Projects!$C$46+Projects!$D$46-1),Projects!$B$46/Projects!$D$46,"")</f>
        <v/>
      </c>
      <c r="Y44" s="567">
        <f>IF(AND(Projects!$C$46&lt;=Y$4,Y$4&lt;=Projects!$C$46+Projects!$D$46-1),Projects!$B$46/Projects!$D$46,"")</f>
        <v/>
      </c>
      <c r="Z44" s="567">
        <f>IF(AND(Projects!$C$46&lt;=Z$4,Z$4&lt;=Projects!$C$46+Projects!$D$46-1),Projects!$B$46/Projects!$D$46,"")</f>
        <v/>
      </c>
      <c r="AA44" s="567">
        <f>IF(AND(Projects!$C$46&lt;=AA$4,AA$4&lt;=Projects!$C$46+Projects!$D$46-1),Projects!$B$46/Projects!$D$46,"")</f>
        <v/>
      </c>
      <c r="AB44" s="567">
        <f>IF(AND(Projects!$C$46&lt;=AB$4,AB$4&lt;=Projects!$C$46+Projects!$D$46-1),Projects!$B$46/Projects!$D$46,"")</f>
        <v/>
      </c>
      <c r="AC44" s="567">
        <f>IF(AND(Projects!$C$46&lt;=AC$4,AC$4&lt;=Projects!$C$46+Projects!$D$46-1),Projects!$B$46/Projects!$D$46,"")</f>
        <v/>
      </c>
      <c r="AD44" s="567">
        <f>IF(AND(Projects!$C$46&lt;=AD$4,AD$4&lt;=Projects!$C$46+Projects!$D$46-1),Projects!$B$46/Projects!$D$46,"")</f>
        <v/>
      </c>
      <c r="AE44" s="567">
        <f>IF(AND(Projects!$C$46&lt;=AE$4,AE$4&lt;=Projects!$C$46+Projects!$D$46-1),Projects!$B$46/Projects!$D$46,"")</f>
        <v/>
      </c>
      <c r="AF44" s="567">
        <f>IF(AND(Projects!$C$46&lt;=AF$4,AF$4&lt;=Projects!$C$46+Projects!$D$46-1),Projects!$B$46/Projects!$D$46,"")</f>
        <v/>
      </c>
      <c r="AG44" s="567">
        <f>IF(AND(Projects!$C$46&lt;=AG$4,AG$4&lt;=Projects!$C$46+Projects!$D$46-1),Projects!$B$46/Projects!$D$46,"")</f>
        <v/>
      </c>
      <c r="AH44" s="567">
        <f>IF(AND(Projects!$C$46&lt;=AH$4,AH$4&lt;=Projects!$C$46+Projects!$D$46-1),Projects!$B$46/Projects!$D$46,"")</f>
        <v/>
      </c>
      <c r="AI44" s="567">
        <f>IF(AND(Projects!$C$46&lt;=AI$4,AI$4&lt;=Projects!$C$46+Projects!$D$46-1),Projects!$B$46/Projects!$D$46,"")</f>
        <v/>
      </c>
      <c r="AJ44" s="567">
        <f>IF(AND(Projects!$C$46&lt;=AJ$4,AJ$4&lt;=Projects!$C$46+Projects!$D$46-1),Projects!$B$46/Projects!$D$46,"")</f>
        <v/>
      </c>
      <c r="AK44" s="567">
        <f>IF(AND(Projects!$C$46&lt;=AK$4,AK$4&lt;=Projects!$C$46+Projects!$D$46-1),Projects!$B$46/Projects!$D$46,"")</f>
        <v/>
      </c>
      <c r="AL44" s="567">
        <f>IF(AND(Projects!$C$46&lt;=AL$4,AL$4&lt;=Projects!$C$46+Projects!$D$46-1),Projects!$B$46/Projects!$D$46,"")</f>
        <v/>
      </c>
      <c r="AM44" s="567">
        <f>IF(AND(Projects!$C$46&lt;=AM$4,AM$4&lt;=Projects!$C$46+Projects!$D$46-1),Projects!$B$46/Projects!$D$46,"")</f>
        <v/>
      </c>
      <c r="AN44" s="567">
        <f>IF(AND(Projects!$C$46&lt;=AN$4,AN$4&lt;=Projects!$C$46+Projects!$D$46-1),Projects!$B$46/Projects!$D$46,"")</f>
        <v/>
      </c>
      <c r="AO44" s="567">
        <f>IF(AND(Projects!$C$46&lt;=AO$4,AO$4&lt;=Projects!$C$46+Projects!$D$46-1),Projects!$B$46/Projects!$D$46,"")</f>
        <v/>
      </c>
      <c r="AP44" s="567">
        <f>IF(AND(Projects!$C$46&lt;=AP$4,AP$4&lt;=Projects!$C$46+Projects!$D$46-1),Projects!$B$46/Projects!$D$46,"")</f>
        <v/>
      </c>
      <c r="AQ44" s="567">
        <f>IF(AND(Projects!$C$46&lt;=AQ$4,AQ$4&lt;=Projects!$C$46+Projects!$D$46-1),Projects!$B$46/Projects!$D$46,"")</f>
        <v/>
      </c>
      <c r="AR44" s="567">
        <f>IF(AND(Projects!$C$46&lt;=AR$4,AR$4&lt;=Projects!$C$46+Projects!$D$46-1),Projects!$B$46/Projects!$D$46,"")</f>
        <v/>
      </c>
      <c r="AS44" s="567">
        <f>IF(AND(Projects!$C$46&lt;=AS$4,AS$4&lt;=Projects!$C$46+Projects!$D$46-1),Projects!$B$46/Projects!$D$46,"")</f>
        <v/>
      </c>
      <c r="AT44" s="567">
        <f>IF(AND(Projects!$C$46&lt;=AT$4,AT$4&lt;=Projects!$C$46+Projects!$D$46-1),Projects!$B$46/Projects!$D$46,"")</f>
        <v/>
      </c>
      <c r="AU44" s="567">
        <f>IF(AND(Projects!$C$46&lt;=AU$4,AU$4&lt;=Projects!$C$46+Projects!$D$46-1),Projects!$B$46/Projects!$D$46,"")</f>
        <v/>
      </c>
      <c r="AV44" s="567">
        <f>IF(AND(Projects!$C$46&lt;=AV$4,AV$4&lt;=Projects!$C$46+Projects!$D$46-1),Projects!$B$46/Projects!$D$46,"")</f>
        <v/>
      </c>
      <c r="AW44" s="567">
        <f>IF(AND(Projects!$C$46&lt;=AW$4,AW$4&lt;=Projects!$C$46+Projects!$D$46-1),Projects!$B$46/Projects!$D$46,"")</f>
        <v/>
      </c>
      <c r="AX44" s="567">
        <f>IF(AND(Projects!$C$46&lt;=AX$4,AX$4&lt;=Projects!$C$46+Projects!$D$46-1),Projects!$B$46/Projects!$D$46,"")</f>
        <v/>
      </c>
      <c r="AY44" s="567">
        <f>IF(AND(Projects!$C$46&lt;=AY$4,AY$4&lt;=Projects!$C$46+Projects!$D$46-1),Projects!$B$46/Projects!$D$46,"")</f>
        <v/>
      </c>
      <c r="AZ44" s="567">
        <f>IF(AND(Projects!$C$46&lt;=AZ$4,AZ$4&lt;=Projects!$C$46+Projects!$D$46-1),Projects!$B$46/Projects!$D$46,"")</f>
        <v/>
      </c>
      <c r="BA44" s="567">
        <f>IF(AND(Projects!$C$46&lt;=BA$4,BA$4&lt;=Projects!$C$46+Projects!$D$46-1),Projects!$B$46/Projects!$D$46,"")</f>
        <v/>
      </c>
      <c r="BB44" s="567">
        <f>IF(AND(Projects!$C$46&lt;=BB$4,BB$4&lt;=Projects!$C$46+Projects!$D$46-1),Projects!$B$46/Projects!$D$46,"")</f>
        <v/>
      </c>
      <c r="BC44" s="567">
        <f>IF(AND(Projects!$C$46&lt;=BC$4,BC$4&lt;=Projects!$C$46+Projects!$D$46-1),Projects!$B$46/Projects!$D$46,"")</f>
        <v/>
      </c>
      <c r="BD44" s="567">
        <f>IF(AND(Projects!$C$46&lt;=BD$4,BD$4&lt;=Projects!$C$46+Projects!$D$46-1),Projects!$B$46/Projects!$D$46,"")</f>
        <v/>
      </c>
      <c r="BE44" s="567">
        <f>IF(AND(Projects!$C$46&lt;=BE$4,BE$4&lt;=Projects!$C$46+Projects!$D$46-1),Projects!$B$46/Projects!$D$46,"")</f>
        <v/>
      </c>
      <c r="BF44" s="567">
        <f>IF(AND(Projects!$C$46&lt;=BF$4,BF$4&lt;=Projects!$C$46+Projects!$D$46-1),Projects!$B$46/Projects!$D$46,"")</f>
        <v/>
      </c>
      <c r="BG44" s="567">
        <f>IF(AND(Projects!$C$46&lt;=BG$4,BG$4&lt;=Projects!$C$46+Projects!$D$46-1),Projects!$B$46/Projects!$D$46,"")</f>
        <v/>
      </c>
      <c r="BH44" s="567">
        <f>IF(AND(Projects!$C$46&lt;=BH$4,BH$4&lt;=Projects!$C$46+Projects!$D$46-1),Projects!$B$46/Projects!$D$46,"")</f>
        <v/>
      </c>
      <c r="BI44" s="567">
        <f>IF(AND(Projects!$C$46&lt;=BI$4,BI$4&lt;=Projects!$C$46+Projects!$D$46-1),Projects!$B$46/Projects!$D$46,"")</f>
        <v/>
      </c>
      <c r="BJ44" s="567">
        <f>IF(AND(Projects!$C$46&lt;=BJ$4,BJ$4&lt;=Projects!$C$46+Projects!$D$46-1),Projects!$B$46/Projects!$D$46,"")</f>
        <v/>
      </c>
      <c r="BK44" s="567">
        <f>IF(AND(Projects!$C$46&lt;=BK$4,BK$4&lt;=Projects!$C$46+Projects!$D$46-1),Projects!$B$46/Projects!$D$46,"")</f>
        <v/>
      </c>
      <c r="BL44" s="567">
        <f>IF(AND(Projects!$C$46&lt;=BL$4,BL$4&lt;=Projects!$C$46+Projects!$D$46-1),Projects!$B$46/Projects!$D$46,"")</f>
        <v/>
      </c>
      <c r="BM44" s="567">
        <f>IF(AND(Projects!$C$46&lt;=BM$4,BM$4&lt;=Projects!$C$46+Projects!$D$46-1),Projects!$B$46/Projects!$D$46,"")</f>
        <v/>
      </c>
      <c r="BN44" s="567">
        <f>IF(AND(Projects!$C$46&lt;=BN$4,BN$4&lt;=Projects!$C$46+Projects!$D$46-1),Projects!$B$46/Projects!$D$46,"")</f>
        <v/>
      </c>
      <c r="BO44" s="567">
        <f>IF(AND(Projects!$C$46&lt;=BO$4,BO$4&lt;=Projects!$C$46+Projects!$D$46-1),Projects!$B$46/Projects!$D$46,"")</f>
        <v/>
      </c>
      <c r="BP44" s="567">
        <f>IF(AND(Projects!$C$46&lt;=BP$4,BP$4&lt;=Projects!$C$46+Projects!$D$46-1),Projects!$B$46/Projects!$D$46,"")</f>
        <v/>
      </c>
      <c r="BQ44" s="567">
        <f>IF(AND(Projects!$C$46&lt;=BQ$4,BQ$4&lt;=Projects!$C$46+Projects!$D$46-1),Projects!$B$46/Projects!$D$46,"")</f>
        <v/>
      </c>
      <c r="BR44" s="567">
        <f>IF(AND(Projects!$C$46&lt;=BR$4,BR$4&lt;=Projects!$C$46+Projects!$D$46-1),Projects!$B$46/Projects!$D$46,"")</f>
        <v/>
      </c>
      <c r="BS44" s="567">
        <f>IF(AND(Projects!$C$46&lt;=BS$4,BS$4&lt;=Projects!$C$46+Projects!$D$46-1),Projects!$B$46/Projects!$D$46,"")</f>
        <v/>
      </c>
      <c r="BT44" s="567">
        <f>IF(AND(Projects!$C$46&lt;=BT$4,BT$4&lt;=Projects!$C$46+Projects!$D$46-1),Projects!$B$46/Projects!$D$46,"")</f>
        <v/>
      </c>
      <c r="BU44" s="567">
        <f>IF(AND(Projects!$C$46&lt;=BU$4,BU$4&lt;=Projects!$C$46+Projects!$D$46-1),Projects!$B$46/Projects!$D$46,"")</f>
        <v/>
      </c>
      <c r="BV44" s="567">
        <f>IF(AND(Projects!$C$46&lt;=BV$4,BV$4&lt;=Projects!$C$46+Projects!$D$46-1),Projects!$B$46/Projects!$D$46,"")</f>
        <v/>
      </c>
      <c r="BW44" s="567">
        <f>IF(AND(Projects!$C$46&lt;=BW$4,BW$4&lt;=Projects!$C$46+Projects!$D$46-1),Projects!$B$46/Projects!$D$46,"")</f>
        <v/>
      </c>
      <c r="BX44" s="567">
        <f>IF(AND(Projects!$C$46&lt;=BX$4,BX$4&lt;=Projects!$C$46+Projects!$D$46-1),Projects!$B$46/Projects!$D$46,"")</f>
        <v/>
      </c>
      <c r="BY44" s="567">
        <f>IF(AND(Projects!$C$46&lt;=BY$4,BY$4&lt;=Projects!$C$46+Projects!$D$46-1),Projects!$B$46/Projects!$D$46,"")</f>
        <v/>
      </c>
      <c r="BZ44" s="567">
        <f>IF(AND(Projects!$C$46&lt;=BZ$4,BZ$4&lt;=Projects!$C$46+Projects!$D$46-1),Projects!$B$46/Projects!$D$46,"")</f>
        <v/>
      </c>
      <c r="CA44" s="567">
        <f>IF(AND(Projects!$C$46&lt;=CA$4,CA$4&lt;=Projects!$C$46+Projects!$D$46-1),Projects!$B$46/Projects!$D$46,"")</f>
        <v/>
      </c>
      <c r="CB44" s="567">
        <f>IF(AND(Projects!$C$46&lt;=CB$4,CB$4&lt;=Projects!$C$46+Projects!$D$46-1),Projects!$B$46/Projects!$D$46,"")</f>
        <v/>
      </c>
      <c r="CC44" s="567">
        <f>IF(AND(Projects!$C$46&lt;=CC$4,CC$4&lt;=Projects!$C$46+Projects!$D$46-1),Projects!$B$46/Projects!$D$46,"")</f>
        <v/>
      </c>
      <c r="CD44" s="567">
        <f>IF(AND(Projects!$C$46&lt;=CD$4,CD$4&lt;=Projects!$C$46+Projects!$D$46-1),Projects!$B$46/Projects!$D$46,"")</f>
        <v/>
      </c>
      <c r="CE44" s="567">
        <f>IF(AND(Projects!$C$46&lt;=CE$4,CE$4&lt;=Projects!$C$46+Projects!$D$46-1),Projects!$B$46/Projects!$D$46,"")</f>
        <v/>
      </c>
      <c r="CF44" s="567">
        <f>IF(AND(Projects!$C$46&lt;=CF$4,CF$4&lt;=Projects!$C$46+Projects!$D$46-1),Projects!$B$46/Projects!$D$46,"")</f>
        <v/>
      </c>
      <c r="CG44" s="567">
        <f>IF(AND(Projects!$C$46&lt;=CG$4,CG$4&lt;=Projects!$C$46+Projects!$D$46-1),Projects!$B$46/Projects!$D$46,"")</f>
        <v/>
      </c>
      <c r="CH44" s="567">
        <f>IF(AND(Projects!$C$46&lt;=CH$4,CH$4&lt;=Projects!$C$46+Projects!$D$46-1),Projects!$B$46/Projects!$D$46,"")</f>
        <v/>
      </c>
      <c r="CI44" s="567">
        <f>IF(AND(Projects!$C$46&lt;=CI$4,CI$4&lt;=Projects!$C$46+Projects!$D$46-1),Projects!$B$46/Projects!$D$46,"")</f>
        <v/>
      </c>
      <c r="CJ44" s="567">
        <f>IF(AND(Projects!$C$46&lt;=CJ$4,CJ$4&lt;=Projects!$C$46+Projects!$D$46-1),Projects!$B$46/Projects!$D$46,"")</f>
        <v/>
      </c>
      <c r="CK44" s="567">
        <f>IF(AND(Projects!$C$46&lt;=CK$4,CK$4&lt;=Projects!$C$46+Projects!$D$46-1),Projects!$B$46/Projects!$D$46,"")</f>
        <v/>
      </c>
      <c r="CL44" s="567">
        <f>IF(AND(Projects!$C$46&lt;=CL$4,CL$4&lt;=Projects!$C$46+Projects!$D$46-1),Projects!$B$46/Projects!$D$46,"")</f>
        <v/>
      </c>
      <c r="CM44" s="567">
        <f>IF(AND(Projects!$C$46&lt;=CM$4,CM$4&lt;=Projects!$C$46+Projects!$D$46-1),Projects!$B$46/Projects!$D$46,"")</f>
        <v/>
      </c>
      <c r="CN44" s="567">
        <f>IF(AND(Projects!$C$46&lt;=CN$4,CN$4&lt;=Projects!$C$46+Projects!$D$46-1),Projects!$B$46/Projects!$D$46,"")</f>
        <v/>
      </c>
      <c r="CO44" s="567">
        <f>IF(AND(Projects!$C$46&lt;=CO$4,CO$4&lt;=Projects!$C$46+Projects!$D$46-1),Projects!$B$46/Projects!$D$46,"")</f>
        <v/>
      </c>
      <c r="CP44" s="567">
        <f>IF(AND(Projects!$C$46&lt;=CP$4,CP$4&lt;=Projects!$C$46+Projects!$D$46-1),Projects!$B$46/Projects!$D$46,"")</f>
        <v/>
      </c>
      <c r="CQ44" s="567">
        <f>IF(AND(Projects!$C$46&lt;=CQ$4,CQ$4&lt;=Projects!$C$46+Projects!$D$46-1),Projects!$B$46/Projects!$D$46,"")</f>
        <v/>
      </c>
      <c r="CR44" s="567">
        <f>IF(AND(Projects!$C$46&lt;=CR$4,CR$4&lt;=Projects!$C$46+Projects!$D$46-1),Projects!$B$46/Projects!$D$46,"")</f>
        <v/>
      </c>
      <c r="CS44" s="567">
        <f>IF(AND(Projects!$C$46&lt;=CS$4,CS$4&lt;=Projects!$C$46+Projects!$D$46-1),Projects!$B$46/Projects!$D$46,"")</f>
        <v/>
      </c>
      <c r="CT44" s="567">
        <f>IF(AND(Projects!$C$46&lt;=CT$4,CT$4&lt;=Projects!$C$46+Projects!$D$46-1),Projects!$B$46/Projects!$D$46,"")</f>
        <v/>
      </c>
      <c r="CU44" s="567">
        <f>IF(AND(Projects!$C$46&lt;=CU$4,CU$4&lt;=Projects!$C$46+Projects!$D$46-1),Projects!$B$46/Projects!$D$46,"")</f>
        <v/>
      </c>
      <c r="CV44" s="567">
        <f>IF(AND(Projects!$C$46&lt;=CV$4,CV$4&lt;=Projects!$C$46+Projects!$D$46-1),Projects!$B$46/Projects!$D$46,"")</f>
        <v/>
      </c>
      <c r="CW44" s="567">
        <f>IF(AND(Projects!$C$46&lt;=CW$4,CW$4&lt;=Projects!$C$46+Projects!$D$46-1),Projects!$B$46/Projects!$D$46,"")</f>
        <v/>
      </c>
      <c r="CX44" s="567">
        <f>IF(AND(Projects!$C$46&lt;=CX$4,CX$4&lt;=Projects!$C$46+Projects!$D$46-1),Projects!$B$46/Projects!$D$46,"")</f>
        <v/>
      </c>
      <c r="CY44" s="567">
        <f>IF(AND(Projects!$C$46&lt;=CY$4,CY$4&lt;=Projects!$C$46+Projects!$D$46-1),Projects!$B$46/Projects!$D$46,"")</f>
        <v/>
      </c>
      <c r="CZ44" s="567">
        <f>IF(AND(Projects!$C$46&lt;=CZ$4,CZ$4&lt;=Projects!$C$46+Projects!$D$46-1),Projects!$B$46/Projects!$D$46,"")</f>
        <v/>
      </c>
      <c r="DA44" s="567">
        <f>IF(AND(Projects!$C$46&lt;=DA$4,DA$4&lt;=Projects!$C$46+Projects!$D$46-1),Projects!$B$46/Projects!$D$46,"")</f>
        <v/>
      </c>
      <c r="DB44" s="567">
        <f>IF(AND(Projects!$C$46&lt;=DB$4,DB$4&lt;=Projects!$C$46+Projects!$D$46-1),Projects!$B$46/Projects!$D$46,"")</f>
        <v/>
      </c>
    </row>
    <row r="45" ht="15" customFormat="1" customHeight="1" s="380">
      <c r="A45" s="563" t="inlineStr">
        <is>
          <t>BD-10</t>
        </is>
      </c>
      <c r="B45" s="564">
        <f>Projects!$B$26</f>
        <v/>
      </c>
      <c r="C45" s="565">
        <f>EDATE(Model!$E$2,Projects!$C$26-1)</f>
        <v/>
      </c>
      <c r="D45" s="565">
        <f>EDATE(Model!$E$2,Projects!$C$26+Projects!$D$26-2)</f>
        <v/>
      </c>
      <c r="E45" s="566">
        <f>Projects!$D$26</f>
        <v/>
      </c>
      <c r="F45" s="564">
        <f>Projects!$B$26/Projects!$D$26</f>
        <v/>
      </c>
      <c r="G45" s="567">
        <f>IF(AND(Projects!$C$26&lt;=G$4,G$4&lt;=Projects!$C$26+Projects!$D$26-1),Projects!$B$26/Projects!$D$26,"")</f>
        <v/>
      </c>
      <c r="H45" s="567">
        <f>IF(AND(Projects!$C$26&lt;=H$4,H$4&lt;=Projects!$C$26+Projects!$D$26-1),Projects!$B$26/Projects!$D$26,"")</f>
        <v/>
      </c>
      <c r="I45" s="567">
        <f>IF(AND(Projects!$C$26&lt;=I$4,I$4&lt;=Projects!$C$26+Projects!$D$26-1),Projects!$B$26/Projects!$D$26,"")</f>
        <v/>
      </c>
      <c r="J45" s="567">
        <f>IF(AND(Projects!$C$26&lt;=J$4,J$4&lt;=Projects!$C$26+Projects!$D$26-1),Projects!$B$26/Projects!$D$26,"")</f>
        <v/>
      </c>
      <c r="K45" s="567">
        <f>IF(AND(Projects!$C$26&lt;=K$4,K$4&lt;=Projects!$C$26+Projects!$D$26-1),Projects!$B$26/Projects!$D$26,"")</f>
        <v/>
      </c>
      <c r="L45" s="567">
        <f>IF(AND(Projects!$C$26&lt;=L$4,L$4&lt;=Projects!$C$26+Projects!$D$26-1),Projects!$B$26/Projects!$D$26,"")</f>
        <v/>
      </c>
      <c r="M45" s="567">
        <f>IF(AND(Projects!$C$26&lt;=M$4,M$4&lt;=Projects!$C$26+Projects!$D$26-1),Projects!$B$26/Projects!$D$26,"")</f>
        <v/>
      </c>
      <c r="N45" s="567">
        <f>IF(AND(Projects!$C$26&lt;=N$4,N$4&lt;=Projects!$C$26+Projects!$D$26-1),Projects!$B$26/Projects!$D$26,"")</f>
        <v/>
      </c>
      <c r="O45" s="567">
        <f>IF(AND(Projects!$C$26&lt;=O$4,O$4&lt;=Projects!$C$26+Projects!$D$26-1),Projects!$B$26/Projects!$D$26,"")</f>
        <v/>
      </c>
      <c r="P45" s="567">
        <f>IF(AND(Projects!$C$26&lt;=P$4,P$4&lt;=Projects!$C$26+Projects!$D$26-1),Projects!$B$26/Projects!$D$26,"")</f>
        <v/>
      </c>
      <c r="Q45" s="567">
        <f>IF(AND(Projects!$C$26&lt;=Q$4,Q$4&lt;=Projects!$C$26+Projects!$D$26-1),Projects!$B$26/Projects!$D$26,"")</f>
        <v/>
      </c>
      <c r="R45" s="567">
        <f>IF(AND(Projects!$C$26&lt;=R$4,R$4&lt;=Projects!$C$26+Projects!$D$26-1),Projects!$B$26/Projects!$D$26,"")</f>
        <v/>
      </c>
      <c r="S45" s="567">
        <f>IF(AND(Projects!$C$26&lt;=S$4,S$4&lt;=Projects!$C$26+Projects!$D$26-1),Projects!$B$26/Projects!$D$26,"")</f>
        <v/>
      </c>
      <c r="T45" s="567">
        <f>IF(AND(Projects!$C$26&lt;=T$4,T$4&lt;=Projects!$C$26+Projects!$D$26-1),Projects!$B$26/Projects!$D$26,"")</f>
        <v/>
      </c>
      <c r="U45" s="567">
        <f>IF(AND(Projects!$C$26&lt;=U$4,U$4&lt;=Projects!$C$26+Projects!$D$26-1),Projects!$B$26/Projects!$D$26,"")</f>
        <v/>
      </c>
      <c r="V45" s="567">
        <f>IF(AND(Projects!$C$26&lt;=V$4,V$4&lt;=Projects!$C$26+Projects!$D$26-1),Projects!$B$26/Projects!$D$26,"")</f>
        <v/>
      </c>
      <c r="W45" s="567">
        <f>IF(AND(Projects!$C$26&lt;=W$4,W$4&lt;=Projects!$C$26+Projects!$D$26-1),Projects!$B$26/Projects!$D$26,"")</f>
        <v/>
      </c>
      <c r="X45" s="567">
        <f>IF(AND(Projects!$C$26&lt;=X$4,X$4&lt;=Projects!$C$26+Projects!$D$26-1),Projects!$B$26/Projects!$D$26,"")</f>
        <v/>
      </c>
      <c r="Y45" s="567">
        <f>IF(AND(Projects!$C$26&lt;=Y$4,Y$4&lt;=Projects!$C$26+Projects!$D$26-1),Projects!$B$26/Projects!$D$26,"")</f>
        <v/>
      </c>
      <c r="Z45" s="567">
        <f>IF(AND(Projects!$C$26&lt;=Z$4,Z$4&lt;=Projects!$C$26+Projects!$D$26-1),Projects!$B$26/Projects!$D$26,"")</f>
        <v/>
      </c>
      <c r="AA45" s="567">
        <f>IF(AND(Projects!$C$26&lt;=AA$4,AA$4&lt;=Projects!$C$26+Projects!$D$26-1),Projects!$B$26/Projects!$D$26,"")</f>
        <v/>
      </c>
      <c r="AB45" s="567">
        <f>IF(AND(Projects!$C$26&lt;=AB$4,AB$4&lt;=Projects!$C$26+Projects!$D$26-1),Projects!$B$26/Projects!$D$26,"")</f>
        <v/>
      </c>
      <c r="AC45" s="567">
        <f>IF(AND(Projects!$C$26&lt;=AC$4,AC$4&lt;=Projects!$C$26+Projects!$D$26-1),Projects!$B$26/Projects!$D$26,"")</f>
        <v/>
      </c>
      <c r="AD45" s="567">
        <f>IF(AND(Projects!$C$26&lt;=AD$4,AD$4&lt;=Projects!$C$26+Projects!$D$26-1),Projects!$B$26/Projects!$D$26,"")</f>
        <v/>
      </c>
      <c r="AE45" s="567">
        <f>IF(AND(Projects!$C$26&lt;=AE$4,AE$4&lt;=Projects!$C$26+Projects!$D$26-1),Projects!$B$26/Projects!$D$26,"")</f>
        <v/>
      </c>
      <c r="AF45" s="567">
        <f>IF(AND(Projects!$C$26&lt;=AF$4,AF$4&lt;=Projects!$C$26+Projects!$D$26-1),Projects!$B$26/Projects!$D$26,"")</f>
        <v/>
      </c>
      <c r="AG45" s="567">
        <f>IF(AND(Projects!$C$26&lt;=AG$4,AG$4&lt;=Projects!$C$26+Projects!$D$26-1),Projects!$B$26/Projects!$D$26,"")</f>
        <v/>
      </c>
      <c r="AH45" s="567">
        <f>IF(AND(Projects!$C$26&lt;=AH$4,AH$4&lt;=Projects!$C$26+Projects!$D$26-1),Projects!$B$26/Projects!$D$26,"")</f>
        <v/>
      </c>
      <c r="AI45" s="567">
        <f>IF(AND(Projects!$C$26&lt;=AI$4,AI$4&lt;=Projects!$C$26+Projects!$D$26-1),Projects!$B$26/Projects!$D$26,"")</f>
        <v/>
      </c>
      <c r="AJ45" s="567">
        <f>IF(AND(Projects!$C$26&lt;=AJ$4,AJ$4&lt;=Projects!$C$26+Projects!$D$26-1),Projects!$B$26/Projects!$D$26,"")</f>
        <v/>
      </c>
      <c r="AK45" s="567">
        <f>IF(AND(Projects!$C$26&lt;=AK$4,AK$4&lt;=Projects!$C$26+Projects!$D$26-1),Projects!$B$26/Projects!$D$26,"")</f>
        <v/>
      </c>
      <c r="AL45" s="567">
        <f>IF(AND(Projects!$C$26&lt;=AL$4,AL$4&lt;=Projects!$C$26+Projects!$D$26-1),Projects!$B$26/Projects!$D$26,"")</f>
        <v/>
      </c>
      <c r="AM45" s="567">
        <f>IF(AND(Projects!$C$26&lt;=AM$4,AM$4&lt;=Projects!$C$26+Projects!$D$26-1),Projects!$B$26/Projects!$D$26,"")</f>
        <v/>
      </c>
      <c r="AN45" s="567">
        <f>IF(AND(Projects!$C$26&lt;=AN$4,AN$4&lt;=Projects!$C$26+Projects!$D$26-1),Projects!$B$26/Projects!$D$26,"")</f>
        <v/>
      </c>
      <c r="AO45" s="567">
        <f>IF(AND(Projects!$C$26&lt;=AO$4,AO$4&lt;=Projects!$C$26+Projects!$D$26-1),Projects!$B$26/Projects!$D$26,"")</f>
        <v/>
      </c>
      <c r="AP45" s="567">
        <f>IF(AND(Projects!$C$26&lt;=AP$4,AP$4&lt;=Projects!$C$26+Projects!$D$26-1),Projects!$B$26/Projects!$D$26,"")</f>
        <v/>
      </c>
      <c r="AQ45" s="567">
        <f>IF(AND(Projects!$C$26&lt;=AQ$4,AQ$4&lt;=Projects!$C$26+Projects!$D$26-1),Projects!$B$26/Projects!$D$26,"")</f>
        <v/>
      </c>
      <c r="AR45" s="567">
        <f>IF(AND(Projects!$C$26&lt;=AR$4,AR$4&lt;=Projects!$C$26+Projects!$D$26-1),Projects!$B$26/Projects!$D$26,"")</f>
        <v/>
      </c>
      <c r="AS45" s="567">
        <f>IF(AND(Projects!$C$26&lt;=AS$4,AS$4&lt;=Projects!$C$26+Projects!$D$26-1),Projects!$B$26/Projects!$D$26,"")</f>
        <v/>
      </c>
      <c r="AT45" s="567">
        <f>IF(AND(Projects!$C$26&lt;=AT$4,AT$4&lt;=Projects!$C$26+Projects!$D$26-1),Projects!$B$26/Projects!$D$26,"")</f>
        <v/>
      </c>
      <c r="AU45" s="567">
        <f>IF(AND(Projects!$C$26&lt;=AU$4,AU$4&lt;=Projects!$C$26+Projects!$D$26-1),Projects!$B$26/Projects!$D$26,"")</f>
        <v/>
      </c>
      <c r="AV45" s="567">
        <f>IF(AND(Projects!$C$26&lt;=AV$4,AV$4&lt;=Projects!$C$26+Projects!$D$26-1),Projects!$B$26/Projects!$D$26,"")</f>
        <v/>
      </c>
      <c r="AW45" s="567">
        <f>IF(AND(Projects!$C$26&lt;=AW$4,AW$4&lt;=Projects!$C$26+Projects!$D$26-1),Projects!$B$26/Projects!$D$26,"")</f>
        <v/>
      </c>
      <c r="AX45" s="567">
        <f>IF(AND(Projects!$C$26&lt;=AX$4,AX$4&lt;=Projects!$C$26+Projects!$D$26-1),Projects!$B$26/Projects!$D$26,"")</f>
        <v/>
      </c>
      <c r="AY45" s="567">
        <f>IF(AND(Projects!$C$26&lt;=AY$4,AY$4&lt;=Projects!$C$26+Projects!$D$26-1),Projects!$B$26/Projects!$D$26,"")</f>
        <v/>
      </c>
      <c r="AZ45" s="567">
        <f>IF(AND(Projects!$C$26&lt;=AZ$4,AZ$4&lt;=Projects!$C$26+Projects!$D$26-1),Projects!$B$26/Projects!$D$26,"")</f>
        <v/>
      </c>
      <c r="BA45" s="567">
        <f>IF(AND(Projects!$C$26&lt;=BA$4,BA$4&lt;=Projects!$C$26+Projects!$D$26-1),Projects!$B$26/Projects!$D$26,"")</f>
        <v/>
      </c>
      <c r="BB45" s="567">
        <f>IF(AND(Projects!$C$26&lt;=BB$4,BB$4&lt;=Projects!$C$26+Projects!$D$26-1),Projects!$B$26/Projects!$D$26,"")</f>
        <v/>
      </c>
      <c r="BC45" s="567">
        <f>IF(AND(Projects!$C$26&lt;=BC$4,BC$4&lt;=Projects!$C$26+Projects!$D$26-1),Projects!$B$26/Projects!$D$26,"")</f>
        <v/>
      </c>
      <c r="BD45" s="567">
        <f>IF(AND(Projects!$C$26&lt;=BD$4,BD$4&lt;=Projects!$C$26+Projects!$D$26-1),Projects!$B$26/Projects!$D$26,"")</f>
        <v/>
      </c>
      <c r="BE45" s="567">
        <f>IF(AND(Projects!$C$26&lt;=BE$4,BE$4&lt;=Projects!$C$26+Projects!$D$26-1),Projects!$B$26/Projects!$D$26,"")</f>
        <v/>
      </c>
      <c r="BF45" s="567">
        <f>IF(AND(Projects!$C$26&lt;=BF$4,BF$4&lt;=Projects!$C$26+Projects!$D$26-1),Projects!$B$26/Projects!$D$26,"")</f>
        <v/>
      </c>
      <c r="BG45" s="567">
        <f>IF(AND(Projects!$C$26&lt;=BG$4,BG$4&lt;=Projects!$C$26+Projects!$D$26-1),Projects!$B$26/Projects!$D$26,"")</f>
        <v/>
      </c>
      <c r="BH45" s="567">
        <f>IF(AND(Projects!$C$26&lt;=BH$4,BH$4&lt;=Projects!$C$26+Projects!$D$26-1),Projects!$B$26/Projects!$D$26,"")</f>
        <v/>
      </c>
      <c r="BI45" s="567">
        <f>IF(AND(Projects!$C$26&lt;=BI$4,BI$4&lt;=Projects!$C$26+Projects!$D$26-1),Projects!$B$26/Projects!$D$26,"")</f>
        <v/>
      </c>
      <c r="BJ45" s="567">
        <f>IF(AND(Projects!$C$26&lt;=BJ$4,BJ$4&lt;=Projects!$C$26+Projects!$D$26-1),Projects!$B$26/Projects!$D$26,"")</f>
        <v/>
      </c>
      <c r="BK45" s="567">
        <f>IF(AND(Projects!$C$26&lt;=BK$4,BK$4&lt;=Projects!$C$26+Projects!$D$26-1),Projects!$B$26/Projects!$D$26,"")</f>
        <v/>
      </c>
      <c r="BL45" s="567">
        <f>IF(AND(Projects!$C$26&lt;=BL$4,BL$4&lt;=Projects!$C$26+Projects!$D$26-1),Projects!$B$26/Projects!$D$26,"")</f>
        <v/>
      </c>
      <c r="BM45" s="567">
        <f>IF(AND(Projects!$C$26&lt;=BM$4,BM$4&lt;=Projects!$C$26+Projects!$D$26-1),Projects!$B$26/Projects!$D$26,"")</f>
        <v/>
      </c>
      <c r="BN45" s="567">
        <f>IF(AND(Projects!$C$26&lt;=BN$4,BN$4&lt;=Projects!$C$26+Projects!$D$26-1),Projects!$B$26/Projects!$D$26,"")</f>
        <v/>
      </c>
      <c r="BO45" s="567">
        <f>IF(AND(Projects!$C$26&lt;=BO$4,BO$4&lt;=Projects!$C$26+Projects!$D$26-1),Projects!$B$26/Projects!$D$26,"")</f>
        <v/>
      </c>
      <c r="BP45" s="567">
        <f>IF(AND(Projects!$C$26&lt;=BP$4,BP$4&lt;=Projects!$C$26+Projects!$D$26-1),Projects!$B$26/Projects!$D$26,"")</f>
        <v/>
      </c>
      <c r="BQ45" s="567">
        <f>IF(AND(Projects!$C$26&lt;=BQ$4,BQ$4&lt;=Projects!$C$26+Projects!$D$26-1),Projects!$B$26/Projects!$D$26,"")</f>
        <v/>
      </c>
      <c r="BR45" s="567">
        <f>IF(AND(Projects!$C$26&lt;=BR$4,BR$4&lt;=Projects!$C$26+Projects!$D$26-1),Projects!$B$26/Projects!$D$26,"")</f>
        <v/>
      </c>
      <c r="BS45" s="567">
        <f>IF(AND(Projects!$C$26&lt;=BS$4,BS$4&lt;=Projects!$C$26+Projects!$D$26-1),Projects!$B$26/Projects!$D$26,"")</f>
        <v/>
      </c>
      <c r="BT45" s="567">
        <f>IF(AND(Projects!$C$26&lt;=BT$4,BT$4&lt;=Projects!$C$26+Projects!$D$26-1),Projects!$B$26/Projects!$D$26,"")</f>
        <v/>
      </c>
      <c r="BU45" s="567">
        <f>IF(AND(Projects!$C$26&lt;=BU$4,BU$4&lt;=Projects!$C$26+Projects!$D$26-1),Projects!$B$26/Projects!$D$26,"")</f>
        <v/>
      </c>
      <c r="BV45" s="567">
        <f>IF(AND(Projects!$C$26&lt;=BV$4,BV$4&lt;=Projects!$C$26+Projects!$D$26-1),Projects!$B$26/Projects!$D$26,"")</f>
        <v/>
      </c>
      <c r="BW45" s="567">
        <f>IF(AND(Projects!$C$26&lt;=BW$4,BW$4&lt;=Projects!$C$26+Projects!$D$26-1),Projects!$B$26/Projects!$D$26,"")</f>
        <v/>
      </c>
      <c r="BX45" s="567">
        <f>IF(AND(Projects!$C$26&lt;=BX$4,BX$4&lt;=Projects!$C$26+Projects!$D$26-1),Projects!$B$26/Projects!$D$26,"")</f>
        <v/>
      </c>
      <c r="BY45" s="567">
        <f>IF(AND(Projects!$C$26&lt;=BY$4,BY$4&lt;=Projects!$C$26+Projects!$D$26-1),Projects!$B$26/Projects!$D$26,"")</f>
        <v/>
      </c>
      <c r="BZ45" s="567">
        <f>IF(AND(Projects!$C$26&lt;=BZ$4,BZ$4&lt;=Projects!$C$26+Projects!$D$26-1),Projects!$B$26/Projects!$D$26,"")</f>
        <v/>
      </c>
      <c r="CA45" s="567">
        <f>IF(AND(Projects!$C$26&lt;=CA$4,CA$4&lt;=Projects!$C$26+Projects!$D$26-1),Projects!$B$26/Projects!$D$26,"")</f>
        <v/>
      </c>
      <c r="CB45" s="567">
        <f>IF(AND(Projects!$C$26&lt;=CB$4,CB$4&lt;=Projects!$C$26+Projects!$D$26-1),Projects!$B$26/Projects!$D$26,"")</f>
        <v/>
      </c>
      <c r="CC45" s="567">
        <f>IF(AND(Projects!$C$26&lt;=CC$4,CC$4&lt;=Projects!$C$26+Projects!$D$26-1),Projects!$B$26/Projects!$D$26,"")</f>
        <v/>
      </c>
      <c r="CD45" s="567">
        <f>IF(AND(Projects!$C$26&lt;=CD$4,CD$4&lt;=Projects!$C$26+Projects!$D$26-1),Projects!$B$26/Projects!$D$26,"")</f>
        <v/>
      </c>
      <c r="CE45" s="567">
        <f>IF(AND(Projects!$C$26&lt;=CE$4,CE$4&lt;=Projects!$C$26+Projects!$D$26-1),Projects!$B$26/Projects!$D$26,"")</f>
        <v/>
      </c>
      <c r="CF45" s="567">
        <f>IF(AND(Projects!$C$26&lt;=CF$4,CF$4&lt;=Projects!$C$26+Projects!$D$26-1),Projects!$B$26/Projects!$D$26,"")</f>
        <v/>
      </c>
      <c r="CG45" s="567">
        <f>IF(AND(Projects!$C$26&lt;=CG$4,CG$4&lt;=Projects!$C$26+Projects!$D$26-1),Projects!$B$26/Projects!$D$26,"")</f>
        <v/>
      </c>
      <c r="CH45" s="567">
        <f>IF(AND(Projects!$C$26&lt;=CH$4,CH$4&lt;=Projects!$C$26+Projects!$D$26-1),Projects!$B$26/Projects!$D$26,"")</f>
        <v/>
      </c>
      <c r="CI45" s="567">
        <f>IF(AND(Projects!$C$26&lt;=CI$4,CI$4&lt;=Projects!$C$26+Projects!$D$26-1),Projects!$B$26/Projects!$D$26,"")</f>
        <v/>
      </c>
      <c r="CJ45" s="567">
        <f>IF(AND(Projects!$C$26&lt;=CJ$4,CJ$4&lt;=Projects!$C$26+Projects!$D$26-1),Projects!$B$26/Projects!$D$26,"")</f>
        <v/>
      </c>
      <c r="CK45" s="567">
        <f>IF(AND(Projects!$C$26&lt;=CK$4,CK$4&lt;=Projects!$C$26+Projects!$D$26-1),Projects!$B$26/Projects!$D$26,"")</f>
        <v/>
      </c>
      <c r="CL45" s="567">
        <f>IF(AND(Projects!$C$26&lt;=CL$4,CL$4&lt;=Projects!$C$26+Projects!$D$26-1),Projects!$B$26/Projects!$D$26,"")</f>
        <v/>
      </c>
      <c r="CM45" s="567">
        <f>IF(AND(Projects!$C$26&lt;=CM$4,CM$4&lt;=Projects!$C$26+Projects!$D$26-1),Projects!$B$26/Projects!$D$26,"")</f>
        <v/>
      </c>
      <c r="CN45" s="567">
        <f>IF(AND(Projects!$C$26&lt;=CN$4,CN$4&lt;=Projects!$C$26+Projects!$D$26-1),Projects!$B$26/Projects!$D$26,"")</f>
        <v/>
      </c>
      <c r="CO45" s="567">
        <f>IF(AND(Projects!$C$26&lt;=CO$4,CO$4&lt;=Projects!$C$26+Projects!$D$26-1),Projects!$B$26/Projects!$D$26,"")</f>
        <v/>
      </c>
      <c r="CP45" s="567">
        <f>IF(AND(Projects!$C$26&lt;=CP$4,CP$4&lt;=Projects!$C$26+Projects!$D$26-1),Projects!$B$26/Projects!$D$26,"")</f>
        <v/>
      </c>
      <c r="CQ45" s="567">
        <f>IF(AND(Projects!$C$26&lt;=CQ$4,CQ$4&lt;=Projects!$C$26+Projects!$D$26-1),Projects!$B$26/Projects!$D$26,"")</f>
        <v/>
      </c>
      <c r="CR45" s="567">
        <f>IF(AND(Projects!$C$26&lt;=CR$4,CR$4&lt;=Projects!$C$26+Projects!$D$26-1),Projects!$B$26/Projects!$D$26,"")</f>
        <v/>
      </c>
      <c r="CS45" s="567">
        <f>IF(AND(Projects!$C$26&lt;=CS$4,CS$4&lt;=Projects!$C$26+Projects!$D$26-1),Projects!$B$26/Projects!$D$26,"")</f>
        <v/>
      </c>
      <c r="CT45" s="567">
        <f>IF(AND(Projects!$C$26&lt;=CT$4,CT$4&lt;=Projects!$C$26+Projects!$D$26-1),Projects!$B$26/Projects!$D$26,"")</f>
        <v/>
      </c>
      <c r="CU45" s="567">
        <f>IF(AND(Projects!$C$26&lt;=CU$4,CU$4&lt;=Projects!$C$26+Projects!$D$26-1),Projects!$B$26/Projects!$D$26,"")</f>
        <v/>
      </c>
      <c r="CV45" s="567">
        <f>IF(AND(Projects!$C$26&lt;=CV$4,CV$4&lt;=Projects!$C$26+Projects!$D$26-1),Projects!$B$26/Projects!$D$26,"")</f>
        <v/>
      </c>
      <c r="CW45" s="567">
        <f>IF(AND(Projects!$C$26&lt;=CW$4,CW$4&lt;=Projects!$C$26+Projects!$D$26-1),Projects!$B$26/Projects!$D$26,"")</f>
        <v/>
      </c>
      <c r="CX45" s="567">
        <f>IF(AND(Projects!$C$26&lt;=CX$4,CX$4&lt;=Projects!$C$26+Projects!$D$26-1),Projects!$B$26/Projects!$D$26,"")</f>
        <v/>
      </c>
      <c r="CY45" s="567">
        <f>IF(AND(Projects!$C$26&lt;=CY$4,CY$4&lt;=Projects!$C$26+Projects!$D$26-1),Projects!$B$26/Projects!$D$26,"")</f>
        <v/>
      </c>
      <c r="CZ45" s="567">
        <f>IF(AND(Projects!$C$26&lt;=CZ$4,CZ$4&lt;=Projects!$C$26+Projects!$D$26-1),Projects!$B$26/Projects!$D$26,"")</f>
        <v/>
      </c>
      <c r="DA45" s="567">
        <f>IF(AND(Projects!$C$26&lt;=DA$4,DA$4&lt;=Projects!$C$26+Projects!$D$26-1),Projects!$B$26/Projects!$D$26,"")</f>
        <v/>
      </c>
      <c r="DB45" s="567">
        <f>IF(AND(Projects!$C$26&lt;=DB$4,DB$4&lt;=Projects!$C$26+Projects!$D$26-1),Projects!$B$26/Projects!$D$26,"")</f>
        <v/>
      </c>
    </row>
    <row r="46" ht="15" customFormat="1" customHeight="1" s="380">
      <c r="A46" s="563" t="inlineStr">
        <is>
          <t>BD-11</t>
        </is>
      </c>
      <c r="B46" s="564">
        <f>Projects!$B$27</f>
        <v/>
      </c>
      <c r="C46" s="565">
        <f>EDATE(Model!$E$2,Projects!$C$27-1)</f>
        <v/>
      </c>
      <c r="D46" s="565">
        <f>EDATE(Model!$E$2,Projects!$C$27+Projects!$D$27-2)</f>
        <v/>
      </c>
      <c r="E46" s="566">
        <f>Projects!$D$27</f>
        <v/>
      </c>
      <c r="F46" s="564">
        <f>Projects!$B$27/Projects!$D$27</f>
        <v/>
      </c>
      <c r="G46" s="567">
        <f>IF(AND(Projects!$C$27&lt;=G$4,G$4&lt;=Projects!$C$27+Projects!$D$27-1),Projects!$B$27/Projects!$D$27,"")</f>
        <v/>
      </c>
      <c r="H46" s="567">
        <f>IF(AND(Projects!$C$27&lt;=H$4,H$4&lt;=Projects!$C$27+Projects!$D$27-1),Projects!$B$27/Projects!$D$27,"")</f>
        <v/>
      </c>
      <c r="I46" s="567">
        <f>IF(AND(Projects!$C$27&lt;=I$4,I$4&lt;=Projects!$C$27+Projects!$D$27-1),Projects!$B$27/Projects!$D$27,"")</f>
        <v/>
      </c>
      <c r="J46" s="567">
        <f>IF(AND(Projects!$C$27&lt;=J$4,J$4&lt;=Projects!$C$27+Projects!$D$27-1),Projects!$B$27/Projects!$D$27,"")</f>
        <v/>
      </c>
      <c r="K46" s="567">
        <f>IF(AND(Projects!$C$27&lt;=K$4,K$4&lt;=Projects!$C$27+Projects!$D$27-1),Projects!$B$27/Projects!$D$27,"")</f>
        <v/>
      </c>
      <c r="L46" s="567">
        <f>IF(AND(Projects!$C$27&lt;=L$4,L$4&lt;=Projects!$C$27+Projects!$D$27-1),Projects!$B$27/Projects!$D$27,"")</f>
        <v/>
      </c>
      <c r="M46" s="567">
        <f>IF(AND(Projects!$C$27&lt;=M$4,M$4&lt;=Projects!$C$27+Projects!$D$27-1),Projects!$B$27/Projects!$D$27,"")</f>
        <v/>
      </c>
      <c r="N46" s="567">
        <f>IF(AND(Projects!$C$27&lt;=N$4,N$4&lt;=Projects!$C$27+Projects!$D$27-1),Projects!$B$27/Projects!$D$27,"")</f>
        <v/>
      </c>
      <c r="O46" s="567">
        <f>IF(AND(Projects!$C$27&lt;=O$4,O$4&lt;=Projects!$C$27+Projects!$D$27-1),Projects!$B$27/Projects!$D$27,"")</f>
        <v/>
      </c>
      <c r="P46" s="567">
        <f>IF(AND(Projects!$C$27&lt;=P$4,P$4&lt;=Projects!$C$27+Projects!$D$27-1),Projects!$B$27/Projects!$D$27,"")</f>
        <v/>
      </c>
      <c r="Q46" s="567">
        <f>IF(AND(Projects!$C$27&lt;=Q$4,Q$4&lt;=Projects!$C$27+Projects!$D$27-1),Projects!$B$27/Projects!$D$27,"")</f>
        <v/>
      </c>
      <c r="R46" s="567">
        <f>IF(AND(Projects!$C$27&lt;=R$4,R$4&lt;=Projects!$C$27+Projects!$D$27-1),Projects!$B$27/Projects!$D$27,"")</f>
        <v/>
      </c>
      <c r="S46" s="567">
        <f>IF(AND(Projects!$C$27&lt;=S$4,S$4&lt;=Projects!$C$27+Projects!$D$27-1),Projects!$B$27/Projects!$D$27,"")</f>
        <v/>
      </c>
      <c r="T46" s="567">
        <f>IF(AND(Projects!$C$27&lt;=T$4,T$4&lt;=Projects!$C$27+Projects!$D$27-1),Projects!$B$27/Projects!$D$27,"")</f>
        <v/>
      </c>
      <c r="U46" s="567">
        <f>IF(AND(Projects!$C$27&lt;=U$4,U$4&lt;=Projects!$C$27+Projects!$D$27-1),Projects!$B$27/Projects!$D$27,"")</f>
        <v/>
      </c>
      <c r="V46" s="567">
        <f>IF(AND(Projects!$C$27&lt;=V$4,V$4&lt;=Projects!$C$27+Projects!$D$27-1),Projects!$B$27/Projects!$D$27,"")</f>
        <v/>
      </c>
      <c r="W46" s="567">
        <f>IF(AND(Projects!$C$27&lt;=W$4,W$4&lt;=Projects!$C$27+Projects!$D$27-1),Projects!$B$27/Projects!$D$27,"")</f>
        <v/>
      </c>
      <c r="X46" s="567">
        <f>IF(AND(Projects!$C$27&lt;=X$4,X$4&lt;=Projects!$C$27+Projects!$D$27-1),Projects!$B$27/Projects!$D$27,"")</f>
        <v/>
      </c>
      <c r="Y46" s="567">
        <f>IF(AND(Projects!$C$27&lt;=Y$4,Y$4&lt;=Projects!$C$27+Projects!$D$27-1),Projects!$B$27/Projects!$D$27,"")</f>
        <v/>
      </c>
      <c r="Z46" s="567">
        <f>IF(AND(Projects!$C$27&lt;=Z$4,Z$4&lt;=Projects!$C$27+Projects!$D$27-1),Projects!$B$27/Projects!$D$27,"")</f>
        <v/>
      </c>
      <c r="AA46" s="567">
        <f>IF(AND(Projects!$C$27&lt;=AA$4,AA$4&lt;=Projects!$C$27+Projects!$D$27-1),Projects!$B$27/Projects!$D$27,"")</f>
        <v/>
      </c>
      <c r="AB46" s="567">
        <f>IF(AND(Projects!$C$27&lt;=AB$4,AB$4&lt;=Projects!$C$27+Projects!$D$27-1),Projects!$B$27/Projects!$D$27,"")</f>
        <v/>
      </c>
      <c r="AC46" s="567">
        <f>IF(AND(Projects!$C$27&lt;=AC$4,AC$4&lt;=Projects!$C$27+Projects!$D$27-1),Projects!$B$27/Projects!$D$27,"")</f>
        <v/>
      </c>
      <c r="AD46" s="567">
        <f>IF(AND(Projects!$C$27&lt;=AD$4,AD$4&lt;=Projects!$C$27+Projects!$D$27-1),Projects!$B$27/Projects!$D$27,"")</f>
        <v/>
      </c>
      <c r="AE46" s="567">
        <f>IF(AND(Projects!$C$27&lt;=AE$4,AE$4&lt;=Projects!$C$27+Projects!$D$27-1),Projects!$B$27/Projects!$D$27,"")</f>
        <v/>
      </c>
      <c r="AF46" s="567">
        <f>IF(AND(Projects!$C$27&lt;=AF$4,AF$4&lt;=Projects!$C$27+Projects!$D$27-1),Projects!$B$27/Projects!$D$27,"")</f>
        <v/>
      </c>
      <c r="AG46" s="567">
        <f>IF(AND(Projects!$C$27&lt;=AG$4,AG$4&lt;=Projects!$C$27+Projects!$D$27-1),Projects!$B$27/Projects!$D$27,"")</f>
        <v/>
      </c>
      <c r="AH46" s="567">
        <f>IF(AND(Projects!$C$27&lt;=AH$4,AH$4&lt;=Projects!$C$27+Projects!$D$27-1),Projects!$B$27/Projects!$D$27,"")</f>
        <v/>
      </c>
      <c r="AI46" s="567">
        <f>IF(AND(Projects!$C$27&lt;=AI$4,AI$4&lt;=Projects!$C$27+Projects!$D$27-1),Projects!$B$27/Projects!$D$27,"")</f>
        <v/>
      </c>
      <c r="AJ46" s="567">
        <f>IF(AND(Projects!$C$27&lt;=AJ$4,AJ$4&lt;=Projects!$C$27+Projects!$D$27-1),Projects!$B$27/Projects!$D$27,"")</f>
        <v/>
      </c>
      <c r="AK46" s="567">
        <f>IF(AND(Projects!$C$27&lt;=AK$4,AK$4&lt;=Projects!$C$27+Projects!$D$27-1),Projects!$B$27/Projects!$D$27,"")</f>
        <v/>
      </c>
      <c r="AL46" s="567">
        <f>IF(AND(Projects!$C$27&lt;=AL$4,AL$4&lt;=Projects!$C$27+Projects!$D$27-1),Projects!$B$27/Projects!$D$27,"")</f>
        <v/>
      </c>
      <c r="AM46" s="567">
        <f>IF(AND(Projects!$C$27&lt;=AM$4,AM$4&lt;=Projects!$C$27+Projects!$D$27-1),Projects!$B$27/Projects!$D$27,"")</f>
        <v/>
      </c>
      <c r="AN46" s="567">
        <f>IF(AND(Projects!$C$27&lt;=AN$4,AN$4&lt;=Projects!$C$27+Projects!$D$27-1),Projects!$B$27/Projects!$D$27,"")</f>
        <v/>
      </c>
      <c r="AO46" s="567">
        <f>IF(AND(Projects!$C$27&lt;=AO$4,AO$4&lt;=Projects!$C$27+Projects!$D$27-1),Projects!$B$27/Projects!$D$27,"")</f>
        <v/>
      </c>
      <c r="AP46" s="567">
        <f>IF(AND(Projects!$C$27&lt;=AP$4,AP$4&lt;=Projects!$C$27+Projects!$D$27-1),Projects!$B$27/Projects!$D$27,"")</f>
        <v/>
      </c>
      <c r="AQ46" s="567">
        <f>IF(AND(Projects!$C$27&lt;=AQ$4,AQ$4&lt;=Projects!$C$27+Projects!$D$27-1),Projects!$B$27/Projects!$D$27,"")</f>
        <v/>
      </c>
      <c r="AR46" s="567">
        <f>IF(AND(Projects!$C$27&lt;=AR$4,AR$4&lt;=Projects!$C$27+Projects!$D$27-1),Projects!$B$27/Projects!$D$27,"")</f>
        <v/>
      </c>
      <c r="AS46" s="567">
        <f>IF(AND(Projects!$C$27&lt;=AS$4,AS$4&lt;=Projects!$C$27+Projects!$D$27-1),Projects!$B$27/Projects!$D$27,"")</f>
        <v/>
      </c>
      <c r="AT46" s="567">
        <f>IF(AND(Projects!$C$27&lt;=AT$4,AT$4&lt;=Projects!$C$27+Projects!$D$27-1),Projects!$B$27/Projects!$D$27,"")</f>
        <v/>
      </c>
      <c r="AU46" s="567">
        <f>IF(AND(Projects!$C$27&lt;=AU$4,AU$4&lt;=Projects!$C$27+Projects!$D$27-1),Projects!$B$27/Projects!$D$27,"")</f>
        <v/>
      </c>
      <c r="AV46" s="567">
        <f>IF(AND(Projects!$C$27&lt;=AV$4,AV$4&lt;=Projects!$C$27+Projects!$D$27-1),Projects!$B$27/Projects!$D$27,"")</f>
        <v/>
      </c>
      <c r="AW46" s="567">
        <f>IF(AND(Projects!$C$27&lt;=AW$4,AW$4&lt;=Projects!$C$27+Projects!$D$27-1),Projects!$B$27/Projects!$D$27,"")</f>
        <v/>
      </c>
      <c r="AX46" s="567">
        <f>IF(AND(Projects!$C$27&lt;=AX$4,AX$4&lt;=Projects!$C$27+Projects!$D$27-1),Projects!$B$27/Projects!$D$27,"")</f>
        <v/>
      </c>
      <c r="AY46" s="567">
        <f>IF(AND(Projects!$C$27&lt;=AY$4,AY$4&lt;=Projects!$C$27+Projects!$D$27-1),Projects!$B$27/Projects!$D$27,"")</f>
        <v/>
      </c>
      <c r="AZ46" s="567">
        <f>IF(AND(Projects!$C$27&lt;=AZ$4,AZ$4&lt;=Projects!$C$27+Projects!$D$27-1),Projects!$B$27/Projects!$D$27,"")</f>
        <v/>
      </c>
      <c r="BA46" s="567">
        <f>IF(AND(Projects!$C$27&lt;=BA$4,BA$4&lt;=Projects!$C$27+Projects!$D$27-1),Projects!$B$27/Projects!$D$27,"")</f>
        <v/>
      </c>
      <c r="BB46" s="567">
        <f>IF(AND(Projects!$C$27&lt;=BB$4,BB$4&lt;=Projects!$C$27+Projects!$D$27-1),Projects!$B$27/Projects!$D$27,"")</f>
        <v/>
      </c>
      <c r="BC46" s="567">
        <f>IF(AND(Projects!$C$27&lt;=BC$4,BC$4&lt;=Projects!$C$27+Projects!$D$27-1),Projects!$B$27/Projects!$D$27,"")</f>
        <v/>
      </c>
      <c r="BD46" s="567">
        <f>IF(AND(Projects!$C$27&lt;=BD$4,BD$4&lt;=Projects!$C$27+Projects!$D$27-1),Projects!$B$27/Projects!$D$27,"")</f>
        <v/>
      </c>
      <c r="BE46" s="567">
        <f>IF(AND(Projects!$C$27&lt;=BE$4,BE$4&lt;=Projects!$C$27+Projects!$D$27-1),Projects!$B$27/Projects!$D$27,"")</f>
        <v/>
      </c>
      <c r="BF46" s="567">
        <f>IF(AND(Projects!$C$27&lt;=BF$4,BF$4&lt;=Projects!$C$27+Projects!$D$27-1),Projects!$B$27/Projects!$D$27,"")</f>
        <v/>
      </c>
      <c r="BG46" s="567">
        <f>IF(AND(Projects!$C$27&lt;=BG$4,BG$4&lt;=Projects!$C$27+Projects!$D$27-1),Projects!$B$27/Projects!$D$27,"")</f>
        <v/>
      </c>
      <c r="BH46" s="567">
        <f>IF(AND(Projects!$C$27&lt;=BH$4,BH$4&lt;=Projects!$C$27+Projects!$D$27-1),Projects!$B$27/Projects!$D$27,"")</f>
        <v/>
      </c>
      <c r="BI46" s="567">
        <f>IF(AND(Projects!$C$27&lt;=BI$4,BI$4&lt;=Projects!$C$27+Projects!$D$27-1),Projects!$B$27/Projects!$D$27,"")</f>
        <v/>
      </c>
      <c r="BJ46" s="567">
        <f>IF(AND(Projects!$C$27&lt;=BJ$4,BJ$4&lt;=Projects!$C$27+Projects!$D$27-1),Projects!$B$27/Projects!$D$27,"")</f>
        <v/>
      </c>
      <c r="BK46" s="567">
        <f>IF(AND(Projects!$C$27&lt;=BK$4,BK$4&lt;=Projects!$C$27+Projects!$D$27-1),Projects!$B$27/Projects!$D$27,"")</f>
        <v/>
      </c>
      <c r="BL46" s="567">
        <f>IF(AND(Projects!$C$27&lt;=BL$4,BL$4&lt;=Projects!$C$27+Projects!$D$27-1),Projects!$B$27/Projects!$D$27,"")</f>
        <v/>
      </c>
      <c r="BM46" s="567">
        <f>IF(AND(Projects!$C$27&lt;=BM$4,BM$4&lt;=Projects!$C$27+Projects!$D$27-1),Projects!$B$27/Projects!$D$27,"")</f>
        <v/>
      </c>
      <c r="BN46" s="567">
        <f>IF(AND(Projects!$C$27&lt;=BN$4,BN$4&lt;=Projects!$C$27+Projects!$D$27-1),Projects!$B$27/Projects!$D$27,"")</f>
        <v/>
      </c>
      <c r="BO46" s="567">
        <f>IF(AND(Projects!$C$27&lt;=BO$4,BO$4&lt;=Projects!$C$27+Projects!$D$27-1),Projects!$B$27/Projects!$D$27,"")</f>
        <v/>
      </c>
      <c r="BP46" s="567">
        <f>IF(AND(Projects!$C$27&lt;=BP$4,BP$4&lt;=Projects!$C$27+Projects!$D$27-1),Projects!$B$27/Projects!$D$27,"")</f>
        <v/>
      </c>
      <c r="BQ46" s="567">
        <f>IF(AND(Projects!$C$27&lt;=BQ$4,BQ$4&lt;=Projects!$C$27+Projects!$D$27-1),Projects!$B$27/Projects!$D$27,"")</f>
        <v/>
      </c>
      <c r="BR46" s="567">
        <f>IF(AND(Projects!$C$27&lt;=BR$4,BR$4&lt;=Projects!$C$27+Projects!$D$27-1),Projects!$B$27/Projects!$D$27,"")</f>
        <v/>
      </c>
      <c r="BS46" s="567">
        <f>IF(AND(Projects!$C$27&lt;=BS$4,BS$4&lt;=Projects!$C$27+Projects!$D$27-1),Projects!$B$27/Projects!$D$27,"")</f>
        <v/>
      </c>
      <c r="BT46" s="567">
        <f>IF(AND(Projects!$C$27&lt;=BT$4,BT$4&lt;=Projects!$C$27+Projects!$D$27-1),Projects!$B$27/Projects!$D$27,"")</f>
        <v/>
      </c>
      <c r="BU46" s="567">
        <f>IF(AND(Projects!$C$27&lt;=BU$4,BU$4&lt;=Projects!$C$27+Projects!$D$27-1),Projects!$B$27/Projects!$D$27,"")</f>
        <v/>
      </c>
      <c r="BV46" s="567">
        <f>IF(AND(Projects!$C$27&lt;=BV$4,BV$4&lt;=Projects!$C$27+Projects!$D$27-1),Projects!$B$27/Projects!$D$27,"")</f>
        <v/>
      </c>
      <c r="BW46" s="567">
        <f>IF(AND(Projects!$C$27&lt;=BW$4,BW$4&lt;=Projects!$C$27+Projects!$D$27-1),Projects!$B$27/Projects!$D$27,"")</f>
        <v/>
      </c>
      <c r="BX46" s="567">
        <f>IF(AND(Projects!$C$27&lt;=BX$4,BX$4&lt;=Projects!$C$27+Projects!$D$27-1),Projects!$B$27/Projects!$D$27,"")</f>
        <v/>
      </c>
      <c r="BY46" s="567">
        <f>IF(AND(Projects!$C$27&lt;=BY$4,BY$4&lt;=Projects!$C$27+Projects!$D$27-1),Projects!$B$27/Projects!$D$27,"")</f>
        <v/>
      </c>
      <c r="BZ46" s="567">
        <f>IF(AND(Projects!$C$27&lt;=BZ$4,BZ$4&lt;=Projects!$C$27+Projects!$D$27-1),Projects!$B$27/Projects!$D$27,"")</f>
        <v/>
      </c>
      <c r="CA46" s="567">
        <f>IF(AND(Projects!$C$27&lt;=CA$4,CA$4&lt;=Projects!$C$27+Projects!$D$27-1),Projects!$B$27/Projects!$D$27,"")</f>
        <v/>
      </c>
      <c r="CB46" s="567">
        <f>IF(AND(Projects!$C$27&lt;=CB$4,CB$4&lt;=Projects!$C$27+Projects!$D$27-1),Projects!$B$27/Projects!$D$27,"")</f>
        <v/>
      </c>
      <c r="CC46" s="567">
        <f>IF(AND(Projects!$C$27&lt;=CC$4,CC$4&lt;=Projects!$C$27+Projects!$D$27-1),Projects!$B$27/Projects!$D$27,"")</f>
        <v/>
      </c>
      <c r="CD46" s="567">
        <f>IF(AND(Projects!$C$27&lt;=CD$4,CD$4&lt;=Projects!$C$27+Projects!$D$27-1),Projects!$B$27/Projects!$D$27,"")</f>
        <v/>
      </c>
      <c r="CE46" s="567">
        <f>IF(AND(Projects!$C$27&lt;=CE$4,CE$4&lt;=Projects!$C$27+Projects!$D$27-1),Projects!$B$27/Projects!$D$27,"")</f>
        <v/>
      </c>
      <c r="CF46" s="567">
        <f>IF(AND(Projects!$C$27&lt;=CF$4,CF$4&lt;=Projects!$C$27+Projects!$D$27-1),Projects!$B$27/Projects!$D$27,"")</f>
        <v/>
      </c>
      <c r="CG46" s="567">
        <f>IF(AND(Projects!$C$27&lt;=CG$4,CG$4&lt;=Projects!$C$27+Projects!$D$27-1),Projects!$B$27/Projects!$D$27,"")</f>
        <v/>
      </c>
      <c r="CH46" s="567">
        <f>IF(AND(Projects!$C$27&lt;=CH$4,CH$4&lt;=Projects!$C$27+Projects!$D$27-1),Projects!$B$27/Projects!$D$27,"")</f>
        <v/>
      </c>
      <c r="CI46" s="567">
        <f>IF(AND(Projects!$C$27&lt;=CI$4,CI$4&lt;=Projects!$C$27+Projects!$D$27-1),Projects!$B$27/Projects!$D$27,"")</f>
        <v/>
      </c>
      <c r="CJ46" s="567">
        <f>IF(AND(Projects!$C$27&lt;=CJ$4,CJ$4&lt;=Projects!$C$27+Projects!$D$27-1),Projects!$B$27/Projects!$D$27,"")</f>
        <v/>
      </c>
      <c r="CK46" s="567">
        <f>IF(AND(Projects!$C$27&lt;=CK$4,CK$4&lt;=Projects!$C$27+Projects!$D$27-1),Projects!$B$27/Projects!$D$27,"")</f>
        <v/>
      </c>
      <c r="CL46" s="567">
        <f>IF(AND(Projects!$C$27&lt;=CL$4,CL$4&lt;=Projects!$C$27+Projects!$D$27-1),Projects!$B$27/Projects!$D$27,"")</f>
        <v/>
      </c>
      <c r="CM46" s="567">
        <f>IF(AND(Projects!$C$27&lt;=CM$4,CM$4&lt;=Projects!$C$27+Projects!$D$27-1),Projects!$B$27/Projects!$D$27,"")</f>
        <v/>
      </c>
      <c r="CN46" s="567">
        <f>IF(AND(Projects!$C$27&lt;=CN$4,CN$4&lt;=Projects!$C$27+Projects!$D$27-1),Projects!$B$27/Projects!$D$27,"")</f>
        <v/>
      </c>
      <c r="CO46" s="567">
        <f>IF(AND(Projects!$C$27&lt;=CO$4,CO$4&lt;=Projects!$C$27+Projects!$D$27-1),Projects!$B$27/Projects!$D$27,"")</f>
        <v/>
      </c>
      <c r="CP46" s="567">
        <f>IF(AND(Projects!$C$27&lt;=CP$4,CP$4&lt;=Projects!$C$27+Projects!$D$27-1),Projects!$B$27/Projects!$D$27,"")</f>
        <v/>
      </c>
      <c r="CQ46" s="567">
        <f>IF(AND(Projects!$C$27&lt;=CQ$4,CQ$4&lt;=Projects!$C$27+Projects!$D$27-1),Projects!$B$27/Projects!$D$27,"")</f>
        <v/>
      </c>
      <c r="CR46" s="567">
        <f>IF(AND(Projects!$C$27&lt;=CR$4,CR$4&lt;=Projects!$C$27+Projects!$D$27-1),Projects!$B$27/Projects!$D$27,"")</f>
        <v/>
      </c>
      <c r="CS46" s="567">
        <f>IF(AND(Projects!$C$27&lt;=CS$4,CS$4&lt;=Projects!$C$27+Projects!$D$27-1),Projects!$B$27/Projects!$D$27,"")</f>
        <v/>
      </c>
      <c r="CT46" s="567">
        <f>IF(AND(Projects!$C$27&lt;=CT$4,CT$4&lt;=Projects!$C$27+Projects!$D$27-1),Projects!$B$27/Projects!$D$27,"")</f>
        <v/>
      </c>
      <c r="CU46" s="567">
        <f>IF(AND(Projects!$C$27&lt;=CU$4,CU$4&lt;=Projects!$C$27+Projects!$D$27-1),Projects!$B$27/Projects!$D$27,"")</f>
        <v/>
      </c>
      <c r="CV46" s="567">
        <f>IF(AND(Projects!$C$27&lt;=CV$4,CV$4&lt;=Projects!$C$27+Projects!$D$27-1),Projects!$B$27/Projects!$D$27,"")</f>
        <v/>
      </c>
      <c r="CW46" s="567">
        <f>IF(AND(Projects!$C$27&lt;=CW$4,CW$4&lt;=Projects!$C$27+Projects!$D$27-1),Projects!$B$27/Projects!$D$27,"")</f>
        <v/>
      </c>
      <c r="CX46" s="567">
        <f>IF(AND(Projects!$C$27&lt;=CX$4,CX$4&lt;=Projects!$C$27+Projects!$D$27-1),Projects!$B$27/Projects!$D$27,"")</f>
        <v/>
      </c>
      <c r="CY46" s="567">
        <f>IF(AND(Projects!$C$27&lt;=CY$4,CY$4&lt;=Projects!$C$27+Projects!$D$27-1),Projects!$B$27/Projects!$D$27,"")</f>
        <v/>
      </c>
      <c r="CZ46" s="567">
        <f>IF(AND(Projects!$C$27&lt;=CZ$4,CZ$4&lt;=Projects!$C$27+Projects!$D$27-1),Projects!$B$27/Projects!$D$27,"")</f>
        <v/>
      </c>
      <c r="DA46" s="567">
        <f>IF(AND(Projects!$C$27&lt;=DA$4,DA$4&lt;=Projects!$C$27+Projects!$D$27-1),Projects!$B$27/Projects!$D$27,"")</f>
        <v/>
      </c>
      <c r="DB46" s="567">
        <f>IF(AND(Projects!$C$27&lt;=DB$4,DB$4&lt;=Projects!$C$27+Projects!$D$27-1),Projects!$B$27/Projects!$D$27,"")</f>
        <v/>
      </c>
    </row>
    <row r="47" ht="15" customFormat="1" customHeight="1" s="380">
      <c r="A47" s="563" t="inlineStr">
        <is>
          <t>BD-12</t>
        </is>
      </c>
      <c r="B47" s="564">
        <f>Projects!$B$28</f>
        <v/>
      </c>
      <c r="C47" s="565">
        <f>EDATE(Model!$E$2,Projects!$C$28-1)</f>
        <v/>
      </c>
      <c r="D47" s="565">
        <f>EDATE(Model!$E$2,Projects!$C$28+Projects!$D$28-2)</f>
        <v/>
      </c>
      <c r="E47" s="566">
        <f>Projects!$D$28</f>
        <v/>
      </c>
      <c r="F47" s="564">
        <f>Projects!$B$28/Projects!$D$28</f>
        <v/>
      </c>
      <c r="G47" s="567">
        <f>IF(AND(Projects!$C$28&lt;=G$4,G$4&lt;=Projects!$C$28+Projects!$D$28-1),Projects!$B$28/Projects!$D$28,"")</f>
        <v/>
      </c>
      <c r="H47" s="567">
        <f>IF(AND(Projects!$C$28&lt;=H$4,H$4&lt;=Projects!$C$28+Projects!$D$28-1),Projects!$B$28/Projects!$D$28,"")</f>
        <v/>
      </c>
      <c r="I47" s="567">
        <f>IF(AND(Projects!$C$28&lt;=I$4,I$4&lt;=Projects!$C$28+Projects!$D$28-1),Projects!$B$28/Projects!$D$28,"")</f>
        <v/>
      </c>
      <c r="J47" s="567">
        <f>IF(AND(Projects!$C$28&lt;=J$4,J$4&lt;=Projects!$C$28+Projects!$D$28-1),Projects!$B$28/Projects!$D$28,"")</f>
        <v/>
      </c>
      <c r="K47" s="567">
        <f>IF(AND(Projects!$C$28&lt;=K$4,K$4&lt;=Projects!$C$28+Projects!$D$28-1),Projects!$B$28/Projects!$D$28,"")</f>
        <v/>
      </c>
      <c r="L47" s="567">
        <f>IF(AND(Projects!$C$28&lt;=L$4,L$4&lt;=Projects!$C$28+Projects!$D$28-1),Projects!$B$28/Projects!$D$28,"")</f>
        <v/>
      </c>
      <c r="M47" s="567">
        <f>IF(AND(Projects!$C$28&lt;=M$4,M$4&lt;=Projects!$C$28+Projects!$D$28-1),Projects!$B$28/Projects!$D$28,"")</f>
        <v/>
      </c>
      <c r="N47" s="567">
        <f>IF(AND(Projects!$C$28&lt;=N$4,N$4&lt;=Projects!$C$28+Projects!$D$28-1),Projects!$B$28/Projects!$D$28,"")</f>
        <v/>
      </c>
      <c r="O47" s="567">
        <f>IF(AND(Projects!$C$28&lt;=O$4,O$4&lt;=Projects!$C$28+Projects!$D$28-1),Projects!$B$28/Projects!$D$28,"")</f>
        <v/>
      </c>
      <c r="P47" s="567">
        <f>IF(AND(Projects!$C$28&lt;=P$4,P$4&lt;=Projects!$C$28+Projects!$D$28-1),Projects!$B$28/Projects!$D$28,"")</f>
        <v/>
      </c>
      <c r="Q47" s="567">
        <f>IF(AND(Projects!$C$28&lt;=Q$4,Q$4&lt;=Projects!$C$28+Projects!$D$28-1),Projects!$B$28/Projects!$D$28,"")</f>
        <v/>
      </c>
      <c r="R47" s="567">
        <f>IF(AND(Projects!$C$28&lt;=R$4,R$4&lt;=Projects!$C$28+Projects!$D$28-1),Projects!$B$28/Projects!$D$28,"")</f>
        <v/>
      </c>
      <c r="S47" s="567">
        <f>IF(AND(Projects!$C$28&lt;=S$4,S$4&lt;=Projects!$C$28+Projects!$D$28-1),Projects!$B$28/Projects!$D$28,"")</f>
        <v/>
      </c>
      <c r="T47" s="567">
        <f>IF(AND(Projects!$C$28&lt;=T$4,T$4&lt;=Projects!$C$28+Projects!$D$28-1),Projects!$B$28/Projects!$D$28,"")</f>
        <v/>
      </c>
      <c r="U47" s="567">
        <f>IF(AND(Projects!$C$28&lt;=U$4,U$4&lt;=Projects!$C$28+Projects!$D$28-1),Projects!$B$28/Projects!$D$28,"")</f>
        <v/>
      </c>
      <c r="V47" s="567">
        <f>IF(AND(Projects!$C$28&lt;=V$4,V$4&lt;=Projects!$C$28+Projects!$D$28-1),Projects!$B$28/Projects!$D$28,"")</f>
        <v/>
      </c>
      <c r="W47" s="567">
        <f>IF(AND(Projects!$C$28&lt;=W$4,W$4&lt;=Projects!$C$28+Projects!$D$28-1),Projects!$B$28/Projects!$D$28,"")</f>
        <v/>
      </c>
      <c r="X47" s="567">
        <f>IF(AND(Projects!$C$28&lt;=X$4,X$4&lt;=Projects!$C$28+Projects!$D$28-1),Projects!$B$28/Projects!$D$28,"")</f>
        <v/>
      </c>
      <c r="Y47" s="567">
        <f>IF(AND(Projects!$C$28&lt;=Y$4,Y$4&lt;=Projects!$C$28+Projects!$D$28-1),Projects!$B$28/Projects!$D$28,"")</f>
        <v/>
      </c>
      <c r="Z47" s="567">
        <f>IF(AND(Projects!$C$28&lt;=Z$4,Z$4&lt;=Projects!$C$28+Projects!$D$28-1),Projects!$B$28/Projects!$D$28,"")</f>
        <v/>
      </c>
      <c r="AA47" s="567">
        <f>IF(AND(Projects!$C$28&lt;=AA$4,AA$4&lt;=Projects!$C$28+Projects!$D$28-1),Projects!$B$28/Projects!$D$28,"")</f>
        <v/>
      </c>
      <c r="AB47" s="567">
        <f>IF(AND(Projects!$C$28&lt;=AB$4,AB$4&lt;=Projects!$C$28+Projects!$D$28-1),Projects!$B$28/Projects!$D$28,"")</f>
        <v/>
      </c>
      <c r="AC47" s="567">
        <f>IF(AND(Projects!$C$28&lt;=AC$4,AC$4&lt;=Projects!$C$28+Projects!$D$28-1),Projects!$B$28/Projects!$D$28,"")</f>
        <v/>
      </c>
      <c r="AD47" s="567">
        <f>IF(AND(Projects!$C$28&lt;=AD$4,AD$4&lt;=Projects!$C$28+Projects!$D$28-1),Projects!$B$28/Projects!$D$28,"")</f>
        <v/>
      </c>
      <c r="AE47" s="567">
        <f>IF(AND(Projects!$C$28&lt;=AE$4,AE$4&lt;=Projects!$C$28+Projects!$D$28-1),Projects!$B$28/Projects!$D$28,"")</f>
        <v/>
      </c>
      <c r="AF47" s="567">
        <f>IF(AND(Projects!$C$28&lt;=AF$4,AF$4&lt;=Projects!$C$28+Projects!$D$28-1),Projects!$B$28/Projects!$D$28,"")</f>
        <v/>
      </c>
      <c r="AG47" s="567">
        <f>IF(AND(Projects!$C$28&lt;=AG$4,AG$4&lt;=Projects!$C$28+Projects!$D$28-1),Projects!$B$28/Projects!$D$28,"")</f>
        <v/>
      </c>
      <c r="AH47" s="567">
        <f>IF(AND(Projects!$C$28&lt;=AH$4,AH$4&lt;=Projects!$C$28+Projects!$D$28-1),Projects!$B$28/Projects!$D$28,"")</f>
        <v/>
      </c>
      <c r="AI47" s="567">
        <f>IF(AND(Projects!$C$28&lt;=AI$4,AI$4&lt;=Projects!$C$28+Projects!$D$28-1),Projects!$B$28/Projects!$D$28,"")</f>
        <v/>
      </c>
      <c r="AJ47" s="567">
        <f>IF(AND(Projects!$C$28&lt;=AJ$4,AJ$4&lt;=Projects!$C$28+Projects!$D$28-1),Projects!$B$28/Projects!$D$28,"")</f>
        <v/>
      </c>
      <c r="AK47" s="567">
        <f>IF(AND(Projects!$C$28&lt;=AK$4,AK$4&lt;=Projects!$C$28+Projects!$D$28-1),Projects!$B$28/Projects!$D$28,"")</f>
        <v/>
      </c>
      <c r="AL47" s="567">
        <f>IF(AND(Projects!$C$28&lt;=AL$4,AL$4&lt;=Projects!$C$28+Projects!$D$28-1),Projects!$B$28/Projects!$D$28,"")</f>
        <v/>
      </c>
      <c r="AM47" s="567">
        <f>IF(AND(Projects!$C$28&lt;=AM$4,AM$4&lt;=Projects!$C$28+Projects!$D$28-1),Projects!$B$28/Projects!$D$28,"")</f>
        <v/>
      </c>
      <c r="AN47" s="567">
        <f>IF(AND(Projects!$C$28&lt;=AN$4,AN$4&lt;=Projects!$C$28+Projects!$D$28-1),Projects!$B$28/Projects!$D$28,"")</f>
        <v/>
      </c>
      <c r="AO47" s="567">
        <f>IF(AND(Projects!$C$28&lt;=AO$4,AO$4&lt;=Projects!$C$28+Projects!$D$28-1),Projects!$B$28/Projects!$D$28,"")</f>
        <v/>
      </c>
      <c r="AP47" s="567">
        <f>IF(AND(Projects!$C$28&lt;=AP$4,AP$4&lt;=Projects!$C$28+Projects!$D$28-1),Projects!$B$28/Projects!$D$28,"")</f>
        <v/>
      </c>
      <c r="AQ47" s="567">
        <f>IF(AND(Projects!$C$28&lt;=AQ$4,AQ$4&lt;=Projects!$C$28+Projects!$D$28-1),Projects!$B$28/Projects!$D$28,"")</f>
        <v/>
      </c>
      <c r="AR47" s="567">
        <f>IF(AND(Projects!$C$28&lt;=AR$4,AR$4&lt;=Projects!$C$28+Projects!$D$28-1),Projects!$B$28/Projects!$D$28,"")</f>
        <v/>
      </c>
      <c r="AS47" s="567">
        <f>IF(AND(Projects!$C$28&lt;=AS$4,AS$4&lt;=Projects!$C$28+Projects!$D$28-1),Projects!$B$28/Projects!$D$28,"")</f>
        <v/>
      </c>
      <c r="AT47" s="567">
        <f>IF(AND(Projects!$C$28&lt;=AT$4,AT$4&lt;=Projects!$C$28+Projects!$D$28-1),Projects!$B$28/Projects!$D$28,"")</f>
        <v/>
      </c>
      <c r="AU47" s="567">
        <f>IF(AND(Projects!$C$28&lt;=AU$4,AU$4&lt;=Projects!$C$28+Projects!$D$28-1),Projects!$B$28/Projects!$D$28,"")</f>
        <v/>
      </c>
      <c r="AV47" s="567">
        <f>IF(AND(Projects!$C$28&lt;=AV$4,AV$4&lt;=Projects!$C$28+Projects!$D$28-1),Projects!$B$28/Projects!$D$28,"")</f>
        <v/>
      </c>
      <c r="AW47" s="567">
        <f>IF(AND(Projects!$C$28&lt;=AW$4,AW$4&lt;=Projects!$C$28+Projects!$D$28-1),Projects!$B$28/Projects!$D$28,"")</f>
        <v/>
      </c>
      <c r="AX47" s="567">
        <f>IF(AND(Projects!$C$28&lt;=AX$4,AX$4&lt;=Projects!$C$28+Projects!$D$28-1),Projects!$B$28/Projects!$D$28,"")</f>
        <v/>
      </c>
      <c r="AY47" s="567">
        <f>IF(AND(Projects!$C$28&lt;=AY$4,AY$4&lt;=Projects!$C$28+Projects!$D$28-1),Projects!$B$28/Projects!$D$28,"")</f>
        <v/>
      </c>
      <c r="AZ47" s="567">
        <f>IF(AND(Projects!$C$28&lt;=AZ$4,AZ$4&lt;=Projects!$C$28+Projects!$D$28-1),Projects!$B$28/Projects!$D$28,"")</f>
        <v/>
      </c>
      <c r="BA47" s="567">
        <f>IF(AND(Projects!$C$28&lt;=BA$4,BA$4&lt;=Projects!$C$28+Projects!$D$28-1),Projects!$B$28/Projects!$D$28,"")</f>
        <v/>
      </c>
      <c r="BB47" s="567">
        <f>IF(AND(Projects!$C$28&lt;=BB$4,BB$4&lt;=Projects!$C$28+Projects!$D$28-1),Projects!$B$28/Projects!$D$28,"")</f>
        <v/>
      </c>
      <c r="BC47" s="567">
        <f>IF(AND(Projects!$C$28&lt;=BC$4,BC$4&lt;=Projects!$C$28+Projects!$D$28-1),Projects!$B$28/Projects!$D$28,"")</f>
        <v/>
      </c>
      <c r="BD47" s="567">
        <f>IF(AND(Projects!$C$28&lt;=BD$4,BD$4&lt;=Projects!$C$28+Projects!$D$28-1),Projects!$B$28/Projects!$D$28,"")</f>
        <v/>
      </c>
      <c r="BE47" s="567">
        <f>IF(AND(Projects!$C$28&lt;=BE$4,BE$4&lt;=Projects!$C$28+Projects!$D$28-1),Projects!$B$28/Projects!$D$28,"")</f>
        <v/>
      </c>
      <c r="BF47" s="567">
        <f>IF(AND(Projects!$C$28&lt;=BF$4,BF$4&lt;=Projects!$C$28+Projects!$D$28-1),Projects!$B$28/Projects!$D$28,"")</f>
        <v/>
      </c>
      <c r="BG47" s="567">
        <f>IF(AND(Projects!$C$28&lt;=BG$4,BG$4&lt;=Projects!$C$28+Projects!$D$28-1),Projects!$B$28/Projects!$D$28,"")</f>
        <v/>
      </c>
      <c r="BH47" s="567">
        <f>IF(AND(Projects!$C$28&lt;=BH$4,BH$4&lt;=Projects!$C$28+Projects!$D$28-1),Projects!$B$28/Projects!$D$28,"")</f>
        <v/>
      </c>
      <c r="BI47" s="567">
        <f>IF(AND(Projects!$C$28&lt;=BI$4,BI$4&lt;=Projects!$C$28+Projects!$D$28-1),Projects!$B$28/Projects!$D$28,"")</f>
        <v/>
      </c>
      <c r="BJ47" s="567">
        <f>IF(AND(Projects!$C$28&lt;=BJ$4,BJ$4&lt;=Projects!$C$28+Projects!$D$28-1),Projects!$B$28/Projects!$D$28,"")</f>
        <v/>
      </c>
      <c r="BK47" s="567">
        <f>IF(AND(Projects!$C$28&lt;=BK$4,BK$4&lt;=Projects!$C$28+Projects!$D$28-1),Projects!$B$28/Projects!$D$28,"")</f>
        <v/>
      </c>
      <c r="BL47" s="567">
        <f>IF(AND(Projects!$C$28&lt;=BL$4,BL$4&lt;=Projects!$C$28+Projects!$D$28-1),Projects!$B$28/Projects!$D$28,"")</f>
        <v/>
      </c>
      <c r="BM47" s="567">
        <f>IF(AND(Projects!$C$28&lt;=BM$4,BM$4&lt;=Projects!$C$28+Projects!$D$28-1),Projects!$B$28/Projects!$D$28,"")</f>
        <v/>
      </c>
      <c r="BN47" s="567">
        <f>IF(AND(Projects!$C$28&lt;=BN$4,BN$4&lt;=Projects!$C$28+Projects!$D$28-1),Projects!$B$28/Projects!$D$28,"")</f>
        <v/>
      </c>
      <c r="BO47" s="567">
        <f>IF(AND(Projects!$C$28&lt;=BO$4,BO$4&lt;=Projects!$C$28+Projects!$D$28-1),Projects!$B$28/Projects!$D$28,"")</f>
        <v/>
      </c>
      <c r="BP47" s="567">
        <f>IF(AND(Projects!$C$28&lt;=BP$4,BP$4&lt;=Projects!$C$28+Projects!$D$28-1),Projects!$B$28/Projects!$D$28,"")</f>
        <v/>
      </c>
      <c r="BQ47" s="567">
        <f>IF(AND(Projects!$C$28&lt;=BQ$4,BQ$4&lt;=Projects!$C$28+Projects!$D$28-1),Projects!$B$28/Projects!$D$28,"")</f>
        <v/>
      </c>
      <c r="BR47" s="567">
        <f>IF(AND(Projects!$C$28&lt;=BR$4,BR$4&lt;=Projects!$C$28+Projects!$D$28-1),Projects!$B$28/Projects!$D$28,"")</f>
        <v/>
      </c>
      <c r="BS47" s="567">
        <f>IF(AND(Projects!$C$28&lt;=BS$4,BS$4&lt;=Projects!$C$28+Projects!$D$28-1),Projects!$B$28/Projects!$D$28,"")</f>
        <v/>
      </c>
      <c r="BT47" s="567">
        <f>IF(AND(Projects!$C$28&lt;=BT$4,BT$4&lt;=Projects!$C$28+Projects!$D$28-1),Projects!$B$28/Projects!$D$28,"")</f>
        <v/>
      </c>
      <c r="BU47" s="567">
        <f>IF(AND(Projects!$C$28&lt;=BU$4,BU$4&lt;=Projects!$C$28+Projects!$D$28-1),Projects!$B$28/Projects!$D$28,"")</f>
        <v/>
      </c>
      <c r="BV47" s="567">
        <f>IF(AND(Projects!$C$28&lt;=BV$4,BV$4&lt;=Projects!$C$28+Projects!$D$28-1),Projects!$B$28/Projects!$D$28,"")</f>
        <v/>
      </c>
      <c r="BW47" s="567">
        <f>IF(AND(Projects!$C$28&lt;=BW$4,BW$4&lt;=Projects!$C$28+Projects!$D$28-1),Projects!$B$28/Projects!$D$28,"")</f>
        <v/>
      </c>
      <c r="BX47" s="567">
        <f>IF(AND(Projects!$C$28&lt;=BX$4,BX$4&lt;=Projects!$C$28+Projects!$D$28-1),Projects!$B$28/Projects!$D$28,"")</f>
        <v/>
      </c>
      <c r="BY47" s="567">
        <f>IF(AND(Projects!$C$28&lt;=BY$4,BY$4&lt;=Projects!$C$28+Projects!$D$28-1),Projects!$B$28/Projects!$D$28,"")</f>
        <v/>
      </c>
      <c r="BZ47" s="567">
        <f>IF(AND(Projects!$C$28&lt;=BZ$4,BZ$4&lt;=Projects!$C$28+Projects!$D$28-1),Projects!$B$28/Projects!$D$28,"")</f>
        <v/>
      </c>
      <c r="CA47" s="567">
        <f>IF(AND(Projects!$C$28&lt;=CA$4,CA$4&lt;=Projects!$C$28+Projects!$D$28-1),Projects!$B$28/Projects!$D$28,"")</f>
        <v/>
      </c>
      <c r="CB47" s="567">
        <f>IF(AND(Projects!$C$28&lt;=CB$4,CB$4&lt;=Projects!$C$28+Projects!$D$28-1),Projects!$B$28/Projects!$D$28,"")</f>
        <v/>
      </c>
      <c r="CC47" s="567">
        <f>IF(AND(Projects!$C$28&lt;=CC$4,CC$4&lt;=Projects!$C$28+Projects!$D$28-1),Projects!$B$28/Projects!$D$28,"")</f>
        <v/>
      </c>
      <c r="CD47" s="567">
        <f>IF(AND(Projects!$C$28&lt;=CD$4,CD$4&lt;=Projects!$C$28+Projects!$D$28-1),Projects!$B$28/Projects!$D$28,"")</f>
        <v/>
      </c>
      <c r="CE47" s="567">
        <f>IF(AND(Projects!$C$28&lt;=CE$4,CE$4&lt;=Projects!$C$28+Projects!$D$28-1),Projects!$B$28/Projects!$D$28,"")</f>
        <v/>
      </c>
      <c r="CF47" s="567">
        <f>IF(AND(Projects!$C$28&lt;=CF$4,CF$4&lt;=Projects!$C$28+Projects!$D$28-1),Projects!$B$28/Projects!$D$28,"")</f>
        <v/>
      </c>
      <c r="CG47" s="567">
        <f>IF(AND(Projects!$C$28&lt;=CG$4,CG$4&lt;=Projects!$C$28+Projects!$D$28-1),Projects!$B$28/Projects!$D$28,"")</f>
        <v/>
      </c>
      <c r="CH47" s="567">
        <f>IF(AND(Projects!$C$28&lt;=CH$4,CH$4&lt;=Projects!$C$28+Projects!$D$28-1),Projects!$B$28/Projects!$D$28,"")</f>
        <v/>
      </c>
      <c r="CI47" s="567">
        <f>IF(AND(Projects!$C$28&lt;=CI$4,CI$4&lt;=Projects!$C$28+Projects!$D$28-1),Projects!$B$28/Projects!$D$28,"")</f>
        <v/>
      </c>
      <c r="CJ47" s="567">
        <f>IF(AND(Projects!$C$28&lt;=CJ$4,CJ$4&lt;=Projects!$C$28+Projects!$D$28-1),Projects!$B$28/Projects!$D$28,"")</f>
        <v/>
      </c>
      <c r="CK47" s="567">
        <f>IF(AND(Projects!$C$28&lt;=CK$4,CK$4&lt;=Projects!$C$28+Projects!$D$28-1),Projects!$B$28/Projects!$D$28,"")</f>
        <v/>
      </c>
      <c r="CL47" s="567">
        <f>IF(AND(Projects!$C$28&lt;=CL$4,CL$4&lt;=Projects!$C$28+Projects!$D$28-1),Projects!$B$28/Projects!$D$28,"")</f>
        <v/>
      </c>
      <c r="CM47" s="567">
        <f>IF(AND(Projects!$C$28&lt;=CM$4,CM$4&lt;=Projects!$C$28+Projects!$D$28-1),Projects!$B$28/Projects!$D$28,"")</f>
        <v/>
      </c>
      <c r="CN47" s="567">
        <f>IF(AND(Projects!$C$28&lt;=CN$4,CN$4&lt;=Projects!$C$28+Projects!$D$28-1),Projects!$B$28/Projects!$D$28,"")</f>
        <v/>
      </c>
      <c r="CO47" s="567">
        <f>IF(AND(Projects!$C$28&lt;=CO$4,CO$4&lt;=Projects!$C$28+Projects!$D$28-1),Projects!$B$28/Projects!$D$28,"")</f>
        <v/>
      </c>
      <c r="CP47" s="567">
        <f>IF(AND(Projects!$C$28&lt;=CP$4,CP$4&lt;=Projects!$C$28+Projects!$D$28-1),Projects!$B$28/Projects!$D$28,"")</f>
        <v/>
      </c>
      <c r="CQ47" s="567">
        <f>IF(AND(Projects!$C$28&lt;=CQ$4,CQ$4&lt;=Projects!$C$28+Projects!$D$28-1),Projects!$B$28/Projects!$D$28,"")</f>
        <v/>
      </c>
      <c r="CR47" s="567">
        <f>IF(AND(Projects!$C$28&lt;=CR$4,CR$4&lt;=Projects!$C$28+Projects!$D$28-1),Projects!$B$28/Projects!$D$28,"")</f>
        <v/>
      </c>
      <c r="CS47" s="567">
        <f>IF(AND(Projects!$C$28&lt;=CS$4,CS$4&lt;=Projects!$C$28+Projects!$D$28-1),Projects!$B$28/Projects!$D$28,"")</f>
        <v/>
      </c>
      <c r="CT47" s="567">
        <f>IF(AND(Projects!$C$28&lt;=CT$4,CT$4&lt;=Projects!$C$28+Projects!$D$28-1),Projects!$B$28/Projects!$D$28,"")</f>
        <v/>
      </c>
      <c r="CU47" s="567">
        <f>IF(AND(Projects!$C$28&lt;=CU$4,CU$4&lt;=Projects!$C$28+Projects!$D$28-1),Projects!$B$28/Projects!$D$28,"")</f>
        <v/>
      </c>
      <c r="CV47" s="567">
        <f>IF(AND(Projects!$C$28&lt;=CV$4,CV$4&lt;=Projects!$C$28+Projects!$D$28-1),Projects!$B$28/Projects!$D$28,"")</f>
        <v/>
      </c>
      <c r="CW47" s="567">
        <f>IF(AND(Projects!$C$28&lt;=CW$4,CW$4&lt;=Projects!$C$28+Projects!$D$28-1),Projects!$B$28/Projects!$D$28,"")</f>
        <v/>
      </c>
      <c r="CX47" s="567">
        <f>IF(AND(Projects!$C$28&lt;=CX$4,CX$4&lt;=Projects!$C$28+Projects!$D$28-1),Projects!$B$28/Projects!$D$28,"")</f>
        <v/>
      </c>
      <c r="CY47" s="567">
        <f>IF(AND(Projects!$C$28&lt;=CY$4,CY$4&lt;=Projects!$C$28+Projects!$D$28-1),Projects!$B$28/Projects!$D$28,"")</f>
        <v/>
      </c>
      <c r="CZ47" s="567">
        <f>IF(AND(Projects!$C$28&lt;=CZ$4,CZ$4&lt;=Projects!$C$28+Projects!$D$28-1),Projects!$B$28/Projects!$D$28,"")</f>
        <v/>
      </c>
      <c r="DA47" s="567">
        <f>IF(AND(Projects!$C$28&lt;=DA$4,DA$4&lt;=Projects!$C$28+Projects!$D$28-1),Projects!$B$28/Projects!$D$28,"")</f>
        <v/>
      </c>
      <c r="DB47" s="567">
        <f>IF(AND(Projects!$C$28&lt;=DB$4,DB$4&lt;=Projects!$C$28+Projects!$D$28-1),Projects!$B$28/Projects!$D$28,"")</f>
        <v/>
      </c>
    </row>
    <row r="48" ht="15" customFormat="1" customHeight="1" s="380">
      <c r="A48" s="563" t="inlineStr">
        <is>
          <t>BD-14</t>
        </is>
      </c>
      <c r="B48" s="564">
        <f>Projects!$B$30</f>
        <v/>
      </c>
      <c r="C48" s="565">
        <f>EDATE(Model!$E$2,Projects!$C$30-1)</f>
        <v/>
      </c>
      <c r="D48" s="565">
        <f>EDATE(Model!$E$2,Projects!$C$30+Projects!$D$30-2)</f>
        <v/>
      </c>
      <c r="E48" s="566">
        <f>Projects!$D$30</f>
        <v/>
      </c>
      <c r="F48" s="564">
        <f>Projects!$B$30/Projects!$D$30</f>
        <v/>
      </c>
      <c r="G48" s="567">
        <f>IF(AND(Projects!$C$30&lt;=G$4,G$4&lt;=Projects!$C$30+Projects!$D$30-1),Projects!$B$30/Projects!$D$30,"")</f>
        <v/>
      </c>
      <c r="H48" s="567">
        <f>IF(AND(Projects!$C$30&lt;=H$4,H$4&lt;=Projects!$C$30+Projects!$D$30-1),Projects!$B$30/Projects!$D$30,"")</f>
        <v/>
      </c>
      <c r="I48" s="567">
        <f>IF(AND(Projects!$C$30&lt;=I$4,I$4&lt;=Projects!$C$30+Projects!$D$30-1),Projects!$B$30/Projects!$D$30,"")</f>
        <v/>
      </c>
      <c r="J48" s="567">
        <f>IF(AND(Projects!$C$30&lt;=J$4,J$4&lt;=Projects!$C$30+Projects!$D$30-1),Projects!$B$30/Projects!$D$30,"")</f>
        <v/>
      </c>
      <c r="K48" s="567">
        <f>IF(AND(Projects!$C$30&lt;=K$4,K$4&lt;=Projects!$C$30+Projects!$D$30-1),Projects!$B$30/Projects!$D$30,"")</f>
        <v/>
      </c>
      <c r="L48" s="567">
        <f>IF(AND(Projects!$C$30&lt;=L$4,L$4&lt;=Projects!$C$30+Projects!$D$30-1),Projects!$B$30/Projects!$D$30,"")</f>
        <v/>
      </c>
      <c r="M48" s="567">
        <f>IF(AND(Projects!$C$30&lt;=M$4,M$4&lt;=Projects!$C$30+Projects!$D$30-1),Projects!$B$30/Projects!$D$30,"")</f>
        <v/>
      </c>
      <c r="N48" s="567">
        <f>IF(AND(Projects!$C$30&lt;=N$4,N$4&lt;=Projects!$C$30+Projects!$D$30-1),Projects!$B$30/Projects!$D$30,"")</f>
        <v/>
      </c>
      <c r="O48" s="567">
        <f>IF(AND(Projects!$C$30&lt;=O$4,O$4&lt;=Projects!$C$30+Projects!$D$30-1),Projects!$B$30/Projects!$D$30,"")</f>
        <v/>
      </c>
      <c r="P48" s="567">
        <f>IF(AND(Projects!$C$30&lt;=P$4,P$4&lt;=Projects!$C$30+Projects!$D$30-1),Projects!$B$30/Projects!$D$30,"")</f>
        <v/>
      </c>
      <c r="Q48" s="567">
        <f>IF(AND(Projects!$C$30&lt;=Q$4,Q$4&lt;=Projects!$C$30+Projects!$D$30-1),Projects!$B$30/Projects!$D$30,"")</f>
        <v/>
      </c>
      <c r="R48" s="567">
        <f>IF(AND(Projects!$C$30&lt;=R$4,R$4&lt;=Projects!$C$30+Projects!$D$30-1),Projects!$B$30/Projects!$D$30,"")</f>
        <v/>
      </c>
      <c r="S48" s="567">
        <f>IF(AND(Projects!$C$30&lt;=S$4,S$4&lt;=Projects!$C$30+Projects!$D$30-1),Projects!$B$30/Projects!$D$30,"")</f>
        <v/>
      </c>
      <c r="T48" s="567">
        <f>IF(AND(Projects!$C$30&lt;=T$4,T$4&lt;=Projects!$C$30+Projects!$D$30-1),Projects!$B$30/Projects!$D$30,"")</f>
        <v/>
      </c>
      <c r="U48" s="567">
        <f>IF(AND(Projects!$C$30&lt;=U$4,U$4&lt;=Projects!$C$30+Projects!$D$30-1),Projects!$B$30/Projects!$D$30,"")</f>
        <v/>
      </c>
      <c r="V48" s="567">
        <f>IF(AND(Projects!$C$30&lt;=V$4,V$4&lt;=Projects!$C$30+Projects!$D$30-1),Projects!$B$30/Projects!$D$30,"")</f>
        <v/>
      </c>
      <c r="W48" s="567">
        <f>IF(AND(Projects!$C$30&lt;=W$4,W$4&lt;=Projects!$C$30+Projects!$D$30-1),Projects!$B$30/Projects!$D$30,"")</f>
        <v/>
      </c>
      <c r="X48" s="567">
        <f>IF(AND(Projects!$C$30&lt;=X$4,X$4&lt;=Projects!$C$30+Projects!$D$30-1),Projects!$B$30/Projects!$D$30,"")</f>
        <v/>
      </c>
      <c r="Y48" s="567">
        <f>IF(AND(Projects!$C$30&lt;=Y$4,Y$4&lt;=Projects!$C$30+Projects!$D$30-1),Projects!$B$30/Projects!$D$30,"")</f>
        <v/>
      </c>
      <c r="Z48" s="567">
        <f>IF(AND(Projects!$C$30&lt;=Z$4,Z$4&lt;=Projects!$C$30+Projects!$D$30-1),Projects!$B$30/Projects!$D$30,"")</f>
        <v/>
      </c>
      <c r="AA48" s="567">
        <f>IF(AND(Projects!$C$30&lt;=AA$4,AA$4&lt;=Projects!$C$30+Projects!$D$30-1),Projects!$B$30/Projects!$D$30,"")</f>
        <v/>
      </c>
      <c r="AB48" s="567">
        <f>IF(AND(Projects!$C$30&lt;=AB$4,AB$4&lt;=Projects!$C$30+Projects!$D$30-1),Projects!$B$30/Projects!$D$30,"")</f>
        <v/>
      </c>
      <c r="AC48" s="567">
        <f>IF(AND(Projects!$C$30&lt;=AC$4,AC$4&lt;=Projects!$C$30+Projects!$D$30-1),Projects!$B$30/Projects!$D$30,"")</f>
        <v/>
      </c>
      <c r="AD48" s="567">
        <f>IF(AND(Projects!$C$30&lt;=AD$4,AD$4&lt;=Projects!$C$30+Projects!$D$30-1),Projects!$B$30/Projects!$D$30,"")</f>
        <v/>
      </c>
      <c r="AE48" s="567">
        <f>IF(AND(Projects!$C$30&lt;=AE$4,AE$4&lt;=Projects!$C$30+Projects!$D$30-1),Projects!$B$30/Projects!$D$30,"")</f>
        <v/>
      </c>
      <c r="AF48" s="567">
        <f>IF(AND(Projects!$C$30&lt;=AF$4,AF$4&lt;=Projects!$C$30+Projects!$D$30-1),Projects!$B$30/Projects!$D$30,"")</f>
        <v/>
      </c>
      <c r="AG48" s="567">
        <f>IF(AND(Projects!$C$30&lt;=AG$4,AG$4&lt;=Projects!$C$30+Projects!$D$30-1),Projects!$B$30/Projects!$D$30,"")</f>
        <v/>
      </c>
      <c r="AH48" s="567">
        <f>IF(AND(Projects!$C$30&lt;=AH$4,AH$4&lt;=Projects!$C$30+Projects!$D$30-1),Projects!$B$30/Projects!$D$30,"")</f>
        <v/>
      </c>
      <c r="AI48" s="567">
        <f>IF(AND(Projects!$C$30&lt;=AI$4,AI$4&lt;=Projects!$C$30+Projects!$D$30-1),Projects!$B$30/Projects!$D$30,"")</f>
        <v/>
      </c>
      <c r="AJ48" s="567">
        <f>IF(AND(Projects!$C$30&lt;=AJ$4,AJ$4&lt;=Projects!$C$30+Projects!$D$30-1),Projects!$B$30/Projects!$D$30,"")</f>
        <v/>
      </c>
      <c r="AK48" s="567">
        <f>IF(AND(Projects!$C$30&lt;=AK$4,AK$4&lt;=Projects!$C$30+Projects!$D$30-1),Projects!$B$30/Projects!$D$30,"")</f>
        <v/>
      </c>
      <c r="AL48" s="567">
        <f>IF(AND(Projects!$C$30&lt;=AL$4,AL$4&lt;=Projects!$C$30+Projects!$D$30-1),Projects!$B$30/Projects!$D$30,"")</f>
        <v/>
      </c>
      <c r="AM48" s="567">
        <f>IF(AND(Projects!$C$30&lt;=AM$4,AM$4&lt;=Projects!$C$30+Projects!$D$30-1),Projects!$B$30/Projects!$D$30,"")</f>
        <v/>
      </c>
      <c r="AN48" s="567">
        <f>IF(AND(Projects!$C$30&lt;=AN$4,AN$4&lt;=Projects!$C$30+Projects!$D$30-1),Projects!$B$30/Projects!$D$30,"")</f>
        <v/>
      </c>
      <c r="AO48" s="567">
        <f>IF(AND(Projects!$C$30&lt;=AO$4,AO$4&lt;=Projects!$C$30+Projects!$D$30-1),Projects!$B$30/Projects!$D$30,"")</f>
        <v/>
      </c>
      <c r="AP48" s="567">
        <f>IF(AND(Projects!$C$30&lt;=AP$4,AP$4&lt;=Projects!$C$30+Projects!$D$30-1),Projects!$B$30/Projects!$D$30,"")</f>
        <v/>
      </c>
      <c r="AQ48" s="567">
        <f>IF(AND(Projects!$C$30&lt;=AQ$4,AQ$4&lt;=Projects!$C$30+Projects!$D$30-1),Projects!$B$30/Projects!$D$30,"")</f>
        <v/>
      </c>
      <c r="AR48" s="567">
        <f>IF(AND(Projects!$C$30&lt;=AR$4,AR$4&lt;=Projects!$C$30+Projects!$D$30-1),Projects!$B$30/Projects!$D$30,"")</f>
        <v/>
      </c>
      <c r="AS48" s="567">
        <f>IF(AND(Projects!$C$30&lt;=AS$4,AS$4&lt;=Projects!$C$30+Projects!$D$30-1),Projects!$B$30/Projects!$D$30,"")</f>
        <v/>
      </c>
      <c r="AT48" s="567">
        <f>IF(AND(Projects!$C$30&lt;=AT$4,AT$4&lt;=Projects!$C$30+Projects!$D$30-1),Projects!$B$30/Projects!$D$30,"")</f>
        <v/>
      </c>
      <c r="AU48" s="567">
        <f>IF(AND(Projects!$C$30&lt;=AU$4,AU$4&lt;=Projects!$C$30+Projects!$D$30-1),Projects!$B$30/Projects!$D$30,"")</f>
        <v/>
      </c>
      <c r="AV48" s="567">
        <f>IF(AND(Projects!$C$30&lt;=AV$4,AV$4&lt;=Projects!$C$30+Projects!$D$30-1),Projects!$B$30/Projects!$D$30,"")</f>
        <v/>
      </c>
      <c r="AW48" s="567">
        <f>IF(AND(Projects!$C$30&lt;=AW$4,AW$4&lt;=Projects!$C$30+Projects!$D$30-1),Projects!$B$30/Projects!$D$30,"")</f>
        <v/>
      </c>
      <c r="AX48" s="567">
        <f>IF(AND(Projects!$C$30&lt;=AX$4,AX$4&lt;=Projects!$C$30+Projects!$D$30-1),Projects!$B$30/Projects!$D$30,"")</f>
        <v/>
      </c>
      <c r="AY48" s="567">
        <f>IF(AND(Projects!$C$30&lt;=AY$4,AY$4&lt;=Projects!$C$30+Projects!$D$30-1),Projects!$B$30/Projects!$D$30,"")</f>
        <v/>
      </c>
      <c r="AZ48" s="567">
        <f>IF(AND(Projects!$C$30&lt;=AZ$4,AZ$4&lt;=Projects!$C$30+Projects!$D$30-1),Projects!$B$30/Projects!$D$30,"")</f>
        <v/>
      </c>
      <c r="BA48" s="567">
        <f>IF(AND(Projects!$C$30&lt;=BA$4,BA$4&lt;=Projects!$C$30+Projects!$D$30-1),Projects!$B$30/Projects!$D$30,"")</f>
        <v/>
      </c>
      <c r="BB48" s="567">
        <f>IF(AND(Projects!$C$30&lt;=BB$4,BB$4&lt;=Projects!$C$30+Projects!$D$30-1),Projects!$B$30/Projects!$D$30,"")</f>
        <v/>
      </c>
      <c r="BC48" s="567">
        <f>IF(AND(Projects!$C$30&lt;=BC$4,BC$4&lt;=Projects!$C$30+Projects!$D$30-1),Projects!$B$30/Projects!$D$30,"")</f>
        <v/>
      </c>
      <c r="BD48" s="567">
        <f>IF(AND(Projects!$C$30&lt;=BD$4,BD$4&lt;=Projects!$C$30+Projects!$D$30-1),Projects!$B$30/Projects!$D$30,"")</f>
        <v/>
      </c>
      <c r="BE48" s="567">
        <f>IF(AND(Projects!$C$30&lt;=BE$4,BE$4&lt;=Projects!$C$30+Projects!$D$30-1),Projects!$B$30/Projects!$D$30,"")</f>
        <v/>
      </c>
      <c r="BF48" s="567">
        <f>IF(AND(Projects!$C$30&lt;=BF$4,BF$4&lt;=Projects!$C$30+Projects!$D$30-1),Projects!$B$30/Projects!$D$30,"")</f>
        <v/>
      </c>
      <c r="BG48" s="567">
        <f>IF(AND(Projects!$C$30&lt;=BG$4,BG$4&lt;=Projects!$C$30+Projects!$D$30-1),Projects!$B$30/Projects!$D$30,"")</f>
        <v/>
      </c>
      <c r="BH48" s="567">
        <f>IF(AND(Projects!$C$30&lt;=BH$4,BH$4&lt;=Projects!$C$30+Projects!$D$30-1),Projects!$B$30/Projects!$D$30,"")</f>
        <v/>
      </c>
      <c r="BI48" s="567">
        <f>IF(AND(Projects!$C$30&lt;=BI$4,BI$4&lt;=Projects!$C$30+Projects!$D$30-1),Projects!$B$30/Projects!$D$30,"")</f>
        <v/>
      </c>
      <c r="BJ48" s="567">
        <f>IF(AND(Projects!$C$30&lt;=BJ$4,BJ$4&lt;=Projects!$C$30+Projects!$D$30-1),Projects!$B$30/Projects!$D$30,"")</f>
        <v/>
      </c>
      <c r="BK48" s="567">
        <f>IF(AND(Projects!$C$30&lt;=BK$4,BK$4&lt;=Projects!$C$30+Projects!$D$30-1),Projects!$B$30/Projects!$D$30,"")</f>
        <v/>
      </c>
      <c r="BL48" s="567">
        <f>IF(AND(Projects!$C$30&lt;=BL$4,BL$4&lt;=Projects!$C$30+Projects!$D$30-1),Projects!$B$30/Projects!$D$30,"")</f>
        <v/>
      </c>
      <c r="BM48" s="567">
        <f>IF(AND(Projects!$C$30&lt;=BM$4,BM$4&lt;=Projects!$C$30+Projects!$D$30-1),Projects!$B$30/Projects!$D$30,"")</f>
        <v/>
      </c>
      <c r="BN48" s="567">
        <f>IF(AND(Projects!$C$30&lt;=BN$4,BN$4&lt;=Projects!$C$30+Projects!$D$30-1),Projects!$B$30/Projects!$D$30,"")</f>
        <v/>
      </c>
      <c r="BO48" s="567">
        <f>IF(AND(Projects!$C$30&lt;=BO$4,BO$4&lt;=Projects!$C$30+Projects!$D$30-1),Projects!$B$30/Projects!$D$30,"")</f>
        <v/>
      </c>
      <c r="BP48" s="567">
        <f>IF(AND(Projects!$C$30&lt;=BP$4,BP$4&lt;=Projects!$C$30+Projects!$D$30-1),Projects!$B$30/Projects!$D$30,"")</f>
        <v/>
      </c>
      <c r="BQ48" s="567">
        <f>IF(AND(Projects!$C$30&lt;=BQ$4,BQ$4&lt;=Projects!$C$30+Projects!$D$30-1),Projects!$B$30/Projects!$D$30,"")</f>
        <v/>
      </c>
      <c r="BR48" s="567">
        <f>IF(AND(Projects!$C$30&lt;=BR$4,BR$4&lt;=Projects!$C$30+Projects!$D$30-1),Projects!$B$30/Projects!$D$30,"")</f>
        <v/>
      </c>
      <c r="BS48" s="567">
        <f>IF(AND(Projects!$C$30&lt;=BS$4,BS$4&lt;=Projects!$C$30+Projects!$D$30-1),Projects!$B$30/Projects!$D$30,"")</f>
        <v/>
      </c>
      <c r="BT48" s="567">
        <f>IF(AND(Projects!$C$30&lt;=BT$4,BT$4&lt;=Projects!$C$30+Projects!$D$30-1),Projects!$B$30/Projects!$D$30,"")</f>
        <v/>
      </c>
      <c r="BU48" s="567">
        <f>IF(AND(Projects!$C$30&lt;=BU$4,BU$4&lt;=Projects!$C$30+Projects!$D$30-1),Projects!$B$30/Projects!$D$30,"")</f>
        <v/>
      </c>
      <c r="BV48" s="567">
        <f>IF(AND(Projects!$C$30&lt;=BV$4,BV$4&lt;=Projects!$C$30+Projects!$D$30-1),Projects!$B$30/Projects!$D$30,"")</f>
        <v/>
      </c>
      <c r="BW48" s="567">
        <f>IF(AND(Projects!$C$30&lt;=BW$4,BW$4&lt;=Projects!$C$30+Projects!$D$30-1),Projects!$B$30/Projects!$D$30,"")</f>
        <v/>
      </c>
      <c r="BX48" s="567">
        <f>IF(AND(Projects!$C$30&lt;=BX$4,BX$4&lt;=Projects!$C$30+Projects!$D$30-1),Projects!$B$30/Projects!$D$30,"")</f>
        <v/>
      </c>
      <c r="BY48" s="567">
        <f>IF(AND(Projects!$C$30&lt;=BY$4,BY$4&lt;=Projects!$C$30+Projects!$D$30-1),Projects!$B$30/Projects!$D$30,"")</f>
        <v/>
      </c>
      <c r="BZ48" s="567">
        <f>IF(AND(Projects!$C$30&lt;=BZ$4,BZ$4&lt;=Projects!$C$30+Projects!$D$30-1),Projects!$B$30/Projects!$D$30,"")</f>
        <v/>
      </c>
      <c r="CA48" s="567">
        <f>IF(AND(Projects!$C$30&lt;=CA$4,CA$4&lt;=Projects!$C$30+Projects!$D$30-1),Projects!$B$30/Projects!$D$30,"")</f>
        <v/>
      </c>
      <c r="CB48" s="567">
        <f>IF(AND(Projects!$C$30&lt;=CB$4,CB$4&lt;=Projects!$C$30+Projects!$D$30-1),Projects!$B$30/Projects!$D$30,"")</f>
        <v/>
      </c>
      <c r="CC48" s="567">
        <f>IF(AND(Projects!$C$30&lt;=CC$4,CC$4&lt;=Projects!$C$30+Projects!$D$30-1),Projects!$B$30/Projects!$D$30,"")</f>
        <v/>
      </c>
      <c r="CD48" s="567">
        <f>IF(AND(Projects!$C$30&lt;=CD$4,CD$4&lt;=Projects!$C$30+Projects!$D$30-1),Projects!$B$30/Projects!$D$30,"")</f>
        <v/>
      </c>
      <c r="CE48" s="567">
        <f>IF(AND(Projects!$C$30&lt;=CE$4,CE$4&lt;=Projects!$C$30+Projects!$D$30-1),Projects!$B$30/Projects!$D$30,"")</f>
        <v/>
      </c>
      <c r="CF48" s="567">
        <f>IF(AND(Projects!$C$30&lt;=CF$4,CF$4&lt;=Projects!$C$30+Projects!$D$30-1),Projects!$B$30/Projects!$D$30,"")</f>
        <v/>
      </c>
      <c r="CG48" s="567">
        <f>IF(AND(Projects!$C$30&lt;=CG$4,CG$4&lt;=Projects!$C$30+Projects!$D$30-1),Projects!$B$30/Projects!$D$30,"")</f>
        <v/>
      </c>
      <c r="CH48" s="567">
        <f>IF(AND(Projects!$C$30&lt;=CH$4,CH$4&lt;=Projects!$C$30+Projects!$D$30-1),Projects!$B$30/Projects!$D$30,"")</f>
        <v/>
      </c>
      <c r="CI48" s="567">
        <f>IF(AND(Projects!$C$30&lt;=CI$4,CI$4&lt;=Projects!$C$30+Projects!$D$30-1),Projects!$B$30/Projects!$D$30,"")</f>
        <v/>
      </c>
      <c r="CJ48" s="567">
        <f>IF(AND(Projects!$C$30&lt;=CJ$4,CJ$4&lt;=Projects!$C$30+Projects!$D$30-1),Projects!$B$30/Projects!$D$30,"")</f>
        <v/>
      </c>
      <c r="CK48" s="567">
        <f>IF(AND(Projects!$C$30&lt;=CK$4,CK$4&lt;=Projects!$C$30+Projects!$D$30-1),Projects!$B$30/Projects!$D$30,"")</f>
        <v/>
      </c>
      <c r="CL48" s="567">
        <f>IF(AND(Projects!$C$30&lt;=CL$4,CL$4&lt;=Projects!$C$30+Projects!$D$30-1),Projects!$B$30/Projects!$D$30,"")</f>
        <v/>
      </c>
      <c r="CM48" s="567">
        <f>IF(AND(Projects!$C$30&lt;=CM$4,CM$4&lt;=Projects!$C$30+Projects!$D$30-1),Projects!$B$30/Projects!$D$30,"")</f>
        <v/>
      </c>
      <c r="CN48" s="567">
        <f>IF(AND(Projects!$C$30&lt;=CN$4,CN$4&lt;=Projects!$C$30+Projects!$D$30-1),Projects!$B$30/Projects!$D$30,"")</f>
        <v/>
      </c>
      <c r="CO48" s="567">
        <f>IF(AND(Projects!$C$30&lt;=CO$4,CO$4&lt;=Projects!$C$30+Projects!$D$30-1),Projects!$B$30/Projects!$D$30,"")</f>
        <v/>
      </c>
      <c r="CP48" s="567">
        <f>IF(AND(Projects!$C$30&lt;=CP$4,CP$4&lt;=Projects!$C$30+Projects!$D$30-1),Projects!$B$30/Projects!$D$30,"")</f>
        <v/>
      </c>
      <c r="CQ48" s="567">
        <f>IF(AND(Projects!$C$30&lt;=CQ$4,CQ$4&lt;=Projects!$C$30+Projects!$D$30-1),Projects!$B$30/Projects!$D$30,"")</f>
        <v/>
      </c>
      <c r="CR48" s="567">
        <f>IF(AND(Projects!$C$30&lt;=CR$4,CR$4&lt;=Projects!$C$30+Projects!$D$30-1),Projects!$B$30/Projects!$D$30,"")</f>
        <v/>
      </c>
      <c r="CS48" s="567">
        <f>IF(AND(Projects!$C$30&lt;=CS$4,CS$4&lt;=Projects!$C$30+Projects!$D$30-1),Projects!$B$30/Projects!$D$30,"")</f>
        <v/>
      </c>
      <c r="CT48" s="567">
        <f>IF(AND(Projects!$C$30&lt;=CT$4,CT$4&lt;=Projects!$C$30+Projects!$D$30-1),Projects!$B$30/Projects!$D$30,"")</f>
        <v/>
      </c>
      <c r="CU48" s="567">
        <f>IF(AND(Projects!$C$30&lt;=CU$4,CU$4&lt;=Projects!$C$30+Projects!$D$30-1),Projects!$B$30/Projects!$D$30,"")</f>
        <v/>
      </c>
      <c r="CV48" s="567">
        <f>IF(AND(Projects!$C$30&lt;=CV$4,CV$4&lt;=Projects!$C$30+Projects!$D$30-1),Projects!$B$30/Projects!$D$30,"")</f>
        <v/>
      </c>
      <c r="CW48" s="567">
        <f>IF(AND(Projects!$C$30&lt;=CW$4,CW$4&lt;=Projects!$C$30+Projects!$D$30-1),Projects!$B$30/Projects!$D$30,"")</f>
        <v/>
      </c>
      <c r="CX48" s="567">
        <f>IF(AND(Projects!$C$30&lt;=CX$4,CX$4&lt;=Projects!$C$30+Projects!$D$30-1),Projects!$B$30/Projects!$D$30,"")</f>
        <v/>
      </c>
      <c r="CY48" s="567">
        <f>IF(AND(Projects!$C$30&lt;=CY$4,CY$4&lt;=Projects!$C$30+Projects!$D$30-1),Projects!$B$30/Projects!$D$30,"")</f>
        <v/>
      </c>
      <c r="CZ48" s="567">
        <f>IF(AND(Projects!$C$30&lt;=CZ$4,CZ$4&lt;=Projects!$C$30+Projects!$D$30-1),Projects!$B$30/Projects!$D$30,"")</f>
        <v/>
      </c>
      <c r="DA48" s="567">
        <f>IF(AND(Projects!$C$30&lt;=DA$4,DA$4&lt;=Projects!$C$30+Projects!$D$30-1),Projects!$B$30/Projects!$D$30,"")</f>
        <v/>
      </c>
      <c r="DB48" s="567">
        <f>IF(AND(Projects!$C$30&lt;=DB$4,DB$4&lt;=Projects!$C$30+Projects!$D$30-1),Projects!$B$30/Projects!$D$30,"")</f>
        <v/>
      </c>
    </row>
    <row r="49" ht="15" customFormat="1" customHeight="1" s="380">
      <c r="A49" s="563" t="inlineStr">
        <is>
          <t>BD-21</t>
        </is>
      </c>
      <c r="B49" s="564">
        <f>Projects!$B$37</f>
        <v/>
      </c>
      <c r="C49" s="565">
        <f>EDATE(Model!$E$2,Projects!$C$37-1)</f>
        <v/>
      </c>
      <c r="D49" s="565">
        <f>EDATE(Model!$E$2,Projects!$C$37+Projects!$D$37-2)</f>
        <v/>
      </c>
      <c r="E49" s="566">
        <f>Projects!$D$37</f>
        <v/>
      </c>
      <c r="F49" s="564">
        <f>Projects!$B$37/Projects!$D$37</f>
        <v/>
      </c>
      <c r="G49" s="567">
        <f>IF(AND(Projects!$C$37&lt;=G$4,G$4&lt;=Projects!$C$37+Projects!$D$37-1),Projects!$B$37/Projects!$D$37,"")</f>
        <v/>
      </c>
      <c r="H49" s="567">
        <f>IF(AND(Projects!$C$37&lt;=H$4,H$4&lt;=Projects!$C$37+Projects!$D$37-1),Projects!$B$37/Projects!$D$37,"")</f>
        <v/>
      </c>
      <c r="I49" s="567">
        <f>IF(AND(Projects!$C$37&lt;=I$4,I$4&lt;=Projects!$C$37+Projects!$D$37-1),Projects!$B$37/Projects!$D$37,"")</f>
        <v/>
      </c>
      <c r="J49" s="567">
        <f>IF(AND(Projects!$C$37&lt;=J$4,J$4&lt;=Projects!$C$37+Projects!$D$37-1),Projects!$B$37/Projects!$D$37,"")</f>
        <v/>
      </c>
      <c r="K49" s="567">
        <f>IF(AND(Projects!$C$37&lt;=K$4,K$4&lt;=Projects!$C$37+Projects!$D$37-1),Projects!$B$37/Projects!$D$37,"")</f>
        <v/>
      </c>
      <c r="L49" s="567">
        <f>IF(AND(Projects!$C$37&lt;=L$4,L$4&lt;=Projects!$C$37+Projects!$D$37-1),Projects!$B$37/Projects!$D$37,"")</f>
        <v/>
      </c>
      <c r="M49" s="567">
        <f>IF(AND(Projects!$C$37&lt;=M$4,M$4&lt;=Projects!$C$37+Projects!$D$37-1),Projects!$B$37/Projects!$D$37,"")</f>
        <v/>
      </c>
      <c r="N49" s="567">
        <f>IF(AND(Projects!$C$37&lt;=N$4,N$4&lt;=Projects!$C$37+Projects!$D$37-1),Projects!$B$37/Projects!$D$37,"")</f>
        <v/>
      </c>
      <c r="O49" s="567">
        <f>IF(AND(Projects!$C$37&lt;=O$4,O$4&lt;=Projects!$C$37+Projects!$D$37-1),Projects!$B$37/Projects!$D$37,"")</f>
        <v/>
      </c>
      <c r="P49" s="567">
        <f>IF(AND(Projects!$C$37&lt;=P$4,P$4&lt;=Projects!$C$37+Projects!$D$37-1),Projects!$B$37/Projects!$D$37,"")</f>
        <v/>
      </c>
      <c r="Q49" s="567">
        <f>IF(AND(Projects!$C$37&lt;=Q$4,Q$4&lt;=Projects!$C$37+Projects!$D$37-1),Projects!$B$37/Projects!$D$37,"")</f>
        <v/>
      </c>
      <c r="R49" s="567">
        <f>IF(AND(Projects!$C$37&lt;=R$4,R$4&lt;=Projects!$C$37+Projects!$D$37-1),Projects!$B$37/Projects!$D$37,"")</f>
        <v/>
      </c>
      <c r="S49" s="567">
        <f>IF(AND(Projects!$C$37&lt;=S$4,S$4&lt;=Projects!$C$37+Projects!$D$37-1),Projects!$B$37/Projects!$D$37,"")</f>
        <v/>
      </c>
      <c r="T49" s="567">
        <f>IF(AND(Projects!$C$37&lt;=T$4,T$4&lt;=Projects!$C$37+Projects!$D$37-1),Projects!$B$37/Projects!$D$37,"")</f>
        <v/>
      </c>
      <c r="U49" s="567">
        <f>IF(AND(Projects!$C$37&lt;=U$4,U$4&lt;=Projects!$C$37+Projects!$D$37-1),Projects!$B$37/Projects!$D$37,"")</f>
        <v/>
      </c>
      <c r="V49" s="567">
        <f>IF(AND(Projects!$C$37&lt;=V$4,V$4&lt;=Projects!$C$37+Projects!$D$37-1),Projects!$B$37/Projects!$D$37,"")</f>
        <v/>
      </c>
      <c r="W49" s="567">
        <f>IF(AND(Projects!$C$37&lt;=W$4,W$4&lt;=Projects!$C$37+Projects!$D$37-1),Projects!$B$37/Projects!$D$37,"")</f>
        <v/>
      </c>
      <c r="X49" s="567">
        <f>IF(AND(Projects!$C$37&lt;=X$4,X$4&lt;=Projects!$C$37+Projects!$D$37-1),Projects!$B$37/Projects!$D$37,"")</f>
        <v/>
      </c>
      <c r="Y49" s="567">
        <f>IF(AND(Projects!$C$37&lt;=Y$4,Y$4&lt;=Projects!$C$37+Projects!$D$37-1),Projects!$B$37/Projects!$D$37,"")</f>
        <v/>
      </c>
      <c r="Z49" s="567">
        <f>IF(AND(Projects!$C$37&lt;=Z$4,Z$4&lt;=Projects!$C$37+Projects!$D$37-1),Projects!$B$37/Projects!$D$37,"")</f>
        <v/>
      </c>
      <c r="AA49" s="567">
        <f>IF(AND(Projects!$C$37&lt;=AA$4,AA$4&lt;=Projects!$C$37+Projects!$D$37-1),Projects!$B$37/Projects!$D$37,"")</f>
        <v/>
      </c>
      <c r="AB49" s="567">
        <f>IF(AND(Projects!$C$37&lt;=AB$4,AB$4&lt;=Projects!$C$37+Projects!$D$37-1),Projects!$B$37/Projects!$D$37,"")</f>
        <v/>
      </c>
      <c r="AC49" s="567">
        <f>IF(AND(Projects!$C$37&lt;=AC$4,AC$4&lt;=Projects!$C$37+Projects!$D$37-1),Projects!$B$37/Projects!$D$37,"")</f>
        <v/>
      </c>
      <c r="AD49" s="567">
        <f>IF(AND(Projects!$C$37&lt;=AD$4,AD$4&lt;=Projects!$C$37+Projects!$D$37-1),Projects!$B$37/Projects!$D$37,"")</f>
        <v/>
      </c>
      <c r="AE49" s="567">
        <f>IF(AND(Projects!$C$37&lt;=AE$4,AE$4&lt;=Projects!$C$37+Projects!$D$37-1),Projects!$B$37/Projects!$D$37,"")</f>
        <v/>
      </c>
      <c r="AF49" s="567">
        <f>IF(AND(Projects!$C$37&lt;=AF$4,AF$4&lt;=Projects!$C$37+Projects!$D$37-1),Projects!$B$37/Projects!$D$37,"")</f>
        <v/>
      </c>
      <c r="AG49" s="567">
        <f>IF(AND(Projects!$C$37&lt;=AG$4,AG$4&lt;=Projects!$C$37+Projects!$D$37-1),Projects!$B$37/Projects!$D$37,"")</f>
        <v/>
      </c>
      <c r="AH49" s="567">
        <f>IF(AND(Projects!$C$37&lt;=AH$4,AH$4&lt;=Projects!$C$37+Projects!$D$37-1),Projects!$B$37/Projects!$D$37,"")</f>
        <v/>
      </c>
      <c r="AI49" s="567">
        <f>IF(AND(Projects!$C$37&lt;=AI$4,AI$4&lt;=Projects!$C$37+Projects!$D$37-1),Projects!$B$37/Projects!$D$37,"")</f>
        <v/>
      </c>
      <c r="AJ49" s="567">
        <f>IF(AND(Projects!$C$37&lt;=AJ$4,AJ$4&lt;=Projects!$C$37+Projects!$D$37-1),Projects!$B$37/Projects!$D$37,"")</f>
        <v/>
      </c>
      <c r="AK49" s="567">
        <f>IF(AND(Projects!$C$37&lt;=AK$4,AK$4&lt;=Projects!$C$37+Projects!$D$37-1),Projects!$B$37/Projects!$D$37,"")</f>
        <v/>
      </c>
      <c r="AL49" s="567">
        <f>IF(AND(Projects!$C$37&lt;=AL$4,AL$4&lt;=Projects!$C$37+Projects!$D$37-1),Projects!$B$37/Projects!$D$37,"")</f>
        <v/>
      </c>
      <c r="AM49" s="567">
        <f>IF(AND(Projects!$C$37&lt;=AM$4,AM$4&lt;=Projects!$C$37+Projects!$D$37-1),Projects!$B$37/Projects!$D$37,"")</f>
        <v/>
      </c>
      <c r="AN49" s="567">
        <f>IF(AND(Projects!$C$37&lt;=AN$4,AN$4&lt;=Projects!$C$37+Projects!$D$37-1),Projects!$B$37/Projects!$D$37,"")</f>
        <v/>
      </c>
      <c r="AO49" s="567">
        <f>IF(AND(Projects!$C$37&lt;=AO$4,AO$4&lt;=Projects!$C$37+Projects!$D$37-1),Projects!$B$37/Projects!$D$37,"")</f>
        <v/>
      </c>
      <c r="AP49" s="567">
        <f>IF(AND(Projects!$C$37&lt;=AP$4,AP$4&lt;=Projects!$C$37+Projects!$D$37-1),Projects!$B$37/Projects!$D$37,"")</f>
        <v/>
      </c>
      <c r="AQ49" s="567">
        <f>IF(AND(Projects!$C$37&lt;=AQ$4,AQ$4&lt;=Projects!$C$37+Projects!$D$37-1),Projects!$B$37/Projects!$D$37,"")</f>
        <v/>
      </c>
      <c r="AR49" s="567">
        <f>IF(AND(Projects!$C$37&lt;=AR$4,AR$4&lt;=Projects!$C$37+Projects!$D$37-1),Projects!$B$37/Projects!$D$37,"")</f>
        <v/>
      </c>
      <c r="AS49" s="567">
        <f>IF(AND(Projects!$C$37&lt;=AS$4,AS$4&lt;=Projects!$C$37+Projects!$D$37-1),Projects!$B$37/Projects!$D$37,"")</f>
        <v/>
      </c>
      <c r="AT49" s="567">
        <f>IF(AND(Projects!$C$37&lt;=AT$4,AT$4&lt;=Projects!$C$37+Projects!$D$37-1),Projects!$B$37/Projects!$D$37,"")</f>
        <v/>
      </c>
      <c r="AU49" s="567">
        <f>IF(AND(Projects!$C$37&lt;=AU$4,AU$4&lt;=Projects!$C$37+Projects!$D$37-1),Projects!$B$37/Projects!$D$37,"")</f>
        <v/>
      </c>
      <c r="AV49" s="567">
        <f>IF(AND(Projects!$C$37&lt;=AV$4,AV$4&lt;=Projects!$C$37+Projects!$D$37-1),Projects!$B$37/Projects!$D$37,"")</f>
        <v/>
      </c>
      <c r="AW49" s="567">
        <f>IF(AND(Projects!$C$37&lt;=AW$4,AW$4&lt;=Projects!$C$37+Projects!$D$37-1),Projects!$B$37/Projects!$D$37,"")</f>
        <v/>
      </c>
      <c r="AX49" s="567">
        <f>IF(AND(Projects!$C$37&lt;=AX$4,AX$4&lt;=Projects!$C$37+Projects!$D$37-1),Projects!$B$37/Projects!$D$37,"")</f>
        <v/>
      </c>
      <c r="AY49" s="567">
        <f>IF(AND(Projects!$C$37&lt;=AY$4,AY$4&lt;=Projects!$C$37+Projects!$D$37-1),Projects!$B$37/Projects!$D$37,"")</f>
        <v/>
      </c>
      <c r="AZ49" s="567">
        <f>IF(AND(Projects!$C$37&lt;=AZ$4,AZ$4&lt;=Projects!$C$37+Projects!$D$37-1),Projects!$B$37/Projects!$D$37,"")</f>
        <v/>
      </c>
      <c r="BA49" s="567">
        <f>IF(AND(Projects!$C$37&lt;=BA$4,BA$4&lt;=Projects!$C$37+Projects!$D$37-1),Projects!$B$37/Projects!$D$37,"")</f>
        <v/>
      </c>
      <c r="BB49" s="567">
        <f>IF(AND(Projects!$C$37&lt;=BB$4,BB$4&lt;=Projects!$C$37+Projects!$D$37-1),Projects!$B$37/Projects!$D$37,"")</f>
        <v/>
      </c>
      <c r="BC49" s="567">
        <f>IF(AND(Projects!$C$37&lt;=BC$4,BC$4&lt;=Projects!$C$37+Projects!$D$37-1),Projects!$B$37/Projects!$D$37,"")</f>
        <v/>
      </c>
      <c r="BD49" s="567">
        <f>IF(AND(Projects!$C$37&lt;=BD$4,BD$4&lt;=Projects!$C$37+Projects!$D$37-1),Projects!$B$37/Projects!$D$37,"")</f>
        <v/>
      </c>
      <c r="BE49" s="567">
        <f>IF(AND(Projects!$C$37&lt;=BE$4,BE$4&lt;=Projects!$C$37+Projects!$D$37-1),Projects!$B$37/Projects!$D$37,"")</f>
        <v/>
      </c>
      <c r="BF49" s="567">
        <f>IF(AND(Projects!$C$37&lt;=BF$4,BF$4&lt;=Projects!$C$37+Projects!$D$37-1),Projects!$B$37/Projects!$D$37,"")</f>
        <v/>
      </c>
      <c r="BG49" s="567">
        <f>IF(AND(Projects!$C$37&lt;=BG$4,BG$4&lt;=Projects!$C$37+Projects!$D$37-1),Projects!$B$37/Projects!$D$37,"")</f>
        <v/>
      </c>
      <c r="BH49" s="567">
        <f>IF(AND(Projects!$C$37&lt;=BH$4,BH$4&lt;=Projects!$C$37+Projects!$D$37-1),Projects!$B$37/Projects!$D$37,"")</f>
        <v/>
      </c>
      <c r="BI49" s="567">
        <f>IF(AND(Projects!$C$37&lt;=BI$4,BI$4&lt;=Projects!$C$37+Projects!$D$37-1),Projects!$B$37/Projects!$D$37,"")</f>
        <v/>
      </c>
      <c r="BJ49" s="567">
        <f>IF(AND(Projects!$C$37&lt;=BJ$4,BJ$4&lt;=Projects!$C$37+Projects!$D$37-1),Projects!$B$37/Projects!$D$37,"")</f>
        <v/>
      </c>
      <c r="BK49" s="567">
        <f>IF(AND(Projects!$C$37&lt;=BK$4,BK$4&lt;=Projects!$C$37+Projects!$D$37-1),Projects!$B$37/Projects!$D$37,"")</f>
        <v/>
      </c>
      <c r="BL49" s="567">
        <f>IF(AND(Projects!$C$37&lt;=BL$4,BL$4&lt;=Projects!$C$37+Projects!$D$37-1),Projects!$B$37/Projects!$D$37,"")</f>
        <v/>
      </c>
      <c r="BM49" s="567">
        <f>IF(AND(Projects!$C$37&lt;=BM$4,BM$4&lt;=Projects!$C$37+Projects!$D$37-1),Projects!$B$37/Projects!$D$37,"")</f>
        <v/>
      </c>
      <c r="BN49" s="567">
        <f>IF(AND(Projects!$C$37&lt;=BN$4,BN$4&lt;=Projects!$C$37+Projects!$D$37-1),Projects!$B$37/Projects!$D$37,"")</f>
        <v/>
      </c>
      <c r="BO49" s="567">
        <f>IF(AND(Projects!$C$37&lt;=BO$4,BO$4&lt;=Projects!$C$37+Projects!$D$37-1),Projects!$B$37/Projects!$D$37,"")</f>
        <v/>
      </c>
      <c r="BP49" s="567">
        <f>IF(AND(Projects!$C$37&lt;=BP$4,BP$4&lt;=Projects!$C$37+Projects!$D$37-1),Projects!$B$37/Projects!$D$37,"")</f>
        <v/>
      </c>
      <c r="BQ49" s="567">
        <f>IF(AND(Projects!$C$37&lt;=BQ$4,BQ$4&lt;=Projects!$C$37+Projects!$D$37-1),Projects!$B$37/Projects!$D$37,"")</f>
        <v/>
      </c>
      <c r="BR49" s="567">
        <f>IF(AND(Projects!$C$37&lt;=BR$4,BR$4&lt;=Projects!$C$37+Projects!$D$37-1),Projects!$B$37/Projects!$D$37,"")</f>
        <v/>
      </c>
      <c r="BS49" s="567">
        <f>IF(AND(Projects!$C$37&lt;=BS$4,BS$4&lt;=Projects!$C$37+Projects!$D$37-1),Projects!$B$37/Projects!$D$37,"")</f>
        <v/>
      </c>
      <c r="BT49" s="567">
        <f>IF(AND(Projects!$C$37&lt;=BT$4,BT$4&lt;=Projects!$C$37+Projects!$D$37-1),Projects!$B$37/Projects!$D$37,"")</f>
        <v/>
      </c>
      <c r="BU49" s="567">
        <f>IF(AND(Projects!$C$37&lt;=BU$4,BU$4&lt;=Projects!$C$37+Projects!$D$37-1),Projects!$B$37/Projects!$D$37,"")</f>
        <v/>
      </c>
      <c r="BV49" s="567">
        <f>IF(AND(Projects!$C$37&lt;=BV$4,BV$4&lt;=Projects!$C$37+Projects!$D$37-1),Projects!$B$37/Projects!$D$37,"")</f>
        <v/>
      </c>
      <c r="BW49" s="567">
        <f>IF(AND(Projects!$C$37&lt;=BW$4,BW$4&lt;=Projects!$C$37+Projects!$D$37-1),Projects!$B$37/Projects!$D$37,"")</f>
        <v/>
      </c>
      <c r="BX49" s="567">
        <f>IF(AND(Projects!$C$37&lt;=BX$4,BX$4&lt;=Projects!$C$37+Projects!$D$37-1),Projects!$B$37/Projects!$D$37,"")</f>
        <v/>
      </c>
      <c r="BY49" s="567">
        <f>IF(AND(Projects!$C$37&lt;=BY$4,BY$4&lt;=Projects!$C$37+Projects!$D$37-1),Projects!$B$37/Projects!$D$37,"")</f>
        <v/>
      </c>
      <c r="BZ49" s="567">
        <f>IF(AND(Projects!$C$37&lt;=BZ$4,BZ$4&lt;=Projects!$C$37+Projects!$D$37-1),Projects!$B$37/Projects!$D$37,"")</f>
        <v/>
      </c>
      <c r="CA49" s="567">
        <f>IF(AND(Projects!$C$37&lt;=CA$4,CA$4&lt;=Projects!$C$37+Projects!$D$37-1),Projects!$B$37/Projects!$D$37,"")</f>
        <v/>
      </c>
      <c r="CB49" s="567">
        <f>IF(AND(Projects!$C$37&lt;=CB$4,CB$4&lt;=Projects!$C$37+Projects!$D$37-1),Projects!$B$37/Projects!$D$37,"")</f>
        <v/>
      </c>
      <c r="CC49" s="567">
        <f>IF(AND(Projects!$C$37&lt;=CC$4,CC$4&lt;=Projects!$C$37+Projects!$D$37-1),Projects!$B$37/Projects!$D$37,"")</f>
        <v/>
      </c>
      <c r="CD49" s="567">
        <f>IF(AND(Projects!$C$37&lt;=CD$4,CD$4&lt;=Projects!$C$37+Projects!$D$37-1),Projects!$B$37/Projects!$D$37,"")</f>
        <v/>
      </c>
      <c r="CE49" s="567">
        <f>IF(AND(Projects!$C$37&lt;=CE$4,CE$4&lt;=Projects!$C$37+Projects!$D$37-1),Projects!$B$37/Projects!$D$37,"")</f>
        <v/>
      </c>
      <c r="CF49" s="567">
        <f>IF(AND(Projects!$C$37&lt;=CF$4,CF$4&lt;=Projects!$C$37+Projects!$D$37-1),Projects!$B$37/Projects!$D$37,"")</f>
        <v/>
      </c>
      <c r="CG49" s="567">
        <f>IF(AND(Projects!$C$37&lt;=CG$4,CG$4&lt;=Projects!$C$37+Projects!$D$37-1),Projects!$B$37/Projects!$D$37,"")</f>
        <v/>
      </c>
      <c r="CH49" s="567">
        <f>IF(AND(Projects!$C$37&lt;=CH$4,CH$4&lt;=Projects!$C$37+Projects!$D$37-1),Projects!$B$37/Projects!$D$37,"")</f>
        <v/>
      </c>
      <c r="CI49" s="567">
        <f>IF(AND(Projects!$C$37&lt;=CI$4,CI$4&lt;=Projects!$C$37+Projects!$D$37-1),Projects!$B$37/Projects!$D$37,"")</f>
        <v/>
      </c>
      <c r="CJ49" s="567">
        <f>IF(AND(Projects!$C$37&lt;=CJ$4,CJ$4&lt;=Projects!$C$37+Projects!$D$37-1),Projects!$B$37/Projects!$D$37,"")</f>
        <v/>
      </c>
      <c r="CK49" s="567">
        <f>IF(AND(Projects!$C$37&lt;=CK$4,CK$4&lt;=Projects!$C$37+Projects!$D$37-1),Projects!$B$37/Projects!$D$37,"")</f>
        <v/>
      </c>
      <c r="CL49" s="567">
        <f>IF(AND(Projects!$C$37&lt;=CL$4,CL$4&lt;=Projects!$C$37+Projects!$D$37-1),Projects!$B$37/Projects!$D$37,"")</f>
        <v/>
      </c>
      <c r="CM49" s="567">
        <f>IF(AND(Projects!$C$37&lt;=CM$4,CM$4&lt;=Projects!$C$37+Projects!$D$37-1),Projects!$B$37/Projects!$D$37,"")</f>
        <v/>
      </c>
      <c r="CN49" s="567">
        <f>IF(AND(Projects!$C$37&lt;=CN$4,CN$4&lt;=Projects!$C$37+Projects!$D$37-1),Projects!$B$37/Projects!$D$37,"")</f>
        <v/>
      </c>
      <c r="CO49" s="567">
        <f>IF(AND(Projects!$C$37&lt;=CO$4,CO$4&lt;=Projects!$C$37+Projects!$D$37-1),Projects!$B$37/Projects!$D$37,"")</f>
        <v/>
      </c>
      <c r="CP49" s="567">
        <f>IF(AND(Projects!$C$37&lt;=CP$4,CP$4&lt;=Projects!$C$37+Projects!$D$37-1),Projects!$B$37/Projects!$D$37,"")</f>
        <v/>
      </c>
      <c r="CQ49" s="567">
        <f>IF(AND(Projects!$C$37&lt;=CQ$4,CQ$4&lt;=Projects!$C$37+Projects!$D$37-1),Projects!$B$37/Projects!$D$37,"")</f>
        <v/>
      </c>
      <c r="CR49" s="567">
        <f>IF(AND(Projects!$C$37&lt;=CR$4,CR$4&lt;=Projects!$C$37+Projects!$D$37-1),Projects!$B$37/Projects!$D$37,"")</f>
        <v/>
      </c>
      <c r="CS49" s="567">
        <f>IF(AND(Projects!$C$37&lt;=CS$4,CS$4&lt;=Projects!$C$37+Projects!$D$37-1),Projects!$B$37/Projects!$D$37,"")</f>
        <v/>
      </c>
      <c r="CT49" s="567">
        <f>IF(AND(Projects!$C$37&lt;=CT$4,CT$4&lt;=Projects!$C$37+Projects!$D$37-1),Projects!$B$37/Projects!$D$37,"")</f>
        <v/>
      </c>
      <c r="CU49" s="567">
        <f>IF(AND(Projects!$C$37&lt;=CU$4,CU$4&lt;=Projects!$C$37+Projects!$D$37-1),Projects!$B$37/Projects!$D$37,"")</f>
        <v/>
      </c>
      <c r="CV49" s="567">
        <f>IF(AND(Projects!$C$37&lt;=CV$4,CV$4&lt;=Projects!$C$37+Projects!$D$37-1),Projects!$B$37/Projects!$D$37,"")</f>
        <v/>
      </c>
      <c r="CW49" s="567">
        <f>IF(AND(Projects!$C$37&lt;=CW$4,CW$4&lt;=Projects!$C$37+Projects!$D$37-1),Projects!$B$37/Projects!$D$37,"")</f>
        <v/>
      </c>
      <c r="CX49" s="567">
        <f>IF(AND(Projects!$C$37&lt;=CX$4,CX$4&lt;=Projects!$C$37+Projects!$D$37-1),Projects!$B$37/Projects!$D$37,"")</f>
        <v/>
      </c>
      <c r="CY49" s="567">
        <f>IF(AND(Projects!$C$37&lt;=CY$4,CY$4&lt;=Projects!$C$37+Projects!$D$37-1),Projects!$B$37/Projects!$D$37,"")</f>
        <v/>
      </c>
      <c r="CZ49" s="567">
        <f>IF(AND(Projects!$C$37&lt;=CZ$4,CZ$4&lt;=Projects!$C$37+Projects!$D$37-1),Projects!$B$37/Projects!$D$37,"")</f>
        <v/>
      </c>
      <c r="DA49" s="567">
        <f>IF(AND(Projects!$C$37&lt;=DA$4,DA$4&lt;=Projects!$C$37+Projects!$D$37-1),Projects!$B$37/Projects!$D$37,"")</f>
        <v/>
      </c>
      <c r="DB49" s="567">
        <f>IF(AND(Projects!$C$37&lt;=DB$4,DB$4&lt;=Projects!$C$37+Projects!$D$37-1),Projects!$B$37/Projects!$D$37,"")</f>
        <v/>
      </c>
    </row>
    <row r="50" ht="15" customFormat="1" customHeight="1" s="380">
      <c r="A50" s="563" t="inlineStr">
        <is>
          <t>BD-22</t>
        </is>
      </c>
      <c r="B50" s="564">
        <f>Projects!$B$38</f>
        <v/>
      </c>
      <c r="C50" s="565">
        <f>EDATE(Model!$E$2,Projects!$C$38-1)</f>
        <v/>
      </c>
      <c r="D50" s="565">
        <f>EDATE(Model!$E$2,Projects!$C$38+Projects!$D$38-2)</f>
        <v/>
      </c>
      <c r="E50" s="566">
        <f>Projects!$D$38</f>
        <v/>
      </c>
      <c r="F50" s="564">
        <f>Projects!$B$38/Projects!$D$38</f>
        <v/>
      </c>
      <c r="G50" s="567">
        <f>IF(AND(Projects!$C$38&lt;=G$4,G$4&lt;=Projects!$C$38+Projects!$D$38-1),Projects!$B$38/Projects!$D$38,"")</f>
        <v/>
      </c>
      <c r="H50" s="567">
        <f>IF(AND(Projects!$C$38&lt;=H$4,H$4&lt;=Projects!$C$38+Projects!$D$38-1),Projects!$B$38/Projects!$D$38,"")</f>
        <v/>
      </c>
      <c r="I50" s="567">
        <f>IF(AND(Projects!$C$38&lt;=I$4,I$4&lt;=Projects!$C$38+Projects!$D$38-1),Projects!$B$38/Projects!$D$38,"")</f>
        <v/>
      </c>
      <c r="J50" s="567">
        <f>IF(AND(Projects!$C$38&lt;=J$4,J$4&lt;=Projects!$C$38+Projects!$D$38-1),Projects!$B$38/Projects!$D$38,"")</f>
        <v/>
      </c>
      <c r="K50" s="567">
        <f>IF(AND(Projects!$C$38&lt;=K$4,K$4&lt;=Projects!$C$38+Projects!$D$38-1),Projects!$B$38/Projects!$D$38,"")</f>
        <v/>
      </c>
      <c r="L50" s="567">
        <f>IF(AND(Projects!$C$38&lt;=L$4,L$4&lt;=Projects!$C$38+Projects!$D$38-1),Projects!$B$38/Projects!$D$38,"")</f>
        <v/>
      </c>
      <c r="M50" s="567">
        <f>IF(AND(Projects!$C$38&lt;=M$4,M$4&lt;=Projects!$C$38+Projects!$D$38-1),Projects!$B$38/Projects!$D$38,"")</f>
        <v/>
      </c>
      <c r="N50" s="567">
        <f>IF(AND(Projects!$C$38&lt;=N$4,N$4&lt;=Projects!$C$38+Projects!$D$38-1),Projects!$B$38/Projects!$D$38,"")</f>
        <v/>
      </c>
      <c r="O50" s="567">
        <f>IF(AND(Projects!$C$38&lt;=O$4,O$4&lt;=Projects!$C$38+Projects!$D$38-1),Projects!$B$38/Projects!$D$38,"")</f>
        <v/>
      </c>
      <c r="P50" s="567">
        <f>IF(AND(Projects!$C$38&lt;=P$4,P$4&lt;=Projects!$C$38+Projects!$D$38-1),Projects!$B$38/Projects!$D$38,"")</f>
        <v/>
      </c>
      <c r="Q50" s="567">
        <f>IF(AND(Projects!$C$38&lt;=Q$4,Q$4&lt;=Projects!$C$38+Projects!$D$38-1),Projects!$B$38/Projects!$D$38,"")</f>
        <v/>
      </c>
      <c r="R50" s="567">
        <f>IF(AND(Projects!$C$38&lt;=R$4,R$4&lt;=Projects!$C$38+Projects!$D$38-1),Projects!$B$38/Projects!$D$38,"")</f>
        <v/>
      </c>
      <c r="S50" s="567">
        <f>IF(AND(Projects!$C$38&lt;=S$4,S$4&lt;=Projects!$C$38+Projects!$D$38-1),Projects!$B$38/Projects!$D$38,"")</f>
        <v/>
      </c>
      <c r="T50" s="567">
        <f>IF(AND(Projects!$C$38&lt;=T$4,T$4&lt;=Projects!$C$38+Projects!$D$38-1),Projects!$B$38/Projects!$D$38,"")</f>
        <v/>
      </c>
      <c r="U50" s="567">
        <f>IF(AND(Projects!$C$38&lt;=U$4,U$4&lt;=Projects!$C$38+Projects!$D$38-1),Projects!$B$38/Projects!$D$38,"")</f>
        <v/>
      </c>
      <c r="V50" s="567">
        <f>IF(AND(Projects!$C$38&lt;=V$4,V$4&lt;=Projects!$C$38+Projects!$D$38-1),Projects!$B$38/Projects!$D$38,"")</f>
        <v/>
      </c>
      <c r="W50" s="567">
        <f>IF(AND(Projects!$C$38&lt;=W$4,W$4&lt;=Projects!$C$38+Projects!$D$38-1),Projects!$B$38/Projects!$D$38,"")</f>
        <v/>
      </c>
      <c r="X50" s="567">
        <f>IF(AND(Projects!$C$38&lt;=X$4,X$4&lt;=Projects!$C$38+Projects!$D$38-1),Projects!$B$38/Projects!$D$38,"")</f>
        <v/>
      </c>
      <c r="Y50" s="567">
        <f>IF(AND(Projects!$C$38&lt;=Y$4,Y$4&lt;=Projects!$C$38+Projects!$D$38-1),Projects!$B$38/Projects!$D$38,"")</f>
        <v/>
      </c>
      <c r="Z50" s="567">
        <f>IF(AND(Projects!$C$38&lt;=Z$4,Z$4&lt;=Projects!$C$38+Projects!$D$38-1),Projects!$B$38/Projects!$D$38,"")</f>
        <v/>
      </c>
      <c r="AA50" s="567">
        <f>IF(AND(Projects!$C$38&lt;=AA$4,AA$4&lt;=Projects!$C$38+Projects!$D$38-1),Projects!$B$38/Projects!$D$38,"")</f>
        <v/>
      </c>
      <c r="AB50" s="567">
        <f>IF(AND(Projects!$C$38&lt;=AB$4,AB$4&lt;=Projects!$C$38+Projects!$D$38-1),Projects!$B$38/Projects!$D$38,"")</f>
        <v/>
      </c>
      <c r="AC50" s="567">
        <f>IF(AND(Projects!$C$38&lt;=AC$4,AC$4&lt;=Projects!$C$38+Projects!$D$38-1),Projects!$B$38/Projects!$D$38,"")</f>
        <v/>
      </c>
      <c r="AD50" s="567">
        <f>IF(AND(Projects!$C$38&lt;=AD$4,AD$4&lt;=Projects!$C$38+Projects!$D$38-1),Projects!$B$38/Projects!$D$38,"")</f>
        <v/>
      </c>
      <c r="AE50" s="567">
        <f>IF(AND(Projects!$C$38&lt;=AE$4,AE$4&lt;=Projects!$C$38+Projects!$D$38-1),Projects!$B$38/Projects!$D$38,"")</f>
        <v/>
      </c>
      <c r="AF50" s="567">
        <f>IF(AND(Projects!$C$38&lt;=AF$4,AF$4&lt;=Projects!$C$38+Projects!$D$38-1),Projects!$B$38/Projects!$D$38,"")</f>
        <v/>
      </c>
      <c r="AG50" s="567">
        <f>IF(AND(Projects!$C$38&lt;=AG$4,AG$4&lt;=Projects!$C$38+Projects!$D$38-1),Projects!$B$38/Projects!$D$38,"")</f>
        <v/>
      </c>
      <c r="AH50" s="567">
        <f>IF(AND(Projects!$C$38&lt;=AH$4,AH$4&lt;=Projects!$C$38+Projects!$D$38-1),Projects!$B$38/Projects!$D$38,"")</f>
        <v/>
      </c>
      <c r="AI50" s="567">
        <f>IF(AND(Projects!$C$38&lt;=AI$4,AI$4&lt;=Projects!$C$38+Projects!$D$38-1),Projects!$B$38/Projects!$D$38,"")</f>
        <v/>
      </c>
      <c r="AJ50" s="567">
        <f>IF(AND(Projects!$C$38&lt;=AJ$4,AJ$4&lt;=Projects!$C$38+Projects!$D$38-1),Projects!$B$38/Projects!$D$38,"")</f>
        <v/>
      </c>
      <c r="AK50" s="567">
        <f>IF(AND(Projects!$C$38&lt;=AK$4,AK$4&lt;=Projects!$C$38+Projects!$D$38-1),Projects!$B$38/Projects!$D$38,"")</f>
        <v/>
      </c>
      <c r="AL50" s="567">
        <f>IF(AND(Projects!$C$38&lt;=AL$4,AL$4&lt;=Projects!$C$38+Projects!$D$38-1),Projects!$B$38/Projects!$D$38,"")</f>
        <v/>
      </c>
      <c r="AM50" s="567">
        <f>IF(AND(Projects!$C$38&lt;=AM$4,AM$4&lt;=Projects!$C$38+Projects!$D$38-1),Projects!$B$38/Projects!$D$38,"")</f>
        <v/>
      </c>
      <c r="AN50" s="567">
        <f>IF(AND(Projects!$C$38&lt;=AN$4,AN$4&lt;=Projects!$C$38+Projects!$D$38-1),Projects!$B$38/Projects!$D$38,"")</f>
        <v/>
      </c>
      <c r="AO50" s="567">
        <f>IF(AND(Projects!$C$38&lt;=AO$4,AO$4&lt;=Projects!$C$38+Projects!$D$38-1),Projects!$B$38/Projects!$D$38,"")</f>
        <v/>
      </c>
      <c r="AP50" s="567">
        <f>IF(AND(Projects!$C$38&lt;=AP$4,AP$4&lt;=Projects!$C$38+Projects!$D$38-1),Projects!$B$38/Projects!$D$38,"")</f>
        <v/>
      </c>
      <c r="AQ50" s="567">
        <f>IF(AND(Projects!$C$38&lt;=AQ$4,AQ$4&lt;=Projects!$C$38+Projects!$D$38-1),Projects!$B$38/Projects!$D$38,"")</f>
        <v/>
      </c>
      <c r="AR50" s="567">
        <f>IF(AND(Projects!$C$38&lt;=AR$4,AR$4&lt;=Projects!$C$38+Projects!$D$38-1),Projects!$B$38/Projects!$D$38,"")</f>
        <v/>
      </c>
      <c r="AS50" s="567">
        <f>IF(AND(Projects!$C$38&lt;=AS$4,AS$4&lt;=Projects!$C$38+Projects!$D$38-1),Projects!$B$38/Projects!$D$38,"")</f>
        <v/>
      </c>
      <c r="AT50" s="567">
        <f>IF(AND(Projects!$C$38&lt;=AT$4,AT$4&lt;=Projects!$C$38+Projects!$D$38-1),Projects!$B$38/Projects!$D$38,"")</f>
        <v/>
      </c>
      <c r="AU50" s="567">
        <f>IF(AND(Projects!$C$38&lt;=AU$4,AU$4&lt;=Projects!$C$38+Projects!$D$38-1),Projects!$B$38/Projects!$D$38,"")</f>
        <v/>
      </c>
      <c r="AV50" s="567">
        <f>IF(AND(Projects!$C$38&lt;=AV$4,AV$4&lt;=Projects!$C$38+Projects!$D$38-1),Projects!$B$38/Projects!$D$38,"")</f>
        <v/>
      </c>
      <c r="AW50" s="567">
        <f>IF(AND(Projects!$C$38&lt;=AW$4,AW$4&lt;=Projects!$C$38+Projects!$D$38-1),Projects!$B$38/Projects!$D$38,"")</f>
        <v/>
      </c>
      <c r="AX50" s="567">
        <f>IF(AND(Projects!$C$38&lt;=AX$4,AX$4&lt;=Projects!$C$38+Projects!$D$38-1),Projects!$B$38/Projects!$D$38,"")</f>
        <v/>
      </c>
      <c r="AY50" s="567">
        <f>IF(AND(Projects!$C$38&lt;=AY$4,AY$4&lt;=Projects!$C$38+Projects!$D$38-1),Projects!$B$38/Projects!$D$38,"")</f>
        <v/>
      </c>
      <c r="AZ50" s="567">
        <f>IF(AND(Projects!$C$38&lt;=AZ$4,AZ$4&lt;=Projects!$C$38+Projects!$D$38-1),Projects!$B$38/Projects!$D$38,"")</f>
        <v/>
      </c>
      <c r="BA50" s="567">
        <f>IF(AND(Projects!$C$38&lt;=BA$4,BA$4&lt;=Projects!$C$38+Projects!$D$38-1),Projects!$B$38/Projects!$D$38,"")</f>
        <v/>
      </c>
      <c r="BB50" s="567">
        <f>IF(AND(Projects!$C$38&lt;=BB$4,BB$4&lt;=Projects!$C$38+Projects!$D$38-1),Projects!$B$38/Projects!$D$38,"")</f>
        <v/>
      </c>
      <c r="BC50" s="567">
        <f>IF(AND(Projects!$C$38&lt;=BC$4,BC$4&lt;=Projects!$C$38+Projects!$D$38-1),Projects!$B$38/Projects!$D$38,"")</f>
        <v/>
      </c>
      <c r="BD50" s="567">
        <f>IF(AND(Projects!$C$38&lt;=BD$4,BD$4&lt;=Projects!$C$38+Projects!$D$38-1),Projects!$B$38/Projects!$D$38,"")</f>
        <v/>
      </c>
      <c r="BE50" s="567">
        <f>IF(AND(Projects!$C$38&lt;=BE$4,BE$4&lt;=Projects!$C$38+Projects!$D$38-1),Projects!$B$38/Projects!$D$38,"")</f>
        <v/>
      </c>
      <c r="BF50" s="567">
        <f>IF(AND(Projects!$C$38&lt;=BF$4,BF$4&lt;=Projects!$C$38+Projects!$D$38-1),Projects!$B$38/Projects!$D$38,"")</f>
        <v/>
      </c>
      <c r="BG50" s="567">
        <f>IF(AND(Projects!$C$38&lt;=BG$4,BG$4&lt;=Projects!$C$38+Projects!$D$38-1),Projects!$B$38/Projects!$D$38,"")</f>
        <v/>
      </c>
      <c r="BH50" s="567">
        <f>IF(AND(Projects!$C$38&lt;=BH$4,BH$4&lt;=Projects!$C$38+Projects!$D$38-1),Projects!$B$38/Projects!$D$38,"")</f>
        <v/>
      </c>
      <c r="BI50" s="567">
        <f>IF(AND(Projects!$C$38&lt;=BI$4,BI$4&lt;=Projects!$C$38+Projects!$D$38-1),Projects!$B$38/Projects!$D$38,"")</f>
        <v/>
      </c>
      <c r="BJ50" s="567">
        <f>IF(AND(Projects!$C$38&lt;=BJ$4,BJ$4&lt;=Projects!$C$38+Projects!$D$38-1),Projects!$B$38/Projects!$D$38,"")</f>
        <v/>
      </c>
      <c r="BK50" s="567">
        <f>IF(AND(Projects!$C$38&lt;=BK$4,BK$4&lt;=Projects!$C$38+Projects!$D$38-1),Projects!$B$38/Projects!$D$38,"")</f>
        <v/>
      </c>
      <c r="BL50" s="567">
        <f>IF(AND(Projects!$C$38&lt;=BL$4,BL$4&lt;=Projects!$C$38+Projects!$D$38-1),Projects!$B$38/Projects!$D$38,"")</f>
        <v/>
      </c>
      <c r="BM50" s="567">
        <f>IF(AND(Projects!$C$38&lt;=BM$4,BM$4&lt;=Projects!$C$38+Projects!$D$38-1),Projects!$B$38/Projects!$D$38,"")</f>
        <v/>
      </c>
      <c r="BN50" s="567">
        <f>IF(AND(Projects!$C$38&lt;=BN$4,BN$4&lt;=Projects!$C$38+Projects!$D$38-1),Projects!$B$38/Projects!$D$38,"")</f>
        <v/>
      </c>
      <c r="BO50" s="567">
        <f>IF(AND(Projects!$C$38&lt;=BO$4,BO$4&lt;=Projects!$C$38+Projects!$D$38-1),Projects!$B$38/Projects!$D$38,"")</f>
        <v/>
      </c>
      <c r="BP50" s="567">
        <f>IF(AND(Projects!$C$38&lt;=BP$4,BP$4&lt;=Projects!$C$38+Projects!$D$38-1),Projects!$B$38/Projects!$D$38,"")</f>
        <v/>
      </c>
      <c r="BQ50" s="567">
        <f>IF(AND(Projects!$C$38&lt;=BQ$4,BQ$4&lt;=Projects!$C$38+Projects!$D$38-1),Projects!$B$38/Projects!$D$38,"")</f>
        <v/>
      </c>
      <c r="BR50" s="567">
        <f>IF(AND(Projects!$C$38&lt;=BR$4,BR$4&lt;=Projects!$C$38+Projects!$D$38-1),Projects!$B$38/Projects!$D$38,"")</f>
        <v/>
      </c>
      <c r="BS50" s="567">
        <f>IF(AND(Projects!$C$38&lt;=BS$4,BS$4&lt;=Projects!$C$38+Projects!$D$38-1),Projects!$B$38/Projects!$D$38,"")</f>
        <v/>
      </c>
      <c r="BT50" s="567">
        <f>IF(AND(Projects!$C$38&lt;=BT$4,BT$4&lt;=Projects!$C$38+Projects!$D$38-1),Projects!$B$38/Projects!$D$38,"")</f>
        <v/>
      </c>
      <c r="BU50" s="567">
        <f>IF(AND(Projects!$C$38&lt;=BU$4,BU$4&lt;=Projects!$C$38+Projects!$D$38-1),Projects!$B$38/Projects!$D$38,"")</f>
        <v/>
      </c>
      <c r="BV50" s="567">
        <f>IF(AND(Projects!$C$38&lt;=BV$4,BV$4&lt;=Projects!$C$38+Projects!$D$38-1),Projects!$B$38/Projects!$D$38,"")</f>
        <v/>
      </c>
      <c r="BW50" s="567">
        <f>IF(AND(Projects!$C$38&lt;=BW$4,BW$4&lt;=Projects!$C$38+Projects!$D$38-1),Projects!$B$38/Projects!$D$38,"")</f>
        <v/>
      </c>
      <c r="BX50" s="567">
        <f>IF(AND(Projects!$C$38&lt;=BX$4,BX$4&lt;=Projects!$C$38+Projects!$D$38-1),Projects!$B$38/Projects!$D$38,"")</f>
        <v/>
      </c>
      <c r="BY50" s="567">
        <f>IF(AND(Projects!$C$38&lt;=BY$4,BY$4&lt;=Projects!$C$38+Projects!$D$38-1),Projects!$B$38/Projects!$D$38,"")</f>
        <v/>
      </c>
      <c r="BZ50" s="567">
        <f>IF(AND(Projects!$C$38&lt;=BZ$4,BZ$4&lt;=Projects!$C$38+Projects!$D$38-1),Projects!$B$38/Projects!$D$38,"")</f>
        <v/>
      </c>
      <c r="CA50" s="567">
        <f>IF(AND(Projects!$C$38&lt;=CA$4,CA$4&lt;=Projects!$C$38+Projects!$D$38-1),Projects!$B$38/Projects!$D$38,"")</f>
        <v/>
      </c>
      <c r="CB50" s="567">
        <f>IF(AND(Projects!$C$38&lt;=CB$4,CB$4&lt;=Projects!$C$38+Projects!$D$38-1),Projects!$B$38/Projects!$D$38,"")</f>
        <v/>
      </c>
      <c r="CC50" s="567">
        <f>IF(AND(Projects!$C$38&lt;=CC$4,CC$4&lt;=Projects!$C$38+Projects!$D$38-1),Projects!$B$38/Projects!$D$38,"")</f>
        <v/>
      </c>
      <c r="CD50" s="567">
        <f>IF(AND(Projects!$C$38&lt;=CD$4,CD$4&lt;=Projects!$C$38+Projects!$D$38-1),Projects!$B$38/Projects!$D$38,"")</f>
        <v/>
      </c>
      <c r="CE50" s="567">
        <f>IF(AND(Projects!$C$38&lt;=CE$4,CE$4&lt;=Projects!$C$38+Projects!$D$38-1),Projects!$B$38/Projects!$D$38,"")</f>
        <v/>
      </c>
      <c r="CF50" s="567">
        <f>IF(AND(Projects!$C$38&lt;=CF$4,CF$4&lt;=Projects!$C$38+Projects!$D$38-1),Projects!$B$38/Projects!$D$38,"")</f>
        <v/>
      </c>
      <c r="CG50" s="567">
        <f>IF(AND(Projects!$C$38&lt;=CG$4,CG$4&lt;=Projects!$C$38+Projects!$D$38-1),Projects!$B$38/Projects!$D$38,"")</f>
        <v/>
      </c>
      <c r="CH50" s="567">
        <f>IF(AND(Projects!$C$38&lt;=CH$4,CH$4&lt;=Projects!$C$38+Projects!$D$38-1),Projects!$B$38/Projects!$D$38,"")</f>
        <v/>
      </c>
      <c r="CI50" s="567">
        <f>IF(AND(Projects!$C$38&lt;=CI$4,CI$4&lt;=Projects!$C$38+Projects!$D$38-1),Projects!$B$38/Projects!$D$38,"")</f>
        <v/>
      </c>
      <c r="CJ50" s="567">
        <f>IF(AND(Projects!$C$38&lt;=CJ$4,CJ$4&lt;=Projects!$C$38+Projects!$D$38-1),Projects!$B$38/Projects!$D$38,"")</f>
        <v/>
      </c>
      <c r="CK50" s="567">
        <f>IF(AND(Projects!$C$38&lt;=CK$4,CK$4&lt;=Projects!$C$38+Projects!$D$38-1),Projects!$B$38/Projects!$D$38,"")</f>
        <v/>
      </c>
      <c r="CL50" s="567">
        <f>IF(AND(Projects!$C$38&lt;=CL$4,CL$4&lt;=Projects!$C$38+Projects!$D$38-1),Projects!$B$38/Projects!$D$38,"")</f>
        <v/>
      </c>
      <c r="CM50" s="567">
        <f>IF(AND(Projects!$C$38&lt;=CM$4,CM$4&lt;=Projects!$C$38+Projects!$D$38-1),Projects!$B$38/Projects!$D$38,"")</f>
        <v/>
      </c>
      <c r="CN50" s="567">
        <f>IF(AND(Projects!$C$38&lt;=CN$4,CN$4&lt;=Projects!$C$38+Projects!$D$38-1),Projects!$B$38/Projects!$D$38,"")</f>
        <v/>
      </c>
      <c r="CO50" s="567">
        <f>IF(AND(Projects!$C$38&lt;=CO$4,CO$4&lt;=Projects!$C$38+Projects!$D$38-1),Projects!$B$38/Projects!$D$38,"")</f>
        <v/>
      </c>
      <c r="CP50" s="567">
        <f>IF(AND(Projects!$C$38&lt;=CP$4,CP$4&lt;=Projects!$C$38+Projects!$D$38-1),Projects!$B$38/Projects!$D$38,"")</f>
        <v/>
      </c>
      <c r="CQ50" s="567">
        <f>IF(AND(Projects!$C$38&lt;=CQ$4,CQ$4&lt;=Projects!$C$38+Projects!$D$38-1),Projects!$B$38/Projects!$D$38,"")</f>
        <v/>
      </c>
      <c r="CR50" s="567">
        <f>IF(AND(Projects!$C$38&lt;=CR$4,CR$4&lt;=Projects!$C$38+Projects!$D$38-1),Projects!$B$38/Projects!$D$38,"")</f>
        <v/>
      </c>
      <c r="CS50" s="567">
        <f>IF(AND(Projects!$C$38&lt;=CS$4,CS$4&lt;=Projects!$C$38+Projects!$D$38-1),Projects!$B$38/Projects!$D$38,"")</f>
        <v/>
      </c>
      <c r="CT50" s="567">
        <f>IF(AND(Projects!$C$38&lt;=CT$4,CT$4&lt;=Projects!$C$38+Projects!$D$38-1),Projects!$B$38/Projects!$D$38,"")</f>
        <v/>
      </c>
      <c r="CU50" s="567">
        <f>IF(AND(Projects!$C$38&lt;=CU$4,CU$4&lt;=Projects!$C$38+Projects!$D$38-1),Projects!$B$38/Projects!$D$38,"")</f>
        <v/>
      </c>
      <c r="CV50" s="567">
        <f>IF(AND(Projects!$C$38&lt;=CV$4,CV$4&lt;=Projects!$C$38+Projects!$D$38-1),Projects!$B$38/Projects!$D$38,"")</f>
        <v/>
      </c>
      <c r="CW50" s="567">
        <f>IF(AND(Projects!$C$38&lt;=CW$4,CW$4&lt;=Projects!$C$38+Projects!$D$38-1),Projects!$B$38/Projects!$D$38,"")</f>
        <v/>
      </c>
      <c r="CX50" s="567">
        <f>IF(AND(Projects!$C$38&lt;=CX$4,CX$4&lt;=Projects!$C$38+Projects!$D$38-1),Projects!$B$38/Projects!$D$38,"")</f>
        <v/>
      </c>
      <c r="CY50" s="567">
        <f>IF(AND(Projects!$C$38&lt;=CY$4,CY$4&lt;=Projects!$C$38+Projects!$D$38-1),Projects!$B$38/Projects!$D$38,"")</f>
        <v/>
      </c>
      <c r="CZ50" s="567">
        <f>IF(AND(Projects!$C$38&lt;=CZ$4,CZ$4&lt;=Projects!$C$38+Projects!$D$38-1),Projects!$B$38/Projects!$D$38,"")</f>
        <v/>
      </c>
      <c r="DA50" s="567">
        <f>IF(AND(Projects!$C$38&lt;=DA$4,DA$4&lt;=Projects!$C$38+Projects!$D$38-1),Projects!$B$38/Projects!$D$38,"")</f>
        <v/>
      </c>
      <c r="DB50" s="567">
        <f>IF(AND(Projects!$C$38&lt;=DB$4,DB$4&lt;=Projects!$C$38+Projects!$D$38-1),Projects!$B$38/Projects!$D$38,"")</f>
        <v/>
      </c>
    </row>
    <row r="51" ht="15" customFormat="1" customHeight="1" s="380">
      <c r="A51" s="563" t="inlineStr">
        <is>
          <t>BD-24</t>
        </is>
      </c>
      <c r="B51" s="564">
        <f>Projects!$B$40</f>
        <v/>
      </c>
      <c r="C51" s="565">
        <f>EDATE(Model!$E$2,Projects!$C$40-1)</f>
        <v/>
      </c>
      <c r="D51" s="565">
        <f>EDATE(Model!$E$2,Projects!$C$40+Projects!$D$40-2)</f>
        <v/>
      </c>
      <c r="E51" s="566">
        <f>Projects!$D$40</f>
        <v/>
      </c>
      <c r="F51" s="564">
        <f>Projects!$B$40/Projects!$D$40</f>
        <v/>
      </c>
      <c r="G51" s="567">
        <f>IF(AND(Projects!$C$40&lt;=G$4,G$4&lt;=Projects!$C$40+Projects!$D$40-1),Projects!$B$40/Projects!$D$40,"")</f>
        <v/>
      </c>
      <c r="H51" s="567">
        <f>IF(AND(Projects!$C$40&lt;=H$4,H$4&lt;=Projects!$C$40+Projects!$D$40-1),Projects!$B$40/Projects!$D$40,"")</f>
        <v/>
      </c>
      <c r="I51" s="567">
        <f>IF(AND(Projects!$C$40&lt;=I$4,I$4&lt;=Projects!$C$40+Projects!$D$40-1),Projects!$B$40/Projects!$D$40,"")</f>
        <v/>
      </c>
      <c r="J51" s="567">
        <f>IF(AND(Projects!$C$40&lt;=J$4,J$4&lt;=Projects!$C$40+Projects!$D$40-1),Projects!$B$40/Projects!$D$40,"")</f>
        <v/>
      </c>
      <c r="K51" s="567">
        <f>IF(AND(Projects!$C$40&lt;=K$4,K$4&lt;=Projects!$C$40+Projects!$D$40-1),Projects!$B$40/Projects!$D$40,"")</f>
        <v/>
      </c>
      <c r="L51" s="567">
        <f>IF(AND(Projects!$C$40&lt;=L$4,L$4&lt;=Projects!$C$40+Projects!$D$40-1),Projects!$B$40/Projects!$D$40,"")</f>
        <v/>
      </c>
      <c r="M51" s="567">
        <f>IF(AND(Projects!$C$40&lt;=M$4,M$4&lt;=Projects!$C$40+Projects!$D$40-1),Projects!$B$40/Projects!$D$40,"")</f>
        <v/>
      </c>
      <c r="N51" s="567">
        <f>IF(AND(Projects!$C$40&lt;=N$4,N$4&lt;=Projects!$C$40+Projects!$D$40-1),Projects!$B$40/Projects!$D$40,"")</f>
        <v/>
      </c>
      <c r="O51" s="567">
        <f>IF(AND(Projects!$C$40&lt;=O$4,O$4&lt;=Projects!$C$40+Projects!$D$40-1),Projects!$B$40/Projects!$D$40,"")</f>
        <v/>
      </c>
      <c r="P51" s="567">
        <f>IF(AND(Projects!$C$40&lt;=P$4,P$4&lt;=Projects!$C$40+Projects!$D$40-1),Projects!$B$40/Projects!$D$40,"")</f>
        <v/>
      </c>
      <c r="Q51" s="567">
        <f>IF(AND(Projects!$C$40&lt;=Q$4,Q$4&lt;=Projects!$C$40+Projects!$D$40-1),Projects!$B$40/Projects!$D$40,"")</f>
        <v/>
      </c>
      <c r="R51" s="567">
        <f>IF(AND(Projects!$C$40&lt;=R$4,R$4&lt;=Projects!$C$40+Projects!$D$40-1),Projects!$B$40/Projects!$D$40,"")</f>
        <v/>
      </c>
      <c r="S51" s="567">
        <f>IF(AND(Projects!$C$40&lt;=S$4,S$4&lt;=Projects!$C$40+Projects!$D$40-1),Projects!$B$40/Projects!$D$40,"")</f>
        <v/>
      </c>
      <c r="T51" s="567">
        <f>IF(AND(Projects!$C$40&lt;=T$4,T$4&lt;=Projects!$C$40+Projects!$D$40-1),Projects!$B$40/Projects!$D$40,"")</f>
        <v/>
      </c>
      <c r="U51" s="567">
        <f>IF(AND(Projects!$C$40&lt;=U$4,U$4&lt;=Projects!$C$40+Projects!$D$40-1),Projects!$B$40/Projects!$D$40,"")</f>
        <v/>
      </c>
      <c r="V51" s="567">
        <f>IF(AND(Projects!$C$40&lt;=V$4,V$4&lt;=Projects!$C$40+Projects!$D$40-1),Projects!$B$40/Projects!$D$40,"")</f>
        <v/>
      </c>
      <c r="W51" s="567">
        <f>IF(AND(Projects!$C$40&lt;=W$4,W$4&lt;=Projects!$C$40+Projects!$D$40-1),Projects!$B$40/Projects!$D$40,"")</f>
        <v/>
      </c>
      <c r="X51" s="567">
        <f>IF(AND(Projects!$C$40&lt;=X$4,X$4&lt;=Projects!$C$40+Projects!$D$40-1),Projects!$B$40/Projects!$D$40,"")</f>
        <v/>
      </c>
      <c r="Y51" s="567">
        <f>IF(AND(Projects!$C$40&lt;=Y$4,Y$4&lt;=Projects!$C$40+Projects!$D$40-1),Projects!$B$40/Projects!$D$40,"")</f>
        <v/>
      </c>
      <c r="Z51" s="567">
        <f>IF(AND(Projects!$C$40&lt;=Z$4,Z$4&lt;=Projects!$C$40+Projects!$D$40-1),Projects!$B$40/Projects!$D$40,"")</f>
        <v/>
      </c>
      <c r="AA51" s="567">
        <f>IF(AND(Projects!$C$40&lt;=AA$4,AA$4&lt;=Projects!$C$40+Projects!$D$40-1),Projects!$B$40/Projects!$D$40,"")</f>
        <v/>
      </c>
      <c r="AB51" s="567">
        <f>IF(AND(Projects!$C$40&lt;=AB$4,AB$4&lt;=Projects!$C$40+Projects!$D$40-1),Projects!$B$40/Projects!$D$40,"")</f>
        <v/>
      </c>
      <c r="AC51" s="567">
        <f>IF(AND(Projects!$C$40&lt;=AC$4,AC$4&lt;=Projects!$C$40+Projects!$D$40-1),Projects!$B$40/Projects!$D$40,"")</f>
        <v/>
      </c>
      <c r="AD51" s="567">
        <f>IF(AND(Projects!$C$40&lt;=AD$4,AD$4&lt;=Projects!$C$40+Projects!$D$40-1),Projects!$B$40/Projects!$D$40,"")</f>
        <v/>
      </c>
      <c r="AE51" s="567">
        <f>IF(AND(Projects!$C$40&lt;=AE$4,AE$4&lt;=Projects!$C$40+Projects!$D$40-1),Projects!$B$40/Projects!$D$40,"")</f>
        <v/>
      </c>
      <c r="AF51" s="567">
        <f>IF(AND(Projects!$C$40&lt;=AF$4,AF$4&lt;=Projects!$C$40+Projects!$D$40-1),Projects!$B$40/Projects!$D$40,"")</f>
        <v/>
      </c>
      <c r="AG51" s="567">
        <f>IF(AND(Projects!$C$40&lt;=AG$4,AG$4&lt;=Projects!$C$40+Projects!$D$40-1),Projects!$B$40/Projects!$D$40,"")</f>
        <v/>
      </c>
      <c r="AH51" s="567">
        <f>IF(AND(Projects!$C$40&lt;=AH$4,AH$4&lt;=Projects!$C$40+Projects!$D$40-1),Projects!$B$40/Projects!$D$40,"")</f>
        <v/>
      </c>
      <c r="AI51" s="567">
        <f>IF(AND(Projects!$C$40&lt;=AI$4,AI$4&lt;=Projects!$C$40+Projects!$D$40-1),Projects!$B$40/Projects!$D$40,"")</f>
        <v/>
      </c>
      <c r="AJ51" s="567">
        <f>IF(AND(Projects!$C$40&lt;=AJ$4,AJ$4&lt;=Projects!$C$40+Projects!$D$40-1),Projects!$B$40/Projects!$D$40,"")</f>
        <v/>
      </c>
      <c r="AK51" s="567">
        <f>IF(AND(Projects!$C$40&lt;=AK$4,AK$4&lt;=Projects!$C$40+Projects!$D$40-1),Projects!$B$40/Projects!$D$40,"")</f>
        <v/>
      </c>
      <c r="AL51" s="567">
        <f>IF(AND(Projects!$C$40&lt;=AL$4,AL$4&lt;=Projects!$C$40+Projects!$D$40-1),Projects!$B$40/Projects!$D$40,"")</f>
        <v/>
      </c>
      <c r="AM51" s="567">
        <f>IF(AND(Projects!$C$40&lt;=AM$4,AM$4&lt;=Projects!$C$40+Projects!$D$40-1),Projects!$B$40/Projects!$D$40,"")</f>
        <v/>
      </c>
      <c r="AN51" s="567">
        <f>IF(AND(Projects!$C$40&lt;=AN$4,AN$4&lt;=Projects!$C$40+Projects!$D$40-1),Projects!$B$40/Projects!$D$40,"")</f>
        <v/>
      </c>
      <c r="AO51" s="567">
        <f>IF(AND(Projects!$C$40&lt;=AO$4,AO$4&lt;=Projects!$C$40+Projects!$D$40-1),Projects!$B$40/Projects!$D$40,"")</f>
        <v/>
      </c>
      <c r="AP51" s="567">
        <f>IF(AND(Projects!$C$40&lt;=AP$4,AP$4&lt;=Projects!$C$40+Projects!$D$40-1),Projects!$B$40/Projects!$D$40,"")</f>
        <v/>
      </c>
      <c r="AQ51" s="567">
        <f>IF(AND(Projects!$C$40&lt;=AQ$4,AQ$4&lt;=Projects!$C$40+Projects!$D$40-1),Projects!$B$40/Projects!$D$40,"")</f>
        <v/>
      </c>
      <c r="AR51" s="567">
        <f>IF(AND(Projects!$C$40&lt;=AR$4,AR$4&lt;=Projects!$C$40+Projects!$D$40-1),Projects!$B$40/Projects!$D$40,"")</f>
        <v/>
      </c>
      <c r="AS51" s="567">
        <f>IF(AND(Projects!$C$40&lt;=AS$4,AS$4&lt;=Projects!$C$40+Projects!$D$40-1),Projects!$B$40/Projects!$D$40,"")</f>
        <v/>
      </c>
      <c r="AT51" s="567">
        <f>IF(AND(Projects!$C$40&lt;=AT$4,AT$4&lt;=Projects!$C$40+Projects!$D$40-1),Projects!$B$40/Projects!$D$40,"")</f>
        <v/>
      </c>
      <c r="AU51" s="567">
        <f>IF(AND(Projects!$C$40&lt;=AU$4,AU$4&lt;=Projects!$C$40+Projects!$D$40-1),Projects!$B$40/Projects!$D$40,"")</f>
        <v/>
      </c>
      <c r="AV51" s="567">
        <f>IF(AND(Projects!$C$40&lt;=AV$4,AV$4&lt;=Projects!$C$40+Projects!$D$40-1),Projects!$B$40/Projects!$D$40,"")</f>
        <v/>
      </c>
      <c r="AW51" s="567">
        <f>IF(AND(Projects!$C$40&lt;=AW$4,AW$4&lt;=Projects!$C$40+Projects!$D$40-1),Projects!$B$40/Projects!$D$40,"")</f>
        <v/>
      </c>
      <c r="AX51" s="567">
        <f>IF(AND(Projects!$C$40&lt;=AX$4,AX$4&lt;=Projects!$C$40+Projects!$D$40-1),Projects!$B$40/Projects!$D$40,"")</f>
        <v/>
      </c>
      <c r="AY51" s="567">
        <f>IF(AND(Projects!$C$40&lt;=AY$4,AY$4&lt;=Projects!$C$40+Projects!$D$40-1),Projects!$B$40/Projects!$D$40,"")</f>
        <v/>
      </c>
      <c r="AZ51" s="567">
        <f>IF(AND(Projects!$C$40&lt;=AZ$4,AZ$4&lt;=Projects!$C$40+Projects!$D$40-1),Projects!$B$40/Projects!$D$40,"")</f>
        <v/>
      </c>
      <c r="BA51" s="567">
        <f>IF(AND(Projects!$C$40&lt;=BA$4,BA$4&lt;=Projects!$C$40+Projects!$D$40-1),Projects!$B$40/Projects!$D$40,"")</f>
        <v/>
      </c>
      <c r="BB51" s="567">
        <f>IF(AND(Projects!$C$40&lt;=BB$4,BB$4&lt;=Projects!$C$40+Projects!$D$40-1),Projects!$B$40/Projects!$D$40,"")</f>
        <v/>
      </c>
      <c r="BC51" s="567">
        <f>IF(AND(Projects!$C$40&lt;=BC$4,BC$4&lt;=Projects!$C$40+Projects!$D$40-1),Projects!$B$40/Projects!$D$40,"")</f>
        <v/>
      </c>
      <c r="BD51" s="567">
        <f>IF(AND(Projects!$C$40&lt;=BD$4,BD$4&lt;=Projects!$C$40+Projects!$D$40-1),Projects!$B$40/Projects!$D$40,"")</f>
        <v/>
      </c>
      <c r="BE51" s="567">
        <f>IF(AND(Projects!$C$40&lt;=BE$4,BE$4&lt;=Projects!$C$40+Projects!$D$40-1),Projects!$B$40/Projects!$D$40,"")</f>
        <v/>
      </c>
      <c r="BF51" s="567">
        <f>IF(AND(Projects!$C$40&lt;=BF$4,BF$4&lt;=Projects!$C$40+Projects!$D$40-1),Projects!$B$40/Projects!$D$40,"")</f>
        <v/>
      </c>
      <c r="BG51" s="567">
        <f>IF(AND(Projects!$C$40&lt;=BG$4,BG$4&lt;=Projects!$C$40+Projects!$D$40-1),Projects!$B$40/Projects!$D$40,"")</f>
        <v/>
      </c>
      <c r="BH51" s="567">
        <f>IF(AND(Projects!$C$40&lt;=BH$4,BH$4&lt;=Projects!$C$40+Projects!$D$40-1),Projects!$B$40/Projects!$D$40,"")</f>
        <v/>
      </c>
      <c r="BI51" s="567">
        <f>IF(AND(Projects!$C$40&lt;=BI$4,BI$4&lt;=Projects!$C$40+Projects!$D$40-1),Projects!$B$40/Projects!$D$40,"")</f>
        <v/>
      </c>
      <c r="BJ51" s="567">
        <f>IF(AND(Projects!$C$40&lt;=BJ$4,BJ$4&lt;=Projects!$C$40+Projects!$D$40-1),Projects!$B$40/Projects!$D$40,"")</f>
        <v/>
      </c>
      <c r="BK51" s="567">
        <f>IF(AND(Projects!$C$40&lt;=BK$4,BK$4&lt;=Projects!$C$40+Projects!$D$40-1),Projects!$B$40/Projects!$D$40,"")</f>
        <v/>
      </c>
      <c r="BL51" s="567">
        <f>IF(AND(Projects!$C$40&lt;=BL$4,BL$4&lt;=Projects!$C$40+Projects!$D$40-1),Projects!$B$40/Projects!$D$40,"")</f>
        <v/>
      </c>
      <c r="BM51" s="567">
        <f>IF(AND(Projects!$C$40&lt;=BM$4,BM$4&lt;=Projects!$C$40+Projects!$D$40-1),Projects!$B$40/Projects!$D$40,"")</f>
        <v/>
      </c>
      <c r="BN51" s="567">
        <f>IF(AND(Projects!$C$40&lt;=BN$4,BN$4&lt;=Projects!$C$40+Projects!$D$40-1),Projects!$B$40/Projects!$D$40,"")</f>
        <v/>
      </c>
      <c r="BO51" s="567">
        <f>IF(AND(Projects!$C$40&lt;=BO$4,BO$4&lt;=Projects!$C$40+Projects!$D$40-1),Projects!$B$40/Projects!$D$40,"")</f>
        <v/>
      </c>
      <c r="BP51" s="567">
        <f>IF(AND(Projects!$C$40&lt;=BP$4,BP$4&lt;=Projects!$C$40+Projects!$D$40-1),Projects!$B$40/Projects!$D$40,"")</f>
        <v/>
      </c>
      <c r="BQ51" s="567">
        <f>IF(AND(Projects!$C$40&lt;=BQ$4,BQ$4&lt;=Projects!$C$40+Projects!$D$40-1),Projects!$B$40/Projects!$D$40,"")</f>
        <v/>
      </c>
      <c r="BR51" s="567">
        <f>IF(AND(Projects!$C$40&lt;=BR$4,BR$4&lt;=Projects!$C$40+Projects!$D$40-1),Projects!$B$40/Projects!$D$40,"")</f>
        <v/>
      </c>
      <c r="BS51" s="567">
        <f>IF(AND(Projects!$C$40&lt;=BS$4,BS$4&lt;=Projects!$C$40+Projects!$D$40-1),Projects!$B$40/Projects!$D$40,"")</f>
        <v/>
      </c>
      <c r="BT51" s="567">
        <f>IF(AND(Projects!$C$40&lt;=BT$4,BT$4&lt;=Projects!$C$40+Projects!$D$40-1),Projects!$B$40/Projects!$D$40,"")</f>
        <v/>
      </c>
      <c r="BU51" s="567">
        <f>IF(AND(Projects!$C$40&lt;=BU$4,BU$4&lt;=Projects!$C$40+Projects!$D$40-1),Projects!$B$40/Projects!$D$40,"")</f>
        <v/>
      </c>
      <c r="BV51" s="567">
        <f>IF(AND(Projects!$C$40&lt;=BV$4,BV$4&lt;=Projects!$C$40+Projects!$D$40-1),Projects!$B$40/Projects!$D$40,"")</f>
        <v/>
      </c>
      <c r="BW51" s="567">
        <f>IF(AND(Projects!$C$40&lt;=BW$4,BW$4&lt;=Projects!$C$40+Projects!$D$40-1),Projects!$B$40/Projects!$D$40,"")</f>
        <v/>
      </c>
      <c r="BX51" s="567">
        <f>IF(AND(Projects!$C$40&lt;=BX$4,BX$4&lt;=Projects!$C$40+Projects!$D$40-1),Projects!$B$40/Projects!$D$40,"")</f>
        <v/>
      </c>
      <c r="BY51" s="567">
        <f>IF(AND(Projects!$C$40&lt;=BY$4,BY$4&lt;=Projects!$C$40+Projects!$D$40-1),Projects!$B$40/Projects!$D$40,"")</f>
        <v/>
      </c>
      <c r="BZ51" s="567">
        <f>IF(AND(Projects!$C$40&lt;=BZ$4,BZ$4&lt;=Projects!$C$40+Projects!$D$40-1),Projects!$B$40/Projects!$D$40,"")</f>
        <v/>
      </c>
      <c r="CA51" s="567">
        <f>IF(AND(Projects!$C$40&lt;=CA$4,CA$4&lt;=Projects!$C$40+Projects!$D$40-1),Projects!$B$40/Projects!$D$40,"")</f>
        <v/>
      </c>
      <c r="CB51" s="567">
        <f>IF(AND(Projects!$C$40&lt;=CB$4,CB$4&lt;=Projects!$C$40+Projects!$D$40-1),Projects!$B$40/Projects!$D$40,"")</f>
        <v/>
      </c>
      <c r="CC51" s="567">
        <f>IF(AND(Projects!$C$40&lt;=CC$4,CC$4&lt;=Projects!$C$40+Projects!$D$40-1),Projects!$B$40/Projects!$D$40,"")</f>
        <v/>
      </c>
      <c r="CD51" s="567">
        <f>IF(AND(Projects!$C$40&lt;=CD$4,CD$4&lt;=Projects!$C$40+Projects!$D$40-1),Projects!$B$40/Projects!$D$40,"")</f>
        <v/>
      </c>
      <c r="CE51" s="567">
        <f>IF(AND(Projects!$C$40&lt;=CE$4,CE$4&lt;=Projects!$C$40+Projects!$D$40-1),Projects!$B$40/Projects!$D$40,"")</f>
        <v/>
      </c>
      <c r="CF51" s="567">
        <f>IF(AND(Projects!$C$40&lt;=CF$4,CF$4&lt;=Projects!$C$40+Projects!$D$40-1),Projects!$B$40/Projects!$D$40,"")</f>
        <v/>
      </c>
      <c r="CG51" s="567">
        <f>IF(AND(Projects!$C$40&lt;=CG$4,CG$4&lt;=Projects!$C$40+Projects!$D$40-1),Projects!$B$40/Projects!$D$40,"")</f>
        <v/>
      </c>
      <c r="CH51" s="567">
        <f>IF(AND(Projects!$C$40&lt;=CH$4,CH$4&lt;=Projects!$C$40+Projects!$D$40-1),Projects!$B$40/Projects!$D$40,"")</f>
        <v/>
      </c>
      <c r="CI51" s="567">
        <f>IF(AND(Projects!$C$40&lt;=CI$4,CI$4&lt;=Projects!$C$40+Projects!$D$40-1),Projects!$B$40/Projects!$D$40,"")</f>
        <v/>
      </c>
      <c r="CJ51" s="567">
        <f>IF(AND(Projects!$C$40&lt;=CJ$4,CJ$4&lt;=Projects!$C$40+Projects!$D$40-1),Projects!$B$40/Projects!$D$40,"")</f>
        <v/>
      </c>
      <c r="CK51" s="567">
        <f>IF(AND(Projects!$C$40&lt;=CK$4,CK$4&lt;=Projects!$C$40+Projects!$D$40-1),Projects!$B$40/Projects!$D$40,"")</f>
        <v/>
      </c>
      <c r="CL51" s="567">
        <f>IF(AND(Projects!$C$40&lt;=CL$4,CL$4&lt;=Projects!$C$40+Projects!$D$40-1),Projects!$B$40/Projects!$D$40,"")</f>
        <v/>
      </c>
      <c r="CM51" s="567">
        <f>IF(AND(Projects!$C$40&lt;=CM$4,CM$4&lt;=Projects!$C$40+Projects!$D$40-1),Projects!$B$40/Projects!$D$40,"")</f>
        <v/>
      </c>
      <c r="CN51" s="567">
        <f>IF(AND(Projects!$C$40&lt;=CN$4,CN$4&lt;=Projects!$C$40+Projects!$D$40-1),Projects!$B$40/Projects!$D$40,"")</f>
        <v/>
      </c>
      <c r="CO51" s="567">
        <f>IF(AND(Projects!$C$40&lt;=CO$4,CO$4&lt;=Projects!$C$40+Projects!$D$40-1),Projects!$B$40/Projects!$D$40,"")</f>
        <v/>
      </c>
      <c r="CP51" s="567">
        <f>IF(AND(Projects!$C$40&lt;=CP$4,CP$4&lt;=Projects!$C$40+Projects!$D$40-1),Projects!$B$40/Projects!$D$40,"")</f>
        <v/>
      </c>
      <c r="CQ51" s="567">
        <f>IF(AND(Projects!$C$40&lt;=CQ$4,CQ$4&lt;=Projects!$C$40+Projects!$D$40-1),Projects!$B$40/Projects!$D$40,"")</f>
        <v/>
      </c>
      <c r="CR51" s="567">
        <f>IF(AND(Projects!$C$40&lt;=CR$4,CR$4&lt;=Projects!$C$40+Projects!$D$40-1),Projects!$B$40/Projects!$D$40,"")</f>
        <v/>
      </c>
      <c r="CS51" s="567">
        <f>IF(AND(Projects!$C$40&lt;=CS$4,CS$4&lt;=Projects!$C$40+Projects!$D$40-1),Projects!$B$40/Projects!$D$40,"")</f>
        <v/>
      </c>
      <c r="CT51" s="567">
        <f>IF(AND(Projects!$C$40&lt;=CT$4,CT$4&lt;=Projects!$C$40+Projects!$D$40-1),Projects!$B$40/Projects!$D$40,"")</f>
        <v/>
      </c>
      <c r="CU51" s="567">
        <f>IF(AND(Projects!$C$40&lt;=CU$4,CU$4&lt;=Projects!$C$40+Projects!$D$40-1),Projects!$B$40/Projects!$D$40,"")</f>
        <v/>
      </c>
      <c r="CV51" s="567">
        <f>IF(AND(Projects!$C$40&lt;=CV$4,CV$4&lt;=Projects!$C$40+Projects!$D$40-1),Projects!$B$40/Projects!$D$40,"")</f>
        <v/>
      </c>
      <c r="CW51" s="567">
        <f>IF(AND(Projects!$C$40&lt;=CW$4,CW$4&lt;=Projects!$C$40+Projects!$D$40-1),Projects!$B$40/Projects!$D$40,"")</f>
        <v/>
      </c>
      <c r="CX51" s="567">
        <f>IF(AND(Projects!$C$40&lt;=CX$4,CX$4&lt;=Projects!$C$40+Projects!$D$40-1),Projects!$B$40/Projects!$D$40,"")</f>
        <v/>
      </c>
      <c r="CY51" s="567">
        <f>IF(AND(Projects!$C$40&lt;=CY$4,CY$4&lt;=Projects!$C$40+Projects!$D$40-1),Projects!$B$40/Projects!$D$40,"")</f>
        <v/>
      </c>
      <c r="CZ51" s="567">
        <f>IF(AND(Projects!$C$40&lt;=CZ$4,CZ$4&lt;=Projects!$C$40+Projects!$D$40-1),Projects!$B$40/Projects!$D$40,"")</f>
        <v/>
      </c>
      <c r="DA51" s="567">
        <f>IF(AND(Projects!$C$40&lt;=DA$4,DA$4&lt;=Projects!$C$40+Projects!$D$40-1),Projects!$B$40/Projects!$D$40,"")</f>
        <v/>
      </c>
      <c r="DB51" s="567">
        <f>IF(AND(Projects!$C$40&lt;=DB$4,DB$4&lt;=Projects!$C$40+Projects!$D$40-1),Projects!$B$40/Projects!$D$40,"")</f>
        <v/>
      </c>
    </row>
    <row r="52" ht="15" customFormat="1" customHeight="1" s="380">
      <c r="A52" s="563" t="inlineStr">
        <is>
          <t>BD-25</t>
        </is>
      </c>
      <c r="B52" s="564">
        <f>Projects!$B$41</f>
        <v/>
      </c>
      <c r="C52" s="565">
        <f>EDATE(Model!$E$2,Projects!$C$41-1)</f>
        <v/>
      </c>
      <c r="D52" s="565">
        <f>EDATE(Model!$E$2,Projects!$C$41+Projects!$D$41-2)</f>
        <v/>
      </c>
      <c r="E52" s="566">
        <f>Projects!$D$41</f>
        <v/>
      </c>
      <c r="F52" s="564">
        <f>Projects!$B$41/Projects!$D$41</f>
        <v/>
      </c>
      <c r="G52" s="567">
        <f>IF(AND(Projects!$C$41&lt;=G$4,G$4&lt;=Projects!$C$41+Projects!$D$41-1),Projects!$B$41/Projects!$D$41,"")</f>
        <v/>
      </c>
      <c r="H52" s="567">
        <f>IF(AND(Projects!$C$41&lt;=H$4,H$4&lt;=Projects!$C$41+Projects!$D$41-1),Projects!$B$41/Projects!$D$41,"")</f>
        <v/>
      </c>
      <c r="I52" s="567">
        <f>IF(AND(Projects!$C$41&lt;=I$4,I$4&lt;=Projects!$C$41+Projects!$D$41-1),Projects!$B$41/Projects!$D$41,"")</f>
        <v/>
      </c>
      <c r="J52" s="567">
        <f>IF(AND(Projects!$C$41&lt;=J$4,J$4&lt;=Projects!$C$41+Projects!$D$41-1),Projects!$B$41/Projects!$D$41,"")</f>
        <v/>
      </c>
      <c r="K52" s="567">
        <f>IF(AND(Projects!$C$41&lt;=K$4,K$4&lt;=Projects!$C$41+Projects!$D$41-1),Projects!$B$41/Projects!$D$41,"")</f>
        <v/>
      </c>
      <c r="L52" s="567">
        <f>IF(AND(Projects!$C$41&lt;=L$4,L$4&lt;=Projects!$C$41+Projects!$D$41-1),Projects!$B$41/Projects!$D$41,"")</f>
        <v/>
      </c>
      <c r="M52" s="567">
        <f>IF(AND(Projects!$C$41&lt;=M$4,M$4&lt;=Projects!$C$41+Projects!$D$41-1),Projects!$B$41/Projects!$D$41,"")</f>
        <v/>
      </c>
      <c r="N52" s="567">
        <f>IF(AND(Projects!$C$41&lt;=N$4,N$4&lt;=Projects!$C$41+Projects!$D$41-1),Projects!$B$41/Projects!$D$41,"")</f>
        <v/>
      </c>
      <c r="O52" s="567">
        <f>IF(AND(Projects!$C$41&lt;=O$4,O$4&lt;=Projects!$C$41+Projects!$D$41-1),Projects!$B$41/Projects!$D$41,"")</f>
        <v/>
      </c>
      <c r="P52" s="567">
        <f>IF(AND(Projects!$C$41&lt;=P$4,P$4&lt;=Projects!$C$41+Projects!$D$41-1),Projects!$B$41/Projects!$D$41,"")</f>
        <v/>
      </c>
      <c r="Q52" s="567">
        <f>IF(AND(Projects!$C$41&lt;=Q$4,Q$4&lt;=Projects!$C$41+Projects!$D$41-1),Projects!$B$41/Projects!$D$41,"")</f>
        <v/>
      </c>
      <c r="R52" s="567">
        <f>IF(AND(Projects!$C$41&lt;=R$4,R$4&lt;=Projects!$C$41+Projects!$D$41-1),Projects!$B$41/Projects!$D$41,"")</f>
        <v/>
      </c>
      <c r="S52" s="567">
        <f>IF(AND(Projects!$C$41&lt;=S$4,S$4&lt;=Projects!$C$41+Projects!$D$41-1),Projects!$B$41/Projects!$D$41,"")</f>
        <v/>
      </c>
      <c r="T52" s="567">
        <f>IF(AND(Projects!$C$41&lt;=T$4,T$4&lt;=Projects!$C$41+Projects!$D$41-1),Projects!$B$41/Projects!$D$41,"")</f>
        <v/>
      </c>
      <c r="U52" s="567">
        <f>IF(AND(Projects!$C$41&lt;=U$4,U$4&lt;=Projects!$C$41+Projects!$D$41-1),Projects!$B$41/Projects!$D$41,"")</f>
        <v/>
      </c>
      <c r="V52" s="567">
        <f>IF(AND(Projects!$C$41&lt;=V$4,V$4&lt;=Projects!$C$41+Projects!$D$41-1),Projects!$B$41/Projects!$D$41,"")</f>
        <v/>
      </c>
      <c r="W52" s="567">
        <f>IF(AND(Projects!$C$41&lt;=W$4,W$4&lt;=Projects!$C$41+Projects!$D$41-1),Projects!$B$41/Projects!$D$41,"")</f>
        <v/>
      </c>
      <c r="X52" s="567">
        <f>IF(AND(Projects!$C$41&lt;=X$4,X$4&lt;=Projects!$C$41+Projects!$D$41-1),Projects!$B$41/Projects!$D$41,"")</f>
        <v/>
      </c>
      <c r="Y52" s="567">
        <f>IF(AND(Projects!$C$41&lt;=Y$4,Y$4&lt;=Projects!$C$41+Projects!$D$41-1),Projects!$B$41/Projects!$D$41,"")</f>
        <v/>
      </c>
      <c r="Z52" s="567">
        <f>IF(AND(Projects!$C$41&lt;=Z$4,Z$4&lt;=Projects!$C$41+Projects!$D$41-1),Projects!$B$41/Projects!$D$41,"")</f>
        <v/>
      </c>
      <c r="AA52" s="567">
        <f>IF(AND(Projects!$C$41&lt;=AA$4,AA$4&lt;=Projects!$C$41+Projects!$D$41-1),Projects!$B$41/Projects!$D$41,"")</f>
        <v/>
      </c>
      <c r="AB52" s="567">
        <f>IF(AND(Projects!$C$41&lt;=AB$4,AB$4&lt;=Projects!$C$41+Projects!$D$41-1),Projects!$B$41/Projects!$D$41,"")</f>
        <v/>
      </c>
      <c r="AC52" s="567">
        <f>IF(AND(Projects!$C$41&lt;=AC$4,AC$4&lt;=Projects!$C$41+Projects!$D$41-1),Projects!$B$41/Projects!$D$41,"")</f>
        <v/>
      </c>
      <c r="AD52" s="567">
        <f>IF(AND(Projects!$C$41&lt;=AD$4,AD$4&lt;=Projects!$C$41+Projects!$D$41-1),Projects!$B$41/Projects!$D$41,"")</f>
        <v/>
      </c>
      <c r="AE52" s="567">
        <f>IF(AND(Projects!$C$41&lt;=AE$4,AE$4&lt;=Projects!$C$41+Projects!$D$41-1),Projects!$B$41/Projects!$D$41,"")</f>
        <v/>
      </c>
      <c r="AF52" s="567">
        <f>IF(AND(Projects!$C$41&lt;=AF$4,AF$4&lt;=Projects!$C$41+Projects!$D$41-1),Projects!$B$41/Projects!$D$41,"")</f>
        <v/>
      </c>
      <c r="AG52" s="567">
        <f>IF(AND(Projects!$C$41&lt;=AG$4,AG$4&lt;=Projects!$C$41+Projects!$D$41-1),Projects!$B$41/Projects!$D$41,"")</f>
        <v/>
      </c>
      <c r="AH52" s="567">
        <f>IF(AND(Projects!$C$41&lt;=AH$4,AH$4&lt;=Projects!$C$41+Projects!$D$41-1),Projects!$B$41/Projects!$D$41,"")</f>
        <v/>
      </c>
      <c r="AI52" s="567">
        <f>IF(AND(Projects!$C$41&lt;=AI$4,AI$4&lt;=Projects!$C$41+Projects!$D$41-1),Projects!$B$41/Projects!$D$41,"")</f>
        <v/>
      </c>
      <c r="AJ52" s="567">
        <f>IF(AND(Projects!$C$41&lt;=AJ$4,AJ$4&lt;=Projects!$C$41+Projects!$D$41-1),Projects!$B$41/Projects!$D$41,"")</f>
        <v/>
      </c>
      <c r="AK52" s="567">
        <f>IF(AND(Projects!$C$41&lt;=AK$4,AK$4&lt;=Projects!$C$41+Projects!$D$41-1),Projects!$B$41/Projects!$D$41,"")</f>
        <v/>
      </c>
      <c r="AL52" s="567">
        <f>IF(AND(Projects!$C$41&lt;=AL$4,AL$4&lt;=Projects!$C$41+Projects!$D$41-1),Projects!$B$41/Projects!$D$41,"")</f>
        <v/>
      </c>
      <c r="AM52" s="567">
        <f>IF(AND(Projects!$C$41&lt;=AM$4,AM$4&lt;=Projects!$C$41+Projects!$D$41-1),Projects!$B$41/Projects!$D$41,"")</f>
        <v/>
      </c>
      <c r="AN52" s="567">
        <f>IF(AND(Projects!$C$41&lt;=AN$4,AN$4&lt;=Projects!$C$41+Projects!$D$41-1),Projects!$B$41/Projects!$D$41,"")</f>
        <v/>
      </c>
      <c r="AO52" s="567">
        <f>IF(AND(Projects!$C$41&lt;=AO$4,AO$4&lt;=Projects!$C$41+Projects!$D$41-1),Projects!$B$41/Projects!$D$41,"")</f>
        <v/>
      </c>
      <c r="AP52" s="567">
        <f>IF(AND(Projects!$C$41&lt;=AP$4,AP$4&lt;=Projects!$C$41+Projects!$D$41-1),Projects!$B$41/Projects!$D$41,"")</f>
        <v/>
      </c>
      <c r="AQ52" s="567">
        <f>IF(AND(Projects!$C$41&lt;=AQ$4,AQ$4&lt;=Projects!$C$41+Projects!$D$41-1),Projects!$B$41/Projects!$D$41,"")</f>
        <v/>
      </c>
      <c r="AR52" s="567">
        <f>IF(AND(Projects!$C$41&lt;=AR$4,AR$4&lt;=Projects!$C$41+Projects!$D$41-1),Projects!$B$41/Projects!$D$41,"")</f>
        <v/>
      </c>
      <c r="AS52" s="567">
        <f>IF(AND(Projects!$C$41&lt;=AS$4,AS$4&lt;=Projects!$C$41+Projects!$D$41-1),Projects!$B$41/Projects!$D$41,"")</f>
        <v/>
      </c>
      <c r="AT52" s="567">
        <f>IF(AND(Projects!$C$41&lt;=AT$4,AT$4&lt;=Projects!$C$41+Projects!$D$41-1),Projects!$B$41/Projects!$D$41,"")</f>
        <v/>
      </c>
      <c r="AU52" s="567">
        <f>IF(AND(Projects!$C$41&lt;=AU$4,AU$4&lt;=Projects!$C$41+Projects!$D$41-1),Projects!$B$41/Projects!$D$41,"")</f>
        <v/>
      </c>
      <c r="AV52" s="567">
        <f>IF(AND(Projects!$C$41&lt;=AV$4,AV$4&lt;=Projects!$C$41+Projects!$D$41-1),Projects!$B$41/Projects!$D$41,"")</f>
        <v/>
      </c>
      <c r="AW52" s="567">
        <f>IF(AND(Projects!$C$41&lt;=AW$4,AW$4&lt;=Projects!$C$41+Projects!$D$41-1),Projects!$B$41/Projects!$D$41,"")</f>
        <v/>
      </c>
      <c r="AX52" s="567">
        <f>IF(AND(Projects!$C$41&lt;=AX$4,AX$4&lt;=Projects!$C$41+Projects!$D$41-1),Projects!$B$41/Projects!$D$41,"")</f>
        <v/>
      </c>
      <c r="AY52" s="567">
        <f>IF(AND(Projects!$C$41&lt;=AY$4,AY$4&lt;=Projects!$C$41+Projects!$D$41-1),Projects!$B$41/Projects!$D$41,"")</f>
        <v/>
      </c>
      <c r="AZ52" s="567">
        <f>IF(AND(Projects!$C$41&lt;=AZ$4,AZ$4&lt;=Projects!$C$41+Projects!$D$41-1),Projects!$B$41/Projects!$D$41,"")</f>
        <v/>
      </c>
      <c r="BA52" s="567">
        <f>IF(AND(Projects!$C$41&lt;=BA$4,BA$4&lt;=Projects!$C$41+Projects!$D$41-1),Projects!$B$41/Projects!$D$41,"")</f>
        <v/>
      </c>
      <c r="BB52" s="567">
        <f>IF(AND(Projects!$C$41&lt;=BB$4,BB$4&lt;=Projects!$C$41+Projects!$D$41-1),Projects!$B$41/Projects!$D$41,"")</f>
        <v/>
      </c>
      <c r="BC52" s="567">
        <f>IF(AND(Projects!$C$41&lt;=BC$4,BC$4&lt;=Projects!$C$41+Projects!$D$41-1),Projects!$B$41/Projects!$D$41,"")</f>
        <v/>
      </c>
      <c r="BD52" s="567">
        <f>IF(AND(Projects!$C$41&lt;=BD$4,BD$4&lt;=Projects!$C$41+Projects!$D$41-1),Projects!$B$41/Projects!$D$41,"")</f>
        <v/>
      </c>
      <c r="BE52" s="567">
        <f>IF(AND(Projects!$C$41&lt;=BE$4,BE$4&lt;=Projects!$C$41+Projects!$D$41-1),Projects!$B$41/Projects!$D$41,"")</f>
        <v/>
      </c>
      <c r="BF52" s="567">
        <f>IF(AND(Projects!$C$41&lt;=BF$4,BF$4&lt;=Projects!$C$41+Projects!$D$41-1),Projects!$B$41/Projects!$D$41,"")</f>
        <v/>
      </c>
      <c r="BG52" s="567">
        <f>IF(AND(Projects!$C$41&lt;=BG$4,BG$4&lt;=Projects!$C$41+Projects!$D$41-1),Projects!$B$41/Projects!$D$41,"")</f>
        <v/>
      </c>
      <c r="BH52" s="567">
        <f>IF(AND(Projects!$C$41&lt;=BH$4,BH$4&lt;=Projects!$C$41+Projects!$D$41-1),Projects!$B$41/Projects!$D$41,"")</f>
        <v/>
      </c>
      <c r="BI52" s="567">
        <f>IF(AND(Projects!$C$41&lt;=BI$4,BI$4&lt;=Projects!$C$41+Projects!$D$41-1),Projects!$B$41/Projects!$D$41,"")</f>
        <v/>
      </c>
      <c r="BJ52" s="567">
        <f>IF(AND(Projects!$C$41&lt;=BJ$4,BJ$4&lt;=Projects!$C$41+Projects!$D$41-1),Projects!$B$41/Projects!$D$41,"")</f>
        <v/>
      </c>
      <c r="BK52" s="567">
        <f>IF(AND(Projects!$C$41&lt;=BK$4,BK$4&lt;=Projects!$C$41+Projects!$D$41-1),Projects!$B$41/Projects!$D$41,"")</f>
        <v/>
      </c>
      <c r="BL52" s="567">
        <f>IF(AND(Projects!$C$41&lt;=BL$4,BL$4&lt;=Projects!$C$41+Projects!$D$41-1),Projects!$B$41/Projects!$D$41,"")</f>
        <v/>
      </c>
      <c r="BM52" s="567">
        <f>IF(AND(Projects!$C$41&lt;=BM$4,BM$4&lt;=Projects!$C$41+Projects!$D$41-1),Projects!$B$41/Projects!$D$41,"")</f>
        <v/>
      </c>
      <c r="BN52" s="567">
        <f>IF(AND(Projects!$C$41&lt;=BN$4,BN$4&lt;=Projects!$C$41+Projects!$D$41-1),Projects!$B$41/Projects!$D$41,"")</f>
        <v/>
      </c>
      <c r="BO52" s="567">
        <f>IF(AND(Projects!$C$41&lt;=BO$4,BO$4&lt;=Projects!$C$41+Projects!$D$41-1),Projects!$B$41/Projects!$D$41,"")</f>
        <v/>
      </c>
      <c r="BP52" s="567">
        <f>IF(AND(Projects!$C$41&lt;=BP$4,BP$4&lt;=Projects!$C$41+Projects!$D$41-1),Projects!$B$41/Projects!$D$41,"")</f>
        <v/>
      </c>
      <c r="BQ52" s="567">
        <f>IF(AND(Projects!$C$41&lt;=BQ$4,BQ$4&lt;=Projects!$C$41+Projects!$D$41-1),Projects!$B$41/Projects!$D$41,"")</f>
        <v/>
      </c>
      <c r="BR52" s="567">
        <f>IF(AND(Projects!$C$41&lt;=BR$4,BR$4&lt;=Projects!$C$41+Projects!$D$41-1),Projects!$B$41/Projects!$D$41,"")</f>
        <v/>
      </c>
      <c r="BS52" s="567">
        <f>IF(AND(Projects!$C$41&lt;=BS$4,BS$4&lt;=Projects!$C$41+Projects!$D$41-1),Projects!$B$41/Projects!$D$41,"")</f>
        <v/>
      </c>
      <c r="BT52" s="567">
        <f>IF(AND(Projects!$C$41&lt;=BT$4,BT$4&lt;=Projects!$C$41+Projects!$D$41-1),Projects!$B$41/Projects!$D$41,"")</f>
        <v/>
      </c>
      <c r="BU52" s="567">
        <f>IF(AND(Projects!$C$41&lt;=BU$4,BU$4&lt;=Projects!$C$41+Projects!$D$41-1),Projects!$B$41/Projects!$D$41,"")</f>
        <v/>
      </c>
      <c r="BV52" s="567">
        <f>IF(AND(Projects!$C$41&lt;=BV$4,BV$4&lt;=Projects!$C$41+Projects!$D$41-1),Projects!$B$41/Projects!$D$41,"")</f>
        <v/>
      </c>
      <c r="BW52" s="567">
        <f>IF(AND(Projects!$C$41&lt;=BW$4,BW$4&lt;=Projects!$C$41+Projects!$D$41-1),Projects!$B$41/Projects!$D$41,"")</f>
        <v/>
      </c>
      <c r="BX52" s="567">
        <f>IF(AND(Projects!$C$41&lt;=BX$4,BX$4&lt;=Projects!$C$41+Projects!$D$41-1),Projects!$B$41/Projects!$D$41,"")</f>
        <v/>
      </c>
      <c r="BY52" s="567">
        <f>IF(AND(Projects!$C$41&lt;=BY$4,BY$4&lt;=Projects!$C$41+Projects!$D$41-1),Projects!$B$41/Projects!$D$41,"")</f>
        <v/>
      </c>
      <c r="BZ52" s="567">
        <f>IF(AND(Projects!$C$41&lt;=BZ$4,BZ$4&lt;=Projects!$C$41+Projects!$D$41-1),Projects!$B$41/Projects!$D$41,"")</f>
        <v/>
      </c>
      <c r="CA52" s="567">
        <f>IF(AND(Projects!$C$41&lt;=CA$4,CA$4&lt;=Projects!$C$41+Projects!$D$41-1),Projects!$B$41/Projects!$D$41,"")</f>
        <v/>
      </c>
      <c r="CB52" s="567">
        <f>IF(AND(Projects!$C$41&lt;=CB$4,CB$4&lt;=Projects!$C$41+Projects!$D$41-1),Projects!$B$41/Projects!$D$41,"")</f>
        <v/>
      </c>
      <c r="CC52" s="567">
        <f>IF(AND(Projects!$C$41&lt;=CC$4,CC$4&lt;=Projects!$C$41+Projects!$D$41-1),Projects!$B$41/Projects!$D$41,"")</f>
        <v/>
      </c>
      <c r="CD52" s="567">
        <f>IF(AND(Projects!$C$41&lt;=CD$4,CD$4&lt;=Projects!$C$41+Projects!$D$41-1),Projects!$B$41/Projects!$D$41,"")</f>
        <v/>
      </c>
      <c r="CE52" s="567">
        <f>IF(AND(Projects!$C$41&lt;=CE$4,CE$4&lt;=Projects!$C$41+Projects!$D$41-1),Projects!$B$41/Projects!$D$41,"")</f>
        <v/>
      </c>
      <c r="CF52" s="567">
        <f>IF(AND(Projects!$C$41&lt;=CF$4,CF$4&lt;=Projects!$C$41+Projects!$D$41-1),Projects!$B$41/Projects!$D$41,"")</f>
        <v/>
      </c>
      <c r="CG52" s="567">
        <f>IF(AND(Projects!$C$41&lt;=CG$4,CG$4&lt;=Projects!$C$41+Projects!$D$41-1),Projects!$B$41/Projects!$D$41,"")</f>
        <v/>
      </c>
      <c r="CH52" s="567">
        <f>IF(AND(Projects!$C$41&lt;=CH$4,CH$4&lt;=Projects!$C$41+Projects!$D$41-1),Projects!$B$41/Projects!$D$41,"")</f>
        <v/>
      </c>
      <c r="CI52" s="567">
        <f>IF(AND(Projects!$C$41&lt;=CI$4,CI$4&lt;=Projects!$C$41+Projects!$D$41-1),Projects!$B$41/Projects!$D$41,"")</f>
        <v/>
      </c>
      <c r="CJ52" s="567">
        <f>IF(AND(Projects!$C$41&lt;=CJ$4,CJ$4&lt;=Projects!$C$41+Projects!$D$41-1),Projects!$B$41/Projects!$D$41,"")</f>
        <v/>
      </c>
      <c r="CK52" s="567">
        <f>IF(AND(Projects!$C$41&lt;=CK$4,CK$4&lt;=Projects!$C$41+Projects!$D$41-1),Projects!$B$41/Projects!$D$41,"")</f>
        <v/>
      </c>
      <c r="CL52" s="567">
        <f>IF(AND(Projects!$C$41&lt;=CL$4,CL$4&lt;=Projects!$C$41+Projects!$D$41-1),Projects!$B$41/Projects!$D$41,"")</f>
        <v/>
      </c>
      <c r="CM52" s="567">
        <f>IF(AND(Projects!$C$41&lt;=CM$4,CM$4&lt;=Projects!$C$41+Projects!$D$41-1),Projects!$B$41/Projects!$D$41,"")</f>
        <v/>
      </c>
      <c r="CN52" s="567">
        <f>IF(AND(Projects!$C$41&lt;=CN$4,CN$4&lt;=Projects!$C$41+Projects!$D$41-1),Projects!$B$41/Projects!$D$41,"")</f>
        <v/>
      </c>
      <c r="CO52" s="567">
        <f>IF(AND(Projects!$C$41&lt;=CO$4,CO$4&lt;=Projects!$C$41+Projects!$D$41-1),Projects!$B$41/Projects!$D$41,"")</f>
        <v/>
      </c>
      <c r="CP52" s="567">
        <f>IF(AND(Projects!$C$41&lt;=CP$4,CP$4&lt;=Projects!$C$41+Projects!$D$41-1),Projects!$B$41/Projects!$D$41,"")</f>
        <v/>
      </c>
      <c r="CQ52" s="567">
        <f>IF(AND(Projects!$C$41&lt;=CQ$4,CQ$4&lt;=Projects!$C$41+Projects!$D$41-1),Projects!$B$41/Projects!$D$41,"")</f>
        <v/>
      </c>
      <c r="CR52" s="567">
        <f>IF(AND(Projects!$C$41&lt;=CR$4,CR$4&lt;=Projects!$C$41+Projects!$D$41-1),Projects!$B$41/Projects!$D$41,"")</f>
        <v/>
      </c>
      <c r="CS52" s="567">
        <f>IF(AND(Projects!$C$41&lt;=CS$4,CS$4&lt;=Projects!$C$41+Projects!$D$41-1),Projects!$B$41/Projects!$D$41,"")</f>
        <v/>
      </c>
      <c r="CT52" s="567">
        <f>IF(AND(Projects!$C$41&lt;=CT$4,CT$4&lt;=Projects!$C$41+Projects!$D$41-1),Projects!$B$41/Projects!$D$41,"")</f>
        <v/>
      </c>
      <c r="CU52" s="567">
        <f>IF(AND(Projects!$C$41&lt;=CU$4,CU$4&lt;=Projects!$C$41+Projects!$D$41-1),Projects!$B$41/Projects!$D$41,"")</f>
        <v/>
      </c>
      <c r="CV52" s="567">
        <f>IF(AND(Projects!$C$41&lt;=CV$4,CV$4&lt;=Projects!$C$41+Projects!$D$41-1),Projects!$B$41/Projects!$D$41,"")</f>
        <v/>
      </c>
      <c r="CW52" s="567">
        <f>IF(AND(Projects!$C$41&lt;=CW$4,CW$4&lt;=Projects!$C$41+Projects!$D$41-1),Projects!$B$41/Projects!$D$41,"")</f>
        <v/>
      </c>
      <c r="CX52" s="567">
        <f>IF(AND(Projects!$C$41&lt;=CX$4,CX$4&lt;=Projects!$C$41+Projects!$D$41-1),Projects!$B$41/Projects!$D$41,"")</f>
        <v/>
      </c>
      <c r="CY52" s="567">
        <f>IF(AND(Projects!$C$41&lt;=CY$4,CY$4&lt;=Projects!$C$41+Projects!$D$41-1),Projects!$B$41/Projects!$D$41,"")</f>
        <v/>
      </c>
      <c r="CZ52" s="567">
        <f>IF(AND(Projects!$C$41&lt;=CZ$4,CZ$4&lt;=Projects!$C$41+Projects!$D$41-1),Projects!$B$41/Projects!$D$41,"")</f>
        <v/>
      </c>
      <c r="DA52" s="567">
        <f>IF(AND(Projects!$C$41&lt;=DA$4,DA$4&lt;=Projects!$C$41+Projects!$D$41-1),Projects!$B$41/Projects!$D$41,"")</f>
        <v/>
      </c>
      <c r="DB52" s="567">
        <f>IF(AND(Projects!$C$41&lt;=DB$4,DB$4&lt;=Projects!$C$41+Projects!$D$41-1),Projects!$B$41/Projects!$D$41,"")</f>
        <v/>
      </c>
    </row>
    <row r="53" ht="15" customFormat="1" customHeight="1" s="380">
      <c r="A53" s="473" t="inlineStr">
        <is>
          <t>Pipeline: Monthly Billing In Place ($M)</t>
        </is>
      </c>
      <c r="G53" s="568">
        <f>SUM(G45:G52)</f>
        <v/>
      </c>
      <c r="H53" s="568">
        <f>SUM(H45:H52)</f>
        <v/>
      </c>
      <c r="I53" s="568">
        <f>SUM(I45:I52)</f>
        <v/>
      </c>
      <c r="J53" s="568">
        <f>SUM(J45:J52)</f>
        <v/>
      </c>
      <c r="K53" s="568">
        <f>SUM(K45:K52)</f>
        <v/>
      </c>
      <c r="L53" s="568">
        <f>SUM(L45:L52)</f>
        <v/>
      </c>
      <c r="M53" s="568">
        <f>SUM(M45:M52)</f>
        <v/>
      </c>
      <c r="N53" s="568">
        <f>SUM(N45:N52)</f>
        <v/>
      </c>
      <c r="O53" s="568">
        <f>SUM(O45:O52)</f>
        <v/>
      </c>
      <c r="P53" s="568">
        <f>SUM(P45:P52)</f>
        <v/>
      </c>
      <c r="Q53" s="568">
        <f>SUM(Q45:Q52)</f>
        <v/>
      </c>
      <c r="R53" s="568">
        <f>SUM(R45:R52)</f>
        <v/>
      </c>
      <c r="S53" s="568">
        <f>SUM(S45:S52)</f>
        <v/>
      </c>
      <c r="T53" s="568">
        <f>SUM(T45:T52)</f>
        <v/>
      </c>
      <c r="U53" s="568">
        <f>SUM(U45:U52)</f>
        <v/>
      </c>
      <c r="V53" s="568">
        <f>SUM(V45:V52)</f>
        <v/>
      </c>
      <c r="W53" s="568">
        <f>SUM(W45:W52)</f>
        <v/>
      </c>
      <c r="X53" s="568">
        <f>SUM(X45:X52)</f>
        <v/>
      </c>
      <c r="Y53" s="568">
        <f>SUM(Y45:Y52)</f>
        <v/>
      </c>
      <c r="Z53" s="568">
        <f>SUM(Z45:Z52)</f>
        <v/>
      </c>
      <c r="AA53" s="568">
        <f>SUM(AA45:AA52)</f>
        <v/>
      </c>
      <c r="AB53" s="568">
        <f>SUM(AB45:AB52)</f>
        <v/>
      </c>
      <c r="AC53" s="568">
        <f>SUM(AC45:AC52)</f>
        <v/>
      </c>
      <c r="AD53" s="568">
        <f>SUM(AD45:AD52)</f>
        <v/>
      </c>
      <c r="AE53" s="568">
        <f>SUM(AE45:AE52)</f>
        <v/>
      </c>
      <c r="AF53" s="568">
        <f>SUM(AF45:AF52)</f>
        <v/>
      </c>
      <c r="AG53" s="568">
        <f>SUM(AG45:AG52)</f>
        <v/>
      </c>
      <c r="AH53" s="568">
        <f>SUM(AH45:AH52)</f>
        <v/>
      </c>
      <c r="AI53" s="568">
        <f>SUM(AI45:AI52)</f>
        <v/>
      </c>
      <c r="AJ53" s="568">
        <f>SUM(AJ45:AJ52)</f>
        <v/>
      </c>
      <c r="AK53" s="568">
        <f>SUM(AK45:AK52)</f>
        <v/>
      </c>
      <c r="AL53" s="568">
        <f>SUM(AL45:AL52)</f>
        <v/>
      </c>
      <c r="AM53" s="568">
        <f>SUM(AM45:AM52)</f>
        <v/>
      </c>
      <c r="AN53" s="568">
        <f>SUM(AN45:AN52)</f>
        <v/>
      </c>
      <c r="AO53" s="568">
        <f>SUM(AO45:AO52)</f>
        <v/>
      </c>
      <c r="AP53" s="568">
        <f>SUM(AP45:AP52)</f>
        <v/>
      </c>
      <c r="AQ53" s="568">
        <f>SUM(AQ45:AQ52)</f>
        <v/>
      </c>
      <c r="AR53" s="568">
        <f>SUM(AR45:AR52)</f>
        <v/>
      </c>
      <c r="AS53" s="568">
        <f>SUM(AS45:AS52)</f>
        <v/>
      </c>
      <c r="AT53" s="568">
        <f>SUM(AT45:AT52)</f>
        <v/>
      </c>
      <c r="AU53" s="568">
        <f>SUM(AU45:AU52)</f>
        <v/>
      </c>
      <c r="AV53" s="568">
        <f>SUM(AV45:AV52)</f>
        <v/>
      </c>
      <c r="AW53" s="568">
        <f>SUM(AW45:AW52)</f>
        <v/>
      </c>
      <c r="AX53" s="568">
        <f>SUM(AX45:AX52)</f>
        <v/>
      </c>
      <c r="AY53" s="568">
        <f>SUM(AY45:AY52)</f>
        <v/>
      </c>
      <c r="AZ53" s="568">
        <f>SUM(AZ45:AZ52)</f>
        <v/>
      </c>
      <c r="BA53" s="568">
        <f>SUM(BA45:BA52)</f>
        <v/>
      </c>
      <c r="BB53" s="568">
        <f>SUM(BB45:BB52)</f>
        <v/>
      </c>
      <c r="BC53" s="568">
        <f>SUM(BC45:BC52)</f>
        <v/>
      </c>
      <c r="BD53" s="568">
        <f>SUM(BD45:BD52)</f>
        <v/>
      </c>
      <c r="BE53" s="568">
        <f>SUM(BE45:BE52)</f>
        <v/>
      </c>
      <c r="BF53" s="568">
        <f>SUM(BF45:BF52)</f>
        <v/>
      </c>
      <c r="BG53" s="568">
        <f>SUM(BG45:BG52)</f>
        <v/>
      </c>
      <c r="BH53" s="568">
        <f>SUM(BH45:BH52)</f>
        <v/>
      </c>
      <c r="BI53" s="568">
        <f>SUM(BI45:BI52)</f>
        <v/>
      </c>
      <c r="BJ53" s="568">
        <f>SUM(BJ45:BJ52)</f>
        <v/>
      </c>
      <c r="BK53" s="568">
        <f>SUM(BK45:BK52)</f>
        <v/>
      </c>
      <c r="BL53" s="568">
        <f>SUM(BL45:BL52)</f>
        <v/>
      </c>
      <c r="BM53" s="568">
        <f>SUM(BM45:BM52)</f>
        <v/>
      </c>
      <c r="BN53" s="568">
        <f>SUM(BN45:BN52)</f>
        <v/>
      </c>
      <c r="BO53" s="568">
        <f>SUM(BO45:BO52)</f>
        <v/>
      </c>
      <c r="BP53" s="568">
        <f>SUM(BP45:BP52)</f>
        <v/>
      </c>
      <c r="BQ53" s="568">
        <f>SUM(BQ45:BQ52)</f>
        <v/>
      </c>
      <c r="BR53" s="568">
        <f>SUM(BR45:BR52)</f>
        <v/>
      </c>
      <c r="BS53" s="568">
        <f>SUM(BS45:BS52)</f>
        <v/>
      </c>
      <c r="BT53" s="568">
        <f>SUM(BT45:BT52)</f>
        <v/>
      </c>
      <c r="BU53" s="568">
        <f>SUM(BU45:BU52)</f>
        <v/>
      </c>
      <c r="BV53" s="568">
        <f>SUM(BV45:BV52)</f>
        <v/>
      </c>
      <c r="BW53" s="568">
        <f>SUM(BW45:BW52)</f>
        <v/>
      </c>
      <c r="BX53" s="568">
        <f>SUM(BX45:BX52)</f>
        <v/>
      </c>
      <c r="BY53" s="568">
        <f>SUM(BY45:BY52)</f>
        <v/>
      </c>
      <c r="BZ53" s="568">
        <f>SUM(BZ45:BZ52)</f>
        <v/>
      </c>
      <c r="CA53" s="568">
        <f>SUM(CA45:CA52)</f>
        <v/>
      </c>
      <c r="CB53" s="568">
        <f>SUM(CB45:CB52)</f>
        <v/>
      </c>
      <c r="CC53" s="568">
        <f>SUM(CC45:CC52)</f>
        <v/>
      </c>
      <c r="CD53" s="568">
        <f>SUM(CD45:CD52)</f>
        <v/>
      </c>
      <c r="CE53" s="568">
        <f>SUM(CE45:CE52)</f>
        <v/>
      </c>
      <c r="CF53" s="568">
        <f>SUM(CF45:CF52)</f>
        <v/>
      </c>
      <c r="CG53" s="568">
        <f>SUM(CG45:CG52)</f>
        <v/>
      </c>
      <c r="CH53" s="568">
        <f>SUM(CH45:CH52)</f>
        <v/>
      </c>
      <c r="CI53" s="568">
        <f>SUM(CI45:CI52)</f>
        <v/>
      </c>
      <c r="CJ53" s="568">
        <f>SUM(CJ45:CJ52)</f>
        <v/>
      </c>
      <c r="CK53" s="568">
        <f>SUM(CK45:CK52)</f>
        <v/>
      </c>
      <c r="CL53" s="568">
        <f>SUM(CL45:CL52)</f>
        <v/>
      </c>
      <c r="CM53" s="568">
        <f>SUM(CM45:CM52)</f>
        <v/>
      </c>
      <c r="CN53" s="568">
        <f>SUM(CN45:CN52)</f>
        <v/>
      </c>
      <c r="CO53" s="568">
        <f>SUM(CO45:CO52)</f>
        <v/>
      </c>
      <c r="CP53" s="568">
        <f>SUM(CP45:CP52)</f>
        <v/>
      </c>
      <c r="CQ53" s="568">
        <f>SUM(CQ45:CQ52)</f>
        <v/>
      </c>
      <c r="CR53" s="568">
        <f>SUM(CR45:CR52)</f>
        <v/>
      </c>
      <c r="CS53" s="568">
        <f>SUM(CS45:CS52)</f>
        <v/>
      </c>
      <c r="CT53" s="568">
        <f>SUM(CT45:CT52)</f>
        <v/>
      </c>
      <c r="CU53" s="568">
        <f>SUM(CU45:CU52)</f>
        <v/>
      </c>
      <c r="CV53" s="568">
        <f>SUM(CV45:CV52)</f>
        <v/>
      </c>
      <c r="CW53" s="568">
        <f>SUM(CW45:CW52)</f>
        <v/>
      </c>
      <c r="CX53" s="568">
        <f>SUM(CX45:CX52)</f>
        <v/>
      </c>
      <c r="CY53" s="568">
        <f>SUM(CY45:CY52)</f>
        <v/>
      </c>
      <c r="CZ53" s="568">
        <f>SUM(CZ45:CZ52)</f>
        <v/>
      </c>
      <c r="DA53" s="568">
        <f>SUM(DA45:DA52)</f>
        <v/>
      </c>
      <c r="DB53" s="568">
        <f>SUM(DB45:DB52)</f>
        <v/>
      </c>
    </row>
    <row r="54" ht="15" customFormat="1" customHeight="1" s="380">
      <c r="A54" s="473" t="inlineStr">
        <is>
          <t>Pipeline: Jobs Active (#)</t>
        </is>
      </c>
      <c r="G54" s="569">
        <f>COUNT(G45:G52)</f>
        <v/>
      </c>
      <c r="H54" s="569">
        <f>COUNT(H45:H52)</f>
        <v/>
      </c>
      <c r="I54" s="569">
        <f>COUNT(I45:I52)</f>
        <v/>
      </c>
      <c r="J54" s="569">
        <f>COUNT(J45:J52)</f>
        <v/>
      </c>
      <c r="K54" s="569">
        <f>COUNT(K45:K52)</f>
        <v/>
      </c>
      <c r="L54" s="569">
        <f>COUNT(L45:L52)</f>
        <v/>
      </c>
      <c r="M54" s="569">
        <f>COUNT(M45:M52)</f>
        <v/>
      </c>
      <c r="N54" s="569">
        <f>COUNT(N45:N52)</f>
        <v/>
      </c>
      <c r="O54" s="569">
        <f>COUNT(O45:O52)</f>
        <v/>
      </c>
      <c r="P54" s="569">
        <f>COUNT(P45:P52)</f>
        <v/>
      </c>
      <c r="Q54" s="569">
        <f>COUNT(Q45:Q52)</f>
        <v/>
      </c>
      <c r="R54" s="569">
        <f>COUNT(R45:R52)</f>
        <v/>
      </c>
      <c r="S54" s="569">
        <f>COUNT(S45:S52)</f>
        <v/>
      </c>
      <c r="T54" s="569">
        <f>COUNT(T45:T52)</f>
        <v/>
      </c>
      <c r="U54" s="569">
        <f>COUNT(U45:U52)</f>
        <v/>
      </c>
      <c r="V54" s="569">
        <f>COUNT(V45:V52)</f>
        <v/>
      </c>
      <c r="W54" s="569">
        <f>COUNT(W45:W52)</f>
        <v/>
      </c>
      <c r="X54" s="569">
        <f>COUNT(X45:X52)</f>
        <v/>
      </c>
      <c r="Y54" s="569">
        <f>COUNT(Y45:Y52)</f>
        <v/>
      </c>
      <c r="Z54" s="569">
        <f>COUNT(Z45:Z52)</f>
        <v/>
      </c>
      <c r="AA54" s="569">
        <f>COUNT(AA45:AA52)</f>
        <v/>
      </c>
      <c r="AB54" s="569">
        <f>COUNT(AB45:AB52)</f>
        <v/>
      </c>
      <c r="AC54" s="569">
        <f>COUNT(AC45:AC52)</f>
        <v/>
      </c>
      <c r="AD54" s="569">
        <f>COUNT(AD45:AD52)</f>
        <v/>
      </c>
      <c r="AE54" s="569">
        <f>COUNT(AE45:AE52)</f>
        <v/>
      </c>
      <c r="AF54" s="569">
        <f>COUNT(AF45:AF52)</f>
        <v/>
      </c>
      <c r="AG54" s="569">
        <f>COUNT(AG45:AG52)</f>
        <v/>
      </c>
      <c r="AH54" s="569">
        <f>COUNT(AH45:AH52)</f>
        <v/>
      </c>
      <c r="AI54" s="569">
        <f>COUNT(AI45:AI52)</f>
        <v/>
      </c>
      <c r="AJ54" s="569">
        <f>COUNT(AJ45:AJ52)</f>
        <v/>
      </c>
      <c r="AK54" s="569">
        <f>COUNT(AK45:AK52)</f>
        <v/>
      </c>
      <c r="AL54" s="569">
        <f>COUNT(AL45:AL52)</f>
        <v/>
      </c>
      <c r="AM54" s="569">
        <f>COUNT(AM45:AM52)</f>
        <v/>
      </c>
      <c r="AN54" s="569">
        <f>COUNT(AN45:AN52)</f>
        <v/>
      </c>
      <c r="AO54" s="569">
        <f>COUNT(AO45:AO52)</f>
        <v/>
      </c>
      <c r="AP54" s="569">
        <f>COUNT(AP45:AP52)</f>
        <v/>
      </c>
      <c r="AQ54" s="569">
        <f>COUNT(AQ45:AQ52)</f>
        <v/>
      </c>
      <c r="AR54" s="569">
        <f>COUNT(AR45:AR52)</f>
        <v/>
      </c>
      <c r="AS54" s="569">
        <f>COUNT(AS45:AS52)</f>
        <v/>
      </c>
      <c r="AT54" s="569">
        <f>COUNT(AT45:AT52)</f>
        <v/>
      </c>
      <c r="AU54" s="569">
        <f>COUNT(AU45:AU52)</f>
        <v/>
      </c>
      <c r="AV54" s="569">
        <f>COUNT(AV45:AV52)</f>
        <v/>
      </c>
      <c r="AW54" s="569">
        <f>COUNT(AW45:AW52)</f>
        <v/>
      </c>
      <c r="AX54" s="569">
        <f>COUNT(AX45:AX52)</f>
        <v/>
      </c>
      <c r="AY54" s="569">
        <f>COUNT(AY45:AY52)</f>
        <v/>
      </c>
      <c r="AZ54" s="569">
        <f>COUNT(AZ45:AZ52)</f>
        <v/>
      </c>
      <c r="BA54" s="569">
        <f>COUNT(BA45:BA52)</f>
        <v/>
      </c>
      <c r="BB54" s="569">
        <f>COUNT(BB45:BB52)</f>
        <v/>
      </c>
      <c r="BC54" s="569">
        <f>COUNT(BC45:BC52)</f>
        <v/>
      </c>
      <c r="BD54" s="569">
        <f>COUNT(BD45:BD52)</f>
        <v/>
      </c>
      <c r="BE54" s="569">
        <f>COUNT(BE45:BE52)</f>
        <v/>
      </c>
      <c r="BF54" s="569">
        <f>COUNT(BF45:BF52)</f>
        <v/>
      </c>
      <c r="BG54" s="569">
        <f>COUNT(BG45:BG52)</f>
        <v/>
      </c>
      <c r="BH54" s="569">
        <f>COUNT(BH45:BH52)</f>
        <v/>
      </c>
      <c r="BI54" s="569">
        <f>COUNT(BI45:BI52)</f>
        <v/>
      </c>
      <c r="BJ54" s="569">
        <f>COUNT(BJ45:BJ52)</f>
        <v/>
      </c>
      <c r="BK54" s="569">
        <f>COUNT(BK45:BK52)</f>
        <v/>
      </c>
      <c r="BL54" s="569">
        <f>COUNT(BL45:BL52)</f>
        <v/>
      </c>
      <c r="BM54" s="569">
        <f>COUNT(BM45:BM52)</f>
        <v/>
      </c>
      <c r="BN54" s="569">
        <f>COUNT(BN45:BN52)</f>
        <v/>
      </c>
      <c r="BO54" s="569">
        <f>COUNT(BO45:BO52)</f>
        <v/>
      </c>
      <c r="BP54" s="569">
        <f>COUNT(BP45:BP52)</f>
        <v/>
      </c>
      <c r="BQ54" s="569">
        <f>COUNT(BQ45:BQ52)</f>
        <v/>
      </c>
      <c r="BR54" s="569">
        <f>COUNT(BR45:BR52)</f>
        <v/>
      </c>
      <c r="BS54" s="569">
        <f>COUNT(BS45:BS52)</f>
        <v/>
      </c>
      <c r="BT54" s="569">
        <f>COUNT(BT45:BT52)</f>
        <v/>
      </c>
      <c r="BU54" s="569">
        <f>COUNT(BU45:BU52)</f>
        <v/>
      </c>
      <c r="BV54" s="569">
        <f>COUNT(BV45:BV52)</f>
        <v/>
      </c>
      <c r="BW54" s="569">
        <f>COUNT(BW45:BW52)</f>
        <v/>
      </c>
      <c r="BX54" s="569">
        <f>COUNT(BX45:BX52)</f>
        <v/>
      </c>
      <c r="BY54" s="569">
        <f>COUNT(BY45:BY52)</f>
        <v/>
      </c>
      <c r="BZ54" s="569">
        <f>COUNT(BZ45:BZ52)</f>
        <v/>
      </c>
      <c r="CA54" s="569">
        <f>COUNT(CA45:CA52)</f>
        <v/>
      </c>
      <c r="CB54" s="569">
        <f>COUNT(CB45:CB52)</f>
        <v/>
      </c>
      <c r="CC54" s="569">
        <f>COUNT(CC45:CC52)</f>
        <v/>
      </c>
      <c r="CD54" s="569">
        <f>COUNT(CD45:CD52)</f>
        <v/>
      </c>
      <c r="CE54" s="569">
        <f>COUNT(CE45:CE52)</f>
        <v/>
      </c>
      <c r="CF54" s="569">
        <f>COUNT(CF45:CF52)</f>
        <v/>
      </c>
      <c r="CG54" s="569">
        <f>COUNT(CG45:CG52)</f>
        <v/>
      </c>
      <c r="CH54" s="569">
        <f>COUNT(CH45:CH52)</f>
        <v/>
      </c>
      <c r="CI54" s="569">
        <f>COUNT(CI45:CI52)</f>
        <v/>
      </c>
      <c r="CJ54" s="569">
        <f>COUNT(CJ45:CJ52)</f>
        <v/>
      </c>
      <c r="CK54" s="569">
        <f>COUNT(CK45:CK52)</f>
        <v/>
      </c>
      <c r="CL54" s="569">
        <f>COUNT(CL45:CL52)</f>
        <v/>
      </c>
      <c r="CM54" s="569">
        <f>COUNT(CM45:CM52)</f>
        <v/>
      </c>
      <c r="CN54" s="569">
        <f>COUNT(CN45:CN52)</f>
        <v/>
      </c>
      <c r="CO54" s="569">
        <f>COUNT(CO45:CO52)</f>
        <v/>
      </c>
      <c r="CP54" s="569">
        <f>COUNT(CP45:CP52)</f>
        <v/>
      </c>
      <c r="CQ54" s="569">
        <f>COUNT(CQ45:CQ52)</f>
        <v/>
      </c>
      <c r="CR54" s="569">
        <f>COUNT(CR45:CR52)</f>
        <v/>
      </c>
      <c r="CS54" s="569">
        <f>COUNT(CS45:CS52)</f>
        <v/>
      </c>
      <c r="CT54" s="569">
        <f>COUNT(CT45:CT52)</f>
        <v/>
      </c>
      <c r="CU54" s="569">
        <f>COUNT(CU45:CU52)</f>
        <v/>
      </c>
      <c r="CV54" s="569">
        <f>COUNT(CV45:CV52)</f>
        <v/>
      </c>
      <c r="CW54" s="569">
        <f>COUNT(CW45:CW52)</f>
        <v/>
      </c>
      <c r="CX54" s="569">
        <f>COUNT(CX45:CX52)</f>
        <v/>
      </c>
      <c r="CY54" s="569">
        <f>COUNT(CY45:CY52)</f>
        <v/>
      </c>
      <c r="CZ54" s="569">
        <f>COUNT(CZ45:CZ52)</f>
        <v/>
      </c>
      <c r="DA54" s="569">
        <f>COUNT(DA45:DA52)</f>
        <v/>
      </c>
      <c r="DB54" s="569">
        <f>COUNT(DB45:DB52)</f>
        <v/>
      </c>
    </row>
    <row r="56" ht="15" customFormat="1" customHeight="1" s="380">
      <c r="A56" s="570" t="inlineStr">
        <is>
          <t>TOTAL MONTHLY BILLING IN PLACE ($M)</t>
        </is>
      </c>
      <c r="B56" s="571" t="n"/>
      <c r="C56" s="571" t="n"/>
      <c r="D56" s="571" t="n"/>
      <c r="E56" s="571" t="n"/>
      <c r="F56" s="571" t="n"/>
      <c r="G56" s="572">
        <f>G21+G53</f>
        <v/>
      </c>
      <c r="H56" s="572">
        <f>H21+H53</f>
        <v/>
      </c>
      <c r="I56" s="572">
        <f>I21+I53</f>
        <v/>
      </c>
      <c r="J56" s="572">
        <f>J21+J53</f>
        <v/>
      </c>
      <c r="K56" s="572">
        <f>K21+K53</f>
        <v/>
      </c>
      <c r="L56" s="572">
        <f>L21+L53</f>
        <v/>
      </c>
      <c r="M56" s="572">
        <f>M21+M53</f>
        <v/>
      </c>
      <c r="N56" s="572">
        <f>N21+N53</f>
        <v/>
      </c>
      <c r="O56" s="572">
        <f>O21+O53</f>
        <v/>
      </c>
      <c r="P56" s="572">
        <f>P21+P53</f>
        <v/>
      </c>
      <c r="Q56" s="572">
        <f>Q21+Q53</f>
        <v/>
      </c>
      <c r="R56" s="572">
        <f>R21+R53</f>
        <v/>
      </c>
      <c r="S56" s="572">
        <f>S21+S53</f>
        <v/>
      </c>
      <c r="T56" s="572">
        <f>T21+T53</f>
        <v/>
      </c>
      <c r="U56" s="572">
        <f>U21+U53</f>
        <v/>
      </c>
      <c r="V56" s="572">
        <f>V21+V53</f>
        <v/>
      </c>
      <c r="W56" s="572">
        <f>W21+W53</f>
        <v/>
      </c>
      <c r="X56" s="572">
        <f>X21+X53</f>
        <v/>
      </c>
      <c r="Y56" s="572">
        <f>Y21+Y53</f>
        <v/>
      </c>
      <c r="Z56" s="572">
        <f>Z21+Z53</f>
        <v/>
      </c>
      <c r="AA56" s="572">
        <f>AA21+AA53</f>
        <v/>
      </c>
      <c r="AB56" s="572">
        <f>AB21+AB53</f>
        <v/>
      </c>
      <c r="AC56" s="572">
        <f>AC21+AC53</f>
        <v/>
      </c>
      <c r="AD56" s="572">
        <f>AD21+AD53</f>
        <v/>
      </c>
      <c r="AE56" s="572">
        <f>AE21+AE53</f>
        <v/>
      </c>
      <c r="AF56" s="572">
        <f>AF21+AF53</f>
        <v/>
      </c>
      <c r="AG56" s="572">
        <f>AG21+AG53</f>
        <v/>
      </c>
      <c r="AH56" s="572">
        <f>AH21+AH53</f>
        <v/>
      </c>
      <c r="AI56" s="572">
        <f>AI21+AI53</f>
        <v/>
      </c>
      <c r="AJ56" s="572">
        <f>AJ21+AJ53</f>
        <v/>
      </c>
      <c r="AK56" s="572">
        <f>AK21+AK53</f>
        <v/>
      </c>
      <c r="AL56" s="572">
        <f>AL21+AL53</f>
        <v/>
      </c>
      <c r="AM56" s="572">
        <f>AM21+AM53</f>
        <v/>
      </c>
      <c r="AN56" s="572">
        <f>AN21+AN53</f>
        <v/>
      </c>
      <c r="AO56" s="572">
        <f>AO21+AO53</f>
        <v/>
      </c>
      <c r="AP56" s="572">
        <f>AP21+AP53</f>
        <v/>
      </c>
      <c r="AQ56" s="572">
        <f>AQ21+AQ53</f>
        <v/>
      </c>
      <c r="AR56" s="572">
        <f>AR21+AR53</f>
        <v/>
      </c>
      <c r="AS56" s="572">
        <f>AS21+AS53</f>
        <v/>
      </c>
      <c r="AT56" s="572">
        <f>AT21+AT53</f>
        <v/>
      </c>
      <c r="AU56" s="572">
        <f>AU21+AU53</f>
        <v/>
      </c>
      <c r="AV56" s="572">
        <f>AV21+AV53</f>
        <v/>
      </c>
      <c r="AW56" s="572">
        <f>AW21+AW53</f>
        <v/>
      </c>
      <c r="AX56" s="572">
        <f>AX21+AX53</f>
        <v/>
      </c>
      <c r="AY56" s="572">
        <f>AY21+AY53</f>
        <v/>
      </c>
      <c r="AZ56" s="572">
        <f>AZ21+AZ53</f>
        <v/>
      </c>
      <c r="BA56" s="572">
        <f>BA21+BA53</f>
        <v/>
      </c>
      <c r="BB56" s="572">
        <f>BB21+BB53</f>
        <v/>
      </c>
      <c r="BC56" s="572">
        <f>BC21+BC53</f>
        <v/>
      </c>
      <c r="BD56" s="572">
        <f>BD21+BD53</f>
        <v/>
      </c>
      <c r="BE56" s="572">
        <f>BE21+BE53</f>
        <v/>
      </c>
      <c r="BF56" s="572">
        <f>BF21+BF53</f>
        <v/>
      </c>
      <c r="BG56" s="572">
        <f>BG21+BG53</f>
        <v/>
      </c>
      <c r="BH56" s="572">
        <f>BH21+BH53</f>
        <v/>
      </c>
      <c r="BI56" s="572">
        <f>BI21+BI53</f>
        <v/>
      </c>
      <c r="BJ56" s="572">
        <f>BJ21+BJ53</f>
        <v/>
      </c>
      <c r="BK56" s="572">
        <f>BK21+BK53</f>
        <v/>
      </c>
      <c r="BL56" s="572">
        <f>BL21+BL53</f>
        <v/>
      </c>
      <c r="BM56" s="572">
        <f>BM21+BM53</f>
        <v/>
      </c>
      <c r="BN56" s="572">
        <f>BN21+BN53</f>
        <v/>
      </c>
      <c r="BO56" s="572">
        <f>BO21+BO53</f>
        <v/>
      </c>
      <c r="BP56" s="572">
        <f>BP21+BP53</f>
        <v/>
      </c>
      <c r="BQ56" s="572">
        <f>BQ21+BQ53</f>
        <v/>
      </c>
      <c r="BR56" s="572">
        <f>BR21+BR53</f>
        <v/>
      </c>
      <c r="BS56" s="572">
        <f>BS21+BS53</f>
        <v/>
      </c>
      <c r="BT56" s="572">
        <f>BT21+BT53</f>
        <v/>
      </c>
      <c r="BU56" s="572">
        <f>BU21+BU53</f>
        <v/>
      </c>
      <c r="BV56" s="572">
        <f>BV21+BV53</f>
        <v/>
      </c>
      <c r="BW56" s="572">
        <f>BW21+BW53</f>
        <v/>
      </c>
      <c r="BX56" s="572">
        <f>BX21+BX53</f>
        <v/>
      </c>
      <c r="BY56" s="572">
        <f>BY21+BY53</f>
        <v/>
      </c>
      <c r="BZ56" s="572">
        <f>BZ21+BZ53</f>
        <v/>
      </c>
      <c r="CA56" s="572">
        <f>CA21+CA53</f>
        <v/>
      </c>
      <c r="CB56" s="572">
        <f>CB21+CB53</f>
        <v/>
      </c>
      <c r="CC56" s="572">
        <f>CC21+CC53</f>
        <v/>
      </c>
      <c r="CD56" s="572">
        <f>CD21+CD53</f>
        <v/>
      </c>
      <c r="CE56" s="572">
        <f>CE21+CE53</f>
        <v/>
      </c>
      <c r="CF56" s="572">
        <f>CF21+CF53</f>
        <v/>
      </c>
      <c r="CG56" s="572">
        <f>CG21+CG53</f>
        <v/>
      </c>
      <c r="CH56" s="572">
        <f>CH21+CH53</f>
        <v/>
      </c>
      <c r="CI56" s="572">
        <f>CI21+CI53</f>
        <v/>
      </c>
      <c r="CJ56" s="572">
        <f>CJ21+CJ53</f>
        <v/>
      </c>
      <c r="CK56" s="572">
        <f>CK21+CK53</f>
        <v/>
      </c>
      <c r="CL56" s="572">
        <f>CL21+CL53</f>
        <v/>
      </c>
      <c r="CM56" s="572">
        <f>CM21+CM53</f>
        <v/>
      </c>
      <c r="CN56" s="572">
        <f>CN21+CN53</f>
        <v/>
      </c>
      <c r="CO56" s="572">
        <f>CO21+CO53</f>
        <v/>
      </c>
      <c r="CP56" s="572">
        <f>CP21+CP53</f>
        <v/>
      </c>
      <c r="CQ56" s="572">
        <f>CQ21+CQ53</f>
        <v/>
      </c>
      <c r="CR56" s="572">
        <f>CR21+CR53</f>
        <v/>
      </c>
      <c r="CS56" s="572">
        <f>CS21+CS53</f>
        <v/>
      </c>
      <c r="CT56" s="572">
        <f>CT21+CT53</f>
        <v/>
      </c>
      <c r="CU56" s="572">
        <f>CU21+CU53</f>
        <v/>
      </c>
      <c r="CV56" s="572">
        <f>CV21+CV53</f>
        <v/>
      </c>
      <c r="CW56" s="572">
        <f>CW21+CW53</f>
        <v/>
      </c>
      <c r="CX56" s="572">
        <f>CX21+CX53</f>
        <v/>
      </c>
      <c r="CY56" s="572">
        <f>CY21+CY53</f>
        <v/>
      </c>
      <c r="CZ56" s="572">
        <f>CZ21+CZ53</f>
        <v/>
      </c>
      <c r="DA56" s="572">
        <f>DA21+DA53</f>
        <v/>
      </c>
      <c r="DB56" s="572">
        <f>DB21+DB53</f>
        <v/>
      </c>
    </row>
    <row r="57" ht="15" customFormat="1" customHeight="1" s="380">
      <c r="A57" s="570" t="inlineStr">
        <is>
          <t>TOTAL JOBS ACTIVE (#)</t>
        </is>
      </c>
      <c r="B57" s="571" t="n"/>
      <c r="C57" s="571" t="n"/>
      <c r="D57" s="571" t="n"/>
      <c r="E57" s="571" t="n"/>
      <c r="F57" s="571" t="n"/>
      <c r="G57" s="573">
        <f>G22+G54</f>
        <v/>
      </c>
      <c r="H57" s="573">
        <f>H22+H54</f>
        <v/>
      </c>
      <c r="I57" s="573">
        <f>I22+I54</f>
        <v/>
      </c>
      <c r="J57" s="573">
        <f>J22+J54</f>
        <v/>
      </c>
      <c r="K57" s="573">
        <f>K22+K54</f>
        <v/>
      </c>
      <c r="L57" s="573">
        <f>L22+L54</f>
        <v/>
      </c>
      <c r="M57" s="573">
        <f>M22+M54</f>
        <v/>
      </c>
      <c r="N57" s="573">
        <f>N22+N54</f>
        <v/>
      </c>
      <c r="O57" s="573">
        <f>O22+O54</f>
        <v/>
      </c>
      <c r="P57" s="573">
        <f>P22+P54</f>
        <v/>
      </c>
      <c r="Q57" s="573">
        <f>Q22+Q54</f>
        <v/>
      </c>
      <c r="R57" s="573">
        <f>R22+R54</f>
        <v/>
      </c>
      <c r="S57" s="573">
        <f>S22+S54</f>
        <v/>
      </c>
      <c r="T57" s="573">
        <f>T22+T54</f>
        <v/>
      </c>
      <c r="U57" s="573">
        <f>U22+U54</f>
        <v/>
      </c>
      <c r="V57" s="573">
        <f>V22+V54</f>
        <v/>
      </c>
      <c r="W57" s="573">
        <f>W22+W54</f>
        <v/>
      </c>
      <c r="X57" s="573">
        <f>X22+X54</f>
        <v/>
      </c>
      <c r="Y57" s="573">
        <f>Y22+Y54</f>
        <v/>
      </c>
      <c r="Z57" s="573">
        <f>Z22+Z54</f>
        <v/>
      </c>
      <c r="AA57" s="573">
        <f>AA22+AA54</f>
        <v/>
      </c>
      <c r="AB57" s="573">
        <f>AB22+AB54</f>
        <v/>
      </c>
      <c r="AC57" s="573">
        <f>AC22+AC54</f>
        <v/>
      </c>
      <c r="AD57" s="573">
        <f>AD22+AD54</f>
        <v/>
      </c>
      <c r="AE57" s="573">
        <f>AE22+AE54</f>
        <v/>
      </c>
      <c r="AF57" s="573">
        <f>AF22+AF54</f>
        <v/>
      </c>
      <c r="AG57" s="573">
        <f>AG22+AG54</f>
        <v/>
      </c>
      <c r="AH57" s="573">
        <f>AH22+AH54</f>
        <v/>
      </c>
      <c r="AI57" s="573">
        <f>AI22+AI54</f>
        <v/>
      </c>
      <c r="AJ57" s="573">
        <f>AJ22+AJ54</f>
        <v/>
      </c>
      <c r="AK57" s="573">
        <f>AK22+AK54</f>
        <v/>
      </c>
      <c r="AL57" s="573">
        <f>AL22+AL54</f>
        <v/>
      </c>
      <c r="AM57" s="573">
        <f>AM22+AM54</f>
        <v/>
      </c>
      <c r="AN57" s="573">
        <f>AN22+AN54</f>
        <v/>
      </c>
      <c r="AO57" s="573">
        <f>AO22+AO54</f>
        <v/>
      </c>
      <c r="AP57" s="573">
        <f>AP22+AP54</f>
        <v/>
      </c>
      <c r="AQ57" s="573">
        <f>AQ22+AQ54</f>
        <v/>
      </c>
      <c r="AR57" s="573">
        <f>AR22+AR54</f>
        <v/>
      </c>
      <c r="AS57" s="573">
        <f>AS22+AS54</f>
        <v/>
      </c>
      <c r="AT57" s="573">
        <f>AT22+AT54</f>
        <v/>
      </c>
      <c r="AU57" s="573">
        <f>AU22+AU54</f>
        <v/>
      </c>
      <c r="AV57" s="573">
        <f>AV22+AV54</f>
        <v/>
      </c>
      <c r="AW57" s="573">
        <f>AW22+AW54</f>
        <v/>
      </c>
      <c r="AX57" s="573">
        <f>AX22+AX54</f>
        <v/>
      </c>
      <c r="AY57" s="573">
        <f>AY22+AY54</f>
        <v/>
      </c>
      <c r="AZ57" s="573">
        <f>AZ22+AZ54</f>
        <v/>
      </c>
      <c r="BA57" s="573">
        <f>BA22+BA54</f>
        <v/>
      </c>
      <c r="BB57" s="573">
        <f>BB22+BB54</f>
        <v/>
      </c>
      <c r="BC57" s="573">
        <f>BC22+BC54</f>
        <v/>
      </c>
      <c r="BD57" s="573">
        <f>BD22+BD54</f>
        <v/>
      </c>
      <c r="BE57" s="573">
        <f>BE22+BE54</f>
        <v/>
      </c>
      <c r="BF57" s="573">
        <f>BF22+BF54</f>
        <v/>
      </c>
      <c r="BG57" s="573">
        <f>BG22+BG54</f>
        <v/>
      </c>
      <c r="BH57" s="573">
        <f>BH22+BH54</f>
        <v/>
      </c>
      <c r="BI57" s="573">
        <f>BI22+BI54</f>
        <v/>
      </c>
      <c r="BJ57" s="573">
        <f>BJ22+BJ54</f>
        <v/>
      </c>
      <c r="BK57" s="573">
        <f>BK22+BK54</f>
        <v/>
      </c>
      <c r="BL57" s="573">
        <f>BL22+BL54</f>
        <v/>
      </c>
      <c r="BM57" s="573">
        <f>BM22+BM54</f>
        <v/>
      </c>
      <c r="BN57" s="573">
        <f>BN22+BN54</f>
        <v/>
      </c>
      <c r="BO57" s="573">
        <f>BO22+BO54</f>
        <v/>
      </c>
      <c r="BP57" s="573">
        <f>BP22+BP54</f>
        <v/>
      </c>
      <c r="BQ57" s="573">
        <f>BQ22+BQ54</f>
        <v/>
      </c>
      <c r="BR57" s="573">
        <f>BR22+BR54</f>
        <v/>
      </c>
      <c r="BS57" s="573">
        <f>BS22+BS54</f>
        <v/>
      </c>
      <c r="BT57" s="573">
        <f>BT22+BT54</f>
        <v/>
      </c>
      <c r="BU57" s="573">
        <f>BU22+BU54</f>
        <v/>
      </c>
      <c r="BV57" s="573">
        <f>BV22+BV54</f>
        <v/>
      </c>
      <c r="BW57" s="573">
        <f>BW22+BW54</f>
        <v/>
      </c>
      <c r="BX57" s="573">
        <f>BX22+BX54</f>
        <v/>
      </c>
      <c r="BY57" s="573">
        <f>BY22+BY54</f>
        <v/>
      </c>
      <c r="BZ57" s="573">
        <f>BZ22+BZ54</f>
        <v/>
      </c>
      <c r="CA57" s="573">
        <f>CA22+CA54</f>
        <v/>
      </c>
      <c r="CB57" s="573">
        <f>CB22+CB54</f>
        <v/>
      </c>
      <c r="CC57" s="573">
        <f>CC22+CC54</f>
        <v/>
      </c>
      <c r="CD57" s="573">
        <f>CD22+CD54</f>
        <v/>
      </c>
      <c r="CE57" s="573">
        <f>CE22+CE54</f>
        <v/>
      </c>
      <c r="CF57" s="573">
        <f>CF22+CF54</f>
        <v/>
      </c>
      <c r="CG57" s="573">
        <f>CG22+CG54</f>
        <v/>
      </c>
      <c r="CH57" s="573">
        <f>CH22+CH54</f>
        <v/>
      </c>
      <c r="CI57" s="573">
        <f>CI22+CI54</f>
        <v/>
      </c>
      <c r="CJ57" s="573">
        <f>CJ22+CJ54</f>
        <v/>
      </c>
      <c r="CK57" s="573">
        <f>CK22+CK54</f>
        <v/>
      </c>
      <c r="CL57" s="573">
        <f>CL22+CL54</f>
        <v/>
      </c>
      <c r="CM57" s="573">
        <f>CM22+CM54</f>
        <v/>
      </c>
      <c r="CN57" s="573">
        <f>CN22+CN54</f>
        <v/>
      </c>
      <c r="CO57" s="573">
        <f>CO22+CO54</f>
        <v/>
      </c>
      <c r="CP57" s="573">
        <f>CP22+CP54</f>
        <v/>
      </c>
      <c r="CQ57" s="573">
        <f>CQ22+CQ54</f>
        <v/>
      </c>
      <c r="CR57" s="573">
        <f>CR22+CR54</f>
        <v/>
      </c>
      <c r="CS57" s="573">
        <f>CS22+CS54</f>
        <v/>
      </c>
      <c r="CT57" s="573">
        <f>CT22+CT54</f>
        <v/>
      </c>
      <c r="CU57" s="573">
        <f>CU22+CU54</f>
        <v/>
      </c>
      <c r="CV57" s="573">
        <f>CV22+CV54</f>
        <v/>
      </c>
      <c r="CW57" s="573">
        <f>CW22+CW54</f>
        <v/>
      </c>
      <c r="CX57" s="573">
        <f>CX22+CX54</f>
        <v/>
      </c>
      <c r="CY57" s="573">
        <f>CY22+CY54</f>
        <v/>
      </c>
      <c r="CZ57" s="573">
        <f>CZ22+CZ54</f>
        <v/>
      </c>
      <c r="DA57" s="573">
        <f>DA22+DA54</f>
        <v/>
      </c>
      <c r="DB57" s="573">
        <f>DB22+DB54</f>
        <v/>
      </c>
    </row>
    <row r="59" ht="15" customFormat="1" customHeight="1" s="380">
      <c r="A59" s="473" t="inlineStr">
        <is>
          <t>Monthly Overhead ($) — INPUT</t>
        </is>
      </c>
      <c r="F59" s="574" t="n">
        <v>0</v>
      </c>
    </row>
    <row r="60" ht="15" customFormat="1" customHeight="1" s="380">
      <c r="A60" s="473" t="inlineStr">
        <is>
          <t>Breakeven Billing Hurdle = 10 x Overhead ($M)</t>
        </is>
      </c>
      <c r="G60" s="575">
        <f>10*$F$59</f>
        <v/>
      </c>
      <c r="H60" s="575">
        <f>10*$F$59</f>
        <v/>
      </c>
      <c r="I60" s="575">
        <f>10*$F$59</f>
        <v/>
      </c>
      <c r="J60" s="575">
        <f>10*$F$59</f>
        <v/>
      </c>
      <c r="K60" s="575">
        <f>10*$F$59</f>
        <v/>
      </c>
      <c r="L60" s="575">
        <f>10*$F$59</f>
        <v/>
      </c>
      <c r="M60" s="575">
        <f>10*$F$59</f>
        <v/>
      </c>
      <c r="N60" s="575">
        <f>10*$F$59</f>
        <v/>
      </c>
      <c r="O60" s="575">
        <f>10*$F$59</f>
        <v/>
      </c>
      <c r="P60" s="575">
        <f>10*$F$59</f>
        <v/>
      </c>
      <c r="Q60" s="575">
        <f>10*$F$59</f>
        <v/>
      </c>
      <c r="R60" s="575">
        <f>10*$F$59</f>
        <v/>
      </c>
      <c r="S60" s="575">
        <f>10*$F$59</f>
        <v/>
      </c>
      <c r="T60" s="575">
        <f>10*$F$59</f>
        <v/>
      </c>
      <c r="U60" s="575">
        <f>10*$F$59</f>
        <v/>
      </c>
      <c r="V60" s="575">
        <f>10*$F$59</f>
        <v/>
      </c>
      <c r="W60" s="575">
        <f>10*$F$59</f>
        <v/>
      </c>
      <c r="X60" s="575">
        <f>10*$F$59</f>
        <v/>
      </c>
      <c r="Y60" s="575">
        <f>10*$F$59</f>
        <v/>
      </c>
      <c r="Z60" s="575">
        <f>10*$F$59</f>
        <v/>
      </c>
      <c r="AA60" s="575">
        <f>10*$F$59</f>
        <v/>
      </c>
      <c r="AB60" s="575">
        <f>10*$F$59</f>
        <v/>
      </c>
      <c r="AC60" s="575">
        <f>10*$F$59</f>
        <v/>
      </c>
      <c r="AD60" s="575">
        <f>10*$F$59</f>
        <v/>
      </c>
      <c r="AE60" s="575">
        <f>10*$F$59</f>
        <v/>
      </c>
      <c r="AF60" s="575">
        <f>10*$F$59</f>
        <v/>
      </c>
      <c r="AG60" s="575">
        <f>10*$F$59</f>
        <v/>
      </c>
      <c r="AH60" s="575">
        <f>10*$F$59</f>
        <v/>
      </c>
      <c r="AI60" s="575">
        <f>10*$F$59</f>
        <v/>
      </c>
      <c r="AJ60" s="575">
        <f>10*$F$59</f>
        <v/>
      </c>
      <c r="AK60" s="575">
        <f>10*$F$59</f>
        <v/>
      </c>
      <c r="AL60" s="575">
        <f>10*$F$59</f>
        <v/>
      </c>
      <c r="AM60" s="575">
        <f>10*$F$59</f>
        <v/>
      </c>
      <c r="AN60" s="575">
        <f>10*$F$59</f>
        <v/>
      </c>
      <c r="AO60" s="575">
        <f>10*$F$59</f>
        <v/>
      </c>
      <c r="AP60" s="575">
        <f>10*$F$59</f>
        <v/>
      </c>
      <c r="AQ60" s="575">
        <f>10*$F$59</f>
        <v/>
      </c>
      <c r="AR60" s="575">
        <f>10*$F$59</f>
        <v/>
      </c>
      <c r="AS60" s="575">
        <f>10*$F$59</f>
        <v/>
      </c>
      <c r="AT60" s="575">
        <f>10*$F$59</f>
        <v/>
      </c>
      <c r="AU60" s="575">
        <f>10*$F$59</f>
        <v/>
      </c>
      <c r="AV60" s="575">
        <f>10*$F$59</f>
        <v/>
      </c>
      <c r="AW60" s="575">
        <f>10*$F$59</f>
        <v/>
      </c>
      <c r="AX60" s="575">
        <f>10*$F$59</f>
        <v/>
      </c>
      <c r="AY60" s="575">
        <f>10*$F$59</f>
        <v/>
      </c>
      <c r="AZ60" s="575">
        <f>10*$F$59</f>
        <v/>
      </c>
      <c r="BA60" s="575">
        <f>10*$F$59</f>
        <v/>
      </c>
      <c r="BB60" s="575">
        <f>10*$F$59</f>
        <v/>
      </c>
      <c r="BC60" s="575">
        <f>10*$F$59</f>
        <v/>
      </c>
      <c r="BD60" s="575">
        <f>10*$F$59</f>
        <v/>
      </c>
      <c r="BE60" s="575">
        <f>10*$F$59</f>
        <v/>
      </c>
      <c r="BF60" s="575">
        <f>10*$F$59</f>
        <v/>
      </c>
      <c r="BG60" s="575">
        <f>10*$F$59</f>
        <v/>
      </c>
      <c r="BH60" s="575">
        <f>10*$F$59</f>
        <v/>
      </c>
      <c r="BI60" s="575">
        <f>10*$F$59</f>
        <v/>
      </c>
      <c r="BJ60" s="575">
        <f>10*$F$59</f>
        <v/>
      </c>
      <c r="BK60" s="575">
        <f>10*$F$59</f>
        <v/>
      </c>
      <c r="BL60" s="575">
        <f>10*$F$59</f>
        <v/>
      </c>
      <c r="BM60" s="575">
        <f>10*$F$59</f>
        <v/>
      </c>
      <c r="BN60" s="575">
        <f>10*$F$59</f>
        <v/>
      </c>
      <c r="BO60" s="575">
        <f>10*$F$59</f>
        <v/>
      </c>
      <c r="BP60" s="575">
        <f>10*$F$59</f>
        <v/>
      </c>
      <c r="BQ60" s="575">
        <f>10*$F$59</f>
        <v/>
      </c>
      <c r="BR60" s="575">
        <f>10*$F$59</f>
        <v/>
      </c>
      <c r="BS60" s="575">
        <f>10*$F$59</f>
        <v/>
      </c>
      <c r="BT60" s="575">
        <f>10*$F$59</f>
        <v/>
      </c>
      <c r="BU60" s="575">
        <f>10*$F$59</f>
        <v/>
      </c>
      <c r="BV60" s="575">
        <f>10*$F$59</f>
        <v/>
      </c>
      <c r="BW60" s="575">
        <f>10*$F$59</f>
        <v/>
      </c>
      <c r="BX60" s="575">
        <f>10*$F$59</f>
        <v/>
      </c>
      <c r="BY60" s="575">
        <f>10*$F$59</f>
        <v/>
      </c>
      <c r="BZ60" s="575">
        <f>10*$F$59</f>
        <v/>
      </c>
      <c r="CA60" s="575">
        <f>10*$F$59</f>
        <v/>
      </c>
      <c r="CB60" s="575">
        <f>10*$F$59</f>
        <v/>
      </c>
      <c r="CC60" s="575">
        <f>10*$F$59</f>
        <v/>
      </c>
      <c r="CD60" s="575">
        <f>10*$F$59</f>
        <v/>
      </c>
      <c r="CE60" s="575">
        <f>10*$F$59</f>
        <v/>
      </c>
      <c r="CF60" s="575">
        <f>10*$F$59</f>
        <v/>
      </c>
      <c r="CG60" s="575">
        <f>10*$F$59</f>
        <v/>
      </c>
      <c r="CH60" s="575">
        <f>10*$F$59</f>
        <v/>
      </c>
      <c r="CI60" s="575">
        <f>10*$F$59</f>
        <v/>
      </c>
      <c r="CJ60" s="575">
        <f>10*$F$59</f>
        <v/>
      </c>
      <c r="CK60" s="575">
        <f>10*$F$59</f>
        <v/>
      </c>
      <c r="CL60" s="575">
        <f>10*$F$59</f>
        <v/>
      </c>
      <c r="CM60" s="575">
        <f>10*$F$59</f>
        <v/>
      </c>
      <c r="CN60" s="575">
        <f>10*$F$59</f>
        <v/>
      </c>
      <c r="CO60" s="575">
        <f>10*$F$59</f>
        <v/>
      </c>
      <c r="CP60" s="575">
        <f>10*$F$59</f>
        <v/>
      </c>
      <c r="CQ60" s="575">
        <f>10*$F$59</f>
        <v/>
      </c>
      <c r="CR60" s="575">
        <f>10*$F$59</f>
        <v/>
      </c>
      <c r="CS60" s="575">
        <f>10*$F$59</f>
        <v/>
      </c>
      <c r="CT60" s="575">
        <f>10*$F$59</f>
        <v/>
      </c>
      <c r="CU60" s="575">
        <f>10*$F$59</f>
        <v/>
      </c>
      <c r="CV60" s="575">
        <f>10*$F$59</f>
        <v/>
      </c>
      <c r="CW60" s="575">
        <f>10*$F$59</f>
        <v/>
      </c>
      <c r="CX60" s="575">
        <f>10*$F$59</f>
        <v/>
      </c>
      <c r="CY60" s="575">
        <f>10*$F$59</f>
        <v/>
      </c>
      <c r="CZ60" s="575">
        <f>10*$F$59</f>
        <v/>
      </c>
      <c r="DA60" s="575">
        <f>10*$F$59</f>
        <v/>
      </c>
      <c r="DB60" s="575">
        <f>10*$F$59</f>
        <v/>
      </c>
    </row>
    <row r="61" ht="15" customFormat="1" customHeight="1" s="380">
      <c r="A61" s="473" t="inlineStr">
        <is>
          <t>Billing Surplus / (Gap) vs Hurdle ($M)</t>
        </is>
      </c>
      <c r="G61" s="576">
        <f>G56-G60</f>
        <v/>
      </c>
      <c r="H61" s="576">
        <f>H56-H60</f>
        <v/>
      </c>
      <c r="I61" s="576">
        <f>I56-I60</f>
        <v/>
      </c>
      <c r="J61" s="576">
        <f>J56-J60</f>
        <v/>
      </c>
      <c r="K61" s="576">
        <f>K56-K60</f>
        <v/>
      </c>
      <c r="L61" s="576">
        <f>L56-L60</f>
        <v/>
      </c>
      <c r="M61" s="576">
        <f>M56-M60</f>
        <v/>
      </c>
      <c r="N61" s="576">
        <f>N56-N60</f>
        <v/>
      </c>
      <c r="O61" s="576">
        <f>O56-O60</f>
        <v/>
      </c>
      <c r="P61" s="576">
        <f>P56-P60</f>
        <v/>
      </c>
      <c r="Q61" s="576">
        <f>Q56-Q60</f>
        <v/>
      </c>
      <c r="R61" s="576">
        <f>R56-R60</f>
        <v/>
      </c>
      <c r="S61" s="576">
        <f>S56-S60</f>
        <v/>
      </c>
      <c r="T61" s="576">
        <f>T56-T60</f>
        <v/>
      </c>
      <c r="U61" s="576">
        <f>U56-U60</f>
        <v/>
      </c>
      <c r="V61" s="576">
        <f>V56-V60</f>
        <v/>
      </c>
      <c r="W61" s="576">
        <f>W56-W60</f>
        <v/>
      </c>
      <c r="X61" s="576">
        <f>X56-X60</f>
        <v/>
      </c>
      <c r="Y61" s="576">
        <f>Y56-Y60</f>
        <v/>
      </c>
      <c r="Z61" s="576">
        <f>Z56-Z60</f>
        <v/>
      </c>
      <c r="AA61" s="576">
        <f>AA56-AA60</f>
        <v/>
      </c>
      <c r="AB61" s="576">
        <f>AB56-AB60</f>
        <v/>
      </c>
      <c r="AC61" s="576">
        <f>AC56-AC60</f>
        <v/>
      </c>
      <c r="AD61" s="576">
        <f>AD56-AD60</f>
        <v/>
      </c>
      <c r="AE61" s="576">
        <f>AE56-AE60</f>
        <v/>
      </c>
      <c r="AF61" s="576">
        <f>AF56-AF60</f>
        <v/>
      </c>
      <c r="AG61" s="576">
        <f>AG56-AG60</f>
        <v/>
      </c>
      <c r="AH61" s="576">
        <f>AH56-AH60</f>
        <v/>
      </c>
      <c r="AI61" s="576">
        <f>AI56-AI60</f>
        <v/>
      </c>
      <c r="AJ61" s="576">
        <f>AJ56-AJ60</f>
        <v/>
      </c>
      <c r="AK61" s="576">
        <f>AK56-AK60</f>
        <v/>
      </c>
      <c r="AL61" s="576">
        <f>AL56-AL60</f>
        <v/>
      </c>
      <c r="AM61" s="576">
        <f>AM56-AM60</f>
        <v/>
      </c>
      <c r="AN61" s="576">
        <f>AN56-AN60</f>
        <v/>
      </c>
      <c r="AO61" s="576">
        <f>AO56-AO60</f>
        <v/>
      </c>
      <c r="AP61" s="576">
        <f>AP56-AP60</f>
        <v/>
      </c>
      <c r="AQ61" s="576">
        <f>AQ56-AQ60</f>
        <v/>
      </c>
      <c r="AR61" s="576">
        <f>AR56-AR60</f>
        <v/>
      </c>
      <c r="AS61" s="576">
        <f>AS56-AS60</f>
        <v/>
      </c>
      <c r="AT61" s="576">
        <f>AT56-AT60</f>
        <v/>
      </c>
      <c r="AU61" s="576">
        <f>AU56-AU60</f>
        <v/>
      </c>
      <c r="AV61" s="576">
        <f>AV56-AV60</f>
        <v/>
      </c>
      <c r="AW61" s="576">
        <f>AW56-AW60</f>
        <v/>
      </c>
      <c r="AX61" s="576">
        <f>AX56-AX60</f>
        <v/>
      </c>
      <c r="AY61" s="576">
        <f>AY56-AY60</f>
        <v/>
      </c>
      <c r="AZ61" s="576">
        <f>AZ56-AZ60</f>
        <v/>
      </c>
      <c r="BA61" s="576">
        <f>BA56-BA60</f>
        <v/>
      </c>
      <c r="BB61" s="576">
        <f>BB56-BB60</f>
        <v/>
      </c>
      <c r="BC61" s="576">
        <f>BC56-BC60</f>
        <v/>
      </c>
      <c r="BD61" s="576">
        <f>BD56-BD60</f>
        <v/>
      </c>
      <c r="BE61" s="576">
        <f>BE56-BE60</f>
        <v/>
      </c>
      <c r="BF61" s="576">
        <f>BF56-BF60</f>
        <v/>
      </c>
      <c r="BG61" s="576">
        <f>BG56-BG60</f>
        <v/>
      </c>
      <c r="BH61" s="576">
        <f>BH56-BH60</f>
        <v/>
      </c>
      <c r="BI61" s="576">
        <f>BI56-BI60</f>
        <v/>
      </c>
      <c r="BJ61" s="576">
        <f>BJ56-BJ60</f>
        <v/>
      </c>
      <c r="BK61" s="576">
        <f>BK56-BK60</f>
        <v/>
      </c>
      <c r="BL61" s="576">
        <f>BL56-BL60</f>
        <v/>
      </c>
      <c r="BM61" s="576">
        <f>BM56-BM60</f>
        <v/>
      </c>
      <c r="BN61" s="576">
        <f>BN56-BN60</f>
        <v/>
      </c>
      <c r="BO61" s="576">
        <f>BO56-BO60</f>
        <v/>
      </c>
      <c r="BP61" s="576">
        <f>BP56-BP60</f>
        <v/>
      </c>
      <c r="BQ61" s="576">
        <f>BQ56-BQ60</f>
        <v/>
      </c>
      <c r="BR61" s="576">
        <f>BR56-BR60</f>
        <v/>
      </c>
      <c r="BS61" s="576">
        <f>BS56-BS60</f>
        <v/>
      </c>
      <c r="BT61" s="576">
        <f>BT56-BT60</f>
        <v/>
      </c>
      <c r="BU61" s="576">
        <f>BU56-BU60</f>
        <v/>
      </c>
      <c r="BV61" s="576">
        <f>BV56-BV60</f>
        <v/>
      </c>
      <c r="BW61" s="576">
        <f>BW56-BW60</f>
        <v/>
      </c>
      <c r="BX61" s="576">
        <f>BX56-BX60</f>
        <v/>
      </c>
      <c r="BY61" s="576">
        <f>BY56-BY60</f>
        <v/>
      </c>
      <c r="BZ61" s="576">
        <f>BZ56-BZ60</f>
        <v/>
      </c>
      <c r="CA61" s="576">
        <f>CA56-CA60</f>
        <v/>
      </c>
      <c r="CB61" s="576">
        <f>CB56-CB60</f>
        <v/>
      </c>
      <c r="CC61" s="576">
        <f>CC56-CC60</f>
        <v/>
      </c>
      <c r="CD61" s="576">
        <f>CD56-CD60</f>
        <v/>
      </c>
      <c r="CE61" s="576">
        <f>CE56-CE60</f>
        <v/>
      </c>
      <c r="CF61" s="576">
        <f>CF56-CF60</f>
        <v/>
      </c>
      <c r="CG61" s="576">
        <f>CG56-CG60</f>
        <v/>
      </c>
      <c r="CH61" s="576">
        <f>CH56-CH60</f>
        <v/>
      </c>
      <c r="CI61" s="576">
        <f>CI56-CI60</f>
        <v/>
      </c>
      <c r="CJ61" s="576">
        <f>CJ56-CJ60</f>
        <v/>
      </c>
      <c r="CK61" s="576">
        <f>CK56-CK60</f>
        <v/>
      </c>
      <c r="CL61" s="576">
        <f>CL56-CL60</f>
        <v/>
      </c>
      <c r="CM61" s="576">
        <f>CM56-CM60</f>
        <v/>
      </c>
      <c r="CN61" s="576">
        <f>CN56-CN60</f>
        <v/>
      </c>
      <c r="CO61" s="576">
        <f>CO56-CO60</f>
        <v/>
      </c>
      <c r="CP61" s="576">
        <f>CP56-CP60</f>
        <v/>
      </c>
      <c r="CQ61" s="576">
        <f>CQ56-CQ60</f>
        <v/>
      </c>
      <c r="CR61" s="576">
        <f>CR56-CR60</f>
        <v/>
      </c>
      <c r="CS61" s="576">
        <f>CS56-CS60</f>
        <v/>
      </c>
      <c r="CT61" s="576">
        <f>CT56-CT60</f>
        <v/>
      </c>
      <c r="CU61" s="576">
        <f>CU56-CU60</f>
        <v/>
      </c>
      <c r="CV61" s="576">
        <f>CV56-CV60</f>
        <v/>
      </c>
      <c r="CW61" s="576">
        <f>CW56-CW60</f>
        <v/>
      </c>
      <c r="CX61" s="576">
        <f>CX56-CX60</f>
        <v/>
      </c>
      <c r="CY61" s="576">
        <f>CY56-CY60</f>
        <v/>
      </c>
      <c r="CZ61" s="576">
        <f>CZ56-CZ60</f>
        <v/>
      </c>
      <c r="DA61" s="576">
        <f>DA56-DA60</f>
        <v/>
      </c>
      <c r="DB61" s="576">
        <f>DB56-DB60</f>
        <v/>
      </c>
    </row>
  </sheetData>
  <conditionalFormatting sqref="G7:DB20">
    <cfRule type="expression" rank="0" priority="2" equalAverage="0" aboveAverage="0" dxfId="3" text="" percent="0" bottom="0">
      <formula>G7&lt;&gt;""</formula>
    </cfRule>
  </conditionalFormatting>
  <conditionalFormatting sqref="G24:DB52">
    <cfRule type="expression" rank="0" priority="3" equalAverage="0" aboveAverage="0" dxfId="4" text="" percent="0" bottom="0">
      <formula>G24&lt;&gt;""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>
    <tabColor rgb="000B1833"/>
    <outlinePr summaryBelow="1" summaryRight="1"/>
    <pageSetUpPr/>
  </sheetPr>
  <dimension ref="A1:P63"/>
  <sheetViews>
    <sheetView showGridLines="0"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style="410" min="1" max="1"/>
    <col width="26" customWidth="1" style="410" min="2" max="2"/>
    <col width="14" customWidth="1" style="410" min="3" max="3"/>
    <col width="14" customWidth="1" style="410" min="4" max="4"/>
    <col width="12" customWidth="1" style="410" min="5" max="5"/>
    <col width="10" customWidth="1" style="410" min="6" max="6"/>
    <col width="9" customWidth="1" style="410" min="7" max="7"/>
    <col width="11" customWidth="1" style="410" min="8" max="8"/>
    <col width="12" customWidth="1" style="410" min="9" max="9"/>
    <col width="13" customWidth="1" style="410" min="10" max="10"/>
    <col width="12" customWidth="1" style="410" min="11" max="11"/>
    <col width="22" customWidth="1" style="410" min="12" max="12"/>
    <col width="20" customWidth="1" style="410" min="13" max="13"/>
    <col width="42" customWidth="1" style="410" min="14" max="14"/>
    <col width="12" customWidth="1" style="410" min="15" max="15"/>
    <col width="11" customWidth="1" style="410" min="16" max="16"/>
  </cols>
  <sheetData>
    <row r="1">
      <c r="A1" s="577" t="inlineStr">
        <is>
          <t>Personnel</t>
        </is>
      </c>
    </row>
    <row r="2">
      <c r="A2" s="578" t="inlineStr">
        <is>
          <t>Month 1 = April 2026.  Named staff are costed from this tab; planned hires are generated by the Staffing tab from the deal set.</t>
        </is>
      </c>
    </row>
    <row r="3">
      <c r="C3" s="579" t="inlineStr">
        <is>
          <t>Count</t>
        </is>
      </c>
      <c r="D3" s="579" t="inlineStr">
        <is>
          <t>Annual salary</t>
        </is>
      </c>
    </row>
    <row r="4">
      <c r="A4" s="580" t="inlineStr">
        <is>
          <t>LV Construction - current headcount</t>
        </is>
      </c>
      <c r="C4" s="581">
        <f>COUNTIFS($F$9:$F$100,"GC",$L$9:$L$100,"Current*")</f>
        <v/>
      </c>
      <c r="D4" s="582">
        <f>SUMIFS($C$9:$C$100,$F$9:$F$100,"GC",$L$9:$L$100,"Current*")</f>
        <v/>
      </c>
    </row>
    <row r="5">
      <c r="A5" s="580" t="inlineStr">
        <is>
          <t>Six Peak Capital - current headcount</t>
        </is>
      </c>
      <c r="C5" s="581">
        <f>COUNTIFS($F$9:$F$100,"SixPeak",$L$9:$L$100,"Current*")</f>
        <v/>
      </c>
      <c r="D5" s="582">
        <f>SUMIFS($C$9:$C$100,$F$9:$F$100,"SixPeak",$L$9:$L$100,"Current*")</f>
        <v/>
      </c>
    </row>
    <row r="6">
      <c r="A6" s="754" t="inlineStr">
        <is>
          <t>Planned hires now live on the Staffing tab, triggered by award and start confirmation.</t>
        </is>
      </c>
    </row>
    <row r="8">
      <c r="A8" s="583" t="inlineStr">
        <is>
          <t>Name</t>
        </is>
      </c>
      <c r="B8" s="583" t="inlineStr">
        <is>
          <t>Role</t>
        </is>
      </c>
      <c r="C8" s="583" t="inlineStr">
        <is>
          <t>Annual Salary</t>
        </is>
      </c>
      <c r="D8" s="583" t="inlineStr">
        <is>
          <t>Monthly Cost</t>
        </is>
      </c>
      <c r="E8" s="583" t="inlineStr">
        <is>
          <t>Start Month</t>
        </is>
      </c>
      <c r="F8" s="583" t="inlineStr">
        <is>
          <t>Type</t>
        </is>
      </c>
      <c r="G8" s="583" t="inlineStr">
        <is>
          <t>Active</t>
        </is>
      </c>
      <c r="H8" s="583" t="inlineStr">
        <is>
          <t>Consult %</t>
        </is>
      </c>
      <c r="I8" s="583" t="inlineStr">
        <is>
          <t>LV Alloc %</t>
        </is>
      </c>
      <c r="J8" s="583" t="inlineStr">
        <is>
          <t>Category</t>
        </is>
      </c>
      <c r="K8" s="583" t="inlineStr">
        <is>
          <t>End Month</t>
        </is>
      </c>
      <c r="L8" s="583" t="inlineStr">
        <is>
          <t>Status</t>
        </is>
      </c>
      <c r="M8" s="583" t="inlineStr">
        <is>
          <t>Basis / Job</t>
        </is>
      </c>
      <c r="N8" s="583" t="inlineStr">
        <is>
          <t>Note</t>
        </is>
      </c>
      <c r="O8" s="583" t="inlineStr">
        <is>
          <t>Model Line</t>
        </is>
      </c>
      <c r="P8" s="583" t="inlineStr">
        <is>
          <t>Role Class</t>
        </is>
      </c>
    </row>
    <row r="9">
      <c r="A9" s="584" t="inlineStr">
        <is>
          <t>LV CONSTRUCTION - CURRENT PERSONNEL (Corporate)</t>
        </is>
      </c>
      <c r="B9" s="585" t="n"/>
      <c r="C9" s="585" t="n"/>
      <c r="D9" s="585" t="n"/>
      <c r="E9" s="585" t="n"/>
      <c r="F9" s="585" t="n"/>
      <c r="G9" s="585" t="n"/>
      <c r="H9" s="585" t="n"/>
      <c r="I9" s="585" t="n"/>
      <c r="J9" s="585" t="n"/>
      <c r="K9" s="585" t="n"/>
      <c r="L9" s="585" t="n"/>
      <c r="M9" s="585" t="n"/>
      <c r="N9" s="585" t="n"/>
      <c r="O9" s="585" t="n"/>
      <c r="P9" s="585" t="n"/>
    </row>
    <row r="10">
      <c r="A10" s="586" t="inlineStr">
        <is>
          <t>Kim Moreno</t>
        </is>
      </c>
      <c r="B10" s="586" t="inlineStr">
        <is>
          <t>Project Coordinator/Admin</t>
        </is>
      </c>
      <c r="C10" s="587" t="n">
        <v>70000</v>
      </c>
      <c r="D10" s="587">
        <f>C10/12</f>
        <v/>
      </c>
      <c r="E10" s="588" t="n">
        <v>1</v>
      </c>
      <c r="F10" s="586" t="inlineStr">
        <is>
          <t>GC</t>
        </is>
      </c>
      <c r="G10" s="588" t="inlineStr">
        <is>
          <t>Yes</t>
        </is>
      </c>
      <c r="H10" s="589" t="n">
        <v>0</v>
      </c>
      <c r="I10" s="589" t="n">
        <v>0</v>
      </c>
      <c r="J10" s="586" t="inlineStr">
        <is>
          <t>Corporate</t>
        </is>
      </c>
      <c r="K10" s="588" t="n"/>
      <c r="L10" s="586" t="inlineStr">
        <is>
          <t>Current</t>
        </is>
      </c>
      <c r="M10" s="586" t="inlineStr"/>
      <c r="N10" s="586" t="inlineStr"/>
      <c r="O10" s="586" t="inlineStr">
        <is>
          <t>GC</t>
        </is>
      </c>
      <c r="P10" s="586" t="inlineStr">
        <is>
          <t>CORP</t>
        </is>
      </c>
    </row>
    <row r="11">
      <c r="A11" s="590" t="inlineStr">
        <is>
          <t>Grady LaKamp (Corporate)</t>
        </is>
      </c>
      <c r="B11" s="590" t="inlineStr">
        <is>
          <t>Executive</t>
        </is>
      </c>
      <c r="C11" s="591" t="n">
        <v>80000</v>
      </c>
      <c r="D11" s="591">
        <f>C11/12</f>
        <v/>
      </c>
      <c r="E11" s="592" t="n">
        <v>1</v>
      </c>
      <c r="F11" s="590" t="inlineStr">
        <is>
          <t>GC</t>
        </is>
      </c>
      <c r="G11" s="592" t="inlineStr">
        <is>
          <t>Yes</t>
        </is>
      </c>
      <c r="H11" s="593" t="n">
        <v>0.5</v>
      </c>
      <c r="I11" s="593" t="n">
        <v>0</v>
      </c>
      <c r="J11" s="590" t="inlineStr">
        <is>
          <t>Corporate</t>
        </is>
      </c>
      <c r="K11" s="592" t="n"/>
      <c r="L11" s="590" t="inlineStr">
        <is>
          <t>Current</t>
        </is>
      </c>
      <c r="M11" s="590" t="inlineStr"/>
      <c r="N11" s="590" t="inlineStr"/>
      <c r="O11" s="590" t="inlineStr">
        <is>
          <t>GC</t>
        </is>
      </c>
      <c r="P11" s="590" t="inlineStr">
        <is>
          <t>CORP</t>
        </is>
      </c>
    </row>
    <row r="12">
      <c r="A12" s="586" t="inlineStr">
        <is>
          <t>Joe LaKamp (Corporate)</t>
        </is>
      </c>
      <c r="B12" s="586" t="inlineStr">
        <is>
          <t>Executive</t>
        </is>
      </c>
      <c r="C12" s="587" t="n">
        <v>25000</v>
      </c>
      <c r="D12" s="587">
        <f>C12/12</f>
        <v/>
      </c>
      <c r="E12" s="588" t="n">
        <v>1</v>
      </c>
      <c r="F12" s="586" t="inlineStr">
        <is>
          <t>GC</t>
        </is>
      </c>
      <c r="G12" s="588" t="inlineStr">
        <is>
          <t>Yes</t>
        </is>
      </c>
      <c r="H12" s="589" t="n">
        <v>0.5</v>
      </c>
      <c r="I12" s="589" t="n">
        <v>0</v>
      </c>
      <c r="J12" s="586" t="inlineStr">
        <is>
          <t>Corporate</t>
        </is>
      </c>
      <c r="K12" s="588" t="n">
        <v>9</v>
      </c>
      <c r="L12" s="586" t="inlineStr">
        <is>
          <t>Current - ends Dec 26</t>
        </is>
      </c>
      <c r="M12" s="586" t="inlineStr"/>
      <c r="N12" s="586" t="inlineStr">
        <is>
          <t>Ends Dec 2026</t>
        </is>
      </c>
      <c r="O12" s="586" t="inlineStr">
        <is>
          <t>GC</t>
        </is>
      </c>
      <c r="P12" s="586" t="inlineStr">
        <is>
          <t>CORP</t>
        </is>
      </c>
    </row>
    <row r="13">
      <c r="A13" s="590" t="inlineStr">
        <is>
          <t>Pedro Rosalas (Corporate)</t>
        </is>
      </c>
      <c r="B13" s="590" t="inlineStr">
        <is>
          <t>Project Manager</t>
        </is>
      </c>
      <c r="C13" s="591" t="n">
        <v>20000</v>
      </c>
      <c r="D13" s="591">
        <f>C13/12</f>
        <v/>
      </c>
      <c r="E13" s="592" t="n">
        <v>1</v>
      </c>
      <c r="F13" s="590" t="inlineStr">
        <is>
          <t>GC</t>
        </is>
      </c>
      <c r="G13" s="592" t="inlineStr">
        <is>
          <t>Yes</t>
        </is>
      </c>
      <c r="H13" s="593" t="n">
        <v>0</v>
      </c>
      <c r="I13" s="593" t="n">
        <v>0</v>
      </c>
      <c r="J13" s="590" t="inlineStr">
        <is>
          <t>Corporate</t>
        </is>
      </c>
      <c r="K13" s="592" t="n"/>
      <c r="L13" s="590" t="inlineStr">
        <is>
          <t>Current</t>
        </is>
      </c>
      <c r="M13" s="590" t="inlineStr"/>
      <c r="N13" s="590" t="inlineStr"/>
      <c r="O13" s="590" t="inlineStr">
        <is>
          <t>GC</t>
        </is>
      </c>
      <c r="P13" s="590" t="inlineStr">
        <is>
          <t>CORP</t>
        </is>
      </c>
    </row>
    <row r="14">
      <c r="A14" s="586" t="inlineStr">
        <is>
          <t>Greg Smith (Corporate)</t>
        </is>
      </c>
      <c r="B14" s="586" t="inlineStr">
        <is>
          <t>Project Manager</t>
        </is>
      </c>
      <c r="C14" s="587" t="n">
        <v>20000</v>
      </c>
      <c r="D14" s="587">
        <f>C14/12</f>
        <v/>
      </c>
      <c r="E14" s="588" t="n">
        <v>1</v>
      </c>
      <c r="F14" s="586" t="inlineStr">
        <is>
          <t>GC</t>
        </is>
      </c>
      <c r="G14" s="588" t="inlineStr">
        <is>
          <t>Yes</t>
        </is>
      </c>
      <c r="H14" s="589" t="n">
        <v>0</v>
      </c>
      <c r="I14" s="589" t="n">
        <v>0</v>
      </c>
      <c r="J14" s="586" t="inlineStr">
        <is>
          <t>Corporate</t>
        </is>
      </c>
      <c r="K14" s="588" t="n"/>
      <c r="L14" s="586" t="inlineStr">
        <is>
          <t>Current</t>
        </is>
      </c>
      <c r="M14" s="586" t="inlineStr"/>
      <c r="N14" s="586" t="inlineStr"/>
      <c r="O14" s="586" t="inlineStr">
        <is>
          <t>GC</t>
        </is>
      </c>
      <c r="P14" s="586" t="inlineStr">
        <is>
          <t>CORP</t>
        </is>
      </c>
    </row>
    <row r="16">
      <c r="A16" s="584" t="inlineStr">
        <is>
          <t>LV CONSTRUCTION - CURRENT PERSONNEL (Field)</t>
        </is>
      </c>
      <c r="B16" s="585" t="n"/>
      <c r="C16" s="585" t="n"/>
      <c r="D16" s="585" t="n"/>
      <c r="E16" s="585" t="n"/>
      <c r="F16" s="585" t="n"/>
      <c r="G16" s="585" t="n"/>
      <c r="H16" s="585" t="n"/>
      <c r="I16" s="585" t="n"/>
      <c r="J16" s="585" t="n"/>
      <c r="K16" s="585" t="n"/>
      <c r="L16" s="585" t="n"/>
      <c r="M16" s="585" t="n"/>
      <c r="N16" s="585" t="n"/>
      <c r="O16" s="585" t="n"/>
      <c r="P16" s="585" t="n"/>
    </row>
    <row r="17">
      <c r="A17" s="586" t="inlineStr">
        <is>
          <t>Grady LaKamp (Field)</t>
        </is>
      </c>
      <c r="B17" s="586" t="inlineStr">
        <is>
          <t>Executive</t>
        </is>
      </c>
      <c r="C17" s="587" t="n">
        <v>320000</v>
      </c>
      <c r="D17" s="587">
        <f>C17/12</f>
        <v/>
      </c>
      <c r="E17" s="588" t="n">
        <v>1</v>
      </c>
      <c r="F17" s="586" t="inlineStr">
        <is>
          <t>GC</t>
        </is>
      </c>
      <c r="G17" s="588" t="inlineStr">
        <is>
          <t>Yes</t>
        </is>
      </c>
      <c r="H17" s="589" t="n">
        <v>0.5</v>
      </c>
      <c r="I17" s="589" t="n">
        <v>0</v>
      </c>
      <c r="J17" s="586" t="inlineStr">
        <is>
          <t>Field</t>
        </is>
      </c>
      <c r="K17" s="588" t="n"/>
      <c r="L17" s="586" t="inlineStr">
        <is>
          <t>Current</t>
        </is>
      </c>
      <c r="M17" s="586" t="inlineStr"/>
      <c r="N17" s="586" t="inlineStr"/>
      <c r="O17" s="586" t="inlineStr">
        <is>
          <t>GC</t>
        </is>
      </c>
      <c r="P17" s="586" t="inlineStr">
        <is>
          <t>CORP</t>
        </is>
      </c>
    </row>
    <row r="18">
      <c r="A18" s="590" t="inlineStr">
        <is>
          <t>Joe LaKamp (Field)</t>
        </is>
      </c>
      <c r="B18" s="590" t="inlineStr">
        <is>
          <t>Executive</t>
        </is>
      </c>
      <c r="C18" s="591" t="n">
        <v>225000</v>
      </c>
      <c r="D18" s="591">
        <f>C18/12</f>
        <v/>
      </c>
      <c r="E18" s="592" t="n">
        <v>1</v>
      </c>
      <c r="F18" s="590" t="inlineStr">
        <is>
          <t>GC</t>
        </is>
      </c>
      <c r="G18" s="592" t="inlineStr">
        <is>
          <t>Yes</t>
        </is>
      </c>
      <c r="H18" s="593" t="n">
        <v>0.5</v>
      </c>
      <c r="I18" s="593" t="n">
        <v>0</v>
      </c>
      <c r="J18" s="590" t="inlineStr">
        <is>
          <t>Field</t>
        </is>
      </c>
      <c r="K18" s="592" t="n">
        <v>9</v>
      </c>
      <c r="L18" s="590" t="inlineStr">
        <is>
          <t>Current - ends Dec 26</t>
        </is>
      </c>
      <c r="M18" s="590" t="inlineStr"/>
      <c r="N18" s="590" t="inlineStr">
        <is>
          <t>Ends Dec 2026</t>
        </is>
      </c>
      <c r="O18" s="590" t="inlineStr">
        <is>
          <t>GC</t>
        </is>
      </c>
      <c r="P18" s="590" t="inlineStr">
        <is>
          <t>CORP</t>
        </is>
      </c>
    </row>
    <row r="19">
      <c r="A19" s="586" t="inlineStr">
        <is>
          <t>Pedro Rosalas (Field)</t>
        </is>
      </c>
      <c r="B19" s="586" t="inlineStr">
        <is>
          <t>Project Manager</t>
        </is>
      </c>
      <c r="C19" s="587" t="n">
        <v>180000</v>
      </c>
      <c r="D19" s="587">
        <f>C19/12</f>
        <v/>
      </c>
      <c r="E19" s="588" t="n">
        <v>1</v>
      </c>
      <c r="F19" s="586" t="inlineStr">
        <is>
          <t>GC</t>
        </is>
      </c>
      <c r="G19" s="588" t="inlineStr">
        <is>
          <t>Yes</t>
        </is>
      </c>
      <c r="H19" s="589" t="n">
        <v>0</v>
      </c>
      <c r="I19" s="589" t="n">
        <v>0</v>
      </c>
      <c r="J19" s="586" t="inlineStr">
        <is>
          <t>Field</t>
        </is>
      </c>
      <c r="K19" s="588" t="n"/>
      <c r="L19" s="586" t="inlineStr">
        <is>
          <t>Current</t>
        </is>
      </c>
      <c r="M19" s="586" t="inlineStr"/>
      <c r="N19" s="586" t="inlineStr"/>
      <c r="O19" s="586" t="inlineStr">
        <is>
          <t>GC</t>
        </is>
      </c>
      <c r="P19" s="586" t="inlineStr">
        <is>
          <t>PM</t>
        </is>
      </c>
    </row>
    <row r="20">
      <c r="A20" s="590" t="inlineStr">
        <is>
          <t>Greg Smith (Field)</t>
        </is>
      </c>
      <c r="B20" s="590" t="inlineStr">
        <is>
          <t>Project Manager</t>
        </is>
      </c>
      <c r="C20" s="591" t="n">
        <v>180000</v>
      </c>
      <c r="D20" s="591">
        <f>C20/12</f>
        <v/>
      </c>
      <c r="E20" s="592" t="n">
        <v>1</v>
      </c>
      <c r="F20" s="590" t="inlineStr">
        <is>
          <t>GC</t>
        </is>
      </c>
      <c r="G20" s="592" t="inlineStr">
        <is>
          <t>Yes</t>
        </is>
      </c>
      <c r="H20" s="593" t="n">
        <v>0</v>
      </c>
      <c r="I20" s="593" t="n">
        <v>0</v>
      </c>
      <c r="J20" s="590" t="inlineStr">
        <is>
          <t>Field</t>
        </is>
      </c>
      <c r="K20" s="592" t="n"/>
      <c r="L20" s="590" t="inlineStr">
        <is>
          <t>Current</t>
        </is>
      </c>
      <c r="M20" s="590" t="inlineStr"/>
      <c r="N20" s="590" t="inlineStr"/>
      <c r="O20" s="590" t="inlineStr">
        <is>
          <t>GC</t>
        </is>
      </c>
      <c r="P20" s="590" t="inlineStr">
        <is>
          <t>PM</t>
        </is>
      </c>
    </row>
    <row r="21">
      <c r="A21" s="586" t="inlineStr">
        <is>
          <t>Henry Vera</t>
        </is>
      </c>
      <c r="B21" s="586" t="inlineStr">
        <is>
          <t>Asst Project Manager</t>
        </is>
      </c>
      <c r="C21" s="587" t="n">
        <v>105000</v>
      </c>
      <c r="D21" s="587">
        <f>C21/12</f>
        <v/>
      </c>
      <c r="E21" s="588" t="n">
        <v>3</v>
      </c>
      <c r="F21" s="586" t="inlineStr">
        <is>
          <t>GC</t>
        </is>
      </c>
      <c r="G21" s="588" t="inlineStr">
        <is>
          <t>Yes</t>
        </is>
      </c>
      <c r="H21" s="589" t="n">
        <v>0</v>
      </c>
      <c r="I21" s="589" t="n">
        <v>0</v>
      </c>
      <c r="J21" s="586" t="inlineStr">
        <is>
          <t>Field</t>
        </is>
      </c>
      <c r="K21" s="588" t="n"/>
      <c r="L21" s="586" t="inlineStr">
        <is>
          <t>Current</t>
        </is>
      </c>
      <c r="M21" s="586" t="inlineStr"/>
      <c r="N21" s="586" t="inlineStr"/>
      <c r="O21" s="586" t="inlineStr">
        <is>
          <t>GC</t>
        </is>
      </c>
      <c r="P21" s="586" t="inlineStr">
        <is>
          <t>APM</t>
        </is>
      </c>
    </row>
    <row r="22">
      <c r="A22" s="590" t="inlineStr">
        <is>
          <t>Dorian Puentes</t>
        </is>
      </c>
      <c r="B22" s="590" t="inlineStr">
        <is>
          <t>Asst Project Manager</t>
        </is>
      </c>
      <c r="C22" s="591" t="n">
        <v>155000</v>
      </c>
      <c r="D22" s="591">
        <f>C22/12</f>
        <v/>
      </c>
      <c r="E22" s="592" t="n">
        <v>1</v>
      </c>
      <c r="F22" s="590" t="inlineStr">
        <is>
          <t>GC</t>
        </is>
      </c>
      <c r="G22" s="592" t="inlineStr">
        <is>
          <t>Yes</t>
        </is>
      </c>
      <c r="H22" s="593" t="n">
        <v>0</v>
      </c>
      <c r="I22" s="593" t="n">
        <v>0</v>
      </c>
      <c r="J22" s="590" t="inlineStr">
        <is>
          <t>Field</t>
        </is>
      </c>
      <c r="K22" s="592" t="n"/>
      <c r="L22" s="590" t="inlineStr">
        <is>
          <t>Current</t>
        </is>
      </c>
      <c r="M22" s="590" t="inlineStr"/>
      <c r="N22" s="590" t="inlineStr"/>
      <c r="O22" s="590" t="inlineStr">
        <is>
          <t>GC</t>
        </is>
      </c>
      <c r="P22" s="590" t="inlineStr">
        <is>
          <t>APM</t>
        </is>
      </c>
    </row>
    <row r="23">
      <c r="A23" s="586" t="inlineStr">
        <is>
          <t>Roy Torries</t>
        </is>
      </c>
      <c r="B23" s="586" t="inlineStr">
        <is>
          <t>Asst Project Manager</t>
        </is>
      </c>
      <c r="C23" s="587" t="n">
        <v>185000</v>
      </c>
      <c r="D23" s="587">
        <f>C23/12</f>
        <v/>
      </c>
      <c r="E23" s="588" t="n">
        <v>1</v>
      </c>
      <c r="F23" s="586" t="inlineStr">
        <is>
          <t>GC</t>
        </is>
      </c>
      <c r="G23" s="588" t="inlineStr">
        <is>
          <t>Yes</t>
        </is>
      </c>
      <c r="H23" s="589" t="n">
        <v>0</v>
      </c>
      <c r="I23" s="589" t="n">
        <v>0</v>
      </c>
      <c r="J23" s="586" t="inlineStr">
        <is>
          <t>Field</t>
        </is>
      </c>
      <c r="K23" s="588" t="n"/>
      <c r="L23" s="586" t="inlineStr">
        <is>
          <t>Current</t>
        </is>
      </c>
      <c r="M23" s="586" t="inlineStr"/>
      <c r="N23" s="586" t="inlineStr"/>
      <c r="O23" s="586" t="inlineStr">
        <is>
          <t>GC</t>
        </is>
      </c>
      <c r="P23" s="586" t="inlineStr">
        <is>
          <t>APM</t>
        </is>
      </c>
    </row>
    <row r="24">
      <c r="A24" s="590" t="inlineStr">
        <is>
          <t>Brisa Sanchez</t>
        </is>
      </c>
      <c r="B24" s="590" t="inlineStr">
        <is>
          <t>Project Coordinator</t>
        </is>
      </c>
      <c r="C24" s="591" t="n">
        <v>90000</v>
      </c>
      <c r="D24" s="591">
        <f>C24/12</f>
        <v/>
      </c>
      <c r="E24" s="592" t="n">
        <v>3</v>
      </c>
      <c r="F24" s="590" t="inlineStr">
        <is>
          <t>GC</t>
        </is>
      </c>
      <c r="G24" s="592" t="inlineStr">
        <is>
          <t>Yes</t>
        </is>
      </c>
      <c r="H24" s="593" t="n">
        <v>0</v>
      </c>
      <c r="I24" s="593" t="n">
        <v>0</v>
      </c>
      <c r="J24" s="590" t="inlineStr">
        <is>
          <t>Field</t>
        </is>
      </c>
      <c r="K24" s="592" t="n"/>
      <c r="L24" s="590" t="inlineStr">
        <is>
          <t>Current</t>
        </is>
      </c>
      <c r="M24" s="590" t="inlineStr"/>
      <c r="N24" s="590" t="inlineStr"/>
      <c r="O24" s="590" t="inlineStr">
        <is>
          <t>GC</t>
        </is>
      </c>
      <c r="P24" s="590" t="inlineStr">
        <is>
          <t>PC</t>
        </is>
      </c>
    </row>
    <row r="25">
      <c r="A25" s="586" t="inlineStr">
        <is>
          <t>Alina Akopian</t>
        </is>
      </c>
      <c r="B25" s="586" t="inlineStr">
        <is>
          <t>Project Coordinator/Admin</t>
        </is>
      </c>
      <c r="C25" s="587" t="n">
        <v>97500</v>
      </c>
      <c r="D25" s="587">
        <f>C25/12</f>
        <v/>
      </c>
      <c r="E25" s="588" t="n">
        <v>1</v>
      </c>
      <c r="F25" s="586" t="inlineStr">
        <is>
          <t>GC</t>
        </is>
      </c>
      <c r="G25" s="588" t="inlineStr">
        <is>
          <t>Yes</t>
        </is>
      </c>
      <c r="H25" s="589" t="n">
        <v>0</v>
      </c>
      <c r="I25" s="589" t="n">
        <v>0</v>
      </c>
      <c r="J25" s="586" t="inlineStr">
        <is>
          <t>Field</t>
        </is>
      </c>
      <c r="K25" s="588" t="n"/>
      <c r="L25" s="586" t="inlineStr">
        <is>
          <t>Current</t>
        </is>
      </c>
      <c r="M25" s="586" t="inlineStr"/>
      <c r="N25" s="586" t="inlineStr"/>
      <c r="O25" s="586" t="inlineStr">
        <is>
          <t>GC</t>
        </is>
      </c>
      <c r="P25" s="586" t="inlineStr">
        <is>
          <t>PC</t>
        </is>
      </c>
    </row>
    <row r="26">
      <c r="A26" s="590" t="inlineStr">
        <is>
          <t>Mike Savaikie</t>
        </is>
      </c>
      <c r="B26" s="590" t="inlineStr">
        <is>
          <t>Senior Superintendent</t>
        </is>
      </c>
      <c r="C26" s="591" t="n">
        <v>150000</v>
      </c>
      <c r="D26" s="591">
        <f>C26/12</f>
        <v/>
      </c>
      <c r="E26" s="592" t="n">
        <v>1</v>
      </c>
      <c r="F26" s="590" t="inlineStr">
        <is>
          <t>GC</t>
        </is>
      </c>
      <c r="G26" s="592" t="inlineStr">
        <is>
          <t>Yes</t>
        </is>
      </c>
      <c r="H26" s="593" t="n">
        <v>0</v>
      </c>
      <c r="I26" s="593" t="n">
        <v>0</v>
      </c>
      <c r="J26" s="590" t="inlineStr">
        <is>
          <t>Field</t>
        </is>
      </c>
      <c r="K26" s="592" t="n"/>
      <c r="L26" s="590" t="inlineStr">
        <is>
          <t>Current</t>
        </is>
      </c>
      <c r="M26" s="590" t="inlineStr"/>
      <c r="N26" s="590" t="inlineStr"/>
      <c r="O26" s="590" t="inlineStr">
        <is>
          <t>GC</t>
        </is>
      </c>
      <c r="P26" s="590" t="inlineStr">
        <is>
          <t>SUPER</t>
        </is>
      </c>
    </row>
    <row r="27">
      <c r="A27" s="586" t="inlineStr">
        <is>
          <t>Daniel Carrillo</t>
        </is>
      </c>
      <c r="B27" s="586" t="inlineStr">
        <is>
          <t>Senior Superintendent</t>
        </is>
      </c>
      <c r="C27" s="587" t="n">
        <v>150000</v>
      </c>
      <c r="D27" s="587">
        <f>C27/12</f>
        <v/>
      </c>
      <c r="E27" s="588" t="n">
        <v>1</v>
      </c>
      <c r="F27" s="586" t="inlineStr">
        <is>
          <t>GC</t>
        </is>
      </c>
      <c r="G27" s="588" t="inlineStr">
        <is>
          <t>Yes</t>
        </is>
      </c>
      <c r="H27" s="589" t="n">
        <v>0</v>
      </c>
      <c r="I27" s="589" t="n">
        <v>0</v>
      </c>
      <c r="J27" s="586" t="inlineStr">
        <is>
          <t>Field</t>
        </is>
      </c>
      <c r="K27" s="588" t="n"/>
      <c r="L27" s="586" t="inlineStr">
        <is>
          <t>Current</t>
        </is>
      </c>
      <c r="M27" s="586" t="inlineStr"/>
      <c r="N27" s="586" t="inlineStr"/>
      <c r="O27" s="586" t="inlineStr">
        <is>
          <t>GC</t>
        </is>
      </c>
      <c r="P27" s="586" t="inlineStr">
        <is>
          <t>SUPER</t>
        </is>
      </c>
    </row>
    <row r="28">
      <c r="A28" s="590" t="inlineStr">
        <is>
          <t>Steve Garcia</t>
        </is>
      </c>
      <c r="B28" s="590" t="inlineStr">
        <is>
          <t>Senior Superintendent</t>
        </is>
      </c>
      <c r="C28" s="591" t="n">
        <v>170000</v>
      </c>
      <c r="D28" s="591">
        <f>C28/12</f>
        <v/>
      </c>
      <c r="E28" s="592" t="n">
        <v>2</v>
      </c>
      <c r="F28" s="590" t="inlineStr">
        <is>
          <t>GC</t>
        </is>
      </c>
      <c r="G28" s="592" t="inlineStr">
        <is>
          <t>Yes</t>
        </is>
      </c>
      <c r="H28" s="593" t="n">
        <v>0</v>
      </c>
      <c r="I28" s="593" t="n">
        <v>0</v>
      </c>
      <c r="J28" s="590" t="inlineStr">
        <is>
          <t>Field</t>
        </is>
      </c>
      <c r="K28" s="592" t="n"/>
      <c r="L28" s="590" t="inlineStr">
        <is>
          <t>Current</t>
        </is>
      </c>
      <c r="M28" s="590" t="inlineStr"/>
      <c r="N28" s="590" t="inlineStr"/>
      <c r="O28" s="590" t="inlineStr">
        <is>
          <t>GC</t>
        </is>
      </c>
      <c r="P28" s="590" t="inlineStr">
        <is>
          <t>SUPER</t>
        </is>
      </c>
    </row>
    <row r="29">
      <c r="A29" s="586" t="inlineStr">
        <is>
          <t>Jesus Castellanos</t>
        </is>
      </c>
      <c r="B29" s="586" t="inlineStr">
        <is>
          <t>Senior Superintendent</t>
        </is>
      </c>
      <c r="C29" s="587" t="n">
        <v>170000</v>
      </c>
      <c r="D29" s="587">
        <f>C29/12</f>
        <v/>
      </c>
      <c r="E29" s="588" t="n">
        <v>4</v>
      </c>
      <c r="F29" s="586" t="inlineStr">
        <is>
          <t>GC</t>
        </is>
      </c>
      <c r="G29" s="588" t="inlineStr">
        <is>
          <t>Yes</t>
        </is>
      </c>
      <c r="H29" s="589" t="n">
        <v>0</v>
      </c>
      <c r="I29" s="589" t="n">
        <v>0</v>
      </c>
      <c r="J29" s="586" t="inlineStr">
        <is>
          <t>Field</t>
        </is>
      </c>
      <c r="K29" s="588" t="n"/>
      <c r="L29" s="586" t="inlineStr">
        <is>
          <t>Current</t>
        </is>
      </c>
      <c r="M29" s="586" t="inlineStr"/>
      <c r="N29" s="586" t="inlineStr"/>
      <c r="O29" s="586" t="inlineStr">
        <is>
          <t>GC</t>
        </is>
      </c>
      <c r="P29" s="586" t="inlineStr">
        <is>
          <t>SUPER</t>
        </is>
      </c>
    </row>
    <row r="30">
      <c r="A30" s="590" t="inlineStr">
        <is>
          <t>Taylor Flores</t>
        </is>
      </c>
      <c r="B30" s="590" t="inlineStr">
        <is>
          <t>Senior Superintendent</t>
        </is>
      </c>
      <c r="C30" s="591" t="n">
        <v>130000</v>
      </c>
      <c r="D30" s="591">
        <f>C30/12</f>
        <v/>
      </c>
      <c r="E30" s="592" t="n">
        <v>4</v>
      </c>
      <c r="F30" s="590" t="inlineStr">
        <is>
          <t>GC</t>
        </is>
      </c>
      <c r="G30" s="592" t="inlineStr">
        <is>
          <t>Yes</t>
        </is>
      </c>
      <c r="H30" s="593" t="n">
        <v>0</v>
      </c>
      <c r="I30" s="593" t="n">
        <v>0</v>
      </c>
      <c r="J30" s="590" t="inlineStr">
        <is>
          <t>Field</t>
        </is>
      </c>
      <c r="K30" s="592" t="n"/>
      <c r="L30" s="590" t="inlineStr">
        <is>
          <t>Current</t>
        </is>
      </c>
      <c r="M30" s="590" t="inlineStr"/>
      <c r="N30" s="590" t="inlineStr"/>
      <c r="O30" s="590" t="inlineStr">
        <is>
          <t>GC</t>
        </is>
      </c>
      <c r="P30" s="590" t="inlineStr">
        <is>
          <t>SUPER</t>
        </is>
      </c>
    </row>
    <row r="31">
      <c r="A31" s="586" t="inlineStr">
        <is>
          <t>Acama Sr Super</t>
        </is>
      </c>
      <c r="B31" s="586" t="inlineStr">
        <is>
          <t>Senior Superintendent</t>
        </is>
      </c>
      <c r="C31" s="587" t="n">
        <v>160000</v>
      </c>
      <c r="D31" s="587">
        <f>C31/12</f>
        <v/>
      </c>
      <c r="E31" s="588" t="n">
        <v>6</v>
      </c>
      <c r="F31" s="586" t="inlineStr">
        <is>
          <t>GC</t>
        </is>
      </c>
      <c r="G31" s="588" t="inlineStr">
        <is>
          <t>Yes</t>
        </is>
      </c>
      <c r="H31" s="589" t="n">
        <v>0</v>
      </c>
      <c r="I31" s="589" t="n">
        <v>0</v>
      </c>
      <c r="J31" s="586" t="inlineStr">
        <is>
          <t>Field</t>
        </is>
      </c>
      <c r="K31" s="588" t="n"/>
      <c r="L31" s="586" t="inlineStr">
        <is>
          <t>Current</t>
        </is>
      </c>
      <c r="M31" s="586" t="inlineStr">
        <is>
          <t>Acama</t>
        </is>
      </c>
      <c r="N31" s="586" t="inlineStr">
        <is>
          <t>Real hire, on payroll 1 Sep 2026; Acama starts Dec 2026</t>
        </is>
      </c>
      <c r="O31" s="586" t="inlineStr">
        <is>
          <t>GC</t>
        </is>
      </c>
      <c r="P31" s="586" t="inlineStr">
        <is>
          <t>SUPER</t>
        </is>
      </c>
    </row>
    <row r="32">
      <c r="A32" s="590" t="inlineStr">
        <is>
          <t>Nick Donald</t>
        </is>
      </c>
      <c r="B32" s="590" t="inlineStr">
        <is>
          <t>Site Superintendent</t>
        </is>
      </c>
      <c r="C32" s="591" t="n">
        <v>75000</v>
      </c>
      <c r="D32" s="591">
        <f>C32/12</f>
        <v/>
      </c>
      <c r="E32" s="592" t="n">
        <v>1</v>
      </c>
      <c r="F32" s="590" t="inlineStr">
        <is>
          <t>GC</t>
        </is>
      </c>
      <c r="G32" s="592" t="inlineStr">
        <is>
          <t>Yes</t>
        </is>
      </c>
      <c r="H32" s="593" t="n">
        <v>0</v>
      </c>
      <c r="I32" s="593" t="n">
        <v>0</v>
      </c>
      <c r="J32" s="590" t="inlineStr">
        <is>
          <t>Field</t>
        </is>
      </c>
      <c r="K32" s="592" t="n"/>
      <c r="L32" s="590" t="inlineStr">
        <is>
          <t>Current</t>
        </is>
      </c>
      <c r="M32" s="590" t="inlineStr"/>
      <c r="N32" s="590" t="inlineStr"/>
      <c r="O32" s="590" t="inlineStr">
        <is>
          <t>GC</t>
        </is>
      </c>
      <c r="P32" s="590" t="inlineStr">
        <is>
          <t>SUPER</t>
        </is>
      </c>
    </row>
    <row r="33">
      <c r="A33" s="586" t="inlineStr">
        <is>
          <t>Logan Terriquez</t>
        </is>
      </c>
      <c r="B33" s="586" t="inlineStr">
        <is>
          <t>Site Superintendent</t>
        </is>
      </c>
      <c r="C33" s="587" t="n">
        <v>105000</v>
      </c>
      <c r="D33" s="587">
        <f>C33/12</f>
        <v/>
      </c>
      <c r="E33" s="588" t="n">
        <v>3</v>
      </c>
      <c r="F33" s="586" t="inlineStr">
        <is>
          <t>GC</t>
        </is>
      </c>
      <c r="G33" s="588" t="inlineStr">
        <is>
          <t>Yes</t>
        </is>
      </c>
      <c r="H33" s="589" t="n">
        <v>0</v>
      </c>
      <c r="I33" s="589" t="n">
        <v>0</v>
      </c>
      <c r="J33" s="586" t="inlineStr">
        <is>
          <t>Field</t>
        </is>
      </c>
      <c r="K33" s="588" t="n"/>
      <c r="L33" s="586" t="inlineStr">
        <is>
          <t>Current</t>
        </is>
      </c>
      <c r="M33" s="586" t="inlineStr"/>
      <c r="N33" s="586" t="inlineStr"/>
      <c r="O33" s="586" t="inlineStr">
        <is>
          <t>GC</t>
        </is>
      </c>
      <c r="P33" s="586" t="inlineStr">
        <is>
          <t>SUPER</t>
        </is>
      </c>
    </row>
    <row r="34">
      <c r="A34" s="590" t="inlineStr">
        <is>
          <t>Ivan Delgado</t>
        </is>
      </c>
      <c r="B34" s="590" t="inlineStr">
        <is>
          <t>Field Engineer</t>
        </is>
      </c>
      <c r="C34" s="591" t="n">
        <v>65000</v>
      </c>
      <c r="D34" s="591">
        <f>C34/12</f>
        <v/>
      </c>
      <c r="E34" s="592" t="n">
        <v>1</v>
      </c>
      <c r="F34" s="590" t="inlineStr">
        <is>
          <t>GC</t>
        </is>
      </c>
      <c r="G34" s="592" t="inlineStr">
        <is>
          <t>Yes</t>
        </is>
      </c>
      <c r="H34" s="593" t="n">
        <v>0</v>
      </c>
      <c r="I34" s="593" t="n">
        <v>0</v>
      </c>
      <c r="J34" s="590" t="inlineStr">
        <is>
          <t>Field</t>
        </is>
      </c>
      <c r="K34" s="592" t="n"/>
      <c r="L34" s="590" t="inlineStr">
        <is>
          <t>Current</t>
        </is>
      </c>
      <c r="M34" s="590" t="inlineStr"/>
      <c r="N34" s="590" t="inlineStr"/>
      <c r="O34" s="590" t="inlineStr">
        <is>
          <t>GC</t>
        </is>
      </c>
      <c r="P34" s="590" t="inlineStr">
        <is>
          <t>FE</t>
        </is>
      </c>
    </row>
    <row r="35">
      <c r="A35" s="586" t="inlineStr">
        <is>
          <t>Jonah Dobkin</t>
        </is>
      </c>
      <c r="B35" s="586" t="inlineStr">
        <is>
          <t>Field Engineer</t>
        </is>
      </c>
      <c r="C35" s="587" t="n">
        <v>95000</v>
      </c>
      <c r="D35" s="587">
        <f>C35/12</f>
        <v/>
      </c>
      <c r="E35" s="588" t="n">
        <v>1</v>
      </c>
      <c r="F35" s="586" t="inlineStr">
        <is>
          <t>GC</t>
        </is>
      </c>
      <c r="G35" s="588" t="inlineStr">
        <is>
          <t>Yes</t>
        </is>
      </c>
      <c r="H35" s="589" t="n">
        <v>0</v>
      </c>
      <c r="I35" s="589" t="n">
        <v>0</v>
      </c>
      <c r="J35" s="586" t="inlineStr">
        <is>
          <t>Field</t>
        </is>
      </c>
      <c r="K35" s="588" t="n"/>
      <c r="L35" s="586" t="inlineStr">
        <is>
          <t>Current</t>
        </is>
      </c>
      <c r="M35" s="586" t="inlineStr"/>
      <c r="N35" s="586" t="inlineStr"/>
      <c r="O35" s="586" t="inlineStr">
        <is>
          <t>GC</t>
        </is>
      </c>
      <c r="P35" s="586" t="inlineStr">
        <is>
          <t>FE</t>
        </is>
      </c>
    </row>
    <row r="36">
      <c r="A36" s="590" t="inlineStr">
        <is>
          <t>Carlos Rocha</t>
        </is>
      </c>
      <c r="B36" s="590" t="inlineStr">
        <is>
          <t>Laborer</t>
        </is>
      </c>
      <c r="C36" s="591" t="n">
        <v>70000</v>
      </c>
      <c r="D36" s="591">
        <f>C36/12</f>
        <v/>
      </c>
      <c r="E36" s="592" t="n">
        <v>1</v>
      </c>
      <c r="F36" s="590" t="inlineStr">
        <is>
          <t>GC</t>
        </is>
      </c>
      <c r="G36" s="592" t="inlineStr">
        <is>
          <t>Yes</t>
        </is>
      </c>
      <c r="H36" s="593" t="n">
        <v>0</v>
      </c>
      <c r="I36" s="593" t="n">
        <v>0</v>
      </c>
      <c r="J36" s="590" t="inlineStr">
        <is>
          <t>Field</t>
        </is>
      </c>
      <c r="K36" s="592" t="n"/>
      <c r="L36" s="590" t="inlineStr">
        <is>
          <t>Current</t>
        </is>
      </c>
      <c r="M36" s="590" t="inlineStr"/>
      <c r="N36" s="590" t="inlineStr"/>
      <c r="O36" s="590" t="inlineStr">
        <is>
          <t>GC</t>
        </is>
      </c>
      <c r="P36" s="590" t="inlineStr">
        <is>
          <t>LAB</t>
        </is>
      </c>
    </row>
    <row r="37">
      <c r="A37" s="586" t="inlineStr">
        <is>
          <t>Devis Tejada</t>
        </is>
      </c>
      <c r="B37" s="586" t="inlineStr">
        <is>
          <t>Laborer</t>
        </is>
      </c>
      <c r="C37" s="587" t="n">
        <v>55000</v>
      </c>
      <c r="D37" s="587">
        <f>C37/12</f>
        <v/>
      </c>
      <c r="E37" s="588" t="n">
        <v>1</v>
      </c>
      <c r="F37" s="586" t="inlineStr">
        <is>
          <t>GC</t>
        </is>
      </c>
      <c r="G37" s="588" t="inlineStr">
        <is>
          <t>Yes</t>
        </is>
      </c>
      <c r="H37" s="589" t="n">
        <v>0</v>
      </c>
      <c r="I37" s="589" t="n">
        <v>0</v>
      </c>
      <c r="J37" s="586" t="inlineStr">
        <is>
          <t>Field</t>
        </is>
      </c>
      <c r="K37" s="588" t="n"/>
      <c r="L37" s="586" t="inlineStr">
        <is>
          <t>Current</t>
        </is>
      </c>
      <c r="M37" s="586" t="inlineStr"/>
      <c r="N37" s="586" t="inlineStr"/>
      <c r="O37" s="586" t="inlineStr">
        <is>
          <t>GC</t>
        </is>
      </c>
      <c r="P37" s="586" t="inlineStr">
        <is>
          <t>LAB</t>
        </is>
      </c>
    </row>
    <row r="38">
      <c r="A38" s="590" t="inlineStr">
        <is>
          <t>Albert Wolfe</t>
        </is>
      </c>
      <c r="B38" s="590" t="inlineStr">
        <is>
          <t>Laborer</t>
        </is>
      </c>
      <c r="C38" s="591" t="n">
        <v>50000</v>
      </c>
      <c r="D38" s="591">
        <f>C38/12</f>
        <v/>
      </c>
      <c r="E38" s="592" t="n">
        <v>1</v>
      </c>
      <c r="F38" s="590" t="inlineStr">
        <is>
          <t>GC</t>
        </is>
      </c>
      <c r="G38" s="592" t="inlineStr">
        <is>
          <t>Yes</t>
        </is>
      </c>
      <c r="H38" s="593" t="n">
        <v>0</v>
      </c>
      <c r="I38" s="593" t="n">
        <v>0</v>
      </c>
      <c r="J38" s="590" t="inlineStr">
        <is>
          <t>Field</t>
        </is>
      </c>
      <c r="K38" s="592" t="n"/>
      <c r="L38" s="590" t="inlineStr">
        <is>
          <t>Current</t>
        </is>
      </c>
      <c r="M38" s="590" t="inlineStr"/>
      <c r="N38" s="590" t="inlineStr"/>
      <c r="O38" s="590" t="inlineStr">
        <is>
          <t>GC</t>
        </is>
      </c>
      <c r="P38" s="590" t="inlineStr">
        <is>
          <t>LAB</t>
        </is>
      </c>
    </row>
    <row r="40">
      <c r="A40" s="584" t="inlineStr">
        <is>
          <t>LV CONSTRUCTION - PLANNED, FIXED DATE (not engine-driven)</t>
        </is>
      </c>
      <c r="B40" s="585" t="n"/>
      <c r="C40" s="585" t="n"/>
      <c r="D40" s="585" t="n"/>
      <c r="E40" s="585" t="n"/>
      <c r="F40" s="585" t="n"/>
      <c r="G40" s="585" t="n"/>
      <c r="H40" s="585" t="n"/>
      <c r="I40" s="585" t="n"/>
      <c r="J40" s="585" t="n"/>
      <c r="K40" s="585" t="n"/>
      <c r="L40" s="585" t="n"/>
      <c r="M40" s="585" t="n"/>
      <c r="N40" s="585" t="n"/>
      <c r="O40" s="585" t="n"/>
      <c r="P40" s="585" t="n"/>
    </row>
    <row r="41">
      <c r="A41" s="586" t="inlineStr">
        <is>
          <t>PC Add (Brisa profile)</t>
        </is>
      </c>
      <c r="B41" s="586" t="inlineStr">
        <is>
          <t>Project Coordinator</t>
        </is>
      </c>
      <c r="C41" s="587" t="n">
        <v>90000</v>
      </c>
      <c r="D41" s="587">
        <f>C41/12</f>
        <v/>
      </c>
      <c r="E41" s="588" t="n">
        <v>10</v>
      </c>
      <c r="F41" s="586" t="inlineStr">
        <is>
          <t>GC</t>
        </is>
      </c>
      <c r="G41" s="588" t="inlineStr">
        <is>
          <t>Yes</t>
        </is>
      </c>
      <c r="H41" s="589" t="n">
        <v>0</v>
      </c>
      <c r="I41" s="589" t="n">
        <v>0</v>
      </c>
      <c r="J41" s="586" t="inlineStr">
        <is>
          <t>Field</t>
        </is>
      </c>
      <c r="K41" s="588" t="n"/>
      <c r="L41" s="586" t="inlineStr">
        <is>
          <t>Planned</t>
        </is>
      </c>
      <c r="M41" s="586" t="inlineStr">
        <is>
          <t>Coordinator capacity</t>
        </is>
      </c>
      <c r="N41" s="586" t="inlineStr">
        <is>
          <t>Back office — kept as a fixed hire per Chris 10 Sep</t>
        </is>
      </c>
      <c r="O41" s="586" t="inlineStr">
        <is>
          <t>GC</t>
        </is>
      </c>
      <c r="P41" s="586" t="inlineStr">
        <is>
          <t>PC</t>
        </is>
      </c>
    </row>
    <row r="43">
      <c r="A43" s="584" t="inlineStr">
        <is>
          <t>SIX PEAK CAPITAL - CURRENT PERSONNEL</t>
        </is>
      </c>
      <c r="B43" s="585" t="n"/>
      <c r="C43" s="585" t="n"/>
      <c r="D43" s="585" t="n"/>
      <c r="E43" s="585" t="n"/>
      <c r="F43" s="585" t="n"/>
      <c r="G43" s="585" t="n"/>
      <c r="H43" s="585" t="n"/>
      <c r="I43" s="585" t="n"/>
      <c r="J43" s="585" t="n"/>
      <c r="K43" s="585" t="n"/>
      <c r="L43" s="585" t="n"/>
      <c r="M43" s="585" t="n"/>
      <c r="N43" s="585" t="n"/>
      <c r="O43" s="585" t="n"/>
      <c r="P43" s="585" t="n"/>
    </row>
    <row r="44">
      <c r="A44" s="586" t="inlineStr">
        <is>
          <t>Chris Aiello</t>
        </is>
      </c>
      <c r="B44" s="586" t="inlineStr">
        <is>
          <t>Partner</t>
        </is>
      </c>
      <c r="C44" s="587" t="n">
        <v>400000</v>
      </c>
      <c r="D44" s="587">
        <f>C44/12</f>
        <v/>
      </c>
      <c r="E44" s="588" t="n">
        <v>1</v>
      </c>
      <c r="F44" s="586" t="inlineStr">
        <is>
          <t>SixPeak</t>
        </is>
      </c>
      <c r="G44" s="588" t="inlineStr">
        <is>
          <t>Yes</t>
        </is>
      </c>
      <c r="H44" s="589" t="n">
        <v>1</v>
      </c>
      <c r="I44" s="589" t="n">
        <v>0</v>
      </c>
      <c r="J44" s="586" t="inlineStr">
        <is>
          <t>SP</t>
        </is>
      </c>
      <c r="K44" s="588" t="n"/>
      <c r="L44" s="586" t="inlineStr">
        <is>
          <t>Current</t>
        </is>
      </c>
      <c r="M44" s="586" t="inlineStr"/>
      <c r="N44" s="586" t="inlineStr"/>
      <c r="O44" s="586" t="inlineStr">
        <is>
          <t>SP-Fee</t>
        </is>
      </c>
      <c r="P44" s="586" t="inlineStr">
        <is>
          <t>SP</t>
        </is>
      </c>
    </row>
    <row r="45">
      <c r="A45" s="590" t="inlineStr">
        <is>
          <t>Bob Kennedy</t>
        </is>
      </c>
      <c r="B45" s="590" t="inlineStr">
        <is>
          <t>Partner</t>
        </is>
      </c>
      <c r="C45" s="591" t="n">
        <v>400000</v>
      </c>
      <c r="D45" s="591">
        <f>C45/12</f>
        <v/>
      </c>
      <c r="E45" s="592" t="n">
        <v>1</v>
      </c>
      <c r="F45" s="590" t="inlineStr">
        <is>
          <t>SixPeak</t>
        </is>
      </c>
      <c r="G45" s="592" t="inlineStr">
        <is>
          <t>Yes</t>
        </is>
      </c>
      <c r="H45" s="593" t="n">
        <v>1</v>
      </c>
      <c r="I45" s="593" t="n">
        <v>0</v>
      </c>
      <c r="J45" s="590" t="inlineStr">
        <is>
          <t>SP</t>
        </is>
      </c>
      <c r="K45" s="592" t="n"/>
      <c r="L45" s="590" t="inlineStr">
        <is>
          <t>Current</t>
        </is>
      </c>
      <c r="M45" s="590" t="inlineStr"/>
      <c r="N45" s="590" t="inlineStr"/>
      <c r="O45" s="590" t="inlineStr">
        <is>
          <t>SP-Fee</t>
        </is>
      </c>
      <c r="P45" s="590" t="inlineStr">
        <is>
          <t>SP</t>
        </is>
      </c>
    </row>
    <row r="46">
      <c r="A46" s="586" t="inlineStr">
        <is>
          <t>Tom Taggart</t>
        </is>
      </c>
      <c r="B46" s="586" t="inlineStr">
        <is>
          <t>Asset Mgmt/Bus Dev</t>
        </is>
      </c>
      <c r="C46" s="587" t="n">
        <v>222000</v>
      </c>
      <c r="D46" s="587">
        <f>C46/12</f>
        <v/>
      </c>
      <c r="E46" s="588" t="n">
        <v>1</v>
      </c>
      <c r="F46" s="586" t="inlineStr">
        <is>
          <t>SixPeak</t>
        </is>
      </c>
      <c r="G46" s="588" t="inlineStr">
        <is>
          <t>Yes</t>
        </is>
      </c>
      <c r="H46" s="589" t="n">
        <v>1</v>
      </c>
      <c r="I46" s="589" t="n">
        <v>0</v>
      </c>
      <c r="J46" s="586" t="inlineStr">
        <is>
          <t>SP</t>
        </is>
      </c>
      <c r="K46" s="588" t="n"/>
      <c r="L46" s="586" t="inlineStr">
        <is>
          <t>Current</t>
        </is>
      </c>
      <c r="M46" s="586" t="inlineStr"/>
      <c r="N46" s="586" t="inlineStr"/>
      <c r="O46" s="586" t="inlineStr">
        <is>
          <t>SP-Prof</t>
        </is>
      </c>
      <c r="P46" s="586" t="inlineStr">
        <is>
          <t>SP</t>
        </is>
      </c>
    </row>
    <row r="47">
      <c r="A47" s="590" t="inlineStr">
        <is>
          <t>Schuyler Dietz</t>
        </is>
      </c>
      <c r="B47" s="590" t="inlineStr">
        <is>
          <t>Associate</t>
        </is>
      </c>
      <c r="C47" s="591" t="n">
        <v>115000</v>
      </c>
      <c r="D47" s="591">
        <f>C47/12</f>
        <v/>
      </c>
      <c r="E47" s="592" t="n">
        <v>1</v>
      </c>
      <c r="F47" s="590" t="inlineStr">
        <is>
          <t>SixPeak</t>
        </is>
      </c>
      <c r="G47" s="592" t="inlineStr">
        <is>
          <t>Yes</t>
        </is>
      </c>
      <c r="H47" s="593" t="n">
        <v>1</v>
      </c>
      <c r="I47" s="593" t="n">
        <v>0</v>
      </c>
      <c r="J47" s="590" t="inlineStr">
        <is>
          <t>SP</t>
        </is>
      </c>
      <c r="K47" s="592" t="n"/>
      <c r="L47" s="590" t="inlineStr">
        <is>
          <t>Current</t>
        </is>
      </c>
      <c r="M47" s="590" t="inlineStr"/>
      <c r="N47" s="590" t="inlineStr"/>
      <c r="O47" s="590" t="inlineStr">
        <is>
          <t>SP-Prof</t>
        </is>
      </c>
      <c r="P47" s="590" t="inlineStr">
        <is>
          <t>SP</t>
        </is>
      </c>
    </row>
    <row r="48">
      <c r="A48" s="586" t="inlineStr">
        <is>
          <t>Derek Sanders</t>
        </is>
      </c>
      <c r="B48" s="586" t="inlineStr">
        <is>
          <t>Director of Development</t>
        </is>
      </c>
      <c r="C48" s="587" t="n">
        <v>250000</v>
      </c>
      <c r="D48" s="587">
        <f>C48/12</f>
        <v/>
      </c>
      <c r="E48" s="588" t="n">
        <v>1</v>
      </c>
      <c r="F48" s="586" t="inlineStr">
        <is>
          <t>SixPeak</t>
        </is>
      </c>
      <c r="G48" s="588" t="inlineStr">
        <is>
          <t>Yes</t>
        </is>
      </c>
      <c r="H48" s="589" t="n">
        <v>0</v>
      </c>
      <c r="I48" s="589" t="n">
        <v>0</v>
      </c>
      <c r="J48" s="586" t="inlineStr">
        <is>
          <t>SP</t>
        </is>
      </c>
      <c r="K48" s="588" t="n"/>
      <c r="L48" s="586" t="inlineStr">
        <is>
          <t>Current</t>
        </is>
      </c>
      <c r="M48" s="586" t="inlineStr"/>
      <c r="N48" s="586" t="inlineStr"/>
      <c r="O48" s="586" t="inlineStr">
        <is>
          <t>SP-Payroll</t>
        </is>
      </c>
      <c r="P48" s="586" t="inlineStr">
        <is>
          <t>SP</t>
        </is>
      </c>
    </row>
    <row r="49">
      <c r="A49" s="590" t="inlineStr">
        <is>
          <t>Robert Carrega</t>
        </is>
      </c>
      <c r="B49" s="590" t="inlineStr">
        <is>
          <t>Controller</t>
        </is>
      </c>
      <c r="C49" s="591" t="n">
        <v>150000</v>
      </c>
      <c r="D49" s="591">
        <f>C49/12</f>
        <v/>
      </c>
      <c r="E49" s="592" t="n">
        <v>1</v>
      </c>
      <c r="F49" s="590" t="inlineStr">
        <is>
          <t>SixPeak</t>
        </is>
      </c>
      <c r="G49" s="592" t="inlineStr">
        <is>
          <t>Yes</t>
        </is>
      </c>
      <c r="H49" s="593" t="n">
        <v>0</v>
      </c>
      <c r="I49" s="593" t="n">
        <v>0</v>
      </c>
      <c r="J49" s="590" t="inlineStr">
        <is>
          <t>SP</t>
        </is>
      </c>
      <c r="K49" s="592" t="n"/>
      <c r="L49" s="590" t="inlineStr">
        <is>
          <t>Current</t>
        </is>
      </c>
      <c r="M49" s="590" t="inlineStr"/>
      <c r="N49" s="590" t="inlineStr"/>
      <c r="O49" s="590" t="inlineStr">
        <is>
          <t>SP-Payroll</t>
        </is>
      </c>
      <c r="P49" s="590" t="inlineStr">
        <is>
          <t>SP</t>
        </is>
      </c>
    </row>
    <row r="50">
      <c r="A50" s="586" t="inlineStr">
        <is>
          <t>Chris Andresen</t>
        </is>
      </c>
      <c r="B50" s="586" t="inlineStr">
        <is>
          <t>CFO</t>
        </is>
      </c>
      <c r="C50" s="587" t="n">
        <v>250000</v>
      </c>
      <c r="D50" s="587">
        <f>C50/12</f>
        <v/>
      </c>
      <c r="E50" s="588" t="n">
        <v>1</v>
      </c>
      <c r="F50" s="586" t="inlineStr">
        <is>
          <t>SixPeak</t>
        </is>
      </c>
      <c r="G50" s="588" t="inlineStr">
        <is>
          <t>Yes</t>
        </is>
      </c>
      <c r="H50" s="589" t="n">
        <v>0</v>
      </c>
      <c r="I50" s="589" t="n">
        <v>0</v>
      </c>
      <c r="J50" s="586" t="inlineStr">
        <is>
          <t>SP</t>
        </is>
      </c>
      <c r="K50" s="588" t="n"/>
      <c r="L50" s="586" t="inlineStr">
        <is>
          <t>Current</t>
        </is>
      </c>
      <c r="M50" s="586" t="inlineStr"/>
      <c r="N50" s="586" t="inlineStr"/>
      <c r="O50" s="586" t="inlineStr">
        <is>
          <t>SP-Payroll</t>
        </is>
      </c>
      <c r="P50" s="586" t="inlineStr">
        <is>
          <t>SP</t>
        </is>
      </c>
    </row>
    <row r="52">
      <c r="A52" s="584" t="inlineStr">
        <is>
          <t>DEPARTED - no cost after End Month</t>
        </is>
      </c>
      <c r="B52" s="585" t="n"/>
      <c r="C52" s="585" t="n"/>
      <c r="D52" s="585" t="n"/>
      <c r="E52" s="585" t="n"/>
      <c r="F52" s="585" t="n"/>
      <c r="G52" s="585" t="n"/>
      <c r="H52" s="585" t="n"/>
      <c r="I52" s="585" t="n"/>
      <c r="J52" s="585" t="n"/>
      <c r="K52" s="585" t="n"/>
      <c r="L52" s="585" t="n"/>
      <c r="M52" s="585" t="n"/>
      <c r="N52" s="585" t="n"/>
      <c r="O52" s="585" t="n"/>
      <c r="P52" s="585" t="n"/>
    </row>
    <row r="53">
      <c r="A53" s="586" t="inlineStr">
        <is>
          <t>Lucy Mohler</t>
        </is>
      </c>
      <c r="B53" s="586" t="inlineStr">
        <is>
          <t>Asst Project Manager</t>
        </is>
      </c>
      <c r="C53" s="587" t="n">
        <v>125000</v>
      </c>
      <c r="D53" s="587">
        <f>C53/12</f>
        <v/>
      </c>
      <c r="E53" s="588" t="n">
        <v>2</v>
      </c>
      <c r="F53" s="586" t="inlineStr">
        <is>
          <t>GC</t>
        </is>
      </c>
      <c r="G53" s="588" t="inlineStr">
        <is>
          <t>Yes</t>
        </is>
      </c>
      <c r="H53" s="589" t="n">
        <v>0</v>
      </c>
      <c r="I53" s="589" t="n">
        <v>0</v>
      </c>
      <c r="J53" s="586" t="inlineStr">
        <is>
          <t>Field</t>
        </is>
      </c>
      <c r="K53" s="588" t="n">
        <v>4</v>
      </c>
      <c r="L53" s="586" t="inlineStr">
        <is>
          <t>Departed 7/31/26</t>
        </is>
      </c>
      <c r="M53" s="586" t="inlineStr"/>
      <c r="N53" s="586" t="inlineStr">
        <is>
          <t>Left the company 31 July 2026</t>
        </is>
      </c>
      <c r="O53" s="586" t="inlineStr">
        <is>
          <t>GC</t>
        </is>
      </c>
      <c r="P53" s="586" t="inlineStr">
        <is>
          <t>APM</t>
        </is>
      </c>
    </row>
    <row r="54">
      <c r="A54" s="590" t="inlineStr">
        <is>
          <t>Alex Gottlieb</t>
        </is>
      </c>
      <c r="B54" s="590" t="inlineStr">
        <is>
          <t>Senior Superintendent</t>
        </is>
      </c>
      <c r="C54" s="591" t="n">
        <v>110000</v>
      </c>
      <c r="D54" s="591">
        <f>C54/12</f>
        <v/>
      </c>
      <c r="E54" s="592" t="n">
        <v>1</v>
      </c>
      <c r="F54" s="590" t="inlineStr">
        <is>
          <t>GC</t>
        </is>
      </c>
      <c r="G54" s="592" t="inlineStr">
        <is>
          <t>Yes</t>
        </is>
      </c>
      <c r="H54" s="593" t="n">
        <v>0</v>
      </c>
      <c r="I54" s="593" t="n">
        <v>0</v>
      </c>
      <c r="J54" s="590" t="inlineStr">
        <is>
          <t>Field</t>
        </is>
      </c>
      <c r="K54" s="592" t="n">
        <v>4</v>
      </c>
      <c r="L54" s="590" t="inlineStr">
        <is>
          <t>Departed 7/31/26</t>
        </is>
      </c>
      <c r="M54" s="590" t="inlineStr"/>
      <c r="N54" s="590" t="inlineStr">
        <is>
          <t>Left the company 31 July 2026</t>
        </is>
      </c>
      <c r="O54" s="590" t="inlineStr">
        <is>
          <t>GC</t>
        </is>
      </c>
      <c r="P54" s="590" t="inlineStr">
        <is>
          <t>SUPER</t>
        </is>
      </c>
    </row>
    <row r="56">
      <c r="A56" s="584" t="inlineStr">
        <is>
          <t>SUPERSEDED - now generated by the Staffing tab (no cost from this tab)</t>
        </is>
      </c>
      <c r="B56" s="585" t="n"/>
      <c r="C56" s="585" t="n"/>
      <c r="D56" s="585" t="n"/>
      <c r="E56" s="585" t="n"/>
      <c r="F56" s="585" t="n"/>
      <c r="G56" s="585" t="n"/>
      <c r="H56" s="585" t="n"/>
      <c r="I56" s="585" t="n"/>
      <c r="J56" s="585" t="n"/>
      <c r="K56" s="585" t="n"/>
      <c r="L56" s="585" t="n"/>
      <c r="M56" s="585" t="n"/>
      <c r="N56" s="585" t="n"/>
      <c r="O56" s="585" t="n"/>
      <c r="P56" s="585" t="n"/>
    </row>
    <row r="57">
      <c r="A57" s="586" t="inlineStr">
        <is>
          <t>Asst Super Add (Nov 26)</t>
        </is>
      </c>
      <c r="B57" s="586" t="inlineStr">
        <is>
          <t>Asst Superintendent</t>
        </is>
      </c>
      <c r="C57" s="587" t="n">
        <v>125000</v>
      </c>
      <c r="D57" s="587">
        <f>C57/12</f>
        <v/>
      </c>
      <c r="E57" s="588" t="n">
        <v>8</v>
      </c>
      <c r="F57" s="586" t="inlineStr">
        <is>
          <t>GC</t>
        </is>
      </c>
      <c r="G57" s="588" t="inlineStr">
        <is>
          <t>No</t>
        </is>
      </c>
      <c r="H57" s="589" t="n">
        <v>0</v>
      </c>
      <c r="I57" s="589" t="n">
        <v>0</v>
      </c>
      <c r="J57" s="586" t="inlineStr">
        <is>
          <t>Field</t>
        </is>
      </c>
      <c r="K57" s="588" t="n"/>
      <c r="L57" s="586" t="inlineStr">
        <is>
          <t>Superseded by engine</t>
        </is>
      </c>
      <c r="M57" s="586" t="inlineStr"/>
      <c r="N57" s="586" t="inlineStr"/>
      <c r="O57" s="586" t="inlineStr"/>
      <c r="P57" s="586" t="inlineStr"/>
    </row>
    <row r="58">
      <c r="A58" s="590" t="inlineStr">
        <is>
          <t>Francis APM</t>
        </is>
      </c>
      <c r="B58" s="590" t="inlineStr">
        <is>
          <t>Asst Project Manager</t>
        </is>
      </c>
      <c r="C58" s="591" t="n">
        <v>130000</v>
      </c>
      <c r="D58" s="591">
        <f>C58/12</f>
        <v/>
      </c>
      <c r="E58" s="592" t="n">
        <v>9</v>
      </c>
      <c r="F58" s="590" t="inlineStr">
        <is>
          <t>GC</t>
        </is>
      </c>
      <c r="G58" s="592" t="inlineStr">
        <is>
          <t>No</t>
        </is>
      </c>
      <c r="H58" s="593" t="n">
        <v>0</v>
      </c>
      <c r="I58" s="593" t="n">
        <v>0</v>
      </c>
      <c r="J58" s="590" t="inlineStr">
        <is>
          <t>Field</t>
        </is>
      </c>
      <c r="K58" s="592" t="n"/>
      <c r="L58" s="590" t="inlineStr">
        <is>
          <t>Superseded by engine</t>
        </is>
      </c>
      <c r="M58" s="590" t="inlineStr"/>
      <c r="N58" s="590" t="inlineStr"/>
      <c r="O58" s="590" t="inlineStr"/>
      <c r="P58" s="590" t="inlineStr"/>
    </row>
    <row r="59">
      <c r="A59" s="586" t="inlineStr">
        <is>
          <t>Reseda Sr Super</t>
        </is>
      </c>
      <c r="B59" s="586" t="inlineStr">
        <is>
          <t>Senior Superintendent</t>
        </is>
      </c>
      <c r="C59" s="587" t="n">
        <v>160000</v>
      </c>
      <c r="D59" s="587">
        <f>C59/12</f>
        <v/>
      </c>
      <c r="E59" s="588" t="n">
        <v>13</v>
      </c>
      <c r="F59" s="586" t="inlineStr">
        <is>
          <t>GC</t>
        </is>
      </c>
      <c r="G59" s="588" t="inlineStr">
        <is>
          <t>No</t>
        </is>
      </c>
      <c r="H59" s="589" t="n">
        <v>0</v>
      </c>
      <c r="I59" s="589" t="n">
        <v>0</v>
      </c>
      <c r="J59" s="586" t="inlineStr">
        <is>
          <t>Field</t>
        </is>
      </c>
      <c r="K59" s="588" t="n"/>
      <c r="L59" s="586" t="inlineStr">
        <is>
          <t>Superseded by engine</t>
        </is>
      </c>
      <c r="M59" s="586" t="inlineStr"/>
      <c r="N59" s="586" t="inlineStr"/>
      <c r="O59" s="586" t="inlineStr"/>
      <c r="P59" s="586" t="inlineStr"/>
    </row>
    <row r="60">
      <c r="A60" s="590" t="inlineStr">
        <is>
          <t>Asst Super Add (HVN wave)</t>
        </is>
      </c>
      <c r="B60" s="590" t="inlineStr">
        <is>
          <t>Asst Superintendent</t>
        </is>
      </c>
      <c r="C60" s="591" t="n">
        <v>125000</v>
      </c>
      <c r="D60" s="591">
        <f>C60/12</f>
        <v/>
      </c>
      <c r="E60" s="592" t="n">
        <v>14</v>
      </c>
      <c r="F60" s="590" t="inlineStr">
        <is>
          <t>GC</t>
        </is>
      </c>
      <c r="G60" s="592" t="inlineStr">
        <is>
          <t>No</t>
        </is>
      </c>
      <c r="H60" s="593" t="n">
        <v>0</v>
      </c>
      <c r="I60" s="593" t="n">
        <v>0</v>
      </c>
      <c r="J60" s="590" t="inlineStr">
        <is>
          <t>Field</t>
        </is>
      </c>
      <c r="K60" s="592" t="n"/>
      <c r="L60" s="590" t="inlineStr">
        <is>
          <t>Superseded by engine</t>
        </is>
      </c>
      <c r="M60" s="590" t="inlineStr"/>
      <c r="N60" s="590" t="inlineStr"/>
      <c r="O60" s="590" t="inlineStr"/>
      <c r="P60" s="590" t="inlineStr"/>
    </row>
    <row r="61">
      <c r="A61" s="586" t="inlineStr">
        <is>
          <t>Sr Super Add (Klump/Scott)</t>
        </is>
      </c>
      <c r="B61" s="586" t="inlineStr">
        <is>
          <t>Senior Superintendent</t>
        </is>
      </c>
      <c r="C61" s="587" t="n">
        <v>160000</v>
      </c>
      <c r="D61" s="587">
        <f>C61/12</f>
        <v/>
      </c>
      <c r="E61" s="588" t="n">
        <v>10</v>
      </c>
      <c r="F61" s="586" t="inlineStr">
        <is>
          <t>GC</t>
        </is>
      </c>
      <c r="G61" s="588" t="inlineStr">
        <is>
          <t>No</t>
        </is>
      </c>
      <c r="H61" s="589" t="n">
        <v>0</v>
      </c>
      <c r="I61" s="589" t="n">
        <v>0</v>
      </c>
      <c r="J61" s="586" t="inlineStr">
        <is>
          <t>Field</t>
        </is>
      </c>
      <c r="K61" s="588" t="n"/>
      <c r="L61" s="586" t="inlineStr">
        <is>
          <t>Superseded by engine</t>
        </is>
      </c>
      <c r="M61" s="586" t="inlineStr"/>
      <c r="N61" s="586" t="inlineStr"/>
      <c r="O61" s="586" t="inlineStr"/>
      <c r="P61" s="586" t="inlineStr"/>
    </row>
    <row r="62">
      <c r="A62" s="590" t="inlineStr">
        <is>
          <t>Sr Super Add (Troost)</t>
        </is>
      </c>
      <c r="B62" s="590" t="inlineStr">
        <is>
          <t>Senior Superintendent</t>
        </is>
      </c>
      <c r="C62" s="591" t="n">
        <v>160000</v>
      </c>
      <c r="D62" s="591">
        <f>C62/12</f>
        <v/>
      </c>
      <c r="E62" s="592" t="n">
        <v>10</v>
      </c>
      <c r="F62" s="590" t="inlineStr">
        <is>
          <t>GC</t>
        </is>
      </c>
      <c r="G62" s="592" t="inlineStr">
        <is>
          <t>No</t>
        </is>
      </c>
      <c r="H62" s="593" t="n">
        <v>0</v>
      </c>
      <c r="I62" s="593" t="n">
        <v>0</v>
      </c>
      <c r="J62" s="590" t="inlineStr">
        <is>
          <t>Field</t>
        </is>
      </c>
      <c r="K62" s="592" t="n"/>
      <c r="L62" s="590" t="inlineStr">
        <is>
          <t>Superseded by engine</t>
        </is>
      </c>
      <c r="M62" s="590" t="inlineStr"/>
      <c r="N62" s="590" t="inlineStr"/>
      <c r="O62" s="590" t="inlineStr"/>
      <c r="P62" s="590" t="inlineStr"/>
    </row>
    <row r="63">
      <c r="A63" s="586" t="inlineStr">
        <is>
          <t>Sr Super Add (HVN wave)</t>
        </is>
      </c>
      <c r="B63" s="586" t="inlineStr">
        <is>
          <t>Senior Superintendent</t>
        </is>
      </c>
      <c r="C63" s="587" t="n">
        <v>160000</v>
      </c>
      <c r="D63" s="587">
        <f>C63/12</f>
        <v/>
      </c>
      <c r="E63" s="588" t="n">
        <v>14</v>
      </c>
      <c r="F63" s="586" t="inlineStr">
        <is>
          <t>GC</t>
        </is>
      </c>
      <c r="G63" s="588" t="inlineStr">
        <is>
          <t>No</t>
        </is>
      </c>
      <c r="H63" s="589" t="n">
        <v>0</v>
      </c>
      <c r="I63" s="589" t="n">
        <v>0</v>
      </c>
      <c r="J63" s="586" t="inlineStr">
        <is>
          <t>Field</t>
        </is>
      </c>
      <c r="K63" s="588" t="n"/>
      <c r="L63" s="586" t="inlineStr">
        <is>
          <t>Superseded by engine</t>
        </is>
      </c>
      <c r="M63" s="586" t="inlineStr"/>
      <c r="N63" s="586" t="inlineStr"/>
      <c r="O63" s="586" t="inlineStr"/>
      <c r="P63" s="586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H11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40" customWidth="1" style="380" min="1" max="1"/>
    <col width="27" customWidth="1" style="380" min="2" max="86"/>
  </cols>
  <sheetData>
    <row r="1" ht="15" customFormat="1" customHeight="1" s="380">
      <c r="A1" s="476" t="inlineStr">
        <is>
          <t>Uplifters Foundation — Development Fee Program</t>
        </is>
      </c>
    </row>
    <row r="2" ht="15" customFormat="1" customHeight="1" s="380">
      <c r="A2" s="468" t="inlineStr">
        <is>
          <t>Active</t>
        </is>
      </c>
      <c r="B2" s="476" t="inlineStr">
        <is>
          <t>No</t>
        </is>
      </c>
    </row>
    <row r="4" ht="15" customFormat="1" customHeight="1" s="380">
      <c r="A4" s="561" t="inlineStr">
        <is>
          <t>PROGRAM OVERVIEW</t>
        </is>
      </c>
      <c r="B4" s="561" t="n"/>
      <c r="C4" s="561" t="n"/>
      <c r="D4" s="561" t="n"/>
      <c r="E4" s="561" t="n"/>
      <c r="F4" s="561" t="n"/>
      <c r="G4" s="561" t="n"/>
      <c r="H4" s="561" t="n"/>
      <c r="I4" s="561" t="n"/>
      <c r="J4" s="561" t="n"/>
      <c r="K4" s="561" t="n"/>
    </row>
    <row r="5" ht="15" customFormat="1" customHeight="1" s="380">
      <c r="A5" s="468" t="inlineStr">
        <is>
          <t>Program Name</t>
        </is>
      </c>
      <c r="B5" s="468" t="inlineStr">
        <is>
          <t>Uplifters Foundation — Development Fee Program</t>
        </is>
      </c>
    </row>
    <row r="6" ht="15" customFormat="1" customHeight="1" s="380">
      <c r="A6" s="468" t="inlineStr">
        <is>
          <t>Program Duration</t>
        </is>
      </c>
      <c r="B6" s="468" t="inlineStr">
        <is>
          <t>5 Years (Apr 2027 – Mar 2032)</t>
        </is>
      </c>
    </row>
    <row r="7" ht="15" customFormat="1" customHeight="1" s="380">
      <c r="A7" s="468" t="inlineStr">
        <is>
          <t>Total Properties</t>
        </is>
      </c>
      <c r="B7" s="594" t="n">
        <v>60</v>
      </c>
    </row>
    <row r="8" ht="15" customFormat="1" customHeight="1" s="380">
      <c r="A8" s="468" t="inlineStr">
        <is>
          <t>Property Type</t>
        </is>
      </c>
      <c r="B8" s="468" t="inlineStr">
        <is>
          <t>Single-Family Residential (no ADUs)</t>
        </is>
      </c>
    </row>
    <row r="9" ht="15" customFormat="1" customHeight="1" s="380">
      <c r="A9" s="468" t="inlineStr">
        <is>
          <t>Avg Lot Price</t>
        </is>
      </c>
      <c r="B9" s="595" t="n">
        <v>1400000</v>
      </c>
    </row>
    <row r="10" ht="15" customFormat="1" customHeight="1" s="380">
      <c r="A10" s="468" t="inlineStr">
        <is>
          <t>Avg Construction Cost</t>
        </is>
      </c>
      <c r="B10" s="595" t="n">
        <v>1609391</v>
      </c>
    </row>
    <row r="11" ht="15" customFormat="1" customHeight="1" s="380">
      <c r="A11" s="468" t="inlineStr">
        <is>
          <t>Avg Sale Price</t>
        </is>
      </c>
      <c r="B11" s="595" t="n">
        <v>3419763</v>
      </c>
    </row>
    <row r="12" ht="15" customFormat="1" customHeight="1" s="380">
      <c r="A12" s="468" t="inlineStr">
        <is>
          <t>Total Fee Revenue</t>
        </is>
      </c>
      <c r="B12" s="596">
        <f>B16</f>
        <v/>
      </c>
    </row>
    <row r="14" ht="15" customFormat="1" customHeight="1" s="380">
      <c r="A14" s="597" t="inlineStr">
        <is>
          <t>ANNUAL P&amp;L SUMMARY</t>
        </is>
      </c>
      <c r="B14" s="597" t="n"/>
      <c r="C14" s="597" t="n"/>
      <c r="D14" s="597" t="n"/>
      <c r="E14" s="597" t="n"/>
      <c r="F14" s="597" t="n"/>
      <c r="G14" s="597" t="n"/>
      <c r="H14" s="597" t="n"/>
      <c r="I14" s="597" t="n"/>
      <c r="J14" s="597" t="n"/>
      <c r="K14" s="597" t="n"/>
    </row>
    <row r="15" ht="15" customFormat="1" customHeight="1" s="380">
      <c r="B15" s="598" t="inlineStr">
        <is>
          <t>Total</t>
        </is>
      </c>
      <c r="C15" s="598" t="inlineStr">
        <is>
          <t>FY 2026</t>
        </is>
      </c>
      <c r="D15" s="598" t="inlineStr">
        <is>
          <t>FY 2027</t>
        </is>
      </c>
      <c r="E15" s="598" t="inlineStr">
        <is>
          <t>FY 2028</t>
        </is>
      </c>
      <c r="F15" s="598" t="inlineStr">
        <is>
          <t>FY 2029</t>
        </is>
      </c>
      <c r="G15" s="598" t="inlineStr">
        <is>
          <t>FY 2030</t>
        </is>
      </c>
      <c r="H15" s="598" t="inlineStr">
        <is>
          <t>FY 2031</t>
        </is>
      </c>
      <c r="I15" s="598" t="inlineStr">
        <is>
          <t>FY 2032</t>
        </is>
      </c>
      <c r="J15" s="598" t="inlineStr">
        <is>
          <t>FY 2033</t>
        </is>
      </c>
    </row>
    <row r="16" ht="15" customFormat="1" customHeight="1" s="380">
      <c r="A16" s="468" t="inlineStr">
        <is>
          <t>Total Fee Revenue</t>
        </is>
      </c>
      <c r="B16" s="596">
        <f>C16+D16+E16+F16+G16+H16+I16+J16</f>
        <v/>
      </c>
      <c r="C16" s="595">
        <f>SUM(C99:K99)</f>
        <v/>
      </c>
      <c r="D16" s="595">
        <f>SUM(L99:W99)</f>
        <v/>
      </c>
      <c r="E16" s="595">
        <f>SUM(X99:AI99)</f>
        <v/>
      </c>
      <c r="F16" s="595">
        <f>SUM(AJ99:AU99)</f>
        <v/>
      </c>
      <c r="G16" s="595">
        <f>SUM(AV99:BG99)</f>
        <v/>
      </c>
      <c r="H16" s="595">
        <f>SUM(BH99:BS99)</f>
        <v/>
      </c>
      <c r="I16" s="595">
        <f>SUM(BT99:CE99)</f>
        <v/>
      </c>
      <c r="J16" s="595">
        <f>SUM(CF99:CH99)</f>
        <v/>
      </c>
    </row>
    <row r="17" ht="15" customFormat="1" customHeight="1" s="380">
      <c r="A17" s="468" t="inlineStr">
        <is>
          <t>Staffing Cost</t>
        </is>
      </c>
      <c r="B17" s="596">
        <f>C17+D17+E17+F17+G17+H17+I17+J17</f>
        <v/>
      </c>
      <c r="C17" s="595">
        <f>SUM(C100:K100)</f>
        <v/>
      </c>
      <c r="D17" s="595">
        <f>SUM(L100:W100)</f>
        <v/>
      </c>
      <c r="E17" s="595">
        <f>SUM(X100:AI100)</f>
        <v/>
      </c>
      <c r="F17" s="595">
        <f>SUM(AJ100:AU100)</f>
        <v/>
      </c>
      <c r="G17" s="595">
        <f>SUM(AV100:BG100)</f>
        <v/>
      </c>
      <c r="H17" s="595">
        <f>SUM(BH100:BS100)</f>
        <v/>
      </c>
      <c r="I17" s="595">
        <f>SUM(BT100:CE100)</f>
        <v/>
      </c>
      <c r="J17" s="595">
        <f>SUM(CF100:CH100)</f>
        <v/>
      </c>
    </row>
    <row r="18" ht="15" customFormat="1" customHeight="1" s="380">
      <c r="A18" s="468" t="inlineStr">
        <is>
          <t>Other OpEx</t>
        </is>
      </c>
      <c r="B18" s="596">
        <f>C18+D18+E18+F18+G18+H18+I18+J18</f>
        <v/>
      </c>
      <c r="C18" s="595">
        <f>SUM(C101:K101)</f>
        <v/>
      </c>
      <c r="D18" s="595">
        <f>SUM(L101:W101)</f>
        <v/>
      </c>
      <c r="E18" s="595">
        <f>SUM(X101:AI101)</f>
        <v/>
      </c>
      <c r="F18" s="595">
        <f>SUM(AJ101:AU101)</f>
        <v/>
      </c>
      <c r="G18" s="595">
        <f>SUM(AV101:BG101)</f>
        <v/>
      </c>
      <c r="H18" s="595">
        <f>SUM(BH101:BS101)</f>
        <v/>
      </c>
      <c r="I18" s="595">
        <f>SUM(BT101:CE101)</f>
        <v/>
      </c>
      <c r="J18" s="595">
        <f>SUM(CF101:CH101)</f>
        <v/>
      </c>
    </row>
    <row r="19" ht="15" customFormat="1" customHeight="1" s="380">
      <c r="A19" s="599" t="inlineStr">
        <is>
          <t>Net Fee Income</t>
        </is>
      </c>
      <c r="B19" s="600">
        <f>C19+D19+E19+F19+G19+H19+I19+J19</f>
        <v/>
      </c>
      <c r="C19" s="600">
        <f>SUM(C102:K102)</f>
        <v/>
      </c>
      <c r="D19" s="600">
        <f>SUM(L102:W102)</f>
        <v/>
      </c>
      <c r="E19" s="600">
        <f>SUM(X102:AI102)</f>
        <v/>
      </c>
      <c r="F19" s="600">
        <f>SUM(AJ102:AU102)</f>
        <v/>
      </c>
      <c r="G19" s="600">
        <f>SUM(AV102:BG102)</f>
        <v/>
      </c>
      <c r="H19" s="600">
        <f>SUM(BH102:BS102)</f>
        <v/>
      </c>
      <c r="I19" s="600">
        <f>SUM(BT102:CE102)</f>
        <v/>
      </c>
      <c r="J19" s="600">
        <f>SUM(CF102:CH102)</f>
        <v/>
      </c>
    </row>
    <row r="20" ht="15" customFormat="1" customHeight="1" s="380">
      <c r="A20" s="468" t="inlineStr">
        <is>
          <t>SP Overhead Fee (to Six Peak)</t>
        </is>
      </c>
      <c r="B20" s="596">
        <f>C20+D20+E20+F20+G20+H20+I20+J20</f>
        <v/>
      </c>
      <c r="C20" s="595">
        <f>SUM(C103:K103)</f>
        <v/>
      </c>
      <c r="D20" s="595">
        <f>SUM(L103:W103)</f>
        <v/>
      </c>
      <c r="E20" s="595">
        <f>SUM(X103:AI103)</f>
        <v/>
      </c>
      <c r="F20" s="595">
        <f>SUM(AJ103:AU103)</f>
        <v/>
      </c>
      <c r="G20" s="595">
        <f>SUM(AV103:BG103)</f>
        <v/>
      </c>
      <c r="H20" s="595">
        <f>SUM(BH103:BS103)</f>
        <v/>
      </c>
      <c r="I20" s="595">
        <f>SUM(BT103:CE103)</f>
        <v/>
      </c>
      <c r="J20" s="595">
        <f>SUM(CF103:CH103)</f>
        <v/>
      </c>
    </row>
    <row r="21" ht="15" customFormat="1" customHeight="1" s="380">
      <c r="A21" s="599" t="inlineStr">
        <is>
          <t>Net Before Profit Share</t>
        </is>
      </c>
      <c r="B21" s="600">
        <f>C21+D21+E21+F21+G21+H21+I21+J21</f>
        <v/>
      </c>
      <c r="C21" s="600">
        <f>SUM(C104:K104)</f>
        <v/>
      </c>
      <c r="D21" s="600">
        <f>SUM(L104:W104)</f>
        <v/>
      </c>
      <c r="E21" s="600">
        <f>SUM(X104:AI104)</f>
        <v/>
      </c>
      <c r="F21" s="600">
        <f>SUM(AJ104:AU104)</f>
        <v/>
      </c>
      <c r="G21" s="600">
        <f>SUM(AV104:BG104)</f>
        <v/>
      </c>
      <c r="H21" s="600">
        <f>SUM(BH104:BS104)</f>
        <v/>
      </c>
      <c r="I21" s="600">
        <f>SUM(BT104:CE104)</f>
        <v/>
      </c>
      <c r="J21" s="600">
        <f>SUM(CF104:CH104)</f>
        <v/>
      </c>
    </row>
    <row r="22" ht="15" customFormat="1" customHeight="1" s="380">
      <c r="A22" s="468" t="inlineStr">
        <is>
          <t>Schuyler Profit Share (40/45/50%)</t>
        </is>
      </c>
      <c r="B22" s="596">
        <f>C22+D22+E22+F22+G22+H22+I22+J22</f>
        <v/>
      </c>
      <c r="C22" s="595">
        <f>SUM(C105:K105)</f>
        <v/>
      </c>
      <c r="D22" s="595">
        <f>SUM(L105:W105)</f>
        <v/>
      </c>
      <c r="E22" s="595">
        <f>SUM(X105:AI105)</f>
        <v/>
      </c>
      <c r="F22" s="595">
        <f>SUM(AJ105:AU105)</f>
        <v/>
      </c>
      <c r="G22" s="595">
        <f>SUM(AV105:BG105)</f>
        <v/>
      </c>
      <c r="H22" s="595">
        <f>SUM(BH105:BS105)</f>
        <v/>
      </c>
      <c r="I22" s="595">
        <f>SUM(BT105:CE105)</f>
        <v/>
      </c>
      <c r="J22" s="595">
        <f>SUM(CF105:CH105)</f>
        <v/>
      </c>
    </row>
    <row r="23" ht="15" customFormat="1" customHeight="1" s="380">
      <c r="A23" s="468" t="inlineStr">
        <is>
          <t>NI After Profit Share (to Six Peak)</t>
        </is>
      </c>
      <c r="B23" s="596">
        <f>C23+D23+E23+F23+G23+H23+I23+J23</f>
        <v/>
      </c>
      <c r="C23" s="595">
        <f>SUM(C106:K106)</f>
        <v/>
      </c>
      <c r="D23" s="595">
        <f>SUM(L106:W106)</f>
        <v/>
      </c>
      <c r="E23" s="595">
        <f>SUM(X106:AI106)</f>
        <v/>
      </c>
      <c r="F23" s="595">
        <f>SUM(AJ106:AU106)</f>
        <v/>
      </c>
      <c r="G23" s="595">
        <f>SUM(AV106:BG106)</f>
        <v/>
      </c>
      <c r="H23" s="595">
        <f>SUM(BH106:BS106)</f>
        <v/>
      </c>
      <c r="I23" s="595">
        <f>SUM(BT106:CE106)</f>
        <v/>
      </c>
      <c r="J23" s="595">
        <f>SUM(CF106:CH106)</f>
        <v/>
      </c>
    </row>
    <row r="24" ht="15" customFormat="1" customHeight="1" s="380">
      <c r="A24" s="601" t="inlineStr">
        <is>
          <t>Total to Six Peak</t>
        </is>
      </c>
      <c r="B24" s="602">
        <f>C24+D24+E24+F24+G24+H24+I24+J24</f>
        <v/>
      </c>
      <c r="C24" s="602">
        <f>SUM(C107:K107)</f>
        <v/>
      </c>
      <c r="D24" s="602">
        <f>SUM(L107:W107)</f>
        <v/>
      </c>
      <c r="E24" s="602">
        <f>SUM(X107:AI107)</f>
        <v/>
      </c>
      <c r="F24" s="602">
        <f>SUM(AJ107:AU107)</f>
        <v/>
      </c>
      <c r="G24" s="602">
        <f>SUM(AV107:BG107)</f>
        <v/>
      </c>
      <c r="H24" s="602">
        <f>SUM(BH107:BS107)</f>
        <v/>
      </c>
      <c r="I24" s="602">
        <f>SUM(BT107:CE107)</f>
        <v/>
      </c>
      <c r="J24" s="602">
        <f>SUM(CF107:CH107)</f>
        <v/>
      </c>
    </row>
    <row r="26" ht="15" customFormat="1" customHeight="1" s="380">
      <c r="A26" s="603" t="inlineStr">
        <is>
          <t>ACQUISITION SCHEDULE</t>
        </is>
      </c>
      <c r="B26" s="603" t="n"/>
      <c r="C26" s="603" t="n"/>
      <c r="D26" s="603" t="n"/>
      <c r="E26" s="603" t="n"/>
      <c r="F26" s="603" t="n"/>
      <c r="G26" s="603" t="n"/>
      <c r="H26" s="603" t="n"/>
      <c r="I26" s="603" t="n"/>
      <c r="J26" s="603" t="n"/>
      <c r="K26" s="603" t="n"/>
    </row>
    <row r="27" ht="15" customFormat="1" customHeight="1" s="380">
      <c r="A27" s="604" t="inlineStr">
        <is>
          <t>Phase</t>
        </is>
      </c>
      <c r="B27" s="604" t="inlineStr">
        <is>
          <t>Properties</t>
        </is>
      </c>
      <c r="C27" s="604" t="inlineStr">
        <is>
          <t>Timing</t>
        </is>
      </c>
      <c r="D27" s="604" t="inlineStr">
        <is>
          <t>Avg Lot Price</t>
        </is>
      </c>
      <c r="E27" s="604" t="inlineStr">
        <is>
          <t>Status</t>
        </is>
      </c>
    </row>
    <row r="28" ht="15" customFormat="1" customHeight="1" s="380">
      <c r="A28" s="468" t="inlineStr">
        <is>
          <t>Phase 1 — Initial Acquisitions</t>
        </is>
      </c>
      <c r="B28" s="594" t="n">
        <v>6</v>
      </c>
      <c r="C28" s="468" t="inlineStr">
        <is>
          <t>Apr – Sep 2027 (Mo 13-18)</t>
        </is>
      </c>
      <c r="D28" s="595" t="n">
        <v>1400000</v>
      </c>
      <c r="E28" s="605" t="inlineStr">
        <is>
          <t>Acquisition</t>
        </is>
      </c>
    </row>
    <row r="29" ht="15" customFormat="1" customHeight="1" s="380">
      <c r="A29" s="468" t="inlineStr">
        <is>
          <t>Phase 2 — Ramp Up</t>
        </is>
      </c>
      <c r="B29" s="594" t="n">
        <v>18</v>
      </c>
      <c r="C29" s="468" t="inlineStr">
        <is>
          <t>Oct 2027 – Sep 2028 (Mo 19-30)</t>
        </is>
      </c>
      <c r="D29" s="595" t="n">
        <v>1400000</v>
      </c>
      <c r="E29" s="605" t="inlineStr">
        <is>
          <t>Acquisition → Development</t>
        </is>
      </c>
    </row>
    <row r="30" ht="15" customFormat="1" customHeight="1" s="380">
      <c r="A30" s="468" t="inlineStr">
        <is>
          <t>Phase 3 — Continued Buying</t>
        </is>
      </c>
      <c r="B30" s="594" t="n">
        <v>18</v>
      </c>
      <c r="C30" s="468" t="inlineStr">
        <is>
          <t>Oct 2028 – Sep 2029 (Mo 31-42)</t>
        </is>
      </c>
      <c r="D30" s="595" t="n">
        <v>1400000</v>
      </c>
      <c r="E30" s="605" t="inlineStr">
        <is>
          <t>Development → Leasing</t>
        </is>
      </c>
    </row>
    <row r="31" ht="15" customFormat="1" customHeight="1" s="380">
      <c r="A31" s="468" t="inlineStr">
        <is>
          <t>Phase 4 — Final Batch</t>
        </is>
      </c>
      <c r="B31" s="594" t="n">
        <v>18</v>
      </c>
      <c r="C31" s="468" t="inlineStr">
        <is>
          <t>Oct 2029 – Sep 2030 (Mo 43-54)</t>
        </is>
      </c>
      <c r="D31" s="595" t="n">
        <v>1400000</v>
      </c>
      <c r="E31" s="605" t="inlineStr">
        <is>
          <t>Leasing → Exits</t>
        </is>
      </c>
    </row>
    <row r="32" ht="15" customFormat="1" customHeight="1" s="380">
      <c r="A32" s="604" t="inlineStr">
        <is>
          <t>Total</t>
        </is>
      </c>
      <c r="B32" s="606" t="n">
        <v>60</v>
      </c>
      <c r="C32" s="604" t="inlineStr">
        <is>
          <t>Apr 2027 – Sep 2030</t>
        </is>
      </c>
      <c r="D32" s="607" t="n">
        <v>1400000</v>
      </c>
    </row>
    <row r="34" ht="15" customFormat="1" customHeight="1" s="380">
      <c r="A34" s="608" t="inlineStr">
        <is>
          <t>FEE STRUCTURE</t>
        </is>
      </c>
      <c r="B34" s="608" t="n"/>
      <c r="C34" s="608" t="n"/>
      <c r="D34" s="608" t="n"/>
      <c r="E34" s="608" t="n"/>
      <c r="F34" s="608" t="n"/>
      <c r="G34" s="608" t="n"/>
      <c r="H34" s="608" t="n"/>
      <c r="I34" s="608" t="n"/>
      <c r="J34" s="608" t="n"/>
      <c r="K34" s="608" t="n"/>
    </row>
    <row r="35" ht="15" customFormat="1" customHeight="1" s="380">
      <c r="A35" s="609" t="inlineStr">
        <is>
          <t>Fee Category</t>
        </is>
      </c>
      <c r="B35" s="609" t="inlineStr">
        <is>
          <t>Rate</t>
        </is>
      </c>
      <c r="C35" s="609" t="inlineStr">
        <is>
          <t>Basis</t>
        </is>
      </c>
      <c r="D35" s="609" t="inlineStr">
        <is>
          <t>Per Property</t>
        </is>
      </c>
      <c r="E35" s="609" t="inlineStr">
        <is>
          <t>× 60</t>
        </is>
      </c>
      <c r="F35" s="609" t="inlineStr">
        <is>
          <t>Notes</t>
        </is>
      </c>
    </row>
    <row r="36" ht="15" customFormat="1" customHeight="1" s="380">
      <c r="A36" s="468" t="inlineStr">
        <is>
          <t>Acquisition Fee</t>
        </is>
      </c>
      <c r="B36" s="468" t="inlineStr">
        <is>
          <t>1%</t>
        </is>
      </c>
      <c r="C36" s="468" t="inlineStr">
        <is>
          <t>Lot Price ($1,400,000)</t>
        </is>
      </c>
      <c r="D36" s="595" t="n">
        <v>14000</v>
      </c>
      <c r="E36" s="595" t="n">
        <v>840000</v>
      </c>
      <c r="F36" s="468" t="inlineStr">
        <is>
          <t>At closing</t>
        </is>
      </c>
    </row>
    <row r="37" ht="15" customFormat="1" customHeight="1" s="380">
      <c r="A37" s="468" t="inlineStr">
        <is>
          <t>Development Mgmt Fee</t>
        </is>
      </c>
      <c r="B37" s="468" t="inlineStr">
        <is>
          <t>6%</t>
        </is>
      </c>
      <c r="C37" s="468" t="inlineStr">
        <is>
          <t>Construction ($1,609,391)</t>
        </is>
      </c>
      <c r="D37" s="595" t="n">
        <v>96563</v>
      </c>
      <c r="E37" s="595" t="n">
        <v>5793808</v>
      </c>
      <c r="F37" s="468" t="inlineStr">
        <is>
          <t>During renovation</t>
        </is>
      </c>
    </row>
    <row r="38" ht="15" customFormat="1" customHeight="1" s="380">
      <c r="A38" s="468" t="inlineStr">
        <is>
          <t>Leasing Commission</t>
        </is>
      </c>
      <c r="B38" s="468" t="inlineStr">
        <is>
          <t>3%</t>
        </is>
      </c>
      <c r="C38" s="468" t="inlineStr">
        <is>
          <t>Annual Rent ($180,000)</t>
        </is>
      </c>
      <c r="D38" s="595" t="n">
        <v>5400</v>
      </c>
      <c r="E38" s="595" t="n">
        <v>324000</v>
      </c>
      <c r="F38" s="468" t="inlineStr">
        <is>
          <t>At lease-up</t>
        </is>
      </c>
    </row>
    <row r="39" ht="15" customFormat="1" customHeight="1" s="380">
      <c r="A39" s="468" t="inlineStr">
        <is>
          <t>Exit / Disposition Fee</t>
        </is>
      </c>
      <c r="B39" s="468" t="inlineStr">
        <is>
          <t>1%</t>
        </is>
      </c>
      <c r="C39" s="468" t="inlineStr">
        <is>
          <t>Sale Price ($3,419,763)</t>
        </is>
      </c>
      <c r="D39" s="595" t="n">
        <v>34198</v>
      </c>
      <c r="E39" s="595" t="n">
        <v>2051858</v>
      </c>
      <c r="F39" s="468" t="inlineStr">
        <is>
          <t>At disposition</t>
        </is>
      </c>
    </row>
    <row r="40" ht="15" customFormat="1" customHeight="1" s="380">
      <c r="A40" s="609" t="inlineStr">
        <is>
          <t>Total Fee Revenue</t>
        </is>
      </c>
      <c r="D40" s="610" t="n">
        <v>150161</v>
      </c>
      <c r="E40" s="610" t="n">
        <v>9009665</v>
      </c>
    </row>
    <row r="42" ht="15" customFormat="1" customHeight="1" s="380">
      <c r="A42" s="611" t="inlineStr">
        <is>
          <t>STAFFING &amp; COMPENSATION</t>
        </is>
      </c>
      <c r="B42" s="611" t="n"/>
      <c r="C42" s="611" t="n"/>
      <c r="D42" s="611" t="n"/>
      <c r="E42" s="611" t="n"/>
      <c r="F42" s="611" t="n"/>
      <c r="G42" s="611" t="n"/>
      <c r="H42" s="611" t="n"/>
      <c r="I42" s="611" t="n"/>
      <c r="J42" s="611" t="n"/>
      <c r="K42" s="611" t="n"/>
    </row>
    <row r="43" ht="15" customFormat="1" customHeight="1" s="380">
      <c r="A43" s="612" t="inlineStr">
        <is>
          <t>Role</t>
        </is>
      </c>
      <c r="B43" s="612" t="inlineStr">
        <is>
          <t>Annual Comp</t>
        </is>
      </c>
      <c r="C43" s="612" t="inlineStr">
        <is>
          <t>Monthly</t>
        </is>
      </c>
      <c r="D43" s="612" t="inlineStr">
        <is>
          <t>Start</t>
        </is>
      </c>
      <c r="E43" s="612" t="inlineStr">
        <is>
          <t>End</t>
        </is>
      </c>
      <c r="F43" s="612" t="inlineStr">
        <is>
          <t>Months</t>
        </is>
      </c>
      <c r="G43" s="612" t="inlineStr">
        <is>
          <t>Total Cost</t>
        </is>
      </c>
    </row>
    <row r="44" ht="15" customFormat="1" customHeight="1" s="380">
      <c r="A44" s="468" t="inlineStr">
        <is>
          <t>Project Manager 1</t>
        </is>
      </c>
      <c r="B44" s="595" t="n">
        <v>125000</v>
      </c>
      <c r="C44" s="595" t="n">
        <v>10417</v>
      </c>
      <c r="D44" s="468" t="inlineStr">
        <is>
          <t>Mo 14</t>
        </is>
      </c>
      <c r="E44" s="468" t="inlineStr">
        <is>
          <t>Mo 60</t>
        </is>
      </c>
      <c r="F44" s="468" t="n">
        <v>47</v>
      </c>
      <c r="G44" s="595">
        <f>C44*F44</f>
        <v/>
      </c>
    </row>
    <row r="45" ht="15" customFormat="1" customHeight="1" s="380">
      <c r="A45" s="468" t="inlineStr">
        <is>
          <t>Project Coordinator</t>
        </is>
      </c>
      <c r="B45" s="595" t="n">
        <v>90000</v>
      </c>
      <c r="C45" s="595" t="n">
        <v>7500</v>
      </c>
      <c r="D45" s="468" t="inlineStr">
        <is>
          <t>Mo 17</t>
        </is>
      </c>
      <c r="E45" s="468" t="inlineStr">
        <is>
          <t>Mo 60</t>
        </is>
      </c>
      <c r="F45" s="468" t="n">
        <v>44</v>
      </c>
      <c r="G45" s="595">
        <f>C45*F45</f>
        <v/>
      </c>
    </row>
    <row r="46" ht="15" customFormat="1" customHeight="1" s="380">
      <c r="A46" s="468" t="inlineStr">
        <is>
          <t>Accountant</t>
        </is>
      </c>
      <c r="B46" s="595" t="n">
        <v>110000</v>
      </c>
      <c r="C46" s="595" t="n">
        <v>9167</v>
      </c>
      <c r="D46" s="468" t="inlineStr">
        <is>
          <t>Mo 22</t>
        </is>
      </c>
      <c r="E46" s="468" t="inlineStr">
        <is>
          <t>Mo 60</t>
        </is>
      </c>
      <c r="F46" s="468" t="n">
        <v>39</v>
      </c>
      <c r="G46" s="595">
        <f>C46*F46</f>
        <v/>
      </c>
    </row>
    <row r="47" ht="15" customFormat="1" customHeight="1" s="380">
      <c r="A47" s="468" t="inlineStr">
        <is>
          <t>Project Manager 2</t>
        </is>
      </c>
      <c r="B47" s="595" t="n">
        <v>125000</v>
      </c>
      <c r="C47" s="595" t="n">
        <v>10417</v>
      </c>
      <c r="D47" s="468" t="inlineStr">
        <is>
          <t>Mo 30</t>
        </is>
      </c>
      <c r="E47" s="468" t="inlineStr">
        <is>
          <t>Mo 60</t>
        </is>
      </c>
      <c r="F47" s="468" t="n">
        <v>31</v>
      </c>
      <c r="G47" s="595">
        <f>C47*F47</f>
        <v/>
      </c>
    </row>
    <row r="48" ht="15" customFormat="1" customHeight="1" s="380">
      <c r="A48" s="612" t="inlineStr">
        <is>
          <t>Total Staffing Cost</t>
        </is>
      </c>
      <c r="G48" s="613">
        <f>SUM(G44:G47)</f>
        <v/>
      </c>
    </row>
    <row r="50" ht="15" customFormat="1" customHeight="1" s="380">
      <c r="A50" s="614" t="inlineStr">
        <is>
          <t>OTHER OPERATING EXPENSES</t>
        </is>
      </c>
      <c r="B50" s="614" t="n"/>
      <c r="C50" s="614" t="n"/>
      <c r="D50" s="614" t="n"/>
      <c r="E50" s="614" t="n"/>
      <c r="F50" s="614" t="n"/>
      <c r="G50" s="614" t="n"/>
      <c r="H50" s="614" t="n"/>
      <c r="I50" s="614" t="n"/>
      <c r="J50" s="614" t="n"/>
      <c r="K50" s="614" t="n"/>
    </row>
    <row r="51" ht="15" customFormat="1" customHeight="1" s="380">
      <c r="A51" s="615" t="inlineStr">
        <is>
          <t>Expense</t>
        </is>
      </c>
      <c r="B51" s="615" t="inlineStr">
        <is>
          <t>Annual</t>
        </is>
      </c>
      <c r="C51" s="615" t="inlineStr">
        <is>
          <t>Monthly</t>
        </is>
      </c>
      <c r="D51" s="615" t="inlineStr">
        <is>
          <t>Years</t>
        </is>
      </c>
      <c r="E51" s="615" t="inlineStr">
        <is>
          <t>Total</t>
        </is>
      </c>
    </row>
    <row r="52" ht="15" customFormat="1" customHeight="1" s="380">
      <c r="A52" s="468" t="inlineStr">
        <is>
          <t>Accounting / Audit / Tax</t>
        </is>
      </c>
      <c r="B52" s="595" t="n">
        <v>40000</v>
      </c>
      <c r="C52" s="595" t="n">
        <v>3333</v>
      </c>
      <c r="D52" s="468" t="n">
        <v>4</v>
      </c>
      <c r="E52" s="595" t="n">
        <v>160000</v>
      </c>
    </row>
    <row r="53" ht="15" customFormat="1" customHeight="1" s="380">
      <c r="A53" s="468" t="inlineStr">
        <is>
          <t>Insurance</t>
        </is>
      </c>
      <c r="B53" s="595" t="n">
        <v>20000</v>
      </c>
      <c r="C53" s="595" t="n">
        <v>1667</v>
      </c>
      <c r="D53" s="468" t="n">
        <v>4</v>
      </c>
      <c r="E53" s="595" t="n">
        <v>80000</v>
      </c>
    </row>
    <row r="54" ht="15" customFormat="1" customHeight="1" s="380">
      <c r="A54" s="468" t="inlineStr">
        <is>
          <t>Office Space</t>
        </is>
      </c>
      <c r="B54" s="595" t="n">
        <v>30000</v>
      </c>
      <c r="C54" s="595" t="n">
        <v>2500</v>
      </c>
      <c r="D54" s="468" t="n">
        <v>4</v>
      </c>
      <c r="E54" s="595" t="n">
        <v>120000</v>
      </c>
    </row>
    <row r="55" ht="15" customFormat="1" customHeight="1" s="380">
      <c r="A55" s="468" t="inlineStr">
        <is>
          <t>Computer / Internet</t>
        </is>
      </c>
      <c r="B55" s="595" t="n">
        <v>24000</v>
      </c>
      <c r="C55" s="595" t="n">
        <v>2000</v>
      </c>
      <c r="D55" s="468" t="n">
        <v>4</v>
      </c>
      <c r="E55" s="595" t="n">
        <v>96000</v>
      </c>
    </row>
    <row r="56" ht="15" customFormat="1" customHeight="1" s="380">
      <c r="A56" s="615" t="inlineStr">
        <is>
          <t>Total Other OpEx</t>
        </is>
      </c>
      <c r="E56" s="616" t="n">
        <v>456000</v>
      </c>
    </row>
    <row r="57" ht="15" customFormat="1" customHeight="1" s="380">
      <c r="A57" s="617" t="inlineStr">
        <is>
          <t>Note: Legal ($25K/project) is a deal cost in closing, not in P&amp;L</t>
        </is>
      </c>
    </row>
    <row r="59" ht="15" customFormat="1" customHeight="1" s="380">
      <c r="A59" s="618" t="inlineStr">
        <is>
          <t>ECONOMICS SUMMARY (CONFIRMED)</t>
        </is>
      </c>
      <c r="B59" s="618" t="n"/>
      <c r="C59" s="618" t="n"/>
      <c r="D59" s="618" t="n"/>
      <c r="E59" s="618" t="n"/>
      <c r="F59" s="618" t="n"/>
      <c r="G59" s="618" t="n"/>
      <c r="H59" s="618" t="n"/>
      <c r="I59" s="618" t="n"/>
      <c r="J59" s="618" t="n"/>
      <c r="K59" s="618" t="n"/>
    </row>
    <row r="60" ht="15" customFormat="1" customHeight="1" s="380">
      <c r="A60" s="468" t="inlineStr">
        <is>
          <t>Total Fee Revenue (60 properties)</t>
        </is>
      </c>
      <c r="B60" s="595">
        <f>B16</f>
        <v/>
      </c>
    </row>
    <row r="61" ht="15" customFormat="1" customHeight="1" s="380">
      <c r="A61" s="468" t="inlineStr">
        <is>
          <t>Staffing Cost</t>
        </is>
      </c>
      <c r="B61" s="595">
        <f>B17</f>
        <v/>
      </c>
    </row>
    <row r="62" ht="15" customFormat="1" customHeight="1" s="380">
      <c r="A62" s="468" t="inlineStr">
        <is>
          <t>Other OpEx</t>
        </is>
      </c>
      <c r="B62" s="595">
        <f>B18</f>
        <v/>
      </c>
    </row>
    <row r="63" ht="15" customFormat="1" customHeight="1" s="380">
      <c r="A63" s="604" t="inlineStr">
        <is>
          <t>Net Fee Income</t>
        </is>
      </c>
      <c r="B63" s="607">
        <f>B60+B61+B62</f>
        <v/>
      </c>
    </row>
    <row r="64" ht="15" customFormat="1" customHeight="1" s="380">
      <c r="A64" s="468" t="inlineStr">
        <is>
          <t>SP Overhead (10% Revenue, max $150K/yr)</t>
        </is>
      </c>
      <c r="B64" s="595">
        <f>-B20</f>
        <v/>
      </c>
    </row>
    <row r="65" ht="15" customFormat="1" customHeight="1" s="380">
      <c r="A65" s="604" t="inlineStr">
        <is>
          <t>Net Before Profit Share</t>
        </is>
      </c>
      <c r="B65" s="607">
        <f>B63+B64</f>
        <v/>
      </c>
    </row>
    <row r="66" ht="15" customFormat="1" customHeight="1" s="380">
      <c r="A66" s="468" t="inlineStr">
        <is>
          <t>Schuyler Profit Share (40/45/50% tiered)</t>
        </is>
      </c>
      <c r="B66" s="595">
        <f>-B22</f>
        <v/>
      </c>
    </row>
    <row r="67" ht="15" customFormat="1" customHeight="1" s="380">
      <c r="A67" s="604" t="inlineStr">
        <is>
          <t>NI After Profit Share (to Six Peak)</t>
        </is>
      </c>
      <c r="B67" s="607">
        <f>B65+B66</f>
        <v/>
      </c>
    </row>
    <row r="68" ht="15" customFormat="1" customHeight="1" s="380">
      <c r="A68" s="468" t="inlineStr">
        <is>
          <t>SP Overhead Fee (to Six Peak)</t>
        </is>
      </c>
      <c r="B68" s="595">
        <f>B20</f>
        <v/>
      </c>
    </row>
    <row r="69" ht="15" customFormat="1" customHeight="1" s="380">
      <c r="A69" s="604" t="inlineStr">
        <is>
          <t>Total to Six Peak</t>
        </is>
      </c>
      <c r="B69" s="607">
        <f>B67+B68</f>
        <v/>
      </c>
    </row>
    <row r="71" ht="15" customFormat="1" customHeight="1" s="380">
      <c r="A71" s="608" t="inlineStr">
        <is>
          <t>LEADERSHIP &amp; ORGANIZATION</t>
        </is>
      </c>
      <c r="B71" s="608" t="n"/>
      <c r="C71" s="608" t="n"/>
      <c r="D71" s="608" t="n"/>
      <c r="E71" s="608" t="n"/>
      <c r="F71" s="608" t="n"/>
      <c r="G71" s="608" t="n"/>
      <c r="H71" s="608" t="n"/>
      <c r="I71" s="608" t="n"/>
      <c r="J71" s="608" t="n"/>
      <c r="K71" s="608" t="n"/>
    </row>
    <row r="72" ht="15" customFormat="1" customHeight="1" s="380">
      <c r="A72" s="609" t="inlineStr">
        <is>
          <t>Name</t>
        </is>
      </c>
      <c r="B72" s="609" t="inlineStr">
        <is>
          <t>Role</t>
        </is>
      </c>
      <c r="C72" s="609" t="inlineStr">
        <is>
          <t>Responsibility</t>
        </is>
      </c>
    </row>
    <row r="73" ht="31.5" customFormat="1" customHeight="1" s="380">
      <c r="A73" s="476" t="inlineStr">
        <is>
          <t>Schuyler Dietz</t>
        </is>
      </c>
      <c r="B73" s="468" t="inlineStr">
        <is>
          <t>Program Lead</t>
        </is>
      </c>
      <c r="C73" s="619" t="inlineStr">
        <is>
          <t>Day-to-day leadership. Manages acquisitions, development oversight, investor relations. 40% bonus on net income.</t>
        </is>
      </c>
    </row>
    <row r="74" ht="31.5" customFormat="1" customHeight="1" s="380">
      <c r="A74" s="476" t="inlineStr">
        <is>
          <t>Chris Aiello</t>
        </is>
      </c>
      <c r="B74" s="468" t="inlineStr">
        <is>
          <t>Leadership</t>
        </is>
      </c>
      <c r="C74" s="619" t="inlineStr">
        <is>
          <t>Senior leadership and strategic direction. Works directly with Schuyler on execution.</t>
        </is>
      </c>
    </row>
    <row r="75" ht="31.5" customFormat="1" customHeight="1" s="380">
      <c r="A75" s="476" t="inlineStr">
        <is>
          <t>Derek Sanders</t>
        </is>
      </c>
      <c r="B75" s="468" t="inlineStr">
        <is>
          <t>PM Advisory</t>
        </is>
      </c>
      <c r="C75" s="619" t="inlineStr">
        <is>
          <t>Advises on PM employees. Guidance on renovation scoping, contractor mgmt, PM development.</t>
        </is>
      </c>
    </row>
    <row r="76" ht="31.5" customFormat="1" customHeight="1" s="380">
      <c r="A76" s="476" t="inlineStr">
        <is>
          <t>Chris Andresen</t>
        </is>
      </c>
      <c r="B76" s="468" t="inlineStr">
        <is>
          <t>Accounting &amp; Back Office</t>
        </is>
      </c>
      <c r="C76" s="619" t="inlineStr">
        <is>
          <t>Manages accounting, financial reporting, and back office with Robert Carrega.</t>
        </is>
      </c>
    </row>
    <row r="77" ht="31.5" customFormat="1" customHeight="1" s="380">
      <c r="A77" s="476" t="inlineStr">
        <is>
          <t>Robert Carrega</t>
        </is>
      </c>
      <c r="B77" s="468" t="inlineStr">
        <is>
          <t>Accounting &amp; Back Office</t>
        </is>
      </c>
      <c r="C77" s="619" t="inlineStr">
        <is>
          <t>Supports accounting and back office processes alongside Chris Andresen.</t>
        </is>
      </c>
    </row>
    <row r="78" ht="31.5" customFormat="1" customHeight="1" s="380">
      <c r="A78" s="476" t="inlineStr">
        <is>
          <t>Tom Taggart</t>
        </is>
      </c>
      <c r="B78" s="468" t="inlineStr">
        <is>
          <t>Acquisitions &amp; Field</t>
        </is>
      </c>
      <c r="C78" s="619" t="inlineStr">
        <is>
          <t>Assists in acquisitions. Available on-the-ground resource daily for program execution.</t>
        </is>
      </c>
    </row>
    <row r="80" ht="15" customFormat="1" customHeight="1" s="380">
      <c r="A80" s="620" t="inlineStr">
        <is>
          <t>NOTES &amp; ASSUMPTIONS</t>
        </is>
      </c>
      <c r="B80" s="620" t="n"/>
      <c r="C80" s="620" t="n"/>
      <c r="D80" s="620" t="n"/>
      <c r="E80" s="620" t="n"/>
      <c r="F80" s="620" t="n"/>
      <c r="G80" s="620" t="n"/>
      <c r="H80" s="620" t="n"/>
      <c r="I80" s="620" t="n"/>
      <c r="J80" s="620" t="n"/>
      <c r="K80" s="620" t="n"/>
    </row>
    <row r="81" ht="27.75" customFormat="1" customHeight="1" s="380">
      <c r="A81" s="476" t="inlineStr">
        <is>
          <t>1.</t>
        </is>
      </c>
      <c r="B81" s="619" t="inlineStr">
        <is>
          <t>All 60 properties are single-family residential. No ADUs.</t>
        </is>
      </c>
    </row>
    <row r="82" ht="27.75" customFormat="1" customHeight="1" s="380">
      <c r="A82" s="476" t="inlineStr">
        <is>
          <t>2.</t>
        </is>
      </c>
      <c r="B82" s="619" t="inlineStr">
        <is>
          <t>Avg lot price: $1,400,000. Avg construction: $1,609,391. Avg sale: $3,419,763.</t>
        </is>
      </c>
    </row>
    <row r="83" ht="27.75" customFormat="1" customHeight="1" s="380">
      <c r="A83" s="476" t="inlineStr">
        <is>
          <t>3.</t>
        </is>
      </c>
      <c r="B83" s="619" t="inlineStr">
        <is>
          <t>Fees: 1% acquisition on lot, 6% development on construction, 3% leasing on rent ($180K/yr), 1% exit on sale.</t>
        </is>
      </c>
    </row>
    <row r="84" ht="27.75" customFormat="1" customHeight="1" s="380">
      <c r="A84" s="476" t="inlineStr">
        <is>
          <t>4.</t>
        </is>
      </c>
      <c r="B84" s="619" t="inlineStr">
        <is>
          <t>Legal ($25K/project) is a deal cost in closing, not in the Uplifters P&amp;L.</t>
        </is>
      </c>
    </row>
    <row r="85" ht="27.75" customFormat="1" customHeight="1" s="380">
      <c r="A85" s="476" t="inlineStr">
        <is>
          <t>5.</t>
        </is>
      </c>
      <c r="B85" s="619" t="inlineStr">
        <is>
          <t>SP Overhead is 10% of all fee revenue, capped at $150,000 per year, retained by Six Peak.</t>
        </is>
      </c>
    </row>
    <row r="86" ht="27.75" customFormat="1" customHeight="1" s="380">
      <c r="A86" s="476" t="inlineStr">
        <is>
          <t>6.</t>
        </is>
      </c>
      <c r="B86" s="619" t="inlineStr">
        <is>
          <t>Schuyler profit share (consultant, not an employee bonus): 40% on first 20 deals (Mo 10-24), 45% on next 20 (Mo 25-37), 50% on final 20 (Mo 38+). Paid on positive months only.</t>
        </is>
      </c>
    </row>
    <row r="87" ht="27.75" customFormat="1" customHeight="1" s="380">
      <c r="A87" s="476" t="inlineStr">
        <is>
          <t>7.</t>
        </is>
      </c>
      <c r="B87" s="619" t="inlineStr">
        <is>
          <t>Staffing: PM1 ($125K) Mo 11 (3 mo before first construction); PC ($90K) Mo 14 (after 4th acquisition); Accountant ($110K) Mo 19 (after 10th acquisition); PM2 ($125K) Mo 27 (at 24th acquisition).</t>
        </is>
      </c>
    </row>
    <row r="88" ht="27.75" customFormat="1" customHeight="1" s="380">
      <c r="A88" s="476" t="inlineStr">
        <is>
          <t>8.</t>
        </is>
      </c>
      <c r="B88" s="619" t="inlineStr">
        <is>
          <t>Other OpEx: Acctg/Audit/Tax ($40K/yr), Insurance ($20K/yr), Office ($2,500/mo), Computer ($24K/yr).</t>
        </is>
      </c>
    </row>
    <row r="89" ht="27.75" customFormat="1" customHeight="1" s="380">
      <c r="A89" s="476" t="inlineStr">
        <is>
          <t>9.</t>
        </is>
      </c>
      <c r="B89" s="619" t="inlineStr">
        <is>
          <t>Six Peak does NOT perform construction. All renovation contracted to third-party builders.</t>
        </is>
      </c>
    </row>
    <row r="90" ht="27.75" customFormat="1" customHeight="1" s="380">
      <c r="A90" s="476" t="inlineStr">
        <is>
          <t>10.</t>
        </is>
      </c>
      <c r="B90" s="619" t="inlineStr">
        <is>
          <t>Program: Apr 2027 (Mo 13) through Mar 2032. Revenue recognized as fees are earned.</t>
        </is>
      </c>
    </row>
    <row r="91" ht="15" customFormat="1" customHeight="1" s="380">
      <c r="A91" s="380" t="inlineStr">
        <is>
          <t>11.</t>
        </is>
      </c>
      <c r="B91" s="380" t="inlineStr">
        <is>
          <t>No debt will be used in the acquisition or development of the properties. All-equity structure.</t>
        </is>
      </c>
    </row>
    <row r="93" ht="15" customFormat="1" customHeight="1" s="380">
      <c r="A93" s="603" t="inlineStr">
        <is>
          <t>SP INTEGRATION ASSUMPTIONS</t>
        </is>
      </c>
      <c r="B93" s="603" t="n"/>
      <c r="C93" s="603" t="n"/>
      <c r="D93" s="603" t="n"/>
      <c r="E93" s="603" t="n"/>
      <c r="F93" s="603" t="n"/>
      <c r="G93" s="603" t="n"/>
      <c r="H93" s="603" t="n"/>
      <c r="I93" s="603" t="n"/>
      <c r="J93" s="603" t="n"/>
      <c r="K93" s="603" t="n"/>
    </row>
    <row r="94" ht="15" customFormat="1" customHeight="1" s="380">
      <c r="A94" s="468" t="inlineStr">
        <is>
          <t>SP Overhead Rate</t>
        </is>
      </c>
      <c r="B94" s="621" t="n">
        <v>0.1</v>
      </c>
    </row>
    <row r="95" ht="15" customFormat="1" customHeight="1" s="380">
      <c r="A95" s="468" t="inlineStr">
        <is>
          <t>SP Overhead Annual Cap</t>
        </is>
      </c>
      <c r="B95" s="621" t="n">
        <v>150000</v>
      </c>
    </row>
    <row r="96" ht="15" customFormat="1" customHeight="1" s="380">
      <c r="A96" s="380" t="inlineStr">
        <is>
          <t>Schuyler Profit Share Rates</t>
        </is>
      </c>
      <c r="B96" s="380" t="inlineStr">
        <is>
          <t>40% (1-20) / 45% (21-40) / 50% (41-60)</t>
        </is>
      </c>
    </row>
    <row r="97" ht="15" customFormat="1" customHeight="1" s="380">
      <c r="A97" s="618" t="inlineStr">
        <is>
          <t>MONTHLY P&amp;L</t>
        </is>
      </c>
      <c r="B97" s="618" t="n"/>
      <c r="C97" s="618" t="n"/>
      <c r="D97" s="618" t="n"/>
      <c r="E97" s="618" t="n"/>
      <c r="F97" s="618" t="n"/>
      <c r="G97" s="618" t="n"/>
      <c r="H97" s="618" t="n"/>
      <c r="I97" s="618" t="n"/>
      <c r="J97" s="618" t="n"/>
      <c r="K97" s="618" t="n"/>
    </row>
    <row r="98" ht="15" customFormat="1" customHeight="1" s="380">
      <c r="C98" s="478" t="n">
        <v>1</v>
      </c>
      <c r="D98" s="478" t="n">
        <v>2</v>
      </c>
      <c r="E98" s="478" t="n">
        <v>3</v>
      </c>
      <c r="F98" s="478" t="n">
        <v>4</v>
      </c>
      <c r="G98" s="478" t="n">
        <v>5</v>
      </c>
      <c r="H98" s="478" t="n">
        <v>6</v>
      </c>
      <c r="I98" s="478" t="n">
        <v>7</v>
      </c>
      <c r="J98" s="478" t="n">
        <v>8</v>
      </c>
      <c r="K98" s="478" t="n">
        <v>9</v>
      </c>
      <c r="L98" s="478" t="n">
        <v>10</v>
      </c>
      <c r="M98" s="478" t="n">
        <v>11</v>
      </c>
      <c r="N98" s="478" t="n">
        <v>12</v>
      </c>
      <c r="O98" s="478" t="n">
        <v>13</v>
      </c>
      <c r="P98" s="478" t="n">
        <v>14</v>
      </c>
      <c r="Q98" s="478" t="n">
        <v>15</v>
      </c>
      <c r="R98" s="478" t="n">
        <v>16</v>
      </c>
      <c r="S98" s="478" t="n">
        <v>17</v>
      </c>
      <c r="T98" s="478" t="n">
        <v>18</v>
      </c>
      <c r="U98" s="478" t="n">
        <v>19</v>
      </c>
      <c r="V98" s="478" t="n">
        <v>20</v>
      </c>
      <c r="W98" s="478" t="n">
        <v>21</v>
      </c>
      <c r="X98" s="478" t="n">
        <v>22</v>
      </c>
      <c r="Y98" s="478" t="n">
        <v>23</v>
      </c>
      <c r="Z98" s="478" t="n">
        <v>24</v>
      </c>
      <c r="AA98" s="478" t="n">
        <v>25</v>
      </c>
      <c r="AB98" s="478" t="n">
        <v>26</v>
      </c>
      <c r="AC98" s="478" t="n">
        <v>27</v>
      </c>
      <c r="AD98" s="478" t="n">
        <v>28</v>
      </c>
      <c r="AE98" s="478" t="n">
        <v>29</v>
      </c>
      <c r="AF98" s="478" t="n">
        <v>30</v>
      </c>
      <c r="AG98" s="478" t="n">
        <v>31</v>
      </c>
      <c r="AH98" s="478" t="n">
        <v>32</v>
      </c>
      <c r="AI98" s="478" t="n">
        <v>33</v>
      </c>
      <c r="AJ98" s="478" t="n">
        <v>34</v>
      </c>
      <c r="AK98" s="478" t="n">
        <v>35</v>
      </c>
      <c r="AL98" s="478" t="n">
        <v>36</v>
      </c>
      <c r="AM98" s="478" t="n">
        <v>37</v>
      </c>
      <c r="AN98" s="478" t="n">
        <v>38</v>
      </c>
      <c r="AO98" s="478" t="n">
        <v>39</v>
      </c>
      <c r="AP98" s="478" t="n">
        <v>40</v>
      </c>
      <c r="AQ98" s="478" t="n">
        <v>41</v>
      </c>
      <c r="AR98" s="478" t="n">
        <v>42</v>
      </c>
      <c r="AS98" s="478" t="n">
        <v>43</v>
      </c>
      <c r="AT98" s="478" t="n">
        <v>44</v>
      </c>
      <c r="AU98" s="478" t="n">
        <v>45</v>
      </c>
      <c r="AV98" s="478" t="n">
        <v>46</v>
      </c>
      <c r="AW98" s="478" t="n">
        <v>47</v>
      </c>
      <c r="AX98" s="478" t="n">
        <v>48</v>
      </c>
      <c r="AY98" s="478" t="n">
        <v>49</v>
      </c>
      <c r="AZ98" s="478" t="n">
        <v>50</v>
      </c>
      <c r="BA98" s="478" t="n">
        <v>51</v>
      </c>
      <c r="BB98" s="478" t="n">
        <v>52</v>
      </c>
      <c r="BC98" s="478" t="n">
        <v>53</v>
      </c>
      <c r="BD98" s="478" t="n">
        <v>54</v>
      </c>
      <c r="BE98" s="478" t="n">
        <v>55</v>
      </c>
      <c r="BF98" s="478" t="n">
        <v>56</v>
      </c>
      <c r="BG98" s="478" t="n">
        <v>57</v>
      </c>
      <c r="BH98" s="478" t="n">
        <v>58</v>
      </c>
      <c r="BI98" s="478" t="n">
        <v>59</v>
      </c>
      <c r="BJ98" s="478" t="n">
        <v>60</v>
      </c>
      <c r="BK98" s="478" t="n">
        <v>61</v>
      </c>
      <c r="BL98" s="478" t="n">
        <v>62</v>
      </c>
      <c r="BM98" s="478" t="n">
        <v>63</v>
      </c>
      <c r="BN98" s="478" t="n">
        <v>64</v>
      </c>
      <c r="BO98" s="478" t="n">
        <v>65</v>
      </c>
      <c r="BP98" s="478" t="n">
        <v>66</v>
      </c>
      <c r="BQ98" s="478" t="n">
        <v>67</v>
      </c>
      <c r="BR98" s="478" t="n">
        <v>68</v>
      </c>
      <c r="BS98" s="478" t="n">
        <v>69</v>
      </c>
      <c r="BT98" s="478" t="n">
        <v>70</v>
      </c>
      <c r="BU98" s="478" t="n">
        <v>71</v>
      </c>
      <c r="BV98" s="478" t="n">
        <v>72</v>
      </c>
      <c r="BW98" s="478" t="n">
        <v>73</v>
      </c>
      <c r="BX98" s="478" t="n">
        <v>74</v>
      </c>
      <c r="BY98" s="478" t="n">
        <v>75</v>
      </c>
      <c r="BZ98" s="478" t="n">
        <v>76</v>
      </c>
      <c r="CA98" s="478" t="n">
        <v>77</v>
      </c>
      <c r="CB98" s="478" t="n">
        <v>78</v>
      </c>
      <c r="CC98" s="478" t="n">
        <v>79</v>
      </c>
      <c r="CD98" s="478" t="n">
        <v>80</v>
      </c>
      <c r="CE98" s="478" t="n">
        <v>81</v>
      </c>
      <c r="CF98" s="478" t="n">
        <v>82</v>
      </c>
      <c r="CG98" s="478" t="n">
        <v>83</v>
      </c>
      <c r="CH98" s="478" t="n">
        <v>84</v>
      </c>
    </row>
    <row r="99" ht="15" customFormat="1" customHeight="1" s="380">
      <c r="A99" s="478" t="inlineStr">
        <is>
          <t>Total Fee Revenue</t>
        </is>
      </c>
      <c r="B99" s="622">
        <f>SUM(C99:CH99)</f>
        <v/>
      </c>
      <c r="L99" s="623" t="n"/>
      <c r="M99" s="623" t="n"/>
      <c r="N99" s="623" t="n"/>
      <c r="O99" s="623" t="n">
        <v>45050.36</v>
      </c>
      <c r="P99" s="623" t="n">
        <v>45050.36</v>
      </c>
      <c r="Q99" s="623" t="n">
        <v>45050.36</v>
      </c>
      <c r="R99" s="623" t="n">
        <v>45050.36</v>
      </c>
      <c r="S99" s="623" t="n">
        <v>45050.36</v>
      </c>
      <c r="T99" s="623" t="n">
        <v>45050.36</v>
      </c>
      <c r="U99" s="623" t="n">
        <v>70944.52</v>
      </c>
      <c r="V99" s="623" t="n">
        <v>96838.67999999999</v>
      </c>
      <c r="W99" s="623" t="n">
        <v>122732.84</v>
      </c>
      <c r="X99" s="623" t="n">
        <v>148626.99</v>
      </c>
      <c r="Y99" s="623" t="n">
        <v>174521.16</v>
      </c>
      <c r="Z99" s="623" t="n">
        <v>200415.31</v>
      </c>
      <c r="AA99" s="623" t="n">
        <v>226309.46</v>
      </c>
      <c r="AB99" s="623" t="n">
        <v>252203.62</v>
      </c>
      <c r="AC99" s="623" t="n">
        <v>278097.79</v>
      </c>
      <c r="AD99" s="623" t="n">
        <v>303991.94</v>
      </c>
      <c r="AE99" s="623" t="n">
        <v>329886.11</v>
      </c>
      <c r="AF99" s="623" t="n">
        <v>400830.61</v>
      </c>
      <c r="AG99" s="623" t="n">
        <v>311512.01</v>
      </c>
      <c r="AH99" s="623" t="n">
        <v>312294.13</v>
      </c>
      <c r="AI99" s="623" t="n">
        <v>313076.23</v>
      </c>
      <c r="AJ99" s="623" t="n">
        <v>313858.34</v>
      </c>
      <c r="AK99" s="623" t="n">
        <v>314640.44</v>
      </c>
      <c r="AL99" s="623" t="n">
        <v>341316.71</v>
      </c>
      <c r="AM99" s="623" t="n">
        <v>316204.67</v>
      </c>
      <c r="AN99" s="623" t="n">
        <v>291092.62</v>
      </c>
      <c r="AO99" s="623" t="n">
        <v>265980.57</v>
      </c>
      <c r="AP99" s="623" t="n">
        <v>240868.51</v>
      </c>
      <c r="AQ99" s="623" t="n">
        <v>215756.47</v>
      </c>
      <c r="AR99" s="623" t="n">
        <v>190644.42</v>
      </c>
      <c r="AS99" s="623" t="n">
        <v>165532.36</v>
      </c>
      <c r="AT99" s="623" t="n">
        <v>140420.32</v>
      </c>
      <c r="AU99" s="623" t="n">
        <v>115308.27</v>
      </c>
      <c r="AV99" s="623" t="n">
        <v>196095.1</v>
      </c>
      <c r="AW99" s="623" t="n">
        <v>170200.95</v>
      </c>
      <c r="AX99" s="623" t="n">
        <v>119194.75</v>
      </c>
      <c r="AY99" s="623" t="n">
        <v>118412.64</v>
      </c>
      <c r="AZ99" s="623" t="n">
        <v>117630.52</v>
      </c>
      <c r="BA99" s="623" t="n">
        <v>116848.42</v>
      </c>
      <c r="BB99" s="623" t="n">
        <v>116066.31</v>
      </c>
      <c r="BC99" s="623" t="n">
        <v>115284.2</v>
      </c>
      <c r="BD99" s="623" t="n">
        <v>114502.09</v>
      </c>
      <c r="BE99" s="623" t="n">
        <v>113719.98</v>
      </c>
      <c r="BF99" s="623" t="n">
        <v>112937.87</v>
      </c>
      <c r="BG99" s="623" t="n">
        <v>112155.76</v>
      </c>
      <c r="BH99" s="623" t="n">
        <v>111373.65</v>
      </c>
      <c r="BI99" s="623" t="n">
        <v>110591.54</v>
      </c>
      <c r="BJ99" s="623" t="n">
        <v>109809.44</v>
      </c>
      <c r="BK99" s="380" t="n">
        <v>109027.32</v>
      </c>
      <c r="BL99" s="380" t="n">
        <v>108245.21</v>
      </c>
      <c r="BM99" s="380" t="n">
        <v>213361.99</v>
      </c>
    </row>
    <row r="100" ht="15" customFormat="1" customHeight="1" s="380">
      <c r="A100" s="478" t="inlineStr">
        <is>
          <t>Staffing Cost</t>
        </is>
      </c>
      <c r="B100" s="622">
        <f>SUM(C100:CH100)</f>
        <v/>
      </c>
      <c r="C100" s="380" t="n">
        <v>0</v>
      </c>
      <c r="D100" s="380" t="n">
        <v>0</v>
      </c>
      <c r="E100" s="380" t="n">
        <v>0</v>
      </c>
      <c r="F100" s="380" t="n">
        <v>0</v>
      </c>
      <c r="G100" s="380" t="n">
        <v>0</v>
      </c>
      <c r="H100" s="380" t="n">
        <v>0</v>
      </c>
      <c r="I100" s="380" t="n">
        <v>0</v>
      </c>
      <c r="J100" s="380" t="n">
        <v>0</v>
      </c>
      <c r="K100" s="380" t="n">
        <v>0</v>
      </c>
      <c r="L100" s="623" t="n">
        <v>0</v>
      </c>
      <c r="M100" s="623" t="n">
        <v>0</v>
      </c>
      <c r="N100" s="623" t="n">
        <v>0</v>
      </c>
      <c r="O100" s="623" t="n">
        <v>0</v>
      </c>
      <c r="P100" s="623" t="n">
        <v>-10417</v>
      </c>
      <c r="Q100" s="623" t="n">
        <v>-10417</v>
      </c>
      <c r="R100" s="623" t="n">
        <v>-10417</v>
      </c>
      <c r="S100" s="623" t="n">
        <v>-17917</v>
      </c>
      <c r="T100" s="623" t="n">
        <v>-17917</v>
      </c>
      <c r="U100" s="623" t="n">
        <v>-17917</v>
      </c>
      <c r="V100" s="623" t="n">
        <v>-17917</v>
      </c>
      <c r="W100" s="623" t="n">
        <v>-17917</v>
      </c>
      <c r="X100" s="623" t="n">
        <v>-27084</v>
      </c>
      <c r="Y100" s="623" t="n">
        <v>-27084</v>
      </c>
      <c r="Z100" s="623" t="n">
        <v>-27084</v>
      </c>
      <c r="AA100" s="623" t="n">
        <v>-27084</v>
      </c>
      <c r="AB100" s="623" t="n">
        <v>-27084</v>
      </c>
      <c r="AC100" s="623" t="n">
        <v>-27084</v>
      </c>
      <c r="AD100" s="623" t="n">
        <v>-27084</v>
      </c>
      <c r="AE100" s="623" t="n">
        <v>-27084</v>
      </c>
      <c r="AF100" s="623" t="n">
        <v>-37501</v>
      </c>
      <c r="AG100" s="623" t="n">
        <v>-37501</v>
      </c>
      <c r="AH100" s="623" t="n">
        <v>-37501</v>
      </c>
      <c r="AI100" s="623" t="n">
        <v>-37501</v>
      </c>
      <c r="AJ100" s="623" t="n">
        <v>-37501</v>
      </c>
      <c r="AK100" s="623" t="n">
        <v>-37501</v>
      </c>
      <c r="AL100" s="623" t="n">
        <v>-37501</v>
      </c>
      <c r="AM100" s="623" t="n">
        <v>-37501</v>
      </c>
      <c r="AN100" s="623" t="n">
        <v>-37501</v>
      </c>
      <c r="AO100" s="623" t="n">
        <v>-37501</v>
      </c>
      <c r="AP100" s="623" t="n">
        <v>-37501</v>
      </c>
      <c r="AQ100" s="623" t="n">
        <v>-37501</v>
      </c>
      <c r="AR100" s="623" t="n">
        <v>-37501</v>
      </c>
      <c r="AS100" s="623" t="n">
        <v>-37501</v>
      </c>
      <c r="AT100" s="623" t="n">
        <v>-37501</v>
      </c>
      <c r="AU100" s="623" t="n">
        <v>-37501</v>
      </c>
      <c r="AV100" s="623" t="n">
        <v>-37501</v>
      </c>
      <c r="AW100" s="623" t="n">
        <v>-37501</v>
      </c>
      <c r="AX100" s="623" t="n">
        <v>-37501</v>
      </c>
      <c r="AY100" s="623" t="n">
        <v>-37501</v>
      </c>
      <c r="AZ100" s="623" t="n">
        <v>-37501</v>
      </c>
      <c r="BA100" s="623" t="n">
        <v>-37501</v>
      </c>
      <c r="BB100" s="623" t="n">
        <v>-37501</v>
      </c>
      <c r="BC100" s="623" t="n">
        <v>-37501</v>
      </c>
      <c r="BD100" s="623" t="n">
        <v>-37501</v>
      </c>
      <c r="BE100" s="623" t="n">
        <v>-37501</v>
      </c>
      <c r="BF100" s="623" t="n">
        <v>-37501</v>
      </c>
      <c r="BG100" s="623" t="n">
        <v>-37501</v>
      </c>
      <c r="BH100" s="380" t="n">
        <v>-37501</v>
      </c>
      <c r="BI100" s="380" t="n">
        <v>-37501</v>
      </c>
      <c r="BJ100" s="380" t="n">
        <v>-37501</v>
      </c>
      <c r="BK100" s="380" t="n">
        <v>0</v>
      </c>
      <c r="BL100" s="380" t="n">
        <v>0</v>
      </c>
      <c r="BM100" s="380" t="n">
        <v>0</v>
      </c>
      <c r="BN100" s="380" t="n">
        <v>0</v>
      </c>
      <c r="BO100" s="380" t="n">
        <v>0</v>
      </c>
      <c r="BP100" s="380" t="n">
        <v>0</v>
      </c>
      <c r="BQ100" s="380" t="n">
        <v>0</v>
      </c>
      <c r="BR100" s="380" t="n">
        <v>0</v>
      </c>
      <c r="BS100" s="380" t="n">
        <v>0</v>
      </c>
      <c r="BT100" s="380" t="n">
        <v>0</v>
      </c>
      <c r="BU100" s="380" t="n">
        <v>0</v>
      </c>
      <c r="BV100" s="380" t="n">
        <v>0</v>
      </c>
      <c r="BW100" s="380" t="n">
        <v>0</v>
      </c>
      <c r="BX100" s="380" t="n">
        <v>0</v>
      </c>
      <c r="BY100" s="380" t="n">
        <v>0</v>
      </c>
      <c r="BZ100" s="380" t="n">
        <v>0</v>
      </c>
      <c r="CA100" s="380" t="n">
        <v>0</v>
      </c>
      <c r="CB100" s="380" t="n">
        <v>0</v>
      </c>
      <c r="CC100" s="380" t="n">
        <v>0</v>
      </c>
      <c r="CD100" s="380" t="n">
        <v>0</v>
      </c>
      <c r="CE100" s="380" t="n">
        <v>0</v>
      </c>
      <c r="CF100" s="380" t="n">
        <v>0</v>
      </c>
      <c r="CG100" s="380" t="n">
        <v>0</v>
      </c>
      <c r="CH100" s="380" t="n">
        <v>0</v>
      </c>
    </row>
    <row r="101" ht="15" customFormat="1" customHeight="1" s="380">
      <c r="A101" s="478" t="inlineStr">
        <is>
          <t>Other OpEx</t>
        </is>
      </c>
      <c r="B101" s="622">
        <f>SUM(C101:CH101)</f>
        <v/>
      </c>
      <c r="L101" s="623" t="n"/>
      <c r="M101" s="623" t="n"/>
      <c r="N101" s="623" t="n"/>
      <c r="O101" s="623" t="n">
        <v>-9500</v>
      </c>
      <c r="P101" s="623" t="n">
        <v>-9500</v>
      </c>
      <c r="Q101" s="623" t="n">
        <v>-9500</v>
      </c>
      <c r="R101" s="623" t="n">
        <v>-9500</v>
      </c>
      <c r="S101" s="623" t="n">
        <v>-9500</v>
      </c>
      <c r="T101" s="623" t="n">
        <v>-9500</v>
      </c>
      <c r="U101" s="623" t="n">
        <v>-9500</v>
      </c>
      <c r="V101" s="623" t="n">
        <v>-9500</v>
      </c>
      <c r="W101" s="623" t="n">
        <v>-9500</v>
      </c>
      <c r="X101" s="623" t="n">
        <v>-9500</v>
      </c>
      <c r="Y101" s="623" t="n">
        <v>-9500</v>
      </c>
      <c r="Z101" s="623" t="n">
        <v>-9500</v>
      </c>
      <c r="AA101" s="623" t="n">
        <v>-9500</v>
      </c>
      <c r="AB101" s="623" t="n">
        <v>-9500</v>
      </c>
      <c r="AC101" s="623" t="n">
        <v>-9500</v>
      </c>
      <c r="AD101" s="623" t="n">
        <v>-9500</v>
      </c>
      <c r="AE101" s="623" t="n">
        <v>-9500</v>
      </c>
      <c r="AF101" s="623" t="n">
        <v>-9500</v>
      </c>
      <c r="AG101" s="623" t="n">
        <v>-9500</v>
      </c>
      <c r="AH101" s="623" t="n">
        <v>-9500</v>
      </c>
      <c r="AI101" s="623" t="n">
        <v>-9500</v>
      </c>
      <c r="AJ101" s="623" t="n">
        <v>-9500</v>
      </c>
      <c r="AK101" s="623" t="n">
        <v>-9500</v>
      </c>
      <c r="AL101" s="623" t="n">
        <v>-9500</v>
      </c>
      <c r="AM101" s="623" t="n">
        <v>-9500</v>
      </c>
      <c r="AN101" s="623" t="n">
        <v>-9500</v>
      </c>
      <c r="AO101" s="623" t="n">
        <v>-9500</v>
      </c>
      <c r="AP101" s="623" t="n">
        <v>-9500</v>
      </c>
      <c r="AQ101" s="623" t="n">
        <v>-9500</v>
      </c>
      <c r="AR101" s="623" t="n">
        <v>-9500</v>
      </c>
      <c r="AS101" s="623" t="n">
        <v>-9500</v>
      </c>
      <c r="AT101" s="623" t="n">
        <v>-9500</v>
      </c>
      <c r="AU101" s="623" t="n">
        <v>-9500</v>
      </c>
      <c r="AV101" s="623" t="n">
        <v>-9500</v>
      </c>
      <c r="AW101" s="623" t="n">
        <v>-9500</v>
      </c>
      <c r="AX101" s="623" t="n">
        <v>-9500</v>
      </c>
      <c r="AY101" s="623" t="n">
        <v>-9500</v>
      </c>
      <c r="AZ101" s="623" t="n">
        <v>-9500</v>
      </c>
      <c r="BA101" s="623" t="n">
        <v>-9500</v>
      </c>
      <c r="BB101" s="623" t="n">
        <v>-9500</v>
      </c>
      <c r="BC101" s="623" t="n">
        <v>-9500</v>
      </c>
      <c r="BD101" s="623" t="n">
        <v>-9500</v>
      </c>
      <c r="BE101" s="623" t="n">
        <v>-9500</v>
      </c>
      <c r="BF101" s="623" t="n">
        <v>-9500</v>
      </c>
      <c r="BG101" s="623" t="n">
        <v>-9500</v>
      </c>
      <c r="BH101" s="380" t="n">
        <v>-9500</v>
      </c>
      <c r="BI101" s="380" t="n">
        <v>-9500</v>
      </c>
      <c r="BJ101" s="380" t="n">
        <v>-9500</v>
      </c>
    </row>
    <row r="102" ht="15" customFormat="1" customHeight="1" s="380">
      <c r="A102" s="478" t="inlineStr">
        <is>
          <t>Net Fee Income</t>
        </is>
      </c>
      <c r="B102" s="622">
        <f>SUM(C102:CH102)</f>
        <v/>
      </c>
      <c r="C102" s="624">
        <f>C99+C100+C101</f>
        <v/>
      </c>
      <c r="D102" s="624">
        <f>D99+D100+D101</f>
        <v/>
      </c>
      <c r="E102" s="624">
        <f>E99+E100+E101</f>
        <v/>
      </c>
      <c r="F102" s="624">
        <f>F99+F100+F101</f>
        <v/>
      </c>
      <c r="G102" s="624">
        <f>G99+G100+G101</f>
        <v/>
      </c>
      <c r="H102" s="624">
        <f>H99+H100+H101</f>
        <v/>
      </c>
      <c r="I102" s="624">
        <f>I99+I100+I101</f>
        <v/>
      </c>
      <c r="J102" s="624">
        <f>J99+J100+J101</f>
        <v/>
      </c>
      <c r="K102" s="624">
        <f>K99+K100+K101</f>
        <v/>
      </c>
      <c r="L102" s="624">
        <f>L99+L100+L101</f>
        <v/>
      </c>
      <c r="M102" s="624">
        <f>M99+M100+M101</f>
        <v/>
      </c>
      <c r="N102" s="624">
        <f>N99+N100+N101</f>
        <v/>
      </c>
      <c r="O102" s="624">
        <f>O99+O100+O101</f>
        <v/>
      </c>
      <c r="P102" s="624">
        <f>P99+P100+P101</f>
        <v/>
      </c>
      <c r="Q102" s="624">
        <f>Q99+Q100+Q101</f>
        <v/>
      </c>
      <c r="R102" s="624">
        <f>R99+R100+R101</f>
        <v/>
      </c>
      <c r="S102" s="624">
        <f>S99+S100+S101</f>
        <v/>
      </c>
      <c r="T102" s="624">
        <f>T99+T100+T101</f>
        <v/>
      </c>
      <c r="U102" s="624">
        <f>U99+U100+U101</f>
        <v/>
      </c>
      <c r="V102" s="624">
        <f>V99+V100+V101</f>
        <v/>
      </c>
      <c r="W102" s="624">
        <f>W99+W100+W101</f>
        <v/>
      </c>
      <c r="X102" s="624">
        <f>X99+X100+X101</f>
        <v/>
      </c>
      <c r="Y102" s="624">
        <f>Y99+Y100+Y101</f>
        <v/>
      </c>
      <c r="Z102" s="624">
        <f>Z99+Z100+Z101</f>
        <v/>
      </c>
      <c r="AA102" s="624">
        <f>AA99+AA100+AA101</f>
        <v/>
      </c>
      <c r="AB102" s="624">
        <f>AB99+AB100+AB101</f>
        <v/>
      </c>
      <c r="AC102" s="624">
        <f>AC99+AC100+AC101</f>
        <v/>
      </c>
      <c r="AD102" s="624">
        <f>AD99+AD100+AD101</f>
        <v/>
      </c>
      <c r="AE102" s="624">
        <f>AE99+AE100+AE101</f>
        <v/>
      </c>
      <c r="AF102" s="624">
        <f>AF99+AF100+AF101</f>
        <v/>
      </c>
      <c r="AG102" s="624">
        <f>AG99+AG100+AG101</f>
        <v/>
      </c>
      <c r="AH102" s="624">
        <f>AH99+AH100+AH101</f>
        <v/>
      </c>
      <c r="AI102" s="624">
        <f>AI99+AI100+AI101</f>
        <v/>
      </c>
      <c r="AJ102" s="624">
        <f>AJ99+AJ100+AJ101</f>
        <v/>
      </c>
      <c r="AK102" s="624">
        <f>AK99+AK100+AK101</f>
        <v/>
      </c>
      <c r="AL102" s="624">
        <f>AL99+AL100+AL101</f>
        <v/>
      </c>
      <c r="AM102" s="624">
        <f>AM99+AM100+AM101</f>
        <v/>
      </c>
      <c r="AN102" s="624">
        <f>AN99+AN100+AN101</f>
        <v/>
      </c>
      <c r="AO102" s="624">
        <f>AO99+AO100+AO101</f>
        <v/>
      </c>
      <c r="AP102" s="624">
        <f>AP99+AP100+AP101</f>
        <v/>
      </c>
      <c r="AQ102" s="624">
        <f>AQ99+AQ100+AQ101</f>
        <v/>
      </c>
      <c r="AR102" s="624">
        <f>AR99+AR100+AR101</f>
        <v/>
      </c>
      <c r="AS102" s="624">
        <f>AS99+AS100+AS101</f>
        <v/>
      </c>
      <c r="AT102" s="624">
        <f>AT99+AT100+AT101</f>
        <v/>
      </c>
      <c r="AU102" s="624">
        <f>AU99+AU100+AU101</f>
        <v/>
      </c>
      <c r="AV102" s="624">
        <f>AV99+AV100+AV101</f>
        <v/>
      </c>
      <c r="AW102" s="624">
        <f>AW99+AW100+AW101</f>
        <v/>
      </c>
      <c r="AX102" s="624">
        <f>AX99+AX100+AX101</f>
        <v/>
      </c>
      <c r="AY102" s="624">
        <f>AY99+AY100+AY101</f>
        <v/>
      </c>
      <c r="AZ102" s="624">
        <f>AZ99+AZ100+AZ101</f>
        <v/>
      </c>
      <c r="BA102" s="624">
        <f>BA99+BA100+BA101</f>
        <v/>
      </c>
      <c r="BB102" s="624">
        <f>BB99+BB100+BB101</f>
        <v/>
      </c>
      <c r="BC102" s="624">
        <f>BC99+BC100+BC101</f>
        <v/>
      </c>
      <c r="BD102" s="624">
        <f>BD99+BD100+BD101</f>
        <v/>
      </c>
      <c r="BE102" s="624">
        <f>BE99+BE100+BE101</f>
        <v/>
      </c>
      <c r="BF102" s="624">
        <f>BF99+BF100+BF101</f>
        <v/>
      </c>
      <c r="BG102" s="624">
        <f>BG99+BG100+BG101</f>
        <v/>
      </c>
      <c r="BH102" s="624">
        <f>BH99+BH100+BH101</f>
        <v/>
      </c>
      <c r="BI102" s="624">
        <f>BI99+BI100+BI101</f>
        <v/>
      </c>
      <c r="BJ102" s="624">
        <f>BJ99+BJ100+BJ101</f>
        <v/>
      </c>
      <c r="BK102" s="624">
        <f>BK99+BK100+BK101</f>
        <v/>
      </c>
      <c r="BL102" s="624">
        <f>BL99+BL100+BL101</f>
        <v/>
      </c>
      <c r="BM102" s="624">
        <f>BM99+BM100+BM101</f>
        <v/>
      </c>
      <c r="BN102" s="624">
        <f>BN99+BN100+BN101</f>
        <v/>
      </c>
      <c r="BO102" s="624">
        <f>BO99+BO100+BO101</f>
        <v/>
      </c>
      <c r="BP102" s="624">
        <f>BP99+BP100+BP101</f>
        <v/>
      </c>
      <c r="BQ102" s="624">
        <f>BQ99+BQ100+BQ101</f>
        <v/>
      </c>
      <c r="BR102" s="624">
        <f>BR99+BR100+BR101</f>
        <v/>
      </c>
      <c r="BS102" s="624">
        <f>BS99+BS100+BS101</f>
        <v/>
      </c>
      <c r="BT102" s="624">
        <f>BT99+BT100+BT101</f>
        <v/>
      </c>
      <c r="BU102" s="624">
        <f>BU99+BU100+BU101</f>
        <v/>
      </c>
      <c r="BV102" s="624">
        <f>BV99+BV100+BV101</f>
        <v/>
      </c>
      <c r="BW102" s="624">
        <f>BW99+BW100+BW101</f>
        <v/>
      </c>
      <c r="BX102" s="624">
        <f>BX99+BX100+BX101</f>
        <v/>
      </c>
      <c r="BY102" s="624">
        <f>BY99+BY100+BY101</f>
        <v/>
      </c>
      <c r="BZ102" s="624">
        <f>BZ99+BZ100+BZ101</f>
        <v/>
      </c>
      <c r="CA102" s="624">
        <f>CA99+CA100+CA101</f>
        <v/>
      </c>
      <c r="CB102" s="624">
        <f>CB99+CB100+CB101</f>
        <v/>
      </c>
      <c r="CC102" s="624">
        <f>CC99+CC100+CC101</f>
        <v/>
      </c>
      <c r="CD102" s="624">
        <f>CD99+CD100+CD101</f>
        <v/>
      </c>
      <c r="CE102" s="624">
        <f>CE99+CE100+CE101</f>
        <v/>
      </c>
      <c r="CF102" s="624">
        <f>CF99+CF100+CF101</f>
        <v/>
      </c>
      <c r="CG102" s="624">
        <f>CG99+CG100+CG101</f>
        <v/>
      </c>
      <c r="CH102" s="624">
        <f>CH99+CH100+CH101</f>
        <v/>
      </c>
    </row>
    <row r="103" ht="15" customFormat="1" customHeight="1" s="380">
      <c r="A103" s="478" t="inlineStr">
        <is>
          <t>SP Overhead Fee (to Six Peak)</t>
        </is>
      </c>
      <c r="B103" s="622">
        <f>SUM(C103:CH103)</f>
        <v/>
      </c>
      <c r="C103" s="624">
        <f>MIN(C99*$B$94,12500)</f>
        <v/>
      </c>
      <c r="D103" s="624">
        <f>MIN(D99*$B$94,12500)</f>
        <v/>
      </c>
      <c r="E103" s="624">
        <f>MIN(E99*$B$94,12500)</f>
        <v/>
      </c>
      <c r="F103" s="624">
        <f>MIN(F99*$B$94,12500)</f>
        <v/>
      </c>
      <c r="G103" s="624">
        <f>MIN(G99*$B$94,12500)</f>
        <v/>
      </c>
      <c r="H103" s="624">
        <f>MIN(H99*$B$94,12500)</f>
        <v/>
      </c>
      <c r="I103" s="624">
        <f>MIN(I99*$B$94,12500)</f>
        <v/>
      </c>
      <c r="J103" s="624">
        <f>MIN(J99*$B$94,12500)</f>
        <v/>
      </c>
      <c r="K103" s="624">
        <f>MIN(K99*$B$94,12500)</f>
        <v/>
      </c>
      <c r="L103" s="624">
        <f>MIN(L99*$B$94,12500)</f>
        <v/>
      </c>
      <c r="M103" s="624">
        <f>MIN(M99*$B$94,12500)</f>
        <v/>
      </c>
      <c r="N103" s="624">
        <f>MIN(N99*$B$94,12500)</f>
        <v/>
      </c>
      <c r="O103" s="624">
        <f>MIN(O99*$B$94,12500)</f>
        <v/>
      </c>
      <c r="P103" s="624">
        <f>MIN(P99*$B$94,12500)</f>
        <v/>
      </c>
      <c r="Q103" s="624">
        <f>MIN(Q99*$B$94,12500)</f>
        <v/>
      </c>
      <c r="R103" s="624">
        <f>MIN(R99*$B$94,12500)</f>
        <v/>
      </c>
      <c r="S103" s="624">
        <f>MIN(S99*$B$94,12500)</f>
        <v/>
      </c>
      <c r="T103" s="624">
        <f>MIN(T99*$B$94,12500)</f>
        <v/>
      </c>
      <c r="U103" s="624">
        <f>MIN(U99*$B$94,12500)</f>
        <v/>
      </c>
      <c r="V103" s="624">
        <f>MIN(V99*$B$94,12500)</f>
        <v/>
      </c>
      <c r="W103" s="624">
        <f>MIN(W99*$B$94,12500)</f>
        <v/>
      </c>
      <c r="X103" s="624">
        <f>MIN(X99*$B$94,12500)</f>
        <v/>
      </c>
      <c r="Y103" s="624">
        <f>MIN(Y99*$B$94,12500)</f>
        <v/>
      </c>
      <c r="Z103" s="624">
        <f>MIN(Z99*$B$94,12500)</f>
        <v/>
      </c>
      <c r="AA103" s="624">
        <f>MIN(AA99*$B$94,12500)</f>
        <v/>
      </c>
      <c r="AB103" s="624">
        <f>MIN(AB99*$B$94,12500)</f>
        <v/>
      </c>
      <c r="AC103" s="624">
        <f>MIN(AC99*$B$94,12500)</f>
        <v/>
      </c>
      <c r="AD103" s="624">
        <f>MIN(AD99*$B$94,12500)</f>
        <v/>
      </c>
      <c r="AE103" s="624">
        <f>MIN(AE99*$B$94,12500)</f>
        <v/>
      </c>
      <c r="AF103" s="624">
        <f>MIN(AF99*$B$94,12500)</f>
        <v/>
      </c>
      <c r="AG103" s="624">
        <f>MIN(AG99*$B$94,12500)</f>
        <v/>
      </c>
      <c r="AH103" s="624">
        <f>MIN(AH99*$B$94,12500)</f>
        <v/>
      </c>
      <c r="AI103" s="624">
        <f>MIN(AI99*$B$94,12500)</f>
        <v/>
      </c>
      <c r="AJ103" s="624">
        <f>MIN(AJ99*$B$94,12500)</f>
        <v/>
      </c>
      <c r="AK103" s="624">
        <f>MIN(AK99*$B$94,12500)</f>
        <v/>
      </c>
      <c r="AL103" s="624">
        <f>MIN(AL99*$B$94,12500)</f>
        <v/>
      </c>
      <c r="AM103" s="624">
        <f>MIN(AM99*$B$94,12500)</f>
        <v/>
      </c>
      <c r="AN103" s="624">
        <f>MIN(AN99*$B$94,12500)</f>
        <v/>
      </c>
      <c r="AO103" s="624">
        <f>MIN(AO99*$B$94,12500)</f>
        <v/>
      </c>
      <c r="AP103" s="624">
        <f>MIN(AP99*$B$94,12500)</f>
        <v/>
      </c>
      <c r="AQ103" s="624">
        <f>MIN(AQ99*$B$94,12500)</f>
        <v/>
      </c>
      <c r="AR103" s="624">
        <f>MIN(AR99*$B$94,12500)</f>
        <v/>
      </c>
      <c r="AS103" s="624">
        <f>MIN(AS99*$B$94,12500)</f>
        <v/>
      </c>
      <c r="AT103" s="624">
        <f>MIN(AT99*$B$94,12500)</f>
        <v/>
      </c>
      <c r="AU103" s="624">
        <f>MIN(AU99*$B$94,12500)</f>
        <v/>
      </c>
      <c r="AV103" s="624">
        <f>MIN(AV99*$B$94,12500)</f>
        <v/>
      </c>
      <c r="AW103" s="624">
        <f>MIN(AW99*$B$94,12500)</f>
        <v/>
      </c>
      <c r="AX103" s="624">
        <f>MIN(AX99*$B$94,12500)</f>
        <v/>
      </c>
      <c r="AY103" s="624">
        <f>MIN(AY99*$B$94,12500)</f>
        <v/>
      </c>
      <c r="AZ103" s="624">
        <f>MIN(AZ99*$B$94,12500)</f>
        <v/>
      </c>
      <c r="BA103" s="624">
        <f>MIN(BA99*$B$94,12500)</f>
        <v/>
      </c>
      <c r="BB103" s="624">
        <f>MIN(BB99*$B$94,12500)</f>
        <v/>
      </c>
      <c r="BC103" s="624">
        <f>MIN(BC99*$B$94,12500)</f>
        <v/>
      </c>
      <c r="BD103" s="624">
        <f>MIN(BD99*$B$94,12500)</f>
        <v/>
      </c>
      <c r="BE103" s="624">
        <f>MIN(BE99*$B$94,12500)</f>
        <v/>
      </c>
      <c r="BF103" s="624">
        <f>MIN(BF99*$B$94,12500)</f>
        <v/>
      </c>
      <c r="BG103" s="624">
        <f>MIN(BG99*$B$94,12500)</f>
        <v/>
      </c>
      <c r="BH103" s="624">
        <f>MIN(BH99*$B$94,12500)</f>
        <v/>
      </c>
      <c r="BI103" s="624">
        <f>MIN(BI99*$B$94,12500)</f>
        <v/>
      </c>
      <c r="BJ103" s="624">
        <f>MIN(BJ99*$B$94,12500)</f>
        <v/>
      </c>
      <c r="BK103" s="624">
        <f>MIN(BK99*$B$94,12500)</f>
        <v/>
      </c>
      <c r="BL103" s="624">
        <f>MIN(BL99*$B$94,12500)</f>
        <v/>
      </c>
      <c r="BM103" s="624">
        <f>MIN(BM99*$B$94,12500)</f>
        <v/>
      </c>
      <c r="BN103" s="624">
        <f>MIN(BN99*$B$94,12500)</f>
        <v/>
      </c>
      <c r="BO103" s="624">
        <f>MIN(BO99*$B$94,12500)</f>
        <v/>
      </c>
      <c r="BP103" s="624">
        <f>MIN(BP99*$B$94,12500)</f>
        <v/>
      </c>
      <c r="BQ103" s="624">
        <f>MIN(BQ99*$B$94,12500)</f>
        <v/>
      </c>
      <c r="BR103" s="624">
        <f>MIN(BR99*$B$94,12500)</f>
        <v/>
      </c>
      <c r="BS103" s="624">
        <f>MIN(BS99*$B$94,12500)</f>
        <v/>
      </c>
      <c r="BT103" s="624">
        <f>MIN(BT99*$B$94,12500)</f>
        <v/>
      </c>
      <c r="BU103" s="624">
        <f>MIN(BU99*$B$94,12500)</f>
        <v/>
      </c>
      <c r="BV103" s="624">
        <f>MIN(BV99*$B$94,12500)</f>
        <v/>
      </c>
      <c r="BW103" s="624">
        <f>MIN(BW99*$B$94,12500)</f>
        <v/>
      </c>
      <c r="BX103" s="624">
        <f>MIN(BX99*$B$94,12500)</f>
        <v/>
      </c>
      <c r="BY103" s="624">
        <f>MIN(BY99*$B$94,12500)</f>
        <v/>
      </c>
      <c r="BZ103" s="624">
        <f>MIN(BZ99*$B$94,12500)</f>
        <v/>
      </c>
      <c r="CA103" s="624">
        <f>MIN(CA99*$B$94,12500)</f>
        <v/>
      </c>
      <c r="CB103" s="624">
        <f>MIN(CB99*$B$94,12500)</f>
        <v/>
      </c>
      <c r="CC103" s="624">
        <f>MIN(CC99*$B$94,12500)</f>
        <v/>
      </c>
      <c r="CD103" s="624">
        <f>MIN(CD99*$B$94,12500)</f>
        <v/>
      </c>
      <c r="CE103" s="624">
        <f>MIN(CE99*$B$94,12500)</f>
        <v/>
      </c>
      <c r="CF103" s="624">
        <f>MIN(CF99*$B$94,12500)</f>
        <v/>
      </c>
      <c r="CG103" s="624">
        <f>MIN(CG99*$B$94,12500)</f>
        <v/>
      </c>
      <c r="CH103" s="624">
        <f>MIN(CH99*$B$94,12500)</f>
        <v/>
      </c>
    </row>
    <row r="104" ht="15" customFormat="1" customHeight="1" s="380">
      <c r="A104" s="478" t="inlineStr">
        <is>
          <t>Net Before Profit Share</t>
        </is>
      </c>
      <c r="B104" s="622">
        <f>SUM(C104:CH104)</f>
        <v/>
      </c>
      <c r="C104" s="624">
        <f>C102-C103</f>
        <v/>
      </c>
      <c r="D104" s="624">
        <f>D102-D103</f>
        <v/>
      </c>
      <c r="E104" s="624">
        <f>E102-E103</f>
        <v/>
      </c>
      <c r="F104" s="624">
        <f>F102-F103</f>
        <v/>
      </c>
      <c r="G104" s="624">
        <f>G102-G103</f>
        <v/>
      </c>
      <c r="H104" s="624">
        <f>H102-H103</f>
        <v/>
      </c>
      <c r="I104" s="624">
        <f>I102-I103</f>
        <v/>
      </c>
      <c r="J104" s="624">
        <f>J102-J103</f>
        <v/>
      </c>
      <c r="K104" s="624">
        <f>K102-K103</f>
        <v/>
      </c>
      <c r="L104" s="624">
        <f>L102-L103</f>
        <v/>
      </c>
      <c r="M104" s="624">
        <f>M102-M103</f>
        <v/>
      </c>
      <c r="N104" s="624">
        <f>N102-N103</f>
        <v/>
      </c>
      <c r="O104" s="624">
        <f>O102-O103</f>
        <v/>
      </c>
      <c r="P104" s="624">
        <f>P102-P103</f>
        <v/>
      </c>
      <c r="Q104" s="624">
        <f>Q102-Q103</f>
        <v/>
      </c>
      <c r="R104" s="624">
        <f>R102-R103</f>
        <v/>
      </c>
      <c r="S104" s="624">
        <f>S102-S103</f>
        <v/>
      </c>
      <c r="T104" s="624">
        <f>T102-T103</f>
        <v/>
      </c>
      <c r="U104" s="624">
        <f>U102-U103</f>
        <v/>
      </c>
      <c r="V104" s="624">
        <f>V102-V103</f>
        <v/>
      </c>
      <c r="W104" s="624">
        <f>W102-W103</f>
        <v/>
      </c>
      <c r="X104" s="624">
        <f>X102-X103</f>
        <v/>
      </c>
      <c r="Y104" s="624">
        <f>Y102-Y103</f>
        <v/>
      </c>
      <c r="Z104" s="624">
        <f>Z102-Z103</f>
        <v/>
      </c>
      <c r="AA104" s="624">
        <f>AA102-AA103</f>
        <v/>
      </c>
      <c r="AB104" s="624">
        <f>AB102-AB103</f>
        <v/>
      </c>
      <c r="AC104" s="624">
        <f>AC102-AC103</f>
        <v/>
      </c>
      <c r="AD104" s="624">
        <f>AD102-AD103</f>
        <v/>
      </c>
      <c r="AE104" s="624">
        <f>AE102-AE103</f>
        <v/>
      </c>
      <c r="AF104" s="624">
        <f>AF102-AF103</f>
        <v/>
      </c>
      <c r="AG104" s="624">
        <f>AG102-AG103</f>
        <v/>
      </c>
      <c r="AH104" s="624">
        <f>AH102-AH103</f>
        <v/>
      </c>
      <c r="AI104" s="624">
        <f>AI102-AI103</f>
        <v/>
      </c>
      <c r="AJ104" s="624">
        <f>AJ102-AJ103</f>
        <v/>
      </c>
      <c r="AK104" s="624">
        <f>AK102-AK103</f>
        <v/>
      </c>
      <c r="AL104" s="624">
        <f>AL102-AL103</f>
        <v/>
      </c>
      <c r="AM104" s="624">
        <f>AM102-AM103</f>
        <v/>
      </c>
      <c r="AN104" s="624">
        <f>AN102-AN103</f>
        <v/>
      </c>
      <c r="AO104" s="624">
        <f>AO102-AO103</f>
        <v/>
      </c>
      <c r="AP104" s="624">
        <f>AP102-AP103</f>
        <v/>
      </c>
      <c r="AQ104" s="624">
        <f>AQ102-AQ103</f>
        <v/>
      </c>
      <c r="AR104" s="624">
        <f>AR102-AR103</f>
        <v/>
      </c>
      <c r="AS104" s="624">
        <f>AS102-AS103</f>
        <v/>
      </c>
      <c r="AT104" s="624">
        <f>AT102-AT103</f>
        <v/>
      </c>
      <c r="AU104" s="624">
        <f>AU102-AU103</f>
        <v/>
      </c>
      <c r="AV104" s="624">
        <f>AV102-AV103</f>
        <v/>
      </c>
      <c r="AW104" s="624">
        <f>AW102-AW103</f>
        <v/>
      </c>
      <c r="AX104" s="624">
        <f>AX102-AX103</f>
        <v/>
      </c>
      <c r="AY104" s="624">
        <f>AY102-AY103</f>
        <v/>
      </c>
      <c r="AZ104" s="624">
        <f>AZ102-AZ103</f>
        <v/>
      </c>
      <c r="BA104" s="624">
        <f>BA102-BA103</f>
        <v/>
      </c>
      <c r="BB104" s="624">
        <f>BB102-BB103</f>
        <v/>
      </c>
      <c r="BC104" s="624">
        <f>BC102-BC103</f>
        <v/>
      </c>
      <c r="BD104" s="624">
        <f>BD102-BD103</f>
        <v/>
      </c>
      <c r="BE104" s="624">
        <f>BE102-BE103</f>
        <v/>
      </c>
      <c r="BF104" s="624">
        <f>BF102-BF103</f>
        <v/>
      </c>
      <c r="BG104" s="624">
        <f>BG102-BG103</f>
        <v/>
      </c>
      <c r="BH104" s="624">
        <f>BH102-BH103</f>
        <v/>
      </c>
      <c r="BI104" s="624">
        <f>BI102-BI103</f>
        <v/>
      </c>
      <c r="BJ104" s="624">
        <f>BJ102-BJ103</f>
        <v/>
      </c>
      <c r="BK104" s="624">
        <f>BK102-BK103</f>
        <v/>
      </c>
      <c r="BL104" s="624">
        <f>BL102-BL103</f>
        <v/>
      </c>
      <c r="BM104" s="624">
        <f>BM102-BM103</f>
        <v/>
      </c>
      <c r="BN104" s="624">
        <f>BN102-BN103</f>
        <v/>
      </c>
      <c r="BO104" s="624">
        <f>BO102-BO103</f>
        <v/>
      </c>
      <c r="BP104" s="624">
        <f>BP102-BP103</f>
        <v/>
      </c>
      <c r="BQ104" s="624">
        <f>BQ102-BQ103</f>
        <v/>
      </c>
      <c r="BR104" s="624">
        <f>BR102-BR103</f>
        <v/>
      </c>
      <c r="BS104" s="624">
        <f>BS102-BS103</f>
        <v/>
      </c>
      <c r="BT104" s="624">
        <f>BT102-BT103</f>
        <v/>
      </c>
      <c r="BU104" s="624">
        <f>BU102-BU103</f>
        <v/>
      </c>
      <c r="BV104" s="624">
        <f>BV102-BV103</f>
        <v/>
      </c>
      <c r="BW104" s="624">
        <f>BW102-BW103</f>
        <v/>
      </c>
      <c r="BX104" s="624">
        <f>BX102-BX103</f>
        <v/>
      </c>
      <c r="BY104" s="624">
        <f>BY102-BY103</f>
        <v/>
      </c>
      <c r="BZ104" s="624">
        <f>BZ102-BZ103</f>
        <v/>
      </c>
      <c r="CA104" s="624">
        <f>CA102-CA103</f>
        <v/>
      </c>
      <c r="CB104" s="624">
        <f>CB102-CB103</f>
        <v/>
      </c>
      <c r="CC104" s="624">
        <f>CC102-CC103</f>
        <v/>
      </c>
      <c r="CD104" s="624">
        <f>CD102-CD103</f>
        <v/>
      </c>
      <c r="CE104" s="624">
        <f>CE102-CE103</f>
        <v/>
      </c>
      <c r="CF104" s="624">
        <f>CF102-CF103</f>
        <v/>
      </c>
      <c r="CG104" s="624">
        <f>CG102-CG103</f>
        <v/>
      </c>
      <c r="CH104" s="624">
        <f>CH102-CH103</f>
        <v/>
      </c>
    </row>
    <row r="105" ht="15" customFormat="1" customHeight="1" s="380">
      <c r="A105" s="478" t="inlineStr">
        <is>
          <t>Schuyler Profit Share (40/45/50%)</t>
        </is>
      </c>
      <c r="B105" s="622">
        <f>SUM(C105:CH105)</f>
        <v/>
      </c>
      <c r="C105" s="624" t="n">
        <v>0</v>
      </c>
      <c r="D105" s="624" t="n">
        <v>0</v>
      </c>
      <c r="E105" s="624" t="n">
        <v>0</v>
      </c>
      <c r="F105" s="624" t="n">
        <v>0</v>
      </c>
      <c r="G105" s="624" t="n">
        <v>0</v>
      </c>
      <c r="H105" s="624" t="n">
        <v>0</v>
      </c>
      <c r="I105" s="624" t="n">
        <v>0</v>
      </c>
      <c r="J105" s="624" t="n">
        <v>0</v>
      </c>
      <c r="K105" s="624" t="n">
        <v>0</v>
      </c>
      <c r="L105" s="624" t="n">
        <v>0</v>
      </c>
      <c r="M105" s="624" t="n">
        <v>0</v>
      </c>
      <c r="N105" s="624" t="n">
        <v>0</v>
      </c>
      <c r="O105" s="624">
        <f>MAX(0,O104)*0.4</f>
        <v/>
      </c>
      <c r="P105" s="624">
        <f>MAX(0,P104)*0.4</f>
        <v/>
      </c>
      <c r="Q105" s="624">
        <f>MAX(0,Q104)*0.4</f>
        <v/>
      </c>
      <c r="R105" s="624">
        <f>MAX(0,R104)*0.4</f>
        <v/>
      </c>
      <c r="S105" s="624">
        <f>MAX(0,S104)*0.4</f>
        <v/>
      </c>
      <c r="T105" s="624">
        <f>MAX(0,T104)*0.4</f>
        <v/>
      </c>
      <c r="U105" s="624">
        <f>MAX(0,U104)*0.4</f>
        <v/>
      </c>
      <c r="V105" s="624">
        <f>MAX(0,V104)*0.4</f>
        <v/>
      </c>
      <c r="W105" s="624">
        <f>MAX(0,W104)*0.4</f>
        <v/>
      </c>
      <c r="X105" s="624">
        <f>MAX(0,X104)*0.4</f>
        <v/>
      </c>
      <c r="Y105" s="624">
        <f>MAX(0,Y104)*0.4</f>
        <v/>
      </c>
      <c r="Z105" s="624">
        <f>MAX(0,Z104)*0.4</f>
        <v/>
      </c>
      <c r="AA105" s="624">
        <f>MAX(0,AA104)*0.4</f>
        <v/>
      </c>
      <c r="AB105" s="624">
        <f>MAX(0,AB104)*0.4</f>
        <v/>
      </c>
      <c r="AC105" s="624">
        <f>MAX(0,AC104)*0.4</f>
        <v/>
      </c>
      <c r="AD105" s="624">
        <f>MAX(0,AD104)*0.45</f>
        <v/>
      </c>
      <c r="AE105" s="624">
        <f>MAX(0,AE104)*0.45</f>
        <v/>
      </c>
      <c r="AF105" s="624">
        <f>MAX(0,AF104)*0.45</f>
        <v/>
      </c>
      <c r="AG105" s="624">
        <f>MAX(0,AG104)*0.45</f>
        <v/>
      </c>
      <c r="AH105" s="624">
        <f>MAX(0,AH104)*0.45</f>
        <v/>
      </c>
      <c r="AI105" s="624">
        <f>MAX(0,AI104)*0.45</f>
        <v/>
      </c>
      <c r="AJ105" s="624">
        <f>MAX(0,AJ104)*0.45</f>
        <v/>
      </c>
      <c r="AK105" s="624">
        <f>MAX(0,AK104)*0.45</f>
        <v/>
      </c>
      <c r="AL105" s="624">
        <f>MAX(0,AL104)*0.45</f>
        <v/>
      </c>
      <c r="AM105" s="624">
        <f>MAX(0,AM104)*0.45</f>
        <v/>
      </c>
      <c r="AN105" s="624">
        <f>MAX(0,AN104)*0.45</f>
        <v/>
      </c>
      <c r="AO105" s="624">
        <f>MAX(0,AO104)*0.45</f>
        <v/>
      </c>
      <c r="AP105" s="624">
        <f>MAX(0,AP104)*0.45</f>
        <v/>
      </c>
      <c r="AQ105" s="624">
        <f>MAX(0,AQ104)*0.5</f>
        <v/>
      </c>
      <c r="AR105" s="624">
        <f>MAX(0,AR104)*0.5</f>
        <v/>
      </c>
      <c r="AS105" s="624">
        <f>MAX(0,AS104)*0.5</f>
        <v/>
      </c>
      <c r="AT105" s="624">
        <f>MAX(0,AT104)*0.5</f>
        <v/>
      </c>
      <c r="AU105" s="624">
        <f>MAX(0,AU104)*0.5</f>
        <v/>
      </c>
      <c r="AV105" s="624">
        <f>MAX(0,AV104)*0.5</f>
        <v/>
      </c>
      <c r="AW105" s="624">
        <f>MAX(0,AW104)*0.5</f>
        <v/>
      </c>
      <c r="AX105" s="624">
        <f>MAX(0,AX104)*0.5</f>
        <v/>
      </c>
      <c r="AY105" s="624">
        <f>MAX(0,AY104)*0.5</f>
        <v/>
      </c>
      <c r="AZ105" s="624">
        <f>MAX(0,AZ104)*0.5</f>
        <v/>
      </c>
      <c r="BA105" s="624">
        <f>MAX(0,BA104)*0.5</f>
        <v/>
      </c>
      <c r="BB105" s="624">
        <f>MAX(0,BB104)*0.5</f>
        <v/>
      </c>
      <c r="BC105" s="624">
        <f>MAX(0,BC104)*0.5</f>
        <v/>
      </c>
      <c r="BD105" s="624">
        <f>MAX(0,BD104)*0.5</f>
        <v/>
      </c>
      <c r="BE105" s="624">
        <f>MAX(0,BE104)*0.5</f>
        <v/>
      </c>
      <c r="BF105" s="624">
        <f>MAX(0,BF104)*0.5</f>
        <v/>
      </c>
      <c r="BG105" s="624">
        <f>MAX(0,BG104)*0.5</f>
        <v/>
      </c>
      <c r="BH105" s="624">
        <f>MAX(0,BH104)*0.5</f>
        <v/>
      </c>
      <c r="BI105" s="624">
        <f>MAX(0,BI104)*0.5</f>
        <v/>
      </c>
      <c r="BJ105" s="624">
        <f>MAX(0,BJ104)*0.5</f>
        <v/>
      </c>
      <c r="BK105" s="624">
        <f>MAX(0,BK104)*0.5</f>
        <v/>
      </c>
      <c r="BL105" s="624">
        <f>MAX(0,BL104)*0.5</f>
        <v/>
      </c>
      <c r="BM105" s="624">
        <f>MAX(0,BM104)*0.5</f>
        <v/>
      </c>
      <c r="BN105" s="624">
        <f>MAX(0,BN104)*0.5</f>
        <v/>
      </c>
      <c r="BO105" s="624">
        <f>MAX(0,BO104)*0.5</f>
        <v/>
      </c>
      <c r="BP105" s="624">
        <f>MAX(0,BP104)*0.5</f>
        <v/>
      </c>
      <c r="BQ105" s="624">
        <f>MAX(0,BQ104)*0.5</f>
        <v/>
      </c>
      <c r="BR105" s="624">
        <f>MAX(0,BR104)*0.5</f>
        <v/>
      </c>
      <c r="BS105" s="624">
        <f>MAX(0,BS104)*0.5</f>
        <v/>
      </c>
      <c r="BT105" s="624">
        <f>MAX(0,BT104)*0.5</f>
        <v/>
      </c>
      <c r="BU105" s="624">
        <f>MAX(0,BU104)*0.5</f>
        <v/>
      </c>
      <c r="BV105" s="624">
        <f>MAX(0,BV104)*0.5</f>
        <v/>
      </c>
      <c r="BW105" s="624">
        <f>MAX(0,BW104)*0.5</f>
        <v/>
      </c>
      <c r="BX105" s="624">
        <f>MAX(0,BX104)*0.5</f>
        <v/>
      </c>
      <c r="BY105" s="624">
        <f>MAX(0,BY104)*0.5</f>
        <v/>
      </c>
      <c r="BZ105" s="624">
        <f>MAX(0,BZ104)*0.5</f>
        <v/>
      </c>
      <c r="CA105" s="624">
        <f>MAX(0,CA104)*0.5</f>
        <v/>
      </c>
      <c r="CB105" s="624">
        <f>MAX(0,CB104)*0.5</f>
        <v/>
      </c>
      <c r="CC105" s="624">
        <f>MAX(0,CC104)*0.5</f>
        <v/>
      </c>
      <c r="CD105" s="624">
        <f>MAX(0,CD104)*0.5</f>
        <v/>
      </c>
      <c r="CE105" s="624">
        <f>MAX(0,CE104)*0.5</f>
        <v/>
      </c>
      <c r="CF105" s="624">
        <f>MAX(0,CF104)*0.5</f>
        <v/>
      </c>
      <c r="CG105" s="624">
        <f>MAX(0,CG104)*0.5</f>
        <v/>
      </c>
      <c r="CH105" s="624">
        <f>MAX(0,CH104)*$B$95</f>
        <v/>
      </c>
    </row>
    <row r="106" ht="15" customFormat="1" customHeight="1" s="380">
      <c r="A106" s="478" t="inlineStr">
        <is>
          <t>NI After Profit Share (to Six Peak)</t>
        </is>
      </c>
      <c r="B106" s="622">
        <f>B104-B105</f>
        <v/>
      </c>
      <c r="C106" s="624">
        <f>C104-C105</f>
        <v/>
      </c>
      <c r="D106" s="624">
        <f>D104-D105</f>
        <v/>
      </c>
      <c r="E106" s="624">
        <f>E104-E105</f>
        <v/>
      </c>
      <c r="F106" s="624">
        <f>F104-F105</f>
        <v/>
      </c>
      <c r="G106" s="624">
        <f>G104-G105</f>
        <v/>
      </c>
      <c r="H106" s="624">
        <f>H104-H105</f>
        <v/>
      </c>
      <c r="I106" s="624">
        <f>I104-I105</f>
        <v/>
      </c>
      <c r="J106" s="624">
        <f>J104-J105</f>
        <v/>
      </c>
      <c r="K106" s="624">
        <f>K104-K105</f>
        <v/>
      </c>
      <c r="L106" s="624">
        <f>L104-L105</f>
        <v/>
      </c>
      <c r="M106" s="624">
        <f>M104-M105</f>
        <v/>
      </c>
      <c r="N106" s="624">
        <f>N104-N105</f>
        <v/>
      </c>
      <c r="O106" s="624">
        <f>O104-O105</f>
        <v/>
      </c>
      <c r="P106" s="624">
        <f>P104-P105</f>
        <v/>
      </c>
      <c r="Q106" s="624">
        <f>Q104-Q105</f>
        <v/>
      </c>
      <c r="R106" s="624">
        <f>R104-R105</f>
        <v/>
      </c>
      <c r="S106" s="624">
        <f>S104-S105</f>
        <v/>
      </c>
      <c r="T106" s="624">
        <f>T104-T105</f>
        <v/>
      </c>
      <c r="U106" s="624">
        <f>U104-U105</f>
        <v/>
      </c>
      <c r="V106" s="624">
        <f>V104-V105</f>
        <v/>
      </c>
      <c r="W106" s="624">
        <f>W104-W105</f>
        <v/>
      </c>
      <c r="X106" s="624">
        <f>X104-X105</f>
        <v/>
      </c>
      <c r="Y106" s="624">
        <f>Y104-Y105</f>
        <v/>
      </c>
      <c r="Z106" s="624">
        <f>Z104-Z105</f>
        <v/>
      </c>
      <c r="AA106" s="624">
        <f>AA104-AA105</f>
        <v/>
      </c>
      <c r="AB106" s="624">
        <f>AB104-AB105</f>
        <v/>
      </c>
      <c r="AC106" s="624">
        <f>AC104-AC105</f>
        <v/>
      </c>
      <c r="AD106" s="624">
        <f>AD104-AD105</f>
        <v/>
      </c>
      <c r="AE106" s="624">
        <f>AE104-AE105</f>
        <v/>
      </c>
      <c r="AF106" s="624">
        <f>AF104-AF105</f>
        <v/>
      </c>
      <c r="AG106" s="624">
        <f>AG104-AG105</f>
        <v/>
      </c>
      <c r="AH106" s="624">
        <f>AH104-AH105</f>
        <v/>
      </c>
      <c r="AI106" s="624">
        <f>AI104-AI105</f>
        <v/>
      </c>
      <c r="AJ106" s="624">
        <f>AJ104-AJ105</f>
        <v/>
      </c>
      <c r="AK106" s="624">
        <f>AK104-AK105</f>
        <v/>
      </c>
      <c r="AL106" s="624">
        <f>AL104-AL105</f>
        <v/>
      </c>
      <c r="AM106" s="624">
        <f>AM104-AM105</f>
        <v/>
      </c>
      <c r="AN106" s="624">
        <f>AN104-AN105</f>
        <v/>
      </c>
      <c r="AO106" s="624">
        <f>AO104-AO105</f>
        <v/>
      </c>
      <c r="AP106" s="624">
        <f>AP104-AP105</f>
        <v/>
      </c>
      <c r="AQ106" s="624">
        <f>AQ104-AQ105</f>
        <v/>
      </c>
      <c r="AR106" s="624">
        <f>AR104-AR105</f>
        <v/>
      </c>
      <c r="AS106" s="624">
        <f>AS104-AS105</f>
        <v/>
      </c>
      <c r="AT106" s="624">
        <f>AT104-AT105</f>
        <v/>
      </c>
      <c r="AU106" s="624">
        <f>AU104-AU105</f>
        <v/>
      </c>
      <c r="AV106" s="624">
        <f>AV104-AV105</f>
        <v/>
      </c>
      <c r="AW106" s="624">
        <f>AW104-AW105</f>
        <v/>
      </c>
      <c r="AX106" s="624">
        <f>AX104-AX105</f>
        <v/>
      </c>
      <c r="AY106" s="624">
        <f>AY104-AY105</f>
        <v/>
      </c>
      <c r="AZ106" s="624">
        <f>AZ104-AZ105</f>
        <v/>
      </c>
      <c r="BA106" s="624">
        <f>BA104-BA105</f>
        <v/>
      </c>
      <c r="BB106" s="624">
        <f>BB104-BB105</f>
        <v/>
      </c>
      <c r="BC106" s="624">
        <f>BC104-BC105</f>
        <v/>
      </c>
      <c r="BD106" s="624">
        <f>BD104-BD105</f>
        <v/>
      </c>
      <c r="BE106" s="624">
        <f>BE104-BE105</f>
        <v/>
      </c>
      <c r="BF106" s="624">
        <f>BF104-BF105</f>
        <v/>
      </c>
      <c r="BG106" s="624">
        <f>BG104-BG105</f>
        <v/>
      </c>
      <c r="BH106" s="624">
        <f>BH104-BH105</f>
        <v/>
      </c>
      <c r="BI106" s="624">
        <f>BI104-BI105</f>
        <v/>
      </c>
      <c r="BJ106" s="624">
        <f>BJ104-BJ105</f>
        <v/>
      </c>
      <c r="BK106" s="624">
        <f>BK104-BK105</f>
        <v/>
      </c>
      <c r="BL106" s="624">
        <f>BL104-BL105</f>
        <v/>
      </c>
      <c r="BM106" s="624">
        <f>BM104-BM105</f>
        <v/>
      </c>
      <c r="BN106" s="624">
        <f>BN104-BN105</f>
        <v/>
      </c>
      <c r="BO106" s="624">
        <f>BO104-BO105</f>
        <v/>
      </c>
      <c r="BP106" s="624">
        <f>BP104-BP105</f>
        <v/>
      </c>
      <c r="BQ106" s="624">
        <f>BQ104-BQ105</f>
        <v/>
      </c>
      <c r="BR106" s="624">
        <f>BR104-BR105</f>
        <v/>
      </c>
      <c r="BS106" s="624">
        <f>BS104-BS105</f>
        <v/>
      </c>
      <c r="BT106" s="624">
        <f>BT104-BT105</f>
        <v/>
      </c>
      <c r="BU106" s="624">
        <f>BU104-BU105</f>
        <v/>
      </c>
      <c r="BV106" s="624">
        <f>BV104-BV105</f>
        <v/>
      </c>
      <c r="BW106" s="624">
        <f>BW104-BW105</f>
        <v/>
      </c>
      <c r="BX106" s="624">
        <f>BX104-BX105</f>
        <v/>
      </c>
      <c r="BY106" s="624">
        <f>BY104-BY105</f>
        <v/>
      </c>
      <c r="BZ106" s="624">
        <f>BZ104-BZ105</f>
        <v/>
      </c>
      <c r="CA106" s="624">
        <f>CA104-CA105</f>
        <v/>
      </c>
      <c r="CB106" s="624">
        <f>CB104-CB105</f>
        <v/>
      </c>
      <c r="CC106" s="624">
        <f>CC104-CC105</f>
        <v/>
      </c>
      <c r="CD106" s="624">
        <f>CD104-CD105</f>
        <v/>
      </c>
      <c r="CE106" s="624">
        <f>CE104-CE105</f>
        <v/>
      </c>
      <c r="CF106" s="624">
        <f>CF104-CF105</f>
        <v/>
      </c>
      <c r="CG106" s="624">
        <f>CG104-CG105</f>
        <v/>
      </c>
      <c r="CH106" s="624">
        <f>CH104-CH105</f>
        <v/>
      </c>
    </row>
    <row r="107" ht="15" customFormat="1" customHeight="1" s="380">
      <c r="A107" s="478" t="inlineStr">
        <is>
          <t>Total to Six Peak</t>
        </is>
      </c>
      <c r="B107" s="622">
        <f>B103+B106</f>
        <v/>
      </c>
      <c r="C107" s="624">
        <f>C103+C106</f>
        <v/>
      </c>
      <c r="D107" s="624">
        <f>D103+D106</f>
        <v/>
      </c>
      <c r="E107" s="624">
        <f>E103+E106</f>
        <v/>
      </c>
      <c r="F107" s="624">
        <f>F103+F106</f>
        <v/>
      </c>
      <c r="G107" s="624">
        <f>G103+G106</f>
        <v/>
      </c>
      <c r="H107" s="624">
        <f>H103+H106</f>
        <v/>
      </c>
      <c r="I107" s="624">
        <f>I103+I106</f>
        <v/>
      </c>
      <c r="J107" s="624">
        <f>J103+J106</f>
        <v/>
      </c>
      <c r="K107" s="624">
        <f>K103+K106</f>
        <v/>
      </c>
      <c r="L107" s="624">
        <f>L103+L106</f>
        <v/>
      </c>
      <c r="M107" s="624">
        <f>M103+M106</f>
        <v/>
      </c>
      <c r="N107" s="624">
        <f>N103+N106</f>
        <v/>
      </c>
      <c r="O107" s="624">
        <f>O103+O106</f>
        <v/>
      </c>
      <c r="P107" s="624">
        <f>P103+P106</f>
        <v/>
      </c>
      <c r="Q107" s="624">
        <f>Q103+Q106</f>
        <v/>
      </c>
      <c r="R107" s="624">
        <f>R103+R106</f>
        <v/>
      </c>
      <c r="S107" s="624">
        <f>S103+S106</f>
        <v/>
      </c>
      <c r="T107" s="624">
        <f>T103+T106</f>
        <v/>
      </c>
      <c r="U107" s="624">
        <f>U103+U106</f>
        <v/>
      </c>
      <c r="V107" s="624">
        <f>V103+V106</f>
        <v/>
      </c>
      <c r="W107" s="624">
        <f>W103+W106</f>
        <v/>
      </c>
      <c r="X107" s="624">
        <f>X103+X106</f>
        <v/>
      </c>
      <c r="Y107" s="624">
        <f>Y103+Y106</f>
        <v/>
      </c>
      <c r="Z107" s="624">
        <f>Z103+Z106</f>
        <v/>
      </c>
      <c r="AA107" s="624">
        <f>AA103+AA106</f>
        <v/>
      </c>
      <c r="AB107" s="624">
        <f>AB103+AB106</f>
        <v/>
      </c>
      <c r="AC107" s="624">
        <f>AC103+AC106</f>
        <v/>
      </c>
      <c r="AD107" s="624">
        <f>AD103+AD106</f>
        <v/>
      </c>
      <c r="AE107" s="624">
        <f>AE103+AE106</f>
        <v/>
      </c>
      <c r="AF107" s="624">
        <f>AF103+AF106</f>
        <v/>
      </c>
      <c r="AG107" s="624">
        <f>AG103+AG106</f>
        <v/>
      </c>
      <c r="AH107" s="624">
        <f>AH103+AH106</f>
        <v/>
      </c>
      <c r="AI107" s="624">
        <f>AI103+AI106</f>
        <v/>
      </c>
      <c r="AJ107" s="624">
        <f>AJ103+AJ106</f>
        <v/>
      </c>
      <c r="AK107" s="624">
        <f>AK103+AK106</f>
        <v/>
      </c>
      <c r="AL107" s="624">
        <f>AL103+AL106</f>
        <v/>
      </c>
      <c r="AM107" s="624">
        <f>AM103+AM106</f>
        <v/>
      </c>
      <c r="AN107" s="624">
        <f>AN103+AN106</f>
        <v/>
      </c>
      <c r="AO107" s="624">
        <f>AO103+AO106</f>
        <v/>
      </c>
      <c r="AP107" s="624">
        <f>AP103+AP106</f>
        <v/>
      </c>
      <c r="AQ107" s="624">
        <f>AQ103+AQ106</f>
        <v/>
      </c>
      <c r="AR107" s="624">
        <f>AR103+AR106</f>
        <v/>
      </c>
      <c r="AS107" s="624">
        <f>AS103+AS106</f>
        <v/>
      </c>
      <c r="AT107" s="624">
        <f>AT103+AT106</f>
        <v/>
      </c>
      <c r="AU107" s="624">
        <f>AU103+AU106</f>
        <v/>
      </c>
      <c r="AV107" s="624">
        <f>AV103+AV106</f>
        <v/>
      </c>
      <c r="AW107" s="624">
        <f>AW103+AW106</f>
        <v/>
      </c>
      <c r="AX107" s="624">
        <f>AX103+AX106</f>
        <v/>
      </c>
      <c r="AY107" s="624">
        <f>AY103+AY106</f>
        <v/>
      </c>
      <c r="AZ107" s="624">
        <f>AZ103+AZ106</f>
        <v/>
      </c>
      <c r="BA107" s="624">
        <f>BA103+BA106</f>
        <v/>
      </c>
      <c r="BB107" s="624">
        <f>BB103+BB106</f>
        <v/>
      </c>
      <c r="BC107" s="624">
        <f>BC103+BC106</f>
        <v/>
      </c>
      <c r="BD107" s="624">
        <f>BD103+BD106</f>
        <v/>
      </c>
      <c r="BE107" s="624">
        <f>BE103+BE106</f>
        <v/>
      </c>
      <c r="BF107" s="624">
        <f>BF103+BF106</f>
        <v/>
      </c>
      <c r="BG107" s="624">
        <f>BG103+BG106</f>
        <v/>
      </c>
      <c r="BH107" s="624">
        <f>BH103+BH106</f>
        <v/>
      </c>
      <c r="BI107" s="624">
        <f>BI103+BI106</f>
        <v/>
      </c>
      <c r="BJ107" s="624">
        <f>BJ103+BJ106</f>
        <v/>
      </c>
      <c r="BK107" s="624">
        <f>BK103+BK106</f>
        <v/>
      </c>
      <c r="BL107" s="624">
        <f>BL103+BL106</f>
        <v/>
      </c>
      <c r="BM107" s="624">
        <f>BM103+BM106</f>
        <v/>
      </c>
      <c r="BN107" s="624">
        <f>BN103+BN106</f>
        <v/>
      </c>
      <c r="BO107" s="624">
        <f>BO103+BO106</f>
        <v/>
      </c>
      <c r="BP107" s="624">
        <f>BP103+BP106</f>
        <v/>
      </c>
      <c r="BQ107" s="624">
        <f>BQ103+BQ106</f>
        <v/>
      </c>
      <c r="BR107" s="624">
        <f>BR103+BR106</f>
        <v/>
      </c>
      <c r="BS107" s="624">
        <f>BS103+BS106</f>
        <v/>
      </c>
      <c r="BT107" s="624">
        <f>BT103+BT106</f>
        <v/>
      </c>
      <c r="BU107" s="624">
        <f>BU103+BU106</f>
        <v/>
      </c>
      <c r="BV107" s="624">
        <f>BV103+BV106</f>
        <v/>
      </c>
      <c r="BW107" s="624">
        <f>BW103+BW106</f>
        <v/>
      </c>
      <c r="BX107" s="624">
        <f>BX103+BX106</f>
        <v/>
      </c>
      <c r="BY107" s="624">
        <f>BY103+BY106</f>
        <v/>
      </c>
      <c r="BZ107" s="624">
        <f>BZ103+BZ106</f>
        <v/>
      </c>
      <c r="CA107" s="624">
        <f>CA103+CA106</f>
        <v/>
      </c>
      <c r="CB107" s="624">
        <f>CB103+CB106</f>
        <v/>
      </c>
      <c r="CC107" s="624">
        <f>CC103+CC106</f>
        <v/>
      </c>
      <c r="CD107" s="624">
        <f>CD103+CD106</f>
        <v/>
      </c>
      <c r="CE107" s="624">
        <f>CE103+CE106</f>
        <v/>
      </c>
      <c r="CF107" s="624">
        <f>CF103+CF106</f>
        <v/>
      </c>
      <c r="CG107" s="624">
        <f>CG103+CG106</f>
        <v/>
      </c>
      <c r="CH107" s="624">
        <f>CH103+CH106</f>
        <v/>
      </c>
    </row>
    <row r="112" ht="15" customHeight="1" s="410">
      <c r="A112" s="380" t="inlineStr">
        <is>
          <t>TREATMENT: Schuyler Dietz is engaged as a CONSULTANT. His 40/45/50% tiered participation is a</t>
        </is>
      </c>
    </row>
    <row r="113" ht="15" customHeight="1" s="410">
      <c r="A113" s="380" t="inlineStr">
        <is>
          <t xml:space="preserve">   PROFIT SHARE on program net income, not an employee bonus. It is not W2 payroll and carries no</t>
        </is>
      </c>
    </row>
    <row r="114" ht="15" customHeight="1" s="410">
      <c r="A114" s="380" t="inlineStr">
        <is>
          <t xml:space="preserve">   payroll burden. Personnel row 39 already flags him Consult% = 1, so he is excluded from the W2</t>
        </is>
      </c>
    </row>
    <row r="115" ht="15" customHeight="1" s="410">
      <c r="A115" s="380" t="inlineStr">
        <is>
          <t xml:space="preserve">   basis (Helpers r4 / Model r111) and expensed via Model r186, 5500-1004 Consultants and Other</t>
        </is>
      </c>
    </row>
    <row r="116" ht="15" customHeight="1" s="410">
      <c r="A116" s="380" t="inlineStr">
        <is>
          <t xml:space="preserve">   Professional Expenses. Relabelled 15 Aug 2026.</t>
        </is>
      </c>
    </row>
  </sheetData>
  <mergeCells count="16">
    <mergeCell ref="C73:G73"/>
    <mergeCell ref="B81:G81"/>
    <mergeCell ref="C77:G77"/>
    <mergeCell ref="B89:G89"/>
    <mergeCell ref="B90:G90"/>
    <mergeCell ref="B85:G85"/>
    <mergeCell ref="B84:G84"/>
    <mergeCell ref="C76:G76"/>
    <mergeCell ref="C78:G78"/>
    <mergeCell ref="B83:G83"/>
    <mergeCell ref="B88:G88"/>
    <mergeCell ref="C75:G75"/>
    <mergeCell ref="C74:G74"/>
    <mergeCell ref="B86:G86"/>
    <mergeCell ref="B82:G82"/>
    <mergeCell ref="B87:G8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57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28" customWidth="1" style="380" min="1" max="1"/>
    <col width="14" customWidth="1" style="380" min="2" max="86"/>
  </cols>
  <sheetData>
    <row r="1" ht="17.25" customFormat="1" customHeight="1" s="380">
      <c r="A1" s="381" t="inlineStr">
        <is>
          <t>Six Peak Capital - GC + Developer Deal Profitability (Net of Steyn Fees)</t>
        </is>
      </c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</row>
    <row r="3" ht="15" customFormat="1" customHeight="1" s="380">
      <c r="A3" s="402" t="inlineStr">
        <is>
          <t>Crenshaw</t>
        </is>
      </c>
      <c r="B3" s="402" t="n"/>
      <c r="C3" s="402" t="n"/>
      <c r="D3" s="402" t="n"/>
      <c r="E3" s="402" t="n"/>
      <c r="F3" s="402" t="n"/>
      <c r="G3" s="402" t="n"/>
      <c r="H3" s="402" t="n"/>
      <c r="I3" s="402" t="n"/>
      <c r="J3" s="402" t="n"/>
      <c r="K3" s="402" t="n"/>
      <c r="L3" s="402" t="n"/>
      <c r="M3" s="402" t="n"/>
      <c r="N3" s="402" t="n"/>
      <c r="O3" s="402" t="n"/>
      <c r="P3" s="402" t="n"/>
      <c r="Q3" s="402" t="n"/>
      <c r="R3" s="402" t="n"/>
      <c r="S3" s="402" t="n"/>
      <c r="T3" s="402" t="n"/>
      <c r="U3" s="402" t="n"/>
      <c r="V3" s="402" t="n"/>
      <c r="W3" s="402" t="n"/>
      <c r="X3" s="402" t="n"/>
      <c r="Y3" s="402" t="n"/>
      <c r="Z3" s="402" t="n"/>
      <c r="AA3" s="402" t="n"/>
      <c r="AB3" s="402" t="n"/>
      <c r="AC3" s="402" t="n"/>
      <c r="AD3" s="402" t="n"/>
      <c r="AE3" s="402" t="n"/>
      <c r="AF3" s="402" t="n"/>
      <c r="AG3" s="402" t="n"/>
      <c r="AH3" s="402" t="n"/>
      <c r="AI3" s="402" t="n"/>
      <c r="AJ3" s="402" t="n"/>
      <c r="AK3" s="402" t="n"/>
      <c r="AL3" s="402" t="n"/>
      <c r="AM3" s="402" t="n"/>
      <c r="AN3" s="402" t="n"/>
      <c r="AO3" s="402" t="n"/>
      <c r="AP3" s="402" t="n"/>
      <c r="AQ3" s="402" t="n"/>
      <c r="AR3" s="402" t="n"/>
      <c r="AS3" s="402" t="n"/>
      <c r="AT3" s="402" t="n"/>
      <c r="AU3" s="402" t="n"/>
      <c r="AV3" s="402" t="n"/>
      <c r="AW3" s="402" t="n"/>
      <c r="AX3" s="402" t="n"/>
      <c r="AY3" s="402" t="n"/>
      <c r="AZ3" s="402" t="n"/>
      <c r="BA3" s="402" t="n"/>
      <c r="BB3" s="402" t="n"/>
      <c r="BC3" s="402" t="n"/>
      <c r="BD3" s="402" t="n"/>
      <c r="BE3" s="402" t="n"/>
      <c r="BF3" s="402" t="n"/>
      <c r="BG3" s="402" t="n"/>
      <c r="BH3" s="402" t="n"/>
      <c r="BI3" s="402" t="n"/>
      <c r="BJ3" s="402" t="n"/>
      <c r="BK3" s="402" t="n"/>
      <c r="BL3" s="402" t="n"/>
      <c r="BM3" s="402" t="n"/>
      <c r="BN3" s="402" t="n"/>
      <c r="BO3" s="402" t="n"/>
      <c r="BP3" s="402" t="n"/>
      <c r="BQ3" s="402" t="n"/>
      <c r="BR3" s="402" t="n"/>
      <c r="BS3" s="402" t="n"/>
      <c r="BT3" s="402" t="n"/>
      <c r="BU3" s="402" t="n"/>
      <c r="BV3" s="402" t="n"/>
      <c r="BW3" s="402" t="n"/>
      <c r="BX3" s="402" t="n"/>
      <c r="BY3" s="402" t="n"/>
      <c r="BZ3" s="402" t="n"/>
      <c r="CA3" s="402" t="n"/>
      <c r="CB3" s="402" t="n"/>
      <c r="CC3" s="402" t="n"/>
      <c r="CD3" s="402" t="n"/>
      <c r="CE3" s="402" t="n"/>
      <c r="CF3" s="402" t="n"/>
      <c r="CG3" s="402" t="n"/>
      <c r="CH3" s="402" t="n"/>
    </row>
    <row r="4" ht="15" customFormat="1" customHeight="1" s="380">
      <c r="A4" s="458" t="inlineStr">
        <is>
          <t xml:space="preserve">  Revenue</t>
        </is>
      </c>
      <c r="B4" s="382" t="n"/>
      <c r="C4" s="625">
        <f>Model!E156</f>
        <v/>
      </c>
      <c r="D4" s="625">
        <f>Model!F156</f>
        <v/>
      </c>
      <c r="E4" s="625">
        <f>Model!G156</f>
        <v/>
      </c>
      <c r="F4" s="625">
        <f>Model!H156</f>
        <v/>
      </c>
      <c r="G4" s="625">
        <f>Model!I156</f>
        <v/>
      </c>
      <c r="H4" s="625">
        <f>Model!J156</f>
        <v/>
      </c>
      <c r="I4" s="625">
        <f>Model!K156</f>
        <v/>
      </c>
      <c r="J4" s="625">
        <f>Model!L156</f>
        <v/>
      </c>
      <c r="K4" s="625">
        <f>Model!M156</f>
        <v/>
      </c>
      <c r="L4" s="625">
        <f>Model!N156</f>
        <v/>
      </c>
      <c r="M4" s="625">
        <f>Model!O156</f>
        <v/>
      </c>
      <c r="N4" s="625">
        <f>Model!P156</f>
        <v/>
      </c>
      <c r="O4" s="625">
        <f>Model!Q156</f>
        <v/>
      </c>
      <c r="P4" s="625">
        <f>Model!R156</f>
        <v/>
      </c>
      <c r="Q4" s="625">
        <f>Model!S156</f>
        <v/>
      </c>
      <c r="R4" s="625">
        <f>Model!T156</f>
        <v/>
      </c>
      <c r="S4" s="625">
        <f>Model!U156</f>
        <v/>
      </c>
      <c r="T4" s="625">
        <f>Model!V156</f>
        <v/>
      </c>
      <c r="U4" s="625">
        <f>Model!W156</f>
        <v/>
      </c>
      <c r="V4" s="625">
        <f>Model!X156</f>
        <v/>
      </c>
      <c r="W4" s="625">
        <f>Model!Y156</f>
        <v/>
      </c>
      <c r="X4" s="625">
        <f>Model!Z156</f>
        <v/>
      </c>
      <c r="Y4" s="625">
        <f>Model!AA156</f>
        <v/>
      </c>
      <c r="Z4" s="625">
        <f>Model!AB156</f>
        <v/>
      </c>
      <c r="AA4" s="625">
        <f>Model!AC156</f>
        <v/>
      </c>
      <c r="AB4" s="625">
        <f>Model!AD156</f>
        <v/>
      </c>
      <c r="AC4" s="625">
        <f>Model!AE156</f>
        <v/>
      </c>
      <c r="AD4" s="625">
        <f>Model!AF156</f>
        <v/>
      </c>
      <c r="AE4" s="625">
        <f>Model!AG156</f>
        <v/>
      </c>
      <c r="AF4" s="625">
        <f>Model!AH156</f>
        <v/>
      </c>
      <c r="AG4" s="625">
        <f>Model!AI156</f>
        <v/>
      </c>
      <c r="AH4" s="625">
        <f>Model!AJ156</f>
        <v/>
      </c>
      <c r="AI4" s="625">
        <f>Model!AK156</f>
        <v/>
      </c>
      <c r="AJ4" s="625">
        <f>Model!AL156</f>
        <v/>
      </c>
      <c r="AK4" s="625">
        <f>Model!AM156</f>
        <v/>
      </c>
      <c r="AL4" s="625">
        <f>Model!AN156</f>
        <v/>
      </c>
      <c r="AM4" s="625">
        <f>Model!AO156</f>
        <v/>
      </c>
      <c r="AN4" s="625">
        <f>Model!AP156</f>
        <v/>
      </c>
      <c r="AO4" s="625">
        <f>Model!AQ156</f>
        <v/>
      </c>
      <c r="AP4" s="625">
        <f>Model!AR156</f>
        <v/>
      </c>
      <c r="AQ4" s="625">
        <f>Model!AS156</f>
        <v/>
      </c>
      <c r="AR4" s="625">
        <f>Model!AT156</f>
        <v/>
      </c>
      <c r="AS4" s="625">
        <f>Model!AU156</f>
        <v/>
      </c>
      <c r="AT4" s="625">
        <f>Model!AV156</f>
        <v/>
      </c>
      <c r="AU4" s="625">
        <f>Model!AW156</f>
        <v/>
      </c>
      <c r="AV4" s="625">
        <f>Model!AX156</f>
        <v/>
      </c>
      <c r="AW4" s="625">
        <f>Model!AY156</f>
        <v/>
      </c>
      <c r="AX4" s="625">
        <f>Model!AZ156</f>
        <v/>
      </c>
      <c r="AY4" s="625">
        <f>Model!BA156</f>
        <v/>
      </c>
      <c r="AZ4" s="625">
        <f>Model!BB156</f>
        <v/>
      </c>
      <c r="BA4" s="625">
        <f>Model!BC156</f>
        <v/>
      </c>
      <c r="BB4" s="625">
        <f>Model!BD156</f>
        <v/>
      </c>
      <c r="BC4" s="625">
        <f>Model!BE156</f>
        <v/>
      </c>
      <c r="BD4" s="625">
        <f>Model!BF156</f>
        <v/>
      </c>
      <c r="BE4" s="625">
        <f>Model!BG156</f>
        <v/>
      </c>
      <c r="BF4" s="625">
        <f>Model!BH156</f>
        <v/>
      </c>
      <c r="BG4" s="625">
        <f>Model!BI156</f>
        <v/>
      </c>
      <c r="BH4" s="625">
        <f>Model!BJ156</f>
        <v/>
      </c>
      <c r="BI4" s="625">
        <f>Model!BK156</f>
        <v/>
      </c>
      <c r="BJ4" s="625">
        <f>Model!BL156</f>
        <v/>
      </c>
      <c r="BK4" s="625">
        <f>Model!BM156</f>
        <v/>
      </c>
      <c r="BL4" s="625">
        <f>Model!BN156</f>
        <v/>
      </c>
      <c r="BM4" s="625">
        <f>Model!BO156</f>
        <v/>
      </c>
      <c r="BN4" s="625">
        <f>Model!BP156</f>
        <v/>
      </c>
      <c r="BO4" s="625">
        <f>Model!BQ156</f>
        <v/>
      </c>
      <c r="BP4" s="625">
        <f>Model!BR156</f>
        <v/>
      </c>
      <c r="BQ4" s="625">
        <f>Model!BS156</f>
        <v/>
      </c>
      <c r="BR4" s="625">
        <f>Model!BT156</f>
        <v/>
      </c>
      <c r="BS4" s="625">
        <f>Model!BU156</f>
        <v/>
      </c>
      <c r="BT4" s="625">
        <f>Model!BV156</f>
        <v/>
      </c>
      <c r="BU4" s="625">
        <f>Model!BW156</f>
        <v/>
      </c>
      <c r="BV4" s="625">
        <f>Model!BX156</f>
        <v/>
      </c>
      <c r="BW4" s="625">
        <f>Model!BY156</f>
        <v/>
      </c>
      <c r="BX4" s="625">
        <f>Model!BZ156</f>
        <v/>
      </c>
      <c r="BY4" s="625">
        <f>Model!CA156</f>
        <v/>
      </c>
      <c r="BZ4" s="625">
        <f>Model!CB156</f>
        <v/>
      </c>
      <c r="CA4" s="625">
        <f>Model!CC156</f>
        <v/>
      </c>
      <c r="CB4" s="625">
        <f>Model!CD156</f>
        <v/>
      </c>
      <c r="CC4" s="625">
        <f>Model!CE156</f>
        <v/>
      </c>
      <c r="CD4" s="625">
        <f>Model!CF156</f>
        <v/>
      </c>
      <c r="CE4" s="625">
        <f>Model!CG156</f>
        <v/>
      </c>
      <c r="CF4" s="625">
        <f>Model!CH156</f>
        <v/>
      </c>
      <c r="CG4" s="625">
        <f>Model!CI156</f>
        <v/>
      </c>
      <c r="CH4" s="625">
        <f>Model!CJ156</f>
        <v/>
      </c>
    </row>
    <row r="5" ht="15" customFormat="1" customHeight="1" s="380">
      <c r="A5" s="626" t="inlineStr">
        <is>
          <t xml:space="preserve">  Net to Six Peak</t>
        </is>
      </c>
      <c r="B5" s="626" t="n"/>
      <c r="C5" s="627">
        <f>C4</f>
        <v/>
      </c>
      <c r="D5" s="627">
        <f>D4</f>
        <v/>
      </c>
      <c r="E5" s="627">
        <f>E4</f>
        <v/>
      </c>
      <c r="F5" s="627">
        <f>F4</f>
        <v/>
      </c>
      <c r="G5" s="627">
        <f>G4</f>
        <v/>
      </c>
      <c r="H5" s="627">
        <f>H4</f>
        <v/>
      </c>
      <c r="I5" s="627">
        <f>I4</f>
        <v/>
      </c>
      <c r="J5" s="627">
        <f>J4</f>
        <v/>
      </c>
      <c r="K5" s="627">
        <f>K4</f>
        <v/>
      </c>
      <c r="L5" s="627">
        <f>L4</f>
        <v/>
      </c>
      <c r="M5" s="627">
        <f>M4</f>
        <v/>
      </c>
      <c r="N5" s="627">
        <f>N4</f>
        <v/>
      </c>
      <c r="O5" s="627">
        <f>O4</f>
        <v/>
      </c>
      <c r="P5" s="627">
        <f>P4</f>
        <v/>
      </c>
      <c r="Q5" s="627">
        <f>Q4</f>
        <v/>
      </c>
      <c r="R5" s="627">
        <f>R4</f>
        <v/>
      </c>
      <c r="S5" s="627">
        <f>S4</f>
        <v/>
      </c>
      <c r="T5" s="627">
        <f>T4</f>
        <v/>
      </c>
      <c r="U5" s="627">
        <f>U4</f>
        <v/>
      </c>
      <c r="V5" s="627">
        <f>V4</f>
        <v/>
      </c>
      <c r="W5" s="627">
        <f>W4</f>
        <v/>
      </c>
      <c r="X5" s="627">
        <f>X4</f>
        <v/>
      </c>
      <c r="Y5" s="627">
        <f>Y4</f>
        <v/>
      </c>
      <c r="Z5" s="627">
        <f>Z4</f>
        <v/>
      </c>
      <c r="AA5" s="627">
        <f>AA4</f>
        <v/>
      </c>
      <c r="AB5" s="627">
        <f>AB4</f>
        <v/>
      </c>
      <c r="AC5" s="627">
        <f>AC4</f>
        <v/>
      </c>
      <c r="AD5" s="627">
        <f>AD4</f>
        <v/>
      </c>
      <c r="AE5" s="627">
        <f>AE4</f>
        <v/>
      </c>
      <c r="AF5" s="627">
        <f>AF4</f>
        <v/>
      </c>
      <c r="AG5" s="627">
        <f>AG4</f>
        <v/>
      </c>
      <c r="AH5" s="627">
        <f>AH4</f>
        <v/>
      </c>
      <c r="AI5" s="627">
        <f>AI4</f>
        <v/>
      </c>
      <c r="AJ5" s="627">
        <f>AJ4</f>
        <v/>
      </c>
      <c r="AK5" s="627">
        <f>AK4</f>
        <v/>
      </c>
      <c r="AL5" s="627">
        <f>AL4</f>
        <v/>
      </c>
      <c r="AM5" s="627">
        <f>AM4</f>
        <v/>
      </c>
      <c r="AN5" s="627">
        <f>AN4</f>
        <v/>
      </c>
      <c r="AO5" s="627">
        <f>AO4</f>
        <v/>
      </c>
      <c r="AP5" s="627">
        <f>AP4</f>
        <v/>
      </c>
      <c r="AQ5" s="627">
        <f>AQ4</f>
        <v/>
      </c>
      <c r="AR5" s="627">
        <f>AR4</f>
        <v/>
      </c>
      <c r="AS5" s="627">
        <f>AS4</f>
        <v/>
      </c>
      <c r="AT5" s="627">
        <f>AT4</f>
        <v/>
      </c>
      <c r="AU5" s="627">
        <f>AU4</f>
        <v/>
      </c>
      <c r="AV5" s="627">
        <f>AV4</f>
        <v/>
      </c>
      <c r="AW5" s="627">
        <f>AW4</f>
        <v/>
      </c>
      <c r="AX5" s="627">
        <f>AX4</f>
        <v/>
      </c>
      <c r="AY5" s="627">
        <f>AY4</f>
        <v/>
      </c>
      <c r="AZ5" s="627">
        <f>AZ4</f>
        <v/>
      </c>
      <c r="BA5" s="627">
        <f>BA4</f>
        <v/>
      </c>
      <c r="BB5" s="627">
        <f>BB4</f>
        <v/>
      </c>
      <c r="BC5" s="627">
        <f>BC4</f>
        <v/>
      </c>
      <c r="BD5" s="627">
        <f>BD4</f>
        <v/>
      </c>
      <c r="BE5" s="627">
        <f>BE4</f>
        <v/>
      </c>
      <c r="BF5" s="627">
        <f>BF4</f>
        <v/>
      </c>
      <c r="BG5" s="627">
        <f>BG4</f>
        <v/>
      </c>
      <c r="BH5" s="627">
        <f>BH4</f>
        <v/>
      </c>
      <c r="BI5" s="627">
        <f>BI4</f>
        <v/>
      </c>
      <c r="BJ5" s="627">
        <f>BJ4</f>
        <v/>
      </c>
      <c r="BK5" s="627">
        <f>BK4</f>
        <v/>
      </c>
      <c r="BL5" s="627">
        <f>BL4</f>
        <v/>
      </c>
      <c r="BM5" s="627">
        <f>BM4</f>
        <v/>
      </c>
      <c r="BN5" s="627">
        <f>BN4</f>
        <v/>
      </c>
      <c r="BO5" s="627">
        <f>BO4</f>
        <v/>
      </c>
      <c r="BP5" s="627">
        <f>BP4</f>
        <v/>
      </c>
      <c r="BQ5" s="627">
        <f>BQ4</f>
        <v/>
      </c>
      <c r="BR5" s="627">
        <f>BR4</f>
        <v/>
      </c>
      <c r="BS5" s="627">
        <f>BS4</f>
        <v/>
      </c>
      <c r="BT5" s="627">
        <f>BT4</f>
        <v/>
      </c>
      <c r="BU5" s="627">
        <f>BU4</f>
        <v/>
      </c>
      <c r="BV5" s="627">
        <f>BV4</f>
        <v/>
      </c>
      <c r="BW5" s="627">
        <f>BW4</f>
        <v/>
      </c>
      <c r="BX5" s="627">
        <f>BX4</f>
        <v/>
      </c>
      <c r="BY5" s="627">
        <f>BY4</f>
        <v/>
      </c>
      <c r="BZ5" s="627">
        <f>BZ4</f>
        <v/>
      </c>
      <c r="CA5" s="627">
        <f>CA4</f>
        <v/>
      </c>
      <c r="CB5" s="627">
        <f>CB4</f>
        <v/>
      </c>
      <c r="CC5" s="627">
        <f>CC4</f>
        <v/>
      </c>
      <c r="CD5" s="627">
        <f>CD4</f>
        <v/>
      </c>
      <c r="CE5" s="627">
        <f>CE4</f>
        <v/>
      </c>
      <c r="CF5" s="627">
        <f>CF4</f>
        <v/>
      </c>
      <c r="CG5" s="627">
        <f>CG4</f>
        <v/>
      </c>
      <c r="CH5" s="627">
        <f>CH4</f>
        <v/>
      </c>
    </row>
    <row r="6" ht="15" customFormat="1" customHeight="1" s="380">
      <c r="A6" s="381" t="inlineStr">
        <is>
          <t xml:space="preserve">  Cumulative Net</t>
        </is>
      </c>
      <c r="B6" s="382" t="n"/>
      <c r="C6" s="628">
        <f>C5</f>
        <v/>
      </c>
      <c r="D6" s="628">
        <f>C6+D5</f>
        <v/>
      </c>
      <c r="E6" s="628">
        <f>D6+E5</f>
        <v/>
      </c>
      <c r="F6" s="628">
        <f>E6+F5</f>
        <v/>
      </c>
      <c r="G6" s="628">
        <f>F6+G5</f>
        <v/>
      </c>
      <c r="H6" s="628">
        <f>G6+H5</f>
        <v/>
      </c>
      <c r="I6" s="628">
        <f>H6+I5</f>
        <v/>
      </c>
      <c r="J6" s="628">
        <f>I6+J5</f>
        <v/>
      </c>
      <c r="K6" s="628">
        <f>J6+K5</f>
        <v/>
      </c>
      <c r="L6" s="628">
        <f>K6+L5</f>
        <v/>
      </c>
      <c r="M6" s="628">
        <f>L6+M5</f>
        <v/>
      </c>
      <c r="N6" s="628">
        <f>M6+N5</f>
        <v/>
      </c>
      <c r="O6" s="628">
        <f>N6+O5</f>
        <v/>
      </c>
      <c r="P6" s="628">
        <f>O6+P5</f>
        <v/>
      </c>
      <c r="Q6" s="628">
        <f>P6+Q5</f>
        <v/>
      </c>
      <c r="R6" s="628">
        <f>Q6+R5</f>
        <v/>
      </c>
      <c r="S6" s="628">
        <f>R6+S5</f>
        <v/>
      </c>
      <c r="T6" s="628">
        <f>S6+T5</f>
        <v/>
      </c>
      <c r="U6" s="628">
        <f>T6+U5</f>
        <v/>
      </c>
      <c r="V6" s="628">
        <f>U6+V5</f>
        <v/>
      </c>
      <c r="W6" s="628">
        <f>V6+W5</f>
        <v/>
      </c>
      <c r="X6" s="628">
        <f>W6+X5</f>
        <v/>
      </c>
      <c r="Y6" s="628">
        <f>X6+Y5</f>
        <v/>
      </c>
      <c r="Z6" s="628">
        <f>Y6+Z5</f>
        <v/>
      </c>
      <c r="AA6" s="628">
        <f>Z6+AA5</f>
        <v/>
      </c>
      <c r="AB6" s="628">
        <f>AA6+AB5</f>
        <v/>
      </c>
      <c r="AC6" s="628">
        <f>AB6+AC5</f>
        <v/>
      </c>
      <c r="AD6" s="628">
        <f>AC6+AD5</f>
        <v/>
      </c>
      <c r="AE6" s="628">
        <f>AD6+AE5</f>
        <v/>
      </c>
      <c r="AF6" s="628">
        <f>AE6+AF5</f>
        <v/>
      </c>
      <c r="AG6" s="628">
        <f>AF6+AG5</f>
        <v/>
      </c>
      <c r="AH6" s="628">
        <f>AG6+AH5</f>
        <v/>
      </c>
      <c r="AI6" s="628">
        <f>AH6+AI5</f>
        <v/>
      </c>
      <c r="AJ6" s="628">
        <f>AI6+AJ5</f>
        <v/>
      </c>
      <c r="AK6" s="628">
        <f>AJ6+AK5</f>
        <v/>
      </c>
      <c r="AL6" s="628">
        <f>AK6+AL5</f>
        <v/>
      </c>
      <c r="AM6" s="628">
        <f>AL6+AM5</f>
        <v/>
      </c>
      <c r="AN6" s="628">
        <f>AM6+AN5</f>
        <v/>
      </c>
      <c r="AO6" s="628">
        <f>AN6+AO5</f>
        <v/>
      </c>
      <c r="AP6" s="628">
        <f>AO6+AP5</f>
        <v/>
      </c>
      <c r="AQ6" s="628">
        <f>AP6+AQ5</f>
        <v/>
      </c>
      <c r="AR6" s="628">
        <f>AQ6+AR5</f>
        <v/>
      </c>
      <c r="AS6" s="628">
        <f>AR6+AS5</f>
        <v/>
      </c>
      <c r="AT6" s="628">
        <f>AS6+AT5</f>
        <v/>
      </c>
      <c r="AU6" s="628">
        <f>AT6+AU5</f>
        <v/>
      </c>
      <c r="AV6" s="628">
        <f>AU6+AV5</f>
        <v/>
      </c>
      <c r="AW6" s="628">
        <f>AV6+AW5</f>
        <v/>
      </c>
      <c r="AX6" s="628">
        <f>AW6+AX5</f>
        <v/>
      </c>
      <c r="AY6" s="628">
        <f>AX6+AY5</f>
        <v/>
      </c>
      <c r="AZ6" s="628">
        <f>AY6+AZ5</f>
        <v/>
      </c>
      <c r="BA6" s="628">
        <f>AZ6+BA5</f>
        <v/>
      </c>
      <c r="BB6" s="628">
        <f>BA6+BB5</f>
        <v/>
      </c>
      <c r="BC6" s="628">
        <f>BB6+BC5</f>
        <v/>
      </c>
      <c r="BD6" s="628">
        <f>BC6+BD5</f>
        <v/>
      </c>
      <c r="BE6" s="628">
        <f>BD6+BE5</f>
        <v/>
      </c>
      <c r="BF6" s="628">
        <f>BE6+BF5</f>
        <v/>
      </c>
      <c r="BG6" s="628">
        <f>BF6+BG5</f>
        <v/>
      </c>
      <c r="BH6" s="628">
        <f>BG6+BH5</f>
        <v/>
      </c>
      <c r="BI6" s="628">
        <f>BH6+BI5</f>
        <v/>
      </c>
      <c r="BJ6" s="628">
        <f>BI6+BJ5</f>
        <v/>
      </c>
      <c r="BK6" s="628">
        <f>BJ6+BK5</f>
        <v/>
      </c>
      <c r="BL6" s="628">
        <f>BK6+BL5</f>
        <v/>
      </c>
      <c r="BM6" s="628">
        <f>BL6+BM5</f>
        <v/>
      </c>
      <c r="BN6" s="628">
        <f>BM6+BN5</f>
        <v/>
      </c>
      <c r="BO6" s="628">
        <f>BN6+BO5</f>
        <v/>
      </c>
      <c r="BP6" s="628">
        <f>BO6+BP5</f>
        <v/>
      </c>
      <c r="BQ6" s="628">
        <f>BP6+BQ5</f>
        <v/>
      </c>
      <c r="BR6" s="628">
        <f>BQ6+BR5</f>
        <v/>
      </c>
      <c r="BS6" s="628">
        <f>BR6+BS5</f>
        <v/>
      </c>
      <c r="BT6" s="628">
        <f>BS6+BT5</f>
        <v/>
      </c>
      <c r="BU6" s="628">
        <f>BT6+BU5</f>
        <v/>
      </c>
      <c r="BV6" s="628">
        <f>BU6+BV5</f>
        <v/>
      </c>
      <c r="BW6" s="628">
        <f>BV6+BW5</f>
        <v/>
      </c>
      <c r="BX6" s="628">
        <f>BW6+BX5</f>
        <v/>
      </c>
      <c r="BY6" s="628">
        <f>BX6+BY5</f>
        <v/>
      </c>
      <c r="BZ6" s="628">
        <f>BY6+BZ5</f>
        <v/>
      </c>
      <c r="CA6" s="628">
        <f>BZ6+CA5</f>
        <v/>
      </c>
      <c r="CB6" s="628">
        <f>CA6+CB5</f>
        <v/>
      </c>
      <c r="CC6" s="628">
        <f>CB6+CC5</f>
        <v/>
      </c>
      <c r="CD6" s="628">
        <f>CC6+CD5</f>
        <v/>
      </c>
      <c r="CE6" s="628">
        <f>CD6+CE5</f>
        <v/>
      </c>
      <c r="CF6" s="628">
        <f>CE6+CF5</f>
        <v/>
      </c>
      <c r="CG6" s="628">
        <f>CF6+CG5</f>
        <v/>
      </c>
      <c r="CH6" s="628">
        <f>CG6+CH5</f>
        <v/>
      </c>
    </row>
    <row r="7" ht="15" customFormat="1" customHeight="1" s="380">
      <c r="A7" s="382" t="n"/>
      <c r="B7" s="382" t="n"/>
      <c r="C7" s="382" t="n"/>
      <c r="D7" s="382" t="n"/>
      <c r="E7" s="382" t="n"/>
      <c r="F7" s="382" t="n"/>
      <c r="G7" s="382" t="n"/>
      <c r="H7" s="382" t="n"/>
      <c r="I7" s="382" t="n"/>
      <c r="J7" s="382" t="n"/>
      <c r="K7" s="382" t="n"/>
      <c r="L7" s="382" t="n"/>
      <c r="M7" s="382" t="n"/>
      <c r="N7" s="382" t="n"/>
      <c r="O7" s="382" t="n"/>
      <c r="P7" s="382" t="n"/>
      <c r="Q7" s="382" t="n"/>
      <c r="R7" s="382" t="n"/>
      <c r="S7" s="382" t="n"/>
      <c r="T7" s="382" t="n"/>
      <c r="U7" s="382" t="n"/>
      <c r="V7" s="382" t="n"/>
      <c r="W7" s="382" t="n"/>
      <c r="X7" s="382" t="n"/>
      <c r="Y7" s="382" t="n"/>
      <c r="Z7" s="382" t="n"/>
      <c r="AA7" s="382" t="n"/>
      <c r="AB7" s="382" t="n"/>
      <c r="AC7" s="382" t="n"/>
      <c r="AD7" s="382" t="n"/>
      <c r="AE7" s="382" t="n"/>
      <c r="AF7" s="382" t="n"/>
      <c r="AG7" s="382" t="n"/>
      <c r="AH7" s="382" t="n"/>
      <c r="AI7" s="382" t="n"/>
      <c r="AJ7" s="382" t="n"/>
      <c r="AK7" s="382" t="n"/>
      <c r="AL7" s="382" t="n"/>
      <c r="AM7" s="382" t="n"/>
      <c r="AN7" s="382" t="n"/>
      <c r="AO7" s="382" t="n"/>
      <c r="AP7" s="382" t="n"/>
      <c r="AQ7" s="382" t="n"/>
      <c r="AR7" s="382" t="n"/>
      <c r="AS7" s="382" t="n"/>
      <c r="AT7" s="382" t="n"/>
      <c r="AU7" s="382" t="n"/>
      <c r="AV7" s="382" t="n"/>
      <c r="AW7" s="382" t="n"/>
      <c r="AX7" s="382" t="n"/>
      <c r="AY7" s="382" t="n"/>
      <c r="AZ7" s="382" t="n"/>
      <c r="BA7" s="382" t="n"/>
      <c r="BB7" s="382" t="n"/>
      <c r="BC7" s="382" t="n"/>
      <c r="BD7" s="382" t="n"/>
      <c r="BE7" s="382" t="n"/>
      <c r="BF7" s="382" t="n"/>
      <c r="BG7" s="382" t="n"/>
      <c r="BH7" s="382" t="n"/>
      <c r="BI7" s="382" t="n"/>
      <c r="BJ7" s="382" t="n"/>
      <c r="BK7" s="382" t="n"/>
      <c r="BL7" s="382" t="n"/>
      <c r="BM7" s="382" t="n"/>
      <c r="BN7" s="382" t="n"/>
      <c r="BO7" s="382" t="n"/>
      <c r="BP7" s="382" t="n"/>
      <c r="BQ7" s="382" t="n"/>
      <c r="BR7" s="382" t="n"/>
      <c r="BS7" s="382" t="n"/>
      <c r="BT7" s="382" t="n"/>
      <c r="BU7" s="382" t="n"/>
      <c r="BV7" s="382" t="n"/>
      <c r="BW7" s="382" t="n"/>
      <c r="BX7" s="382" t="n"/>
      <c r="BY7" s="382" t="n"/>
      <c r="BZ7" s="382" t="n"/>
      <c r="CA7" s="382" t="n"/>
      <c r="CB7" s="382" t="n"/>
      <c r="CC7" s="382" t="n"/>
      <c r="CD7" s="382" t="n"/>
      <c r="CE7" s="382" t="n"/>
      <c r="CF7" s="382" t="n"/>
      <c r="CG7" s="382" t="n"/>
      <c r="CH7" s="382" t="n"/>
    </row>
    <row r="8" ht="15" customFormat="1" customHeight="1" s="380">
      <c r="A8" s="402" t="inlineStr">
        <is>
          <t>Ramsgate</t>
        </is>
      </c>
      <c r="B8" s="402" t="n"/>
      <c r="C8" s="402" t="n"/>
      <c r="D8" s="402" t="n"/>
      <c r="E8" s="402" t="n"/>
      <c r="F8" s="402" t="n"/>
      <c r="G8" s="402" t="n"/>
      <c r="H8" s="402" t="n"/>
      <c r="I8" s="402" t="n"/>
      <c r="J8" s="402" t="n"/>
      <c r="K8" s="402" t="n"/>
      <c r="L8" s="402" t="n"/>
      <c r="M8" s="402" t="n"/>
      <c r="N8" s="402" t="n"/>
      <c r="O8" s="402" t="n"/>
      <c r="P8" s="402" t="n"/>
      <c r="Q8" s="402" t="n"/>
      <c r="R8" s="402" t="n"/>
      <c r="S8" s="402" t="n"/>
      <c r="T8" s="402" t="n"/>
      <c r="U8" s="402" t="n"/>
      <c r="V8" s="402" t="n"/>
      <c r="W8" s="402" t="n"/>
      <c r="X8" s="402" t="n"/>
      <c r="Y8" s="402" t="n"/>
      <c r="Z8" s="402" t="n"/>
      <c r="AA8" s="402" t="n"/>
      <c r="AB8" s="402" t="n"/>
      <c r="AC8" s="402" t="n"/>
      <c r="AD8" s="402" t="n"/>
      <c r="AE8" s="402" t="n"/>
      <c r="AF8" s="402" t="n"/>
      <c r="AG8" s="402" t="n"/>
      <c r="AH8" s="402" t="n"/>
      <c r="AI8" s="402" t="n"/>
      <c r="AJ8" s="402" t="n"/>
      <c r="AK8" s="402" t="n"/>
      <c r="AL8" s="402" t="n"/>
      <c r="AM8" s="402" t="n"/>
      <c r="AN8" s="402" t="n"/>
      <c r="AO8" s="402" t="n"/>
      <c r="AP8" s="402" t="n"/>
      <c r="AQ8" s="402" t="n"/>
      <c r="AR8" s="402" t="n"/>
      <c r="AS8" s="402" t="n"/>
      <c r="AT8" s="402" t="n"/>
      <c r="AU8" s="402" t="n"/>
      <c r="AV8" s="402" t="n"/>
      <c r="AW8" s="402" t="n"/>
      <c r="AX8" s="402" t="n"/>
      <c r="AY8" s="402" t="n"/>
      <c r="AZ8" s="402" t="n"/>
      <c r="BA8" s="402" t="n"/>
      <c r="BB8" s="402" t="n"/>
      <c r="BC8" s="402" t="n"/>
      <c r="BD8" s="402" t="n"/>
      <c r="BE8" s="402" t="n"/>
      <c r="BF8" s="402" t="n"/>
      <c r="BG8" s="402" t="n"/>
      <c r="BH8" s="402" t="n"/>
      <c r="BI8" s="402" t="n"/>
      <c r="BJ8" s="402" t="n"/>
      <c r="BK8" s="402" t="n"/>
      <c r="BL8" s="402" t="n"/>
      <c r="BM8" s="402" t="n"/>
      <c r="BN8" s="402" t="n"/>
      <c r="BO8" s="402" t="n"/>
      <c r="BP8" s="402" t="n"/>
      <c r="BQ8" s="402" t="n"/>
      <c r="BR8" s="402" t="n"/>
      <c r="BS8" s="402" t="n"/>
      <c r="BT8" s="402" t="n"/>
      <c r="BU8" s="402" t="n"/>
      <c r="BV8" s="402" t="n"/>
      <c r="BW8" s="402" t="n"/>
      <c r="BX8" s="402" t="n"/>
      <c r="BY8" s="402" t="n"/>
      <c r="BZ8" s="402" t="n"/>
      <c r="CA8" s="402" t="n"/>
      <c r="CB8" s="402" t="n"/>
      <c r="CC8" s="402" t="n"/>
      <c r="CD8" s="402" t="n"/>
      <c r="CE8" s="402" t="n"/>
      <c r="CF8" s="402" t="n"/>
      <c r="CG8" s="402" t="n"/>
      <c r="CH8" s="402" t="n"/>
    </row>
    <row r="9" ht="15" customFormat="1" customHeight="1" s="380">
      <c r="A9" s="458" t="inlineStr">
        <is>
          <t xml:space="preserve">  Revenue</t>
        </is>
      </c>
      <c r="B9" s="382" t="n"/>
      <c r="C9" s="625">
        <f>Model!E152+Model!E153+Model!E154+Model!E155</f>
        <v/>
      </c>
      <c r="D9" s="625">
        <f>Model!F152+Model!F153+Model!F154+Model!F155</f>
        <v/>
      </c>
      <c r="E9" s="625">
        <f>Model!G152+Model!G153+Model!G154+Model!G155</f>
        <v/>
      </c>
      <c r="F9" s="625">
        <f>Model!H152+Model!H153+Model!H154+Model!H155</f>
        <v/>
      </c>
      <c r="G9" s="625">
        <f>Model!I152+Model!I153+Model!I154+Model!I155</f>
        <v/>
      </c>
      <c r="H9" s="625">
        <f>Model!J152+Model!J153+Model!J154+Model!J155</f>
        <v/>
      </c>
      <c r="I9" s="625">
        <f>Model!K152+Model!K153+Model!K154+Model!K155</f>
        <v/>
      </c>
      <c r="J9" s="625">
        <f>Model!L152+Model!L153+Model!L154+Model!L155</f>
        <v/>
      </c>
      <c r="K9" s="625">
        <f>Model!M152+Model!M153+Model!M154+Model!M155</f>
        <v/>
      </c>
      <c r="L9" s="625">
        <f>Model!N152+Model!N153+Model!N154+Model!N155</f>
        <v/>
      </c>
      <c r="M9" s="625">
        <f>Model!O152+Model!O153+Model!O154+Model!O155</f>
        <v/>
      </c>
      <c r="N9" s="625">
        <f>Model!P152+Model!P153+Model!P154+Model!P155</f>
        <v/>
      </c>
      <c r="O9" s="625">
        <f>Model!Q152+Model!Q153+Model!Q154+Model!Q155</f>
        <v/>
      </c>
      <c r="P9" s="625">
        <f>Model!R152+Model!R153+Model!R154+Model!R155</f>
        <v/>
      </c>
      <c r="Q9" s="625">
        <f>Model!S152+Model!S153+Model!S154+Model!S155</f>
        <v/>
      </c>
      <c r="R9" s="625">
        <f>Model!T152+Model!T153+Model!T154+Model!T155</f>
        <v/>
      </c>
      <c r="S9" s="625">
        <f>Model!U152+Model!U153+Model!U154+Model!U155</f>
        <v/>
      </c>
      <c r="T9" s="625">
        <f>Model!V152+Model!V153+Model!V154+Model!V155</f>
        <v/>
      </c>
      <c r="U9" s="625">
        <f>Model!W152+Model!W153+Model!W154+Model!W155</f>
        <v/>
      </c>
      <c r="V9" s="625">
        <f>Model!X152+Model!X153+Model!X154+Model!X155</f>
        <v/>
      </c>
      <c r="W9" s="625">
        <f>Model!Y152+Model!Y153+Model!Y154+Model!Y155</f>
        <v/>
      </c>
      <c r="X9" s="625">
        <f>Model!Z152+Model!Z153+Model!Z154+Model!Z155</f>
        <v/>
      </c>
      <c r="Y9" s="625">
        <f>Model!AA152+Model!AA153+Model!AA154+Model!AA155</f>
        <v/>
      </c>
      <c r="Z9" s="625">
        <f>Model!AB152+Model!AB153+Model!AB154+Model!AB155</f>
        <v/>
      </c>
      <c r="AA9" s="625">
        <f>Model!AC152+Model!AC153+Model!AC154+Model!AC155</f>
        <v/>
      </c>
      <c r="AB9" s="625">
        <f>Model!AD152+Model!AD153+Model!AD154+Model!AD155</f>
        <v/>
      </c>
      <c r="AC9" s="625">
        <f>Model!AE152+Model!AE153+Model!AE154+Model!AE155</f>
        <v/>
      </c>
      <c r="AD9" s="625">
        <f>Model!AF152+Model!AF153+Model!AF154+Model!AF155</f>
        <v/>
      </c>
      <c r="AE9" s="625">
        <f>Model!AG152+Model!AG153+Model!AG154+Model!AG155</f>
        <v/>
      </c>
      <c r="AF9" s="625">
        <f>Model!AH152+Model!AH153+Model!AH154+Model!AH155</f>
        <v/>
      </c>
      <c r="AG9" s="625">
        <f>Model!AI152+Model!AI153+Model!AI154+Model!AI155</f>
        <v/>
      </c>
      <c r="AH9" s="625">
        <f>Model!AJ152+Model!AJ153+Model!AJ154+Model!AJ155</f>
        <v/>
      </c>
      <c r="AI9" s="625">
        <f>Model!AK152+Model!AK153+Model!AK154+Model!AK155</f>
        <v/>
      </c>
      <c r="AJ9" s="625">
        <f>Model!AL152+Model!AL153+Model!AL154+Model!AL155</f>
        <v/>
      </c>
      <c r="AK9" s="625">
        <f>Model!AM152+Model!AM153+Model!AM154+Model!AM155</f>
        <v/>
      </c>
      <c r="AL9" s="625">
        <f>Model!AN152+Model!AN153+Model!AN154+Model!AN155</f>
        <v/>
      </c>
      <c r="AM9" s="625">
        <f>Model!AO152+Model!AO153+Model!AO154+Model!AO155</f>
        <v/>
      </c>
      <c r="AN9" s="625">
        <f>Model!AP152+Model!AP153+Model!AP154+Model!AP155</f>
        <v/>
      </c>
      <c r="AO9" s="625">
        <f>Model!AQ152+Model!AQ153+Model!AQ154+Model!AQ155</f>
        <v/>
      </c>
      <c r="AP9" s="625">
        <f>Model!AR152+Model!AR153+Model!AR154+Model!AR155</f>
        <v/>
      </c>
      <c r="AQ9" s="625">
        <f>Model!AS152+Model!AS153+Model!AS154+Model!AS155</f>
        <v/>
      </c>
      <c r="AR9" s="625">
        <f>Model!AT152+Model!AT153+Model!AT154+Model!AT155</f>
        <v/>
      </c>
      <c r="AS9" s="625">
        <f>Model!AU152+Model!AU153+Model!AU154+Model!AU155</f>
        <v/>
      </c>
      <c r="AT9" s="625">
        <f>Model!AV152+Model!AV153+Model!AV154+Model!AV155</f>
        <v/>
      </c>
      <c r="AU9" s="625">
        <f>Model!AW152+Model!AW153+Model!AW154+Model!AW155</f>
        <v/>
      </c>
      <c r="AV9" s="625">
        <f>Model!AX152+Model!AX153+Model!AX154+Model!AX155</f>
        <v/>
      </c>
      <c r="AW9" s="625">
        <f>Model!AY152+Model!AY153+Model!AY154+Model!AY155</f>
        <v/>
      </c>
      <c r="AX9" s="625">
        <f>Model!AZ152+Model!AZ153+Model!AZ154+Model!AZ155</f>
        <v/>
      </c>
      <c r="AY9" s="625">
        <f>Model!BA152+Model!BA153+Model!BA154+Model!BA155</f>
        <v/>
      </c>
      <c r="AZ9" s="625">
        <f>Model!BB152+Model!BB153+Model!BB154+Model!BB155</f>
        <v/>
      </c>
      <c r="BA9" s="625">
        <f>Model!BC152+Model!BC153+Model!BC154+Model!BC155</f>
        <v/>
      </c>
      <c r="BB9" s="625">
        <f>Model!BD152+Model!BD153+Model!BD154+Model!BD155</f>
        <v/>
      </c>
      <c r="BC9" s="625">
        <f>Model!BE152+Model!BE153+Model!BE154+Model!BE155</f>
        <v/>
      </c>
      <c r="BD9" s="625">
        <f>Model!BF152+Model!BF153+Model!BF154+Model!BF155</f>
        <v/>
      </c>
      <c r="BE9" s="625">
        <f>Model!BG152+Model!BG153+Model!BG154+Model!BG155</f>
        <v/>
      </c>
      <c r="BF9" s="625">
        <f>Model!BH152+Model!BH153+Model!BH154+Model!BH155</f>
        <v/>
      </c>
      <c r="BG9" s="625">
        <f>Model!BI152+Model!BI153+Model!BI154+Model!BI155</f>
        <v/>
      </c>
      <c r="BH9" s="625">
        <f>Model!BJ152+Model!BJ153+Model!BJ154+Model!BJ155</f>
        <v/>
      </c>
      <c r="BI9" s="625">
        <f>Model!BK152+Model!BK153+Model!BK154+Model!BK155</f>
        <v/>
      </c>
      <c r="BJ9" s="625">
        <f>Model!BL152+Model!BL153+Model!BL154+Model!BL155</f>
        <v/>
      </c>
      <c r="BK9" s="625">
        <f>Model!BM152+Model!BM153+Model!BM154+Model!BM155</f>
        <v/>
      </c>
      <c r="BL9" s="625">
        <f>Model!BN152+Model!BN153+Model!BN154+Model!BN155</f>
        <v/>
      </c>
      <c r="BM9" s="625">
        <f>Model!BO152+Model!BO153+Model!BO154+Model!BO155</f>
        <v/>
      </c>
      <c r="BN9" s="625">
        <f>Model!BP152+Model!BP153+Model!BP154+Model!BP155</f>
        <v/>
      </c>
      <c r="BO9" s="625">
        <f>Model!BQ152+Model!BQ153+Model!BQ154+Model!BQ155</f>
        <v/>
      </c>
      <c r="BP9" s="625">
        <f>Model!BR152+Model!BR153+Model!BR154+Model!BR155</f>
        <v/>
      </c>
      <c r="BQ9" s="625">
        <f>Model!BS152+Model!BS153+Model!BS154+Model!BS155</f>
        <v/>
      </c>
      <c r="BR9" s="625">
        <f>Model!BT152+Model!BT153+Model!BT154+Model!BT155</f>
        <v/>
      </c>
      <c r="BS9" s="625">
        <f>Model!BU152+Model!BU153+Model!BU154+Model!BU155</f>
        <v/>
      </c>
      <c r="BT9" s="625">
        <f>Model!BV152+Model!BV153+Model!BV154+Model!BV155</f>
        <v/>
      </c>
      <c r="BU9" s="625">
        <f>Model!BW152+Model!BW153+Model!BW154+Model!BW155</f>
        <v/>
      </c>
      <c r="BV9" s="625">
        <f>Model!BX152+Model!BX153+Model!BX154+Model!BX155</f>
        <v/>
      </c>
      <c r="BW9" s="625">
        <f>Model!BY152+Model!BY153+Model!BY154+Model!BY155</f>
        <v/>
      </c>
      <c r="BX9" s="625">
        <f>Model!BZ152+Model!BZ153+Model!BZ154+Model!BZ155</f>
        <v/>
      </c>
      <c r="BY9" s="625">
        <f>Model!CA152+Model!CA153+Model!CA154+Model!CA155</f>
        <v/>
      </c>
      <c r="BZ9" s="625">
        <f>Model!CB152+Model!CB153+Model!CB154+Model!CB155</f>
        <v/>
      </c>
      <c r="CA9" s="625">
        <f>Model!CC152+Model!CC153+Model!CC154+Model!CC155</f>
        <v/>
      </c>
      <c r="CB9" s="625">
        <f>Model!CD152+Model!CD153+Model!CD154+Model!CD155</f>
        <v/>
      </c>
      <c r="CC9" s="625">
        <f>Model!CE152+Model!CE153+Model!CE154+Model!CE155</f>
        <v/>
      </c>
      <c r="CD9" s="625">
        <f>Model!CF152+Model!CF153+Model!CF154+Model!CF155</f>
        <v/>
      </c>
      <c r="CE9" s="625">
        <f>Model!CG152+Model!CG153+Model!CG154+Model!CG155</f>
        <v/>
      </c>
      <c r="CF9" s="625">
        <f>Model!CH152+Model!CH153+Model!CH154+Model!CH155</f>
        <v/>
      </c>
      <c r="CG9" s="625">
        <f>Model!CI152+Model!CI153+Model!CI154+Model!CI155</f>
        <v/>
      </c>
      <c r="CH9" s="625">
        <f>Model!CJ152+Model!CJ153+Model!CJ154+Model!CJ155</f>
        <v/>
      </c>
    </row>
    <row r="10" ht="15" customFormat="1" customHeight="1" s="380">
      <c r="A10" s="626" t="inlineStr">
        <is>
          <t xml:space="preserve">  Net to Six Peak</t>
        </is>
      </c>
      <c r="B10" s="626" t="n"/>
      <c r="C10" s="627">
        <f>C9</f>
        <v/>
      </c>
      <c r="D10" s="627">
        <f>D9</f>
        <v/>
      </c>
      <c r="E10" s="627">
        <f>E9</f>
        <v/>
      </c>
      <c r="F10" s="627">
        <f>F9</f>
        <v/>
      </c>
      <c r="G10" s="627">
        <f>G9</f>
        <v/>
      </c>
      <c r="H10" s="627">
        <f>H9</f>
        <v/>
      </c>
      <c r="I10" s="627">
        <f>I9</f>
        <v/>
      </c>
      <c r="J10" s="627">
        <f>J9</f>
        <v/>
      </c>
      <c r="K10" s="627">
        <f>K9</f>
        <v/>
      </c>
      <c r="L10" s="627">
        <f>L9</f>
        <v/>
      </c>
      <c r="M10" s="627">
        <f>M9</f>
        <v/>
      </c>
      <c r="N10" s="627">
        <f>N9</f>
        <v/>
      </c>
      <c r="O10" s="627">
        <f>O9</f>
        <v/>
      </c>
      <c r="P10" s="627">
        <f>P9</f>
        <v/>
      </c>
      <c r="Q10" s="627">
        <f>Q9</f>
        <v/>
      </c>
      <c r="R10" s="627">
        <f>R9</f>
        <v/>
      </c>
      <c r="S10" s="627">
        <f>S9</f>
        <v/>
      </c>
      <c r="T10" s="627">
        <f>T9</f>
        <v/>
      </c>
      <c r="U10" s="627">
        <f>U9</f>
        <v/>
      </c>
      <c r="V10" s="627">
        <f>V9</f>
        <v/>
      </c>
      <c r="W10" s="627">
        <f>W9</f>
        <v/>
      </c>
      <c r="X10" s="627">
        <f>X9</f>
        <v/>
      </c>
      <c r="Y10" s="627">
        <f>Y9</f>
        <v/>
      </c>
      <c r="Z10" s="627">
        <f>Z9</f>
        <v/>
      </c>
      <c r="AA10" s="627">
        <f>AA9</f>
        <v/>
      </c>
      <c r="AB10" s="627">
        <f>AB9</f>
        <v/>
      </c>
      <c r="AC10" s="627">
        <f>AC9</f>
        <v/>
      </c>
      <c r="AD10" s="627">
        <f>AD9</f>
        <v/>
      </c>
      <c r="AE10" s="627">
        <f>AE9</f>
        <v/>
      </c>
      <c r="AF10" s="627">
        <f>AF9</f>
        <v/>
      </c>
      <c r="AG10" s="627">
        <f>AG9</f>
        <v/>
      </c>
      <c r="AH10" s="627">
        <f>AH9</f>
        <v/>
      </c>
      <c r="AI10" s="627">
        <f>AI9</f>
        <v/>
      </c>
      <c r="AJ10" s="627">
        <f>AJ9</f>
        <v/>
      </c>
      <c r="AK10" s="627">
        <f>AK9</f>
        <v/>
      </c>
      <c r="AL10" s="627">
        <f>AL9</f>
        <v/>
      </c>
      <c r="AM10" s="627">
        <f>AM9</f>
        <v/>
      </c>
      <c r="AN10" s="627">
        <f>AN9</f>
        <v/>
      </c>
      <c r="AO10" s="627">
        <f>AO9</f>
        <v/>
      </c>
      <c r="AP10" s="627">
        <f>AP9</f>
        <v/>
      </c>
      <c r="AQ10" s="627">
        <f>AQ9</f>
        <v/>
      </c>
      <c r="AR10" s="627">
        <f>AR9</f>
        <v/>
      </c>
      <c r="AS10" s="627">
        <f>AS9</f>
        <v/>
      </c>
      <c r="AT10" s="627">
        <f>AT9</f>
        <v/>
      </c>
      <c r="AU10" s="627">
        <f>AU9</f>
        <v/>
      </c>
      <c r="AV10" s="627">
        <f>AV9</f>
        <v/>
      </c>
      <c r="AW10" s="627">
        <f>AW9</f>
        <v/>
      </c>
      <c r="AX10" s="627">
        <f>AX9</f>
        <v/>
      </c>
      <c r="AY10" s="627">
        <f>AY9</f>
        <v/>
      </c>
      <c r="AZ10" s="627">
        <f>AZ9</f>
        <v/>
      </c>
      <c r="BA10" s="627">
        <f>BA9</f>
        <v/>
      </c>
      <c r="BB10" s="627">
        <f>BB9</f>
        <v/>
      </c>
      <c r="BC10" s="627">
        <f>BC9</f>
        <v/>
      </c>
      <c r="BD10" s="627">
        <f>BD9</f>
        <v/>
      </c>
      <c r="BE10" s="627">
        <f>BE9</f>
        <v/>
      </c>
      <c r="BF10" s="627">
        <f>BF9</f>
        <v/>
      </c>
      <c r="BG10" s="627">
        <f>BG9</f>
        <v/>
      </c>
      <c r="BH10" s="627">
        <f>BH9</f>
        <v/>
      </c>
      <c r="BI10" s="627">
        <f>BI9</f>
        <v/>
      </c>
      <c r="BJ10" s="627">
        <f>BJ9</f>
        <v/>
      </c>
      <c r="BK10" s="627">
        <f>BK9</f>
        <v/>
      </c>
      <c r="BL10" s="627">
        <f>BL9</f>
        <v/>
      </c>
      <c r="BM10" s="627">
        <f>BM9</f>
        <v/>
      </c>
      <c r="BN10" s="627">
        <f>BN9</f>
        <v/>
      </c>
      <c r="BO10" s="627">
        <f>BO9</f>
        <v/>
      </c>
      <c r="BP10" s="627">
        <f>BP9</f>
        <v/>
      </c>
      <c r="BQ10" s="627">
        <f>BQ9</f>
        <v/>
      </c>
      <c r="BR10" s="627">
        <f>BR9</f>
        <v/>
      </c>
      <c r="BS10" s="627">
        <f>BS9</f>
        <v/>
      </c>
      <c r="BT10" s="627">
        <f>BT9</f>
        <v/>
      </c>
      <c r="BU10" s="627">
        <f>BU9</f>
        <v/>
      </c>
      <c r="BV10" s="627">
        <f>BV9</f>
        <v/>
      </c>
      <c r="BW10" s="627">
        <f>BW9</f>
        <v/>
      </c>
      <c r="BX10" s="627">
        <f>BX9</f>
        <v/>
      </c>
      <c r="BY10" s="627">
        <f>BY9</f>
        <v/>
      </c>
      <c r="BZ10" s="627">
        <f>BZ9</f>
        <v/>
      </c>
      <c r="CA10" s="627">
        <f>CA9</f>
        <v/>
      </c>
      <c r="CB10" s="627">
        <f>CB9</f>
        <v/>
      </c>
      <c r="CC10" s="627">
        <f>CC9</f>
        <v/>
      </c>
      <c r="CD10" s="627">
        <f>CD9</f>
        <v/>
      </c>
      <c r="CE10" s="627">
        <f>CE9</f>
        <v/>
      </c>
      <c r="CF10" s="627">
        <f>CF9</f>
        <v/>
      </c>
      <c r="CG10" s="627">
        <f>CG9</f>
        <v/>
      </c>
      <c r="CH10" s="627">
        <f>CH9</f>
        <v/>
      </c>
    </row>
    <row r="11" ht="15" customFormat="1" customHeight="1" s="380">
      <c r="A11" s="381" t="inlineStr">
        <is>
          <t xml:space="preserve">  Cumulative Net</t>
        </is>
      </c>
      <c r="B11" s="382" t="n"/>
      <c r="C11" s="628">
        <f>C10</f>
        <v/>
      </c>
      <c r="D11" s="628">
        <f>C11+D10</f>
        <v/>
      </c>
      <c r="E11" s="628">
        <f>D11+E10</f>
        <v/>
      </c>
      <c r="F11" s="628">
        <f>E11+F10</f>
        <v/>
      </c>
      <c r="G11" s="628">
        <f>F11+G10</f>
        <v/>
      </c>
      <c r="H11" s="628">
        <f>G11+H10</f>
        <v/>
      </c>
      <c r="I11" s="628">
        <f>H11+I10</f>
        <v/>
      </c>
      <c r="J11" s="628">
        <f>I11+J10</f>
        <v/>
      </c>
      <c r="K11" s="628">
        <f>J11+K10</f>
        <v/>
      </c>
      <c r="L11" s="628">
        <f>K11+L10</f>
        <v/>
      </c>
      <c r="M11" s="628">
        <f>L11+M10</f>
        <v/>
      </c>
      <c r="N11" s="628">
        <f>M11+N10</f>
        <v/>
      </c>
      <c r="O11" s="628">
        <f>N11+O10</f>
        <v/>
      </c>
      <c r="P11" s="628">
        <f>O11+P10</f>
        <v/>
      </c>
      <c r="Q11" s="628">
        <f>P11+Q10</f>
        <v/>
      </c>
      <c r="R11" s="628">
        <f>Q11+R10</f>
        <v/>
      </c>
      <c r="S11" s="628">
        <f>R11+S10</f>
        <v/>
      </c>
      <c r="T11" s="628">
        <f>S11+T10</f>
        <v/>
      </c>
      <c r="U11" s="628">
        <f>T11+U10</f>
        <v/>
      </c>
      <c r="V11" s="628">
        <f>U11+V10</f>
        <v/>
      </c>
      <c r="W11" s="628">
        <f>V11+W10</f>
        <v/>
      </c>
      <c r="X11" s="628">
        <f>W11+X10</f>
        <v/>
      </c>
      <c r="Y11" s="628">
        <f>X11+Y10</f>
        <v/>
      </c>
      <c r="Z11" s="628">
        <f>Y11+Z10</f>
        <v/>
      </c>
      <c r="AA11" s="628">
        <f>Z11+AA10</f>
        <v/>
      </c>
      <c r="AB11" s="628">
        <f>AA11+AB10</f>
        <v/>
      </c>
      <c r="AC11" s="628">
        <f>AB11+AC10</f>
        <v/>
      </c>
      <c r="AD11" s="628">
        <f>AC11+AD10</f>
        <v/>
      </c>
      <c r="AE11" s="628">
        <f>AD11+AE10</f>
        <v/>
      </c>
      <c r="AF11" s="628">
        <f>AE11+AF10</f>
        <v/>
      </c>
      <c r="AG11" s="628">
        <f>AF11+AG10</f>
        <v/>
      </c>
      <c r="AH11" s="628">
        <f>AG11+AH10</f>
        <v/>
      </c>
      <c r="AI11" s="628">
        <f>AH11+AI10</f>
        <v/>
      </c>
      <c r="AJ11" s="628">
        <f>AI11+AJ10</f>
        <v/>
      </c>
      <c r="AK11" s="628">
        <f>AJ11+AK10</f>
        <v/>
      </c>
      <c r="AL11" s="628">
        <f>AK11+AL10</f>
        <v/>
      </c>
      <c r="AM11" s="628">
        <f>AL11+AM10</f>
        <v/>
      </c>
      <c r="AN11" s="628">
        <f>AM11+AN10</f>
        <v/>
      </c>
      <c r="AO11" s="628">
        <f>AN11+AO10</f>
        <v/>
      </c>
      <c r="AP11" s="628">
        <f>AO11+AP10</f>
        <v/>
      </c>
      <c r="AQ11" s="628">
        <f>AP11+AQ10</f>
        <v/>
      </c>
      <c r="AR11" s="628">
        <f>AQ11+AR10</f>
        <v/>
      </c>
      <c r="AS11" s="628">
        <f>AR11+AS10</f>
        <v/>
      </c>
      <c r="AT11" s="628">
        <f>AS11+AT10</f>
        <v/>
      </c>
      <c r="AU11" s="628">
        <f>AT11+AU10</f>
        <v/>
      </c>
      <c r="AV11" s="628">
        <f>AU11+AV10</f>
        <v/>
      </c>
      <c r="AW11" s="628">
        <f>AV11+AW10</f>
        <v/>
      </c>
      <c r="AX11" s="628">
        <f>AW11+AX10</f>
        <v/>
      </c>
      <c r="AY11" s="628">
        <f>AX11+AY10</f>
        <v/>
      </c>
      <c r="AZ11" s="628">
        <f>AY11+AZ10</f>
        <v/>
      </c>
      <c r="BA11" s="628">
        <f>AZ11+BA10</f>
        <v/>
      </c>
      <c r="BB11" s="628">
        <f>BA11+BB10</f>
        <v/>
      </c>
      <c r="BC11" s="628">
        <f>BB11+BC10</f>
        <v/>
      </c>
      <c r="BD11" s="628">
        <f>BC11+BD10</f>
        <v/>
      </c>
      <c r="BE11" s="628">
        <f>BD11+BE10</f>
        <v/>
      </c>
      <c r="BF11" s="628">
        <f>BE11+BF10</f>
        <v/>
      </c>
      <c r="BG11" s="628">
        <f>BF11+BG10</f>
        <v/>
      </c>
      <c r="BH11" s="628">
        <f>BG11+BH10</f>
        <v/>
      </c>
      <c r="BI11" s="628">
        <f>BH11+BI10</f>
        <v/>
      </c>
      <c r="BJ11" s="628">
        <f>BI11+BJ10</f>
        <v/>
      </c>
      <c r="BK11" s="628">
        <f>BJ11+BK10</f>
        <v/>
      </c>
      <c r="BL11" s="628">
        <f>BK11+BL10</f>
        <v/>
      </c>
      <c r="BM11" s="628">
        <f>BL11+BM10</f>
        <v/>
      </c>
      <c r="BN11" s="628">
        <f>BM11+BN10</f>
        <v/>
      </c>
      <c r="BO11" s="628">
        <f>BN11+BO10</f>
        <v/>
      </c>
      <c r="BP11" s="628">
        <f>BO11+BP10</f>
        <v/>
      </c>
      <c r="BQ11" s="628">
        <f>BP11+BQ10</f>
        <v/>
      </c>
      <c r="BR11" s="628">
        <f>BQ11+BR10</f>
        <v/>
      </c>
      <c r="BS11" s="628">
        <f>BR11+BS10</f>
        <v/>
      </c>
      <c r="BT11" s="628">
        <f>BS11+BT10</f>
        <v/>
      </c>
      <c r="BU11" s="628">
        <f>BT11+BU10</f>
        <v/>
      </c>
      <c r="BV11" s="628">
        <f>BU11+BV10</f>
        <v/>
      </c>
      <c r="BW11" s="628">
        <f>BV11+BW10</f>
        <v/>
      </c>
      <c r="BX11" s="628">
        <f>BW11+BX10</f>
        <v/>
      </c>
      <c r="BY11" s="628">
        <f>BX11+BY10</f>
        <v/>
      </c>
      <c r="BZ11" s="628">
        <f>BY11+BZ10</f>
        <v/>
      </c>
      <c r="CA11" s="628">
        <f>BZ11+CA10</f>
        <v/>
      </c>
      <c r="CB11" s="628">
        <f>CA11+CB10</f>
        <v/>
      </c>
      <c r="CC11" s="628">
        <f>CB11+CC10</f>
        <v/>
      </c>
      <c r="CD11" s="628">
        <f>CC11+CD10</f>
        <v/>
      </c>
      <c r="CE11" s="628">
        <f>CD11+CE10</f>
        <v/>
      </c>
      <c r="CF11" s="628">
        <f>CE11+CF10</f>
        <v/>
      </c>
      <c r="CG11" s="628">
        <f>CF11+CG10</f>
        <v/>
      </c>
      <c r="CH11" s="628">
        <f>CG11+CH10</f>
        <v/>
      </c>
    </row>
    <row r="12" ht="15" customFormat="1" customHeight="1" s="380">
      <c r="A12" s="382" t="n"/>
      <c r="B12" s="382" t="n"/>
      <c r="C12" s="382" t="n"/>
      <c r="D12" s="382" t="n"/>
      <c r="E12" s="382" t="n"/>
      <c r="F12" s="382" t="n"/>
      <c r="G12" s="382" t="n"/>
      <c r="H12" s="382" t="n"/>
      <c r="I12" s="382" t="n"/>
      <c r="J12" s="382" t="n"/>
      <c r="K12" s="382" t="n"/>
      <c r="L12" s="382" t="n"/>
      <c r="M12" s="382" t="n"/>
      <c r="N12" s="382" t="n"/>
      <c r="O12" s="382" t="n"/>
      <c r="P12" s="382" t="n"/>
      <c r="Q12" s="382" t="n"/>
      <c r="R12" s="382" t="n"/>
      <c r="S12" s="382" t="n"/>
      <c r="T12" s="382" t="n"/>
      <c r="U12" s="382" t="n"/>
      <c r="V12" s="382" t="n"/>
      <c r="W12" s="382" t="n"/>
      <c r="X12" s="382" t="n"/>
      <c r="Y12" s="382" t="n"/>
      <c r="Z12" s="382" t="n"/>
      <c r="AA12" s="382" t="n"/>
      <c r="AB12" s="382" t="n"/>
      <c r="AC12" s="382" t="n"/>
      <c r="AD12" s="382" t="n"/>
      <c r="AE12" s="382" t="n"/>
      <c r="AF12" s="382" t="n"/>
      <c r="AG12" s="382" t="n"/>
      <c r="AH12" s="382" t="n"/>
      <c r="AI12" s="382" t="n"/>
      <c r="AJ12" s="382" t="n"/>
      <c r="AK12" s="382" t="n"/>
      <c r="AL12" s="382" t="n"/>
      <c r="AM12" s="382" t="n"/>
      <c r="AN12" s="382" t="n"/>
      <c r="AO12" s="382" t="n"/>
      <c r="AP12" s="382" t="n"/>
      <c r="AQ12" s="382" t="n"/>
      <c r="AR12" s="382" t="n"/>
      <c r="AS12" s="382" t="n"/>
      <c r="AT12" s="382" t="n"/>
      <c r="AU12" s="382" t="n"/>
      <c r="AV12" s="382" t="n"/>
      <c r="AW12" s="382" t="n"/>
      <c r="AX12" s="382" t="n"/>
      <c r="AY12" s="382" t="n"/>
      <c r="AZ12" s="382" t="n"/>
      <c r="BA12" s="382" t="n"/>
      <c r="BB12" s="382" t="n"/>
      <c r="BC12" s="382" t="n"/>
      <c r="BD12" s="382" t="n"/>
      <c r="BE12" s="382" t="n"/>
      <c r="BF12" s="382" t="n"/>
      <c r="BG12" s="382" t="n"/>
      <c r="BH12" s="382" t="n"/>
      <c r="BI12" s="382" t="n"/>
      <c r="BJ12" s="382" t="n"/>
      <c r="BK12" s="382" t="n"/>
      <c r="BL12" s="382" t="n"/>
      <c r="BM12" s="382" t="n"/>
      <c r="BN12" s="382" t="n"/>
      <c r="BO12" s="382" t="n"/>
      <c r="BP12" s="382" t="n"/>
      <c r="BQ12" s="382" t="n"/>
      <c r="BR12" s="382" t="n"/>
      <c r="BS12" s="382" t="n"/>
      <c r="BT12" s="382" t="n"/>
      <c r="BU12" s="382" t="n"/>
      <c r="BV12" s="382" t="n"/>
      <c r="BW12" s="382" t="n"/>
      <c r="BX12" s="382" t="n"/>
      <c r="BY12" s="382" t="n"/>
      <c r="BZ12" s="382" t="n"/>
      <c r="CA12" s="382" t="n"/>
      <c r="CB12" s="382" t="n"/>
      <c r="CC12" s="382" t="n"/>
      <c r="CD12" s="382" t="n"/>
      <c r="CE12" s="382" t="n"/>
      <c r="CF12" s="382" t="n"/>
      <c r="CG12" s="382" t="n"/>
      <c r="CH12" s="382" t="n"/>
    </row>
    <row r="13" ht="15" customFormat="1" customHeight="1" s="380">
      <c r="A13" s="402" t="inlineStr">
        <is>
          <t>Klump</t>
        </is>
      </c>
      <c r="B13" s="402" t="n"/>
      <c r="C13" s="402" t="n"/>
      <c r="D13" s="402" t="n"/>
      <c r="E13" s="402" t="n"/>
      <c r="F13" s="402" t="n"/>
      <c r="G13" s="402" t="n"/>
      <c r="H13" s="402" t="n"/>
      <c r="I13" s="402" t="n"/>
      <c r="J13" s="402" t="n"/>
      <c r="K13" s="402" t="n"/>
      <c r="L13" s="402" t="n"/>
      <c r="M13" s="402" t="n"/>
      <c r="N13" s="402" t="n"/>
      <c r="O13" s="402" t="n"/>
      <c r="P13" s="402" t="n"/>
      <c r="Q13" s="402" t="n"/>
      <c r="R13" s="402" t="n"/>
      <c r="S13" s="402" t="n"/>
      <c r="T13" s="402" t="n"/>
      <c r="U13" s="402" t="n"/>
      <c r="V13" s="402" t="n"/>
      <c r="W13" s="402" t="n"/>
      <c r="X13" s="402" t="n"/>
      <c r="Y13" s="402" t="n"/>
      <c r="Z13" s="402" t="n"/>
      <c r="AA13" s="402" t="n"/>
      <c r="AB13" s="402" t="n"/>
      <c r="AC13" s="402" t="n"/>
      <c r="AD13" s="402" t="n"/>
      <c r="AE13" s="402" t="n"/>
      <c r="AF13" s="402" t="n"/>
      <c r="AG13" s="402" t="n"/>
      <c r="AH13" s="402" t="n"/>
      <c r="AI13" s="402" t="n"/>
      <c r="AJ13" s="402" t="n"/>
      <c r="AK13" s="402" t="n"/>
      <c r="AL13" s="402" t="n"/>
      <c r="AM13" s="402" t="n"/>
      <c r="AN13" s="402" t="n"/>
      <c r="AO13" s="402" t="n"/>
      <c r="AP13" s="402" t="n"/>
      <c r="AQ13" s="402" t="n"/>
      <c r="AR13" s="402" t="n"/>
      <c r="AS13" s="402" t="n"/>
      <c r="AT13" s="402" t="n"/>
      <c r="AU13" s="402" t="n"/>
      <c r="AV13" s="402" t="n"/>
      <c r="AW13" s="402" t="n"/>
      <c r="AX13" s="402" t="n"/>
      <c r="AY13" s="402" t="n"/>
      <c r="AZ13" s="402" t="n"/>
      <c r="BA13" s="402" t="n"/>
      <c r="BB13" s="402" t="n"/>
      <c r="BC13" s="402" t="n"/>
      <c r="BD13" s="402" t="n"/>
      <c r="BE13" s="402" t="n"/>
      <c r="BF13" s="402" t="n"/>
      <c r="BG13" s="402" t="n"/>
      <c r="BH13" s="402" t="n"/>
      <c r="BI13" s="402" t="n"/>
      <c r="BJ13" s="402" t="n"/>
      <c r="BK13" s="402" t="n"/>
      <c r="BL13" s="402" t="n"/>
      <c r="BM13" s="402" t="n"/>
      <c r="BN13" s="402" t="n"/>
      <c r="BO13" s="402" t="n"/>
      <c r="BP13" s="402" t="n"/>
      <c r="BQ13" s="402" t="n"/>
      <c r="BR13" s="402" t="n"/>
      <c r="BS13" s="402" t="n"/>
      <c r="BT13" s="402" t="n"/>
      <c r="BU13" s="402" t="n"/>
      <c r="BV13" s="402" t="n"/>
      <c r="BW13" s="402" t="n"/>
      <c r="BX13" s="402" t="n"/>
      <c r="BY13" s="402" t="n"/>
      <c r="BZ13" s="402" t="n"/>
      <c r="CA13" s="402" t="n"/>
      <c r="CB13" s="402" t="n"/>
      <c r="CC13" s="402" t="n"/>
      <c r="CD13" s="402" t="n"/>
      <c r="CE13" s="402" t="n"/>
      <c r="CF13" s="402" t="n"/>
      <c r="CG13" s="402" t="n"/>
      <c r="CH13" s="402" t="n"/>
    </row>
    <row r="14" ht="15" customFormat="1" customHeight="1" s="380">
      <c r="A14" s="458" t="inlineStr">
        <is>
          <t xml:space="preserve">  Revenue</t>
        </is>
      </c>
      <c r="B14" s="382" t="n"/>
      <c r="C14" s="625">
        <f>Model!E158+Model!E159+Model!E160</f>
        <v/>
      </c>
      <c r="D14" s="625">
        <f>Model!F158+Model!F159+Model!F160</f>
        <v/>
      </c>
      <c r="E14" s="625">
        <f>Model!G158+Model!G159+Model!G160</f>
        <v/>
      </c>
      <c r="F14" s="625">
        <f>Model!H158+Model!H159+Model!H160</f>
        <v/>
      </c>
      <c r="G14" s="625">
        <f>Model!I158+Model!I159+Model!I160</f>
        <v/>
      </c>
      <c r="H14" s="625">
        <f>Model!J158+Model!J159+Model!J160</f>
        <v/>
      </c>
      <c r="I14" s="625">
        <f>Model!K158+Model!K159+Model!K160</f>
        <v/>
      </c>
      <c r="J14" s="625">
        <f>Model!L158+Model!L159+Model!L160</f>
        <v/>
      </c>
      <c r="K14" s="625">
        <f>Model!M158+Model!M159+Model!M160</f>
        <v/>
      </c>
      <c r="L14" s="625">
        <f>Model!N158+Model!N159+Model!N160</f>
        <v/>
      </c>
      <c r="M14" s="625">
        <f>Model!O158+Model!O159+Model!O160</f>
        <v/>
      </c>
      <c r="N14" s="625">
        <f>Model!P158+Model!P159+Model!P160</f>
        <v/>
      </c>
      <c r="O14" s="625">
        <f>Model!Q158+Model!Q159+Model!Q160</f>
        <v/>
      </c>
      <c r="P14" s="625">
        <f>Model!R158+Model!R159+Model!R160</f>
        <v/>
      </c>
      <c r="Q14" s="625">
        <f>Model!S158+Model!S159+Model!S160</f>
        <v/>
      </c>
      <c r="R14" s="625">
        <f>Model!T158+Model!T159+Model!T160</f>
        <v/>
      </c>
      <c r="S14" s="625">
        <f>Model!U158+Model!U159+Model!U160</f>
        <v/>
      </c>
      <c r="T14" s="625">
        <f>Model!V158+Model!V159+Model!V160</f>
        <v/>
      </c>
      <c r="U14" s="625">
        <f>Model!W158+Model!W159+Model!W160</f>
        <v/>
      </c>
      <c r="V14" s="625">
        <f>Model!X158+Model!X159+Model!X160</f>
        <v/>
      </c>
      <c r="W14" s="625">
        <f>Model!Y158+Model!Y159+Model!Y160</f>
        <v/>
      </c>
      <c r="X14" s="625">
        <f>Model!Z158+Model!Z159+Model!Z160</f>
        <v/>
      </c>
      <c r="Y14" s="625">
        <f>Model!AA158+Model!AA159+Model!AA160</f>
        <v/>
      </c>
      <c r="Z14" s="625">
        <f>Model!AB158+Model!AB159+Model!AB160</f>
        <v/>
      </c>
      <c r="AA14" s="625">
        <f>Model!AC158+Model!AC159+Model!AC160</f>
        <v/>
      </c>
      <c r="AB14" s="625">
        <f>Model!AD158+Model!AD159+Model!AD160</f>
        <v/>
      </c>
      <c r="AC14" s="625">
        <f>Model!AE158+Model!AE159+Model!AE160</f>
        <v/>
      </c>
      <c r="AD14" s="625">
        <f>Model!AF158+Model!AF159+Model!AF160</f>
        <v/>
      </c>
      <c r="AE14" s="625">
        <f>Model!AG158+Model!AG159+Model!AG160</f>
        <v/>
      </c>
      <c r="AF14" s="625">
        <f>Model!AH158+Model!AH159+Model!AH160</f>
        <v/>
      </c>
      <c r="AG14" s="625">
        <f>Model!AI158+Model!AI159+Model!AI160</f>
        <v/>
      </c>
      <c r="AH14" s="625">
        <f>Model!AJ158+Model!AJ159+Model!AJ160</f>
        <v/>
      </c>
      <c r="AI14" s="625">
        <f>Model!AK158+Model!AK159+Model!AK160</f>
        <v/>
      </c>
      <c r="AJ14" s="625">
        <f>Model!AL158+Model!AL159+Model!AL160</f>
        <v/>
      </c>
      <c r="AK14" s="625">
        <f>Model!AM158+Model!AM159+Model!AM160</f>
        <v/>
      </c>
      <c r="AL14" s="625">
        <f>Model!AN158+Model!AN159+Model!AN160</f>
        <v/>
      </c>
      <c r="AM14" s="625">
        <f>Model!AO158+Model!AO159+Model!AO160</f>
        <v/>
      </c>
      <c r="AN14" s="625">
        <f>Model!AP158+Model!AP159+Model!AP160</f>
        <v/>
      </c>
      <c r="AO14" s="625">
        <f>Model!AQ158+Model!AQ159+Model!AQ160</f>
        <v/>
      </c>
      <c r="AP14" s="625">
        <f>Model!AR158+Model!AR159+Model!AR160</f>
        <v/>
      </c>
      <c r="AQ14" s="625">
        <f>Model!AS158+Model!AS159+Model!AS160</f>
        <v/>
      </c>
      <c r="AR14" s="625">
        <f>Model!AT158+Model!AT159+Model!AT160</f>
        <v/>
      </c>
      <c r="AS14" s="625">
        <f>Model!AU158+Model!AU159+Model!AU160</f>
        <v/>
      </c>
      <c r="AT14" s="625">
        <f>Model!AV158+Model!AV159+Model!AV160</f>
        <v/>
      </c>
      <c r="AU14" s="625">
        <f>Model!AW158+Model!AW159+Model!AW160</f>
        <v/>
      </c>
      <c r="AV14" s="625">
        <f>Model!AX158+Model!AX159+Model!AX160</f>
        <v/>
      </c>
      <c r="AW14" s="625">
        <f>Model!AY158+Model!AY159+Model!AY160</f>
        <v/>
      </c>
      <c r="AX14" s="625">
        <f>Model!AZ158+Model!AZ159+Model!AZ160</f>
        <v/>
      </c>
      <c r="AY14" s="625">
        <f>Model!BA158+Model!BA159+Model!BA160</f>
        <v/>
      </c>
      <c r="AZ14" s="625">
        <f>Model!BB158+Model!BB159+Model!BB160</f>
        <v/>
      </c>
      <c r="BA14" s="625">
        <f>Model!BC158+Model!BC159+Model!BC160</f>
        <v/>
      </c>
      <c r="BB14" s="625">
        <f>Model!BD158+Model!BD159+Model!BD160</f>
        <v/>
      </c>
      <c r="BC14" s="625">
        <f>Model!BE158+Model!BE159+Model!BE160</f>
        <v/>
      </c>
      <c r="BD14" s="625">
        <f>Model!BF158+Model!BF159+Model!BF160</f>
        <v/>
      </c>
      <c r="BE14" s="625">
        <f>Model!BG158+Model!BG159+Model!BG160</f>
        <v/>
      </c>
      <c r="BF14" s="625">
        <f>Model!BH158+Model!BH159+Model!BH160</f>
        <v/>
      </c>
      <c r="BG14" s="625">
        <f>Model!BI158+Model!BI159+Model!BI160</f>
        <v/>
      </c>
      <c r="BH14" s="625">
        <f>Model!BJ158+Model!BJ159+Model!BJ160</f>
        <v/>
      </c>
      <c r="BI14" s="625">
        <f>Model!BK158+Model!BK159+Model!BK160</f>
        <v/>
      </c>
      <c r="BJ14" s="625">
        <f>Model!BL158+Model!BL159+Model!BL160</f>
        <v/>
      </c>
      <c r="BK14" s="625">
        <f>Model!BM158+Model!BM159+Model!BM160</f>
        <v/>
      </c>
      <c r="BL14" s="625">
        <f>Model!BN158+Model!BN159+Model!BN160</f>
        <v/>
      </c>
      <c r="BM14" s="625">
        <f>Model!BO158+Model!BO159+Model!BO160</f>
        <v/>
      </c>
      <c r="BN14" s="625">
        <f>Model!BP158+Model!BP159+Model!BP160</f>
        <v/>
      </c>
      <c r="BO14" s="625">
        <f>Model!BQ158+Model!BQ159+Model!BQ160</f>
        <v/>
      </c>
      <c r="BP14" s="625">
        <f>Model!BR158+Model!BR159+Model!BR160</f>
        <v/>
      </c>
      <c r="BQ14" s="625">
        <f>Model!BS158+Model!BS159+Model!BS160</f>
        <v/>
      </c>
      <c r="BR14" s="625">
        <f>Model!BT158+Model!BT159+Model!BT160</f>
        <v/>
      </c>
      <c r="BS14" s="625">
        <f>Model!BU158+Model!BU159+Model!BU160</f>
        <v/>
      </c>
      <c r="BT14" s="625">
        <f>Model!BV158+Model!BV159+Model!BV160</f>
        <v/>
      </c>
      <c r="BU14" s="625">
        <f>Model!BW158+Model!BW159+Model!BW160</f>
        <v/>
      </c>
      <c r="BV14" s="625">
        <f>Model!BX158+Model!BX159+Model!BX160</f>
        <v/>
      </c>
      <c r="BW14" s="625">
        <f>Model!BY158+Model!BY159+Model!BY160</f>
        <v/>
      </c>
      <c r="BX14" s="625">
        <f>Model!BZ158+Model!BZ159+Model!BZ160</f>
        <v/>
      </c>
      <c r="BY14" s="625">
        <f>Model!CA158+Model!CA159+Model!CA160</f>
        <v/>
      </c>
      <c r="BZ14" s="625">
        <f>Model!CB158+Model!CB159+Model!CB160</f>
        <v/>
      </c>
      <c r="CA14" s="625">
        <f>Model!CC158+Model!CC159+Model!CC160</f>
        <v/>
      </c>
      <c r="CB14" s="625">
        <f>Model!CD158+Model!CD159+Model!CD160</f>
        <v/>
      </c>
      <c r="CC14" s="625">
        <f>Model!CE158+Model!CE159+Model!CE160</f>
        <v/>
      </c>
      <c r="CD14" s="625">
        <f>Model!CF158+Model!CF159+Model!CF160</f>
        <v/>
      </c>
      <c r="CE14" s="625">
        <f>Model!CG158+Model!CG159+Model!CG160</f>
        <v/>
      </c>
      <c r="CF14" s="625">
        <f>Model!CH158+Model!CH159+Model!CH160</f>
        <v/>
      </c>
      <c r="CG14" s="625">
        <f>Model!CI158+Model!CI159+Model!CI160</f>
        <v/>
      </c>
      <c r="CH14" s="625">
        <f>Model!CJ158+Model!CJ159+Model!CJ160</f>
        <v/>
      </c>
    </row>
    <row r="15" ht="15" customFormat="1" customHeight="1" s="380">
      <c r="A15" s="629" t="inlineStr">
        <is>
          <t xml:space="preserve">  Steyn Fees</t>
        </is>
      </c>
      <c r="B15" s="382" t="n"/>
      <c r="C15" s="630">
        <f>IF(AND(Projects!$G$11="Yes",1=Projects!$C$11),-155771,0)</f>
        <v/>
      </c>
      <c r="D15" s="630">
        <f>IF(AND(Projects!$G$11="Yes",2=Projects!$C$11),-155771,0)</f>
        <v/>
      </c>
      <c r="E15" s="630">
        <f>IF(AND(Projects!$G$11="Yes",3=Projects!$C$11),-155771,0)</f>
        <v/>
      </c>
      <c r="F15" s="630">
        <f>IF(AND(Projects!$G$11="Yes",4=Projects!$C$11),-155771,0)</f>
        <v/>
      </c>
      <c r="G15" s="630">
        <f>IF(AND(Projects!$G$11="Yes",5=Projects!$C$11),-155771,0)</f>
        <v/>
      </c>
      <c r="H15" s="630">
        <f>IF(AND(Projects!$G$11="Yes",6=Projects!$C$11),-155771,0)</f>
        <v/>
      </c>
      <c r="I15" s="630">
        <f>IF(AND(Projects!$G$11="Yes",7=Projects!$C$11),-155771,0)</f>
        <v/>
      </c>
      <c r="J15" s="630">
        <f>IF(AND(Projects!$G$11="Yes",8=Projects!$C$11),-155771,0)</f>
        <v/>
      </c>
      <c r="K15" s="630">
        <f>IF(AND(Projects!$G$11="Yes",9=Projects!$C$11),-155771,0)</f>
        <v/>
      </c>
      <c r="L15" s="630">
        <f>IF(AND(Projects!$G$11="Yes",10=Projects!$C$11),-155771,0)</f>
        <v/>
      </c>
      <c r="M15" s="630">
        <f>IF(AND(Projects!$G$11="Yes",11=Projects!$C$11),-155771,0)</f>
        <v/>
      </c>
      <c r="N15" s="630">
        <f>IF(AND(Projects!$G$11="Yes",12=Projects!$C$11),-155771,0)</f>
        <v/>
      </c>
      <c r="O15" s="630">
        <f>IF(AND(Projects!$G$11="Yes",13=Projects!$C$11),-155771,0)</f>
        <v/>
      </c>
      <c r="P15" s="630">
        <f>IF(AND(Projects!$G$11="Yes",14=Projects!$C$11),-155771,0)</f>
        <v/>
      </c>
      <c r="Q15" s="630">
        <f>IF(AND(Projects!$G$11="Yes",15=Projects!$C$11),-155771,0)</f>
        <v/>
      </c>
      <c r="R15" s="630">
        <f>IF(AND(Projects!$G$11="Yes",16=Projects!$C$11),-155771,0)</f>
        <v/>
      </c>
      <c r="S15" s="630">
        <f>IF(AND(Projects!$G$11="Yes",17=Projects!$C$11),-155771,0)</f>
        <v/>
      </c>
      <c r="T15" s="630">
        <f>IF(AND(Projects!$G$11="Yes",18=Projects!$C$11),-155771,0)</f>
        <v/>
      </c>
      <c r="U15" s="630">
        <f>IF(AND(Projects!$G$11="Yes",19=Projects!$C$11),-155771,0)</f>
        <v/>
      </c>
      <c r="V15" s="630">
        <f>IF(AND(Projects!$G$11="Yes",20=Projects!$C$11),-155771,0)</f>
        <v/>
      </c>
      <c r="W15" s="630">
        <f>IF(AND(Projects!$G$11="Yes",21=Projects!$C$11),-155771,0)</f>
        <v/>
      </c>
      <c r="X15" s="630">
        <f>IF(AND(Projects!$G$11="Yes",22=Projects!$C$11),-155771,0)</f>
        <v/>
      </c>
      <c r="Y15" s="630">
        <f>IF(AND(Projects!$G$11="Yes",23=Projects!$C$11),-155771,0)</f>
        <v/>
      </c>
      <c r="Z15" s="630">
        <f>IF(AND(Projects!$G$11="Yes",24=Projects!$C$11),-155771,0)</f>
        <v/>
      </c>
      <c r="AA15" s="630">
        <f>IF(AND(Projects!$G$11="Yes",25=Projects!$C$11),-155771,0)</f>
        <v/>
      </c>
      <c r="AB15" s="630">
        <f>IF(AND(Projects!$G$11="Yes",26=Projects!$C$11),-155771,0)</f>
        <v/>
      </c>
      <c r="AC15" s="630">
        <f>IF(AND(Projects!$G$11="Yes",27=Projects!$C$11),-155771,0)</f>
        <v/>
      </c>
      <c r="AD15" s="630">
        <f>IF(AND(Projects!$G$11="Yes",28=Projects!$C$11),-155771,0)</f>
        <v/>
      </c>
      <c r="AE15" s="630">
        <f>IF(AND(Projects!$G$11="Yes",29=Projects!$C$11),-155771,0)</f>
        <v/>
      </c>
      <c r="AF15" s="630">
        <f>IF(AND(Projects!$G$11="Yes",30=Projects!$C$11),-155771,0)</f>
        <v/>
      </c>
      <c r="AG15" s="630">
        <f>IF(AND(Projects!$G$11="Yes",31=Projects!$C$11),-155771,0)</f>
        <v/>
      </c>
      <c r="AH15" s="630">
        <f>IF(AND(Projects!$G$11="Yes",32=Projects!$C$11),-155771,0)</f>
        <v/>
      </c>
      <c r="AI15" s="630">
        <f>IF(AND(Projects!$G$11="Yes",33=Projects!$C$11),-155771,0)</f>
        <v/>
      </c>
      <c r="AJ15" s="630">
        <f>IF(AND(Projects!$G$11="Yes",34=Projects!$C$11),-155771,0)</f>
        <v/>
      </c>
      <c r="AK15" s="630">
        <f>IF(AND(Projects!$G$11="Yes",35=Projects!$C$11),-155771,0)</f>
        <v/>
      </c>
      <c r="AL15" s="630">
        <f>IF(AND(Projects!$G$11="Yes",36=Projects!$C$11),-155771,0)</f>
        <v/>
      </c>
      <c r="AM15" s="630">
        <f>IF(AND(Projects!$G$11="Yes",37=Projects!$C$11),-155771,0)</f>
        <v/>
      </c>
      <c r="AN15" s="630">
        <f>IF(AND(Projects!$G$11="Yes",38=Projects!$C$11),-155771,0)</f>
        <v/>
      </c>
      <c r="AO15" s="630">
        <f>IF(AND(Projects!$G$11="Yes",39=Projects!$C$11),-155771,0)</f>
        <v/>
      </c>
      <c r="AP15" s="630">
        <f>IF(AND(Projects!$G$11="Yes",40=Projects!$C$11),-155771,0)</f>
        <v/>
      </c>
      <c r="AQ15" s="630">
        <f>IF(AND(Projects!$G$11="Yes",41=Projects!$C$11),-155771,0)</f>
        <v/>
      </c>
      <c r="AR15" s="630">
        <f>IF(AND(Projects!$G$11="Yes",42=Projects!$C$11),-155771,0)</f>
        <v/>
      </c>
      <c r="AS15" s="630">
        <f>IF(AND(Projects!$G$11="Yes",43=Projects!$C$11),-155771,0)</f>
        <v/>
      </c>
      <c r="AT15" s="630">
        <f>IF(AND(Projects!$G$11="Yes",44=Projects!$C$11),-155771,0)</f>
        <v/>
      </c>
      <c r="AU15" s="630">
        <f>IF(AND(Projects!$G$11="Yes",45=Projects!$C$11),-155771,0)</f>
        <v/>
      </c>
      <c r="AV15" s="630">
        <f>IF(AND(Projects!$G$11="Yes",46=Projects!$C$11),-155771,0)</f>
        <v/>
      </c>
      <c r="AW15" s="630">
        <f>IF(AND(Projects!$G$11="Yes",47=Projects!$C$11),-155771,0)</f>
        <v/>
      </c>
      <c r="AX15" s="630">
        <f>IF(AND(Projects!$G$11="Yes",48=Projects!$C$11),-155771,0)</f>
        <v/>
      </c>
      <c r="AY15" s="630">
        <f>IF(AND(Projects!$G$11="Yes",49=Projects!$C$11),-155771,0)</f>
        <v/>
      </c>
      <c r="AZ15" s="630">
        <f>IF(AND(Projects!$G$11="Yes",50=Projects!$C$11),-155771,0)</f>
        <v/>
      </c>
      <c r="BA15" s="630">
        <f>IF(AND(Projects!$G$11="Yes",51=Projects!$C$11),-155771,0)</f>
        <v/>
      </c>
      <c r="BB15" s="630">
        <f>IF(AND(Projects!$G$11="Yes",52=Projects!$C$11),-155771,0)</f>
        <v/>
      </c>
      <c r="BC15" s="630">
        <f>IF(AND(Projects!$G$11="Yes",53=Projects!$C$11),-155771,0)</f>
        <v/>
      </c>
      <c r="BD15" s="630">
        <f>IF(AND(Projects!$G$11="Yes",54=Projects!$C$11),-155771,0)</f>
        <v/>
      </c>
      <c r="BE15" s="630">
        <f>IF(AND(Projects!$G$11="Yes",55=Projects!$C$11),-155771,0)</f>
        <v/>
      </c>
      <c r="BF15" s="630">
        <f>IF(AND(Projects!$G$11="Yes",56=Projects!$C$11),-155771,0)</f>
        <v/>
      </c>
      <c r="BG15" s="630">
        <f>IF(AND(Projects!$G$11="Yes",57=Projects!$C$11),-155771,0)</f>
        <v/>
      </c>
      <c r="BH15" s="630">
        <f>IF(AND(Projects!$G$11="Yes",58=Projects!$C$11),-155771,0)</f>
        <v/>
      </c>
      <c r="BI15" s="630">
        <f>IF(AND(Projects!$G$11="Yes",59=Projects!$C$11),-155771,0)</f>
        <v/>
      </c>
      <c r="BJ15" s="630">
        <f>IF(AND(Projects!$G$11="Yes",60=Projects!$C$11),-155771,0)</f>
        <v/>
      </c>
      <c r="BK15" s="630">
        <f>IF(AND(Projects!$G$11="Yes",61=Projects!$C$11),-155771,0)</f>
        <v/>
      </c>
      <c r="BL15" s="630">
        <f>IF(AND(Projects!$G$11="Yes",62=Projects!$C$11),-155771,0)</f>
        <v/>
      </c>
      <c r="BM15" s="630">
        <f>IF(AND(Projects!$G$11="Yes",63=Projects!$C$11),-155771,0)</f>
        <v/>
      </c>
      <c r="BN15" s="630">
        <f>IF(AND(Projects!$G$11="Yes",64=Projects!$C$11),-155771,0)</f>
        <v/>
      </c>
      <c r="BO15" s="630">
        <f>IF(AND(Projects!$G$11="Yes",65=Projects!$C$11),-155771,0)</f>
        <v/>
      </c>
      <c r="BP15" s="630">
        <f>IF(AND(Projects!$G$11="Yes",66=Projects!$C$11),-155771,0)</f>
        <v/>
      </c>
      <c r="BQ15" s="630">
        <f>IF(AND(Projects!$G$11="Yes",67=Projects!$C$11),-155771,0)</f>
        <v/>
      </c>
      <c r="BR15" s="630">
        <f>IF(AND(Projects!$G$11="Yes",68=Projects!$C$11),-155771,0)</f>
        <v/>
      </c>
      <c r="BS15" s="630">
        <f>IF(AND(Projects!$G$11="Yes",69=Projects!$C$11),-155771,0)</f>
        <v/>
      </c>
      <c r="BT15" s="630">
        <f>IF(AND(Projects!$G$11="Yes",70=Projects!$C$11),-155771,0)</f>
        <v/>
      </c>
      <c r="BU15" s="630">
        <f>IF(AND(Projects!$G$11="Yes",71=Projects!$C$11),-155771,0)</f>
        <v/>
      </c>
      <c r="BV15" s="630">
        <f>IF(AND(Projects!$G$11="Yes",72=Projects!$C$11),-155771,0)</f>
        <v/>
      </c>
      <c r="BW15" s="630">
        <f>IF(AND(Projects!$G$11="Yes",73=Projects!$C$11),-155771,0)</f>
        <v/>
      </c>
      <c r="BX15" s="630">
        <f>IF(AND(Projects!$G$11="Yes",74=Projects!$C$11),-155771,0)</f>
        <v/>
      </c>
      <c r="BY15" s="630">
        <f>IF(AND(Projects!$G$11="Yes",75=Projects!$C$11),-155771,0)</f>
        <v/>
      </c>
      <c r="BZ15" s="630">
        <f>IF(AND(Projects!$G$11="Yes",76=Projects!$C$11),-155771,0)</f>
        <v/>
      </c>
      <c r="CA15" s="630">
        <f>IF(AND(Projects!$G$11="Yes",77=Projects!$C$11),-155771,0)</f>
        <v/>
      </c>
      <c r="CB15" s="630">
        <f>IF(AND(Projects!$G$11="Yes",78=Projects!$C$11),-155771,0)</f>
        <v/>
      </c>
      <c r="CC15" s="630">
        <f>IF(AND(Projects!$G$11="Yes",79=Projects!$C$11),-155771,0)</f>
        <v/>
      </c>
      <c r="CD15" s="630">
        <f>IF(AND(Projects!$G$11="Yes",80=Projects!$C$11),-155771,0)</f>
        <v/>
      </c>
      <c r="CE15" s="630">
        <f>IF(AND(Projects!$G$11="Yes",81=Projects!$C$11),-155771,0)</f>
        <v/>
      </c>
      <c r="CF15" s="630">
        <f>IF(AND(Projects!$G$11="Yes",82=Projects!$C$11),-155771,0)</f>
        <v/>
      </c>
      <c r="CG15" s="630">
        <f>IF(AND(Projects!$G$11="Yes",83=Projects!$C$11),-155771,0)</f>
        <v/>
      </c>
      <c r="CH15" s="630">
        <f>IF(AND(Projects!$G$11="Yes",84=Projects!$C$11),-155771,0)</f>
        <v/>
      </c>
    </row>
    <row r="16" ht="15" customFormat="1" customHeight="1" s="380">
      <c r="A16" s="626" t="inlineStr">
        <is>
          <t xml:space="preserve">  Net to Six Peak</t>
        </is>
      </c>
      <c r="B16" s="626" t="n"/>
      <c r="C16" s="627">
        <f>C14+C15</f>
        <v/>
      </c>
      <c r="D16" s="627">
        <f>D14+D15</f>
        <v/>
      </c>
      <c r="E16" s="627">
        <f>E14+E15</f>
        <v/>
      </c>
      <c r="F16" s="627">
        <f>F14+F15</f>
        <v/>
      </c>
      <c r="G16" s="627">
        <f>G14+G15</f>
        <v/>
      </c>
      <c r="H16" s="627">
        <f>H14+H15</f>
        <v/>
      </c>
      <c r="I16" s="627">
        <f>I14+I15</f>
        <v/>
      </c>
      <c r="J16" s="627">
        <f>J14+J15</f>
        <v/>
      </c>
      <c r="K16" s="627">
        <f>K14+K15</f>
        <v/>
      </c>
      <c r="L16" s="627">
        <f>L14+L15</f>
        <v/>
      </c>
      <c r="M16" s="627">
        <f>M14+M15</f>
        <v/>
      </c>
      <c r="N16" s="627">
        <f>N14+N15</f>
        <v/>
      </c>
      <c r="O16" s="627">
        <f>O14+O15</f>
        <v/>
      </c>
      <c r="P16" s="627">
        <f>P14+P15</f>
        <v/>
      </c>
      <c r="Q16" s="627">
        <f>Q14+Q15</f>
        <v/>
      </c>
      <c r="R16" s="627">
        <f>R14+R15</f>
        <v/>
      </c>
      <c r="S16" s="627">
        <f>S14+S15</f>
        <v/>
      </c>
      <c r="T16" s="627">
        <f>T14+T15</f>
        <v/>
      </c>
      <c r="U16" s="627">
        <f>U14+U15</f>
        <v/>
      </c>
      <c r="V16" s="627">
        <f>V14+V15</f>
        <v/>
      </c>
      <c r="W16" s="627">
        <f>W14+W15</f>
        <v/>
      </c>
      <c r="X16" s="627">
        <f>X14+X15</f>
        <v/>
      </c>
      <c r="Y16" s="627">
        <f>Y14+Y15</f>
        <v/>
      </c>
      <c r="Z16" s="627">
        <f>Z14+Z15</f>
        <v/>
      </c>
      <c r="AA16" s="627">
        <f>AA14+AA15</f>
        <v/>
      </c>
      <c r="AB16" s="627">
        <f>AB14+AB15</f>
        <v/>
      </c>
      <c r="AC16" s="627">
        <f>AC14+AC15</f>
        <v/>
      </c>
      <c r="AD16" s="627">
        <f>AD14+AD15</f>
        <v/>
      </c>
      <c r="AE16" s="627">
        <f>AE14+AE15</f>
        <v/>
      </c>
      <c r="AF16" s="627">
        <f>AF14+AF15</f>
        <v/>
      </c>
      <c r="AG16" s="627">
        <f>AG14+AG15</f>
        <v/>
      </c>
      <c r="AH16" s="627">
        <f>AH14+AH15</f>
        <v/>
      </c>
      <c r="AI16" s="627">
        <f>AI14+AI15</f>
        <v/>
      </c>
      <c r="AJ16" s="627">
        <f>AJ14+AJ15</f>
        <v/>
      </c>
      <c r="AK16" s="627">
        <f>AK14+AK15</f>
        <v/>
      </c>
      <c r="AL16" s="627">
        <f>AL14+AL15</f>
        <v/>
      </c>
      <c r="AM16" s="627">
        <f>AM14+AM15</f>
        <v/>
      </c>
      <c r="AN16" s="627">
        <f>AN14+AN15</f>
        <v/>
      </c>
      <c r="AO16" s="627">
        <f>AO14+AO15</f>
        <v/>
      </c>
      <c r="AP16" s="627">
        <f>AP14+AP15</f>
        <v/>
      </c>
      <c r="AQ16" s="627">
        <f>AQ14+AQ15</f>
        <v/>
      </c>
      <c r="AR16" s="627">
        <f>AR14+AR15</f>
        <v/>
      </c>
      <c r="AS16" s="627">
        <f>AS14+AS15</f>
        <v/>
      </c>
      <c r="AT16" s="627">
        <f>AT14+AT15</f>
        <v/>
      </c>
      <c r="AU16" s="627">
        <f>AU14+AU15</f>
        <v/>
      </c>
      <c r="AV16" s="627">
        <f>AV14+AV15</f>
        <v/>
      </c>
      <c r="AW16" s="627">
        <f>AW14+AW15</f>
        <v/>
      </c>
      <c r="AX16" s="627">
        <f>AX14+AX15</f>
        <v/>
      </c>
      <c r="AY16" s="627">
        <f>AY14+AY15</f>
        <v/>
      </c>
      <c r="AZ16" s="627">
        <f>AZ14+AZ15</f>
        <v/>
      </c>
      <c r="BA16" s="627">
        <f>BA14+BA15</f>
        <v/>
      </c>
      <c r="BB16" s="627">
        <f>BB14+BB15</f>
        <v/>
      </c>
      <c r="BC16" s="627">
        <f>BC14+BC15</f>
        <v/>
      </c>
      <c r="BD16" s="627">
        <f>BD14+BD15</f>
        <v/>
      </c>
      <c r="BE16" s="627">
        <f>BE14+BE15</f>
        <v/>
      </c>
      <c r="BF16" s="627">
        <f>BF14+BF15</f>
        <v/>
      </c>
      <c r="BG16" s="627">
        <f>BG14+BG15</f>
        <v/>
      </c>
      <c r="BH16" s="627">
        <f>BH14+BH15</f>
        <v/>
      </c>
      <c r="BI16" s="627">
        <f>BI14+BI15</f>
        <v/>
      </c>
      <c r="BJ16" s="627">
        <f>BJ14+BJ15</f>
        <v/>
      </c>
      <c r="BK16" s="627">
        <f>BK14+BK15</f>
        <v/>
      </c>
      <c r="BL16" s="627">
        <f>BL14+BL15</f>
        <v/>
      </c>
      <c r="BM16" s="627">
        <f>BM14+BM15</f>
        <v/>
      </c>
      <c r="BN16" s="627">
        <f>BN14+BN15</f>
        <v/>
      </c>
      <c r="BO16" s="627">
        <f>BO14+BO15</f>
        <v/>
      </c>
      <c r="BP16" s="627">
        <f>BP14+BP15</f>
        <v/>
      </c>
      <c r="BQ16" s="627">
        <f>BQ14+BQ15</f>
        <v/>
      </c>
      <c r="BR16" s="627">
        <f>BR14+BR15</f>
        <v/>
      </c>
      <c r="BS16" s="627">
        <f>BS14+BS15</f>
        <v/>
      </c>
      <c r="BT16" s="627">
        <f>BT14+BT15</f>
        <v/>
      </c>
      <c r="BU16" s="627">
        <f>BU14+BU15</f>
        <v/>
      </c>
      <c r="BV16" s="627">
        <f>BV14+BV15</f>
        <v/>
      </c>
      <c r="BW16" s="627">
        <f>BW14+BW15</f>
        <v/>
      </c>
      <c r="BX16" s="627">
        <f>BX14+BX15</f>
        <v/>
      </c>
      <c r="BY16" s="627">
        <f>BY14+BY15</f>
        <v/>
      </c>
      <c r="BZ16" s="627">
        <f>BZ14+BZ15</f>
        <v/>
      </c>
      <c r="CA16" s="627">
        <f>CA14+CA15</f>
        <v/>
      </c>
      <c r="CB16" s="627">
        <f>CB14+CB15</f>
        <v/>
      </c>
      <c r="CC16" s="627">
        <f>CC14+CC15</f>
        <v/>
      </c>
      <c r="CD16" s="627">
        <f>CD14+CD15</f>
        <v/>
      </c>
      <c r="CE16" s="627">
        <f>CE14+CE15</f>
        <v/>
      </c>
      <c r="CF16" s="627">
        <f>CF14+CF15</f>
        <v/>
      </c>
      <c r="CG16" s="627">
        <f>CG14+CG15</f>
        <v/>
      </c>
      <c r="CH16" s="627">
        <f>CH14+CH15</f>
        <v/>
      </c>
    </row>
    <row r="17" ht="15" customFormat="1" customHeight="1" s="380">
      <c r="A17" s="381" t="inlineStr">
        <is>
          <t xml:space="preserve">  Cumulative Net</t>
        </is>
      </c>
      <c r="B17" s="382" t="n"/>
      <c r="C17" s="628">
        <f>C16</f>
        <v/>
      </c>
      <c r="D17" s="628">
        <f>C17+D16</f>
        <v/>
      </c>
      <c r="E17" s="628">
        <f>D17+E16</f>
        <v/>
      </c>
      <c r="F17" s="628">
        <f>E17+F16</f>
        <v/>
      </c>
      <c r="G17" s="628">
        <f>F17+G16</f>
        <v/>
      </c>
      <c r="H17" s="628">
        <f>G17+H16</f>
        <v/>
      </c>
      <c r="I17" s="628">
        <f>H17+I16</f>
        <v/>
      </c>
      <c r="J17" s="628">
        <f>I17+J16</f>
        <v/>
      </c>
      <c r="K17" s="628">
        <f>J17+K16</f>
        <v/>
      </c>
      <c r="L17" s="628">
        <f>K17+L16</f>
        <v/>
      </c>
      <c r="M17" s="628">
        <f>L17+M16</f>
        <v/>
      </c>
      <c r="N17" s="628">
        <f>M17+N16</f>
        <v/>
      </c>
      <c r="O17" s="628">
        <f>N17+O16</f>
        <v/>
      </c>
      <c r="P17" s="628">
        <f>O17+P16</f>
        <v/>
      </c>
      <c r="Q17" s="628">
        <f>P17+Q16</f>
        <v/>
      </c>
      <c r="R17" s="628">
        <f>Q17+R16</f>
        <v/>
      </c>
      <c r="S17" s="628">
        <f>R17+S16</f>
        <v/>
      </c>
      <c r="T17" s="628">
        <f>S17+T16</f>
        <v/>
      </c>
      <c r="U17" s="628">
        <f>T17+U16</f>
        <v/>
      </c>
      <c r="V17" s="628">
        <f>U17+V16</f>
        <v/>
      </c>
      <c r="W17" s="628">
        <f>V17+W16</f>
        <v/>
      </c>
      <c r="X17" s="628">
        <f>W17+X16</f>
        <v/>
      </c>
      <c r="Y17" s="628">
        <f>X17+Y16</f>
        <v/>
      </c>
      <c r="Z17" s="628">
        <f>Y17+Z16</f>
        <v/>
      </c>
      <c r="AA17" s="628">
        <f>Z17+AA16</f>
        <v/>
      </c>
      <c r="AB17" s="628">
        <f>AA17+AB16</f>
        <v/>
      </c>
      <c r="AC17" s="628">
        <f>AB17+AC16</f>
        <v/>
      </c>
      <c r="AD17" s="628">
        <f>AC17+AD16</f>
        <v/>
      </c>
      <c r="AE17" s="628">
        <f>AD17+AE16</f>
        <v/>
      </c>
      <c r="AF17" s="628">
        <f>AE17+AF16</f>
        <v/>
      </c>
      <c r="AG17" s="628">
        <f>AF17+AG16</f>
        <v/>
      </c>
      <c r="AH17" s="628">
        <f>AG17+AH16</f>
        <v/>
      </c>
      <c r="AI17" s="628">
        <f>AH17+AI16</f>
        <v/>
      </c>
      <c r="AJ17" s="628">
        <f>AI17+AJ16</f>
        <v/>
      </c>
      <c r="AK17" s="628">
        <f>AJ17+AK16</f>
        <v/>
      </c>
      <c r="AL17" s="628">
        <f>AK17+AL16</f>
        <v/>
      </c>
      <c r="AM17" s="628">
        <f>AL17+AM16</f>
        <v/>
      </c>
      <c r="AN17" s="628">
        <f>AM17+AN16</f>
        <v/>
      </c>
      <c r="AO17" s="628">
        <f>AN17+AO16</f>
        <v/>
      </c>
      <c r="AP17" s="628">
        <f>AO17+AP16</f>
        <v/>
      </c>
      <c r="AQ17" s="628">
        <f>AP17+AQ16</f>
        <v/>
      </c>
      <c r="AR17" s="628">
        <f>AQ17+AR16</f>
        <v/>
      </c>
      <c r="AS17" s="628">
        <f>AR17+AS16</f>
        <v/>
      </c>
      <c r="AT17" s="628">
        <f>AS17+AT16</f>
        <v/>
      </c>
      <c r="AU17" s="628">
        <f>AT17+AU16</f>
        <v/>
      </c>
      <c r="AV17" s="628">
        <f>AU17+AV16</f>
        <v/>
      </c>
      <c r="AW17" s="628">
        <f>AV17+AW16</f>
        <v/>
      </c>
      <c r="AX17" s="628">
        <f>AW17+AX16</f>
        <v/>
      </c>
      <c r="AY17" s="628">
        <f>AX17+AY16</f>
        <v/>
      </c>
      <c r="AZ17" s="628">
        <f>AY17+AZ16</f>
        <v/>
      </c>
      <c r="BA17" s="628">
        <f>AZ17+BA16</f>
        <v/>
      </c>
      <c r="BB17" s="628">
        <f>BA17+BB16</f>
        <v/>
      </c>
      <c r="BC17" s="628">
        <f>BB17+BC16</f>
        <v/>
      </c>
      <c r="BD17" s="628">
        <f>BC17+BD16</f>
        <v/>
      </c>
      <c r="BE17" s="628">
        <f>BD17+BE16</f>
        <v/>
      </c>
      <c r="BF17" s="628">
        <f>BE17+BF16</f>
        <v/>
      </c>
      <c r="BG17" s="628">
        <f>BF17+BG16</f>
        <v/>
      </c>
      <c r="BH17" s="628">
        <f>BG17+BH16</f>
        <v/>
      </c>
      <c r="BI17" s="628">
        <f>BH17+BI16</f>
        <v/>
      </c>
      <c r="BJ17" s="628">
        <f>BI17+BJ16</f>
        <v/>
      </c>
      <c r="BK17" s="628">
        <f>BJ17+BK16</f>
        <v/>
      </c>
      <c r="BL17" s="628">
        <f>BK17+BL16</f>
        <v/>
      </c>
      <c r="BM17" s="628">
        <f>BL17+BM16</f>
        <v/>
      </c>
      <c r="BN17" s="628">
        <f>BM17+BN16</f>
        <v/>
      </c>
      <c r="BO17" s="628">
        <f>BN17+BO16</f>
        <v/>
      </c>
      <c r="BP17" s="628">
        <f>BO17+BP16</f>
        <v/>
      </c>
      <c r="BQ17" s="628">
        <f>BP17+BQ16</f>
        <v/>
      </c>
      <c r="BR17" s="628">
        <f>BQ17+BR16</f>
        <v/>
      </c>
      <c r="BS17" s="628">
        <f>BR17+BS16</f>
        <v/>
      </c>
      <c r="BT17" s="628">
        <f>BS17+BT16</f>
        <v/>
      </c>
      <c r="BU17" s="628">
        <f>BT17+BU16</f>
        <v/>
      </c>
      <c r="BV17" s="628">
        <f>BU17+BV16</f>
        <v/>
      </c>
      <c r="BW17" s="628">
        <f>BV17+BW16</f>
        <v/>
      </c>
      <c r="BX17" s="628">
        <f>BW17+BX16</f>
        <v/>
      </c>
      <c r="BY17" s="628">
        <f>BX17+BY16</f>
        <v/>
      </c>
      <c r="BZ17" s="628">
        <f>BY17+BZ16</f>
        <v/>
      </c>
      <c r="CA17" s="628">
        <f>BZ17+CA16</f>
        <v/>
      </c>
      <c r="CB17" s="628">
        <f>CA17+CB16</f>
        <v/>
      </c>
      <c r="CC17" s="628">
        <f>CB17+CC16</f>
        <v/>
      </c>
      <c r="CD17" s="628">
        <f>CC17+CD16</f>
        <v/>
      </c>
      <c r="CE17" s="628">
        <f>CD17+CE16</f>
        <v/>
      </c>
      <c r="CF17" s="628">
        <f>CE17+CF16</f>
        <v/>
      </c>
      <c r="CG17" s="628">
        <f>CF17+CG16</f>
        <v/>
      </c>
      <c r="CH17" s="628">
        <f>CG17+CH16</f>
        <v/>
      </c>
    </row>
    <row r="18" ht="15" customFormat="1" customHeight="1" s="380">
      <c r="A18" s="382" t="n"/>
      <c r="B18" s="382" t="n"/>
      <c r="C18" s="382" t="n"/>
      <c r="D18" s="382" t="n"/>
      <c r="E18" s="382" t="n"/>
      <c r="F18" s="382" t="n"/>
      <c r="G18" s="382" t="n"/>
      <c r="H18" s="382" t="n"/>
      <c r="I18" s="382" t="n"/>
      <c r="J18" s="382" t="n"/>
      <c r="K18" s="382" t="n"/>
      <c r="L18" s="382" t="n"/>
      <c r="M18" s="382" t="n"/>
      <c r="N18" s="382" t="n"/>
      <c r="O18" s="382" t="n"/>
      <c r="P18" s="382" t="n"/>
      <c r="Q18" s="382" t="n"/>
      <c r="R18" s="382" t="n"/>
      <c r="S18" s="382" t="n"/>
      <c r="T18" s="382" t="n"/>
      <c r="U18" s="382" t="n"/>
      <c r="V18" s="382" t="n"/>
      <c r="W18" s="382" t="n"/>
      <c r="X18" s="382" t="n"/>
      <c r="Y18" s="382" t="n"/>
      <c r="Z18" s="382" t="n"/>
      <c r="AA18" s="382" t="n"/>
      <c r="AB18" s="382" t="n"/>
      <c r="AC18" s="382" t="n"/>
      <c r="AD18" s="382" t="n"/>
      <c r="AE18" s="382" t="n"/>
      <c r="AF18" s="382" t="n"/>
      <c r="AG18" s="382" t="n"/>
      <c r="AH18" s="382" t="n"/>
      <c r="AI18" s="382" t="n"/>
      <c r="AJ18" s="382" t="n"/>
      <c r="AK18" s="382" t="n"/>
      <c r="AL18" s="382" t="n"/>
      <c r="AM18" s="382" t="n"/>
      <c r="AN18" s="382" t="n"/>
      <c r="AO18" s="382" t="n"/>
      <c r="AP18" s="382" t="n"/>
      <c r="AQ18" s="382" t="n"/>
      <c r="AR18" s="382" t="n"/>
      <c r="AS18" s="382" t="n"/>
      <c r="AT18" s="382" t="n"/>
      <c r="AU18" s="382" t="n"/>
      <c r="AV18" s="382" t="n"/>
      <c r="AW18" s="382" t="n"/>
      <c r="AX18" s="382" t="n"/>
      <c r="AY18" s="382" t="n"/>
      <c r="AZ18" s="382" t="n"/>
      <c r="BA18" s="382" t="n"/>
      <c r="BB18" s="382" t="n"/>
      <c r="BC18" s="382" t="n"/>
      <c r="BD18" s="382" t="n"/>
      <c r="BE18" s="382" t="n"/>
      <c r="BF18" s="382" t="n"/>
      <c r="BG18" s="382" t="n"/>
      <c r="BH18" s="382" t="n"/>
      <c r="BI18" s="382" t="n"/>
      <c r="BJ18" s="382" t="n"/>
      <c r="BK18" s="382" t="n"/>
      <c r="BL18" s="382" t="n"/>
      <c r="BM18" s="382" t="n"/>
      <c r="BN18" s="382" t="n"/>
      <c r="BO18" s="382" t="n"/>
      <c r="BP18" s="382" t="n"/>
      <c r="BQ18" s="382" t="n"/>
      <c r="BR18" s="382" t="n"/>
      <c r="BS18" s="382" t="n"/>
      <c r="BT18" s="382" t="n"/>
      <c r="BU18" s="382" t="n"/>
      <c r="BV18" s="382" t="n"/>
      <c r="BW18" s="382" t="n"/>
      <c r="BX18" s="382" t="n"/>
      <c r="BY18" s="382" t="n"/>
      <c r="BZ18" s="382" t="n"/>
      <c r="CA18" s="382" t="n"/>
      <c r="CB18" s="382" t="n"/>
      <c r="CC18" s="382" t="n"/>
      <c r="CD18" s="382" t="n"/>
      <c r="CE18" s="382" t="n"/>
      <c r="CF18" s="382" t="n"/>
      <c r="CG18" s="382" t="n"/>
      <c r="CH18" s="382" t="n"/>
    </row>
    <row r="19" ht="15" customFormat="1" customHeight="1" s="380">
      <c r="A19" s="402" t="inlineStr">
        <is>
          <t>Scott</t>
        </is>
      </c>
      <c r="B19" s="402" t="n"/>
      <c r="C19" s="402" t="n"/>
      <c r="D19" s="402" t="n"/>
      <c r="E19" s="402" t="n"/>
      <c r="F19" s="402" t="n"/>
      <c r="G19" s="402" t="n"/>
      <c r="H19" s="402" t="n"/>
      <c r="I19" s="402" t="n"/>
      <c r="J19" s="402" t="n"/>
      <c r="K19" s="402" t="n"/>
      <c r="L19" s="402" t="n"/>
      <c r="M19" s="402" t="n"/>
      <c r="N19" s="402" t="n"/>
      <c r="O19" s="402" t="n"/>
      <c r="P19" s="402" t="n"/>
      <c r="Q19" s="402" t="n"/>
      <c r="R19" s="402" t="n"/>
      <c r="S19" s="402" t="n"/>
      <c r="T19" s="402" t="n"/>
      <c r="U19" s="402" t="n"/>
      <c r="V19" s="402" t="n"/>
      <c r="W19" s="402" t="n"/>
      <c r="X19" s="402" t="n"/>
      <c r="Y19" s="402" t="n"/>
      <c r="Z19" s="402" t="n"/>
      <c r="AA19" s="402" t="n"/>
      <c r="AB19" s="402" t="n"/>
      <c r="AC19" s="402" t="n"/>
      <c r="AD19" s="402" t="n"/>
      <c r="AE19" s="402" t="n"/>
      <c r="AF19" s="402" t="n"/>
      <c r="AG19" s="402" t="n"/>
      <c r="AH19" s="402" t="n"/>
      <c r="AI19" s="402" t="n"/>
      <c r="AJ19" s="402" t="n"/>
      <c r="AK19" s="402" t="n"/>
      <c r="AL19" s="402" t="n"/>
      <c r="AM19" s="402" t="n"/>
      <c r="AN19" s="402" t="n"/>
      <c r="AO19" s="402" t="n"/>
      <c r="AP19" s="402" t="n"/>
      <c r="AQ19" s="402" t="n"/>
      <c r="AR19" s="402" t="n"/>
      <c r="AS19" s="402" t="n"/>
      <c r="AT19" s="402" t="n"/>
      <c r="AU19" s="402" t="n"/>
      <c r="AV19" s="402" t="n"/>
      <c r="AW19" s="402" t="n"/>
      <c r="AX19" s="402" t="n"/>
      <c r="AY19" s="402" t="n"/>
      <c r="AZ19" s="402" t="n"/>
      <c r="BA19" s="402" t="n"/>
      <c r="BB19" s="402" t="n"/>
      <c r="BC19" s="402" t="n"/>
      <c r="BD19" s="402" t="n"/>
      <c r="BE19" s="402" t="n"/>
      <c r="BF19" s="402" t="n"/>
      <c r="BG19" s="402" t="n"/>
      <c r="BH19" s="402" t="n"/>
      <c r="BI19" s="402" t="n"/>
      <c r="BJ19" s="402" t="n"/>
      <c r="BK19" s="402" t="n"/>
      <c r="BL19" s="402" t="n"/>
      <c r="BM19" s="402" t="n"/>
      <c r="BN19" s="402" t="n"/>
      <c r="BO19" s="402" t="n"/>
      <c r="BP19" s="402" t="n"/>
      <c r="BQ19" s="402" t="n"/>
      <c r="BR19" s="402" t="n"/>
      <c r="BS19" s="402" t="n"/>
      <c r="BT19" s="402" t="n"/>
      <c r="BU19" s="402" t="n"/>
      <c r="BV19" s="402" t="n"/>
      <c r="BW19" s="402" t="n"/>
      <c r="BX19" s="402" t="n"/>
      <c r="BY19" s="402" t="n"/>
      <c r="BZ19" s="402" t="n"/>
      <c r="CA19" s="402" t="n"/>
      <c r="CB19" s="402" t="n"/>
      <c r="CC19" s="402" t="n"/>
      <c r="CD19" s="402" t="n"/>
      <c r="CE19" s="402" t="n"/>
      <c r="CF19" s="402" t="n"/>
      <c r="CG19" s="402" t="n"/>
      <c r="CH19" s="402" t="n"/>
    </row>
    <row r="20" ht="15" customFormat="1" customHeight="1" s="380">
      <c r="A20" s="458" t="inlineStr">
        <is>
          <t xml:space="preserve">  Revenue</t>
        </is>
      </c>
      <c r="B20" s="382" t="n"/>
      <c r="C20" s="625">
        <f>Model!E161+Model!E162+Model!E163</f>
        <v/>
      </c>
      <c r="D20" s="625">
        <f>Model!F161+Model!F162+Model!F163</f>
        <v/>
      </c>
      <c r="E20" s="625">
        <f>Model!G161+Model!G162+Model!G163</f>
        <v/>
      </c>
      <c r="F20" s="625">
        <f>Model!H161+Model!H162+Model!H163</f>
        <v/>
      </c>
      <c r="G20" s="625">
        <f>Model!I161+Model!I162+Model!I163</f>
        <v/>
      </c>
      <c r="H20" s="625">
        <f>Model!J161+Model!J162+Model!J163</f>
        <v/>
      </c>
      <c r="I20" s="625">
        <f>Model!K161+Model!K162+Model!K163</f>
        <v/>
      </c>
      <c r="J20" s="625">
        <f>Model!L161+Model!L162+Model!L163</f>
        <v/>
      </c>
      <c r="K20" s="625">
        <f>Model!M161+Model!M162+Model!M163</f>
        <v/>
      </c>
      <c r="L20" s="625">
        <f>Model!N161+Model!N162+Model!N163</f>
        <v/>
      </c>
      <c r="M20" s="625">
        <f>Model!O161+Model!O162+Model!O163</f>
        <v/>
      </c>
      <c r="N20" s="625">
        <f>Model!P161+Model!P162+Model!P163</f>
        <v/>
      </c>
      <c r="O20" s="625">
        <f>Model!Q161+Model!Q162+Model!Q163</f>
        <v/>
      </c>
      <c r="P20" s="625">
        <f>Model!R161+Model!R162+Model!R163</f>
        <v/>
      </c>
      <c r="Q20" s="625">
        <f>Model!S161+Model!S162+Model!S163</f>
        <v/>
      </c>
      <c r="R20" s="625">
        <f>Model!T161+Model!T162+Model!T163</f>
        <v/>
      </c>
      <c r="S20" s="625">
        <f>Model!U161+Model!U162+Model!U163</f>
        <v/>
      </c>
      <c r="T20" s="625">
        <f>Model!V161+Model!V162+Model!V163</f>
        <v/>
      </c>
      <c r="U20" s="625">
        <f>Model!W161+Model!W162+Model!W163</f>
        <v/>
      </c>
      <c r="V20" s="625">
        <f>Model!X161+Model!X162+Model!X163</f>
        <v/>
      </c>
      <c r="W20" s="625">
        <f>Model!Y161+Model!Y162+Model!Y163</f>
        <v/>
      </c>
      <c r="X20" s="625">
        <f>Model!Z161+Model!Z162+Model!Z163</f>
        <v/>
      </c>
      <c r="Y20" s="625">
        <f>Model!AA161+Model!AA162+Model!AA163</f>
        <v/>
      </c>
      <c r="Z20" s="625">
        <f>Model!AB161+Model!AB162+Model!AB163</f>
        <v/>
      </c>
      <c r="AA20" s="625">
        <f>Model!AC161+Model!AC162+Model!AC163</f>
        <v/>
      </c>
      <c r="AB20" s="625">
        <f>Model!AD161+Model!AD162+Model!AD163</f>
        <v/>
      </c>
      <c r="AC20" s="625">
        <f>Model!AE161+Model!AE162+Model!AE163</f>
        <v/>
      </c>
      <c r="AD20" s="625">
        <f>Model!AF161+Model!AF162+Model!AF163</f>
        <v/>
      </c>
      <c r="AE20" s="625">
        <f>Model!AG161+Model!AG162+Model!AG163</f>
        <v/>
      </c>
      <c r="AF20" s="625">
        <f>Model!AH161+Model!AH162+Model!AH163</f>
        <v/>
      </c>
      <c r="AG20" s="625">
        <f>Model!AI161+Model!AI162+Model!AI163</f>
        <v/>
      </c>
      <c r="AH20" s="625">
        <f>Model!AJ161+Model!AJ162+Model!AJ163</f>
        <v/>
      </c>
      <c r="AI20" s="625">
        <f>Model!AK161+Model!AK162+Model!AK163</f>
        <v/>
      </c>
      <c r="AJ20" s="625">
        <f>Model!AL161+Model!AL162+Model!AL163</f>
        <v/>
      </c>
      <c r="AK20" s="625">
        <f>Model!AM161+Model!AM162+Model!AM163</f>
        <v/>
      </c>
      <c r="AL20" s="625">
        <f>Model!AN161+Model!AN162+Model!AN163</f>
        <v/>
      </c>
      <c r="AM20" s="625">
        <f>Model!AO161+Model!AO162+Model!AO163</f>
        <v/>
      </c>
      <c r="AN20" s="625">
        <f>Model!AP161+Model!AP162+Model!AP163</f>
        <v/>
      </c>
      <c r="AO20" s="625">
        <f>Model!AQ161+Model!AQ162+Model!AQ163</f>
        <v/>
      </c>
      <c r="AP20" s="625">
        <f>Model!AR161+Model!AR162+Model!AR163</f>
        <v/>
      </c>
      <c r="AQ20" s="625">
        <f>Model!AS161+Model!AS162+Model!AS163</f>
        <v/>
      </c>
      <c r="AR20" s="625">
        <f>Model!AT161+Model!AT162+Model!AT163</f>
        <v/>
      </c>
      <c r="AS20" s="625">
        <f>Model!AU161+Model!AU162+Model!AU163</f>
        <v/>
      </c>
      <c r="AT20" s="625">
        <f>Model!AV161+Model!AV162+Model!AV163</f>
        <v/>
      </c>
      <c r="AU20" s="625">
        <f>Model!AW161+Model!AW162+Model!AW163</f>
        <v/>
      </c>
      <c r="AV20" s="625">
        <f>Model!AX161+Model!AX162+Model!AX163</f>
        <v/>
      </c>
      <c r="AW20" s="625">
        <f>Model!AY161+Model!AY162+Model!AY163</f>
        <v/>
      </c>
      <c r="AX20" s="625">
        <f>Model!AZ161+Model!AZ162+Model!AZ163</f>
        <v/>
      </c>
      <c r="AY20" s="625">
        <f>Model!BA161+Model!BA162+Model!BA163</f>
        <v/>
      </c>
      <c r="AZ20" s="625">
        <f>Model!BB161+Model!BB162+Model!BB163</f>
        <v/>
      </c>
      <c r="BA20" s="625">
        <f>Model!BC161+Model!BC162+Model!BC163</f>
        <v/>
      </c>
      <c r="BB20" s="625">
        <f>Model!BD161+Model!BD162+Model!BD163</f>
        <v/>
      </c>
      <c r="BC20" s="625">
        <f>Model!BE161+Model!BE162+Model!BE163</f>
        <v/>
      </c>
      <c r="BD20" s="625">
        <f>Model!BF161+Model!BF162+Model!BF163</f>
        <v/>
      </c>
      <c r="BE20" s="625">
        <f>Model!BG161+Model!BG162+Model!BG163</f>
        <v/>
      </c>
      <c r="BF20" s="625">
        <f>Model!BH161+Model!BH162+Model!BH163</f>
        <v/>
      </c>
      <c r="BG20" s="625">
        <f>Model!BI161+Model!BI162+Model!BI163</f>
        <v/>
      </c>
      <c r="BH20" s="625">
        <f>Model!BJ161+Model!BJ162+Model!BJ163</f>
        <v/>
      </c>
      <c r="BI20" s="625">
        <f>Model!BK161+Model!BK162+Model!BK163</f>
        <v/>
      </c>
      <c r="BJ20" s="625">
        <f>Model!BL161+Model!BL162+Model!BL163</f>
        <v/>
      </c>
      <c r="BK20" s="625">
        <f>Model!BM161+Model!BM162+Model!BM163</f>
        <v/>
      </c>
      <c r="BL20" s="625">
        <f>Model!BN161+Model!BN162+Model!BN163</f>
        <v/>
      </c>
      <c r="BM20" s="625">
        <f>Model!BO161+Model!BO162+Model!BO163</f>
        <v/>
      </c>
      <c r="BN20" s="625">
        <f>Model!BP161+Model!BP162+Model!BP163</f>
        <v/>
      </c>
      <c r="BO20" s="625">
        <f>Model!BQ161+Model!BQ162+Model!BQ163</f>
        <v/>
      </c>
      <c r="BP20" s="625">
        <f>Model!BR161+Model!BR162+Model!BR163</f>
        <v/>
      </c>
      <c r="BQ20" s="625">
        <f>Model!BS161+Model!BS162+Model!BS163</f>
        <v/>
      </c>
      <c r="BR20" s="625">
        <f>Model!BT161+Model!BT162+Model!BT163</f>
        <v/>
      </c>
      <c r="BS20" s="625">
        <f>Model!BU161+Model!BU162+Model!BU163</f>
        <v/>
      </c>
      <c r="BT20" s="625">
        <f>Model!BV161+Model!BV162+Model!BV163</f>
        <v/>
      </c>
      <c r="BU20" s="625">
        <f>Model!BW161+Model!BW162+Model!BW163</f>
        <v/>
      </c>
      <c r="BV20" s="625">
        <f>Model!BX161+Model!BX162+Model!BX163</f>
        <v/>
      </c>
      <c r="BW20" s="625">
        <f>Model!BY161+Model!BY162+Model!BY163</f>
        <v/>
      </c>
      <c r="BX20" s="625">
        <f>Model!BZ161+Model!BZ162+Model!BZ163</f>
        <v/>
      </c>
      <c r="BY20" s="625">
        <f>Model!CA161+Model!CA162+Model!CA163</f>
        <v/>
      </c>
      <c r="BZ20" s="625">
        <f>Model!CB161+Model!CB162+Model!CB163</f>
        <v/>
      </c>
      <c r="CA20" s="625">
        <f>Model!CC161+Model!CC162+Model!CC163</f>
        <v/>
      </c>
      <c r="CB20" s="625">
        <f>Model!CD161+Model!CD162+Model!CD163</f>
        <v/>
      </c>
      <c r="CC20" s="625">
        <f>Model!CE161+Model!CE162+Model!CE163</f>
        <v/>
      </c>
      <c r="CD20" s="625">
        <f>Model!CF161+Model!CF162+Model!CF163</f>
        <v/>
      </c>
      <c r="CE20" s="625">
        <f>Model!CG161+Model!CG162+Model!CG163</f>
        <v/>
      </c>
      <c r="CF20" s="625">
        <f>Model!CH161+Model!CH162+Model!CH163</f>
        <v/>
      </c>
      <c r="CG20" s="625">
        <f>Model!CI161+Model!CI162+Model!CI163</f>
        <v/>
      </c>
      <c r="CH20" s="625">
        <f>Model!CJ161+Model!CJ162+Model!CJ163</f>
        <v/>
      </c>
    </row>
    <row r="21" ht="15" customFormat="1" customHeight="1" s="380">
      <c r="A21" s="629" t="inlineStr">
        <is>
          <t xml:space="preserve">  Steyn Fees</t>
        </is>
      </c>
      <c r="B21" s="382" t="n"/>
      <c r="C21" s="630">
        <f>IF(AND(Projects!$G$12="Yes",1=Projects!$C$12),-135452,0)</f>
        <v/>
      </c>
      <c r="D21" s="630">
        <f>IF(AND(Projects!$G$12="Yes",2=Projects!$C$12),-135452,0)</f>
        <v/>
      </c>
      <c r="E21" s="630">
        <f>IF(AND(Projects!$G$12="Yes",3=Projects!$C$12),-135452,0)</f>
        <v/>
      </c>
      <c r="F21" s="630">
        <f>IF(AND(Projects!$G$12="Yes",4=Projects!$C$12),-135452,0)</f>
        <v/>
      </c>
      <c r="G21" s="630">
        <f>IF(AND(Projects!$G$12="Yes",5=Projects!$C$12),-135452,0)</f>
        <v/>
      </c>
      <c r="H21" s="630">
        <f>IF(AND(Projects!$G$12="Yes",6=Projects!$C$12),-135452,0)</f>
        <v/>
      </c>
      <c r="I21" s="630">
        <f>IF(AND(Projects!$G$12="Yes",7=Projects!$C$12),-135452,0)</f>
        <v/>
      </c>
      <c r="J21" s="630">
        <f>IF(AND(Projects!$G$12="Yes",8=Projects!$C$12),-135452,0)</f>
        <v/>
      </c>
      <c r="K21" s="630">
        <f>IF(AND(Projects!$G$12="Yes",9=Projects!$C$12),-135452,0)</f>
        <v/>
      </c>
      <c r="L21" s="630">
        <f>IF(AND(Projects!$G$12="Yes",10=Projects!$C$12),-135452,0)</f>
        <v/>
      </c>
      <c r="M21" s="630">
        <f>IF(AND(Projects!$G$12="Yes",11=Projects!$C$12),-135452,0)</f>
        <v/>
      </c>
      <c r="N21" s="630">
        <f>IF(AND(Projects!$G$12="Yes",12=Projects!$C$12),-135452,0)</f>
        <v/>
      </c>
      <c r="O21" s="630">
        <f>IF(AND(Projects!$G$12="Yes",13=Projects!$C$12),-135452,0)</f>
        <v/>
      </c>
      <c r="P21" s="630">
        <f>IF(AND(Projects!$G$12="Yes",14=Projects!$C$12),-135452,0)</f>
        <v/>
      </c>
      <c r="Q21" s="630">
        <f>IF(AND(Projects!$G$12="Yes",15=Projects!$C$12),-135452,0)</f>
        <v/>
      </c>
      <c r="R21" s="630">
        <f>IF(AND(Projects!$G$12="Yes",16=Projects!$C$12),-135452,0)</f>
        <v/>
      </c>
      <c r="S21" s="630">
        <f>IF(AND(Projects!$G$12="Yes",17=Projects!$C$12),-135452,0)</f>
        <v/>
      </c>
      <c r="T21" s="630">
        <f>IF(AND(Projects!$G$12="Yes",18=Projects!$C$12),-135452,0)</f>
        <v/>
      </c>
      <c r="U21" s="630">
        <f>IF(AND(Projects!$G$12="Yes",19=Projects!$C$12),-135452,0)</f>
        <v/>
      </c>
      <c r="V21" s="630">
        <f>IF(AND(Projects!$G$12="Yes",20=Projects!$C$12),-135452,0)</f>
        <v/>
      </c>
      <c r="W21" s="630">
        <f>IF(AND(Projects!$G$12="Yes",21=Projects!$C$12),-135452,0)</f>
        <v/>
      </c>
      <c r="X21" s="630">
        <f>IF(AND(Projects!$G$12="Yes",22=Projects!$C$12),-135452,0)</f>
        <v/>
      </c>
      <c r="Y21" s="630">
        <f>IF(AND(Projects!$G$12="Yes",23=Projects!$C$12),-135452,0)</f>
        <v/>
      </c>
      <c r="Z21" s="630">
        <f>IF(AND(Projects!$G$12="Yes",24=Projects!$C$12),-135452,0)</f>
        <v/>
      </c>
      <c r="AA21" s="630">
        <f>IF(AND(Projects!$G$12="Yes",25=Projects!$C$12),-135452,0)</f>
        <v/>
      </c>
      <c r="AB21" s="630">
        <f>IF(AND(Projects!$G$12="Yes",26=Projects!$C$12),-135452,0)</f>
        <v/>
      </c>
      <c r="AC21" s="630">
        <f>IF(AND(Projects!$G$12="Yes",27=Projects!$C$12),-135452,0)</f>
        <v/>
      </c>
      <c r="AD21" s="630">
        <f>IF(AND(Projects!$G$12="Yes",28=Projects!$C$12),-135452,0)</f>
        <v/>
      </c>
      <c r="AE21" s="630">
        <f>IF(AND(Projects!$G$12="Yes",29=Projects!$C$12),-135452,0)</f>
        <v/>
      </c>
      <c r="AF21" s="630">
        <f>IF(AND(Projects!$G$12="Yes",30=Projects!$C$12),-135452,0)</f>
        <v/>
      </c>
      <c r="AG21" s="630">
        <f>IF(AND(Projects!$G$12="Yes",31=Projects!$C$12),-135452,0)</f>
        <v/>
      </c>
      <c r="AH21" s="630">
        <f>IF(AND(Projects!$G$12="Yes",32=Projects!$C$12),-135452,0)</f>
        <v/>
      </c>
      <c r="AI21" s="630">
        <f>IF(AND(Projects!$G$12="Yes",33=Projects!$C$12),-135452,0)</f>
        <v/>
      </c>
      <c r="AJ21" s="630">
        <f>IF(AND(Projects!$G$12="Yes",34=Projects!$C$12),-135452,0)</f>
        <v/>
      </c>
      <c r="AK21" s="630">
        <f>IF(AND(Projects!$G$12="Yes",35=Projects!$C$12),-135452,0)</f>
        <v/>
      </c>
      <c r="AL21" s="630">
        <f>IF(AND(Projects!$G$12="Yes",36=Projects!$C$12),-135452,0)</f>
        <v/>
      </c>
      <c r="AM21" s="630">
        <f>IF(AND(Projects!$G$12="Yes",37=Projects!$C$12),-135452,0)</f>
        <v/>
      </c>
      <c r="AN21" s="630">
        <f>IF(AND(Projects!$G$12="Yes",38=Projects!$C$12),-135452,0)</f>
        <v/>
      </c>
      <c r="AO21" s="630">
        <f>IF(AND(Projects!$G$12="Yes",39=Projects!$C$12),-135452,0)</f>
        <v/>
      </c>
      <c r="AP21" s="630">
        <f>IF(AND(Projects!$G$12="Yes",40=Projects!$C$12),-135452,0)</f>
        <v/>
      </c>
      <c r="AQ21" s="630">
        <f>IF(AND(Projects!$G$12="Yes",41=Projects!$C$12),-135452,0)</f>
        <v/>
      </c>
      <c r="AR21" s="630">
        <f>IF(AND(Projects!$G$12="Yes",42=Projects!$C$12),-135452,0)</f>
        <v/>
      </c>
      <c r="AS21" s="630">
        <f>IF(AND(Projects!$G$12="Yes",43=Projects!$C$12),-135452,0)</f>
        <v/>
      </c>
      <c r="AT21" s="630">
        <f>IF(AND(Projects!$G$12="Yes",44=Projects!$C$12),-135452,0)</f>
        <v/>
      </c>
      <c r="AU21" s="630">
        <f>IF(AND(Projects!$G$12="Yes",45=Projects!$C$12),-135452,0)</f>
        <v/>
      </c>
      <c r="AV21" s="630">
        <f>IF(AND(Projects!$G$12="Yes",46=Projects!$C$12),-135452,0)</f>
        <v/>
      </c>
      <c r="AW21" s="630">
        <f>IF(AND(Projects!$G$12="Yes",47=Projects!$C$12),-135452,0)</f>
        <v/>
      </c>
      <c r="AX21" s="630">
        <f>IF(AND(Projects!$G$12="Yes",48=Projects!$C$12),-135452,0)</f>
        <v/>
      </c>
      <c r="AY21" s="630">
        <f>IF(AND(Projects!$G$12="Yes",49=Projects!$C$12),-135452,0)</f>
        <v/>
      </c>
      <c r="AZ21" s="630">
        <f>IF(AND(Projects!$G$12="Yes",50=Projects!$C$12),-135452,0)</f>
        <v/>
      </c>
      <c r="BA21" s="630">
        <f>IF(AND(Projects!$G$12="Yes",51=Projects!$C$12),-135452,0)</f>
        <v/>
      </c>
      <c r="BB21" s="630">
        <f>IF(AND(Projects!$G$12="Yes",52=Projects!$C$12),-135452,0)</f>
        <v/>
      </c>
      <c r="BC21" s="630">
        <f>IF(AND(Projects!$G$12="Yes",53=Projects!$C$12),-135452,0)</f>
        <v/>
      </c>
      <c r="BD21" s="630">
        <f>IF(AND(Projects!$G$12="Yes",54=Projects!$C$12),-135452,0)</f>
        <v/>
      </c>
      <c r="BE21" s="630">
        <f>IF(AND(Projects!$G$12="Yes",55=Projects!$C$12),-135452,0)</f>
        <v/>
      </c>
      <c r="BF21" s="630">
        <f>IF(AND(Projects!$G$12="Yes",56=Projects!$C$12),-135452,0)</f>
        <v/>
      </c>
      <c r="BG21" s="630">
        <f>IF(AND(Projects!$G$12="Yes",57=Projects!$C$12),-135452,0)</f>
        <v/>
      </c>
      <c r="BH21" s="630">
        <f>IF(AND(Projects!$G$12="Yes",58=Projects!$C$12),-135452,0)</f>
        <v/>
      </c>
      <c r="BI21" s="630">
        <f>IF(AND(Projects!$G$12="Yes",59=Projects!$C$12),-135452,0)</f>
        <v/>
      </c>
      <c r="BJ21" s="630">
        <f>IF(AND(Projects!$G$12="Yes",60=Projects!$C$12),-135452,0)</f>
        <v/>
      </c>
      <c r="BK21" s="630">
        <f>IF(AND(Projects!$G$12="Yes",61=Projects!$C$12),-135452,0)</f>
        <v/>
      </c>
      <c r="BL21" s="630">
        <f>IF(AND(Projects!$G$12="Yes",62=Projects!$C$12),-135452,0)</f>
        <v/>
      </c>
      <c r="BM21" s="630">
        <f>IF(AND(Projects!$G$12="Yes",63=Projects!$C$12),-135452,0)</f>
        <v/>
      </c>
      <c r="BN21" s="630">
        <f>IF(AND(Projects!$G$12="Yes",64=Projects!$C$12),-135452,0)</f>
        <v/>
      </c>
      <c r="BO21" s="630">
        <f>IF(AND(Projects!$G$12="Yes",65=Projects!$C$12),-135452,0)</f>
        <v/>
      </c>
      <c r="BP21" s="630">
        <f>IF(AND(Projects!$G$12="Yes",66=Projects!$C$12),-135452,0)</f>
        <v/>
      </c>
      <c r="BQ21" s="630">
        <f>IF(AND(Projects!$G$12="Yes",67=Projects!$C$12),-135452,0)</f>
        <v/>
      </c>
      <c r="BR21" s="630">
        <f>IF(AND(Projects!$G$12="Yes",68=Projects!$C$12),-135452,0)</f>
        <v/>
      </c>
      <c r="BS21" s="630">
        <f>IF(AND(Projects!$G$12="Yes",69=Projects!$C$12),-135452,0)</f>
        <v/>
      </c>
      <c r="BT21" s="630">
        <f>IF(AND(Projects!$G$12="Yes",70=Projects!$C$12),-135452,0)</f>
        <v/>
      </c>
      <c r="BU21" s="630">
        <f>IF(AND(Projects!$G$12="Yes",71=Projects!$C$12),-135452,0)</f>
        <v/>
      </c>
      <c r="BV21" s="630">
        <f>IF(AND(Projects!$G$12="Yes",72=Projects!$C$12),-135452,0)</f>
        <v/>
      </c>
      <c r="BW21" s="630">
        <f>IF(AND(Projects!$G$12="Yes",73=Projects!$C$12),-135452,0)</f>
        <v/>
      </c>
      <c r="BX21" s="630">
        <f>IF(AND(Projects!$G$12="Yes",74=Projects!$C$12),-135452,0)</f>
        <v/>
      </c>
      <c r="BY21" s="630">
        <f>IF(AND(Projects!$G$12="Yes",75=Projects!$C$12),-135452,0)</f>
        <v/>
      </c>
      <c r="BZ21" s="630">
        <f>IF(AND(Projects!$G$12="Yes",76=Projects!$C$12),-135452,0)</f>
        <v/>
      </c>
      <c r="CA21" s="630">
        <f>IF(AND(Projects!$G$12="Yes",77=Projects!$C$12),-135452,0)</f>
        <v/>
      </c>
      <c r="CB21" s="630">
        <f>IF(AND(Projects!$G$12="Yes",78=Projects!$C$12),-135452,0)</f>
        <v/>
      </c>
      <c r="CC21" s="630">
        <f>IF(AND(Projects!$G$12="Yes",79=Projects!$C$12),-135452,0)</f>
        <v/>
      </c>
      <c r="CD21" s="630">
        <f>IF(AND(Projects!$G$12="Yes",80=Projects!$C$12),-135452,0)</f>
        <v/>
      </c>
      <c r="CE21" s="630">
        <f>IF(AND(Projects!$G$12="Yes",81=Projects!$C$12),-135452,0)</f>
        <v/>
      </c>
      <c r="CF21" s="630">
        <f>IF(AND(Projects!$G$12="Yes",82=Projects!$C$12),-135452,0)</f>
        <v/>
      </c>
      <c r="CG21" s="630">
        <f>IF(AND(Projects!$G$12="Yes",83=Projects!$C$12),-135452,0)</f>
        <v/>
      </c>
      <c r="CH21" s="630">
        <f>IF(AND(Projects!$G$12="Yes",84=Projects!$C$12),-135452,0)</f>
        <v/>
      </c>
    </row>
    <row r="22" ht="15" customFormat="1" customHeight="1" s="380">
      <c r="A22" s="626" t="inlineStr">
        <is>
          <t xml:space="preserve">  Net to Six Peak</t>
        </is>
      </c>
      <c r="B22" s="626" t="n"/>
      <c r="C22" s="627">
        <f>C20+C21</f>
        <v/>
      </c>
      <c r="D22" s="627">
        <f>D20+D21</f>
        <v/>
      </c>
      <c r="E22" s="627">
        <f>E20+E21</f>
        <v/>
      </c>
      <c r="F22" s="627">
        <f>F20+F21</f>
        <v/>
      </c>
      <c r="G22" s="627">
        <f>G20+G21</f>
        <v/>
      </c>
      <c r="H22" s="627">
        <f>H20+H21</f>
        <v/>
      </c>
      <c r="I22" s="627">
        <f>I20+I21</f>
        <v/>
      </c>
      <c r="J22" s="627">
        <f>J20+J21</f>
        <v/>
      </c>
      <c r="K22" s="627">
        <f>K20+K21</f>
        <v/>
      </c>
      <c r="L22" s="627">
        <f>L20+L21</f>
        <v/>
      </c>
      <c r="M22" s="627">
        <f>M20+M21</f>
        <v/>
      </c>
      <c r="N22" s="627">
        <f>N20+N21</f>
        <v/>
      </c>
      <c r="O22" s="627">
        <f>O20+O21</f>
        <v/>
      </c>
      <c r="P22" s="627">
        <f>P20+P21</f>
        <v/>
      </c>
      <c r="Q22" s="627">
        <f>Q20+Q21</f>
        <v/>
      </c>
      <c r="R22" s="627">
        <f>R20+R21</f>
        <v/>
      </c>
      <c r="S22" s="627">
        <f>S20+S21</f>
        <v/>
      </c>
      <c r="T22" s="627">
        <f>T20+T21</f>
        <v/>
      </c>
      <c r="U22" s="627">
        <f>U20+U21</f>
        <v/>
      </c>
      <c r="V22" s="627">
        <f>V20+V21</f>
        <v/>
      </c>
      <c r="W22" s="627">
        <f>W20+W21</f>
        <v/>
      </c>
      <c r="X22" s="627">
        <f>X20+X21</f>
        <v/>
      </c>
      <c r="Y22" s="627">
        <f>Y20+Y21</f>
        <v/>
      </c>
      <c r="Z22" s="627">
        <f>Z20+Z21</f>
        <v/>
      </c>
      <c r="AA22" s="627">
        <f>AA20+AA21</f>
        <v/>
      </c>
      <c r="AB22" s="627">
        <f>AB20+AB21</f>
        <v/>
      </c>
      <c r="AC22" s="627">
        <f>AC20+AC21</f>
        <v/>
      </c>
      <c r="AD22" s="627">
        <f>AD20+AD21</f>
        <v/>
      </c>
      <c r="AE22" s="627">
        <f>AE20+AE21</f>
        <v/>
      </c>
      <c r="AF22" s="627">
        <f>AF20+AF21</f>
        <v/>
      </c>
      <c r="AG22" s="627">
        <f>AG20+AG21</f>
        <v/>
      </c>
      <c r="AH22" s="627">
        <f>AH20+AH21</f>
        <v/>
      </c>
      <c r="AI22" s="627">
        <f>AI20+AI21</f>
        <v/>
      </c>
      <c r="AJ22" s="627">
        <f>AJ20+AJ21</f>
        <v/>
      </c>
      <c r="AK22" s="627">
        <f>AK20+AK21</f>
        <v/>
      </c>
      <c r="AL22" s="627">
        <f>AL20+AL21</f>
        <v/>
      </c>
      <c r="AM22" s="627">
        <f>AM20+AM21</f>
        <v/>
      </c>
      <c r="AN22" s="627">
        <f>AN20+AN21</f>
        <v/>
      </c>
      <c r="AO22" s="627">
        <f>AO20+AO21</f>
        <v/>
      </c>
      <c r="AP22" s="627">
        <f>AP20+AP21</f>
        <v/>
      </c>
      <c r="AQ22" s="627">
        <f>AQ20+AQ21</f>
        <v/>
      </c>
      <c r="AR22" s="627">
        <f>AR20+AR21</f>
        <v/>
      </c>
      <c r="AS22" s="627">
        <f>AS20+AS21</f>
        <v/>
      </c>
      <c r="AT22" s="627">
        <f>AT20+AT21</f>
        <v/>
      </c>
      <c r="AU22" s="627">
        <f>AU20+AU21</f>
        <v/>
      </c>
      <c r="AV22" s="627">
        <f>AV20+AV21</f>
        <v/>
      </c>
      <c r="AW22" s="627">
        <f>AW20+AW21</f>
        <v/>
      </c>
      <c r="AX22" s="627">
        <f>AX20+AX21</f>
        <v/>
      </c>
      <c r="AY22" s="627">
        <f>AY20+AY21</f>
        <v/>
      </c>
      <c r="AZ22" s="627">
        <f>AZ20+AZ21</f>
        <v/>
      </c>
      <c r="BA22" s="627">
        <f>BA20+BA21</f>
        <v/>
      </c>
      <c r="BB22" s="627">
        <f>BB20+BB21</f>
        <v/>
      </c>
      <c r="BC22" s="627">
        <f>BC20+BC21</f>
        <v/>
      </c>
      <c r="BD22" s="627">
        <f>BD20+BD21</f>
        <v/>
      </c>
      <c r="BE22" s="627">
        <f>BE20+BE21</f>
        <v/>
      </c>
      <c r="BF22" s="627">
        <f>BF20+BF21</f>
        <v/>
      </c>
      <c r="BG22" s="627">
        <f>BG20+BG21</f>
        <v/>
      </c>
      <c r="BH22" s="627">
        <f>BH20+BH21</f>
        <v/>
      </c>
      <c r="BI22" s="627">
        <f>BI20+BI21</f>
        <v/>
      </c>
      <c r="BJ22" s="627">
        <f>BJ20+BJ21</f>
        <v/>
      </c>
      <c r="BK22" s="627">
        <f>BK20+BK21</f>
        <v/>
      </c>
      <c r="BL22" s="627">
        <f>BL20+BL21</f>
        <v/>
      </c>
      <c r="BM22" s="627">
        <f>BM20+BM21</f>
        <v/>
      </c>
      <c r="BN22" s="627">
        <f>BN20+BN21</f>
        <v/>
      </c>
      <c r="BO22" s="627">
        <f>BO20+BO21</f>
        <v/>
      </c>
      <c r="BP22" s="627">
        <f>BP20+BP21</f>
        <v/>
      </c>
      <c r="BQ22" s="627">
        <f>BQ20+BQ21</f>
        <v/>
      </c>
      <c r="BR22" s="627">
        <f>BR20+BR21</f>
        <v/>
      </c>
      <c r="BS22" s="627">
        <f>BS20+BS21</f>
        <v/>
      </c>
      <c r="BT22" s="627">
        <f>BT20+BT21</f>
        <v/>
      </c>
      <c r="BU22" s="627">
        <f>BU20+BU21</f>
        <v/>
      </c>
      <c r="BV22" s="627">
        <f>BV20+BV21</f>
        <v/>
      </c>
      <c r="BW22" s="627">
        <f>BW20+BW21</f>
        <v/>
      </c>
      <c r="BX22" s="627">
        <f>BX20+BX21</f>
        <v/>
      </c>
      <c r="BY22" s="627">
        <f>BY20+BY21</f>
        <v/>
      </c>
      <c r="BZ22" s="627">
        <f>BZ20+BZ21</f>
        <v/>
      </c>
      <c r="CA22" s="627">
        <f>CA20+CA21</f>
        <v/>
      </c>
      <c r="CB22" s="627">
        <f>CB20+CB21</f>
        <v/>
      </c>
      <c r="CC22" s="627">
        <f>CC20+CC21</f>
        <v/>
      </c>
      <c r="CD22" s="627">
        <f>CD20+CD21</f>
        <v/>
      </c>
      <c r="CE22" s="627">
        <f>CE20+CE21</f>
        <v/>
      </c>
      <c r="CF22" s="627">
        <f>CF20+CF21</f>
        <v/>
      </c>
      <c r="CG22" s="627">
        <f>CG20+CG21</f>
        <v/>
      </c>
      <c r="CH22" s="627">
        <f>CH20+CH21</f>
        <v/>
      </c>
    </row>
    <row r="23" ht="15" customFormat="1" customHeight="1" s="380">
      <c r="A23" s="381" t="inlineStr">
        <is>
          <t xml:space="preserve">  Cumulative Net</t>
        </is>
      </c>
      <c r="B23" s="382" t="n"/>
      <c r="C23" s="628">
        <f>C22</f>
        <v/>
      </c>
      <c r="D23" s="628">
        <f>C23+D22</f>
        <v/>
      </c>
      <c r="E23" s="628">
        <f>D23+E22</f>
        <v/>
      </c>
      <c r="F23" s="628">
        <f>E23+F22</f>
        <v/>
      </c>
      <c r="G23" s="628">
        <f>F23+G22</f>
        <v/>
      </c>
      <c r="H23" s="628">
        <f>G23+H22</f>
        <v/>
      </c>
      <c r="I23" s="628">
        <f>H23+I22</f>
        <v/>
      </c>
      <c r="J23" s="628">
        <f>I23+J22</f>
        <v/>
      </c>
      <c r="K23" s="628">
        <f>J23+K22</f>
        <v/>
      </c>
      <c r="L23" s="628">
        <f>K23+L22</f>
        <v/>
      </c>
      <c r="M23" s="628">
        <f>L23+M22</f>
        <v/>
      </c>
      <c r="N23" s="628">
        <f>M23+N22</f>
        <v/>
      </c>
      <c r="O23" s="628">
        <f>N23+O22</f>
        <v/>
      </c>
      <c r="P23" s="628">
        <f>O23+P22</f>
        <v/>
      </c>
      <c r="Q23" s="628">
        <f>P23+Q22</f>
        <v/>
      </c>
      <c r="R23" s="628">
        <f>Q23+R22</f>
        <v/>
      </c>
      <c r="S23" s="628">
        <f>R23+S22</f>
        <v/>
      </c>
      <c r="T23" s="628">
        <f>S23+T22</f>
        <v/>
      </c>
      <c r="U23" s="628">
        <f>T23+U22</f>
        <v/>
      </c>
      <c r="V23" s="628">
        <f>U23+V22</f>
        <v/>
      </c>
      <c r="W23" s="628">
        <f>V23+W22</f>
        <v/>
      </c>
      <c r="X23" s="628">
        <f>W23+X22</f>
        <v/>
      </c>
      <c r="Y23" s="628">
        <f>X23+Y22</f>
        <v/>
      </c>
      <c r="Z23" s="628">
        <f>Y23+Z22</f>
        <v/>
      </c>
      <c r="AA23" s="628">
        <f>Z23+AA22</f>
        <v/>
      </c>
      <c r="AB23" s="628">
        <f>AA23+AB22</f>
        <v/>
      </c>
      <c r="AC23" s="628">
        <f>AB23+AC22</f>
        <v/>
      </c>
      <c r="AD23" s="628">
        <f>AC23+AD22</f>
        <v/>
      </c>
      <c r="AE23" s="628">
        <f>AD23+AE22</f>
        <v/>
      </c>
      <c r="AF23" s="628">
        <f>AE23+AF22</f>
        <v/>
      </c>
      <c r="AG23" s="628">
        <f>AF23+AG22</f>
        <v/>
      </c>
      <c r="AH23" s="628">
        <f>AG23+AH22</f>
        <v/>
      </c>
      <c r="AI23" s="628">
        <f>AH23+AI22</f>
        <v/>
      </c>
      <c r="AJ23" s="628">
        <f>AI23+AJ22</f>
        <v/>
      </c>
      <c r="AK23" s="628">
        <f>AJ23+AK22</f>
        <v/>
      </c>
      <c r="AL23" s="628">
        <f>AK23+AL22</f>
        <v/>
      </c>
      <c r="AM23" s="628">
        <f>AL23+AM22</f>
        <v/>
      </c>
      <c r="AN23" s="628">
        <f>AM23+AN22</f>
        <v/>
      </c>
      <c r="AO23" s="628">
        <f>AN23+AO22</f>
        <v/>
      </c>
      <c r="AP23" s="628">
        <f>AO23+AP22</f>
        <v/>
      </c>
      <c r="AQ23" s="628">
        <f>AP23+AQ22</f>
        <v/>
      </c>
      <c r="AR23" s="628">
        <f>AQ23+AR22</f>
        <v/>
      </c>
      <c r="AS23" s="628">
        <f>AR23+AS22</f>
        <v/>
      </c>
      <c r="AT23" s="628">
        <f>AS23+AT22</f>
        <v/>
      </c>
      <c r="AU23" s="628">
        <f>AT23+AU22</f>
        <v/>
      </c>
      <c r="AV23" s="628">
        <f>AU23+AV22</f>
        <v/>
      </c>
      <c r="AW23" s="628">
        <f>AV23+AW22</f>
        <v/>
      </c>
      <c r="AX23" s="628">
        <f>AW23+AX22</f>
        <v/>
      </c>
      <c r="AY23" s="628">
        <f>AX23+AY22</f>
        <v/>
      </c>
      <c r="AZ23" s="628">
        <f>AY23+AZ22</f>
        <v/>
      </c>
      <c r="BA23" s="628">
        <f>AZ23+BA22</f>
        <v/>
      </c>
      <c r="BB23" s="628">
        <f>BA23+BB22</f>
        <v/>
      </c>
      <c r="BC23" s="628">
        <f>BB23+BC22</f>
        <v/>
      </c>
      <c r="BD23" s="628">
        <f>BC23+BD22</f>
        <v/>
      </c>
      <c r="BE23" s="628">
        <f>BD23+BE22</f>
        <v/>
      </c>
      <c r="BF23" s="628">
        <f>BE23+BF22</f>
        <v/>
      </c>
      <c r="BG23" s="628">
        <f>BF23+BG22</f>
        <v/>
      </c>
      <c r="BH23" s="628">
        <f>BG23+BH22</f>
        <v/>
      </c>
      <c r="BI23" s="628">
        <f>BH23+BI22</f>
        <v/>
      </c>
      <c r="BJ23" s="628">
        <f>BI23+BJ22</f>
        <v/>
      </c>
      <c r="BK23" s="628">
        <f>BJ23+BK22</f>
        <v/>
      </c>
      <c r="BL23" s="628">
        <f>BK23+BL22</f>
        <v/>
      </c>
      <c r="BM23" s="628">
        <f>BL23+BM22</f>
        <v/>
      </c>
      <c r="BN23" s="628">
        <f>BM23+BN22</f>
        <v/>
      </c>
      <c r="BO23" s="628">
        <f>BN23+BO22</f>
        <v/>
      </c>
      <c r="BP23" s="628">
        <f>BO23+BP22</f>
        <v/>
      </c>
      <c r="BQ23" s="628">
        <f>BP23+BQ22</f>
        <v/>
      </c>
      <c r="BR23" s="628">
        <f>BQ23+BR22</f>
        <v/>
      </c>
      <c r="BS23" s="628">
        <f>BR23+BS22</f>
        <v/>
      </c>
      <c r="BT23" s="628">
        <f>BS23+BT22</f>
        <v/>
      </c>
      <c r="BU23" s="628">
        <f>BT23+BU22</f>
        <v/>
      </c>
      <c r="BV23" s="628">
        <f>BU23+BV22</f>
        <v/>
      </c>
      <c r="BW23" s="628">
        <f>BV23+BW22</f>
        <v/>
      </c>
      <c r="BX23" s="628">
        <f>BW23+BX22</f>
        <v/>
      </c>
      <c r="BY23" s="628">
        <f>BX23+BY22</f>
        <v/>
      </c>
      <c r="BZ23" s="628">
        <f>BY23+BZ22</f>
        <v/>
      </c>
      <c r="CA23" s="628">
        <f>BZ23+CA22</f>
        <v/>
      </c>
      <c r="CB23" s="628">
        <f>CA23+CB22</f>
        <v/>
      </c>
      <c r="CC23" s="628">
        <f>CB23+CC22</f>
        <v/>
      </c>
      <c r="CD23" s="628">
        <f>CC23+CD22</f>
        <v/>
      </c>
      <c r="CE23" s="628">
        <f>CD23+CE22</f>
        <v/>
      </c>
      <c r="CF23" s="628">
        <f>CE23+CF22</f>
        <v/>
      </c>
      <c r="CG23" s="628">
        <f>CF23+CG22</f>
        <v/>
      </c>
      <c r="CH23" s="628">
        <f>CG23+CH22</f>
        <v/>
      </c>
    </row>
    <row r="24" ht="15" customFormat="1" customHeight="1" s="380">
      <c r="A24" s="382" t="n"/>
      <c r="B24" s="382" t="n"/>
      <c r="C24" s="382" t="n"/>
      <c r="D24" s="382" t="n"/>
      <c r="E24" s="382" t="n"/>
      <c r="F24" s="382" t="n"/>
      <c r="G24" s="382" t="n"/>
      <c r="H24" s="382" t="n"/>
      <c r="I24" s="382" t="n"/>
      <c r="J24" s="382" t="n"/>
      <c r="K24" s="382" t="n"/>
      <c r="L24" s="382" t="n"/>
      <c r="M24" s="382" t="n"/>
      <c r="N24" s="382" t="n"/>
      <c r="O24" s="382" t="n"/>
      <c r="P24" s="382" t="n"/>
      <c r="Q24" s="382" t="n"/>
      <c r="R24" s="382" t="n"/>
      <c r="S24" s="382" t="n"/>
      <c r="T24" s="382" t="n"/>
      <c r="U24" s="382" t="n"/>
      <c r="V24" s="382" t="n"/>
      <c r="W24" s="382" t="n"/>
      <c r="X24" s="382" t="n"/>
      <c r="Y24" s="382" t="n"/>
      <c r="Z24" s="382" t="n"/>
      <c r="AA24" s="382" t="n"/>
      <c r="AB24" s="382" t="n"/>
      <c r="AC24" s="382" t="n"/>
      <c r="AD24" s="382" t="n"/>
      <c r="AE24" s="382" t="n"/>
      <c r="AF24" s="382" t="n"/>
      <c r="AG24" s="382" t="n"/>
      <c r="AH24" s="382" t="n"/>
      <c r="AI24" s="382" t="n"/>
      <c r="AJ24" s="382" t="n"/>
      <c r="AK24" s="382" t="n"/>
      <c r="AL24" s="382" t="n"/>
      <c r="AM24" s="382" t="n"/>
      <c r="AN24" s="382" t="n"/>
      <c r="AO24" s="382" t="n"/>
      <c r="AP24" s="382" t="n"/>
      <c r="AQ24" s="382" t="n"/>
      <c r="AR24" s="382" t="n"/>
      <c r="AS24" s="382" t="n"/>
      <c r="AT24" s="382" t="n"/>
      <c r="AU24" s="382" t="n"/>
      <c r="AV24" s="382" t="n"/>
      <c r="AW24" s="382" t="n"/>
      <c r="AX24" s="382" t="n"/>
      <c r="AY24" s="382" t="n"/>
      <c r="AZ24" s="382" t="n"/>
      <c r="BA24" s="382" t="n"/>
      <c r="BB24" s="382" t="n"/>
      <c r="BC24" s="382" t="n"/>
      <c r="BD24" s="382" t="n"/>
      <c r="BE24" s="382" t="n"/>
      <c r="BF24" s="382" t="n"/>
      <c r="BG24" s="382" t="n"/>
      <c r="BH24" s="382" t="n"/>
      <c r="BI24" s="382" t="n"/>
      <c r="BJ24" s="382" t="n"/>
      <c r="BK24" s="382" t="n"/>
      <c r="BL24" s="382" t="n"/>
      <c r="BM24" s="382" t="n"/>
      <c r="BN24" s="382" t="n"/>
      <c r="BO24" s="382" t="n"/>
      <c r="BP24" s="382" t="n"/>
      <c r="BQ24" s="382" t="n"/>
      <c r="BR24" s="382" t="n"/>
      <c r="BS24" s="382" t="n"/>
      <c r="BT24" s="382" t="n"/>
      <c r="BU24" s="382" t="n"/>
      <c r="BV24" s="382" t="n"/>
      <c r="BW24" s="382" t="n"/>
      <c r="BX24" s="382" t="n"/>
      <c r="BY24" s="382" t="n"/>
      <c r="BZ24" s="382" t="n"/>
      <c r="CA24" s="382" t="n"/>
      <c r="CB24" s="382" t="n"/>
      <c r="CC24" s="382" t="n"/>
      <c r="CD24" s="382" t="n"/>
      <c r="CE24" s="382" t="n"/>
      <c r="CF24" s="382" t="n"/>
      <c r="CG24" s="382" t="n"/>
      <c r="CH24" s="382" t="n"/>
    </row>
    <row r="25" ht="15" customFormat="1" customHeight="1" s="380">
      <c r="A25" s="402" t="inlineStr">
        <is>
          <t>Francis</t>
        </is>
      </c>
      <c r="B25" s="402" t="n"/>
      <c r="C25" s="402" t="n"/>
      <c r="D25" s="402" t="n"/>
      <c r="E25" s="402" t="n"/>
      <c r="F25" s="402" t="n"/>
      <c r="G25" s="402" t="n"/>
      <c r="H25" s="402" t="n"/>
      <c r="I25" s="402" t="n"/>
      <c r="J25" s="402" t="n"/>
      <c r="K25" s="402" t="n"/>
      <c r="L25" s="402" t="n"/>
      <c r="M25" s="402" t="n"/>
      <c r="N25" s="402" t="n"/>
      <c r="O25" s="402" t="n"/>
      <c r="P25" s="402" t="n"/>
      <c r="Q25" s="402" t="n"/>
      <c r="R25" s="402" t="n"/>
      <c r="S25" s="402" t="n"/>
      <c r="T25" s="402" t="n"/>
      <c r="U25" s="402" t="n"/>
      <c r="V25" s="402" t="n"/>
      <c r="W25" s="402" t="n"/>
      <c r="X25" s="402" t="n"/>
      <c r="Y25" s="402" t="n"/>
      <c r="Z25" s="402" t="n"/>
      <c r="AA25" s="402" t="n"/>
      <c r="AB25" s="402" t="n"/>
      <c r="AC25" s="402" t="n"/>
      <c r="AD25" s="402" t="n"/>
      <c r="AE25" s="402" t="n"/>
      <c r="AF25" s="402" t="n"/>
      <c r="AG25" s="402" t="n"/>
      <c r="AH25" s="402" t="n"/>
      <c r="AI25" s="402" t="n"/>
      <c r="AJ25" s="402" t="n"/>
      <c r="AK25" s="402" t="n"/>
      <c r="AL25" s="402" t="n"/>
      <c r="AM25" s="402" t="n"/>
      <c r="AN25" s="402" t="n"/>
      <c r="AO25" s="402" t="n"/>
      <c r="AP25" s="402" t="n"/>
      <c r="AQ25" s="402" t="n"/>
      <c r="AR25" s="402" t="n"/>
      <c r="AS25" s="402" t="n"/>
      <c r="AT25" s="402" t="n"/>
      <c r="AU25" s="402" t="n"/>
      <c r="AV25" s="402" t="n"/>
      <c r="AW25" s="402" t="n"/>
      <c r="AX25" s="402" t="n"/>
      <c r="AY25" s="402" t="n"/>
      <c r="AZ25" s="402" t="n"/>
      <c r="BA25" s="402" t="n"/>
      <c r="BB25" s="402" t="n"/>
      <c r="BC25" s="402" t="n"/>
      <c r="BD25" s="402" t="n"/>
      <c r="BE25" s="402" t="n"/>
      <c r="BF25" s="402" t="n"/>
      <c r="BG25" s="402" t="n"/>
      <c r="BH25" s="402" t="n"/>
      <c r="BI25" s="402" t="n"/>
      <c r="BJ25" s="402" t="n"/>
      <c r="BK25" s="402" t="n"/>
      <c r="BL25" s="402" t="n"/>
      <c r="BM25" s="402" t="n"/>
      <c r="BN25" s="402" t="n"/>
      <c r="BO25" s="402" t="n"/>
      <c r="BP25" s="402" t="n"/>
      <c r="BQ25" s="402" t="n"/>
      <c r="BR25" s="402" t="n"/>
      <c r="BS25" s="402" t="n"/>
      <c r="BT25" s="402" t="n"/>
      <c r="BU25" s="402" t="n"/>
      <c r="BV25" s="402" t="n"/>
      <c r="BW25" s="402" t="n"/>
      <c r="BX25" s="402" t="n"/>
      <c r="BY25" s="402" t="n"/>
      <c r="BZ25" s="402" t="n"/>
      <c r="CA25" s="402" t="n"/>
      <c r="CB25" s="402" t="n"/>
      <c r="CC25" s="402" t="n"/>
      <c r="CD25" s="402" t="n"/>
      <c r="CE25" s="402" t="n"/>
      <c r="CF25" s="402" t="n"/>
      <c r="CG25" s="402" t="n"/>
      <c r="CH25" s="402" t="n"/>
    </row>
    <row r="26" ht="15" customFormat="1" customHeight="1" s="380">
      <c r="A26" s="458" t="inlineStr">
        <is>
          <t xml:space="preserve">  Revenue</t>
        </is>
      </c>
      <c r="B26" s="382" t="n"/>
      <c r="C26" s="625">
        <f>Model!E164</f>
        <v/>
      </c>
      <c r="D26" s="625">
        <f>Model!F164</f>
        <v/>
      </c>
      <c r="E26" s="625">
        <f>Model!G164</f>
        <v/>
      </c>
      <c r="F26" s="625">
        <f>Model!H164</f>
        <v/>
      </c>
      <c r="G26" s="625">
        <f>Model!I164</f>
        <v/>
      </c>
      <c r="H26" s="625">
        <f>Model!J164</f>
        <v/>
      </c>
      <c r="I26" s="625">
        <f>Model!K164</f>
        <v/>
      </c>
      <c r="J26" s="625">
        <f>Model!L164</f>
        <v/>
      </c>
      <c r="K26" s="625">
        <f>Model!M164</f>
        <v/>
      </c>
      <c r="L26" s="625">
        <f>Model!N164</f>
        <v/>
      </c>
      <c r="M26" s="625">
        <f>Model!O164</f>
        <v/>
      </c>
      <c r="N26" s="625">
        <f>Model!P164</f>
        <v/>
      </c>
      <c r="O26" s="625">
        <f>Model!Q164</f>
        <v/>
      </c>
      <c r="P26" s="625">
        <f>Model!R164</f>
        <v/>
      </c>
      <c r="Q26" s="625">
        <f>Model!S164</f>
        <v/>
      </c>
      <c r="R26" s="625">
        <f>Model!T164</f>
        <v/>
      </c>
      <c r="S26" s="625">
        <f>Model!U164</f>
        <v/>
      </c>
      <c r="T26" s="625">
        <f>Model!V164</f>
        <v/>
      </c>
      <c r="U26" s="625">
        <f>Model!W164</f>
        <v/>
      </c>
      <c r="V26" s="625">
        <f>Model!X164</f>
        <v/>
      </c>
      <c r="W26" s="625">
        <f>Model!Y164</f>
        <v/>
      </c>
      <c r="X26" s="625">
        <f>Model!Z164</f>
        <v/>
      </c>
      <c r="Y26" s="625">
        <f>Model!AA164</f>
        <v/>
      </c>
      <c r="Z26" s="625">
        <f>Model!AB164</f>
        <v/>
      </c>
      <c r="AA26" s="625">
        <f>Model!AC164</f>
        <v/>
      </c>
      <c r="AB26" s="625">
        <f>Model!AD164</f>
        <v/>
      </c>
      <c r="AC26" s="625">
        <f>Model!AE164</f>
        <v/>
      </c>
      <c r="AD26" s="625">
        <f>Model!AF164</f>
        <v/>
      </c>
      <c r="AE26" s="625">
        <f>Model!AG164</f>
        <v/>
      </c>
      <c r="AF26" s="625">
        <f>Model!AH164</f>
        <v/>
      </c>
      <c r="AG26" s="625">
        <f>Model!AI164</f>
        <v/>
      </c>
      <c r="AH26" s="625">
        <f>Model!AJ164</f>
        <v/>
      </c>
      <c r="AI26" s="625">
        <f>Model!AK164</f>
        <v/>
      </c>
      <c r="AJ26" s="625">
        <f>Model!AL164</f>
        <v/>
      </c>
      <c r="AK26" s="625">
        <f>Model!AM164</f>
        <v/>
      </c>
      <c r="AL26" s="625">
        <f>Model!AN164</f>
        <v/>
      </c>
      <c r="AM26" s="625">
        <f>Model!AO164</f>
        <v/>
      </c>
      <c r="AN26" s="625">
        <f>Model!AP164</f>
        <v/>
      </c>
      <c r="AO26" s="625">
        <f>Model!AQ164</f>
        <v/>
      </c>
      <c r="AP26" s="625">
        <f>Model!AR164</f>
        <v/>
      </c>
      <c r="AQ26" s="625">
        <f>Model!AS164</f>
        <v/>
      </c>
      <c r="AR26" s="625">
        <f>Model!AT164</f>
        <v/>
      </c>
      <c r="AS26" s="625">
        <f>Model!AU164</f>
        <v/>
      </c>
      <c r="AT26" s="625">
        <f>Model!AV164</f>
        <v/>
      </c>
      <c r="AU26" s="625">
        <f>Model!AW164</f>
        <v/>
      </c>
      <c r="AV26" s="625">
        <f>Model!AX164</f>
        <v/>
      </c>
      <c r="AW26" s="625">
        <f>Model!AY164</f>
        <v/>
      </c>
      <c r="AX26" s="625">
        <f>Model!AZ164</f>
        <v/>
      </c>
      <c r="AY26" s="625">
        <f>Model!BA164</f>
        <v/>
      </c>
      <c r="AZ26" s="625">
        <f>Model!BB164</f>
        <v/>
      </c>
      <c r="BA26" s="625">
        <f>Model!BC164</f>
        <v/>
      </c>
      <c r="BB26" s="625">
        <f>Model!BD164</f>
        <v/>
      </c>
      <c r="BC26" s="625">
        <f>Model!BE164</f>
        <v/>
      </c>
      <c r="BD26" s="625">
        <f>Model!BF164</f>
        <v/>
      </c>
      <c r="BE26" s="625">
        <f>Model!BG164</f>
        <v/>
      </c>
      <c r="BF26" s="625">
        <f>Model!BH164</f>
        <v/>
      </c>
      <c r="BG26" s="625">
        <f>Model!BI164</f>
        <v/>
      </c>
      <c r="BH26" s="625">
        <f>Model!BJ164</f>
        <v/>
      </c>
      <c r="BI26" s="625">
        <f>Model!BK164</f>
        <v/>
      </c>
      <c r="BJ26" s="625">
        <f>Model!BL164</f>
        <v/>
      </c>
      <c r="BK26" s="625">
        <f>Model!BM164</f>
        <v/>
      </c>
      <c r="BL26" s="625">
        <f>Model!BN164</f>
        <v/>
      </c>
      <c r="BM26" s="625">
        <f>Model!BO164</f>
        <v/>
      </c>
      <c r="BN26" s="625">
        <f>Model!BP164</f>
        <v/>
      </c>
      <c r="BO26" s="625">
        <f>Model!BQ164</f>
        <v/>
      </c>
      <c r="BP26" s="625">
        <f>Model!BR164</f>
        <v/>
      </c>
      <c r="BQ26" s="625">
        <f>Model!BS164</f>
        <v/>
      </c>
      <c r="BR26" s="625">
        <f>Model!BT164</f>
        <v/>
      </c>
      <c r="BS26" s="625">
        <f>Model!BU164</f>
        <v/>
      </c>
      <c r="BT26" s="625">
        <f>Model!BV164</f>
        <v/>
      </c>
      <c r="BU26" s="625">
        <f>Model!BW164</f>
        <v/>
      </c>
      <c r="BV26" s="625">
        <f>Model!BX164</f>
        <v/>
      </c>
      <c r="BW26" s="625">
        <f>Model!BY164</f>
        <v/>
      </c>
      <c r="BX26" s="625">
        <f>Model!BZ164</f>
        <v/>
      </c>
      <c r="BY26" s="625">
        <f>Model!CA164</f>
        <v/>
      </c>
      <c r="BZ26" s="625">
        <f>Model!CB164</f>
        <v/>
      </c>
      <c r="CA26" s="625">
        <f>Model!CC164</f>
        <v/>
      </c>
      <c r="CB26" s="625">
        <f>Model!CD164</f>
        <v/>
      </c>
      <c r="CC26" s="625">
        <f>Model!CE164</f>
        <v/>
      </c>
      <c r="CD26" s="625">
        <f>Model!CF164</f>
        <v/>
      </c>
      <c r="CE26" s="625">
        <f>Model!CG164</f>
        <v/>
      </c>
      <c r="CF26" s="625">
        <f>Model!CH164</f>
        <v/>
      </c>
      <c r="CG26" s="625">
        <f>Model!CI164</f>
        <v/>
      </c>
      <c r="CH26" s="625">
        <f>Model!CJ164</f>
        <v/>
      </c>
    </row>
    <row r="27" ht="15" customFormat="1" customHeight="1" s="380">
      <c r="A27" s="629" t="inlineStr">
        <is>
          <t xml:space="preserve">  Steyn Fees</t>
        </is>
      </c>
      <c r="B27" s="382" t="n"/>
      <c r="C27" s="630">
        <f>Model!E199</f>
        <v/>
      </c>
      <c r="D27" s="630">
        <f>Model!F199</f>
        <v/>
      </c>
      <c r="E27" s="630">
        <f>Model!G199</f>
        <v/>
      </c>
      <c r="F27" s="630">
        <f>Model!H199</f>
        <v/>
      </c>
      <c r="G27" s="630">
        <f>Model!I199</f>
        <v/>
      </c>
      <c r="H27" s="630">
        <f>Model!J199</f>
        <v/>
      </c>
      <c r="I27" s="630">
        <f>Model!K199</f>
        <v/>
      </c>
      <c r="J27" s="630">
        <f>Model!L199</f>
        <v/>
      </c>
      <c r="K27" s="630">
        <f>Model!M199</f>
        <v/>
      </c>
      <c r="L27" s="630">
        <f>Model!N199</f>
        <v/>
      </c>
      <c r="M27" s="630">
        <f>Model!O199</f>
        <v/>
      </c>
      <c r="N27" s="630">
        <f>Model!P199</f>
        <v/>
      </c>
      <c r="O27" s="630">
        <f>Model!Q199</f>
        <v/>
      </c>
      <c r="P27" s="630">
        <f>Model!R199</f>
        <v/>
      </c>
      <c r="Q27" s="630">
        <f>Model!S199</f>
        <v/>
      </c>
      <c r="R27" s="630">
        <f>Model!T199</f>
        <v/>
      </c>
      <c r="S27" s="630">
        <f>Model!U199</f>
        <v/>
      </c>
      <c r="T27" s="630">
        <f>Model!V199</f>
        <v/>
      </c>
      <c r="U27" s="630">
        <f>Model!W199</f>
        <v/>
      </c>
      <c r="V27" s="630">
        <f>Model!X199</f>
        <v/>
      </c>
      <c r="W27" s="630">
        <f>Model!Y199</f>
        <v/>
      </c>
      <c r="X27" s="630">
        <f>Model!Z199</f>
        <v/>
      </c>
      <c r="Y27" s="630">
        <f>Model!AA199</f>
        <v/>
      </c>
      <c r="Z27" s="630">
        <f>Model!AB199</f>
        <v/>
      </c>
      <c r="AA27" s="630">
        <f>Model!AC199</f>
        <v/>
      </c>
      <c r="AB27" s="630">
        <f>Model!AD199</f>
        <v/>
      </c>
      <c r="AC27" s="630">
        <f>Model!AE199</f>
        <v/>
      </c>
      <c r="AD27" s="630">
        <f>Model!AF199</f>
        <v/>
      </c>
      <c r="AE27" s="630">
        <f>Model!AG199</f>
        <v/>
      </c>
      <c r="AF27" s="630">
        <f>Model!AH199</f>
        <v/>
      </c>
      <c r="AG27" s="630">
        <f>Model!AI199</f>
        <v/>
      </c>
      <c r="AH27" s="630">
        <f>Model!AJ199</f>
        <v/>
      </c>
      <c r="AI27" s="630">
        <f>Model!AK199</f>
        <v/>
      </c>
      <c r="AJ27" s="630">
        <f>Model!AL199</f>
        <v/>
      </c>
      <c r="AK27" s="630">
        <f>Model!AM199</f>
        <v/>
      </c>
      <c r="AL27" s="630">
        <f>Model!AN199</f>
        <v/>
      </c>
      <c r="AM27" s="630">
        <f>Model!AO199</f>
        <v/>
      </c>
      <c r="AN27" s="630">
        <f>Model!AP199</f>
        <v/>
      </c>
      <c r="AO27" s="630">
        <f>Model!AQ199</f>
        <v/>
      </c>
      <c r="AP27" s="630">
        <f>Model!AR199</f>
        <v/>
      </c>
      <c r="AQ27" s="630">
        <f>Model!AS199</f>
        <v/>
      </c>
      <c r="AR27" s="630">
        <f>Model!AT199</f>
        <v/>
      </c>
      <c r="AS27" s="630">
        <f>Model!AU199</f>
        <v/>
      </c>
      <c r="AT27" s="630">
        <f>Model!AV199</f>
        <v/>
      </c>
      <c r="AU27" s="630">
        <f>Model!AW199</f>
        <v/>
      </c>
      <c r="AV27" s="630">
        <f>Model!AX199</f>
        <v/>
      </c>
      <c r="AW27" s="630">
        <f>Model!AY199</f>
        <v/>
      </c>
      <c r="AX27" s="630">
        <f>Model!AZ199</f>
        <v/>
      </c>
      <c r="AY27" s="630">
        <f>Model!BA199</f>
        <v/>
      </c>
      <c r="AZ27" s="630">
        <f>Model!BB199</f>
        <v/>
      </c>
      <c r="BA27" s="630">
        <f>Model!BC199</f>
        <v/>
      </c>
      <c r="BB27" s="630">
        <f>Model!BD199</f>
        <v/>
      </c>
      <c r="BC27" s="630">
        <f>Model!BE199</f>
        <v/>
      </c>
      <c r="BD27" s="630">
        <f>Model!BF199</f>
        <v/>
      </c>
      <c r="BE27" s="630">
        <f>Model!BG199</f>
        <v/>
      </c>
      <c r="BF27" s="630">
        <f>Model!BH199</f>
        <v/>
      </c>
      <c r="BG27" s="630">
        <f>Model!BI199</f>
        <v/>
      </c>
      <c r="BH27" s="630">
        <f>Model!BJ199</f>
        <v/>
      </c>
      <c r="BI27" s="630">
        <f>Model!BK199</f>
        <v/>
      </c>
      <c r="BJ27" s="630">
        <f>Model!BL199</f>
        <v/>
      </c>
      <c r="BK27" s="630">
        <f>Model!BM199</f>
        <v/>
      </c>
      <c r="BL27" s="630">
        <f>Model!BN199</f>
        <v/>
      </c>
      <c r="BM27" s="630">
        <f>Model!BO199</f>
        <v/>
      </c>
      <c r="BN27" s="630">
        <f>Model!BP199</f>
        <v/>
      </c>
      <c r="BO27" s="630">
        <f>Model!BQ199</f>
        <v/>
      </c>
      <c r="BP27" s="630">
        <f>Model!BR199</f>
        <v/>
      </c>
      <c r="BQ27" s="630">
        <f>Model!BS199</f>
        <v/>
      </c>
      <c r="BR27" s="630">
        <f>Model!BT199</f>
        <v/>
      </c>
      <c r="BS27" s="630">
        <f>Model!BU199</f>
        <v/>
      </c>
      <c r="BT27" s="630">
        <f>Model!BV199</f>
        <v/>
      </c>
      <c r="BU27" s="630">
        <f>Model!BW199</f>
        <v/>
      </c>
      <c r="BV27" s="630">
        <f>Model!BX199</f>
        <v/>
      </c>
      <c r="BW27" s="630">
        <f>Model!BY199</f>
        <v/>
      </c>
      <c r="BX27" s="630">
        <f>Model!BZ199</f>
        <v/>
      </c>
      <c r="BY27" s="630">
        <f>Model!CA199</f>
        <v/>
      </c>
      <c r="BZ27" s="630">
        <f>Model!CB199</f>
        <v/>
      </c>
      <c r="CA27" s="630">
        <f>Model!CC199</f>
        <v/>
      </c>
      <c r="CB27" s="630">
        <f>Model!CD199</f>
        <v/>
      </c>
      <c r="CC27" s="630">
        <f>Model!CE199</f>
        <v/>
      </c>
      <c r="CD27" s="630">
        <f>Model!CF199</f>
        <v/>
      </c>
      <c r="CE27" s="630">
        <f>Model!CG199</f>
        <v/>
      </c>
      <c r="CF27" s="630">
        <f>Model!CH199</f>
        <v/>
      </c>
      <c r="CG27" s="630">
        <f>Model!CI199</f>
        <v/>
      </c>
      <c r="CH27" s="630">
        <f>Model!CJ199</f>
        <v/>
      </c>
    </row>
    <row r="28" ht="15" customFormat="1" customHeight="1" s="380">
      <c r="A28" s="626" t="inlineStr">
        <is>
          <t xml:space="preserve">  Net to Six Peak</t>
        </is>
      </c>
      <c r="B28" s="626" t="n"/>
      <c r="C28" s="627">
        <f>C26+C27</f>
        <v/>
      </c>
      <c r="D28" s="627">
        <f>D26+D27</f>
        <v/>
      </c>
      <c r="E28" s="627">
        <f>E26+E27</f>
        <v/>
      </c>
      <c r="F28" s="627">
        <f>F26+F27</f>
        <v/>
      </c>
      <c r="G28" s="627">
        <f>G26+G27</f>
        <v/>
      </c>
      <c r="H28" s="627">
        <f>H26+H27</f>
        <v/>
      </c>
      <c r="I28" s="627">
        <f>I26+I27</f>
        <v/>
      </c>
      <c r="J28" s="627">
        <f>J26+J27</f>
        <v/>
      </c>
      <c r="K28" s="627">
        <f>K26+K27</f>
        <v/>
      </c>
      <c r="L28" s="627">
        <f>L26+L27</f>
        <v/>
      </c>
      <c r="M28" s="627">
        <f>M26+M27</f>
        <v/>
      </c>
      <c r="N28" s="627">
        <f>N26+N27</f>
        <v/>
      </c>
      <c r="O28" s="627">
        <f>O26+O27</f>
        <v/>
      </c>
      <c r="P28" s="627">
        <f>P26+P27</f>
        <v/>
      </c>
      <c r="Q28" s="627">
        <f>Q26+Q27</f>
        <v/>
      </c>
      <c r="R28" s="627">
        <f>R26+R27</f>
        <v/>
      </c>
      <c r="S28" s="627">
        <f>S26+S27</f>
        <v/>
      </c>
      <c r="T28" s="627">
        <f>T26+T27</f>
        <v/>
      </c>
      <c r="U28" s="627">
        <f>U26+U27</f>
        <v/>
      </c>
      <c r="V28" s="627">
        <f>V26+V27</f>
        <v/>
      </c>
      <c r="W28" s="627">
        <f>W26+W27</f>
        <v/>
      </c>
      <c r="X28" s="627">
        <f>X26+X27</f>
        <v/>
      </c>
      <c r="Y28" s="627">
        <f>Y26+Y27</f>
        <v/>
      </c>
      <c r="Z28" s="627">
        <f>Z26+Z27</f>
        <v/>
      </c>
      <c r="AA28" s="627">
        <f>AA26+AA27</f>
        <v/>
      </c>
      <c r="AB28" s="627">
        <f>AB26+AB27</f>
        <v/>
      </c>
      <c r="AC28" s="627">
        <f>AC26+AC27</f>
        <v/>
      </c>
      <c r="AD28" s="627">
        <f>AD26+AD27</f>
        <v/>
      </c>
      <c r="AE28" s="627">
        <f>AE26+AE27</f>
        <v/>
      </c>
      <c r="AF28" s="627">
        <f>AF26+AF27</f>
        <v/>
      </c>
      <c r="AG28" s="627">
        <f>AG26+AG27</f>
        <v/>
      </c>
      <c r="AH28" s="627">
        <f>AH26+AH27</f>
        <v/>
      </c>
      <c r="AI28" s="627">
        <f>AI26+AI27</f>
        <v/>
      </c>
      <c r="AJ28" s="627">
        <f>AJ26+AJ27</f>
        <v/>
      </c>
      <c r="AK28" s="627">
        <f>AK26+AK27</f>
        <v/>
      </c>
      <c r="AL28" s="627">
        <f>AL26+AL27</f>
        <v/>
      </c>
      <c r="AM28" s="627">
        <f>AM26+AM27</f>
        <v/>
      </c>
      <c r="AN28" s="627">
        <f>AN26+AN27</f>
        <v/>
      </c>
      <c r="AO28" s="627">
        <f>AO26+AO27</f>
        <v/>
      </c>
      <c r="AP28" s="627">
        <f>AP26+AP27</f>
        <v/>
      </c>
      <c r="AQ28" s="627">
        <f>AQ26+AQ27</f>
        <v/>
      </c>
      <c r="AR28" s="627">
        <f>AR26+AR27</f>
        <v/>
      </c>
      <c r="AS28" s="627">
        <f>AS26+AS27</f>
        <v/>
      </c>
      <c r="AT28" s="627">
        <f>AT26+AT27</f>
        <v/>
      </c>
      <c r="AU28" s="627">
        <f>AU26+AU27</f>
        <v/>
      </c>
      <c r="AV28" s="627">
        <f>AV26+AV27</f>
        <v/>
      </c>
      <c r="AW28" s="627">
        <f>AW26+AW27</f>
        <v/>
      </c>
      <c r="AX28" s="627">
        <f>AX26+AX27</f>
        <v/>
      </c>
      <c r="AY28" s="627">
        <f>AY26+AY27</f>
        <v/>
      </c>
      <c r="AZ28" s="627">
        <f>AZ26+AZ27</f>
        <v/>
      </c>
      <c r="BA28" s="627">
        <f>BA26+BA27</f>
        <v/>
      </c>
      <c r="BB28" s="627">
        <f>BB26+BB27</f>
        <v/>
      </c>
      <c r="BC28" s="627">
        <f>BC26+BC27</f>
        <v/>
      </c>
      <c r="BD28" s="627">
        <f>BD26+BD27</f>
        <v/>
      </c>
      <c r="BE28" s="627">
        <f>BE26+BE27</f>
        <v/>
      </c>
      <c r="BF28" s="627">
        <f>BF26+BF27</f>
        <v/>
      </c>
      <c r="BG28" s="627">
        <f>BG26+BG27</f>
        <v/>
      </c>
      <c r="BH28" s="627">
        <f>BH26+BH27</f>
        <v/>
      </c>
      <c r="BI28" s="627">
        <f>BI26+BI27</f>
        <v/>
      </c>
      <c r="BJ28" s="627">
        <f>BJ26+BJ27</f>
        <v/>
      </c>
      <c r="BK28" s="627">
        <f>BK26+BK27</f>
        <v/>
      </c>
      <c r="BL28" s="627">
        <f>BL26+BL27</f>
        <v/>
      </c>
      <c r="BM28" s="627">
        <f>BM26+BM27</f>
        <v/>
      </c>
      <c r="BN28" s="627">
        <f>BN26+BN27</f>
        <v/>
      </c>
      <c r="BO28" s="627">
        <f>BO26+BO27</f>
        <v/>
      </c>
      <c r="BP28" s="627">
        <f>BP26+BP27</f>
        <v/>
      </c>
      <c r="BQ28" s="627">
        <f>BQ26+BQ27</f>
        <v/>
      </c>
      <c r="BR28" s="627">
        <f>BR26+BR27</f>
        <v/>
      </c>
      <c r="BS28" s="627">
        <f>BS26+BS27</f>
        <v/>
      </c>
      <c r="BT28" s="627">
        <f>BT26+BT27</f>
        <v/>
      </c>
      <c r="BU28" s="627">
        <f>BU26+BU27</f>
        <v/>
      </c>
      <c r="BV28" s="627">
        <f>BV26+BV27</f>
        <v/>
      </c>
      <c r="BW28" s="627">
        <f>BW26+BW27</f>
        <v/>
      </c>
      <c r="BX28" s="627">
        <f>BX26+BX27</f>
        <v/>
      </c>
      <c r="BY28" s="627">
        <f>BY26+BY27</f>
        <v/>
      </c>
      <c r="BZ28" s="627">
        <f>BZ26+BZ27</f>
        <v/>
      </c>
      <c r="CA28" s="627">
        <f>CA26+CA27</f>
        <v/>
      </c>
      <c r="CB28" s="627">
        <f>CB26+CB27</f>
        <v/>
      </c>
      <c r="CC28" s="627">
        <f>CC26+CC27</f>
        <v/>
      </c>
      <c r="CD28" s="627">
        <f>CD26+CD27</f>
        <v/>
      </c>
      <c r="CE28" s="627">
        <f>CE26+CE27</f>
        <v/>
      </c>
      <c r="CF28" s="627">
        <f>CF26+CF27</f>
        <v/>
      </c>
      <c r="CG28" s="627">
        <f>CG26+CG27</f>
        <v/>
      </c>
      <c r="CH28" s="627">
        <f>CH26+CH27</f>
        <v/>
      </c>
    </row>
    <row r="29" ht="15" customFormat="1" customHeight="1" s="380">
      <c r="A29" s="381" t="inlineStr">
        <is>
          <t xml:space="preserve">  Cumulative Net</t>
        </is>
      </c>
      <c r="B29" s="382" t="n"/>
      <c r="C29" s="628">
        <f>C28</f>
        <v/>
      </c>
      <c r="D29" s="628">
        <f>C29+D28</f>
        <v/>
      </c>
      <c r="E29" s="628">
        <f>D29+E28</f>
        <v/>
      </c>
      <c r="F29" s="628">
        <f>E29+F28</f>
        <v/>
      </c>
      <c r="G29" s="628">
        <f>F29+G28</f>
        <v/>
      </c>
      <c r="H29" s="628">
        <f>G29+H28</f>
        <v/>
      </c>
      <c r="I29" s="628">
        <f>H29+I28</f>
        <v/>
      </c>
      <c r="J29" s="628">
        <f>I29+J28</f>
        <v/>
      </c>
      <c r="K29" s="628">
        <f>J29+K28</f>
        <v/>
      </c>
      <c r="L29" s="628">
        <f>K29+L28</f>
        <v/>
      </c>
      <c r="M29" s="628">
        <f>L29+M28</f>
        <v/>
      </c>
      <c r="N29" s="628">
        <f>M29+N28</f>
        <v/>
      </c>
      <c r="O29" s="628">
        <f>N29+O28</f>
        <v/>
      </c>
      <c r="P29" s="628">
        <f>O29+P28</f>
        <v/>
      </c>
      <c r="Q29" s="628">
        <f>P29+Q28</f>
        <v/>
      </c>
      <c r="R29" s="628">
        <f>Q29+R28</f>
        <v/>
      </c>
      <c r="S29" s="628">
        <f>R29+S28</f>
        <v/>
      </c>
      <c r="T29" s="628">
        <f>S29+T28</f>
        <v/>
      </c>
      <c r="U29" s="628">
        <f>T29+U28</f>
        <v/>
      </c>
      <c r="V29" s="628">
        <f>U29+V28</f>
        <v/>
      </c>
      <c r="W29" s="628">
        <f>V29+W28</f>
        <v/>
      </c>
      <c r="X29" s="628">
        <f>W29+X28</f>
        <v/>
      </c>
      <c r="Y29" s="628">
        <f>X29+Y28</f>
        <v/>
      </c>
      <c r="Z29" s="628">
        <f>Y29+Z28</f>
        <v/>
      </c>
      <c r="AA29" s="628">
        <f>Z29+AA28</f>
        <v/>
      </c>
      <c r="AB29" s="628">
        <f>AA29+AB28</f>
        <v/>
      </c>
      <c r="AC29" s="628">
        <f>AB29+AC28</f>
        <v/>
      </c>
      <c r="AD29" s="628">
        <f>AC29+AD28</f>
        <v/>
      </c>
      <c r="AE29" s="628">
        <f>AD29+AE28</f>
        <v/>
      </c>
      <c r="AF29" s="628">
        <f>AE29+AF28</f>
        <v/>
      </c>
      <c r="AG29" s="628">
        <f>AF29+AG28</f>
        <v/>
      </c>
      <c r="AH29" s="628">
        <f>AG29+AH28</f>
        <v/>
      </c>
      <c r="AI29" s="628">
        <f>AH29+AI28</f>
        <v/>
      </c>
      <c r="AJ29" s="628">
        <f>AI29+AJ28</f>
        <v/>
      </c>
      <c r="AK29" s="628">
        <f>AJ29+AK28</f>
        <v/>
      </c>
      <c r="AL29" s="628">
        <f>AK29+AL28</f>
        <v/>
      </c>
      <c r="AM29" s="628">
        <f>AL29+AM28</f>
        <v/>
      </c>
      <c r="AN29" s="628">
        <f>AM29+AN28</f>
        <v/>
      </c>
      <c r="AO29" s="628">
        <f>AN29+AO28</f>
        <v/>
      </c>
      <c r="AP29" s="628">
        <f>AO29+AP28</f>
        <v/>
      </c>
      <c r="AQ29" s="628">
        <f>AP29+AQ28</f>
        <v/>
      </c>
      <c r="AR29" s="628">
        <f>AQ29+AR28</f>
        <v/>
      </c>
      <c r="AS29" s="628">
        <f>AR29+AS28</f>
        <v/>
      </c>
      <c r="AT29" s="628">
        <f>AS29+AT28</f>
        <v/>
      </c>
      <c r="AU29" s="628">
        <f>AT29+AU28</f>
        <v/>
      </c>
      <c r="AV29" s="628">
        <f>AU29+AV28</f>
        <v/>
      </c>
      <c r="AW29" s="628">
        <f>AV29+AW28</f>
        <v/>
      </c>
      <c r="AX29" s="628">
        <f>AW29+AX28</f>
        <v/>
      </c>
      <c r="AY29" s="628">
        <f>AX29+AY28</f>
        <v/>
      </c>
      <c r="AZ29" s="628">
        <f>AY29+AZ28</f>
        <v/>
      </c>
      <c r="BA29" s="628">
        <f>AZ29+BA28</f>
        <v/>
      </c>
      <c r="BB29" s="628">
        <f>BA29+BB28</f>
        <v/>
      </c>
      <c r="BC29" s="628">
        <f>BB29+BC28</f>
        <v/>
      </c>
      <c r="BD29" s="628">
        <f>BC29+BD28</f>
        <v/>
      </c>
      <c r="BE29" s="628">
        <f>BD29+BE28</f>
        <v/>
      </c>
      <c r="BF29" s="628">
        <f>BE29+BF28</f>
        <v/>
      </c>
      <c r="BG29" s="628">
        <f>BF29+BG28</f>
        <v/>
      </c>
      <c r="BH29" s="628">
        <f>BG29+BH28</f>
        <v/>
      </c>
      <c r="BI29" s="628">
        <f>BH29+BI28</f>
        <v/>
      </c>
      <c r="BJ29" s="628">
        <f>BI29+BJ28</f>
        <v/>
      </c>
      <c r="BK29" s="628">
        <f>BJ29+BK28</f>
        <v/>
      </c>
      <c r="BL29" s="628">
        <f>BK29+BL28</f>
        <v/>
      </c>
      <c r="BM29" s="628">
        <f>BL29+BM28</f>
        <v/>
      </c>
      <c r="BN29" s="628">
        <f>BM29+BN28</f>
        <v/>
      </c>
      <c r="BO29" s="628">
        <f>BN29+BO28</f>
        <v/>
      </c>
      <c r="BP29" s="628">
        <f>BO29+BP28</f>
        <v/>
      </c>
      <c r="BQ29" s="628">
        <f>BP29+BQ28</f>
        <v/>
      </c>
      <c r="BR29" s="628">
        <f>BQ29+BR28</f>
        <v/>
      </c>
      <c r="BS29" s="628">
        <f>BR29+BS28</f>
        <v/>
      </c>
      <c r="BT29" s="628">
        <f>BS29+BT28</f>
        <v/>
      </c>
      <c r="BU29" s="628">
        <f>BT29+BU28</f>
        <v/>
      </c>
      <c r="BV29" s="628">
        <f>BU29+BV28</f>
        <v/>
      </c>
      <c r="BW29" s="628">
        <f>BV29+BW28</f>
        <v/>
      </c>
      <c r="BX29" s="628">
        <f>BW29+BX28</f>
        <v/>
      </c>
      <c r="BY29" s="628">
        <f>BX29+BY28</f>
        <v/>
      </c>
      <c r="BZ29" s="628">
        <f>BY29+BZ28</f>
        <v/>
      </c>
      <c r="CA29" s="628">
        <f>BZ29+CA28</f>
        <v/>
      </c>
      <c r="CB29" s="628">
        <f>CA29+CB28</f>
        <v/>
      </c>
      <c r="CC29" s="628">
        <f>CB29+CC28</f>
        <v/>
      </c>
      <c r="CD29" s="628">
        <f>CC29+CD28</f>
        <v/>
      </c>
      <c r="CE29" s="628">
        <f>CD29+CE28</f>
        <v/>
      </c>
      <c r="CF29" s="628">
        <f>CE29+CF28</f>
        <v/>
      </c>
      <c r="CG29" s="628">
        <f>CF29+CG28</f>
        <v/>
      </c>
      <c r="CH29" s="628">
        <f>CG29+CH28</f>
        <v/>
      </c>
    </row>
    <row r="30" ht="15" customFormat="1" customHeight="1" s="380">
      <c r="A30" s="382" t="n"/>
      <c r="B30" s="382" t="n"/>
      <c r="C30" s="382" t="n"/>
      <c r="D30" s="382" t="n"/>
      <c r="E30" s="382" t="n"/>
      <c r="F30" s="382" t="n"/>
      <c r="G30" s="382" t="n"/>
      <c r="H30" s="382" t="n"/>
      <c r="I30" s="382" t="n"/>
      <c r="J30" s="382" t="n"/>
      <c r="K30" s="382" t="n"/>
      <c r="L30" s="382" t="n"/>
      <c r="M30" s="382" t="n"/>
      <c r="N30" s="382" t="n"/>
      <c r="O30" s="382" t="n"/>
      <c r="P30" s="382" t="n"/>
      <c r="Q30" s="382" t="n"/>
      <c r="R30" s="382" t="n"/>
      <c r="S30" s="382" t="n"/>
      <c r="T30" s="382" t="n"/>
      <c r="U30" s="382" t="n"/>
      <c r="V30" s="382" t="n"/>
      <c r="W30" s="382" t="n"/>
      <c r="X30" s="382" t="n"/>
      <c r="Y30" s="382" t="n"/>
      <c r="Z30" s="382" t="n"/>
      <c r="AA30" s="382" t="n"/>
      <c r="AB30" s="382" t="n"/>
      <c r="AC30" s="382" t="n"/>
      <c r="AD30" s="382" t="n"/>
      <c r="AE30" s="382" t="n"/>
      <c r="AF30" s="382" t="n"/>
      <c r="AG30" s="382" t="n"/>
      <c r="AH30" s="382" t="n"/>
      <c r="AI30" s="382" t="n"/>
      <c r="AJ30" s="382" t="n"/>
      <c r="AK30" s="382" t="n"/>
      <c r="AL30" s="382" t="n"/>
      <c r="AM30" s="382" t="n"/>
      <c r="AN30" s="382" t="n"/>
      <c r="AO30" s="382" t="n"/>
      <c r="AP30" s="382" t="n"/>
      <c r="AQ30" s="382" t="n"/>
      <c r="AR30" s="382" t="n"/>
      <c r="AS30" s="382" t="n"/>
      <c r="AT30" s="382" t="n"/>
      <c r="AU30" s="382" t="n"/>
      <c r="AV30" s="382" t="n"/>
      <c r="AW30" s="382" t="n"/>
      <c r="AX30" s="382" t="n"/>
      <c r="AY30" s="382" t="n"/>
      <c r="AZ30" s="382" t="n"/>
      <c r="BA30" s="382" t="n"/>
      <c r="BB30" s="382" t="n"/>
      <c r="BC30" s="382" t="n"/>
      <c r="BD30" s="382" t="n"/>
      <c r="BE30" s="382" t="n"/>
      <c r="BF30" s="382" t="n"/>
      <c r="BG30" s="382" t="n"/>
      <c r="BH30" s="382" t="n"/>
      <c r="BI30" s="382" t="n"/>
      <c r="BJ30" s="382" t="n"/>
      <c r="BK30" s="382" t="n"/>
      <c r="BL30" s="382" t="n"/>
      <c r="BM30" s="382" t="n"/>
      <c r="BN30" s="382" t="n"/>
      <c r="BO30" s="382" t="n"/>
      <c r="BP30" s="382" t="n"/>
      <c r="BQ30" s="382" t="n"/>
      <c r="BR30" s="382" t="n"/>
      <c r="BS30" s="382" t="n"/>
      <c r="BT30" s="382" t="n"/>
      <c r="BU30" s="382" t="n"/>
      <c r="BV30" s="382" t="n"/>
      <c r="BW30" s="382" t="n"/>
      <c r="BX30" s="382" t="n"/>
      <c r="BY30" s="382" t="n"/>
      <c r="BZ30" s="382" t="n"/>
      <c r="CA30" s="382" t="n"/>
      <c r="CB30" s="382" t="n"/>
      <c r="CC30" s="382" t="n"/>
      <c r="CD30" s="382" t="n"/>
      <c r="CE30" s="382" t="n"/>
      <c r="CF30" s="382" t="n"/>
      <c r="CG30" s="382" t="n"/>
      <c r="CH30" s="382" t="n"/>
    </row>
    <row r="31" ht="15" customFormat="1" customHeight="1" s="380">
      <c r="A31" s="402" t="inlineStr">
        <is>
          <t>Reseda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  <c r="AL31" s="402" t="n"/>
      <c r="AM31" s="402" t="n"/>
      <c r="AN31" s="402" t="n"/>
      <c r="AO31" s="402" t="n"/>
      <c r="AP31" s="402" t="n"/>
      <c r="AQ31" s="402" t="n"/>
      <c r="AR31" s="402" t="n"/>
      <c r="AS31" s="402" t="n"/>
      <c r="AT31" s="402" t="n"/>
      <c r="AU31" s="402" t="n"/>
      <c r="AV31" s="402" t="n"/>
      <c r="AW31" s="402" t="n"/>
      <c r="AX31" s="402" t="n"/>
      <c r="AY31" s="402" t="n"/>
      <c r="AZ31" s="402" t="n"/>
      <c r="BA31" s="402" t="n"/>
      <c r="BB31" s="402" t="n"/>
      <c r="BC31" s="402" t="n"/>
      <c r="BD31" s="402" t="n"/>
      <c r="BE31" s="402" t="n"/>
      <c r="BF31" s="402" t="n"/>
      <c r="BG31" s="402" t="n"/>
      <c r="BH31" s="402" t="n"/>
      <c r="BI31" s="402" t="n"/>
      <c r="BJ31" s="402" t="n"/>
      <c r="BK31" s="402" t="n"/>
      <c r="BL31" s="402" t="n"/>
      <c r="BM31" s="402" t="n"/>
      <c r="BN31" s="402" t="n"/>
      <c r="BO31" s="402" t="n"/>
      <c r="BP31" s="402" t="n"/>
      <c r="BQ31" s="402" t="n"/>
      <c r="BR31" s="402" t="n"/>
      <c r="BS31" s="402" t="n"/>
      <c r="BT31" s="402" t="n"/>
      <c r="BU31" s="402" t="n"/>
      <c r="BV31" s="402" t="n"/>
      <c r="BW31" s="402" t="n"/>
      <c r="BX31" s="402" t="n"/>
      <c r="BY31" s="402" t="n"/>
      <c r="BZ31" s="402" t="n"/>
      <c r="CA31" s="402" t="n"/>
      <c r="CB31" s="402" t="n"/>
      <c r="CC31" s="402" t="n"/>
      <c r="CD31" s="402" t="n"/>
      <c r="CE31" s="402" t="n"/>
      <c r="CF31" s="402" t="n"/>
      <c r="CG31" s="402" t="n"/>
      <c r="CH31" s="402" t="n"/>
    </row>
    <row r="32" ht="15" customFormat="1" customHeight="1" s="380">
      <c r="A32" s="458" t="inlineStr">
        <is>
          <t xml:space="preserve">  Revenue</t>
        </is>
      </c>
      <c r="B32" s="382" t="n"/>
      <c r="C32" s="625">
        <f>Model!E165</f>
        <v/>
      </c>
      <c r="D32" s="625">
        <f>Model!F165</f>
        <v/>
      </c>
      <c r="E32" s="625">
        <f>Model!G165</f>
        <v/>
      </c>
      <c r="F32" s="625">
        <f>Model!H165</f>
        <v/>
      </c>
      <c r="G32" s="625">
        <f>Model!I165</f>
        <v/>
      </c>
      <c r="H32" s="625">
        <f>Model!J165</f>
        <v/>
      </c>
      <c r="I32" s="625">
        <f>Model!K165</f>
        <v/>
      </c>
      <c r="J32" s="625">
        <f>Model!L165</f>
        <v/>
      </c>
      <c r="K32" s="625">
        <f>Model!M165</f>
        <v/>
      </c>
      <c r="L32" s="625">
        <f>Model!N165</f>
        <v/>
      </c>
      <c r="M32" s="625">
        <f>Model!O165</f>
        <v/>
      </c>
      <c r="N32" s="625">
        <f>Model!P165</f>
        <v/>
      </c>
      <c r="O32" s="625">
        <f>Model!Q165</f>
        <v/>
      </c>
      <c r="P32" s="625">
        <f>Model!R165</f>
        <v/>
      </c>
      <c r="Q32" s="625">
        <f>Model!S165</f>
        <v/>
      </c>
      <c r="R32" s="625">
        <f>Model!T165</f>
        <v/>
      </c>
      <c r="S32" s="625">
        <f>Model!U165</f>
        <v/>
      </c>
      <c r="T32" s="625">
        <f>Model!V165</f>
        <v/>
      </c>
      <c r="U32" s="625">
        <f>Model!W165</f>
        <v/>
      </c>
      <c r="V32" s="625">
        <f>Model!X165</f>
        <v/>
      </c>
      <c r="W32" s="625">
        <f>Model!Y165</f>
        <v/>
      </c>
      <c r="X32" s="625">
        <f>Model!Z165</f>
        <v/>
      </c>
      <c r="Y32" s="625">
        <f>Model!AA165</f>
        <v/>
      </c>
      <c r="Z32" s="625">
        <f>Model!AB165</f>
        <v/>
      </c>
      <c r="AA32" s="625">
        <f>Model!AC165</f>
        <v/>
      </c>
      <c r="AB32" s="625">
        <f>Model!AD165</f>
        <v/>
      </c>
      <c r="AC32" s="625">
        <f>Model!AE165</f>
        <v/>
      </c>
      <c r="AD32" s="625">
        <f>Model!AF165</f>
        <v/>
      </c>
      <c r="AE32" s="625">
        <f>Model!AG165</f>
        <v/>
      </c>
      <c r="AF32" s="625">
        <f>Model!AH165</f>
        <v/>
      </c>
      <c r="AG32" s="625">
        <f>Model!AI165</f>
        <v/>
      </c>
      <c r="AH32" s="625">
        <f>Model!AJ165</f>
        <v/>
      </c>
      <c r="AI32" s="625">
        <f>Model!AK165</f>
        <v/>
      </c>
      <c r="AJ32" s="625">
        <f>Model!AL165</f>
        <v/>
      </c>
      <c r="AK32" s="625">
        <f>Model!AM165</f>
        <v/>
      </c>
      <c r="AL32" s="625">
        <f>Model!AN165</f>
        <v/>
      </c>
      <c r="AM32" s="625">
        <f>Model!AO165</f>
        <v/>
      </c>
      <c r="AN32" s="625">
        <f>Model!AP165</f>
        <v/>
      </c>
      <c r="AO32" s="625">
        <f>Model!AQ165</f>
        <v/>
      </c>
      <c r="AP32" s="625">
        <f>Model!AR165</f>
        <v/>
      </c>
      <c r="AQ32" s="625">
        <f>Model!AS165</f>
        <v/>
      </c>
      <c r="AR32" s="625">
        <f>Model!AT165</f>
        <v/>
      </c>
      <c r="AS32" s="625">
        <f>Model!AU165</f>
        <v/>
      </c>
      <c r="AT32" s="625">
        <f>Model!AV165</f>
        <v/>
      </c>
      <c r="AU32" s="625">
        <f>Model!AW165</f>
        <v/>
      </c>
      <c r="AV32" s="625">
        <f>Model!AX165</f>
        <v/>
      </c>
      <c r="AW32" s="625">
        <f>Model!AY165</f>
        <v/>
      </c>
      <c r="AX32" s="625">
        <f>Model!AZ165</f>
        <v/>
      </c>
      <c r="AY32" s="625">
        <f>Model!BA165</f>
        <v/>
      </c>
      <c r="AZ32" s="625">
        <f>Model!BB165</f>
        <v/>
      </c>
      <c r="BA32" s="625">
        <f>Model!BC165</f>
        <v/>
      </c>
      <c r="BB32" s="625">
        <f>Model!BD165</f>
        <v/>
      </c>
      <c r="BC32" s="625">
        <f>Model!BE165</f>
        <v/>
      </c>
      <c r="BD32" s="625">
        <f>Model!BF165</f>
        <v/>
      </c>
      <c r="BE32" s="625">
        <f>Model!BG165</f>
        <v/>
      </c>
      <c r="BF32" s="625">
        <f>Model!BH165</f>
        <v/>
      </c>
      <c r="BG32" s="625">
        <f>Model!BI165</f>
        <v/>
      </c>
      <c r="BH32" s="625">
        <f>Model!BJ165</f>
        <v/>
      </c>
      <c r="BI32" s="625">
        <f>Model!BK165</f>
        <v/>
      </c>
      <c r="BJ32" s="625">
        <f>Model!BL165</f>
        <v/>
      </c>
      <c r="BK32" s="625">
        <f>Model!BM165</f>
        <v/>
      </c>
      <c r="BL32" s="625">
        <f>Model!BN165</f>
        <v/>
      </c>
      <c r="BM32" s="625">
        <f>Model!BO165</f>
        <v/>
      </c>
      <c r="BN32" s="625">
        <f>Model!BP165</f>
        <v/>
      </c>
      <c r="BO32" s="625">
        <f>Model!BQ165</f>
        <v/>
      </c>
      <c r="BP32" s="625">
        <f>Model!BR165</f>
        <v/>
      </c>
      <c r="BQ32" s="625">
        <f>Model!BS165</f>
        <v/>
      </c>
      <c r="BR32" s="625">
        <f>Model!BT165</f>
        <v/>
      </c>
      <c r="BS32" s="625">
        <f>Model!BU165</f>
        <v/>
      </c>
      <c r="BT32" s="625">
        <f>Model!BV165</f>
        <v/>
      </c>
      <c r="BU32" s="625">
        <f>Model!BW165</f>
        <v/>
      </c>
      <c r="BV32" s="625">
        <f>Model!BX165</f>
        <v/>
      </c>
      <c r="BW32" s="625">
        <f>Model!BY165</f>
        <v/>
      </c>
      <c r="BX32" s="625">
        <f>Model!BZ165</f>
        <v/>
      </c>
      <c r="BY32" s="625">
        <f>Model!CA165</f>
        <v/>
      </c>
      <c r="BZ32" s="625">
        <f>Model!CB165</f>
        <v/>
      </c>
      <c r="CA32" s="625">
        <f>Model!CC165</f>
        <v/>
      </c>
      <c r="CB32" s="625">
        <f>Model!CD165</f>
        <v/>
      </c>
      <c r="CC32" s="625">
        <f>Model!CE165</f>
        <v/>
      </c>
      <c r="CD32" s="625">
        <f>Model!CF165</f>
        <v/>
      </c>
      <c r="CE32" s="625">
        <f>Model!CG165</f>
        <v/>
      </c>
      <c r="CF32" s="625">
        <f>Model!CH165</f>
        <v/>
      </c>
      <c r="CG32" s="625">
        <f>Model!CI165</f>
        <v/>
      </c>
      <c r="CH32" s="625">
        <f>Model!CJ165</f>
        <v/>
      </c>
    </row>
    <row r="33" ht="15" customFormat="1" customHeight="1" s="380">
      <c r="A33" s="629" t="inlineStr">
        <is>
          <t xml:space="preserve">  Steyn Fees</t>
        </is>
      </c>
      <c r="B33" s="382" t="n"/>
      <c r="C33" s="630">
        <f>Model!E200</f>
        <v/>
      </c>
      <c r="D33" s="630">
        <f>Model!F200</f>
        <v/>
      </c>
      <c r="E33" s="630">
        <f>Model!G200</f>
        <v/>
      </c>
      <c r="F33" s="630">
        <f>Model!H200</f>
        <v/>
      </c>
      <c r="G33" s="630">
        <f>Model!I200</f>
        <v/>
      </c>
      <c r="H33" s="630">
        <f>Model!J200</f>
        <v/>
      </c>
      <c r="I33" s="630">
        <f>Model!K200</f>
        <v/>
      </c>
      <c r="J33" s="630">
        <f>Model!L200</f>
        <v/>
      </c>
      <c r="K33" s="630">
        <f>Model!M200</f>
        <v/>
      </c>
      <c r="L33" s="630">
        <f>Model!N200</f>
        <v/>
      </c>
      <c r="M33" s="630">
        <f>Model!O200</f>
        <v/>
      </c>
      <c r="N33" s="630">
        <f>Model!P200</f>
        <v/>
      </c>
      <c r="O33" s="630">
        <f>Model!Q200</f>
        <v/>
      </c>
      <c r="P33" s="630">
        <f>Model!R200</f>
        <v/>
      </c>
      <c r="Q33" s="630">
        <f>Model!S200</f>
        <v/>
      </c>
      <c r="R33" s="630">
        <f>Model!T200</f>
        <v/>
      </c>
      <c r="S33" s="630">
        <f>Model!U200</f>
        <v/>
      </c>
      <c r="T33" s="630">
        <f>Model!V200</f>
        <v/>
      </c>
      <c r="U33" s="630">
        <f>Model!W200</f>
        <v/>
      </c>
      <c r="V33" s="630">
        <f>Model!X200</f>
        <v/>
      </c>
      <c r="W33" s="630">
        <f>Model!Y200</f>
        <v/>
      </c>
      <c r="X33" s="630">
        <f>Model!Z200</f>
        <v/>
      </c>
      <c r="Y33" s="630">
        <f>Model!AA200</f>
        <v/>
      </c>
      <c r="Z33" s="630">
        <f>Model!AB200</f>
        <v/>
      </c>
      <c r="AA33" s="630">
        <f>Model!AC200</f>
        <v/>
      </c>
      <c r="AB33" s="630">
        <f>Model!AD200</f>
        <v/>
      </c>
      <c r="AC33" s="630">
        <f>Model!AE200</f>
        <v/>
      </c>
      <c r="AD33" s="630">
        <f>Model!AF200</f>
        <v/>
      </c>
      <c r="AE33" s="630">
        <f>Model!AG200</f>
        <v/>
      </c>
      <c r="AF33" s="630">
        <f>Model!AH200</f>
        <v/>
      </c>
      <c r="AG33" s="630">
        <f>Model!AI200</f>
        <v/>
      </c>
      <c r="AH33" s="630">
        <f>Model!AJ200</f>
        <v/>
      </c>
      <c r="AI33" s="630">
        <f>Model!AK200</f>
        <v/>
      </c>
      <c r="AJ33" s="630">
        <f>Model!AL200</f>
        <v/>
      </c>
      <c r="AK33" s="630">
        <f>Model!AM200</f>
        <v/>
      </c>
      <c r="AL33" s="630">
        <f>Model!AN200</f>
        <v/>
      </c>
      <c r="AM33" s="630">
        <f>Model!AO200</f>
        <v/>
      </c>
      <c r="AN33" s="630">
        <f>Model!AP200</f>
        <v/>
      </c>
      <c r="AO33" s="630">
        <f>Model!AQ200</f>
        <v/>
      </c>
      <c r="AP33" s="630">
        <f>Model!AR200</f>
        <v/>
      </c>
      <c r="AQ33" s="630">
        <f>Model!AS200</f>
        <v/>
      </c>
      <c r="AR33" s="630">
        <f>Model!AT200</f>
        <v/>
      </c>
      <c r="AS33" s="630">
        <f>Model!AU200</f>
        <v/>
      </c>
      <c r="AT33" s="630">
        <f>Model!AV200</f>
        <v/>
      </c>
      <c r="AU33" s="630">
        <f>Model!AW200</f>
        <v/>
      </c>
      <c r="AV33" s="630">
        <f>Model!AX200</f>
        <v/>
      </c>
      <c r="AW33" s="630">
        <f>Model!AY200</f>
        <v/>
      </c>
      <c r="AX33" s="630">
        <f>Model!AZ200</f>
        <v/>
      </c>
      <c r="AY33" s="630">
        <f>Model!BA200</f>
        <v/>
      </c>
      <c r="AZ33" s="630">
        <f>Model!BB200</f>
        <v/>
      </c>
      <c r="BA33" s="630">
        <f>Model!BC200</f>
        <v/>
      </c>
      <c r="BB33" s="630">
        <f>Model!BD200</f>
        <v/>
      </c>
      <c r="BC33" s="630">
        <f>Model!BE200</f>
        <v/>
      </c>
      <c r="BD33" s="630">
        <f>Model!BF200</f>
        <v/>
      </c>
      <c r="BE33" s="630">
        <f>Model!BG200</f>
        <v/>
      </c>
      <c r="BF33" s="630">
        <f>Model!BH200</f>
        <v/>
      </c>
      <c r="BG33" s="630">
        <f>Model!BI200</f>
        <v/>
      </c>
      <c r="BH33" s="630">
        <f>Model!BJ200</f>
        <v/>
      </c>
      <c r="BI33" s="630">
        <f>Model!BK200</f>
        <v/>
      </c>
      <c r="BJ33" s="630">
        <f>Model!BL200</f>
        <v/>
      </c>
      <c r="BK33" s="630">
        <f>Model!BM200</f>
        <v/>
      </c>
      <c r="BL33" s="630">
        <f>Model!BN200</f>
        <v/>
      </c>
      <c r="BM33" s="630">
        <f>Model!BO200</f>
        <v/>
      </c>
      <c r="BN33" s="630">
        <f>Model!BP200</f>
        <v/>
      </c>
      <c r="BO33" s="630">
        <f>Model!BQ200</f>
        <v/>
      </c>
      <c r="BP33" s="630">
        <f>Model!BR200</f>
        <v/>
      </c>
      <c r="BQ33" s="630">
        <f>Model!BS200</f>
        <v/>
      </c>
      <c r="BR33" s="630">
        <f>Model!BT200</f>
        <v/>
      </c>
      <c r="BS33" s="630">
        <f>Model!BU200</f>
        <v/>
      </c>
      <c r="BT33" s="630">
        <f>Model!BV200</f>
        <v/>
      </c>
      <c r="BU33" s="630">
        <f>Model!BW200</f>
        <v/>
      </c>
      <c r="BV33" s="630">
        <f>Model!BX200</f>
        <v/>
      </c>
      <c r="BW33" s="630">
        <f>Model!BY200</f>
        <v/>
      </c>
      <c r="BX33" s="630">
        <f>Model!BZ200</f>
        <v/>
      </c>
      <c r="BY33" s="630">
        <f>Model!CA200</f>
        <v/>
      </c>
      <c r="BZ33" s="630">
        <f>Model!CB200</f>
        <v/>
      </c>
      <c r="CA33" s="630">
        <f>Model!CC200</f>
        <v/>
      </c>
      <c r="CB33" s="630">
        <f>Model!CD200</f>
        <v/>
      </c>
      <c r="CC33" s="630">
        <f>Model!CE200</f>
        <v/>
      </c>
      <c r="CD33" s="630">
        <f>Model!CF200</f>
        <v/>
      </c>
      <c r="CE33" s="630">
        <f>Model!CG200</f>
        <v/>
      </c>
      <c r="CF33" s="630">
        <f>Model!CH200</f>
        <v/>
      </c>
      <c r="CG33" s="630">
        <f>Model!CI200</f>
        <v/>
      </c>
      <c r="CH33" s="630">
        <f>Model!CJ200</f>
        <v/>
      </c>
    </row>
    <row r="34" ht="15" customFormat="1" customHeight="1" s="380">
      <c r="A34" s="629" t="inlineStr">
        <is>
          <t xml:space="preserve">  PIK Repayment (in Steyn + PIK above)</t>
        </is>
      </c>
      <c r="B34" s="382" t="n"/>
      <c r="C34" s="630">
        <f>Model!E282</f>
        <v/>
      </c>
      <c r="D34" s="630">
        <f>Model!F282</f>
        <v/>
      </c>
      <c r="E34" s="630">
        <f>Model!G282</f>
        <v/>
      </c>
      <c r="F34" s="630">
        <f>Model!H282</f>
        <v/>
      </c>
      <c r="G34" s="630">
        <f>Model!I282</f>
        <v/>
      </c>
      <c r="H34" s="630">
        <f>Model!J282</f>
        <v/>
      </c>
      <c r="I34" s="630">
        <f>Model!K282</f>
        <v/>
      </c>
      <c r="J34" s="630">
        <f>Model!L282</f>
        <v/>
      </c>
      <c r="K34" s="630">
        <f>Model!M282</f>
        <v/>
      </c>
      <c r="L34" s="630">
        <f>Model!N282</f>
        <v/>
      </c>
      <c r="M34" s="630">
        <f>Model!O282</f>
        <v/>
      </c>
      <c r="N34" s="630">
        <f>Model!P282</f>
        <v/>
      </c>
      <c r="O34" s="630">
        <f>Model!Q282</f>
        <v/>
      </c>
      <c r="P34" s="630">
        <f>Model!R282</f>
        <v/>
      </c>
      <c r="Q34" s="630">
        <f>Model!S282</f>
        <v/>
      </c>
      <c r="R34" s="630">
        <f>Model!T282</f>
        <v/>
      </c>
      <c r="S34" s="630">
        <f>Model!U282</f>
        <v/>
      </c>
      <c r="T34" s="630">
        <f>Model!V282</f>
        <v/>
      </c>
      <c r="U34" s="630">
        <f>Model!W282</f>
        <v/>
      </c>
      <c r="V34" s="630">
        <f>Model!X282</f>
        <v/>
      </c>
      <c r="W34" s="630">
        <f>Model!Y282</f>
        <v/>
      </c>
      <c r="X34" s="630">
        <f>Model!Z282</f>
        <v/>
      </c>
      <c r="Y34" s="630">
        <f>Model!AA282</f>
        <v/>
      </c>
      <c r="Z34" s="630">
        <f>Model!AB282</f>
        <v/>
      </c>
      <c r="AA34" s="630">
        <f>Model!AC282</f>
        <v/>
      </c>
      <c r="AB34" s="630">
        <f>Model!AD282</f>
        <v/>
      </c>
      <c r="AC34" s="630">
        <f>Model!AE282</f>
        <v/>
      </c>
      <c r="AD34" s="630">
        <f>Model!AF282</f>
        <v/>
      </c>
      <c r="AE34" s="630">
        <f>Model!AG282</f>
        <v/>
      </c>
      <c r="AF34" s="630">
        <f>Model!AH282</f>
        <v/>
      </c>
      <c r="AG34" s="630">
        <f>Model!AI282</f>
        <v/>
      </c>
      <c r="AH34" s="630">
        <f>Model!AJ282</f>
        <v/>
      </c>
      <c r="AI34" s="630">
        <f>Model!AK282</f>
        <v/>
      </c>
      <c r="AJ34" s="630">
        <f>Model!AL282</f>
        <v/>
      </c>
      <c r="AK34" s="630">
        <f>Model!AM282</f>
        <v/>
      </c>
      <c r="AL34" s="630">
        <f>Model!AN282</f>
        <v/>
      </c>
      <c r="AM34" s="630">
        <f>Model!AO282</f>
        <v/>
      </c>
      <c r="AN34" s="630">
        <f>Model!AP282</f>
        <v/>
      </c>
      <c r="AO34" s="630">
        <f>Model!AQ282</f>
        <v/>
      </c>
      <c r="AP34" s="630">
        <f>Model!AR282</f>
        <v/>
      </c>
      <c r="AQ34" s="630">
        <f>Model!AS282</f>
        <v/>
      </c>
      <c r="AR34" s="630">
        <f>Model!AT282</f>
        <v/>
      </c>
      <c r="AS34" s="630">
        <f>Model!AU282</f>
        <v/>
      </c>
      <c r="AT34" s="630">
        <f>Model!AV282</f>
        <v/>
      </c>
      <c r="AU34" s="630">
        <f>Model!AW282</f>
        <v/>
      </c>
      <c r="AV34" s="630">
        <f>Model!AX282</f>
        <v/>
      </c>
      <c r="AW34" s="630">
        <f>Model!AY282</f>
        <v/>
      </c>
      <c r="AX34" s="630">
        <f>Model!AZ282</f>
        <v/>
      </c>
      <c r="AY34" s="630">
        <f>Model!BA282</f>
        <v/>
      </c>
      <c r="AZ34" s="630">
        <f>Model!BB282</f>
        <v/>
      </c>
      <c r="BA34" s="630">
        <f>Model!BC282</f>
        <v/>
      </c>
      <c r="BB34" s="630">
        <f>Model!BD282</f>
        <v/>
      </c>
      <c r="BC34" s="630">
        <f>Model!BE282</f>
        <v/>
      </c>
      <c r="BD34" s="630">
        <f>Model!BF282</f>
        <v/>
      </c>
      <c r="BE34" s="630">
        <f>Model!BG282</f>
        <v/>
      </c>
      <c r="BF34" s="630">
        <f>Model!BH282</f>
        <v/>
      </c>
      <c r="BG34" s="630">
        <f>Model!BI282</f>
        <v/>
      </c>
      <c r="BH34" s="630">
        <f>Model!BJ282</f>
        <v/>
      </c>
      <c r="BI34" s="630">
        <f>Model!BK282</f>
        <v/>
      </c>
      <c r="BJ34" s="630">
        <f>Model!BL282</f>
        <v/>
      </c>
      <c r="BK34" s="630">
        <f>Model!BM282</f>
        <v/>
      </c>
      <c r="BL34" s="630">
        <f>Model!BN282</f>
        <v/>
      </c>
      <c r="BM34" s="630">
        <f>Model!BO282</f>
        <v/>
      </c>
      <c r="BN34" s="630">
        <f>Model!BP282</f>
        <v/>
      </c>
      <c r="BO34" s="630">
        <f>Model!BQ282</f>
        <v/>
      </c>
      <c r="BP34" s="630">
        <f>Model!BR282</f>
        <v/>
      </c>
      <c r="BQ34" s="630">
        <f>Model!BS282</f>
        <v/>
      </c>
      <c r="BR34" s="630">
        <f>Model!BT282</f>
        <v/>
      </c>
      <c r="BS34" s="630">
        <f>Model!BU282</f>
        <v/>
      </c>
      <c r="BT34" s="630">
        <f>Model!BV282</f>
        <v/>
      </c>
      <c r="BU34" s="630">
        <f>Model!BW282</f>
        <v/>
      </c>
      <c r="BV34" s="630">
        <f>Model!BX282</f>
        <v/>
      </c>
      <c r="BW34" s="630">
        <f>Model!BY282</f>
        <v/>
      </c>
      <c r="BX34" s="630">
        <f>Model!BZ282</f>
        <v/>
      </c>
      <c r="BY34" s="630">
        <f>Model!CA282</f>
        <v/>
      </c>
      <c r="BZ34" s="630">
        <f>Model!CB282</f>
        <v/>
      </c>
      <c r="CA34" s="630">
        <f>Model!CC282</f>
        <v/>
      </c>
      <c r="CB34" s="630">
        <f>Model!CD282</f>
        <v/>
      </c>
      <c r="CC34" s="630">
        <f>Model!CE282</f>
        <v/>
      </c>
      <c r="CD34" s="630">
        <f>Model!CF282</f>
        <v/>
      </c>
      <c r="CE34" s="630">
        <f>Model!CG282</f>
        <v/>
      </c>
      <c r="CF34" s="630">
        <f>Model!CH282</f>
        <v/>
      </c>
      <c r="CG34" s="630">
        <f>Model!CI282</f>
        <v/>
      </c>
      <c r="CH34" s="630">
        <f>Model!CJ282</f>
        <v/>
      </c>
    </row>
    <row r="35" ht="15" customFormat="1" customHeight="1" s="380">
      <c r="A35" s="626" t="inlineStr">
        <is>
          <t xml:space="preserve">  Net to Six Peak</t>
        </is>
      </c>
      <c r="B35" s="626" t="n"/>
      <c r="C35" s="627">
        <f>C32+C33+C34</f>
        <v/>
      </c>
      <c r="D35" s="627">
        <f>D32+D33+D34</f>
        <v/>
      </c>
      <c r="E35" s="627">
        <f>E32+E33+E34</f>
        <v/>
      </c>
      <c r="F35" s="627">
        <f>F32+F33+F34</f>
        <v/>
      </c>
      <c r="G35" s="627">
        <f>G32+G33+G34</f>
        <v/>
      </c>
      <c r="H35" s="627">
        <f>H32+H33+H34</f>
        <v/>
      </c>
      <c r="I35" s="627">
        <f>I32+I33+I34</f>
        <v/>
      </c>
      <c r="J35" s="627">
        <f>J32+J33+J34</f>
        <v/>
      </c>
      <c r="K35" s="627">
        <f>K32+K33+K34</f>
        <v/>
      </c>
      <c r="L35" s="627">
        <f>L32+L33+L34</f>
        <v/>
      </c>
      <c r="M35" s="627">
        <f>M32+M33+M34</f>
        <v/>
      </c>
      <c r="N35" s="627">
        <f>N32+N33+N34</f>
        <v/>
      </c>
      <c r="O35" s="627">
        <f>O32+O33+O34</f>
        <v/>
      </c>
      <c r="P35" s="627">
        <f>P32+P33+P34</f>
        <v/>
      </c>
      <c r="Q35" s="627">
        <f>Q32+Q33+Q34</f>
        <v/>
      </c>
      <c r="R35" s="627">
        <f>R32+R33+R34</f>
        <v/>
      </c>
      <c r="S35" s="627">
        <f>S32+S33+S34</f>
        <v/>
      </c>
      <c r="T35" s="627">
        <f>T32+T33+T34</f>
        <v/>
      </c>
      <c r="U35" s="627">
        <f>U32+U33+U34</f>
        <v/>
      </c>
      <c r="V35" s="627">
        <f>V32+V33+V34</f>
        <v/>
      </c>
      <c r="W35" s="627">
        <f>W32+W33+W34</f>
        <v/>
      </c>
      <c r="X35" s="627">
        <f>X32+X33+X34</f>
        <v/>
      </c>
      <c r="Y35" s="627">
        <f>Y32+Y33+Y34</f>
        <v/>
      </c>
      <c r="Z35" s="627">
        <f>Z32+Z33+Z34</f>
        <v/>
      </c>
      <c r="AA35" s="627">
        <f>AA32+AA33+AA34</f>
        <v/>
      </c>
      <c r="AB35" s="627">
        <f>AB32+AB33+AB34</f>
        <v/>
      </c>
      <c r="AC35" s="627">
        <f>AC32+AC33+AC34</f>
        <v/>
      </c>
      <c r="AD35" s="627">
        <f>AD32+AD33+AD34</f>
        <v/>
      </c>
      <c r="AE35" s="627">
        <f>AE32+AE33+AE34</f>
        <v/>
      </c>
      <c r="AF35" s="627">
        <f>AF32+AF33+AF34</f>
        <v/>
      </c>
      <c r="AG35" s="627">
        <f>AG32+AG33+AG34</f>
        <v/>
      </c>
      <c r="AH35" s="627">
        <f>AH32+AH33+AH34</f>
        <v/>
      </c>
      <c r="AI35" s="627">
        <f>AI32+AI33+AI34</f>
        <v/>
      </c>
      <c r="AJ35" s="627">
        <f>AJ32+AJ33+AJ34</f>
        <v/>
      </c>
      <c r="AK35" s="627">
        <f>AK32+AK33+AK34</f>
        <v/>
      </c>
      <c r="AL35" s="627">
        <f>AL32+AL33+AL34</f>
        <v/>
      </c>
      <c r="AM35" s="627">
        <f>AM32+AM33+AM34</f>
        <v/>
      </c>
      <c r="AN35" s="627">
        <f>AN32+AN33+AN34</f>
        <v/>
      </c>
      <c r="AO35" s="627">
        <f>AO32+AO33+AO34</f>
        <v/>
      </c>
      <c r="AP35" s="627">
        <f>AP32+AP33+AP34</f>
        <v/>
      </c>
      <c r="AQ35" s="627">
        <f>AQ32+AQ33+AQ34</f>
        <v/>
      </c>
      <c r="AR35" s="627">
        <f>AR32+AR33+AR34</f>
        <v/>
      </c>
      <c r="AS35" s="627">
        <f>AS32+AS33+AS34</f>
        <v/>
      </c>
      <c r="AT35" s="627">
        <f>AT32+AT33+AT34</f>
        <v/>
      </c>
      <c r="AU35" s="627">
        <f>AU32+AU33+AU34</f>
        <v/>
      </c>
      <c r="AV35" s="627">
        <f>AV32+AV33+AV34</f>
        <v/>
      </c>
      <c r="AW35" s="627">
        <f>AW32+AW33+AW34</f>
        <v/>
      </c>
      <c r="AX35" s="627">
        <f>AX32+AX33+AX34</f>
        <v/>
      </c>
      <c r="AY35" s="627">
        <f>AY32+AY33+AY34</f>
        <v/>
      </c>
      <c r="AZ35" s="627">
        <f>AZ32+AZ33+AZ34</f>
        <v/>
      </c>
      <c r="BA35" s="627">
        <f>BA32+BA33+BA34</f>
        <v/>
      </c>
      <c r="BB35" s="627">
        <f>BB32+BB33+BB34</f>
        <v/>
      </c>
      <c r="BC35" s="627">
        <f>BC32+BC33+BC34</f>
        <v/>
      </c>
      <c r="BD35" s="627">
        <f>BD32+BD33+BD34</f>
        <v/>
      </c>
      <c r="BE35" s="627">
        <f>BE32+BE33+BE34</f>
        <v/>
      </c>
      <c r="BF35" s="627">
        <f>BF32+BF33+BF34</f>
        <v/>
      </c>
      <c r="BG35" s="627">
        <f>BG32+BG33+BG34</f>
        <v/>
      </c>
      <c r="BH35" s="627">
        <f>BH32+BH33+BH34</f>
        <v/>
      </c>
      <c r="BI35" s="627">
        <f>BI32+BI33+BI34</f>
        <v/>
      </c>
      <c r="BJ35" s="627">
        <f>BJ32+BJ33+BJ34</f>
        <v/>
      </c>
      <c r="BK35" s="627">
        <f>BK32+BK33+BK34</f>
        <v/>
      </c>
      <c r="BL35" s="627">
        <f>BL32+BL33+BL34</f>
        <v/>
      </c>
      <c r="BM35" s="627">
        <f>BM32+BM33+BM34</f>
        <v/>
      </c>
      <c r="BN35" s="627">
        <f>BN32+BN33+BN34</f>
        <v/>
      </c>
      <c r="BO35" s="627">
        <f>BO32+BO33+BO34</f>
        <v/>
      </c>
      <c r="BP35" s="627">
        <f>BP32+BP33+BP34</f>
        <v/>
      </c>
      <c r="BQ35" s="627">
        <f>BQ32+BQ33+BQ34</f>
        <v/>
      </c>
      <c r="BR35" s="627">
        <f>BR32+BR33+BR34</f>
        <v/>
      </c>
      <c r="BS35" s="627">
        <f>BS32+BS33+BS34</f>
        <v/>
      </c>
      <c r="BT35" s="627">
        <f>BT32+BT33+BT34</f>
        <v/>
      </c>
      <c r="BU35" s="627">
        <f>BU32+BU33+BU34</f>
        <v/>
      </c>
      <c r="BV35" s="627">
        <f>BV32+BV33+BV34</f>
        <v/>
      </c>
      <c r="BW35" s="627">
        <f>BW32+BW33+BW34</f>
        <v/>
      </c>
      <c r="BX35" s="627">
        <f>BX32+BX33+BX34</f>
        <v/>
      </c>
      <c r="BY35" s="627">
        <f>BY32+BY33+BY34</f>
        <v/>
      </c>
      <c r="BZ35" s="627">
        <f>BZ32+BZ33+BZ34</f>
        <v/>
      </c>
      <c r="CA35" s="627">
        <f>CA32+CA33+CA34</f>
        <v/>
      </c>
      <c r="CB35" s="627">
        <f>CB32+CB33+CB34</f>
        <v/>
      </c>
      <c r="CC35" s="627">
        <f>CC32+CC33+CC34</f>
        <v/>
      </c>
      <c r="CD35" s="627">
        <f>CD32+CD33+CD34</f>
        <v/>
      </c>
      <c r="CE35" s="627">
        <f>CE32+CE33+CE34</f>
        <v/>
      </c>
      <c r="CF35" s="627">
        <f>CF32+CF33+CF34</f>
        <v/>
      </c>
      <c r="CG35" s="627">
        <f>CG32+CG33+CG34</f>
        <v/>
      </c>
      <c r="CH35" s="627">
        <f>CH32+CH33+CH34</f>
        <v/>
      </c>
    </row>
    <row r="36" ht="15" customFormat="1" customHeight="1" s="380">
      <c r="A36" s="381" t="inlineStr">
        <is>
          <t xml:space="preserve">  Cumulative Net</t>
        </is>
      </c>
      <c r="B36" s="382" t="n"/>
      <c r="C36" s="628">
        <f>C35</f>
        <v/>
      </c>
      <c r="D36" s="628">
        <f>C36+D35</f>
        <v/>
      </c>
      <c r="E36" s="628">
        <f>D36+E35</f>
        <v/>
      </c>
      <c r="F36" s="628">
        <f>E36+F35</f>
        <v/>
      </c>
      <c r="G36" s="628">
        <f>F36+G35</f>
        <v/>
      </c>
      <c r="H36" s="628">
        <f>G36+H35</f>
        <v/>
      </c>
      <c r="I36" s="628">
        <f>H36+I35</f>
        <v/>
      </c>
      <c r="J36" s="628">
        <f>I36+J35</f>
        <v/>
      </c>
      <c r="K36" s="628">
        <f>J36+K35</f>
        <v/>
      </c>
      <c r="L36" s="628">
        <f>K36+L35</f>
        <v/>
      </c>
      <c r="M36" s="628">
        <f>L36+M35</f>
        <v/>
      </c>
      <c r="N36" s="628">
        <f>M36+N35</f>
        <v/>
      </c>
      <c r="O36" s="628">
        <f>N36+O35</f>
        <v/>
      </c>
      <c r="P36" s="628">
        <f>O36+P35</f>
        <v/>
      </c>
      <c r="Q36" s="628">
        <f>P36+Q35</f>
        <v/>
      </c>
      <c r="R36" s="628">
        <f>Q36+R35</f>
        <v/>
      </c>
      <c r="S36" s="628">
        <f>R36+S35</f>
        <v/>
      </c>
      <c r="T36" s="628">
        <f>S36+T35</f>
        <v/>
      </c>
      <c r="U36" s="628">
        <f>T36+U35</f>
        <v/>
      </c>
      <c r="V36" s="628">
        <f>U36+V35</f>
        <v/>
      </c>
      <c r="W36" s="628">
        <f>V36+W35</f>
        <v/>
      </c>
      <c r="X36" s="628">
        <f>W36+X35</f>
        <v/>
      </c>
      <c r="Y36" s="628">
        <f>X36+Y35</f>
        <v/>
      </c>
      <c r="Z36" s="628">
        <f>Y36+Z35</f>
        <v/>
      </c>
      <c r="AA36" s="628">
        <f>Z36+AA35</f>
        <v/>
      </c>
      <c r="AB36" s="628">
        <f>AA36+AB35</f>
        <v/>
      </c>
      <c r="AC36" s="628">
        <f>AB36+AC35</f>
        <v/>
      </c>
      <c r="AD36" s="628">
        <f>AC36+AD35</f>
        <v/>
      </c>
      <c r="AE36" s="628">
        <f>AD36+AE35</f>
        <v/>
      </c>
      <c r="AF36" s="628">
        <f>AE36+AF35</f>
        <v/>
      </c>
      <c r="AG36" s="628">
        <f>AF36+AG35</f>
        <v/>
      </c>
      <c r="AH36" s="628">
        <f>AG36+AH35</f>
        <v/>
      </c>
      <c r="AI36" s="628">
        <f>AH36+AI35</f>
        <v/>
      </c>
      <c r="AJ36" s="628">
        <f>AI36+AJ35</f>
        <v/>
      </c>
      <c r="AK36" s="628">
        <f>AJ36+AK35</f>
        <v/>
      </c>
      <c r="AL36" s="628">
        <f>AK36+AL35</f>
        <v/>
      </c>
      <c r="AM36" s="628">
        <f>AL36+AM35</f>
        <v/>
      </c>
      <c r="AN36" s="628">
        <f>AM36+AN35</f>
        <v/>
      </c>
      <c r="AO36" s="628">
        <f>AN36+AO35</f>
        <v/>
      </c>
      <c r="AP36" s="628">
        <f>AO36+AP35</f>
        <v/>
      </c>
      <c r="AQ36" s="628">
        <f>AP36+AQ35</f>
        <v/>
      </c>
      <c r="AR36" s="628">
        <f>AQ36+AR35</f>
        <v/>
      </c>
      <c r="AS36" s="628">
        <f>AR36+AS35</f>
        <v/>
      </c>
      <c r="AT36" s="628">
        <f>AS36+AT35</f>
        <v/>
      </c>
      <c r="AU36" s="628">
        <f>AT36+AU35</f>
        <v/>
      </c>
      <c r="AV36" s="628">
        <f>AU36+AV35</f>
        <v/>
      </c>
      <c r="AW36" s="628">
        <f>AV36+AW35</f>
        <v/>
      </c>
      <c r="AX36" s="628">
        <f>AW36+AX35</f>
        <v/>
      </c>
      <c r="AY36" s="628">
        <f>AX36+AY35</f>
        <v/>
      </c>
      <c r="AZ36" s="628">
        <f>AY36+AZ35</f>
        <v/>
      </c>
      <c r="BA36" s="628">
        <f>AZ36+BA35</f>
        <v/>
      </c>
      <c r="BB36" s="628">
        <f>BA36+BB35</f>
        <v/>
      </c>
      <c r="BC36" s="628">
        <f>BB36+BC35</f>
        <v/>
      </c>
      <c r="BD36" s="628">
        <f>BC36+BD35</f>
        <v/>
      </c>
      <c r="BE36" s="628">
        <f>BD36+BE35</f>
        <v/>
      </c>
      <c r="BF36" s="628">
        <f>BE36+BF35</f>
        <v/>
      </c>
      <c r="BG36" s="628">
        <f>BF36+BG35</f>
        <v/>
      </c>
      <c r="BH36" s="628">
        <f>BG36+BH35</f>
        <v/>
      </c>
      <c r="BI36" s="628">
        <f>BH36+BI35</f>
        <v/>
      </c>
      <c r="BJ36" s="628">
        <f>BI36+BJ35</f>
        <v/>
      </c>
      <c r="BK36" s="628">
        <f>BJ36+BK35</f>
        <v/>
      </c>
      <c r="BL36" s="628">
        <f>BK36+BL35</f>
        <v/>
      </c>
      <c r="BM36" s="628">
        <f>BL36+BM35</f>
        <v/>
      </c>
      <c r="BN36" s="628">
        <f>BM36+BN35</f>
        <v/>
      </c>
      <c r="BO36" s="628">
        <f>BN36+BO35</f>
        <v/>
      </c>
      <c r="BP36" s="628">
        <f>BO36+BP35</f>
        <v/>
      </c>
      <c r="BQ36" s="628">
        <f>BP36+BQ35</f>
        <v/>
      </c>
      <c r="BR36" s="628">
        <f>BQ36+BR35</f>
        <v/>
      </c>
      <c r="BS36" s="628">
        <f>BR36+BS35</f>
        <v/>
      </c>
      <c r="BT36" s="628">
        <f>BS36+BT35</f>
        <v/>
      </c>
      <c r="BU36" s="628">
        <f>BT36+BU35</f>
        <v/>
      </c>
      <c r="BV36" s="628">
        <f>BU36+BV35</f>
        <v/>
      </c>
      <c r="BW36" s="628">
        <f>BV36+BW35</f>
        <v/>
      </c>
      <c r="BX36" s="628">
        <f>BW36+BX35</f>
        <v/>
      </c>
      <c r="BY36" s="628">
        <f>BX36+BY35</f>
        <v/>
      </c>
      <c r="BZ36" s="628">
        <f>BY36+BZ35</f>
        <v/>
      </c>
      <c r="CA36" s="628">
        <f>BZ36+CA35</f>
        <v/>
      </c>
      <c r="CB36" s="628">
        <f>CA36+CB35</f>
        <v/>
      </c>
      <c r="CC36" s="628">
        <f>CB36+CC35</f>
        <v/>
      </c>
      <c r="CD36" s="628">
        <f>CC36+CD35</f>
        <v/>
      </c>
      <c r="CE36" s="628">
        <f>CD36+CE35</f>
        <v/>
      </c>
      <c r="CF36" s="628">
        <f>CE36+CF35</f>
        <v/>
      </c>
      <c r="CG36" s="628">
        <f>CF36+CG35</f>
        <v/>
      </c>
      <c r="CH36" s="628">
        <f>CG36+CH35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  <c r="AL37" s="382" t="n"/>
      <c r="AM37" s="382" t="n"/>
      <c r="AN37" s="382" t="n"/>
      <c r="AO37" s="382" t="n"/>
      <c r="AP37" s="382" t="n"/>
      <c r="AQ37" s="382" t="n"/>
      <c r="AR37" s="382" t="n"/>
      <c r="AS37" s="382" t="n"/>
      <c r="AT37" s="382" t="n"/>
      <c r="AU37" s="382" t="n"/>
      <c r="AV37" s="382" t="n"/>
      <c r="AW37" s="382" t="n"/>
      <c r="AX37" s="382" t="n"/>
      <c r="AY37" s="382" t="n"/>
      <c r="AZ37" s="382" t="n"/>
      <c r="BA37" s="382" t="n"/>
      <c r="BB37" s="382" t="n"/>
      <c r="BC37" s="382" t="n"/>
      <c r="BD37" s="382" t="n"/>
      <c r="BE37" s="382" t="n"/>
      <c r="BF37" s="382" t="n"/>
      <c r="BG37" s="382" t="n"/>
      <c r="BH37" s="382" t="n"/>
      <c r="BI37" s="382" t="n"/>
      <c r="BJ37" s="382" t="n"/>
      <c r="BK37" s="382" t="n"/>
      <c r="BL37" s="382" t="n"/>
      <c r="BM37" s="382" t="n"/>
      <c r="BN37" s="382" t="n"/>
      <c r="BO37" s="382" t="n"/>
      <c r="BP37" s="382" t="n"/>
      <c r="BQ37" s="382" t="n"/>
      <c r="BR37" s="382" t="n"/>
      <c r="BS37" s="382" t="n"/>
      <c r="BT37" s="382" t="n"/>
      <c r="BU37" s="382" t="n"/>
      <c r="BV37" s="382" t="n"/>
      <c r="BW37" s="382" t="n"/>
      <c r="BX37" s="382" t="n"/>
      <c r="BY37" s="382" t="n"/>
      <c r="BZ37" s="382" t="n"/>
      <c r="CA37" s="382" t="n"/>
      <c r="CB37" s="382" t="n"/>
      <c r="CC37" s="382" t="n"/>
      <c r="CD37" s="382" t="n"/>
      <c r="CE37" s="382" t="n"/>
      <c r="CF37" s="382" t="n"/>
      <c r="CG37" s="382" t="n"/>
      <c r="CH37" s="382" t="n"/>
    </row>
    <row r="38" ht="15" customFormat="1" customHeight="1" s="380">
      <c r="A38" s="402" t="inlineStr">
        <is>
          <t>3rd St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  <c r="AL38" s="402" t="n"/>
      <c r="AM38" s="402" t="n"/>
      <c r="AN38" s="402" t="n"/>
      <c r="AO38" s="402" t="n"/>
      <c r="AP38" s="402" t="n"/>
      <c r="AQ38" s="402" t="n"/>
      <c r="AR38" s="402" t="n"/>
      <c r="AS38" s="402" t="n"/>
      <c r="AT38" s="402" t="n"/>
      <c r="AU38" s="402" t="n"/>
      <c r="AV38" s="402" t="n"/>
      <c r="AW38" s="402" t="n"/>
      <c r="AX38" s="402" t="n"/>
      <c r="AY38" s="402" t="n"/>
      <c r="AZ38" s="402" t="n"/>
      <c r="BA38" s="402" t="n"/>
      <c r="BB38" s="402" t="n"/>
      <c r="BC38" s="402" t="n"/>
      <c r="BD38" s="402" t="n"/>
      <c r="BE38" s="402" t="n"/>
      <c r="BF38" s="402" t="n"/>
      <c r="BG38" s="402" t="n"/>
      <c r="BH38" s="402" t="n"/>
      <c r="BI38" s="402" t="n"/>
      <c r="BJ38" s="402" t="n"/>
      <c r="BK38" s="402" t="n"/>
      <c r="BL38" s="402" t="n"/>
      <c r="BM38" s="402" t="n"/>
      <c r="BN38" s="402" t="n"/>
      <c r="BO38" s="402" t="n"/>
      <c r="BP38" s="402" t="n"/>
      <c r="BQ38" s="402" t="n"/>
      <c r="BR38" s="402" t="n"/>
      <c r="BS38" s="402" t="n"/>
      <c r="BT38" s="402" t="n"/>
      <c r="BU38" s="402" t="n"/>
      <c r="BV38" s="402" t="n"/>
      <c r="BW38" s="402" t="n"/>
      <c r="BX38" s="402" t="n"/>
      <c r="BY38" s="402" t="n"/>
      <c r="BZ38" s="402" t="n"/>
      <c r="CA38" s="402" t="n"/>
      <c r="CB38" s="402" t="n"/>
      <c r="CC38" s="402" t="n"/>
      <c r="CD38" s="402" t="n"/>
      <c r="CE38" s="402" t="n"/>
      <c r="CF38" s="402" t="n"/>
      <c r="CG38" s="402" t="n"/>
      <c r="CH38" s="402" t="n"/>
    </row>
    <row r="39" ht="15" customFormat="1" customHeight="1" s="380">
      <c r="A39" s="458" t="inlineStr">
        <is>
          <t xml:space="preserve">  Revenue</t>
        </is>
      </c>
      <c r="B39" s="382" t="n"/>
      <c r="C39" s="625" t="n">
        <v>0</v>
      </c>
      <c r="D39" s="625" t="n">
        <v>0</v>
      </c>
      <c r="E39" s="625" t="n">
        <v>0</v>
      </c>
      <c r="F39" s="625" t="n">
        <v>0</v>
      </c>
      <c r="G39" s="625" t="n">
        <v>0</v>
      </c>
      <c r="H39" s="625" t="n">
        <v>0</v>
      </c>
      <c r="I39" s="625" t="n">
        <v>0</v>
      </c>
      <c r="J39" s="625" t="n">
        <v>0</v>
      </c>
      <c r="K39" s="625" t="n">
        <v>0</v>
      </c>
      <c r="L39" s="625" t="n">
        <v>0</v>
      </c>
      <c r="M39" s="625" t="n">
        <v>0</v>
      </c>
      <c r="N39" s="625" t="n">
        <v>0</v>
      </c>
      <c r="O39" s="625" t="n">
        <v>0</v>
      </c>
      <c r="P39" s="625" t="n">
        <v>0</v>
      </c>
      <c r="Q39" s="625" t="n">
        <v>0</v>
      </c>
      <c r="R39" s="625" t="n">
        <v>0</v>
      </c>
      <c r="S39" s="625" t="n">
        <v>0</v>
      </c>
      <c r="T39" s="625" t="n">
        <v>0</v>
      </c>
      <c r="U39" s="625" t="n">
        <v>0</v>
      </c>
      <c r="V39" s="625" t="n">
        <v>0</v>
      </c>
      <c r="W39" s="625" t="n">
        <v>0</v>
      </c>
      <c r="X39" s="625" t="n">
        <v>0</v>
      </c>
      <c r="Y39" s="625" t="n">
        <v>0</v>
      </c>
      <c r="Z39" s="625" t="n">
        <v>0</v>
      </c>
      <c r="AA39" s="625" t="n">
        <v>0</v>
      </c>
      <c r="AB39" s="625" t="n">
        <v>0</v>
      </c>
      <c r="AC39" s="625" t="n">
        <v>0</v>
      </c>
      <c r="AD39" s="625" t="n">
        <v>0</v>
      </c>
      <c r="AE39" s="625" t="n">
        <v>0</v>
      </c>
      <c r="AF39" s="625" t="n">
        <v>0</v>
      </c>
      <c r="AG39" s="625" t="n">
        <v>0</v>
      </c>
      <c r="AH39" s="625" t="n">
        <v>0</v>
      </c>
      <c r="AI39" s="625" t="n">
        <v>0</v>
      </c>
      <c r="AJ39" s="625" t="n">
        <v>0</v>
      </c>
      <c r="AK39" s="625" t="n">
        <v>0</v>
      </c>
      <c r="AL39" s="625" t="n">
        <v>0</v>
      </c>
      <c r="AM39" s="625" t="n">
        <v>0</v>
      </c>
      <c r="AN39" s="625" t="n">
        <v>0</v>
      </c>
      <c r="AO39" s="625" t="n">
        <v>0</v>
      </c>
      <c r="AP39" s="625" t="n">
        <v>0</v>
      </c>
      <c r="AQ39" s="625" t="n">
        <v>0</v>
      </c>
      <c r="AR39" s="625" t="n">
        <v>0</v>
      </c>
      <c r="AS39" s="625" t="n">
        <v>0</v>
      </c>
      <c r="AT39" s="625" t="n">
        <v>0</v>
      </c>
      <c r="AU39" s="625" t="n">
        <v>0</v>
      </c>
      <c r="AV39" s="625" t="n">
        <v>0</v>
      </c>
      <c r="AW39" s="625" t="n">
        <v>0</v>
      </c>
      <c r="AX39" s="625" t="n">
        <v>0</v>
      </c>
      <c r="AY39" s="625" t="n">
        <v>0</v>
      </c>
      <c r="AZ39" s="625" t="n">
        <v>0</v>
      </c>
      <c r="BA39" s="625" t="n">
        <v>0</v>
      </c>
      <c r="BB39" s="625" t="n">
        <v>0</v>
      </c>
      <c r="BC39" s="625" t="n">
        <v>0</v>
      </c>
      <c r="BD39" s="625" t="n">
        <v>0</v>
      </c>
      <c r="BE39" s="625" t="n">
        <v>0</v>
      </c>
      <c r="BF39" s="625" t="n">
        <v>0</v>
      </c>
      <c r="BG39" s="625" t="n">
        <v>0</v>
      </c>
      <c r="BH39" s="625" t="n">
        <v>0</v>
      </c>
      <c r="BI39" s="625" t="n">
        <v>0</v>
      </c>
      <c r="BJ39" s="625" t="n">
        <v>0</v>
      </c>
      <c r="BK39" s="625" t="n">
        <v>0</v>
      </c>
      <c r="BL39" s="625" t="n">
        <v>0</v>
      </c>
      <c r="BM39" s="625" t="n">
        <v>0</v>
      </c>
      <c r="BN39" s="625" t="n">
        <v>0</v>
      </c>
      <c r="BO39" s="625" t="n">
        <v>0</v>
      </c>
      <c r="BP39" s="625" t="n">
        <v>0</v>
      </c>
      <c r="BQ39" s="625" t="n">
        <v>0</v>
      </c>
      <c r="BR39" s="625" t="n">
        <v>0</v>
      </c>
      <c r="BS39" s="625" t="n">
        <v>0</v>
      </c>
      <c r="BT39" s="625" t="n">
        <v>0</v>
      </c>
      <c r="BU39" s="625" t="n">
        <v>0</v>
      </c>
      <c r="BV39" s="625" t="n">
        <v>0</v>
      </c>
      <c r="BW39" s="625" t="n">
        <v>0</v>
      </c>
      <c r="BX39" s="625" t="n">
        <v>0</v>
      </c>
      <c r="BY39" s="625" t="n">
        <v>0</v>
      </c>
      <c r="BZ39" s="625" t="n">
        <v>0</v>
      </c>
      <c r="CA39" s="625" t="n">
        <v>0</v>
      </c>
      <c r="CB39" s="625" t="n">
        <v>0</v>
      </c>
      <c r="CC39" s="625" t="n">
        <v>0</v>
      </c>
      <c r="CD39" s="625" t="n">
        <v>0</v>
      </c>
      <c r="CE39" s="625" t="n">
        <v>0</v>
      </c>
      <c r="CF39" s="625" t="n">
        <v>0</v>
      </c>
      <c r="CG39" s="625" t="n">
        <v>0</v>
      </c>
      <c r="CH39" s="625" t="n">
        <v>0</v>
      </c>
    </row>
    <row r="40" ht="15" customFormat="1" customHeight="1" s="380">
      <c r="A40" s="629" t="inlineStr">
        <is>
          <t xml:space="preserve">  Steyn Fees</t>
        </is>
      </c>
      <c r="B40" s="382" t="n"/>
      <c r="C40" s="630">
        <f>Model!E201</f>
        <v/>
      </c>
      <c r="D40" s="630">
        <f>Model!F201</f>
        <v/>
      </c>
      <c r="E40" s="630">
        <f>Model!G201</f>
        <v/>
      </c>
      <c r="F40" s="630">
        <f>Model!H201</f>
        <v/>
      </c>
      <c r="G40" s="630">
        <f>Model!I201</f>
        <v/>
      </c>
      <c r="H40" s="630">
        <f>Model!J201</f>
        <v/>
      </c>
      <c r="I40" s="630">
        <f>Model!K201</f>
        <v/>
      </c>
      <c r="J40" s="630">
        <f>Model!L201</f>
        <v/>
      </c>
      <c r="K40" s="630">
        <f>Model!M201</f>
        <v/>
      </c>
      <c r="L40" s="630">
        <f>Model!N201</f>
        <v/>
      </c>
      <c r="M40" s="630">
        <f>Model!O201</f>
        <v/>
      </c>
      <c r="N40" s="630">
        <f>Model!P201</f>
        <v/>
      </c>
      <c r="O40" s="630">
        <f>Model!Q201</f>
        <v/>
      </c>
      <c r="P40" s="630">
        <f>Model!R201</f>
        <v/>
      </c>
      <c r="Q40" s="630">
        <f>Model!S201</f>
        <v/>
      </c>
      <c r="R40" s="630">
        <f>Model!T201</f>
        <v/>
      </c>
      <c r="S40" s="630">
        <f>Model!U201</f>
        <v/>
      </c>
      <c r="T40" s="630">
        <f>Model!V201</f>
        <v/>
      </c>
      <c r="U40" s="630">
        <f>Model!W201</f>
        <v/>
      </c>
      <c r="V40" s="630">
        <f>Model!X201</f>
        <v/>
      </c>
      <c r="W40" s="630">
        <f>Model!Y201</f>
        <v/>
      </c>
      <c r="X40" s="630">
        <f>Model!Z201</f>
        <v/>
      </c>
      <c r="Y40" s="630">
        <f>Model!AA201</f>
        <v/>
      </c>
      <c r="Z40" s="630">
        <f>Model!AB201</f>
        <v/>
      </c>
      <c r="AA40" s="630">
        <f>Model!AC201</f>
        <v/>
      </c>
      <c r="AB40" s="630">
        <f>Model!AD201</f>
        <v/>
      </c>
      <c r="AC40" s="630">
        <f>Model!AE201</f>
        <v/>
      </c>
      <c r="AD40" s="630">
        <f>Model!AF201</f>
        <v/>
      </c>
      <c r="AE40" s="630">
        <f>Model!AG201</f>
        <v/>
      </c>
      <c r="AF40" s="630">
        <f>Model!AH201</f>
        <v/>
      </c>
      <c r="AG40" s="630">
        <f>Model!AI201</f>
        <v/>
      </c>
      <c r="AH40" s="630">
        <f>Model!AJ201</f>
        <v/>
      </c>
      <c r="AI40" s="630">
        <f>Model!AK201</f>
        <v/>
      </c>
      <c r="AJ40" s="630">
        <f>Model!AL201</f>
        <v/>
      </c>
      <c r="AK40" s="630">
        <f>Model!AM201</f>
        <v/>
      </c>
      <c r="AL40" s="630">
        <f>Model!AN201</f>
        <v/>
      </c>
      <c r="AM40" s="630">
        <f>Model!AO201</f>
        <v/>
      </c>
      <c r="AN40" s="630">
        <f>Model!AP201</f>
        <v/>
      </c>
      <c r="AO40" s="630">
        <f>Model!AQ201</f>
        <v/>
      </c>
      <c r="AP40" s="630">
        <f>Model!AR201</f>
        <v/>
      </c>
      <c r="AQ40" s="630">
        <f>Model!AS201</f>
        <v/>
      </c>
      <c r="AR40" s="630">
        <f>Model!AT201</f>
        <v/>
      </c>
      <c r="AS40" s="630">
        <f>Model!AU201</f>
        <v/>
      </c>
      <c r="AT40" s="630">
        <f>Model!AV201</f>
        <v/>
      </c>
      <c r="AU40" s="630">
        <f>Model!AW201</f>
        <v/>
      </c>
      <c r="AV40" s="630">
        <f>Model!AX201</f>
        <v/>
      </c>
      <c r="AW40" s="630">
        <f>Model!AY201</f>
        <v/>
      </c>
      <c r="AX40" s="630">
        <f>Model!AZ201</f>
        <v/>
      </c>
      <c r="AY40" s="630">
        <f>Model!BA201</f>
        <v/>
      </c>
      <c r="AZ40" s="630">
        <f>Model!BB201</f>
        <v/>
      </c>
      <c r="BA40" s="630">
        <f>Model!BC201</f>
        <v/>
      </c>
      <c r="BB40" s="630">
        <f>Model!BD201</f>
        <v/>
      </c>
      <c r="BC40" s="630">
        <f>Model!BE201</f>
        <v/>
      </c>
      <c r="BD40" s="630">
        <f>Model!BF201</f>
        <v/>
      </c>
      <c r="BE40" s="630">
        <f>Model!BG201</f>
        <v/>
      </c>
      <c r="BF40" s="630">
        <f>Model!BH201</f>
        <v/>
      </c>
      <c r="BG40" s="630">
        <f>Model!BI201</f>
        <v/>
      </c>
      <c r="BH40" s="630">
        <f>Model!BJ201</f>
        <v/>
      </c>
      <c r="BI40" s="630">
        <f>Model!BK201</f>
        <v/>
      </c>
      <c r="BJ40" s="630">
        <f>Model!BL201</f>
        <v/>
      </c>
      <c r="BK40" s="630">
        <f>Model!BM201</f>
        <v/>
      </c>
      <c r="BL40" s="630">
        <f>Model!BN201</f>
        <v/>
      </c>
      <c r="BM40" s="630">
        <f>Model!BO201</f>
        <v/>
      </c>
      <c r="BN40" s="630">
        <f>Model!BP201</f>
        <v/>
      </c>
      <c r="BO40" s="630">
        <f>Model!BQ201</f>
        <v/>
      </c>
      <c r="BP40" s="630">
        <f>Model!BR201</f>
        <v/>
      </c>
      <c r="BQ40" s="630">
        <f>Model!BS201</f>
        <v/>
      </c>
      <c r="BR40" s="630">
        <f>Model!BT201</f>
        <v/>
      </c>
      <c r="BS40" s="630">
        <f>Model!BU201</f>
        <v/>
      </c>
      <c r="BT40" s="630">
        <f>Model!BV201</f>
        <v/>
      </c>
      <c r="BU40" s="630">
        <f>Model!BW201</f>
        <v/>
      </c>
      <c r="BV40" s="630">
        <f>Model!BX201</f>
        <v/>
      </c>
      <c r="BW40" s="630">
        <f>Model!BY201</f>
        <v/>
      </c>
      <c r="BX40" s="630">
        <f>Model!BZ201</f>
        <v/>
      </c>
      <c r="BY40" s="630">
        <f>Model!CA201</f>
        <v/>
      </c>
      <c r="BZ40" s="630">
        <f>Model!CB201</f>
        <v/>
      </c>
      <c r="CA40" s="630">
        <f>Model!CC201</f>
        <v/>
      </c>
      <c r="CB40" s="630">
        <f>Model!CD201</f>
        <v/>
      </c>
      <c r="CC40" s="630">
        <f>Model!CE201</f>
        <v/>
      </c>
      <c r="CD40" s="630">
        <f>Model!CF201</f>
        <v/>
      </c>
      <c r="CE40" s="630">
        <f>Model!CG201</f>
        <v/>
      </c>
      <c r="CF40" s="630">
        <f>Model!CH201</f>
        <v/>
      </c>
      <c r="CG40" s="630">
        <f>Model!CI201</f>
        <v/>
      </c>
      <c r="CH40" s="630">
        <f>Model!CJ201</f>
        <v/>
      </c>
    </row>
    <row r="41" ht="15" customFormat="1" customHeight="1" s="380">
      <c r="A41" s="626" t="inlineStr">
        <is>
          <t xml:space="preserve">  Net to Six Peak</t>
        </is>
      </c>
      <c r="B41" s="626" t="n"/>
      <c r="C41" s="627">
        <f>C39+C40</f>
        <v/>
      </c>
      <c r="D41" s="627">
        <f>D39+D40</f>
        <v/>
      </c>
      <c r="E41" s="627">
        <f>E39+E40</f>
        <v/>
      </c>
      <c r="F41" s="627">
        <f>F39+F40</f>
        <v/>
      </c>
      <c r="G41" s="627">
        <f>G39+G40</f>
        <v/>
      </c>
      <c r="H41" s="627">
        <f>H39+H40</f>
        <v/>
      </c>
      <c r="I41" s="627">
        <f>I39+I40</f>
        <v/>
      </c>
      <c r="J41" s="627">
        <f>J39+J40</f>
        <v/>
      </c>
      <c r="K41" s="627">
        <f>K39+K40</f>
        <v/>
      </c>
      <c r="L41" s="627">
        <f>L39+L40</f>
        <v/>
      </c>
      <c r="M41" s="627">
        <f>M39+M40</f>
        <v/>
      </c>
      <c r="N41" s="627">
        <f>N39+N40</f>
        <v/>
      </c>
      <c r="O41" s="627">
        <f>O39+O40</f>
        <v/>
      </c>
      <c r="P41" s="627">
        <f>P39+P40</f>
        <v/>
      </c>
      <c r="Q41" s="627">
        <f>Q39+Q40</f>
        <v/>
      </c>
      <c r="R41" s="627">
        <f>R39+R40</f>
        <v/>
      </c>
      <c r="S41" s="627">
        <f>S39+S40</f>
        <v/>
      </c>
      <c r="T41" s="627">
        <f>T39+T40</f>
        <v/>
      </c>
      <c r="U41" s="627">
        <f>U39+U40</f>
        <v/>
      </c>
      <c r="V41" s="627">
        <f>V39+V40</f>
        <v/>
      </c>
      <c r="W41" s="627">
        <f>W39+W40</f>
        <v/>
      </c>
      <c r="X41" s="627">
        <f>X39+X40</f>
        <v/>
      </c>
      <c r="Y41" s="627">
        <f>Y39+Y40</f>
        <v/>
      </c>
      <c r="Z41" s="627">
        <f>Z39+Z40</f>
        <v/>
      </c>
      <c r="AA41" s="627">
        <f>AA39+AA40</f>
        <v/>
      </c>
      <c r="AB41" s="627">
        <f>AB39+AB40</f>
        <v/>
      </c>
      <c r="AC41" s="627">
        <f>AC39+AC40</f>
        <v/>
      </c>
      <c r="AD41" s="627">
        <f>AD39+AD40</f>
        <v/>
      </c>
      <c r="AE41" s="627">
        <f>AE39+AE40</f>
        <v/>
      </c>
      <c r="AF41" s="627">
        <f>AF39+AF40</f>
        <v/>
      </c>
      <c r="AG41" s="627">
        <f>AG39+AG40</f>
        <v/>
      </c>
      <c r="AH41" s="627">
        <f>AH39+AH40</f>
        <v/>
      </c>
      <c r="AI41" s="627">
        <f>AI39+AI40</f>
        <v/>
      </c>
      <c r="AJ41" s="627">
        <f>AJ39+AJ40</f>
        <v/>
      </c>
      <c r="AK41" s="627">
        <f>AK39+AK40</f>
        <v/>
      </c>
      <c r="AL41" s="627">
        <f>AL39+AL40</f>
        <v/>
      </c>
      <c r="AM41" s="627">
        <f>AM39+AM40</f>
        <v/>
      </c>
      <c r="AN41" s="627">
        <f>AN39+AN40</f>
        <v/>
      </c>
      <c r="AO41" s="627">
        <f>AO39+AO40</f>
        <v/>
      </c>
      <c r="AP41" s="627">
        <f>AP39+AP40</f>
        <v/>
      </c>
      <c r="AQ41" s="627">
        <f>AQ39+AQ40</f>
        <v/>
      </c>
      <c r="AR41" s="627">
        <f>AR39+AR40</f>
        <v/>
      </c>
      <c r="AS41" s="627">
        <f>AS39+AS40</f>
        <v/>
      </c>
      <c r="AT41" s="627">
        <f>AT39+AT40</f>
        <v/>
      </c>
      <c r="AU41" s="627">
        <f>AU39+AU40</f>
        <v/>
      </c>
      <c r="AV41" s="627">
        <f>AV39+AV40</f>
        <v/>
      </c>
      <c r="AW41" s="627">
        <f>AW39+AW40</f>
        <v/>
      </c>
      <c r="AX41" s="627">
        <f>AX39+AX40</f>
        <v/>
      </c>
      <c r="AY41" s="627">
        <f>AY39+AY40</f>
        <v/>
      </c>
      <c r="AZ41" s="627">
        <f>AZ39+AZ40</f>
        <v/>
      </c>
      <c r="BA41" s="627">
        <f>BA39+BA40</f>
        <v/>
      </c>
      <c r="BB41" s="627">
        <f>BB39+BB40</f>
        <v/>
      </c>
      <c r="BC41" s="627">
        <f>BC39+BC40</f>
        <v/>
      </c>
      <c r="BD41" s="627">
        <f>BD39+BD40</f>
        <v/>
      </c>
      <c r="BE41" s="627">
        <f>BE39+BE40</f>
        <v/>
      </c>
      <c r="BF41" s="627">
        <f>BF39+BF40</f>
        <v/>
      </c>
      <c r="BG41" s="627">
        <f>BG39+BG40</f>
        <v/>
      </c>
      <c r="BH41" s="627">
        <f>BH39+BH40</f>
        <v/>
      </c>
      <c r="BI41" s="627">
        <f>BI39+BI40</f>
        <v/>
      </c>
      <c r="BJ41" s="627">
        <f>BJ39+BJ40</f>
        <v/>
      </c>
      <c r="BK41" s="627">
        <f>BK39+BK40</f>
        <v/>
      </c>
      <c r="BL41" s="627">
        <f>BL39+BL40</f>
        <v/>
      </c>
      <c r="BM41" s="627">
        <f>BM39+BM40</f>
        <v/>
      </c>
      <c r="BN41" s="627">
        <f>BN39+BN40</f>
        <v/>
      </c>
      <c r="BO41" s="627">
        <f>BO39+BO40</f>
        <v/>
      </c>
      <c r="BP41" s="627">
        <f>BP39+BP40</f>
        <v/>
      </c>
      <c r="BQ41" s="627">
        <f>BQ39+BQ40</f>
        <v/>
      </c>
      <c r="BR41" s="627">
        <f>BR39+BR40</f>
        <v/>
      </c>
      <c r="BS41" s="627">
        <f>BS39+BS40</f>
        <v/>
      </c>
      <c r="BT41" s="627">
        <f>BT39+BT40</f>
        <v/>
      </c>
      <c r="BU41" s="627">
        <f>BU39+BU40</f>
        <v/>
      </c>
      <c r="BV41" s="627">
        <f>BV39+BV40</f>
        <v/>
      </c>
      <c r="BW41" s="627">
        <f>BW39+BW40</f>
        <v/>
      </c>
      <c r="BX41" s="627">
        <f>BX39+BX40</f>
        <v/>
      </c>
      <c r="BY41" s="627">
        <f>BY39+BY40</f>
        <v/>
      </c>
      <c r="BZ41" s="627">
        <f>BZ39+BZ40</f>
        <v/>
      </c>
      <c r="CA41" s="627">
        <f>CA39+CA40</f>
        <v/>
      </c>
      <c r="CB41" s="627">
        <f>CB39+CB40</f>
        <v/>
      </c>
      <c r="CC41" s="627">
        <f>CC39+CC40</f>
        <v/>
      </c>
      <c r="CD41" s="627">
        <f>CD39+CD40</f>
        <v/>
      </c>
      <c r="CE41" s="627">
        <f>CE39+CE40</f>
        <v/>
      </c>
      <c r="CF41" s="627">
        <f>CF39+CF40</f>
        <v/>
      </c>
      <c r="CG41" s="627">
        <f>CG39+CG40</f>
        <v/>
      </c>
      <c r="CH41" s="627">
        <f>CH39+CH40</f>
        <v/>
      </c>
    </row>
    <row r="42" ht="15" customFormat="1" customHeight="1" s="380">
      <c r="A42" s="381" t="inlineStr">
        <is>
          <t xml:space="preserve">  Cumulative Net</t>
        </is>
      </c>
      <c r="B42" s="382" t="n"/>
      <c r="C42" s="628">
        <f>C41</f>
        <v/>
      </c>
      <c r="D42" s="628">
        <f>C42+D41</f>
        <v/>
      </c>
      <c r="E42" s="628">
        <f>D42+E41</f>
        <v/>
      </c>
      <c r="F42" s="628">
        <f>E42+F41</f>
        <v/>
      </c>
      <c r="G42" s="628">
        <f>F42+G41</f>
        <v/>
      </c>
      <c r="H42" s="628">
        <f>G42+H41</f>
        <v/>
      </c>
      <c r="I42" s="628">
        <f>H42+I41</f>
        <v/>
      </c>
      <c r="J42" s="628">
        <f>I42+J41</f>
        <v/>
      </c>
      <c r="K42" s="628">
        <f>J42+K41</f>
        <v/>
      </c>
      <c r="L42" s="628">
        <f>K42+L41</f>
        <v/>
      </c>
      <c r="M42" s="628">
        <f>L42+M41</f>
        <v/>
      </c>
      <c r="N42" s="628">
        <f>M42+N41</f>
        <v/>
      </c>
      <c r="O42" s="628">
        <f>N42+O41</f>
        <v/>
      </c>
      <c r="P42" s="628">
        <f>O42+P41</f>
        <v/>
      </c>
      <c r="Q42" s="628">
        <f>P42+Q41</f>
        <v/>
      </c>
      <c r="R42" s="628">
        <f>Q42+R41</f>
        <v/>
      </c>
      <c r="S42" s="628">
        <f>R42+S41</f>
        <v/>
      </c>
      <c r="T42" s="628">
        <f>S42+T41</f>
        <v/>
      </c>
      <c r="U42" s="628">
        <f>T42+U41</f>
        <v/>
      </c>
      <c r="V42" s="628">
        <f>U42+V41</f>
        <v/>
      </c>
      <c r="W42" s="628">
        <f>V42+W41</f>
        <v/>
      </c>
      <c r="X42" s="628">
        <f>W42+X41</f>
        <v/>
      </c>
      <c r="Y42" s="628">
        <f>X42+Y41</f>
        <v/>
      </c>
      <c r="Z42" s="628">
        <f>Y42+Z41</f>
        <v/>
      </c>
      <c r="AA42" s="628">
        <f>Z42+AA41</f>
        <v/>
      </c>
      <c r="AB42" s="628">
        <f>AA42+AB41</f>
        <v/>
      </c>
      <c r="AC42" s="628">
        <f>AB42+AC41</f>
        <v/>
      </c>
      <c r="AD42" s="628">
        <f>AC42+AD41</f>
        <v/>
      </c>
      <c r="AE42" s="628">
        <f>AD42+AE41</f>
        <v/>
      </c>
      <c r="AF42" s="628">
        <f>AE42+AF41</f>
        <v/>
      </c>
      <c r="AG42" s="628">
        <f>AF42+AG41</f>
        <v/>
      </c>
      <c r="AH42" s="628">
        <f>AG42+AH41</f>
        <v/>
      </c>
      <c r="AI42" s="628">
        <f>AH42+AI41</f>
        <v/>
      </c>
      <c r="AJ42" s="628">
        <f>AI42+AJ41</f>
        <v/>
      </c>
      <c r="AK42" s="628">
        <f>AJ42+AK41</f>
        <v/>
      </c>
      <c r="AL42" s="628">
        <f>AK42+AL41</f>
        <v/>
      </c>
      <c r="AM42" s="628">
        <f>AL42+AM41</f>
        <v/>
      </c>
      <c r="AN42" s="628">
        <f>AM42+AN41</f>
        <v/>
      </c>
      <c r="AO42" s="628">
        <f>AN42+AO41</f>
        <v/>
      </c>
      <c r="AP42" s="628">
        <f>AO42+AP41</f>
        <v/>
      </c>
      <c r="AQ42" s="628">
        <f>AP42+AQ41</f>
        <v/>
      </c>
      <c r="AR42" s="628">
        <f>AQ42+AR41</f>
        <v/>
      </c>
      <c r="AS42" s="628">
        <f>AR42+AS41</f>
        <v/>
      </c>
      <c r="AT42" s="628">
        <f>AS42+AT41</f>
        <v/>
      </c>
      <c r="AU42" s="628">
        <f>AT42+AU41</f>
        <v/>
      </c>
      <c r="AV42" s="628">
        <f>AU42+AV41</f>
        <v/>
      </c>
      <c r="AW42" s="628">
        <f>AV42+AW41</f>
        <v/>
      </c>
      <c r="AX42" s="628">
        <f>AW42+AX41</f>
        <v/>
      </c>
      <c r="AY42" s="628">
        <f>AX42+AY41</f>
        <v/>
      </c>
      <c r="AZ42" s="628">
        <f>AY42+AZ41</f>
        <v/>
      </c>
      <c r="BA42" s="628">
        <f>AZ42+BA41</f>
        <v/>
      </c>
      <c r="BB42" s="628">
        <f>BA42+BB41</f>
        <v/>
      </c>
      <c r="BC42" s="628">
        <f>BB42+BC41</f>
        <v/>
      </c>
      <c r="BD42" s="628">
        <f>BC42+BD41</f>
        <v/>
      </c>
      <c r="BE42" s="628">
        <f>BD42+BE41</f>
        <v/>
      </c>
      <c r="BF42" s="628">
        <f>BE42+BF41</f>
        <v/>
      </c>
      <c r="BG42" s="628">
        <f>BF42+BG41</f>
        <v/>
      </c>
      <c r="BH42" s="628">
        <f>BG42+BH41</f>
        <v/>
      </c>
      <c r="BI42" s="628">
        <f>BH42+BI41</f>
        <v/>
      </c>
      <c r="BJ42" s="628">
        <f>BI42+BJ41</f>
        <v/>
      </c>
      <c r="BK42" s="628">
        <f>BJ42+BK41</f>
        <v/>
      </c>
      <c r="BL42" s="628">
        <f>BK42+BL41</f>
        <v/>
      </c>
      <c r="BM42" s="628">
        <f>BL42+BM41</f>
        <v/>
      </c>
      <c r="BN42" s="628">
        <f>BM42+BN41</f>
        <v/>
      </c>
      <c r="BO42" s="628">
        <f>BN42+BO41</f>
        <v/>
      </c>
      <c r="BP42" s="628">
        <f>BO42+BP41</f>
        <v/>
      </c>
      <c r="BQ42" s="628">
        <f>BP42+BQ41</f>
        <v/>
      </c>
      <c r="BR42" s="628">
        <f>BQ42+BR41</f>
        <v/>
      </c>
      <c r="BS42" s="628">
        <f>BR42+BS41</f>
        <v/>
      </c>
      <c r="BT42" s="628">
        <f>BS42+BT41</f>
        <v/>
      </c>
      <c r="BU42" s="628">
        <f>BT42+BU41</f>
        <v/>
      </c>
      <c r="BV42" s="628">
        <f>BU42+BV41</f>
        <v/>
      </c>
      <c r="BW42" s="628">
        <f>BV42+BW41</f>
        <v/>
      </c>
      <c r="BX42" s="628">
        <f>BW42+BX41</f>
        <v/>
      </c>
      <c r="BY42" s="628">
        <f>BX42+BY41</f>
        <v/>
      </c>
      <c r="BZ42" s="628">
        <f>BY42+BZ41</f>
        <v/>
      </c>
      <c r="CA42" s="628">
        <f>BZ42+CA41</f>
        <v/>
      </c>
      <c r="CB42" s="628">
        <f>CA42+CB41</f>
        <v/>
      </c>
      <c r="CC42" s="628">
        <f>CB42+CC41</f>
        <v/>
      </c>
      <c r="CD42" s="628">
        <f>CC42+CD41</f>
        <v/>
      </c>
      <c r="CE42" s="628">
        <f>CD42+CE41</f>
        <v/>
      </c>
      <c r="CF42" s="628">
        <f>CE42+CF41</f>
        <v/>
      </c>
      <c r="CG42" s="628">
        <f>CF42+CG41</f>
        <v/>
      </c>
      <c r="CH42" s="628">
        <f>CG42+CH41</f>
        <v/>
      </c>
    </row>
    <row r="43" ht="15" customFormat="1" customHeight="1" s="380">
      <c r="A43" s="382" t="n"/>
      <c r="B43" s="382" t="n"/>
      <c r="C43" s="382" t="n"/>
      <c r="D43" s="382" t="n"/>
      <c r="E43" s="382" t="n"/>
      <c r="F43" s="382" t="n"/>
      <c r="G43" s="382" t="n"/>
      <c r="H43" s="382" t="n"/>
      <c r="I43" s="382" t="n"/>
      <c r="J43" s="382" t="n"/>
      <c r="K43" s="382" t="n"/>
      <c r="L43" s="382" t="n"/>
      <c r="M43" s="382" t="n"/>
      <c r="N43" s="382" t="n"/>
      <c r="O43" s="382" t="n"/>
      <c r="P43" s="382" t="n"/>
      <c r="Q43" s="382" t="n"/>
      <c r="R43" s="382" t="n"/>
      <c r="S43" s="382" t="n"/>
      <c r="T43" s="382" t="n"/>
      <c r="U43" s="382" t="n"/>
      <c r="V43" s="382" t="n"/>
      <c r="W43" s="382" t="n"/>
      <c r="X43" s="382" t="n"/>
      <c r="Y43" s="382" t="n"/>
      <c r="Z43" s="382" t="n"/>
      <c r="AA43" s="382" t="n"/>
      <c r="AB43" s="382" t="n"/>
      <c r="AC43" s="382" t="n"/>
      <c r="AD43" s="382" t="n"/>
      <c r="AE43" s="382" t="n"/>
      <c r="AF43" s="382" t="n"/>
      <c r="AG43" s="382" t="n"/>
      <c r="AH43" s="382" t="n"/>
      <c r="AI43" s="382" t="n"/>
      <c r="AJ43" s="382" t="n"/>
      <c r="AK43" s="382" t="n"/>
      <c r="AL43" s="382" t="n"/>
      <c r="AM43" s="382" t="n"/>
      <c r="AN43" s="382" t="n"/>
      <c r="AO43" s="382" t="n"/>
      <c r="AP43" s="382" t="n"/>
      <c r="AQ43" s="382" t="n"/>
      <c r="AR43" s="382" t="n"/>
      <c r="AS43" s="382" t="n"/>
      <c r="AT43" s="382" t="n"/>
      <c r="AU43" s="382" t="n"/>
      <c r="AV43" s="382" t="n"/>
      <c r="AW43" s="382" t="n"/>
      <c r="AX43" s="382" t="n"/>
      <c r="AY43" s="382" t="n"/>
      <c r="AZ43" s="382" t="n"/>
      <c r="BA43" s="382" t="n"/>
      <c r="BB43" s="382" t="n"/>
      <c r="BC43" s="382" t="n"/>
      <c r="BD43" s="382" t="n"/>
      <c r="BE43" s="382" t="n"/>
      <c r="BF43" s="382" t="n"/>
      <c r="BG43" s="382" t="n"/>
      <c r="BH43" s="382" t="n"/>
      <c r="BI43" s="382" t="n"/>
      <c r="BJ43" s="382" t="n"/>
      <c r="BK43" s="382" t="n"/>
      <c r="BL43" s="382" t="n"/>
      <c r="BM43" s="382" t="n"/>
      <c r="BN43" s="382" t="n"/>
      <c r="BO43" s="382" t="n"/>
      <c r="BP43" s="382" t="n"/>
      <c r="BQ43" s="382" t="n"/>
      <c r="BR43" s="382" t="n"/>
      <c r="BS43" s="382" t="n"/>
      <c r="BT43" s="382" t="n"/>
      <c r="BU43" s="382" t="n"/>
      <c r="BV43" s="382" t="n"/>
      <c r="BW43" s="382" t="n"/>
      <c r="BX43" s="382" t="n"/>
      <c r="BY43" s="382" t="n"/>
      <c r="BZ43" s="382" t="n"/>
      <c r="CA43" s="382" t="n"/>
      <c r="CB43" s="382" t="n"/>
      <c r="CC43" s="382" t="n"/>
      <c r="CD43" s="382" t="n"/>
      <c r="CE43" s="382" t="n"/>
      <c r="CF43" s="382" t="n"/>
      <c r="CG43" s="382" t="n"/>
      <c r="CH43" s="382" t="n"/>
    </row>
    <row r="44" ht="27.75" customFormat="1" customHeight="1" s="380">
      <c r="A44" s="424" t="inlineStr">
        <is>
          <t>ALL GC + DEVELOPER DEALS</t>
        </is>
      </c>
      <c r="B44" s="424" t="n"/>
      <c r="C44" s="424" t="n"/>
      <c r="D44" s="424" t="n"/>
      <c r="E44" s="424" t="n"/>
      <c r="F44" s="424" t="n"/>
      <c r="G44" s="424" t="n"/>
      <c r="H44" s="424" t="n"/>
      <c r="I44" s="424" t="n"/>
      <c r="J44" s="424" t="n"/>
      <c r="K44" s="424" t="n"/>
      <c r="L44" s="424" t="n"/>
      <c r="M44" s="424" t="n"/>
      <c r="N44" s="424" t="n"/>
      <c r="O44" s="424" t="n"/>
      <c r="P44" s="424" t="n"/>
      <c r="Q44" s="424" t="n"/>
      <c r="R44" s="424" t="n"/>
      <c r="S44" s="424" t="n"/>
      <c r="T44" s="424" t="n"/>
      <c r="U44" s="424" t="n"/>
      <c r="V44" s="424" t="n"/>
      <c r="W44" s="424" t="n"/>
      <c r="X44" s="424" t="n"/>
      <c r="Y44" s="424" t="n"/>
      <c r="Z44" s="424" t="n"/>
      <c r="AA44" s="424" t="n"/>
      <c r="AB44" s="424" t="n"/>
      <c r="AC44" s="424" t="n"/>
      <c r="AD44" s="424" t="n"/>
      <c r="AE44" s="424" t="n"/>
      <c r="AF44" s="424" t="n"/>
      <c r="AG44" s="424" t="n"/>
      <c r="AH44" s="424" t="n"/>
      <c r="AI44" s="424" t="n"/>
      <c r="AJ44" s="424" t="n"/>
      <c r="AK44" s="424" t="n"/>
      <c r="AL44" s="424" t="n"/>
      <c r="AM44" s="424" t="n"/>
      <c r="AN44" s="424" t="n"/>
      <c r="AO44" s="424" t="n"/>
      <c r="AP44" s="424" t="n"/>
      <c r="AQ44" s="424" t="n"/>
      <c r="AR44" s="424" t="n"/>
      <c r="AS44" s="424" t="n"/>
      <c r="AT44" s="424" t="n"/>
      <c r="AU44" s="424" t="n"/>
      <c r="AV44" s="424" t="n"/>
      <c r="AW44" s="424" t="n"/>
      <c r="AX44" s="424" t="n"/>
      <c r="AY44" s="424" t="n"/>
      <c r="AZ44" s="424" t="n"/>
      <c r="BA44" s="424" t="n"/>
      <c r="BB44" s="424" t="n"/>
      <c r="BC44" s="424" t="n"/>
      <c r="BD44" s="424" t="n"/>
      <c r="BE44" s="424" t="n"/>
      <c r="BF44" s="424" t="n"/>
      <c r="BG44" s="424" t="n"/>
      <c r="BH44" s="424" t="n"/>
      <c r="BI44" s="424" t="n"/>
      <c r="BJ44" s="424" t="n"/>
      <c r="BK44" s="424" t="n"/>
      <c r="BL44" s="424" t="n"/>
      <c r="BM44" s="424" t="n"/>
      <c r="BN44" s="424" t="n"/>
      <c r="BO44" s="424" t="n"/>
      <c r="BP44" s="424" t="n"/>
      <c r="BQ44" s="424" t="n"/>
      <c r="BR44" s="424" t="n"/>
      <c r="BS44" s="424" t="n"/>
      <c r="BT44" s="424" t="n"/>
      <c r="BU44" s="424" t="n"/>
      <c r="BV44" s="424" t="n"/>
      <c r="BW44" s="424" t="n"/>
      <c r="BX44" s="424" t="n"/>
      <c r="BY44" s="424" t="n"/>
      <c r="BZ44" s="424" t="n"/>
      <c r="CA44" s="424" t="n"/>
      <c r="CB44" s="424" t="n"/>
      <c r="CC44" s="424" t="n"/>
      <c r="CD44" s="424" t="n"/>
      <c r="CE44" s="424" t="n"/>
      <c r="CF44" s="424" t="n"/>
      <c r="CG44" s="424" t="n"/>
      <c r="CH44" s="424" t="n"/>
    </row>
    <row r="45" ht="15" customFormat="1" customHeight="1" s="380">
      <c r="A45" s="626" t="inlineStr">
        <is>
          <t>Total Net to Six Peak</t>
        </is>
      </c>
      <c r="B45" s="626" t="n"/>
      <c r="C45" s="627">
        <f>C5+C10+C16+C22+C28+C35+C41</f>
        <v/>
      </c>
      <c r="D45" s="627">
        <f>D5+D10+D16+D22+D28+D35+D41</f>
        <v/>
      </c>
      <c r="E45" s="627">
        <f>E5+E10+E16+E22+E28+E35+E41</f>
        <v/>
      </c>
      <c r="F45" s="627">
        <f>F5+F10+F16+F22+F28+F35+F41</f>
        <v/>
      </c>
      <c r="G45" s="627">
        <f>G5+G10+G16+G22+G28+G35+G41</f>
        <v/>
      </c>
      <c r="H45" s="627">
        <f>H5+H10+H16+H22+H28+H35+H41</f>
        <v/>
      </c>
      <c r="I45" s="627">
        <f>I5+I10+I16+I22+I28+I35+I41</f>
        <v/>
      </c>
      <c r="J45" s="627">
        <f>J5+J10+J16+J22+J28+J35+J41</f>
        <v/>
      </c>
      <c r="K45" s="627">
        <f>K5+K10+K16+K22+K28+K35+K41</f>
        <v/>
      </c>
      <c r="L45" s="627">
        <f>L5+L10+L16+L22+L28+L35+L41</f>
        <v/>
      </c>
      <c r="M45" s="627">
        <f>M5+M10+M16+M22+M28+M35+M41</f>
        <v/>
      </c>
      <c r="N45" s="627">
        <f>N5+N10+N16+N22+N28+N35+N41</f>
        <v/>
      </c>
      <c r="O45" s="627">
        <f>O5+O10+O16+O22+O28+O35+O41</f>
        <v/>
      </c>
      <c r="P45" s="627">
        <f>P5+P10+P16+P22+P28+P35+P41</f>
        <v/>
      </c>
      <c r="Q45" s="627">
        <f>Q5+Q10+Q16+Q22+Q28+Q35+Q41</f>
        <v/>
      </c>
      <c r="R45" s="627">
        <f>R5+R10+R16+R22+R28+R35+R41</f>
        <v/>
      </c>
      <c r="S45" s="627">
        <f>S5+S10+S16+S22+S28+S35+S41</f>
        <v/>
      </c>
      <c r="T45" s="627">
        <f>T5+T10+T16+T22+T28+T35+T41</f>
        <v/>
      </c>
      <c r="U45" s="627">
        <f>U5+U10+U16+U22+U28+U35+U41</f>
        <v/>
      </c>
      <c r="V45" s="627">
        <f>V5+V10+V16+V22+V28+V35+V41</f>
        <v/>
      </c>
      <c r="W45" s="627">
        <f>W5+W10+W16+W22+W28+W35+W41</f>
        <v/>
      </c>
      <c r="X45" s="627">
        <f>X5+X10+X16+X22+X28+X35+X41</f>
        <v/>
      </c>
      <c r="Y45" s="627">
        <f>Y5+Y10+Y16+Y22+Y28+Y35+Y41</f>
        <v/>
      </c>
      <c r="Z45" s="627">
        <f>Z5+Z10+Z16+Z22+Z28+Z35+Z41</f>
        <v/>
      </c>
      <c r="AA45" s="627">
        <f>AA5+AA10+AA16+AA22+AA28+AA35+AA41</f>
        <v/>
      </c>
      <c r="AB45" s="627">
        <f>AB5+AB10+AB16+AB22+AB28+AB35+AB41</f>
        <v/>
      </c>
      <c r="AC45" s="627">
        <f>AC5+AC10+AC16+AC22+AC28+AC35+AC41</f>
        <v/>
      </c>
      <c r="AD45" s="627">
        <f>AD5+AD10+AD16+AD22+AD28+AD35+AD41</f>
        <v/>
      </c>
      <c r="AE45" s="627">
        <f>AE5+AE10+AE16+AE22+AE28+AE35+AE41</f>
        <v/>
      </c>
      <c r="AF45" s="627">
        <f>AF5+AF10+AF16+AF22+AF28+AF35+AF41</f>
        <v/>
      </c>
      <c r="AG45" s="627">
        <f>AG5+AG10+AG16+AG22+AG28+AG35+AG41</f>
        <v/>
      </c>
      <c r="AH45" s="627">
        <f>AH5+AH10+AH16+AH22+AH28+AH35+AH41</f>
        <v/>
      </c>
      <c r="AI45" s="627">
        <f>AI5+AI10+AI16+AI22+AI28+AI35+AI41</f>
        <v/>
      </c>
      <c r="AJ45" s="627">
        <f>AJ5+AJ10+AJ16+AJ22+AJ28+AJ35+AJ41</f>
        <v/>
      </c>
      <c r="AK45" s="627">
        <f>AK5+AK10+AK16+AK22+AK28+AK35+AK41</f>
        <v/>
      </c>
      <c r="AL45" s="627">
        <f>AL5+AL10+AL16+AL22+AL28+AL35+AL41</f>
        <v/>
      </c>
      <c r="AM45" s="627">
        <f>AM5+AM10+AM16+AM22+AM28+AM35+AM41</f>
        <v/>
      </c>
      <c r="AN45" s="627">
        <f>AN5+AN10+AN16+AN22+AN28+AN35+AN41</f>
        <v/>
      </c>
      <c r="AO45" s="627">
        <f>AO5+AO10+AO16+AO22+AO28+AO35+AO41</f>
        <v/>
      </c>
      <c r="AP45" s="627">
        <f>AP5+AP10+AP16+AP22+AP28+AP35+AP41</f>
        <v/>
      </c>
      <c r="AQ45" s="627">
        <f>AQ5+AQ10+AQ16+AQ22+AQ28+AQ35+AQ41</f>
        <v/>
      </c>
      <c r="AR45" s="627">
        <f>AR5+AR10+AR16+AR22+AR28+AR35+AR41</f>
        <v/>
      </c>
      <c r="AS45" s="627">
        <f>AS5+AS10+AS16+AS22+AS28+AS35+AS41</f>
        <v/>
      </c>
      <c r="AT45" s="627">
        <f>AT5+AT10+AT16+AT22+AT28+AT35+AT41</f>
        <v/>
      </c>
      <c r="AU45" s="627">
        <f>AU5+AU10+AU16+AU22+AU28+AU35+AU41</f>
        <v/>
      </c>
      <c r="AV45" s="627">
        <f>AV5+AV10+AV16+AV22+AV28+AV35+AV41</f>
        <v/>
      </c>
      <c r="AW45" s="627">
        <f>AW5+AW10+AW16+AW22+AW28+AW35+AW41</f>
        <v/>
      </c>
      <c r="AX45" s="627">
        <f>AX5+AX10+AX16+AX22+AX28+AX35+AX41</f>
        <v/>
      </c>
      <c r="AY45" s="627">
        <f>AY5+AY10+AY16+AY22+AY28+AY35+AY41</f>
        <v/>
      </c>
      <c r="AZ45" s="627">
        <f>AZ5+AZ10+AZ16+AZ22+AZ28+AZ35+AZ41</f>
        <v/>
      </c>
      <c r="BA45" s="627">
        <f>BA5+BA10+BA16+BA22+BA28+BA35+BA41</f>
        <v/>
      </c>
      <c r="BB45" s="627">
        <f>BB5+BB10+BB16+BB22+BB28+BB35+BB41</f>
        <v/>
      </c>
      <c r="BC45" s="627">
        <f>BC5+BC10+BC16+BC22+BC28+BC35+BC41</f>
        <v/>
      </c>
      <c r="BD45" s="627">
        <f>BD5+BD10+BD16+BD22+BD28+BD35+BD41</f>
        <v/>
      </c>
      <c r="BE45" s="627">
        <f>BE5+BE10+BE16+BE22+BE28+BE35+BE41</f>
        <v/>
      </c>
      <c r="BF45" s="627">
        <f>BF5+BF10+BF16+BF22+BF28+BF35+BF41</f>
        <v/>
      </c>
      <c r="BG45" s="627">
        <f>BG5+BG10+BG16+BG22+BG28+BG35+BG41</f>
        <v/>
      </c>
      <c r="BH45" s="627">
        <f>BH5+BH10+BH16+BH22+BH28+BH35+BH41</f>
        <v/>
      </c>
      <c r="BI45" s="627">
        <f>BI5+BI10+BI16+BI22+BI28+BI35+BI41</f>
        <v/>
      </c>
      <c r="BJ45" s="627">
        <f>BJ5+BJ10+BJ16+BJ22+BJ28+BJ35+BJ41</f>
        <v/>
      </c>
      <c r="BK45" s="627">
        <f>BK5+BK10+BK16+BK22+BK28+BK35+BK41</f>
        <v/>
      </c>
      <c r="BL45" s="627">
        <f>BL5+BL10+BL16+BL22+BL28+BL35+BL41</f>
        <v/>
      </c>
      <c r="BM45" s="627">
        <f>BM5+BM10+BM16+BM22+BM28+BM35+BM41</f>
        <v/>
      </c>
      <c r="BN45" s="627">
        <f>BN5+BN10+BN16+BN22+BN28+BN35+BN41</f>
        <v/>
      </c>
      <c r="BO45" s="627">
        <f>BO5+BO10+BO16+BO22+BO28+BO35+BO41</f>
        <v/>
      </c>
      <c r="BP45" s="627">
        <f>BP5+BP10+BP16+BP22+BP28+BP35+BP41</f>
        <v/>
      </c>
      <c r="BQ45" s="627">
        <f>BQ5+BQ10+BQ16+BQ22+BQ28+BQ35+BQ41</f>
        <v/>
      </c>
      <c r="BR45" s="627">
        <f>BR5+BR10+BR16+BR22+BR28+BR35+BR41</f>
        <v/>
      </c>
      <c r="BS45" s="627">
        <f>BS5+BS10+BS16+BS22+BS28+BS35+BS41</f>
        <v/>
      </c>
      <c r="BT45" s="627">
        <f>BT5+BT10+BT16+BT22+BT28+BT35+BT41</f>
        <v/>
      </c>
      <c r="BU45" s="627">
        <f>BU5+BU10+BU16+BU22+BU28+BU35+BU41</f>
        <v/>
      </c>
      <c r="BV45" s="627">
        <f>BV5+BV10+BV16+BV22+BV28+BV35+BV41</f>
        <v/>
      </c>
      <c r="BW45" s="627">
        <f>BW5+BW10+BW16+BW22+BW28+BW35+BW41</f>
        <v/>
      </c>
      <c r="BX45" s="627">
        <f>BX5+BX10+BX16+BX22+BX28+BX35+BX41</f>
        <v/>
      </c>
      <c r="BY45" s="627">
        <f>BY5+BY10+BY16+BY22+BY28+BY35+BY41</f>
        <v/>
      </c>
      <c r="BZ45" s="627">
        <f>BZ5+BZ10+BZ16+BZ22+BZ28+BZ35+BZ41</f>
        <v/>
      </c>
      <c r="CA45" s="627">
        <f>CA5+CA10+CA16+CA22+CA28+CA35+CA41</f>
        <v/>
      </c>
      <c r="CB45" s="627">
        <f>CB5+CB10+CB16+CB22+CB28+CB35+CB41</f>
        <v/>
      </c>
      <c r="CC45" s="627">
        <f>CC5+CC10+CC16+CC22+CC28+CC35+CC41</f>
        <v/>
      </c>
      <c r="CD45" s="627">
        <f>CD5+CD10+CD16+CD22+CD28+CD35+CD41</f>
        <v/>
      </c>
      <c r="CE45" s="627">
        <f>CE5+CE10+CE16+CE22+CE28+CE35+CE41</f>
        <v/>
      </c>
      <c r="CF45" s="627">
        <f>CF5+CF10+CF16+CF22+CF28+CF35+CF41</f>
        <v/>
      </c>
      <c r="CG45" s="627">
        <f>CG5+CG10+CG16+CG22+CG28+CG35+CG41</f>
        <v/>
      </c>
      <c r="CH45" s="627">
        <f>CH5+CH10+CH16+CH22+CH28+CH35+CH41</f>
        <v/>
      </c>
    </row>
    <row r="46" ht="15" customFormat="1" customHeight="1" s="380">
      <c r="A46" s="381" t="inlineStr">
        <is>
          <t>Total Cumulative Net</t>
        </is>
      </c>
      <c r="B46" s="382" t="n"/>
      <c r="C46" s="628">
        <f>C45</f>
        <v/>
      </c>
      <c r="D46" s="628">
        <f>C46+D45</f>
        <v/>
      </c>
      <c r="E46" s="628">
        <f>D46+E45</f>
        <v/>
      </c>
      <c r="F46" s="628">
        <f>E46+F45</f>
        <v/>
      </c>
      <c r="G46" s="628">
        <f>F46+G45</f>
        <v/>
      </c>
      <c r="H46" s="628">
        <f>G46+H45</f>
        <v/>
      </c>
      <c r="I46" s="628">
        <f>H46+I45</f>
        <v/>
      </c>
      <c r="J46" s="628">
        <f>I46+J45</f>
        <v/>
      </c>
      <c r="K46" s="628">
        <f>J46+K45</f>
        <v/>
      </c>
      <c r="L46" s="628">
        <f>K46+L45</f>
        <v/>
      </c>
      <c r="M46" s="628">
        <f>L46+M45</f>
        <v/>
      </c>
      <c r="N46" s="628">
        <f>M46+N45</f>
        <v/>
      </c>
      <c r="O46" s="628">
        <f>N46+O45</f>
        <v/>
      </c>
      <c r="P46" s="628">
        <f>O46+P45</f>
        <v/>
      </c>
      <c r="Q46" s="628">
        <f>P46+Q45</f>
        <v/>
      </c>
      <c r="R46" s="628">
        <f>Q46+R45</f>
        <v/>
      </c>
      <c r="S46" s="628">
        <f>R46+S45</f>
        <v/>
      </c>
      <c r="T46" s="628">
        <f>S46+T45</f>
        <v/>
      </c>
      <c r="U46" s="628">
        <f>T46+U45</f>
        <v/>
      </c>
      <c r="V46" s="628">
        <f>U46+V45</f>
        <v/>
      </c>
      <c r="W46" s="628">
        <f>V46+W45</f>
        <v/>
      </c>
      <c r="X46" s="628">
        <f>W46+X45</f>
        <v/>
      </c>
      <c r="Y46" s="628">
        <f>X46+Y45</f>
        <v/>
      </c>
      <c r="Z46" s="628">
        <f>Y46+Z45</f>
        <v/>
      </c>
      <c r="AA46" s="628">
        <f>Z46+AA45</f>
        <v/>
      </c>
      <c r="AB46" s="628">
        <f>AA46+AB45</f>
        <v/>
      </c>
      <c r="AC46" s="628">
        <f>AB46+AC45</f>
        <v/>
      </c>
      <c r="AD46" s="628">
        <f>AC46+AD45</f>
        <v/>
      </c>
      <c r="AE46" s="628">
        <f>AD46+AE45</f>
        <v/>
      </c>
      <c r="AF46" s="628">
        <f>AE46+AF45</f>
        <v/>
      </c>
      <c r="AG46" s="628">
        <f>AF46+AG45</f>
        <v/>
      </c>
      <c r="AH46" s="628">
        <f>AG46+AH45</f>
        <v/>
      </c>
      <c r="AI46" s="628">
        <f>AH46+AI45</f>
        <v/>
      </c>
      <c r="AJ46" s="628">
        <f>AI46+AJ45</f>
        <v/>
      </c>
      <c r="AK46" s="628">
        <f>AJ46+AK45</f>
        <v/>
      </c>
      <c r="AL46" s="628">
        <f>AK46+AL45</f>
        <v/>
      </c>
      <c r="AM46" s="628">
        <f>AL46+AM45</f>
        <v/>
      </c>
      <c r="AN46" s="628">
        <f>AM46+AN45</f>
        <v/>
      </c>
      <c r="AO46" s="628">
        <f>AN46+AO45</f>
        <v/>
      </c>
      <c r="AP46" s="628">
        <f>AO46+AP45</f>
        <v/>
      </c>
      <c r="AQ46" s="628">
        <f>AP46+AQ45</f>
        <v/>
      </c>
      <c r="AR46" s="628">
        <f>AQ46+AR45</f>
        <v/>
      </c>
      <c r="AS46" s="628">
        <f>AR46+AS45</f>
        <v/>
      </c>
      <c r="AT46" s="628">
        <f>AS46+AT45</f>
        <v/>
      </c>
      <c r="AU46" s="628">
        <f>AT46+AU45</f>
        <v/>
      </c>
      <c r="AV46" s="628">
        <f>AU46+AV45</f>
        <v/>
      </c>
      <c r="AW46" s="628">
        <f>AV46+AW45</f>
        <v/>
      </c>
      <c r="AX46" s="628">
        <f>AW46+AX45</f>
        <v/>
      </c>
      <c r="AY46" s="628">
        <f>AX46+AY45</f>
        <v/>
      </c>
      <c r="AZ46" s="628">
        <f>AY46+AZ45</f>
        <v/>
      </c>
      <c r="BA46" s="628">
        <f>AZ46+BA45</f>
        <v/>
      </c>
      <c r="BB46" s="628">
        <f>BA46+BB45</f>
        <v/>
      </c>
      <c r="BC46" s="628">
        <f>BB46+BC45</f>
        <v/>
      </c>
      <c r="BD46" s="628">
        <f>BC46+BD45</f>
        <v/>
      </c>
      <c r="BE46" s="628">
        <f>BD46+BE45</f>
        <v/>
      </c>
      <c r="BF46" s="628">
        <f>BE46+BF45</f>
        <v/>
      </c>
      <c r="BG46" s="628">
        <f>BF46+BG45</f>
        <v/>
      </c>
      <c r="BH46" s="628">
        <f>BG46+BH45</f>
        <v/>
      </c>
      <c r="BI46" s="628">
        <f>BH46+BI45</f>
        <v/>
      </c>
      <c r="BJ46" s="628">
        <f>BI46+BJ45</f>
        <v/>
      </c>
      <c r="BK46" s="628">
        <f>BJ46+BK45</f>
        <v/>
      </c>
      <c r="BL46" s="628">
        <f>BK46+BL45</f>
        <v/>
      </c>
      <c r="BM46" s="628">
        <f>BL46+BM45</f>
        <v/>
      </c>
      <c r="BN46" s="628">
        <f>BM46+BN45</f>
        <v/>
      </c>
      <c r="BO46" s="628">
        <f>BN46+BO45</f>
        <v/>
      </c>
      <c r="BP46" s="628">
        <f>BO46+BP45</f>
        <v/>
      </c>
      <c r="BQ46" s="628">
        <f>BP46+BQ45</f>
        <v/>
      </c>
      <c r="BR46" s="628">
        <f>BQ46+BR45</f>
        <v/>
      </c>
      <c r="BS46" s="628">
        <f>BR46+BS45</f>
        <v/>
      </c>
      <c r="BT46" s="628">
        <f>BS46+BT45</f>
        <v/>
      </c>
      <c r="BU46" s="628">
        <f>BT46+BU45</f>
        <v/>
      </c>
      <c r="BV46" s="628">
        <f>BU46+BV45</f>
        <v/>
      </c>
      <c r="BW46" s="628">
        <f>BV46+BW45</f>
        <v/>
      </c>
      <c r="BX46" s="628">
        <f>BW46+BX45</f>
        <v/>
      </c>
      <c r="BY46" s="628">
        <f>BX46+BY45</f>
        <v/>
      </c>
      <c r="BZ46" s="628">
        <f>BY46+BZ45</f>
        <v/>
      </c>
      <c r="CA46" s="628">
        <f>BZ46+CA45</f>
        <v/>
      </c>
      <c r="CB46" s="628">
        <f>CA46+CB45</f>
        <v/>
      </c>
      <c r="CC46" s="628">
        <f>CB46+CC45</f>
        <v/>
      </c>
      <c r="CD46" s="628">
        <f>CC46+CD45</f>
        <v/>
      </c>
      <c r="CE46" s="628">
        <f>CD46+CE45</f>
        <v/>
      </c>
      <c r="CF46" s="628">
        <f>CE46+CF45</f>
        <v/>
      </c>
      <c r="CG46" s="628">
        <f>CF46+CG45</f>
        <v/>
      </c>
      <c r="CH46" s="628">
        <f>CG46+CH45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  <c r="AE47" s="382" t="n"/>
      <c r="AF47" s="382" t="n"/>
      <c r="AG47" s="382" t="n"/>
      <c r="AH47" s="382" t="n"/>
      <c r="AI47" s="382" t="n"/>
      <c r="AJ47" s="382" t="n"/>
      <c r="AK47" s="382" t="n"/>
      <c r="AL47" s="382" t="n"/>
      <c r="AM47" s="382" t="n"/>
      <c r="AN47" s="382" t="n"/>
      <c r="AO47" s="382" t="n"/>
      <c r="AP47" s="382" t="n"/>
      <c r="AQ47" s="382" t="n"/>
      <c r="AR47" s="382" t="n"/>
      <c r="AS47" s="382" t="n"/>
      <c r="AT47" s="382" t="n"/>
      <c r="AU47" s="382" t="n"/>
      <c r="AV47" s="382" t="n"/>
      <c r="AW47" s="382" t="n"/>
      <c r="AX47" s="382" t="n"/>
      <c r="AY47" s="382" t="n"/>
      <c r="AZ47" s="382" t="n"/>
      <c r="BA47" s="382" t="n"/>
      <c r="BB47" s="382" t="n"/>
      <c r="BC47" s="382" t="n"/>
      <c r="BD47" s="382" t="n"/>
      <c r="BE47" s="382" t="n"/>
      <c r="BF47" s="382" t="n"/>
      <c r="BG47" s="382" t="n"/>
      <c r="BH47" s="382" t="n"/>
      <c r="BI47" s="382" t="n"/>
      <c r="BJ47" s="382" t="n"/>
      <c r="BK47" s="382" t="n"/>
      <c r="BL47" s="382" t="n"/>
      <c r="BM47" s="382" t="n"/>
      <c r="BN47" s="382" t="n"/>
      <c r="BO47" s="382" t="n"/>
      <c r="BP47" s="382" t="n"/>
      <c r="BQ47" s="382" t="n"/>
      <c r="BR47" s="382" t="n"/>
      <c r="BS47" s="382" t="n"/>
      <c r="BT47" s="382" t="n"/>
      <c r="BU47" s="382" t="n"/>
      <c r="BV47" s="382" t="n"/>
      <c r="BW47" s="382" t="n"/>
      <c r="BX47" s="382" t="n"/>
      <c r="BY47" s="382" t="n"/>
      <c r="BZ47" s="382" t="n"/>
      <c r="CA47" s="382" t="n"/>
      <c r="CB47" s="382" t="n"/>
      <c r="CC47" s="382" t="n"/>
      <c r="CD47" s="382" t="n"/>
      <c r="CE47" s="382" t="n"/>
      <c r="CF47" s="382" t="n"/>
      <c r="CG47" s="382" t="n"/>
      <c r="CH47" s="382" t="n"/>
    </row>
    <row r="48" ht="15" customFormat="1" customHeight="1" s="380">
      <c r="A48" s="381" t="inlineStr">
        <is>
          <t>First Month of Positive Net Income by Deal:</t>
        </is>
      </c>
      <c r="B48" s="382" t="n"/>
      <c r="C48" s="382" t="n"/>
      <c r="D48" s="382" t="n"/>
      <c r="E48" s="382" t="n"/>
      <c r="F48" s="382" t="n"/>
      <c r="G48" s="382" t="n"/>
      <c r="H48" s="382" t="n"/>
      <c r="I48" s="382" t="n"/>
      <c r="J48" s="382" t="n"/>
      <c r="K48" s="382" t="n"/>
      <c r="L48" s="382" t="n"/>
      <c r="M48" s="382" t="n"/>
      <c r="N48" s="382" t="n"/>
      <c r="O48" s="382" t="n"/>
      <c r="P48" s="382" t="n"/>
      <c r="Q48" s="382" t="n"/>
      <c r="R48" s="382" t="n"/>
      <c r="S48" s="382" t="n"/>
      <c r="T48" s="382" t="n"/>
      <c r="U48" s="382" t="n"/>
      <c r="V48" s="382" t="n"/>
      <c r="W48" s="382" t="n"/>
      <c r="X48" s="382" t="n"/>
      <c r="Y48" s="382" t="n"/>
      <c r="Z48" s="382" t="n"/>
      <c r="AA48" s="382" t="n"/>
      <c r="AB48" s="382" t="n"/>
      <c r="AC48" s="382" t="n"/>
      <c r="AD48" s="382" t="n"/>
      <c r="AE48" s="382" t="n"/>
      <c r="AF48" s="382" t="n"/>
      <c r="AG48" s="382" t="n"/>
      <c r="AH48" s="382" t="n"/>
      <c r="AI48" s="382" t="n"/>
      <c r="AJ48" s="382" t="n"/>
      <c r="AK48" s="382" t="n"/>
      <c r="AL48" s="382" t="n"/>
      <c r="AM48" s="382" t="n"/>
      <c r="AN48" s="382" t="n"/>
      <c r="AO48" s="382" t="n"/>
      <c r="AP48" s="382" t="n"/>
      <c r="AQ48" s="382" t="n"/>
      <c r="AR48" s="382" t="n"/>
      <c r="AS48" s="382" t="n"/>
      <c r="AT48" s="382" t="n"/>
      <c r="AU48" s="382" t="n"/>
      <c r="AV48" s="382" t="n"/>
      <c r="AW48" s="382" t="n"/>
      <c r="AX48" s="382" t="n"/>
      <c r="AY48" s="382" t="n"/>
      <c r="AZ48" s="382" t="n"/>
      <c r="BA48" s="382" t="n"/>
      <c r="BB48" s="382" t="n"/>
      <c r="BC48" s="382" t="n"/>
      <c r="BD48" s="382" t="n"/>
      <c r="BE48" s="382" t="n"/>
      <c r="BF48" s="382" t="n"/>
      <c r="BG48" s="382" t="n"/>
      <c r="BH48" s="382" t="n"/>
      <c r="BI48" s="382" t="n"/>
      <c r="BJ48" s="382" t="n"/>
      <c r="BK48" s="382" t="n"/>
      <c r="BL48" s="382" t="n"/>
      <c r="BM48" s="382" t="n"/>
      <c r="BN48" s="382" t="n"/>
      <c r="BO48" s="382" t="n"/>
      <c r="BP48" s="382" t="n"/>
      <c r="BQ48" s="382" t="n"/>
      <c r="BR48" s="382" t="n"/>
      <c r="BS48" s="382" t="n"/>
      <c r="BT48" s="382" t="n"/>
      <c r="BU48" s="382" t="n"/>
      <c r="BV48" s="382" t="n"/>
      <c r="BW48" s="382" t="n"/>
      <c r="BX48" s="382" t="n"/>
      <c r="BY48" s="382" t="n"/>
      <c r="BZ48" s="382" t="n"/>
      <c r="CA48" s="382" t="n"/>
      <c r="CB48" s="382" t="n"/>
      <c r="CC48" s="382" t="n"/>
      <c r="CD48" s="382" t="n"/>
      <c r="CE48" s="382" t="n"/>
      <c r="CF48" s="382" t="n"/>
      <c r="CG48" s="382" t="n"/>
      <c r="CH48" s="382" t="n"/>
    </row>
    <row r="49" ht="15" customFormat="1" customHeight="1" s="380">
      <c r="A49" s="458" t="inlineStr">
        <is>
          <t xml:space="preserve">  Crenshaw:</t>
        </is>
      </c>
      <c r="B49" s="631" t="n">
        <v>46113</v>
      </c>
      <c r="C49" s="382" t="n"/>
      <c r="D49" s="382" t="n"/>
      <c r="E49" s="382" t="n"/>
      <c r="F49" s="382" t="n"/>
      <c r="G49" s="382" t="n"/>
      <c r="H49" s="382" t="n"/>
      <c r="I49" s="382" t="n"/>
      <c r="J49" s="382" t="n"/>
      <c r="K49" s="382" t="n"/>
      <c r="L49" s="382" t="n"/>
      <c r="M49" s="382" t="n"/>
      <c r="N49" s="382" t="n"/>
      <c r="O49" s="382" t="n"/>
      <c r="P49" s="382" t="n"/>
      <c r="Q49" s="382" t="n"/>
      <c r="R49" s="382" t="n"/>
      <c r="S49" s="382" t="n"/>
      <c r="T49" s="382" t="n"/>
      <c r="U49" s="382" t="n"/>
      <c r="V49" s="382" t="n"/>
      <c r="W49" s="382" t="n"/>
      <c r="X49" s="382" t="n"/>
      <c r="Y49" s="382" t="n"/>
      <c r="Z49" s="382" t="n"/>
      <c r="AA49" s="382" t="n"/>
      <c r="AB49" s="382" t="n"/>
      <c r="AC49" s="382" t="n"/>
      <c r="AD49" s="382" t="n"/>
      <c r="AE49" s="382" t="n"/>
      <c r="AF49" s="382" t="n"/>
      <c r="AG49" s="382" t="n"/>
      <c r="AH49" s="382" t="n"/>
      <c r="AI49" s="382" t="n"/>
      <c r="AJ49" s="382" t="n"/>
      <c r="AK49" s="382" t="n"/>
      <c r="AL49" s="382" t="n"/>
      <c r="AM49" s="382" t="n"/>
      <c r="AN49" s="382" t="n"/>
      <c r="AO49" s="382" t="n"/>
      <c r="AP49" s="382" t="n"/>
      <c r="AQ49" s="382" t="n"/>
      <c r="AR49" s="382" t="n"/>
      <c r="AS49" s="382" t="n"/>
      <c r="AT49" s="382" t="n"/>
      <c r="AU49" s="382" t="n"/>
      <c r="AV49" s="382" t="n"/>
      <c r="AW49" s="382" t="n"/>
      <c r="AX49" s="382" t="n"/>
      <c r="AY49" s="382" t="n"/>
      <c r="AZ49" s="382" t="n"/>
      <c r="BA49" s="382" t="n"/>
      <c r="BB49" s="382" t="n"/>
      <c r="BC49" s="382" t="n"/>
      <c r="BD49" s="382" t="n"/>
      <c r="BE49" s="382" t="n"/>
      <c r="BF49" s="382" t="n"/>
      <c r="BG49" s="382" t="n"/>
      <c r="BH49" s="382" t="n"/>
      <c r="BI49" s="382" t="n"/>
      <c r="BJ49" s="382" t="n"/>
      <c r="BK49" s="382" t="n"/>
      <c r="BL49" s="382" t="n"/>
      <c r="BM49" s="382" t="n"/>
      <c r="BN49" s="382" t="n"/>
      <c r="BO49" s="382" t="n"/>
      <c r="BP49" s="382" t="n"/>
      <c r="BQ49" s="382" t="n"/>
      <c r="BR49" s="382" t="n"/>
      <c r="BS49" s="382" t="n"/>
      <c r="BT49" s="382" t="n"/>
      <c r="BU49" s="382" t="n"/>
      <c r="BV49" s="382" t="n"/>
      <c r="BW49" s="382" t="n"/>
      <c r="BX49" s="382" t="n"/>
      <c r="BY49" s="382" t="n"/>
      <c r="BZ49" s="382" t="n"/>
      <c r="CA49" s="382" t="n"/>
      <c r="CB49" s="382" t="n"/>
      <c r="CC49" s="382" t="n"/>
      <c r="CD49" s="382" t="n"/>
      <c r="CE49" s="382" t="n"/>
      <c r="CF49" s="382" t="n"/>
      <c r="CG49" s="382" t="n"/>
      <c r="CH49" s="382" t="n"/>
    </row>
    <row r="50" ht="15" customFormat="1" customHeight="1" s="380">
      <c r="A50" s="458" t="inlineStr">
        <is>
          <t xml:space="preserve">  Ramsgate:</t>
        </is>
      </c>
      <c r="B50" s="631" t="n">
        <v>46113</v>
      </c>
      <c r="C50" s="382" t="n"/>
      <c r="D50" s="382" t="n"/>
      <c r="E50" s="382" t="n"/>
      <c r="F50" s="382" t="n"/>
      <c r="G50" s="382" t="n"/>
      <c r="H50" s="382" t="n"/>
      <c r="I50" s="382" t="n"/>
      <c r="J50" s="382" t="n"/>
      <c r="K50" s="382" t="n"/>
      <c r="L50" s="382" t="n"/>
      <c r="M50" s="382" t="n"/>
      <c r="N50" s="382" t="n"/>
      <c r="O50" s="382" t="n"/>
      <c r="P50" s="382" t="n"/>
      <c r="Q50" s="382" t="n"/>
      <c r="R50" s="382" t="n"/>
      <c r="S50" s="382" t="n"/>
      <c r="T50" s="382" t="n"/>
      <c r="U50" s="382" t="n"/>
      <c r="V50" s="382" t="n"/>
      <c r="W50" s="382" t="n"/>
      <c r="X50" s="382" t="n"/>
      <c r="Y50" s="382" t="n"/>
      <c r="Z50" s="382" t="n"/>
      <c r="AA50" s="382" t="n"/>
      <c r="AB50" s="382" t="n"/>
      <c r="AC50" s="382" t="n"/>
      <c r="AD50" s="382" t="n"/>
      <c r="AE50" s="382" t="n"/>
      <c r="AF50" s="382" t="n"/>
      <c r="AG50" s="382" t="n"/>
      <c r="AH50" s="382" t="n"/>
      <c r="AI50" s="382" t="n"/>
      <c r="AJ50" s="382" t="n"/>
      <c r="AK50" s="382" t="n"/>
      <c r="AL50" s="382" t="n"/>
      <c r="AM50" s="382" t="n"/>
      <c r="AN50" s="382" t="n"/>
      <c r="AO50" s="382" t="n"/>
      <c r="AP50" s="382" t="n"/>
      <c r="AQ50" s="382" t="n"/>
      <c r="AR50" s="382" t="n"/>
      <c r="AS50" s="382" t="n"/>
      <c r="AT50" s="382" t="n"/>
      <c r="AU50" s="382" t="n"/>
      <c r="AV50" s="382" t="n"/>
      <c r="AW50" s="382" t="n"/>
      <c r="AX50" s="382" t="n"/>
      <c r="AY50" s="382" t="n"/>
      <c r="AZ50" s="382" t="n"/>
      <c r="BA50" s="382" t="n"/>
      <c r="BB50" s="382" t="n"/>
      <c r="BC50" s="382" t="n"/>
      <c r="BD50" s="382" t="n"/>
      <c r="BE50" s="382" t="n"/>
      <c r="BF50" s="382" t="n"/>
      <c r="BG50" s="382" t="n"/>
      <c r="BH50" s="382" t="n"/>
      <c r="BI50" s="382" t="n"/>
      <c r="BJ50" s="382" t="n"/>
      <c r="BK50" s="382" t="n"/>
      <c r="BL50" s="382" t="n"/>
      <c r="BM50" s="382" t="n"/>
      <c r="BN50" s="382" t="n"/>
      <c r="BO50" s="382" t="n"/>
      <c r="BP50" s="382" t="n"/>
      <c r="BQ50" s="382" t="n"/>
      <c r="BR50" s="382" t="n"/>
      <c r="BS50" s="382" t="n"/>
      <c r="BT50" s="382" t="n"/>
      <c r="BU50" s="382" t="n"/>
      <c r="BV50" s="382" t="n"/>
      <c r="BW50" s="382" t="n"/>
      <c r="BX50" s="382" t="n"/>
      <c r="BY50" s="382" t="n"/>
      <c r="BZ50" s="382" t="n"/>
      <c r="CA50" s="382" t="n"/>
      <c r="CB50" s="382" t="n"/>
      <c r="CC50" s="382" t="n"/>
      <c r="CD50" s="382" t="n"/>
      <c r="CE50" s="382" t="n"/>
      <c r="CF50" s="382" t="n"/>
      <c r="CG50" s="382" t="n"/>
      <c r="CH50" s="382" t="n"/>
    </row>
    <row r="51" ht="15" customFormat="1" customHeight="1" s="380">
      <c r="A51" s="458" t="inlineStr">
        <is>
          <t xml:space="preserve">  Klump:</t>
        </is>
      </c>
      <c r="B51" s="631" t="n">
        <v>46235</v>
      </c>
      <c r="C51" s="382" t="n"/>
      <c r="D51" s="382" t="n"/>
      <c r="E51" s="382" t="n"/>
      <c r="F51" s="382" t="n"/>
      <c r="G51" s="382" t="n"/>
      <c r="H51" s="382" t="n"/>
      <c r="I51" s="382" t="n"/>
      <c r="J51" s="382" t="n"/>
      <c r="K51" s="382" t="n"/>
      <c r="L51" s="382" t="n"/>
      <c r="M51" s="382" t="n"/>
      <c r="N51" s="382" t="n"/>
      <c r="O51" s="382" t="n"/>
      <c r="P51" s="382" t="n"/>
      <c r="Q51" s="382" t="n"/>
      <c r="R51" s="382" t="n"/>
      <c r="S51" s="382" t="n"/>
      <c r="T51" s="382" t="n"/>
      <c r="U51" s="382" t="n"/>
      <c r="V51" s="382" t="n"/>
      <c r="W51" s="382" t="n"/>
      <c r="X51" s="382" t="n"/>
      <c r="Y51" s="382" t="n"/>
      <c r="Z51" s="382" t="n"/>
      <c r="AA51" s="382" t="n"/>
      <c r="AB51" s="382" t="n"/>
      <c r="AC51" s="382" t="n"/>
      <c r="AD51" s="382" t="n"/>
      <c r="AE51" s="382" t="n"/>
      <c r="AF51" s="382" t="n"/>
      <c r="AG51" s="382" t="n"/>
      <c r="AH51" s="382" t="n"/>
      <c r="AI51" s="382" t="n"/>
      <c r="AJ51" s="382" t="n"/>
      <c r="AK51" s="382" t="n"/>
      <c r="AL51" s="382" t="n"/>
      <c r="AM51" s="382" t="n"/>
      <c r="AN51" s="382" t="n"/>
      <c r="AO51" s="382" t="n"/>
      <c r="AP51" s="382" t="n"/>
      <c r="AQ51" s="382" t="n"/>
      <c r="AR51" s="382" t="n"/>
      <c r="AS51" s="382" t="n"/>
      <c r="AT51" s="382" t="n"/>
      <c r="AU51" s="382" t="n"/>
      <c r="AV51" s="382" t="n"/>
      <c r="AW51" s="382" t="n"/>
      <c r="AX51" s="382" t="n"/>
      <c r="AY51" s="382" t="n"/>
      <c r="AZ51" s="382" t="n"/>
      <c r="BA51" s="382" t="n"/>
      <c r="BB51" s="382" t="n"/>
      <c r="BC51" s="382" t="n"/>
      <c r="BD51" s="382" t="n"/>
      <c r="BE51" s="382" t="n"/>
      <c r="BF51" s="382" t="n"/>
      <c r="BG51" s="382" t="n"/>
      <c r="BH51" s="382" t="n"/>
      <c r="BI51" s="382" t="n"/>
      <c r="BJ51" s="382" t="n"/>
      <c r="BK51" s="382" t="n"/>
      <c r="BL51" s="382" t="n"/>
      <c r="BM51" s="382" t="n"/>
      <c r="BN51" s="382" t="n"/>
      <c r="BO51" s="382" t="n"/>
      <c r="BP51" s="382" t="n"/>
      <c r="BQ51" s="382" t="n"/>
      <c r="BR51" s="382" t="n"/>
      <c r="BS51" s="382" t="n"/>
      <c r="BT51" s="382" t="n"/>
      <c r="BU51" s="382" t="n"/>
      <c r="BV51" s="382" t="n"/>
      <c r="BW51" s="382" t="n"/>
      <c r="BX51" s="382" t="n"/>
      <c r="BY51" s="382" t="n"/>
      <c r="BZ51" s="382" t="n"/>
      <c r="CA51" s="382" t="n"/>
      <c r="CB51" s="382" t="n"/>
      <c r="CC51" s="382" t="n"/>
      <c r="CD51" s="382" t="n"/>
      <c r="CE51" s="382" t="n"/>
      <c r="CF51" s="382" t="n"/>
      <c r="CG51" s="382" t="n"/>
      <c r="CH51" s="382" t="n"/>
    </row>
    <row r="52" ht="15" customFormat="1" customHeight="1" s="380">
      <c r="A52" s="458" t="inlineStr">
        <is>
          <t xml:space="preserve">  Scott:</t>
        </is>
      </c>
      <c r="B52" s="631" t="n">
        <v>46266</v>
      </c>
      <c r="C52" s="382" t="n"/>
      <c r="D52" s="382" t="n"/>
      <c r="E52" s="382" t="n"/>
      <c r="F52" s="382" t="n"/>
      <c r="G52" s="382" t="n"/>
      <c r="H52" s="382" t="n"/>
      <c r="I52" s="382" t="n"/>
      <c r="J52" s="382" t="n"/>
      <c r="K52" s="382" t="n"/>
      <c r="L52" s="382" t="n"/>
      <c r="M52" s="382" t="n"/>
      <c r="N52" s="382" t="n"/>
      <c r="O52" s="382" t="n"/>
      <c r="P52" s="382" t="n"/>
      <c r="Q52" s="382" t="n"/>
      <c r="R52" s="382" t="n"/>
      <c r="S52" s="382" t="n"/>
      <c r="T52" s="382" t="n"/>
      <c r="U52" s="382" t="n"/>
      <c r="V52" s="382" t="n"/>
      <c r="W52" s="382" t="n"/>
      <c r="X52" s="382" t="n"/>
      <c r="Y52" s="382" t="n"/>
      <c r="Z52" s="382" t="n"/>
      <c r="AA52" s="382" t="n"/>
      <c r="AB52" s="382" t="n"/>
      <c r="AC52" s="382" t="n"/>
      <c r="AD52" s="382" t="n"/>
      <c r="AE52" s="382" t="n"/>
      <c r="AF52" s="382" t="n"/>
      <c r="AG52" s="382" t="n"/>
      <c r="AH52" s="382" t="n"/>
      <c r="AI52" s="382" t="n"/>
      <c r="AJ52" s="382" t="n"/>
      <c r="AK52" s="382" t="n"/>
      <c r="AL52" s="382" t="n"/>
      <c r="AM52" s="382" t="n"/>
      <c r="AN52" s="382" t="n"/>
      <c r="AO52" s="382" t="n"/>
      <c r="AP52" s="382" t="n"/>
      <c r="AQ52" s="382" t="n"/>
      <c r="AR52" s="382" t="n"/>
      <c r="AS52" s="382" t="n"/>
      <c r="AT52" s="382" t="n"/>
      <c r="AU52" s="382" t="n"/>
      <c r="AV52" s="382" t="n"/>
      <c r="AW52" s="382" t="n"/>
      <c r="AX52" s="382" t="n"/>
      <c r="AY52" s="382" t="n"/>
      <c r="AZ52" s="382" t="n"/>
      <c r="BA52" s="382" t="n"/>
      <c r="BB52" s="382" t="n"/>
      <c r="BC52" s="382" t="n"/>
      <c r="BD52" s="382" t="n"/>
      <c r="BE52" s="382" t="n"/>
      <c r="BF52" s="382" t="n"/>
      <c r="BG52" s="382" t="n"/>
      <c r="BH52" s="382" t="n"/>
      <c r="BI52" s="382" t="n"/>
      <c r="BJ52" s="382" t="n"/>
      <c r="BK52" s="382" t="n"/>
      <c r="BL52" s="382" t="n"/>
      <c r="BM52" s="382" t="n"/>
      <c r="BN52" s="382" t="n"/>
      <c r="BO52" s="382" t="n"/>
      <c r="BP52" s="382" t="n"/>
      <c r="BQ52" s="382" t="n"/>
      <c r="BR52" s="382" t="n"/>
      <c r="BS52" s="382" t="n"/>
      <c r="BT52" s="382" t="n"/>
      <c r="BU52" s="382" t="n"/>
      <c r="BV52" s="382" t="n"/>
      <c r="BW52" s="382" t="n"/>
      <c r="BX52" s="382" t="n"/>
      <c r="BY52" s="382" t="n"/>
      <c r="BZ52" s="382" t="n"/>
      <c r="CA52" s="382" t="n"/>
      <c r="CB52" s="382" t="n"/>
      <c r="CC52" s="382" t="n"/>
      <c r="CD52" s="382" t="n"/>
      <c r="CE52" s="382" t="n"/>
      <c r="CF52" s="382" t="n"/>
      <c r="CG52" s="382" t="n"/>
      <c r="CH52" s="382" t="n"/>
    </row>
    <row r="53" ht="15" customFormat="1" customHeight="1" s="380">
      <c r="A53" s="458" t="inlineStr">
        <is>
          <t xml:space="preserve">  Francis:</t>
        </is>
      </c>
      <c r="B53" s="631" t="n">
        <v>48092</v>
      </c>
      <c r="C53" s="382" t="n"/>
      <c r="D53" s="382" t="n"/>
      <c r="E53" s="382" t="n"/>
      <c r="F53" s="382" t="n"/>
      <c r="G53" s="382" t="n"/>
      <c r="H53" s="382" t="n"/>
      <c r="I53" s="382" t="n"/>
      <c r="J53" s="382" t="n"/>
      <c r="K53" s="382" t="n"/>
      <c r="L53" s="382" t="n"/>
      <c r="M53" s="382" t="n"/>
      <c r="N53" s="382" t="n"/>
      <c r="O53" s="382" t="n"/>
      <c r="P53" s="382" t="n"/>
      <c r="Q53" s="382" t="n"/>
      <c r="R53" s="382" t="n"/>
      <c r="S53" s="382" t="n"/>
      <c r="T53" s="382" t="n"/>
      <c r="U53" s="382" t="n"/>
      <c r="V53" s="382" t="n"/>
      <c r="W53" s="382" t="n"/>
      <c r="X53" s="382" t="n"/>
      <c r="Y53" s="382" t="n"/>
      <c r="Z53" s="382" t="n"/>
      <c r="AA53" s="382" t="n"/>
      <c r="AB53" s="382" t="n"/>
      <c r="AC53" s="382" t="n"/>
      <c r="AD53" s="382" t="n"/>
      <c r="AE53" s="382" t="n"/>
      <c r="AF53" s="382" t="n"/>
      <c r="AG53" s="382" t="n"/>
      <c r="AH53" s="382" t="n"/>
      <c r="AI53" s="382" t="n"/>
      <c r="AJ53" s="382" t="n"/>
      <c r="AK53" s="382" t="n"/>
      <c r="AL53" s="382" t="n"/>
      <c r="AM53" s="382" t="n"/>
      <c r="AN53" s="382" t="n"/>
      <c r="AO53" s="382" t="n"/>
      <c r="AP53" s="382" t="n"/>
      <c r="AQ53" s="382" t="n"/>
      <c r="AR53" s="382" t="n"/>
      <c r="AS53" s="382" t="n"/>
      <c r="AT53" s="382" t="n"/>
      <c r="AU53" s="382" t="n"/>
      <c r="AV53" s="382" t="n"/>
      <c r="AW53" s="382" t="n"/>
      <c r="AX53" s="382" t="n"/>
      <c r="AY53" s="382" t="n"/>
      <c r="AZ53" s="382" t="n"/>
      <c r="BA53" s="382" t="n"/>
      <c r="BB53" s="382" t="n"/>
      <c r="BC53" s="382" t="n"/>
      <c r="BD53" s="382" t="n"/>
      <c r="BE53" s="382" t="n"/>
      <c r="BF53" s="382" t="n"/>
      <c r="BG53" s="382" t="n"/>
      <c r="BH53" s="382" t="n"/>
      <c r="BI53" s="382" t="n"/>
      <c r="BJ53" s="382" t="n"/>
      <c r="BK53" s="382" t="n"/>
      <c r="BL53" s="382" t="n"/>
      <c r="BM53" s="382" t="n"/>
      <c r="BN53" s="382" t="n"/>
      <c r="BO53" s="382" t="n"/>
      <c r="BP53" s="382" t="n"/>
      <c r="BQ53" s="382" t="n"/>
      <c r="BR53" s="382" t="n"/>
      <c r="BS53" s="382" t="n"/>
      <c r="BT53" s="382" t="n"/>
      <c r="BU53" s="382" t="n"/>
      <c r="BV53" s="382" t="n"/>
      <c r="BW53" s="382" t="n"/>
      <c r="BX53" s="382" t="n"/>
      <c r="BY53" s="382" t="n"/>
      <c r="BZ53" s="382" t="n"/>
      <c r="CA53" s="382" t="n"/>
      <c r="CB53" s="382" t="n"/>
      <c r="CC53" s="382" t="n"/>
      <c r="CD53" s="382" t="n"/>
      <c r="CE53" s="382" t="n"/>
      <c r="CF53" s="382" t="n"/>
      <c r="CG53" s="382" t="n"/>
      <c r="CH53" s="382" t="n"/>
    </row>
    <row r="54" ht="15" customFormat="1" customHeight="1" s="380">
      <c r="A54" s="458" t="inlineStr">
        <is>
          <t xml:space="preserve">  Reseda:</t>
        </is>
      </c>
      <c r="B54" s="631" t="n">
        <v>47635</v>
      </c>
      <c r="C54" s="382" t="n"/>
      <c r="D54" s="382" t="n"/>
      <c r="E54" s="382" t="n"/>
      <c r="F54" s="382" t="n"/>
      <c r="G54" s="382" t="n"/>
      <c r="H54" s="382" t="n"/>
      <c r="I54" s="382" t="n"/>
      <c r="J54" s="382" t="n"/>
      <c r="K54" s="382" t="n"/>
      <c r="L54" s="382" t="n"/>
      <c r="M54" s="382" t="n"/>
      <c r="N54" s="382" t="n"/>
      <c r="O54" s="382" t="n"/>
      <c r="P54" s="382" t="n"/>
      <c r="Q54" s="382" t="n"/>
      <c r="R54" s="382" t="n"/>
      <c r="S54" s="382" t="n"/>
      <c r="T54" s="382" t="n"/>
      <c r="U54" s="382" t="n"/>
      <c r="V54" s="382" t="n"/>
      <c r="W54" s="382" t="n"/>
      <c r="X54" s="382" t="n"/>
      <c r="Y54" s="382" t="n"/>
      <c r="Z54" s="382" t="n"/>
      <c r="AA54" s="382" t="n"/>
      <c r="AB54" s="382" t="n"/>
      <c r="AC54" s="382" t="n"/>
      <c r="AD54" s="382" t="n"/>
      <c r="AE54" s="382" t="n"/>
      <c r="AF54" s="382" t="n"/>
      <c r="AG54" s="382" t="n"/>
      <c r="AH54" s="382" t="n"/>
      <c r="AI54" s="382" t="n"/>
      <c r="AJ54" s="382" t="n"/>
      <c r="AK54" s="382" t="n"/>
      <c r="AL54" s="382" t="n"/>
      <c r="AM54" s="382" t="n"/>
      <c r="AN54" s="382" t="n"/>
      <c r="AO54" s="382" t="n"/>
      <c r="AP54" s="382" t="n"/>
      <c r="AQ54" s="382" t="n"/>
      <c r="AR54" s="382" t="n"/>
      <c r="AS54" s="382" t="n"/>
      <c r="AT54" s="382" t="n"/>
      <c r="AU54" s="382" t="n"/>
      <c r="AV54" s="382" t="n"/>
      <c r="AW54" s="382" t="n"/>
      <c r="AX54" s="382" t="n"/>
      <c r="AY54" s="382" t="n"/>
      <c r="AZ54" s="382" t="n"/>
      <c r="BA54" s="382" t="n"/>
      <c r="BB54" s="382" t="n"/>
      <c r="BC54" s="382" t="n"/>
      <c r="BD54" s="382" t="n"/>
      <c r="BE54" s="382" t="n"/>
      <c r="BF54" s="382" t="n"/>
      <c r="BG54" s="382" t="n"/>
      <c r="BH54" s="382" t="n"/>
      <c r="BI54" s="382" t="n"/>
      <c r="BJ54" s="382" t="n"/>
      <c r="BK54" s="382" t="n"/>
      <c r="BL54" s="382" t="n"/>
      <c r="BM54" s="382" t="n"/>
      <c r="BN54" s="382" t="n"/>
      <c r="BO54" s="382" t="n"/>
      <c r="BP54" s="382" t="n"/>
      <c r="BQ54" s="382" t="n"/>
      <c r="BR54" s="382" t="n"/>
      <c r="BS54" s="382" t="n"/>
      <c r="BT54" s="382" t="n"/>
      <c r="BU54" s="382" t="n"/>
      <c r="BV54" s="382" t="n"/>
      <c r="BW54" s="382" t="n"/>
      <c r="BX54" s="382" t="n"/>
      <c r="BY54" s="382" t="n"/>
      <c r="BZ54" s="382" t="n"/>
      <c r="CA54" s="382" t="n"/>
      <c r="CB54" s="382" t="n"/>
      <c r="CC54" s="382" t="n"/>
      <c r="CD54" s="382" t="n"/>
      <c r="CE54" s="382" t="n"/>
      <c r="CF54" s="382" t="n"/>
      <c r="CG54" s="382" t="n"/>
      <c r="CH54" s="382" t="n"/>
    </row>
    <row r="55" ht="15" customFormat="1" customHeight="1" s="380">
      <c r="A55" s="458" t="inlineStr">
        <is>
          <t xml:space="preserve">  3rd St:</t>
        </is>
      </c>
      <c r="B55" s="632" t="inlineStr">
        <is>
          <t>Beyond model period</t>
        </is>
      </c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M55" s="382" t="n"/>
      <c r="N55" s="382" t="n"/>
      <c r="O55" s="382" t="n"/>
      <c r="P55" s="382" t="n"/>
      <c r="Q55" s="382" t="n"/>
      <c r="R55" s="382" t="n"/>
      <c r="S55" s="382" t="n"/>
      <c r="T55" s="382" t="n"/>
      <c r="U55" s="382" t="n"/>
      <c r="V55" s="382" t="n"/>
      <c r="W55" s="382" t="n"/>
      <c r="X55" s="382" t="n"/>
      <c r="Y55" s="382" t="n"/>
      <c r="Z55" s="382" t="n"/>
      <c r="AA55" s="382" t="n"/>
      <c r="AB55" s="382" t="n"/>
      <c r="AC55" s="382" t="n"/>
      <c r="AD55" s="382" t="n"/>
      <c r="AE55" s="382" t="n"/>
      <c r="AF55" s="382" t="n"/>
      <c r="AG55" s="382" t="n"/>
      <c r="AH55" s="382" t="n"/>
      <c r="AI55" s="382" t="n"/>
      <c r="AJ55" s="382" t="n"/>
      <c r="AK55" s="382" t="n"/>
      <c r="AL55" s="382" t="n"/>
      <c r="AM55" s="382" t="n"/>
      <c r="AN55" s="382" t="n"/>
      <c r="AO55" s="382" t="n"/>
      <c r="AP55" s="382" t="n"/>
      <c r="AQ55" s="382" t="n"/>
      <c r="AR55" s="382" t="n"/>
      <c r="AS55" s="382" t="n"/>
      <c r="AT55" s="382" t="n"/>
      <c r="AU55" s="382" t="n"/>
      <c r="AV55" s="382" t="n"/>
      <c r="AW55" s="382" t="n"/>
      <c r="AX55" s="382" t="n"/>
      <c r="AY55" s="382" t="n"/>
      <c r="AZ55" s="382" t="n"/>
      <c r="BA55" s="382" t="n"/>
      <c r="BB55" s="382" t="n"/>
      <c r="BC55" s="382" t="n"/>
      <c r="BD55" s="382" t="n"/>
      <c r="BE55" s="382" t="n"/>
      <c r="BF55" s="382" t="n"/>
      <c r="BG55" s="382" t="n"/>
      <c r="BH55" s="382" t="n"/>
      <c r="BI55" s="382" t="n"/>
      <c r="BJ55" s="382" t="n"/>
      <c r="BK55" s="382" t="n"/>
      <c r="BL55" s="382" t="n"/>
      <c r="BM55" s="382" t="n"/>
      <c r="BN55" s="382" t="n"/>
      <c r="BO55" s="382" t="n"/>
      <c r="BP55" s="382" t="n"/>
      <c r="BQ55" s="382" t="n"/>
      <c r="BR55" s="382" t="n"/>
      <c r="BS55" s="382" t="n"/>
      <c r="BT55" s="382" t="n"/>
      <c r="BU55" s="382" t="n"/>
      <c r="BV55" s="382" t="n"/>
      <c r="BW55" s="382" t="n"/>
      <c r="BX55" s="382" t="n"/>
      <c r="BY55" s="382" t="n"/>
      <c r="BZ55" s="382" t="n"/>
      <c r="CA55" s="382" t="n"/>
      <c r="CB55" s="382" t="n"/>
      <c r="CC55" s="382" t="n"/>
      <c r="CD55" s="382" t="n"/>
      <c r="CE55" s="382" t="n"/>
      <c r="CF55" s="382" t="n"/>
      <c r="CG55" s="382" t="n"/>
      <c r="CH55" s="382" t="n"/>
    </row>
    <row r="56" ht="15" customFormat="1" customHeight="1" s="380">
      <c r="A56" s="381" t="inlineStr">
        <is>
          <t xml:space="preserve">  All Deals Combined:</t>
        </is>
      </c>
      <c r="B56" s="633" t="n">
        <v>46113</v>
      </c>
      <c r="C56" s="382" t="n"/>
      <c r="D56" s="382" t="n"/>
      <c r="E56" s="382" t="n"/>
      <c r="F56" s="382" t="n"/>
      <c r="G56" s="382" t="n"/>
      <c r="H56" s="382" t="n"/>
      <c r="I56" s="382" t="n"/>
      <c r="J56" s="382" t="n"/>
      <c r="K56" s="382" t="n"/>
      <c r="L56" s="382" t="n"/>
      <c r="M56" s="382" t="n"/>
      <c r="N56" s="382" t="n"/>
      <c r="O56" s="382" t="n"/>
      <c r="P56" s="382" t="n"/>
      <c r="Q56" s="382" t="n"/>
      <c r="R56" s="382" t="n"/>
      <c r="S56" s="382" t="n"/>
      <c r="T56" s="382" t="n"/>
      <c r="U56" s="382" t="n"/>
      <c r="V56" s="382" t="n"/>
      <c r="W56" s="382" t="n"/>
      <c r="X56" s="382" t="n"/>
      <c r="Y56" s="382" t="n"/>
      <c r="Z56" s="382" t="n"/>
      <c r="AA56" s="382" t="n"/>
      <c r="AB56" s="382" t="n"/>
      <c r="AC56" s="382" t="n"/>
      <c r="AD56" s="382" t="n"/>
      <c r="AE56" s="382" t="n"/>
      <c r="AF56" s="382" t="n"/>
      <c r="AG56" s="382" t="n"/>
      <c r="AH56" s="382" t="n"/>
      <c r="AI56" s="382" t="n"/>
      <c r="AJ56" s="382" t="n"/>
      <c r="AK56" s="382" t="n"/>
      <c r="AL56" s="382" t="n"/>
      <c r="AM56" s="382" t="n"/>
      <c r="AN56" s="382" t="n"/>
      <c r="AO56" s="382" t="n"/>
      <c r="AP56" s="382" t="n"/>
      <c r="AQ56" s="382" t="n"/>
      <c r="AR56" s="382" t="n"/>
      <c r="AS56" s="382" t="n"/>
      <c r="AT56" s="382" t="n"/>
      <c r="AU56" s="382" t="n"/>
      <c r="AV56" s="382" t="n"/>
      <c r="AW56" s="382" t="n"/>
      <c r="AX56" s="382" t="n"/>
      <c r="AY56" s="382" t="n"/>
      <c r="AZ56" s="382" t="n"/>
      <c r="BA56" s="382" t="n"/>
      <c r="BB56" s="382" t="n"/>
      <c r="BC56" s="382" t="n"/>
      <c r="BD56" s="382" t="n"/>
      <c r="BE56" s="382" t="n"/>
      <c r="BF56" s="382" t="n"/>
      <c r="BG56" s="382" t="n"/>
      <c r="BH56" s="382" t="n"/>
      <c r="BI56" s="382" t="n"/>
      <c r="BJ56" s="382" t="n"/>
      <c r="BK56" s="382" t="n"/>
      <c r="BL56" s="382" t="n"/>
      <c r="BM56" s="382" t="n"/>
      <c r="BN56" s="382" t="n"/>
      <c r="BO56" s="382" t="n"/>
      <c r="BP56" s="382" t="n"/>
      <c r="BQ56" s="382" t="n"/>
      <c r="BR56" s="382" t="n"/>
      <c r="BS56" s="382" t="n"/>
      <c r="BT56" s="382" t="n"/>
      <c r="BU56" s="382" t="n"/>
      <c r="BV56" s="382" t="n"/>
      <c r="BW56" s="382" t="n"/>
      <c r="BX56" s="382" t="n"/>
      <c r="BY56" s="382" t="n"/>
      <c r="BZ56" s="382" t="n"/>
      <c r="CA56" s="382" t="n"/>
      <c r="CB56" s="382" t="n"/>
      <c r="CC56" s="382" t="n"/>
      <c r="CD56" s="382" t="n"/>
      <c r="CE56" s="382" t="n"/>
      <c r="CF56" s="382" t="n"/>
      <c r="CG56" s="382" t="n"/>
      <c r="CH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  <c r="J57" s="382" t="n"/>
      <c r="K57" s="382" t="n"/>
      <c r="L57" s="382" t="n"/>
      <c r="M57" s="382" t="n"/>
      <c r="N57" s="382" t="n"/>
      <c r="O57" s="382" t="n"/>
      <c r="P57" s="382" t="n"/>
      <c r="Q57" s="382" t="n"/>
      <c r="R57" s="382" t="n"/>
      <c r="S57" s="382" t="n"/>
      <c r="T57" s="382" t="n"/>
      <c r="U57" s="382" t="n"/>
      <c r="V57" s="382" t="n"/>
      <c r="W57" s="382" t="n"/>
      <c r="X57" s="382" t="n"/>
      <c r="Y57" s="382" t="n"/>
      <c r="Z57" s="382" t="n"/>
      <c r="AA57" s="382" t="n"/>
      <c r="AB57" s="382" t="n"/>
      <c r="AC57" s="382" t="n"/>
      <c r="AD57" s="382" t="n"/>
      <c r="AE57" s="382" t="n"/>
      <c r="AF57" s="382" t="n"/>
      <c r="AG57" s="382" t="n"/>
      <c r="AH57" s="382" t="n"/>
      <c r="AI57" s="382" t="n"/>
      <c r="AJ57" s="382" t="n"/>
      <c r="AK57" s="382" t="n"/>
      <c r="AL57" s="382" t="n"/>
      <c r="AM57" s="382" t="n"/>
      <c r="AN57" s="382" t="n"/>
      <c r="AO57" s="382" t="n"/>
      <c r="AP57" s="382" t="n"/>
      <c r="AQ57" s="382" t="n"/>
      <c r="AR57" s="382" t="n"/>
      <c r="AS57" s="382" t="n"/>
      <c r="AT57" s="382" t="n"/>
      <c r="AU57" s="382" t="n"/>
      <c r="AV57" s="382" t="n"/>
      <c r="AW57" s="382" t="n"/>
      <c r="AX57" s="382" t="n"/>
      <c r="AY57" s="382" t="n"/>
      <c r="AZ57" s="382" t="n"/>
      <c r="BA57" s="382" t="n"/>
      <c r="BB57" s="382" t="n"/>
      <c r="BC57" s="382" t="n"/>
      <c r="BD57" s="382" t="n"/>
      <c r="BE57" s="382" t="n"/>
      <c r="BF57" s="382" t="n"/>
      <c r="BG57" s="382" t="n"/>
      <c r="BH57" s="382" t="n"/>
      <c r="BI57" s="382" t="n"/>
      <c r="BJ57" s="382" t="n"/>
      <c r="BK57" s="382" t="n"/>
      <c r="BL57" s="382" t="n"/>
      <c r="BM57" s="382" t="n"/>
      <c r="BN57" s="382" t="n"/>
      <c r="BO57" s="382" t="n"/>
      <c r="BP57" s="382" t="n"/>
      <c r="BQ57" s="382" t="n"/>
      <c r="BR57" s="382" t="n"/>
      <c r="BS57" s="382" t="n"/>
      <c r="BT57" s="382" t="n"/>
      <c r="BU57" s="382" t="n"/>
      <c r="BV57" s="382" t="n"/>
      <c r="BW57" s="382" t="n"/>
      <c r="BX57" s="382" t="n"/>
      <c r="BY57" s="382" t="n"/>
      <c r="BZ57" s="382" t="n"/>
      <c r="CA57" s="382" t="n"/>
      <c r="CB57" s="382" t="n"/>
      <c r="CC57" s="382" t="n"/>
      <c r="CD57" s="382" t="n"/>
      <c r="CE57" s="382" t="n"/>
      <c r="CF57" s="382" t="n"/>
      <c r="CG57" s="382" t="n"/>
      <c r="CH57" s="382" t="n"/>
    </row>
  </sheetData>
  <mergeCells count="1">
    <mergeCell ref="A1:F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I13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3" topLeftCell="B18" activePane="bottomRight" state="frozen"/>
      <selection pane="topLeft" activeCell="A1" activeCellId="0" sqref="A1"/>
      <selection pane="topRight" activeCell="B1" activeCellId="0" sqref="B1"/>
      <selection pane="bottomLeft" activeCell="A18" activeCellId="0" sqref="A18"/>
      <selection pane="bottomRight" activeCell="C45" activeCellId="0" sqref="C45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7"/>
    <col width="13" customWidth="1" style="380" min="8" max="9"/>
  </cols>
  <sheetData>
    <row r="1" ht="17.25" customFormat="1" customHeight="1" s="380">
      <c r="A1" s="381" t="inlineStr">
        <is>
          <t>Six Peak Capital - Sensitivity Analysis</t>
        </is>
      </c>
      <c r="H1" s="382" t="n"/>
      <c r="I1" s="382" t="n"/>
    </row>
    <row r="2" ht="15" customFormat="1" customHeight="1" s="380">
      <c r="A2" s="382" t="n"/>
      <c r="B2" s="382" t="n"/>
      <c r="C2" s="382" t="n"/>
      <c r="D2" s="382" t="n"/>
      <c r="E2" s="382" t="n"/>
      <c r="F2" s="382" t="n"/>
      <c r="G2" s="382" t="n"/>
      <c r="H2" s="382" t="n"/>
      <c r="I2" s="382" t="n"/>
    </row>
    <row r="3" ht="15" customFormat="1" customHeight="1" s="380">
      <c r="A3" s="383" t="inlineStr">
        <is>
          <t>KEY ASSUMPTIONS (Change Yellow Cells for Analysis)</t>
        </is>
      </c>
      <c r="B3" s="383" t="n"/>
      <c r="C3" s="383" t="n"/>
      <c r="D3" s="383" t="n"/>
      <c r="E3" s="383" t="n"/>
      <c r="F3" s="383" t="n"/>
      <c r="G3" s="383" t="n"/>
      <c r="H3" s="382" t="n"/>
      <c r="I3" s="382" t="n"/>
    </row>
    <row r="4" ht="15" customFormat="1" customHeight="1" s="380">
      <c r="A4" s="402" t="inlineStr">
        <is>
          <t>Assumption</t>
        </is>
      </c>
      <c r="B4" s="402" t="inlineStr">
        <is>
          <t>Base Case</t>
        </is>
      </c>
      <c r="C4" s="402" t="inlineStr">
        <is>
          <t>Scenario</t>
        </is>
      </c>
      <c r="D4" s="402" t="inlineStr">
        <is>
          <t>Low</t>
        </is>
      </c>
      <c r="E4" s="402" t="inlineStr">
        <is>
          <t>High</t>
        </is>
      </c>
      <c r="F4" s="402" t="inlineStr">
        <is>
          <t>Unit</t>
        </is>
      </c>
      <c r="G4" s="402" t="inlineStr">
        <is>
          <t>Notes</t>
        </is>
      </c>
      <c r="H4" s="382" t="n"/>
      <c r="I4" s="382" t="n"/>
    </row>
    <row r="5" ht="15" customFormat="1" customHeight="1" s="380">
      <c r="A5" s="458" t="inlineStr">
        <is>
          <t>GC Fee Rate (Supervision)</t>
        </is>
      </c>
      <c r="B5" s="634">
        <f>Assumptions!B4</f>
        <v/>
      </c>
      <c r="C5" s="635" t="n">
        <v>0.06</v>
      </c>
      <c r="D5" s="636" t="n">
        <v>0.04</v>
      </c>
      <c r="E5" s="636" t="n">
        <v>0.08</v>
      </c>
      <c r="F5" s="458" t="inlineStr">
        <is>
          <t>%</t>
        </is>
      </c>
      <c r="G5" s="449" t="inlineStr">
        <is>
          <t>Each 1% ≈ $1.2M cumulative revenue impact</t>
        </is>
      </c>
      <c r="H5" s="382" t="n"/>
      <c r="I5" s="382" t="n"/>
    </row>
    <row r="6" ht="15" customFormat="1" customHeight="1" s="380">
      <c r="A6" s="458" t="inlineStr">
        <is>
          <t>GC-CM Fee Rate</t>
        </is>
      </c>
      <c r="B6" s="634">
        <f>Assumptions!B5</f>
        <v/>
      </c>
      <c r="C6" s="635" t="n">
        <v>0.06</v>
      </c>
      <c r="D6" s="636" t="n">
        <v>0.04</v>
      </c>
      <c r="E6" s="636" t="n">
        <v>0.08</v>
      </c>
      <c r="F6" s="458" t="inlineStr">
        <is>
          <t>%</t>
        </is>
      </c>
      <c r="G6" s="449" t="inlineStr">
        <is>
          <t>Each 1% ≈ $1.2M cumulative revenue impact</t>
        </is>
      </c>
      <c r="H6" s="382" t="n"/>
      <c r="I6" s="382" t="n"/>
    </row>
    <row r="7" ht="15" customFormat="1" customHeight="1" s="380">
      <c r="A7" s="458" t="inlineStr">
        <is>
          <t>Admin Fee Rate</t>
        </is>
      </c>
      <c r="B7" s="634">
        <f>Assumptions!B6</f>
        <v/>
      </c>
      <c r="C7" s="635" t="n">
        <v>0.02</v>
      </c>
      <c r="D7" s="636" t="n">
        <v>0.01</v>
      </c>
      <c r="E7" s="636" t="n">
        <v>0.03</v>
      </c>
      <c r="F7" s="458" t="inlineStr">
        <is>
          <t>%</t>
        </is>
      </c>
      <c r="G7" s="449" t="inlineStr">
        <is>
          <t>Each 1% ≈ $400K cumulative revenue impact</t>
        </is>
      </c>
      <c r="H7" s="382" t="n"/>
      <c r="I7" s="382" t="n"/>
    </row>
    <row r="8" ht="15" customFormat="1" customHeight="1" s="380">
      <c r="A8" s="458" t="n"/>
      <c r="B8" s="634" t="n"/>
      <c r="C8" s="635" t="n"/>
      <c r="D8" s="636" t="n"/>
      <c r="E8" s="636" t="n"/>
      <c r="F8" s="458" t="n"/>
      <c r="G8" s="449" t="n"/>
      <c r="H8" s="382" t="n"/>
      <c r="I8" s="382" t="n"/>
    </row>
    <row r="9" ht="15" customFormat="1" customHeight="1" s="380">
      <c r="A9" s="458" t="inlineStr">
        <is>
          <t>Annual Escalation Rate</t>
        </is>
      </c>
      <c r="B9" s="634">
        <f>Assumptions!B26</f>
        <v/>
      </c>
      <c r="C9" s="635" t="n">
        <v>0.02</v>
      </c>
      <c r="D9" s="636" t="n">
        <v>0</v>
      </c>
      <c r="E9" s="636" t="n">
        <v>0.04</v>
      </c>
      <c r="F9" s="458" t="inlineStr">
        <is>
          <t>%</t>
        </is>
      </c>
      <c r="G9" s="449" t="inlineStr">
        <is>
          <t>Impacts personnel costs &amp; revenue over time</t>
        </is>
      </c>
      <c r="H9" s="382" t="n"/>
      <c r="I9" s="382" t="n"/>
    </row>
    <row r="10" ht="15" customFormat="1" customHeight="1" s="380">
      <c r="A10" s="458" t="inlineStr">
        <is>
          <t>Bonding Revenue Rate</t>
        </is>
      </c>
      <c r="B10" s="634">
        <f>Assumptions!B15</f>
        <v/>
      </c>
      <c r="C10" s="635" t="n">
        <v>0.015</v>
      </c>
      <c r="D10" s="636" t="n">
        <v>0.01</v>
      </c>
      <c r="E10" s="636" t="n">
        <v>0.02</v>
      </c>
      <c r="F10" s="458" t="inlineStr">
        <is>
          <t>%</t>
        </is>
      </c>
      <c r="G10" s="449" t="inlineStr">
        <is>
          <t>One-time revenue at project start</t>
        </is>
      </c>
      <c r="H10" s="382" t="n"/>
      <c r="I10" s="382" t="n"/>
    </row>
    <row r="11" ht="15" customFormat="1" customHeight="1" s="380">
      <c r="A11" s="458" t="inlineStr">
        <is>
          <t>Tier 1 Bond Cost Rate</t>
        </is>
      </c>
      <c r="B11" s="634">
        <f>Assumptions!B16</f>
        <v/>
      </c>
      <c r="C11" s="635" t="n">
        <v>0.0074</v>
      </c>
      <c r="D11" s="636" t="n">
        <v>0.005</v>
      </c>
      <c r="E11" s="636" t="n">
        <v>0.015</v>
      </c>
      <c r="F11" s="458" t="inlineStr">
        <is>
          <t>%</t>
        </is>
      </c>
      <c r="G11" s="449" t="inlineStr">
        <is>
          <t>Annual cost on bonded projects</t>
        </is>
      </c>
      <c r="H11" s="382" t="n"/>
      <c r="I11" s="382" t="n"/>
    </row>
    <row r="12" ht="15" customFormat="1" customHeight="1" s="380">
      <c r="A12" s="458" t="inlineStr">
        <is>
          <t>Tier 2 Bond Cost Rate</t>
        </is>
      </c>
      <c r="B12" s="634">
        <f>Assumptions!B17</f>
        <v/>
      </c>
      <c r="C12" s="635" t="n">
        <v>0.0325</v>
      </c>
      <c r="D12" s="636" t="n">
        <v>0.02</v>
      </c>
      <c r="E12" s="636" t="n">
        <v>0.05</v>
      </c>
      <c r="F12" s="458" t="inlineStr">
        <is>
          <t>%</t>
        </is>
      </c>
      <c r="G12" s="449" t="inlineStr">
        <is>
          <t>Reseda/3rd St bonding costs</t>
        </is>
      </c>
      <c r="H12" s="382" t="n"/>
      <c r="I12" s="382" t="n"/>
    </row>
    <row r="13" ht="15" customFormat="1" customHeight="1" s="380">
      <c r="A13" s="458" t="inlineStr">
        <is>
          <t>Debt Facility Interest Rate</t>
        </is>
      </c>
      <c r="B13" s="634">
        <f>Assumptions!B34</f>
        <v/>
      </c>
      <c r="C13" s="635" t="n">
        <v>0.15</v>
      </c>
      <c r="D13" s="636" t="n">
        <v>0.1</v>
      </c>
      <c r="E13" s="636" t="n">
        <v>0.2</v>
      </c>
      <c r="F13" s="458" t="inlineStr">
        <is>
          <t>%</t>
        </is>
      </c>
      <c r="G13" s="449" t="inlineStr">
        <is>
          <t>PE debt at $1.6M starting balance</t>
        </is>
      </c>
      <c r="H13" s="382" t="n"/>
      <c r="I13" s="382" t="n"/>
    </row>
    <row r="14" ht="15" customFormat="1" customHeight="1" s="380">
      <c r="A14" s="458" t="inlineStr">
        <is>
          <t>Monthly Debt Payment</t>
        </is>
      </c>
      <c r="B14" s="625">
        <f>Assumptions!B36</f>
        <v/>
      </c>
      <c r="C14" s="637" t="n">
        <v>130000</v>
      </c>
      <c r="D14" s="638" t="n">
        <v>100000</v>
      </c>
      <c r="E14" s="638" t="n">
        <v>175000</v>
      </c>
      <c r="F14" s="458" t="inlineStr">
        <is>
          <t>$</t>
        </is>
      </c>
      <c r="G14" s="449" t="inlineStr">
        <is>
          <t>PE debt monthly payment</t>
        </is>
      </c>
      <c r="H14" s="382" t="n"/>
      <c r="I14" s="382" t="n"/>
    </row>
    <row r="15" ht="15" customFormat="1" customHeight="1" s="380">
      <c r="A15" s="458" t="inlineStr">
        <is>
          <t>PIK Accrual Rate</t>
        </is>
      </c>
      <c r="B15" s="634">
        <f>Assumptions!B58</f>
        <v/>
      </c>
      <c r="C15" s="635" t="n">
        <v>0.15</v>
      </c>
      <c r="D15" s="636" t="n">
        <v>0.1</v>
      </c>
      <c r="E15" s="636" t="n">
        <v>0.2</v>
      </c>
      <c r="F15" s="458" t="inlineStr">
        <is>
          <t>%</t>
        </is>
      </c>
      <c r="G15" s="449" t="inlineStr">
        <is>
          <t>Steyn investment capital return</t>
        </is>
      </c>
      <c r="H15" s="382" t="n"/>
      <c r="I15" s="382" t="n"/>
    </row>
    <row r="16" ht="15" customFormat="1" customHeight="1" s="380">
      <c r="A16" s="458" t="inlineStr">
        <is>
          <t>Steyn Completion Guaranty Rate</t>
        </is>
      </c>
      <c r="B16" s="634">
        <f>Assumptions!B47</f>
        <v/>
      </c>
      <c r="C16" s="635" t="n">
        <v>0.01</v>
      </c>
      <c r="D16" s="636" t="n">
        <v>0.005</v>
      </c>
      <c r="E16" s="636" t="n">
        <v>0.02</v>
      </c>
      <c r="F16" s="458" t="inlineStr">
        <is>
          <t>%</t>
        </is>
      </c>
      <c r="G16" s="449" t="inlineStr">
        <is>
          <t>1% of GMP for Steyn projects</t>
        </is>
      </c>
      <c r="H16" s="382" t="n"/>
      <c r="I16" s="382" t="n"/>
    </row>
    <row r="17" ht="15" customFormat="1" customHeight="1" s="380">
      <c r="A17" s="458" t="inlineStr">
        <is>
          <t>Steyn Liquidity Fee Rate</t>
        </is>
      </c>
      <c r="B17" s="634">
        <f>Assumptions!B48</f>
        <v/>
      </c>
      <c r="C17" s="635" t="n">
        <v>0.03</v>
      </c>
      <c r="D17" s="636" t="n">
        <v>0.02</v>
      </c>
      <c r="E17" s="636" t="n">
        <v>0.05</v>
      </c>
      <c r="F17" s="458" t="inlineStr">
        <is>
          <t>%</t>
        </is>
      </c>
      <c r="G17" s="449" t="inlineStr">
        <is>
          <t>3% of liquidity requirement</t>
        </is>
      </c>
      <c r="H17" s="382" t="n"/>
      <c r="I17" s="382" t="n"/>
    </row>
    <row r="18" ht="15" customFormat="1" customHeight="1" s="380">
      <c r="A18" s="458" t="inlineStr">
        <is>
          <t>GC Headcount Growth (New Hires)</t>
        </is>
      </c>
      <c r="B18" s="639" t="n">
        <v>10</v>
      </c>
      <c r="C18" s="640" t="n">
        <v>10</v>
      </c>
      <c r="D18" s="641" t="n">
        <v>5</v>
      </c>
      <c r="E18" s="641" t="n">
        <v>15</v>
      </c>
      <c r="F18" s="458" t="inlineStr">
        <is>
          <t>#</t>
        </is>
      </c>
      <c r="G18" s="449" t="inlineStr">
        <is>
          <t>Number of new hires over model period</t>
        </is>
      </c>
      <c r="H18" s="382" t="n"/>
      <c r="I18" s="382" t="n"/>
    </row>
    <row r="19" ht="15" customFormat="1" customHeight="1" s="380">
      <c r="A19" s="458" t="inlineStr">
        <is>
          <t>SP Monthly Operating Expenses</t>
        </is>
      </c>
      <c r="B19" s="642" t="n">
        <v>18700</v>
      </c>
      <c r="C19" s="637" t="n">
        <v>18700</v>
      </c>
      <c r="D19" s="638" t="n">
        <v>15000</v>
      </c>
      <c r="E19" s="638" t="n">
        <v>25000</v>
      </c>
      <c r="F19" s="458" t="inlineStr">
        <is>
          <t>$</t>
        </is>
      </c>
      <c r="G19" s="449" t="inlineStr">
        <is>
          <t>Total SP monthly opex (rent+IT+etc.)</t>
        </is>
      </c>
      <c r="H19" s="382" t="n"/>
      <c r="I19" s="382" t="n"/>
    </row>
    <row r="20" ht="15" customFormat="1" customHeight="1" s="380">
      <c r="A20" s="382" t="n"/>
      <c r="B20" s="382" t="n"/>
      <c r="C20" s="382" t="n"/>
      <c r="D20" s="382" t="n"/>
      <c r="E20" s="382" t="n"/>
      <c r="F20" s="382" t="n"/>
      <c r="G20" s="382" t="n"/>
      <c r="H20" s="382" t="n"/>
      <c r="I20" s="382" t="n"/>
    </row>
    <row r="21" ht="15" customFormat="1" customHeight="1" s="380">
      <c r="A21" s="382" t="n"/>
      <c r="B21" s="382" t="n"/>
      <c r="C21" s="382" t="n"/>
      <c r="D21" s="382" t="n"/>
      <c r="E21" s="382" t="n"/>
      <c r="F21" s="382" t="n"/>
      <c r="G21" s="382" t="n"/>
      <c r="H21" s="382" t="n"/>
      <c r="I21" s="382" t="n"/>
    </row>
    <row r="22" ht="15" customFormat="1" customHeight="1" s="380">
      <c r="A22" s="383" t="inlineStr">
        <is>
          <t>PROJECT TOGGLE (Change to Yes/No on Projects Tab)</t>
        </is>
      </c>
      <c r="B22" s="383" t="n"/>
      <c r="C22" s="383" t="n"/>
      <c r="D22" s="383" t="n"/>
      <c r="E22" s="383" t="n"/>
      <c r="F22" s="383" t="n"/>
      <c r="G22" s="383" t="n"/>
      <c r="H22" s="382" t="n"/>
      <c r="I22" s="382" t="n"/>
    </row>
    <row r="23" ht="15" customFormat="1" customHeight="1" s="380">
      <c r="A23" s="402" t="inlineStr">
        <is>
          <t>Project</t>
        </is>
      </c>
      <c r="B23" s="402" t="inlineStr">
        <is>
          <t>Active</t>
        </is>
      </c>
      <c r="C23" s="402" t="inlineStr">
        <is>
          <t>GMP</t>
        </is>
      </c>
      <c r="D23" s="402" t="inlineStr">
        <is>
          <t>Type</t>
        </is>
      </c>
      <c r="E23" s="402" t="inlineStr">
        <is>
          <t>Duration</t>
        </is>
      </c>
      <c r="F23" s="402" t="inlineStr">
        <is>
          <t>Steyn</t>
        </is>
      </c>
      <c r="G23" s="402" t="inlineStr">
        <is>
          <t>LIHTC</t>
        </is>
      </c>
      <c r="H23" s="382" t="n"/>
      <c r="I23" s="382" t="n"/>
    </row>
    <row r="24" ht="15" customFormat="1" customHeight="1" s="380">
      <c r="A24" s="458" t="inlineStr">
        <is>
          <t>Crenshaw</t>
        </is>
      </c>
      <c r="B24" s="643">
        <f>Projects!$G$2</f>
        <v/>
      </c>
      <c r="C24" s="642" t="n">
        <v>5321971</v>
      </c>
      <c r="D24" s="458" t="inlineStr">
        <is>
          <t>Dev</t>
        </is>
      </c>
      <c r="E24" s="458" t="inlineStr">
        <is>
          <t>8 mo</t>
        </is>
      </c>
      <c r="F24" s="458" t="inlineStr">
        <is>
          <t>No</t>
        </is>
      </c>
      <c r="G24" s="458" t="inlineStr">
        <is>
          <t>No</t>
        </is>
      </c>
      <c r="H24" s="382" t="n"/>
      <c r="I24" s="382" t="n"/>
    </row>
    <row r="25" ht="15" customFormat="1" customHeight="1" s="380">
      <c r="A25" s="458" t="inlineStr">
        <is>
          <t>Ramsgate</t>
        </is>
      </c>
      <c r="B25" s="643">
        <f>Projects!$G$3</f>
        <v/>
      </c>
      <c r="C25" s="642" t="n">
        <v>19982132</v>
      </c>
      <c r="D25" s="458" t="inlineStr">
        <is>
          <t>Dev</t>
        </is>
      </c>
      <c r="E25" s="458" t="inlineStr">
        <is>
          <t>16 mo</t>
        </is>
      </c>
      <c r="F25" s="458" t="inlineStr">
        <is>
          <t>No</t>
        </is>
      </c>
      <c r="G25" s="458" t="inlineStr">
        <is>
          <t>No</t>
        </is>
      </c>
      <c r="H25" s="382" t="n"/>
      <c r="I25" s="382" t="n"/>
    </row>
    <row r="26" ht="15" customFormat="1" customHeight="1" s="380">
      <c r="A26" s="458" t="inlineStr">
        <is>
          <t>Califa</t>
        </is>
      </c>
      <c r="B26" s="643">
        <f>Projects!$G$4</f>
        <v/>
      </c>
      <c r="C26" s="642" t="n">
        <v>11673185</v>
      </c>
      <c r="D26" s="458" t="inlineStr">
        <is>
          <t>3PGC</t>
        </is>
      </c>
      <c r="E26" s="458" t="inlineStr">
        <is>
          <t>15 mo</t>
        </is>
      </c>
      <c r="F26" s="458" t="inlineStr">
        <is>
          <t>No</t>
        </is>
      </c>
      <c r="G26" s="458" t="inlineStr">
        <is>
          <t>Yes</t>
        </is>
      </c>
      <c r="H26" s="382" t="n"/>
      <c r="I26" s="382" t="n"/>
    </row>
    <row r="27" ht="15" customFormat="1" customHeight="1" s="380">
      <c r="A27" s="458" t="inlineStr">
        <is>
          <t>Whipple</t>
        </is>
      </c>
      <c r="B27" s="643">
        <f>Projects!$G$5</f>
        <v/>
      </c>
      <c r="C27" s="642" t="n">
        <v>13492534</v>
      </c>
      <c r="D27" s="458" t="inlineStr">
        <is>
          <t>3PGC</t>
        </is>
      </c>
      <c r="E27" s="458" t="inlineStr">
        <is>
          <t>15 mo</t>
        </is>
      </c>
      <c r="F27" s="458" t="inlineStr">
        <is>
          <t>No</t>
        </is>
      </c>
      <c r="G27" s="458" t="inlineStr">
        <is>
          <t>Yes</t>
        </is>
      </c>
      <c r="H27" s="382" t="n"/>
      <c r="I27" s="382" t="n"/>
    </row>
    <row r="28" ht="15" customFormat="1" customHeight="1" s="380">
      <c r="A28" s="458" t="inlineStr">
        <is>
          <t>Nelrose</t>
        </is>
      </c>
      <c r="B28" s="643">
        <f>Projects!$G$6</f>
        <v/>
      </c>
      <c r="C28" s="642" t="n">
        <v>4052747</v>
      </c>
      <c r="D28" s="458" t="inlineStr">
        <is>
          <t>3PGC</t>
        </is>
      </c>
      <c r="E28" s="458" t="inlineStr">
        <is>
          <t>19 mo</t>
        </is>
      </c>
      <c r="F28" s="458" t="inlineStr">
        <is>
          <t>No</t>
        </is>
      </c>
      <c r="G28" s="458" t="inlineStr">
        <is>
          <t>Yes</t>
        </is>
      </c>
      <c r="H28" s="382" t="n"/>
      <c r="I28" s="382" t="n"/>
    </row>
    <row r="29" ht="15" customFormat="1" customHeight="1" s="380">
      <c r="A29" s="458" t="inlineStr">
        <is>
          <t>Francis</t>
        </is>
      </c>
      <c r="B29" s="643">
        <f>Projects!$G$7</f>
        <v/>
      </c>
      <c r="C29" s="642" t="n">
        <v>42794765</v>
      </c>
      <c r="D29" s="458" t="inlineStr">
        <is>
          <t>Dev</t>
        </is>
      </c>
      <c r="E29" s="458" t="inlineStr">
        <is>
          <t>24 mo</t>
        </is>
      </c>
      <c r="F29" s="458" t="inlineStr">
        <is>
          <t>Yes</t>
        </is>
      </c>
      <c r="G29" s="458" t="inlineStr">
        <is>
          <t>Yes</t>
        </is>
      </c>
      <c r="H29" s="382" t="n"/>
      <c r="I29" s="382" t="n"/>
    </row>
    <row r="30" ht="15" customFormat="1" customHeight="1" s="380">
      <c r="A30" s="458" t="inlineStr">
        <is>
          <t>Lexington</t>
        </is>
      </c>
      <c r="B30" s="643">
        <f>Projects!$G$8</f>
        <v/>
      </c>
      <c r="C30" s="642" t="n">
        <v>12993776.05</v>
      </c>
      <c r="D30" s="458" t="inlineStr">
        <is>
          <t>3PGC</t>
        </is>
      </c>
      <c r="E30" s="458" t="inlineStr">
        <is>
          <t>19 mo</t>
        </is>
      </c>
      <c r="F30" s="458" t="inlineStr">
        <is>
          <t>No</t>
        </is>
      </c>
      <c r="G30" s="458" t="inlineStr">
        <is>
          <t>Yes</t>
        </is>
      </c>
      <c r="H30" s="382" t="n"/>
      <c r="I30" s="382" t="n"/>
    </row>
    <row r="31" ht="15" customFormat="1" customHeight="1" s="380">
      <c r="A31" s="458" t="inlineStr">
        <is>
          <t>Denny</t>
        </is>
      </c>
      <c r="B31" s="643">
        <f>Projects!$G$9</f>
        <v/>
      </c>
      <c r="C31" s="642" t="n">
        <v>14337010.8</v>
      </c>
      <c r="D31" s="458" t="inlineStr">
        <is>
          <t>3PGC</t>
        </is>
      </c>
      <c r="E31" s="458" t="inlineStr">
        <is>
          <t>30 mo</t>
        </is>
      </c>
      <c r="F31" s="458" t="inlineStr">
        <is>
          <t>No</t>
        </is>
      </c>
      <c r="G31" s="458" t="inlineStr">
        <is>
          <t>Yes</t>
        </is>
      </c>
      <c r="H31" s="382" t="n"/>
      <c r="I31" s="382" t="n"/>
    </row>
    <row r="32" ht="15" customFormat="1" customHeight="1" s="380">
      <c r="A32" s="458" t="inlineStr">
        <is>
          <t>Acama</t>
        </is>
      </c>
      <c r="B32" s="643">
        <f>Projects!$G$10</f>
        <v/>
      </c>
      <c r="C32" s="642" t="n">
        <v>21263405</v>
      </c>
      <c r="D32" s="458" t="inlineStr">
        <is>
          <t>3PGC</t>
        </is>
      </c>
      <c r="E32" s="458" t="inlineStr">
        <is>
          <t>19 mo</t>
        </is>
      </c>
      <c r="F32" s="458" t="inlineStr">
        <is>
          <t>No</t>
        </is>
      </c>
      <c r="G32" s="458" t="inlineStr">
        <is>
          <t>Yes</t>
        </is>
      </c>
      <c r="H32" s="382" t="n"/>
      <c r="I32" s="382" t="n"/>
    </row>
    <row r="33" ht="15" customFormat="1" customHeight="1" s="380">
      <c r="A33" s="458" t="inlineStr">
        <is>
          <t>Klump</t>
        </is>
      </c>
      <c r="B33" s="643">
        <f>Projects!$G$11</f>
        <v/>
      </c>
      <c r="C33" s="642" t="n">
        <v>9577109</v>
      </c>
      <c r="D33" s="458" t="inlineStr">
        <is>
          <t>Dev</t>
        </is>
      </c>
      <c r="E33" s="458" t="inlineStr">
        <is>
          <t>19 mo</t>
        </is>
      </c>
      <c r="F33" s="458" t="inlineStr">
        <is>
          <t>Yes</t>
        </is>
      </c>
      <c r="G33" s="458" t="inlineStr">
        <is>
          <t>No</t>
        </is>
      </c>
      <c r="H33" s="382" t="n"/>
      <c r="I33" s="382" t="n"/>
    </row>
    <row r="34" ht="15" customFormat="1" customHeight="1" s="380">
      <c r="A34" s="458" t="inlineStr">
        <is>
          <t>Scott</t>
        </is>
      </c>
      <c r="B34" s="643">
        <f>Projects!$G$12</f>
        <v/>
      </c>
      <c r="C34" s="642" t="n">
        <v>7545203</v>
      </c>
      <c r="D34" s="458" t="inlineStr">
        <is>
          <t>Dev</t>
        </is>
      </c>
      <c r="E34" s="458" t="inlineStr">
        <is>
          <t>19 mo</t>
        </is>
      </c>
      <c r="F34" s="458" t="inlineStr">
        <is>
          <t>Yes</t>
        </is>
      </c>
      <c r="G34" s="458" t="inlineStr">
        <is>
          <t>No</t>
        </is>
      </c>
      <c r="H34" s="382" t="n"/>
      <c r="I34" s="382" t="n"/>
    </row>
    <row r="35" ht="15" customFormat="1" customHeight="1" s="380">
      <c r="A35" s="458" t="inlineStr">
        <is>
          <t>Reseda</t>
        </is>
      </c>
      <c r="B35" s="643">
        <f>Projects!$G$13</f>
        <v/>
      </c>
      <c r="C35" s="642" t="n">
        <v>45266770</v>
      </c>
      <c r="D35" s="458" t="inlineStr">
        <is>
          <t>Dev</t>
        </is>
      </c>
      <c r="E35" s="458" t="inlineStr">
        <is>
          <t>30 mo</t>
        </is>
      </c>
      <c r="F35" s="458" t="inlineStr">
        <is>
          <t>Yes</t>
        </is>
      </c>
      <c r="G35" s="458" t="inlineStr">
        <is>
          <t>Yes</t>
        </is>
      </c>
      <c r="H35" s="382" t="n"/>
      <c r="I35" s="382" t="n"/>
    </row>
    <row r="36" ht="15" customFormat="1" customHeight="1" s="380">
      <c r="A36" s="458" t="inlineStr">
        <is>
          <t>3rd St</t>
        </is>
      </c>
      <c r="B36" s="643">
        <f>Projects!$G$14</f>
        <v/>
      </c>
      <c r="C36" s="642" t="n">
        <v>41354632</v>
      </c>
      <c r="D36" s="458" t="inlineStr">
        <is>
          <t>Dev</t>
        </is>
      </c>
      <c r="E36" s="458" t="inlineStr">
        <is>
          <t>30 mo</t>
        </is>
      </c>
      <c r="F36" s="458" t="inlineStr">
        <is>
          <t>Yes</t>
        </is>
      </c>
      <c r="G36" s="458" t="inlineStr">
        <is>
          <t>Yes</t>
        </is>
      </c>
      <c r="H36" s="382" t="n"/>
      <c r="I36" s="382" t="n"/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</row>
    <row r="38" ht="15" customFormat="1" customHeight="1" s="380">
      <c r="A38" s="382" t="n"/>
      <c r="B38" s="382" t="n"/>
      <c r="C38" s="382" t="n"/>
      <c r="D38" s="382" t="n"/>
      <c r="E38" s="382" t="n"/>
      <c r="F38" s="382" t="n"/>
      <c r="G38" s="382" t="n"/>
      <c r="H38" s="382" t="n"/>
      <c r="I38" s="382" t="n"/>
    </row>
    <row r="39" ht="15" customFormat="1" customHeight="1" s="380">
      <c r="A39" s="383" t="inlineStr">
        <is>
          <t>ANNUAL RESULTS (Live from Model)</t>
        </is>
      </c>
      <c r="B39" s="383" t="n"/>
      <c r="C39" s="383" t="n"/>
      <c r="D39" s="383" t="n"/>
      <c r="E39" s="383" t="n"/>
      <c r="F39" s="383" t="n"/>
      <c r="G39" s="383" t="n"/>
      <c r="H39" s="383" t="n"/>
      <c r="I39" s="383" t="n"/>
    </row>
    <row r="40" ht="15" customFormat="1" customHeight="1" s="380">
      <c r="A40" s="402" t="inlineStr">
        <is>
          <t>Metric</t>
        </is>
      </c>
      <c r="B40" s="644" t="inlineStr">
        <is>
          <t>FY 2026</t>
        </is>
      </c>
      <c r="C40" s="644" t="inlineStr">
        <is>
          <t>FY 2027</t>
        </is>
      </c>
      <c r="D40" s="644" t="inlineStr">
        <is>
          <t>FY 2028</t>
        </is>
      </c>
      <c r="E40" s="644" t="inlineStr">
        <is>
          <t>FY 2029</t>
        </is>
      </c>
      <c r="F40" s="644" t="inlineStr">
        <is>
          <t>FY 2030</t>
        </is>
      </c>
      <c r="G40" s="644" t="inlineStr">
        <is>
          <t>FY 2031</t>
        </is>
      </c>
      <c r="H40" s="644" t="inlineStr">
        <is>
          <t>FY 2032</t>
        </is>
      </c>
      <c r="I40" s="644" t="inlineStr">
        <is>
          <t>FY 2033</t>
        </is>
      </c>
    </row>
    <row r="41" ht="15" customFormat="1" customHeight="1" s="380">
      <c r="A41" s="626" t="inlineStr">
        <is>
          <t>Total GC Revenue</t>
        </is>
      </c>
      <c r="B41" s="627">
        <f>'Annual Summary'!B7</f>
        <v/>
      </c>
      <c r="C41" s="627">
        <f>'Annual Summary'!C7</f>
        <v/>
      </c>
      <c r="D41" s="627">
        <f>'Annual Summary'!D7</f>
        <v/>
      </c>
      <c r="E41" s="627">
        <f>'Annual Summary'!E7</f>
        <v/>
      </c>
      <c r="F41" s="627">
        <f>'Annual Summary'!F7</f>
        <v/>
      </c>
      <c r="G41" s="627">
        <f>'Annual Summary'!G7</f>
        <v/>
      </c>
      <c r="H41" s="627">
        <f>'Annual Summary'!H7</f>
        <v/>
      </c>
      <c r="I41" s="627">
        <f>'Annual Summary'!I7</f>
        <v/>
      </c>
    </row>
    <row r="42" ht="15" customFormat="1" customHeight="1" s="380">
      <c r="A42" s="422" t="inlineStr">
        <is>
          <t>GC Net Income</t>
        </is>
      </c>
      <c r="B42" s="645">
        <f>'Annual Summary'!B22</f>
        <v/>
      </c>
      <c r="C42" s="645">
        <f>'Annual Summary'!C22</f>
        <v/>
      </c>
      <c r="D42" s="645">
        <f>'Annual Summary'!D22</f>
        <v/>
      </c>
      <c r="E42" s="645">
        <f>'Annual Summary'!E22</f>
        <v/>
      </c>
      <c r="F42" s="645">
        <f>'Annual Summary'!F22</f>
        <v/>
      </c>
      <c r="G42" s="645">
        <f>'Annual Summary'!G22</f>
        <v/>
      </c>
      <c r="H42" s="645">
        <f>'Annual Summary'!H22</f>
        <v/>
      </c>
      <c r="I42" s="645">
        <f>'Annual Summary'!I22</f>
        <v/>
      </c>
    </row>
    <row r="43" ht="15" customFormat="1" customHeight="1" s="380">
      <c r="A43" s="458" t="inlineStr">
        <is>
          <t>GC Profit Margin %</t>
        </is>
      </c>
      <c r="B43" s="634">
        <f>'Annual Summary'!B23</f>
        <v/>
      </c>
      <c r="C43" s="634">
        <f>'Annual Summary'!C23</f>
        <v/>
      </c>
      <c r="D43" s="634">
        <f>'Annual Summary'!D23</f>
        <v/>
      </c>
      <c r="E43" s="634">
        <f>'Annual Summary'!E23</f>
        <v/>
      </c>
      <c r="F43" s="634">
        <f>'Annual Summary'!F23</f>
        <v/>
      </c>
      <c r="G43" s="634">
        <f>'Annual Summary'!G23</f>
        <v/>
      </c>
      <c r="H43" s="634">
        <f>'Annual Summary'!H23</f>
        <v/>
      </c>
      <c r="I43" s="634">
        <f>'Annual Summary'!I23</f>
        <v/>
      </c>
    </row>
    <row r="44" ht="15" customFormat="1" customHeight="1" s="380">
      <c r="A44" s="382" t="n"/>
      <c r="B44" s="382" t="n"/>
      <c r="C44" s="382" t="n"/>
      <c r="D44" s="382" t="n"/>
      <c r="E44" s="382" t="n"/>
      <c r="F44" s="382" t="n"/>
      <c r="G44" s="382" t="n"/>
      <c r="H44" s="382" t="n"/>
      <c r="I44" s="382" t="n"/>
    </row>
    <row r="45" ht="15" customFormat="1" customHeight="1" s="380">
      <c r="A45" s="626" t="inlineStr">
        <is>
          <t>Six Peak Revenue</t>
        </is>
      </c>
      <c r="B45" s="627">
        <f>'Annual Summary'!B25</f>
        <v/>
      </c>
      <c r="C45" s="627">
        <f>'Annual Summary'!C25</f>
        <v/>
      </c>
      <c r="D45" s="627">
        <f>'Annual Summary'!D25</f>
        <v/>
      </c>
      <c r="E45" s="627">
        <f>'Annual Summary'!E25</f>
        <v/>
      </c>
      <c r="F45" s="627">
        <f>'Annual Summary'!F25</f>
        <v/>
      </c>
      <c r="G45" s="627">
        <f>'Annual Summary'!G25</f>
        <v/>
      </c>
      <c r="H45" s="627">
        <f>'Annual Summary'!H25</f>
        <v/>
      </c>
      <c r="I45" s="627">
        <f>'Annual Summary'!I25</f>
        <v/>
      </c>
    </row>
    <row r="46" ht="15" customFormat="1" customHeight="1" s="380">
      <c r="A46" s="422" t="inlineStr">
        <is>
          <t>Six Peak Net Income</t>
        </is>
      </c>
      <c r="B46" s="645">
        <f>'Annual Summary'!B27</f>
        <v/>
      </c>
      <c r="C46" s="645">
        <f>'Annual Summary'!C27</f>
        <v/>
      </c>
      <c r="D46" s="645">
        <f>'Annual Summary'!D27</f>
        <v/>
      </c>
      <c r="E46" s="645">
        <f>'Annual Summary'!E27</f>
        <v/>
      </c>
      <c r="F46" s="645">
        <f>'Annual Summary'!F27</f>
        <v/>
      </c>
      <c r="G46" s="645">
        <f>'Annual Summary'!G27</f>
        <v/>
      </c>
      <c r="H46" s="645">
        <f>'Annual Summary'!H27</f>
        <v/>
      </c>
      <c r="I46" s="645">
        <f>'Annual Summary'!I27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</row>
    <row r="48" ht="15" customFormat="1" customHeight="1" s="380">
      <c r="A48" s="422" t="inlineStr">
        <is>
          <t>Consolidated Net Income</t>
        </is>
      </c>
      <c r="B48" s="645">
        <f>'Annual Summary'!B29</f>
        <v/>
      </c>
      <c r="C48" s="645">
        <f>'Annual Summary'!C29</f>
        <v/>
      </c>
      <c r="D48" s="645">
        <f>'Annual Summary'!D29</f>
        <v/>
      </c>
      <c r="E48" s="645">
        <f>'Annual Summary'!E29</f>
        <v/>
      </c>
      <c r="F48" s="645">
        <f>'Annual Summary'!F29</f>
        <v/>
      </c>
      <c r="G48" s="645">
        <f>'Annual Summary'!G29</f>
        <v/>
      </c>
      <c r="H48" s="645">
        <f>'Annual Summary'!H29</f>
        <v/>
      </c>
      <c r="I48" s="645">
        <f>'Annual Summary'!I29</f>
        <v/>
      </c>
    </row>
    <row r="49" ht="15" customFormat="1" customHeight="1" s="380">
      <c r="A49" s="382" t="n"/>
      <c r="B49" s="382" t="n"/>
      <c r="C49" s="382" t="n"/>
      <c r="D49" s="382" t="n"/>
      <c r="E49" s="382" t="n"/>
      <c r="F49" s="382" t="n"/>
      <c r="G49" s="382" t="n"/>
      <c r="H49" s="382" t="n"/>
      <c r="I49" s="382" t="n"/>
    </row>
    <row r="50" ht="15" customFormat="1" customHeight="1" s="380">
      <c r="A50" s="646" t="inlineStr">
        <is>
          <t>Total Ending Cash</t>
        </is>
      </c>
      <c r="B50" s="647">
        <f>'Annual Summary'!B51</f>
        <v/>
      </c>
      <c r="C50" s="647">
        <f>'Annual Summary'!C51</f>
        <v/>
      </c>
      <c r="D50" s="647">
        <f>'Annual Summary'!D51</f>
        <v/>
      </c>
      <c r="E50" s="647">
        <f>'Annual Summary'!E51</f>
        <v/>
      </c>
      <c r="F50" s="647">
        <f>'Annual Summary'!F51</f>
        <v/>
      </c>
      <c r="G50" s="647">
        <f>'Annual Summary'!G51</f>
        <v/>
      </c>
      <c r="H50" s="647">
        <f>'Annual Summary'!H51</f>
        <v/>
      </c>
      <c r="I50" s="647">
        <f>'Annual Summary'!I51</f>
        <v/>
      </c>
    </row>
    <row r="51" ht="15" customFormat="1" customHeight="1" s="380">
      <c r="A51" s="646" t="inlineStr">
        <is>
          <t>LV Ending Cash</t>
        </is>
      </c>
      <c r="B51" s="647">
        <f>'Annual Summary'!B48</f>
        <v/>
      </c>
      <c r="C51" s="647">
        <f>'Annual Summary'!C48</f>
        <v/>
      </c>
      <c r="D51" s="647">
        <f>'Annual Summary'!D48</f>
        <v/>
      </c>
      <c r="E51" s="647">
        <f>'Annual Summary'!E48</f>
        <v/>
      </c>
      <c r="F51" s="647">
        <f>'Annual Summary'!F48</f>
        <v/>
      </c>
      <c r="G51" s="647">
        <f>'Annual Summary'!G48</f>
        <v/>
      </c>
      <c r="H51" s="647">
        <f>'Annual Summary'!H48</f>
        <v/>
      </c>
      <c r="I51" s="647">
        <f>'Annual Summary'!I48</f>
        <v/>
      </c>
    </row>
    <row r="52" ht="15" customFormat="1" customHeight="1" s="380">
      <c r="A52" s="646" t="inlineStr">
        <is>
          <t>SP Ending Cash</t>
        </is>
      </c>
      <c r="B52" s="647">
        <f>'Annual Summary'!B49</f>
        <v/>
      </c>
      <c r="C52" s="647">
        <f>'Annual Summary'!C49</f>
        <v/>
      </c>
      <c r="D52" s="647">
        <f>'Annual Summary'!D49</f>
        <v/>
      </c>
      <c r="E52" s="647">
        <f>'Annual Summary'!E49</f>
        <v/>
      </c>
      <c r="F52" s="647">
        <f>'Annual Summary'!F49</f>
        <v/>
      </c>
      <c r="G52" s="647">
        <f>'Annual Summary'!G49</f>
        <v/>
      </c>
      <c r="H52" s="647">
        <f>'Annual Summary'!H49</f>
        <v/>
      </c>
      <c r="I52" s="647">
        <f>'Annual Summary'!I49</f>
        <v/>
      </c>
    </row>
    <row r="53" ht="15" customFormat="1" customHeight="1" s="380">
      <c r="A53" s="382" t="n"/>
      <c r="B53" s="382" t="n"/>
      <c r="C53" s="382" t="n"/>
      <c r="D53" s="382" t="n"/>
      <c r="E53" s="382" t="n"/>
      <c r="F53" s="382" t="n"/>
      <c r="G53" s="382" t="n"/>
      <c r="H53" s="382" t="n"/>
      <c r="I53" s="382" t="n"/>
    </row>
    <row r="54" ht="15" customFormat="1" customHeight="1" s="380">
      <c r="A54" s="458" t="inlineStr">
        <is>
          <t>Total Bonding Outstanding</t>
        </is>
      </c>
      <c r="B54" s="625">
        <f>'Annual Summary'!B46</f>
        <v/>
      </c>
      <c r="C54" s="625">
        <f>'Annual Summary'!C46</f>
        <v/>
      </c>
      <c r="D54" s="625">
        <f>'Annual Summary'!D46</f>
        <v/>
      </c>
      <c r="E54" s="625">
        <f>'Annual Summary'!E46</f>
        <v/>
      </c>
      <c r="F54" s="625">
        <f>'Annual Summary'!F46</f>
        <v/>
      </c>
      <c r="G54" s="625">
        <f>'Annual Summary'!G46</f>
        <v/>
      </c>
      <c r="H54" s="625">
        <f>'Annual Summary'!H46</f>
        <v/>
      </c>
      <c r="I54" s="625">
        <f>'Annual Summary'!I46</f>
        <v/>
      </c>
    </row>
    <row r="55" ht="15" customFormat="1" customHeight="1" s="380">
      <c r="A55" s="458" t="inlineStr">
        <is>
          <t>PIK Outstanding</t>
        </is>
      </c>
      <c r="B55" s="625">
        <f>'Annual Summary'!B44</f>
        <v/>
      </c>
      <c r="C55" s="625">
        <f>'Annual Summary'!C44</f>
        <v/>
      </c>
      <c r="D55" s="625">
        <f>'Annual Summary'!D44</f>
        <v/>
      </c>
      <c r="E55" s="625">
        <f>'Annual Summary'!E44</f>
        <v/>
      </c>
      <c r="F55" s="625">
        <f>'Annual Summary'!F44</f>
        <v/>
      </c>
      <c r="G55" s="625">
        <f>'Annual Summary'!G44</f>
        <v/>
      </c>
      <c r="H55" s="625">
        <f>'Annual Summary'!H44</f>
        <v/>
      </c>
      <c r="I55" s="625">
        <f>'Annual Summary'!I44</f>
        <v/>
      </c>
    </row>
    <row r="56" ht="15" customFormat="1" customHeight="1" s="380">
      <c r="A56" s="382" t="n"/>
      <c r="B56" s="382" t="n"/>
      <c r="C56" s="382" t="n"/>
      <c r="D56" s="382" t="n"/>
      <c r="E56" s="382" t="n"/>
      <c r="F56" s="382" t="n"/>
      <c r="G56" s="382" t="n"/>
      <c r="H56" s="382" t="n"/>
      <c r="I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</row>
    <row r="58" ht="15" customFormat="1" customHeight="1" s="380">
      <c r="A58" s="383" t="inlineStr">
        <is>
          <t>GC REVENUE SENSITIVITY — Total Fee Revenue by Rate Combination</t>
        </is>
      </c>
      <c r="B58" s="383" t="n"/>
      <c r="C58" s="383" t="n"/>
      <c r="D58" s="383" t="n"/>
      <c r="E58" s="383" t="n"/>
      <c r="F58" s="383" t="n"/>
      <c r="G58" s="383" t="n"/>
      <c r="H58" s="382" t="n"/>
      <c r="I58" s="382" t="n"/>
    </row>
    <row r="59" ht="15" customFormat="1" customHeight="1" s="380">
      <c r="A59" s="449" t="inlineStr">
        <is>
          <t>Combined GMP: $251,968,791  |  Shows total fee revenue (Sup+GC+Admin) at different rate/overhead combos</t>
        </is>
      </c>
      <c r="B59" s="382" t="n"/>
      <c r="C59" s="382" t="n"/>
      <c r="D59" s="382" t="n"/>
      <c r="E59" s="382" t="n"/>
      <c r="F59" s="382" t="n"/>
      <c r="G59" s="382" t="n"/>
      <c r="H59" s="382" t="n"/>
      <c r="I59" s="382" t="n"/>
    </row>
    <row r="60" ht="15" customFormat="1" customHeight="1" s="380">
      <c r="A60" s="648" t="inlineStr">
        <is>
          <t>Total Fee Rate ↓  /  Overhead Rate →</t>
        </is>
      </c>
      <c r="B60" s="649" t="n">
        <v>0.07000000000000001</v>
      </c>
      <c r="C60" s="649" t="n">
        <v>0.08</v>
      </c>
      <c r="D60" s="649" t="n">
        <v>0.092</v>
      </c>
      <c r="E60" s="649" t="n">
        <v>0.1</v>
      </c>
      <c r="F60" s="649" t="n">
        <v>0.12</v>
      </c>
      <c r="G60" s="382" t="n"/>
      <c r="H60" s="382" t="n"/>
      <c r="I60" s="382" t="n"/>
    </row>
    <row r="61" ht="15" customFormat="1" customHeight="1" s="380">
      <c r="A61" s="650" t="n">
        <v>0.1</v>
      </c>
      <c r="B61" s="638" t="n">
        <v>21535794</v>
      </c>
      <c r="C61" s="638" t="n">
        <v>21353287</v>
      </c>
      <c r="D61" s="638" t="n">
        <v>21138321</v>
      </c>
      <c r="E61" s="638" t="n">
        <v>20997399</v>
      </c>
      <c r="F61" s="638" t="n">
        <v>20653180</v>
      </c>
      <c r="G61" s="382" t="n"/>
      <c r="H61" s="382" t="n"/>
      <c r="I61" s="382" t="n"/>
    </row>
    <row r="62" ht="15" customFormat="1" customHeight="1" s="380">
      <c r="A62" s="650" t="n">
        <v>0.12</v>
      </c>
      <c r="B62" s="638" t="n">
        <v>25408618</v>
      </c>
      <c r="C62" s="638" t="n">
        <v>25196879</v>
      </c>
      <c r="D62" s="638" t="n">
        <v>24947405</v>
      </c>
      <c r="E62" s="638" t="n">
        <v>24783816</v>
      </c>
      <c r="F62" s="638" t="n">
        <v>24384077</v>
      </c>
      <c r="G62" s="382" t="n"/>
      <c r="H62" s="382" t="n"/>
      <c r="I62" s="382" t="n"/>
    </row>
    <row r="63" ht="15" customFormat="1" customHeight="1" s="380">
      <c r="A63" s="650" t="n">
        <v>0.14</v>
      </c>
      <c r="B63" s="638" t="n">
        <v>29153414</v>
      </c>
      <c r="C63" s="638" t="n">
        <v>28914451</v>
      </c>
      <c r="D63" s="651" t="n">
        <v>28632817</v>
      </c>
      <c r="E63" s="638" t="n">
        <v>28448089</v>
      </c>
      <c r="F63" s="638" t="n">
        <v>27996532</v>
      </c>
      <c r="G63" s="382" t="n"/>
      <c r="H63" s="382" t="n"/>
      <c r="I63" s="382" t="n"/>
    </row>
    <row r="64" ht="15" customFormat="1" customHeight="1" s="380">
      <c r="A64" s="650" t="n">
        <v>0.16</v>
      </c>
      <c r="B64" s="638" t="n">
        <v>32776428</v>
      </c>
      <c r="C64" s="638" t="n">
        <v>32512102</v>
      </c>
      <c r="D64" s="638" t="n">
        <v>32200484</v>
      </c>
      <c r="E64" s="638" t="n">
        <v>31996037</v>
      </c>
      <c r="F64" s="638" t="n">
        <v>31496099</v>
      </c>
      <c r="G64" s="382" t="n"/>
      <c r="H64" s="382" t="n"/>
      <c r="I64" s="382" t="n"/>
    </row>
    <row r="65" ht="15" customFormat="1" customHeight="1" s="380">
      <c r="A65" s="650" t="n">
        <v>0.18</v>
      </c>
      <c r="B65" s="638" t="n">
        <v>36283506</v>
      </c>
      <c r="C65" s="638" t="n">
        <v>35995542</v>
      </c>
      <c r="D65" s="638" t="n">
        <v>35655961</v>
      </c>
      <c r="E65" s="638" t="n">
        <v>35433111</v>
      </c>
      <c r="F65" s="638" t="n">
        <v>34887986</v>
      </c>
      <c r="G65" s="382" t="n"/>
      <c r="H65" s="382" t="n"/>
      <c r="I65" s="382" t="n"/>
    </row>
    <row r="66" ht="15" customFormat="1" customHeight="1" s="380">
      <c r="A66" s="382" t="n"/>
      <c r="B66" s="382" t="n"/>
      <c r="C66" s="382" t="n"/>
      <c r="D66" s="382" t="n"/>
      <c r="E66" s="382" t="n"/>
      <c r="F66" s="382" t="n"/>
      <c r="G66" s="382" t="n"/>
      <c r="H66" s="382" t="n"/>
      <c r="I66" s="382" t="n"/>
    </row>
    <row r="67" ht="15" customFormat="1" customHeight="1" s="380">
      <c r="A67" s="382" t="n"/>
      <c r="B67" s="382" t="n"/>
      <c r="C67" s="382" t="n"/>
      <c r="D67" s="382" t="n"/>
      <c r="E67" s="382" t="n"/>
      <c r="F67" s="382" t="n"/>
      <c r="G67" s="382" t="n"/>
      <c r="H67" s="382" t="n"/>
      <c r="I67" s="382" t="n"/>
    </row>
    <row r="68" ht="15" customFormat="1" customHeight="1" s="380">
      <c r="A68" s="383" t="inlineStr">
        <is>
          <t>CASH POSITION ANALYSIS</t>
        </is>
      </c>
      <c r="B68" s="383" t="n"/>
      <c r="C68" s="383" t="n"/>
      <c r="D68" s="383" t="n"/>
      <c r="E68" s="383" t="n"/>
      <c r="F68" s="383" t="n"/>
      <c r="G68" s="382" t="n"/>
      <c r="H68" s="382" t="n"/>
      <c r="I68" s="382" t="n"/>
    </row>
    <row r="69" ht="15" customFormat="1" customHeight="1" s="380">
      <c r="A69" s="402" t="inlineStr">
        <is>
          <t>Entity</t>
        </is>
      </c>
      <c r="B69" s="402" t="inlineStr">
        <is>
          <t>Starting Cash</t>
        </is>
      </c>
      <c r="C69" s="402" t="inlineStr">
        <is>
          <t>FY 2027 Cash</t>
        </is>
      </c>
      <c r="D69" s="402" t="inlineStr">
        <is>
          <t>FY 2029 Cash</t>
        </is>
      </c>
      <c r="E69" s="402" t="inlineStr">
        <is>
          <t>FY 2031 Cash</t>
        </is>
      </c>
      <c r="F69" s="402" t="inlineStr">
        <is>
          <t>FY 2033 Cash</t>
        </is>
      </c>
      <c r="G69" s="382" t="n"/>
      <c r="H69" s="382" t="n"/>
      <c r="I69" s="382" t="n"/>
    </row>
    <row r="70" ht="15" customFormat="1" customHeight="1" s="380">
      <c r="A70" s="458" t="inlineStr">
        <is>
          <t>LV (GC)</t>
        </is>
      </c>
      <c r="B70" s="642">
        <f>'Annual Summary'!B48</f>
        <v/>
      </c>
      <c r="C70" s="638">
        <f>'Annual Summary'!C48</f>
        <v/>
      </c>
      <c r="D70" s="638">
        <f>'Annual Summary'!E48</f>
        <v/>
      </c>
      <c r="E70" s="638">
        <f>'Annual Summary'!G48</f>
        <v/>
      </c>
      <c r="F70" s="638">
        <f>'Annual Summary'!I48</f>
        <v/>
      </c>
      <c r="G70" s="382" t="n"/>
      <c r="H70" s="382" t="n"/>
      <c r="I70" s="382" t="n"/>
    </row>
    <row r="71" ht="15" customFormat="1" customHeight="1" s="380">
      <c r="A71" s="458" t="inlineStr">
        <is>
          <t>Six Peak</t>
        </is>
      </c>
      <c r="B71" s="642">
        <f>'Annual Summary'!B49</f>
        <v/>
      </c>
      <c r="C71" s="638">
        <f>'Annual Summary'!C49</f>
        <v/>
      </c>
      <c r="D71" s="638">
        <f>'Annual Summary'!E49</f>
        <v/>
      </c>
      <c r="E71" s="638">
        <f>'Annual Summary'!G49</f>
        <v/>
      </c>
      <c r="F71" s="638">
        <f>'Annual Summary'!I49</f>
        <v/>
      </c>
      <c r="G71" s="382" t="n"/>
      <c r="H71" s="382" t="n"/>
      <c r="I71" s="382" t="n"/>
    </row>
    <row r="72" ht="15" customFormat="1" customHeight="1" s="380">
      <c r="A72" s="646" t="inlineStr">
        <is>
          <t>Consolidated</t>
        </is>
      </c>
      <c r="B72" s="652">
        <f>'Annual Summary'!B51</f>
        <v/>
      </c>
      <c r="C72" s="653">
        <f>'Annual Summary'!C51</f>
        <v/>
      </c>
      <c r="D72" s="653">
        <f>'Annual Summary'!E51</f>
        <v/>
      </c>
      <c r="E72" s="653">
        <f>'Annual Summary'!G51</f>
        <v/>
      </c>
      <c r="F72" s="653">
        <f>'Annual Summary'!I51</f>
        <v/>
      </c>
      <c r="G72" s="382" t="n"/>
      <c r="H72" s="382" t="n"/>
      <c r="I72" s="382" t="n"/>
    </row>
    <row r="73" ht="15" customFormat="1" customHeight="1" s="380">
      <c r="A73" s="382" t="n"/>
      <c r="B73" s="382" t="n"/>
      <c r="C73" s="382" t="n"/>
      <c r="D73" s="382" t="n"/>
      <c r="E73" s="382" t="n"/>
      <c r="F73" s="382" t="n"/>
      <c r="G73" s="382" t="n"/>
      <c r="H73" s="382" t="n"/>
      <c r="I73" s="382" t="n"/>
    </row>
    <row r="74" ht="15" customFormat="1" customHeight="1" s="380">
      <c r="A74" s="382" t="n"/>
      <c r="B74" s="382" t="n"/>
      <c r="C74" s="382" t="n"/>
      <c r="D74" s="382" t="n"/>
      <c r="E74" s="382" t="n"/>
      <c r="F74" s="382" t="n"/>
      <c r="G74" s="382" t="n"/>
      <c r="H74" s="382" t="n"/>
      <c r="I74" s="382" t="n"/>
    </row>
    <row r="75" ht="15" customFormat="1" customHeight="1" s="380">
      <c r="A75" s="383" t="inlineStr">
        <is>
          <t>STEYN GROUP — INVESTMENT &amp; FEE SUMMARY</t>
        </is>
      </c>
      <c r="B75" s="383" t="n"/>
      <c r="C75" s="383" t="n"/>
      <c r="D75" s="383" t="n"/>
      <c r="E75" s="383" t="n"/>
      <c r="F75" s="383" t="n"/>
      <c r="G75" s="382" t="n"/>
      <c r="H75" s="382" t="n"/>
      <c r="I75" s="382" t="n"/>
    </row>
    <row r="76" ht="15" customFormat="1" customHeight="1" s="380">
      <c r="A76" s="402" t="inlineStr">
        <is>
          <t>Project</t>
        </is>
      </c>
      <c r="B76" s="402" t="inlineStr">
        <is>
          <t>Completion Guaranty</t>
        </is>
      </c>
      <c r="C76" s="402" t="inlineStr">
        <is>
          <t>Liquidity Fee</t>
        </is>
      </c>
      <c r="D76" s="402" t="inlineStr">
        <is>
          <t>PIK Invested</t>
        </is>
      </c>
      <c r="E76" s="402" t="inlineStr">
        <is>
          <t>Total Steyn Fees</t>
        </is>
      </c>
      <c r="F76" s="402" t="inlineStr">
        <is>
          <t>LIHTC Payback</t>
        </is>
      </c>
      <c r="G76" s="382" t="n"/>
      <c r="H76" s="382" t="n"/>
      <c r="I76" s="382" t="n"/>
    </row>
    <row r="77" ht="15" customFormat="1" customHeight="1" s="380">
      <c r="A77" s="458" t="inlineStr">
        <is>
          <t>Klump</t>
        </is>
      </c>
      <c r="B77" s="630" t="n">
        <v>95771</v>
      </c>
      <c r="C77" s="630" t="n">
        <v>60000</v>
      </c>
      <c r="D77" s="630" t="n">
        <v>0</v>
      </c>
      <c r="E77" s="628" t="n">
        <v>155771</v>
      </c>
      <c r="F77" s="449" t="inlineStr">
        <is>
          <t>Non-LIHTC — paid at start</t>
        </is>
      </c>
      <c r="G77" s="382" t="n"/>
      <c r="H77" s="382" t="n"/>
      <c r="I77" s="382" t="n"/>
    </row>
    <row r="78" ht="15" customFormat="1" customHeight="1" s="380">
      <c r="A78" s="458" t="inlineStr">
        <is>
          <t>Scott</t>
        </is>
      </c>
      <c r="B78" s="630" t="n">
        <v>75452</v>
      </c>
      <c r="C78" s="630" t="n">
        <v>60000</v>
      </c>
      <c r="D78" s="630" t="n">
        <v>0</v>
      </c>
      <c r="E78" s="628" t="n">
        <v>135452</v>
      </c>
      <c r="F78" s="449" t="inlineStr">
        <is>
          <t>Non-LIHTC — paid at start</t>
        </is>
      </c>
      <c r="G78" s="382" t="n"/>
      <c r="H78" s="382" t="n"/>
      <c r="I78" s="382" t="n"/>
    </row>
    <row r="79" ht="15" customFormat="1" customHeight="1" s="380">
      <c r="A79" s="458" t="inlineStr">
        <is>
          <t>Francis</t>
        </is>
      </c>
      <c r="B79" s="630" t="n">
        <v>579684</v>
      </c>
      <c r="C79" s="630" t="n">
        <v>150000</v>
      </c>
      <c r="D79" s="630" t="n">
        <v>0</v>
      </c>
      <c r="E79" s="628" t="n">
        <v>729684</v>
      </c>
      <c r="F79" s="449" t="inlineStr">
        <is>
          <t>Quarterly from LIHTC rev</t>
        </is>
      </c>
      <c r="G79" s="382" t="n"/>
      <c r="H79" s="382" t="n"/>
      <c r="I79" s="382" t="n"/>
    </row>
    <row r="80" ht="15" customFormat="1" customHeight="1" s="380">
      <c r="A80" s="458" t="inlineStr">
        <is>
          <t>Reseda</t>
        </is>
      </c>
      <c r="B80" s="630" t="n">
        <v>602668</v>
      </c>
      <c r="C80" s="630" t="n">
        <v>150000</v>
      </c>
      <c r="D80" s="630" t="n">
        <v>1450000</v>
      </c>
      <c r="E80" s="628" t="n">
        <v>752668</v>
      </c>
      <c r="F80" s="449" t="inlineStr">
        <is>
          <t>Quarterly from LIHTC rev</t>
        </is>
      </c>
      <c r="G80" s="382" t="n"/>
      <c r="H80" s="382" t="n"/>
      <c r="I80" s="382" t="n"/>
    </row>
    <row r="81" ht="15" customFormat="1" customHeight="1" s="380">
      <c r="A81" s="458" t="inlineStr">
        <is>
          <t>3rd St</t>
        </is>
      </c>
      <c r="B81" s="630" t="n">
        <v>563546</v>
      </c>
      <c r="C81" s="630" t="n">
        <v>150000</v>
      </c>
      <c r="D81" s="630" t="n">
        <v>0</v>
      </c>
      <c r="E81" s="628" t="n">
        <v>713546</v>
      </c>
      <c r="F81" s="449" t="inlineStr">
        <is>
          <t>Pending — no revenue yet</t>
        </is>
      </c>
      <c r="G81" s="382" t="n"/>
      <c r="H81" s="382" t="n"/>
      <c r="I81" s="382" t="n"/>
    </row>
    <row r="82" ht="15" customFormat="1" customHeight="1" s="380">
      <c r="A82" s="626" t="inlineStr">
        <is>
          <t>TOTAL</t>
        </is>
      </c>
      <c r="B82" s="627" t="n">
        <v>1917121</v>
      </c>
      <c r="C82" s="627" t="n">
        <v>570000</v>
      </c>
      <c r="D82" s="627" t="n">
        <v>1450000</v>
      </c>
      <c r="E82" s="627" t="n">
        <v>2487121</v>
      </c>
      <c r="F82" s="626" t="n"/>
      <c r="G82" s="382" t="n"/>
      <c r="H82" s="382" t="n"/>
      <c r="I82" s="382" t="n"/>
    </row>
    <row r="83" ht="15" customFormat="1" customHeight="1" s="380">
      <c r="A83" s="382" t="n"/>
      <c r="B83" s="382" t="n"/>
      <c r="C83" s="382" t="n"/>
      <c r="D83" s="382" t="n"/>
      <c r="E83" s="382" t="n"/>
      <c r="F83" s="382" t="n"/>
      <c r="G83" s="382" t="n"/>
      <c r="H83" s="382" t="n"/>
      <c r="I83" s="382" t="n"/>
    </row>
    <row r="84" ht="15" customFormat="1" customHeight="1" s="380">
      <c r="A84" s="382" t="n"/>
      <c r="B84" s="382" t="n"/>
      <c r="C84" s="382" t="n"/>
      <c r="D84" s="382" t="n"/>
      <c r="E84" s="382" t="n"/>
      <c r="F84" s="382" t="n"/>
      <c r="G84" s="382" t="n"/>
      <c r="H84" s="382" t="n"/>
      <c r="I84" s="382" t="n"/>
    </row>
    <row r="85" ht="15" customFormat="1" customHeight="1" s="380">
      <c r="A85" s="383" t="inlineStr">
        <is>
          <t>TIER 2 BONDING SENSITIVITY — Reseda &amp; 3rd St</t>
        </is>
      </c>
      <c r="B85" s="383" t="n"/>
      <c r="C85" s="383" t="n"/>
      <c r="D85" s="383" t="n"/>
      <c r="E85" s="383" t="n"/>
      <c r="F85" s="383" t="n"/>
      <c r="G85" s="383" t="n"/>
      <c r="H85" s="382" t="n"/>
      <c r="I85" s="382" t="n"/>
    </row>
    <row r="86" ht="15" customFormat="1" customHeight="1" s="380">
      <c r="A86" s="458" t="inlineStr">
        <is>
          <t>Tier 2 Bonded GMP (Reseda + 3rd St)</t>
        </is>
      </c>
      <c r="B86" s="642" t="n">
        <v>86621402</v>
      </c>
      <c r="C86" s="382" t="n"/>
      <c r="D86" s="382" t="n"/>
      <c r="E86" s="382" t="n"/>
      <c r="F86" s="382" t="n"/>
      <c r="G86" s="382" t="n"/>
      <c r="H86" s="382" t="n"/>
      <c r="I86" s="382" t="n"/>
    </row>
    <row r="87" ht="15" customFormat="1" customHeight="1" s="380">
      <c r="A87" s="458" t="inlineStr">
        <is>
          <t>Current Tier 2 Rate</t>
        </is>
      </c>
      <c r="B87" s="654" t="n">
        <v>0.0325</v>
      </c>
      <c r="C87" s="382" t="n"/>
      <c r="D87" s="382" t="n"/>
      <c r="E87" s="382" t="n"/>
      <c r="F87" s="382" t="n"/>
      <c r="G87" s="382" t="n"/>
      <c r="H87" s="382" t="n"/>
      <c r="I87" s="382" t="n"/>
    </row>
    <row r="88" ht="15" customFormat="1" customHeight="1" s="380">
      <c r="A88" s="458" t="inlineStr">
        <is>
          <t>Proposed Tier 2 Rate</t>
        </is>
      </c>
      <c r="B88" s="635" t="n">
        <v>0.015</v>
      </c>
      <c r="C88" s="382" t="n"/>
      <c r="D88" s="382" t="n"/>
      <c r="E88" s="382" t="n"/>
      <c r="F88" s="382" t="n"/>
      <c r="G88" s="382" t="n"/>
      <c r="H88" s="382" t="n"/>
      <c r="I88" s="382" t="n"/>
    </row>
    <row r="89" ht="15" customFormat="1" customHeight="1" s="380">
      <c r="A89" s="402" t="n"/>
      <c r="B89" s="402" t="inlineStr">
        <is>
          <t>FY 2026</t>
        </is>
      </c>
      <c r="C89" s="402" t="inlineStr">
        <is>
          <t>FY 2027</t>
        </is>
      </c>
      <c r="D89" s="402" t="inlineStr">
        <is>
          <t>FY 2028</t>
        </is>
      </c>
      <c r="E89" s="402" t="inlineStr">
        <is>
          <t>FY 2029</t>
        </is>
      </c>
      <c r="F89" s="402" t="inlineStr">
        <is>
          <t>Total</t>
        </is>
      </c>
      <c r="G89" s="382" t="n"/>
      <c r="H89" s="382" t="n"/>
      <c r="I89" s="382" t="n"/>
    </row>
    <row r="90" ht="15" customFormat="1" customHeight="1" s="380">
      <c r="A90" s="629" t="inlineStr">
        <is>
          <t>Current Cost (3.25%)</t>
        </is>
      </c>
      <c r="B90" s="630" t="n">
        <v>0</v>
      </c>
      <c r="C90" s="630" t="n">
        <v>-956261</v>
      </c>
      <c r="D90" s="630" t="n">
        <v>-1465718</v>
      </c>
      <c r="E90" s="630" t="n">
        <v>-967911</v>
      </c>
      <c r="F90" s="630" t="n">
        <v>-3389890</v>
      </c>
      <c r="G90" s="382" t="n"/>
      <c r="H90" s="382" t="n"/>
      <c r="I90" s="382" t="n"/>
    </row>
    <row r="91" ht="15" customFormat="1" customHeight="1" s="380">
      <c r="A91" s="643" t="inlineStr">
        <is>
          <t>Reduced Cost (1.50%)</t>
        </is>
      </c>
      <c r="B91" s="625" t="n">
        <v>0</v>
      </c>
      <c r="C91" s="625" t="n">
        <v>-441351</v>
      </c>
      <c r="D91" s="625" t="n">
        <v>-676485</v>
      </c>
      <c r="E91" s="625" t="n">
        <v>-446728</v>
      </c>
      <c r="F91" s="625" t="n">
        <v>-1564564</v>
      </c>
      <c r="G91" s="382" t="n"/>
      <c r="H91" s="382" t="n"/>
      <c r="I91" s="382" t="n"/>
    </row>
    <row r="92" ht="15" customFormat="1" customHeight="1" s="380">
      <c r="A92" s="626" t="inlineStr">
        <is>
          <t>Annual Savings</t>
        </is>
      </c>
      <c r="B92" s="627" t="n">
        <v>0</v>
      </c>
      <c r="C92" s="627" t="n">
        <v>514910</v>
      </c>
      <c r="D92" s="627" t="n">
        <v>789233</v>
      </c>
      <c r="E92" s="627" t="n">
        <v>521183</v>
      </c>
      <c r="F92" s="627" t="n">
        <v>1825325</v>
      </c>
      <c r="G92" s="382" t="n"/>
      <c r="H92" s="382" t="n"/>
      <c r="I92" s="382" t="n"/>
    </row>
    <row r="93" ht="15" customFormat="1" customHeight="1" s="380">
      <c r="A93" s="382" t="n"/>
      <c r="B93" s="382" t="n"/>
      <c r="C93" s="382" t="n"/>
      <c r="D93" s="382" t="n"/>
      <c r="E93" s="382" t="n"/>
      <c r="F93" s="382" t="n"/>
      <c r="G93" s="382" t="n"/>
      <c r="H93" s="382" t="n"/>
      <c r="I93" s="382" t="n"/>
    </row>
    <row r="94" ht="15" customFormat="1" customHeight="1" s="380">
      <c r="A94" s="382" t="n"/>
      <c r="B94" s="382" t="n"/>
      <c r="C94" s="382" t="n"/>
      <c r="D94" s="382" t="n"/>
      <c r="E94" s="382" t="n"/>
      <c r="F94" s="382" t="n"/>
      <c r="G94" s="382" t="n"/>
      <c r="H94" s="382" t="n"/>
      <c r="I94" s="382" t="n"/>
    </row>
    <row r="95" ht="15" customFormat="1" customHeight="1" s="380">
      <c r="A95" s="383" t="inlineStr">
        <is>
          <t>BONDING LIQUIDITY — 2.5% of Outstanding</t>
        </is>
      </c>
      <c r="B95" s="383" t="n"/>
      <c r="C95" s="383" t="n"/>
      <c r="D95" s="383" t="n"/>
      <c r="E95" s="383" t="n"/>
      <c r="F95" s="383" t="n"/>
      <c r="G95" s="383" t="n"/>
      <c r="H95" s="382" t="n"/>
      <c r="I95" s="382" t="n"/>
    </row>
    <row r="96" ht="15" customFormat="1" customHeight="1" s="380">
      <c r="A96" s="449" t="inlineStr">
        <is>
          <t>Assumes 2.5% liquidity required on total bonding outstanding. Tax distributions estimated at ~5% of GC NI.</t>
        </is>
      </c>
      <c r="B96" s="382" t="n"/>
      <c r="C96" s="382" t="n"/>
      <c r="D96" s="382" t="n"/>
      <c r="E96" s="382" t="n"/>
      <c r="F96" s="382" t="n"/>
      <c r="G96" s="382" t="n"/>
      <c r="H96" s="382" t="n"/>
      <c r="I96" s="382" t="n"/>
    </row>
    <row r="97" ht="15" customFormat="1" customHeight="1" s="380">
      <c r="A97" s="402" t="n"/>
      <c r="B97" s="402" t="inlineStr">
        <is>
          <t>FY 2026</t>
        </is>
      </c>
      <c r="C97" s="402" t="inlineStr">
        <is>
          <t>FY 2027</t>
        </is>
      </c>
      <c r="D97" s="402" t="inlineStr">
        <is>
          <t>FY 2028</t>
        </is>
      </c>
      <c r="E97" s="402" t="inlineStr">
        <is>
          <t>FY 2029</t>
        </is>
      </c>
      <c r="F97" s="382" t="n"/>
      <c r="G97" s="382" t="n"/>
      <c r="H97" s="382" t="n"/>
      <c r="I97" s="382" t="n"/>
    </row>
    <row r="98" ht="15" customFormat="1" customHeight="1" s="380">
      <c r="A98" s="458" t="inlineStr">
        <is>
          <t>Bonding Outstanding (Year-End)</t>
        </is>
      </c>
      <c r="B98" s="638">
        <f>'Annual Summary'!B46</f>
        <v/>
      </c>
      <c r="C98" s="638">
        <f>'Annual Summary'!C46</f>
        <v/>
      </c>
      <c r="D98" s="638">
        <f>'Annual Summary'!D46</f>
        <v/>
      </c>
      <c r="E98" s="638">
        <f>'Annual Summary'!E46</f>
        <v/>
      </c>
      <c r="F98" s="382" t="n"/>
      <c r="G98" s="382" t="n"/>
      <c r="H98" s="382" t="n"/>
      <c r="I98" s="382" t="n"/>
    </row>
    <row r="99" ht="15" customFormat="1" customHeight="1" s="380">
      <c r="A99" s="629" t="inlineStr">
        <is>
          <t>2.5% Liquidity Requirement</t>
        </is>
      </c>
      <c r="B99" s="630">
        <f>B98*0.025</f>
        <v/>
      </c>
      <c r="C99" s="630">
        <f>C98*0.025</f>
        <v/>
      </c>
      <c r="D99" s="630">
        <f>D98*0.025</f>
        <v/>
      </c>
      <c r="E99" s="630">
        <f>E98*0.025</f>
        <v/>
      </c>
      <c r="F99" s="382" t="n"/>
      <c r="G99" s="382" t="n"/>
      <c r="H99" s="382" t="n"/>
      <c r="I99" s="382" t="n"/>
    </row>
    <row r="100" ht="15" customFormat="1" customHeight="1" s="380">
      <c r="A100" s="458" t="inlineStr">
        <is>
          <t>Total Ending Cash (Baseline)</t>
        </is>
      </c>
      <c r="B100" s="638">
        <f>'Annual Summary'!B51</f>
        <v/>
      </c>
      <c r="C100" s="638">
        <f>'Annual Summary'!C51</f>
        <v/>
      </c>
      <c r="D100" s="638">
        <f>'Annual Summary'!D51</f>
        <v/>
      </c>
      <c r="E100" s="638">
        <f>'Annual Summary'!E51</f>
        <v/>
      </c>
      <c r="F100" s="382" t="n"/>
      <c r="G100" s="382" t="n"/>
      <c r="H100" s="382" t="n"/>
      <c r="I100" s="382" t="n"/>
    </row>
    <row r="101" ht="15" customFormat="1" customHeight="1" s="380">
      <c r="A101" s="458" t="inlineStr">
        <is>
          <t>Est. Tax Distributions (~5% of GC NI)</t>
        </is>
      </c>
      <c r="B101" s="638">
        <f>'Annual Summary'!B22*0.05</f>
        <v/>
      </c>
      <c r="C101" s="638">
        <f>'Annual Summary'!C22*0.05</f>
        <v/>
      </c>
      <c r="D101" s="638">
        <f>'Annual Summary'!D22*0.05</f>
        <v/>
      </c>
      <c r="E101" s="638">
        <f>'Annual Summary'!E22*0.05</f>
        <v/>
      </c>
      <c r="F101" s="382" t="n"/>
      <c r="G101" s="382" t="n"/>
      <c r="H101" s="382" t="n"/>
      <c r="I101" s="382" t="n"/>
    </row>
    <row r="102" ht="15" customFormat="1" customHeight="1" s="380">
      <c r="A102" s="458" t="inlineStr">
        <is>
          <t>Cash After Tax Distributions</t>
        </is>
      </c>
      <c r="B102" s="638">
        <f>B100+B101</f>
        <v/>
      </c>
      <c r="C102" s="638">
        <f>C100+C101</f>
        <v/>
      </c>
      <c r="D102" s="638">
        <f>D100+D101</f>
        <v/>
      </c>
      <c r="E102" s="638">
        <f>E100+E101</f>
        <v/>
      </c>
      <c r="F102" s="382" t="n"/>
      <c r="G102" s="382" t="n"/>
      <c r="H102" s="382" t="n"/>
      <c r="I102" s="382" t="n"/>
    </row>
    <row r="103" ht="15" customFormat="1" customHeight="1" s="380">
      <c r="A103" s="626" t="inlineStr">
        <is>
          <t>Surplus / (Shortfall) vs Requirement</t>
        </is>
      </c>
      <c r="B103" s="627">
        <f>B102-B99</f>
        <v/>
      </c>
      <c r="C103" s="627">
        <f>C102-C99</f>
        <v/>
      </c>
      <c r="D103" s="627">
        <f>D102-D99</f>
        <v/>
      </c>
      <c r="E103" s="627">
        <f>E102-E99</f>
        <v/>
      </c>
      <c r="F103" s="382" t="n"/>
      <c r="G103" s="382" t="n"/>
      <c r="H103" s="382" t="n"/>
      <c r="I103" s="382" t="n"/>
    </row>
    <row r="104" ht="15" customFormat="1" customHeight="1" s="380">
      <c r="A104" s="382" t="n"/>
      <c r="B104" s="382" t="n"/>
      <c r="C104" s="382" t="n"/>
      <c r="D104" s="382" t="n"/>
      <c r="E104" s="382" t="n"/>
      <c r="F104" s="382" t="n"/>
      <c r="G104" s="382" t="n"/>
      <c r="H104" s="382" t="n"/>
      <c r="I104" s="382" t="n"/>
    </row>
    <row r="105" ht="15" customFormat="1" customHeight="1" s="380">
      <c r="A105" s="382" t="n"/>
      <c r="B105" s="382" t="n"/>
      <c r="C105" s="382" t="n"/>
      <c r="D105" s="382" t="n"/>
      <c r="E105" s="382" t="n"/>
      <c r="F105" s="382" t="n"/>
      <c r="G105" s="382" t="n"/>
      <c r="H105" s="382" t="n"/>
      <c r="I105" s="382" t="n"/>
    </row>
    <row r="106" ht="15" customFormat="1" customHeight="1" s="380">
      <c r="A106" s="383" t="inlineStr">
        <is>
          <t>HVN PIPELINE — ESTIMATED GC REVENUE (3 New Deals)</t>
        </is>
      </c>
      <c r="B106" s="383" t="n"/>
      <c r="C106" s="383" t="n"/>
      <c r="D106" s="383" t="n"/>
      <c r="E106" s="383" t="n"/>
      <c r="F106" s="383" t="n"/>
      <c r="G106" s="383" t="n"/>
      <c r="H106" s="382" t="n"/>
      <c r="I106" s="382" t="n"/>
    </row>
    <row r="107" ht="15" customFormat="1" customHeight="1" s="380">
      <c r="A107" s="458" t="inlineStr">
        <is>
          <t>Avg GMP (Califa/Whipple/Denny/Lexington/Acama)</t>
        </is>
      </c>
      <c r="B107" s="642" t="n">
        <v>15179956</v>
      </c>
      <c r="C107" s="382" t="n"/>
      <c r="D107" s="382" t="n"/>
      <c r="E107" s="382" t="n"/>
      <c r="F107" s="382" t="n"/>
      <c r="G107" s="382" t="n"/>
      <c r="H107" s="382" t="n"/>
      <c r="I107" s="382" t="n"/>
    </row>
    <row r="108" ht="15" customFormat="1" customHeight="1" s="380">
      <c r="A108" s="458" t="inlineStr">
        <is>
          <t>Effective GC Revenue Rate on GMP</t>
        </is>
      </c>
      <c r="B108" s="654" t="n">
        <v>0.1136</v>
      </c>
      <c r="C108" s="382" t="n"/>
      <c r="D108" s="382" t="n"/>
      <c r="E108" s="382" t="n"/>
      <c r="F108" s="382" t="n"/>
      <c r="G108" s="382" t="n"/>
      <c r="H108" s="382" t="n"/>
      <c r="I108" s="382" t="n"/>
    </row>
    <row r="109" ht="15" customFormat="1" customHeight="1" s="380">
      <c r="A109" s="458" t="inlineStr">
        <is>
          <t>Revenue Per Deal (over project life)</t>
        </is>
      </c>
      <c r="B109" s="628" t="n">
        <v>1724443</v>
      </c>
      <c r="C109" s="382" t="n"/>
      <c r="D109" s="382" t="n"/>
      <c r="E109" s="382" t="n"/>
      <c r="F109" s="382" t="n"/>
      <c r="G109" s="382" t="n"/>
      <c r="H109" s="382" t="n"/>
      <c r="I109" s="382" t="n"/>
    </row>
    <row r="110" ht="15" customFormat="1" customHeight="1" s="380">
      <c r="A110" s="458" t="inlineStr">
        <is>
          <t>Number of New Deals (2 R2 + 1 R3)</t>
        </is>
      </c>
      <c r="B110" s="655" t="n">
        <v>3</v>
      </c>
      <c r="C110" s="382" t="n"/>
      <c r="D110" s="382" t="n"/>
      <c r="E110" s="382" t="n"/>
      <c r="F110" s="382" t="n"/>
      <c r="G110" s="382" t="n"/>
      <c r="H110" s="382" t="n"/>
      <c r="I110" s="382" t="n"/>
    </row>
    <row r="111" ht="15" customFormat="1" customHeight="1" s="380">
      <c r="A111" s="626" t="inlineStr">
        <is>
          <t>Total New Pipeline GMP (3 deals)</t>
        </is>
      </c>
      <c r="B111" s="627" t="n">
        <v>45539868</v>
      </c>
      <c r="C111" s="626" t="n"/>
      <c r="D111" s="626" t="n"/>
      <c r="E111" s="626" t="n"/>
      <c r="F111" s="626" t="n"/>
      <c r="G111" s="382" t="n"/>
      <c r="H111" s="382" t="n"/>
      <c r="I111" s="382" t="n"/>
    </row>
    <row r="112" ht="15" customFormat="1" customHeight="1" s="380">
      <c r="A112" s="382" t="n"/>
      <c r="B112" s="382" t="n"/>
      <c r="C112" s="382" t="n"/>
      <c r="D112" s="382" t="n"/>
      <c r="E112" s="382" t="n"/>
      <c r="F112" s="382" t="n"/>
      <c r="G112" s="382" t="n"/>
      <c r="H112" s="382" t="n"/>
      <c r="I112" s="382" t="n"/>
    </row>
    <row r="113" ht="15" customFormat="1" customHeight="1" s="380">
      <c r="A113" s="381" t="inlineStr">
        <is>
          <t>Estimated Revenue Timeline (3 deals):</t>
        </is>
      </c>
      <c r="B113" s="382" t="n"/>
      <c r="C113" s="382" t="n"/>
      <c r="D113" s="382" t="n"/>
      <c r="E113" s="382" t="n"/>
      <c r="F113" s="382" t="n"/>
      <c r="G113" s="382" t="n"/>
      <c r="H113" s="382" t="n"/>
      <c r="I113" s="382" t="n"/>
    </row>
    <row r="114" ht="15" customFormat="1" customHeight="1" s="380">
      <c r="A114" s="402" t="n"/>
      <c r="B114" s="402" t="inlineStr">
        <is>
          <t>FY 2027</t>
        </is>
      </c>
      <c r="C114" s="402" t="inlineStr">
        <is>
          <t>FY 2028</t>
        </is>
      </c>
      <c r="D114" s="402" t="inlineStr">
        <is>
          <t>FY 2029</t>
        </is>
      </c>
      <c r="E114" s="402" t="inlineStr">
        <is>
          <t>FY 2030</t>
        </is>
      </c>
      <c r="F114" s="402" t="inlineStr">
        <is>
          <t>Total</t>
        </is>
      </c>
      <c r="G114" s="382" t="n"/>
      <c r="H114" s="382" t="n"/>
      <c r="I114" s="382" t="n"/>
    </row>
    <row r="115" ht="15" customFormat="1" customHeight="1" s="380">
      <c r="A115" s="458" t="inlineStr">
        <is>
          <t>2 Round 2 Deals (close ~Q3 FY27)</t>
        </is>
      </c>
      <c r="B115" s="638" t="n">
        <v>0</v>
      </c>
      <c r="C115" s="638" t="n">
        <v>1896887</v>
      </c>
      <c r="D115" s="638" t="n">
        <v>1379554</v>
      </c>
      <c r="E115" s="638" t="n">
        <v>172444</v>
      </c>
      <c r="F115" s="628" t="n">
        <v>3448885</v>
      </c>
      <c r="G115" s="382" t="n"/>
      <c r="H115" s="382" t="n"/>
      <c r="I115" s="382" t="n"/>
    </row>
    <row r="116" ht="15" customFormat="1" customHeight="1" s="380">
      <c r="A116" s="458" t="inlineStr">
        <is>
          <t>1 Round 3 Deal (close ~Q1 FY28)</t>
        </is>
      </c>
      <c r="B116" s="638" t="n">
        <v>0</v>
      </c>
      <c r="C116" s="638" t="n">
        <v>603555</v>
      </c>
      <c r="D116" s="638" t="n">
        <v>948444</v>
      </c>
      <c r="E116" s="638" t="n">
        <v>172444</v>
      </c>
      <c r="F116" s="628" t="n">
        <v>1724443</v>
      </c>
      <c r="G116" s="382" t="n"/>
      <c r="H116" s="382" t="n"/>
      <c r="I116" s="382" t="n"/>
    </row>
    <row r="117" ht="15" customFormat="1" customHeight="1" s="380">
      <c r="A117" s="626" t="inlineStr">
        <is>
          <t>Total New HVN Revenue</t>
        </is>
      </c>
      <c r="B117" s="627" t="n">
        <v>0</v>
      </c>
      <c r="C117" s="627" t="n">
        <v>2500442</v>
      </c>
      <c r="D117" s="627" t="n">
        <v>2327998</v>
      </c>
      <c r="E117" s="627" t="n">
        <v>344888</v>
      </c>
      <c r="F117" s="627" t="n">
        <v>5173328</v>
      </c>
      <c r="G117" s="382" t="n"/>
      <c r="H117" s="382" t="n"/>
      <c r="I117" s="382" t="n"/>
    </row>
    <row r="118" ht="15" customFormat="1" customHeight="1" s="380">
      <c r="A118" s="382" t="n"/>
      <c r="B118" s="382" t="n"/>
      <c r="C118" s="382" t="n"/>
      <c r="D118" s="382" t="n"/>
      <c r="E118" s="382" t="n"/>
      <c r="F118" s="382" t="n"/>
      <c r="G118" s="382" t="n"/>
      <c r="H118" s="382" t="n"/>
      <c r="I118" s="382" t="n"/>
    </row>
    <row r="119" ht="15" customFormat="1" customHeight="1" s="380">
      <c r="A119" s="449" t="inlineStr">
        <is>
          <t>FY28 revenue gap to breakeven: 1,225,136 → New pipeline covers 204%</t>
        </is>
      </c>
      <c r="B119" s="382" t="n"/>
      <c r="C119" s="382" t="n"/>
      <c r="D119" s="382" t="n"/>
      <c r="E119" s="382" t="n"/>
      <c r="F119" s="382" t="n"/>
      <c r="G119" s="382" t="n"/>
      <c r="H119" s="382" t="n"/>
      <c r="I119" s="382" t="n"/>
    </row>
    <row r="120" ht="15" customFormat="1" customHeight="1" s="380">
      <c r="A120" s="382" t="n"/>
      <c r="B120" s="382" t="n"/>
      <c r="C120" s="382" t="n"/>
      <c r="D120" s="382" t="n"/>
      <c r="E120" s="382" t="n"/>
      <c r="F120" s="382" t="n"/>
      <c r="G120" s="382" t="n"/>
      <c r="H120" s="382" t="n"/>
      <c r="I120" s="382" t="n"/>
    </row>
    <row r="121" ht="15" customFormat="1" customHeight="1" s="380">
      <c r="A121" s="382" t="n"/>
      <c r="B121" s="382" t="n"/>
      <c r="C121" s="382" t="n"/>
      <c r="D121" s="382" t="n"/>
      <c r="E121" s="382" t="n"/>
      <c r="F121" s="382" t="n"/>
      <c r="G121" s="382" t="n"/>
      <c r="H121" s="382" t="n"/>
      <c r="I121" s="382" t="n"/>
    </row>
    <row r="122" ht="15" customFormat="1" customHeight="1" s="380">
      <c r="A122" s="383" t="inlineStr">
        <is>
          <t>PREFERRED EQUITY (PIK) — PAYOFF &amp; STEYN RETURNS</t>
        </is>
      </c>
      <c r="B122" s="383" t="n"/>
      <c r="C122" s="383" t="n"/>
      <c r="D122" s="383" t="n"/>
      <c r="E122" s="383" t="n"/>
      <c r="F122" s="383" t="n"/>
      <c r="G122" s="383" t="n"/>
      <c r="H122" s="382" t="n"/>
      <c r="I122" s="382" t="n"/>
    </row>
    <row r="123" ht="15" customFormat="1" customHeight="1" s="380">
      <c r="A123" s="449" t="inlineStr">
        <is>
          <t>Reseda is the only active PIK investment. Capital accrues at 15%/yr (3.75% quarterly). Repaid from LIHTC revenue after Steyn fees.</t>
        </is>
      </c>
      <c r="B123" s="382" t="n"/>
      <c r="C123" s="382" t="n"/>
      <c r="D123" s="382" t="n"/>
      <c r="E123" s="382" t="n"/>
      <c r="F123" s="382" t="n"/>
      <c r="G123" s="382" t="n"/>
      <c r="H123" s="382" t="n"/>
      <c r="I123" s="382" t="n"/>
    </row>
    <row r="124" ht="15" customFormat="1" customHeight="1" s="380">
      <c r="A124" s="402" t="n"/>
      <c r="B124" s="402" t="inlineStr">
        <is>
          <t>Amount</t>
        </is>
      </c>
      <c r="C124" s="402" t="inlineStr">
        <is>
          <t>Date / Month</t>
        </is>
      </c>
      <c r="D124" s="402" t="inlineStr">
        <is>
          <t>Notes</t>
        </is>
      </c>
      <c r="E124" s="382" t="n"/>
      <c r="F124" s="382" t="n"/>
      <c r="G124" s="382" t="n"/>
      <c r="H124" s="382" t="n"/>
      <c r="I124" s="382" t="n"/>
    </row>
    <row r="125" ht="15" customFormat="1" customHeight="1" s="380">
      <c r="A125" s="458" t="inlineStr">
        <is>
          <t>Reseda — Capital Invested</t>
        </is>
      </c>
      <c r="B125" s="642" t="n">
        <v>1450000</v>
      </c>
      <c r="C125" s="656" t="inlineStr">
        <is>
          <t>Apr 2026 (Pre-model)</t>
        </is>
      </c>
      <c r="D125" s="449" t="inlineStr">
        <is>
          <t>Full amount deployed before model start</t>
        </is>
      </c>
      <c r="E125" s="382" t="n"/>
      <c r="F125" s="382" t="n"/>
      <c r="G125" s="382" t="n"/>
      <c r="H125" s="382" t="n"/>
      <c r="I125" s="382" t="n"/>
    </row>
    <row r="126" ht="15" customFormat="1" customHeight="1" s="380">
      <c r="A126" s="458" t="inlineStr">
        <is>
          <t>Deal Distribution (Reseda)</t>
        </is>
      </c>
      <c r="B126" s="630" t="n">
        <v>-1450000</v>
      </c>
      <c r="C126" s="656" t="inlineStr">
        <is>
          <t>Apr 2027 (Mo 13)</t>
        </is>
      </c>
      <c r="D126" s="449" t="inlineStr">
        <is>
          <t>Returned at Reseda project start</t>
        </is>
      </c>
      <c r="E126" s="382" t="n"/>
      <c r="F126" s="382" t="n"/>
      <c r="G126" s="382" t="n"/>
      <c r="H126" s="382" t="n"/>
      <c r="I126" s="382" t="n"/>
    </row>
    <row r="127" ht="15" customFormat="1" customHeight="1" s="380">
      <c r="A127" s="458" t="inlineStr">
        <is>
          <t>Remaining Balance (after dist)</t>
        </is>
      </c>
      <c r="B127" s="382" t="n"/>
      <c r="C127" s="656" t="inlineStr">
        <is>
          <t>Apr 2027</t>
        </is>
      </c>
      <c r="D127" s="449" t="inlineStr">
        <is>
          <t>Reduced balance accrues interest</t>
        </is>
      </c>
      <c r="E127" s="382" t="n"/>
      <c r="F127" s="382" t="n"/>
      <c r="G127" s="382" t="n"/>
      <c r="H127" s="382" t="n"/>
      <c r="I127" s="382" t="n"/>
    </row>
    <row r="128" ht="15" customFormat="1" customHeight="1" s="380">
      <c r="A128" s="626" t="inlineStr">
        <is>
          <t>PIK Fully Paid Off</t>
        </is>
      </c>
      <c r="B128" s="627" t="n">
        <v>0</v>
      </c>
      <c r="C128" s="626" t="inlineStr">
        <is>
          <t>Apr 2030 (Mo 50)</t>
        </is>
      </c>
      <c r="D128" s="626" t="inlineStr">
        <is>
          <t>Repaid from LIHTC revenue after Steyn fees</t>
        </is>
      </c>
      <c r="E128" s="382" t="n"/>
      <c r="F128" s="382" t="n"/>
      <c r="G128" s="382" t="n"/>
      <c r="H128" s="382" t="n"/>
      <c r="I128" s="382" t="n"/>
    </row>
    <row r="129" ht="15" customFormat="1" customHeight="1" s="380">
      <c r="A129" s="382" t="n"/>
      <c r="B129" s="382" t="n"/>
      <c r="C129" s="382" t="n"/>
      <c r="D129" s="382" t="n"/>
      <c r="E129" s="382" t="n"/>
      <c r="F129" s="382" t="n"/>
      <c r="G129" s="382" t="n"/>
      <c r="H129" s="382" t="n"/>
      <c r="I129" s="382" t="n"/>
    </row>
    <row r="130" ht="15" customFormat="1" customHeight="1" s="380">
      <c r="A130" s="458" t="inlineStr">
        <is>
          <t>Total Interest Earned by Steyn</t>
        </is>
      </c>
      <c r="B130" s="657" t="n">
        <v>362885</v>
      </c>
      <c r="C130" s="656" t="inlineStr">
        <is>
          <t>Over 50 months</t>
        </is>
      </c>
      <c r="D130" s="449" t="inlineStr">
        <is>
          <t>15% annual accrual on outstanding balance</t>
        </is>
      </c>
      <c r="E130" s="382" t="n"/>
      <c r="F130" s="382" t="n"/>
      <c r="G130" s="382" t="n"/>
      <c r="H130" s="382" t="n"/>
      <c r="I130" s="382" t="n"/>
    </row>
    <row r="131" ht="15" customFormat="1" customHeight="1" s="380">
      <c r="A131" s="626" t="inlineStr">
        <is>
          <t>Total Returned to Steyn</t>
        </is>
      </c>
      <c r="B131" s="627" t="n">
        <v>1812885</v>
      </c>
      <c r="C131" s="626" t="inlineStr">
        <is>
          <t>By Apr 2030</t>
        </is>
      </c>
      <c r="D131" s="626" t="inlineStr">
        <is>
          <t>Principal + interest = 1.25x return</t>
        </is>
      </c>
      <c r="E131" s="382" t="n"/>
      <c r="F131" s="382" t="n"/>
      <c r="G131" s="382" t="n"/>
      <c r="H131" s="382" t="n"/>
      <c r="I131" s="382" t="n"/>
    </row>
    <row r="132" ht="15" customFormat="1" customHeight="1" s="380">
      <c r="A132" s="382" t="n"/>
      <c r="B132" s="382" t="n"/>
      <c r="C132" s="382" t="n"/>
      <c r="D132" s="382" t="n"/>
      <c r="E132" s="382" t="n"/>
      <c r="F132" s="382" t="n"/>
      <c r="G132" s="382" t="n"/>
      <c r="H132" s="382" t="n"/>
      <c r="I132" s="382" t="n"/>
    </row>
  </sheetData>
  <mergeCells count="1"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8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AO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20" customWidth="1" style="380" min="1" max="1"/>
  </cols>
  <sheetData>
    <row r="1" ht="15" customFormat="1" customHeight="1" s="380">
      <c r="A1" s="383" t="inlineStr">
        <is>
          <t>Curve</t>
        </is>
      </c>
      <c r="B1" s="429" t="inlineStr">
        <is>
          <t>Mo 1</t>
        </is>
      </c>
      <c r="C1" s="429" t="inlineStr">
        <is>
          <t>Mo 2</t>
        </is>
      </c>
      <c r="D1" s="429" t="inlineStr">
        <is>
          <t>Mo 3</t>
        </is>
      </c>
      <c r="E1" s="429" t="inlineStr">
        <is>
          <t>Mo 4</t>
        </is>
      </c>
      <c r="F1" s="429" t="inlineStr">
        <is>
          <t>Mo 5</t>
        </is>
      </c>
      <c r="G1" s="429" t="inlineStr">
        <is>
          <t>Mo 6</t>
        </is>
      </c>
      <c r="H1" s="429" t="inlineStr">
        <is>
          <t>Mo 7</t>
        </is>
      </c>
      <c r="I1" s="429" t="inlineStr">
        <is>
          <t>Mo 8</t>
        </is>
      </c>
      <c r="J1" s="429" t="inlineStr">
        <is>
          <t>Mo 9</t>
        </is>
      </c>
      <c r="K1" s="429" t="inlineStr">
        <is>
          <t>Mo 10</t>
        </is>
      </c>
      <c r="L1" s="429" t="inlineStr">
        <is>
          <t>Mo 11</t>
        </is>
      </c>
      <c r="M1" s="429" t="inlineStr">
        <is>
          <t>Mo 12</t>
        </is>
      </c>
      <c r="N1" s="429" t="inlineStr">
        <is>
          <t>Mo 13</t>
        </is>
      </c>
      <c r="O1" s="429" t="inlineStr">
        <is>
          <t>Mo 14</t>
        </is>
      </c>
      <c r="P1" s="429" t="inlineStr">
        <is>
          <t>Mo 15</t>
        </is>
      </c>
      <c r="Q1" s="429" t="inlineStr">
        <is>
          <t>Mo 16</t>
        </is>
      </c>
      <c r="R1" s="429" t="inlineStr">
        <is>
          <t>Mo 17</t>
        </is>
      </c>
      <c r="S1" s="429" t="inlineStr">
        <is>
          <t>Mo 18</t>
        </is>
      </c>
      <c r="T1" s="429" t="inlineStr">
        <is>
          <t>Mo 19</t>
        </is>
      </c>
      <c r="U1" s="429" t="inlineStr">
        <is>
          <t>Mo 20</t>
        </is>
      </c>
      <c r="V1" s="429" t="inlineStr">
        <is>
          <t>Mo 21</t>
        </is>
      </c>
      <c r="W1" s="429" t="inlineStr">
        <is>
          <t>Mo 22</t>
        </is>
      </c>
      <c r="X1" s="429" t="inlineStr">
        <is>
          <t>Mo 23</t>
        </is>
      </c>
      <c r="Y1" s="429" t="inlineStr">
        <is>
          <t>Mo 24</t>
        </is>
      </c>
      <c r="Z1" s="429" t="inlineStr">
        <is>
          <t>Mo 25</t>
        </is>
      </c>
      <c r="AA1" s="429" t="inlineStr">
        <is>
          <t>Mo 26</t>
        </is>
      </c>
      <c r="AB1" s="429" t="inlineStr">
        <is>
          <t>Mo 27</t>
        </is>
      </c>
      <c r="AC1" s="429" t="inlineStr">
        <is>
          <t>Mo 28</t>
        </is>
      </c>
      <c r="AD1" s="429" t="inlineStr">
        <is>
          <t>Mo 29</t>
        </is>
      </c>
      <c r="AE1" s="429" t="inlineStr">
        <is>
          <t>Mo 30</t>
        </is>
      </c>
      <c r="AF1" s="429" t="inlineStr">
        <is>
          <t>Mo 31</t>
        </is>
      </c>
      <c r="AG1" s="429" t="inlineStr">
        <is>
          <t>Mo 32</t>
        </is>
      </c>
      <c r="AH1" s="429" t="inlineStr">
        <is>
          <t>Mo 33</t>
        </is>
      </c>
      <c r="AI1" s="429" t="inlineStr">
        <is>
          <t>Mo 34</t>
        </is>
      </c>
      <c r="AJ1" s="429" t="inlineStr">
        <is>
          <t>Mo 35</t>
        </is>
      </c>
      <c r="AK1" s="429" t="inlineStr">
        <is>
          <t>Mo 36</t>
        </is>
      </c>
      <c r="AL1" s="429" t="inlineStr">
        <is>
          <t>Mo 37</t>
        </is>
      </c>
      <c r="AM1" s="429" t="inlineStr">
        <is>
          <t>Mo 38</t>
        </is>
      </c>
      <c r="AN1" s="429" t="inlineStr">
        <is>
          <t>Mo 39</t>
        </is>
      </c>
      <c r="AO1" s="429" t="inlineStr">
        <is>
          <t>Mo 40</t>
        </is>
      </c>
    </row>
    <row r="2" ht="15" customFormat="1" customHeight="1" s="380">
      <c r="A2" s="550" t="inlineStr">
        <is>
          <t>Curve 1</t>
        </is>
      </c>
      <c r="B2" s="658" t="n">
        <v>0.016101</v>
      </c>
      <c r="C2" s="658" t="n">
        <v>0.018518</v>
      </c>
      <c r="D2" s="658" t="n">
        <v>0.021087</v>
      </c>
      <c r="E2" s="658" t="n">
        <v>0.023773</v>
      </c>
      <c r="F2" s="658" t="n">
        <v>0.026535</v>
      </c>
      <c r="G2" s="658" t="n">
        <v>0.029323</v>
      </c>
      <c r="H2" s="658" t="n">
        <v>0.032082</v>
      </c>
      <c r="I2" s="658" t="n">
        <v>0.034752</v>
      </c>
      <c r="J2" s="658" t="n">
        <v>0.037269</v>
      </c>
      <c r="K2" s="658" t="n">
        <v>0.039572</v>
      </c>
      <c r="L2" s="658" t="n">
        <v>0.041599</v>
      </c>
      <c r="M2" s="658" t="n">
        <v>0.043295</v>
      </c>
      <c r="N2" s="658" t="n">
        <v>0.044613</v>
      </c>
      <c r="O2" s="658" t="n">
        <v>0.045513</v>
      </c>
      <c r="P2" s="658" t="n">
        <v>0.04597</v>
      </c>
      <c r="Q2" s="658" t="n">
        <v>0.04597</v>
      </c>
      <c r="R2" s="658" t="n">
        <v>0.045513</v>
      </c>
      <c r="S2" s="658" t="n">
        <v>0.044613</v>
      </c>
      <c r="T2" s="658" t="n">
        <v>0.043295</v>
      </c>
      <c r="U2" s="658" t="n">
        <v>0.041599</v>
      </c>
      <c r="V2" s="658" t="n">
        <v>0.039572</v>
      </c>
      <c r="W2" s="658" t="n">
        <v>0.037269</v>
      </c>
      <c r="X2" s="658" t="n">
        <v>0.034752</v>
      </c>
      <c r="Y2" s="658" t="n">
        <v>0.032082</v>
      </c>
      <c r="Z2" s="658" t="n">
        <v>0.029323</v>
      </c>
      <c r="AA2" s="658" t="n">
        <v>0.026535</v>
      </c>
      <c r="AB2" s="658" t="n">
        <v>0.023773</v>
      </c>
      <c r="AC2" s="658" t="n">
        <v>0.021087</v>
      </c>
      <c r="AD2" s="658" t="n">
        <v>0.018518</v>
      </c>
      <c r="AE2" s="658" t="n">
        <v>0.016101</v>
      </c>
    </row>
    <row r="3" ht="15" customFormat="1" customHeight="1" s="380">
      <c r="A3" s="550" t="inlineStr">
        <is>
          <t>Curve 2</t>
        </is>
      </c>
      <c r="B3" s="658" t="n">
        <v>0.020497</v>
      </c>
      <c r="C3" s="658" t="n">
        <v>0.024336</v>
      </c>
      <c r="D3" s="658" t="n">
        <v>0.028445</v>
      </c>
      <c r="E3" s="658" t="n">
        <v>0.032735</v>
      </c>
      <c r="F3" s="658" t="n">
        <v>0.037087</v>
      </c>
      <c r="G3" s="658" t="n">
        <v>0.041368</v>
      </c>
      <c r="H3" s="658" t="n">
        <v>0.045428</v>
      </c>
      <c r="I3" s="658" t="n">
        <v>0.049114</v>
      </c>
      <c r="J3" s="658" t="n">
        <v>0.052278</v>
      </c>
      <c r="K3" s="658" t="n">
        <v>0.054783</v>
      </c>
      <c r="L3" s="658" t="n">
        <v>0.05652</v>
      </c>
      <c r="M3" s="658" t="n">
        <v>0.057409</v>
      </c>
      <c r="N3" s="658" t="n">
        <v>0.057409</v>
      </c>
      <c r="O3" s="658" t="n">
        <v>0.05652</v>
      </c>
      <c r="P3" s="658" t="n">
        <v>0.054783</v>
      </c>
      <c r="Q3" s="658" t="n">
        <v>0.052278</v>
      </c>
      <c r="R3" s="658" t="n">
        <v>0.049114</v>
      </c>
      <c r="S3" s="658" t="n">
        <v>0.045428</v>
      </c>
      <c r="T3" s="658" t="n">
        <v>0.041368</v>
      </c>
      <c r="U3" s="658" t="n">
        <v>0.037087</v>
      </c>
      <c r="V3" s="658" t="n">
        <v>0.032735</v>
      </c>
      <c r="W3" s="658" t="n">
        <v>0.028445</v>
      </c>
      <c r="X3" s="658" t="n">
        <v>0.024336</v>
      </c>
      <c r="Y3" s="658" t="n">
        <v>0.020497</v>
      </c>
    </row>
    <row r="4" ht="15" customFormat="1" customHeight="1" s="380">
      <c r="A4" s="550" t="inlineStr">
        <is>
          <t>Curve 3</t>
        </is>
      </c>
      <c r="B4" s="658" t="n">
        <v>0.026517</v>
      </c>
      <c r="C4" s="658" t="n">
        <v>0.032761</v>
      </c>
      <c r="D4" s="658" t="n">
        <v>0.039482</v>
      </c>
      <c r="E4" s="658" t="n">
        <v>0.046412</v>
      </c>
      <c r="F4" s="658" t="n">
        <v>0.053218</v>
      </c>
      <c r="G4" s="658" t="n">
        <v>0.059522</v>
      </c>
      <c r="H4" s="658" t="n">
        <v>0.06493699999999999</v>
      </c>
      <c r="I4" s="658" t="n">
        <v>0.069104</v>
      </c>
      <c r="J4" s="658" t="n">
        <v>0.071732</v>
      </c>
      <c r="K4" s="658" t="n">
        <v>0.07263</v>
      </c>
      <c r="L4" s="658" t="n">
        <v>0.071732</v>
      </c>
      <c r="M4" s="658" t="n">
        <v>0.069104</v>
      </c>
      <c r="N4" s="658" t="n">
        <v>0.06493699999999999</v>
      </c>
      <c r="O4" s="658" t="n">
        <v>0.059522</v>
      </c>
      <c r="P4" s="658" t="n">
        <v>0.053218</v>
      </c>
      <c r="Q4" s="658" t="n">
        <v>0.046412</v>
      </c>
      <c r="R4" s="658" t="n">
        <v>0.039482</v>
      </c>
      <c r="S4" s="658" t="n">
        <v>0.032761</v>
      </c>
      <c r="T4" s="658" t="n">
        <v>0.026517</v>
      </c>
    </row>
    <row r="5" ht="15" customFormat="1" customHeight="1" s="380">
      <c r="A5" s="659" t="inlineStr">
        <is>
          <t>Renormalized (In-Place)</t>
        </is>
      </c>
    </row>
    <row r="6" ht="15" customFormat="1" customHeight="1" s="380">
      <c r="A6" s="550" t="inlineStr">
        <is>
          <t>Crenshaw</t>
        </is>
      </c>
      <c r="B6" s="658" t="n">
        <v>0.176029532991649</v>
      </c>
      <c r="C6" s="658" t="n">
        <v>0.162818536970001</v>
      </c>
      <c r="D6" s="658" t="n">
        <v>0.148267087201176</v>
      </c>
      <c r="E6" s="658" t="n">
        <v>0.1329235511272</v>
      </c>
      <c r="F6" s="658" t="n">
        <v>0.117325543887316</v>
      </c>
      <c r="G6" s="658" t="n">
        <v>0.101949750904986</v>
      </c>
      <c r="H6" s="658" t="n">
        <v>0.0872226801906742</v>
      </c>
      <c r="I6" s="658" t="n">
        <v>0.073463316726999</v>
      </c>
    </row>
    <row r="7" ht="15" customFormat="1" customHeight="1" s="380">
      <c r="A7" s="550" t="inlineStr">
        <is>
          <t>Ramsgate</t>
        </is>
      </c>
      <c r="B7" s="658" t="n">
        <v>0.07250863396163609</v>
      </c>
      <c r="C7" s="658" t="n">
        <v>0.07598302334290349</v>
      </c>
      <c r="D7" s="658" t="n">
        <v>0.0783922107102734</v>
      </c>
      <c r="E7" s="658" t="n">
        <v>0.0796252375206314</v>
      </c>
      <c r="F7" s="658" t="n">
        <v>0.0796252375206314</v>
      </c>
      <c r="G7" s="658" t="n">
        <v>0.0783922107102734</v>
      </c>
      <c r="H7" s="658" t="n">
        <v>0.07598302334290349</v>
      </c>
      <c r="I7" s="658" t="n">
        <v>0.07250863396163609</v>
      </c>
      <c r="J7" s="658" t="n">
        <v>0.0681202235814644</v>
      </c>
      <c r="K7" s="658" t="n">
        <v>0.0630078087074717</v>
      </c>
      <c r="L7" s="658" t="n">
        <v>0.0573766626444195</v>
      </c>
      <c r="M7" s="658" t="n">
        <v>0.051438993606014</v>
      </c>
      <c r="N7" s="658" t="n">
        <v>0.0454028488605945</v>
      </c>
      <c r="O7" s="658" t="n">
        <v>0.0394526969860886</v>
      </c>
      <c r="P7" s="658" t="n">
        <v>0.0337535888153789</v>
      </c>
      <c r="Q7" s="658" t="n">
        <v>0.02842896572768</v>
      </c>
    </row>
    <row r="8" ht="15" customFormat="1" customHeight="1" s="380">
      <c r="A8" s="550" t="inlineStr">
        <is>
          <t>Califa</t>
        </is>
      </c>
      <c r="B8" s="658" t="n">
        <v>0.0622557988273664</v>
      </c>
      <c r="C8" s="658" t="n">
        <v>0.0696303817844058</v>
      </c>
      <c r="D8" s="658" t="n">
        <v>0.07596498944816971</v>
      </c>
      <c r="E8" s="658" t="n">
        <v>0.0808396542930274</v>
      </c>
      <c r="F8" s="658" t="n">
        <v>0.0839139569597627</v>
      </c>
      <c r="G8" s="658" t="n">
        <v>0.0849644606868282</v>
      </c>
      <c r="H8" s="658" t="n">
        <v>0.0839139569597627</v>
      </c>
      <c r="I8" s="658" t="n">
        <v>0.0808396542930274</v>
      </c>
      <c r="J8" s="658" t="n">
        <v>0.07596498944816971</v>
      </c>
      <c r="K8" s="658" t="n">
        <v>0.0696303817844058</v>
      </c>
      <c r="L8" s="658" t="n">
        <v>0.0622557988273664</v>
      </c>
      <c r="M8" s="658" t="n">
        <v>0.0542939632300299</v>
      </c>
      <c r="N8" s="658" t="n">
        <v>0.0461870692115841</v>
      </c>
      <c r="O8" s="658" t="n">
        <v>0.038324668822266</v>
      </c>
      <c r="P8" s="658" t="n">
        <v>0.031020275423828</v>
      </c>
    </row>
    <row r="9" ht="15" customFormat="1" customHeight="1" s="380">
      <c r="A9" s="550" t="inlineStr">
        <is>
          <t>Whipple</t>
        </is>
      </c>
      <c r="B9" s="658" t="n">
        <v>0.0622557988273664</v>
      </c>
      <c r="C9" s="658" t="n">
        <v>0.0696303817844058</v>
      </c>
      <c r="D9" s="658" t="n">
        <v>0.07596498944816971</v>
      </c>
      <c r="E9" s="658" t="n">
        <v>0.0808396542930274</v>
      </c>
      <c r="F9" s="658" t="n">
        <v>0.0839139569597627</v>
      </c>
      <c r="G9" s="658" t="n">
        <v>0.0849644606868282</v>
      </c>
      <c r="H9" s="658" t="n">
        <v>0.0839139569597627</v>
      </c>
      <c r="I9" s="658" t="n">
        <v>0.0808396542930274</v>
      </c>
      <c r="J9" s="658" t="n">
        <v>0.07596498944816971</v>
      </c>
      <c r="K9" s="658" t="n">
        <v>0.0696303817844058</v>
      </c>
      <c r="L9" s="658" t="n">
        <v>0.0622557988273664</v>
      </c>
      <c r="M9" s="658" t="n">
        <v>0.0542939632300299</v>
      </c>
      <c r="N9" s="658" t="n">
        <v>0.0461870692115841</v>
      </c>
      <c r="O9" s="658" t="n">
        <v>0.038324668822266</v>
      </c>
      <c r="P9" s="658" t="n">
        <v>0.031020275423828</v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9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149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selection pane="topLeft" activeCell="G29" activeCellId="0" sqref="G29"/>
    </sheetView>
  </sheetViews>
  <sheetFormatPr baseColWidth="8" defaultColWidth="8.71875" defaultRowHeight="15" zeroHeight="0" outlineLevelRow="0"/>
  <cols>
    <col width="40" customWidth="1" style="380" min="1" max="1"/>
    <col width="30" customWidth="1" style="380" min="2" max="2"/>
    <col width="22" customWidth="1" style="380" min="3" max="3"/>
  </cols>
  <sheetData>
    <row r="1" ht="17.25" customFormat="1" customHeight="1" s="380">
      <c r="A1" s="473" t="inlineStr">
        <is>
          <t>Six Peak Capital - Model Assumptions</t>
        </is>
      </c>
    </row>
    <row r="3" ht="15" customFormat="1" customHeight="1" s="380">
      <c r="A3" s="402" t="inlineStr">
        <is>
          <t>GC Fee Structure</t>
        </is>
      </c>
      <c r="B3" s="402" t="n"/>
      <c r="C3" s="402" t="n"/>
      <c r="D3" s="402" t="n"/>
    </row>
    <row r="4" ht="15" customFormat="1" customHeight="1" s="380">
      <c r="A4" s="550" t="inlineStr">
        <is>
          <t>Field Supervision Rate</t>
        </is>
      </c>
      <c r="B4" s="658" t="n">
        <v>0.06</v>
      </c>
    </row>
    <row r="5" ht="15" customFormat="1" customHeight="1" s="380">
      <c r="A5" s="550" t="inlineStr">
        <is>
          <t>GC-CM Fee Rate</t>
        </is>
      </c>
      <c r="B5" s="658" t="n">
        <v>0.06</v>
      </c>
    </row>
    <row r="6" ht="15" customFormat="1" customHeight="1" s="380">
      <c r="A6" s="550" t="inlineStr">
        <is>
          <t>Project Admin Rate</t>
        </is>
      </c>
      <c r="B6" s="658" t="n">
        <v>0.02</v>
      </c>
    </row>
    <row r="7" ht="15" customFormat="1" customHeight="1" s="380">
      <c r="A7" s="550" t="inlineStr">
        <is>
          <t>Total Fee Rate</t>
        </is>
      </c>
      <c r="B7" s="553">
        <f>B4+B5+B6</f>
        <v/>
      </c>
    </row>
    <row r="8" ht="15" customFormat="1" customHeight="1" s="380">
      <c r="A8" s="550" t="n"/>
      <c r="B8" s="658" t="n"/>
    </row>
    <row r="9" ht="15" customFormat="1" customHeight="1" s="380">
      <c r="A9" s="550" t="inlineStr">
        <is>
          <t>Effective Revenue Rate on GMP</t>
        </is>
      </c>
      <c r="B9" s="553">
        <f>SUM(B10:B12)</f>
        <v/>
      </c>
      <c r="C9" s="380" t="inlineStr">
        <is>
          <t>On-GMP rates set directly (overhead gross-up removed)</t>
        </is>
      </c>
    </row>
    <row r="10" ht="15" customFormat="1" customHeight="1" s="380">
      <c r="A10" s="550" t="inlineStr">
        <is>
          <t>Supervision Rate on GMP</t>
        </is>
      </c>
      <c r="B10" s="553" t="n">
        <v>0.051596</v>
      </c>
    </row>
    <row r="11" ht="15" customFormat="1" customHeight="1" s="380">
      <c r="A11" s="550" t="inlineStr">
        <is>
          <t>GC-CM Fee Rate on GMP</t>
        </is>
      </c>
      <c r="B11" s="553" t="n">
        <v>0.051596</v>
      </c>
    </row>
    <row r="12" ht="15" customFormat="1" customHeight="1" s="380">
      <c r="A12" s="550" t="inlineStr">
        <is>
          <t>Admin Rate on GMP</t>
        </is>
      </c>
      <c r="B12" s="553" t="n">
        <v>0.017199</v>
      </c>
    </row>
    <row r="14" ht="15" customFormat="1" customHeight="1" s="380">
      <c r="A14" s="402" t="inlineStr">
        <is>
          <t>Bonding</t>
        </is>
      </c>
      <c r="B14" s="402" t="n"/>
      <c r="C14" s="402" t="n"/>
      <c r="D14" s="402" t="n"/>
    </row>
    <row r="15" ht="15" customFormat="1" customHeight="1" s="380">
      <c r="A15" s="550" t="inlineStr">
        <is>
          <t>Bonding Revenue Rate</t>
        </is>
      </c>
      <c r="B15" s="658" t="n">
        <v>0.015</v>
      </c>
    </row>
    <row r="16" ht="15" customFormat="1" customHeight="1" s="380">
      <c r="A16" s="550" t="inlineStr">
        <is>
          <t>Tier 1 Bond Cost Rate</t>
        </is>
      </c>
      <c r="B16" s="658" t="n">
        <v>0.0074</v>
      </c>
    </row>
    <row r="17" ht="15" customFormat="1" customHeight="1" s="380">
      <c r="A17" s="550" t="inlineStr">
        <is>
          <t>Tier 2 Bond Cost Rate</t>
        </is>
      </c>
      <c r="B17" s="658" t="n">
        <v>0.0325</v>
      </c>
    </row>
    <row r="18" ht="15" customFormat="1" customHeight="1" s="380">
      <c r="A18" s="380" t="inlineStr">
        <is>
          <t>Krueger CBI Premium Rate (Riverton actual 7/15/26)</t>
        </is>
      </c>
      <c r="B18" s="660">
        <f>103966/14337010.8</f>
        <v/>
      </c>
      <c r="C18" s="380" t="inlineStr">
        <is>
          <t>Cash owed to Justin (Krueger) - paid at Francis bond billing</t>
        </is>
      </c>
      <c r="D18" s="661" t="n">
        <v>697090.78</v>
      </c>
    </row>
    <row r="19" ht="15" customFormat="1" customHeight="1" s="380">
      <c r="A19" s="402" t="inlineStr">
        <is>
          <t>Payroll Burden Rates</t>
        </is>
      </c>
      <c r="B19" s="402" t="n"/>
      <c r="C19" s="402" t="n"/>
      <c r="D19" s="402" t="n"/>
    </row>
    <row r="20" ht="15" customFormat="1" customHeight="1" s="380">
      <c r="A20" s="550" t="inlineStr">
        <is>
          <t>Payroll Tax Rate</t>
        </is>
      </c>
      <c r="B20" s="658" t="n">
        <v>0.07000000000000001</v>
      </c>
    </row>
    <row r="21" ht="15" customFormat="1" customHeight="1" s="380">
      <c r="A21" s="550" t="inlineStr">
        <is>
          <t>Payroll Servicing Rate</t>
        </is>
      </c>
      <c r="B21" s="658" t="n">
        <v>0.005</v>
      </c>
    </row>
    <row r="22" ht="15" customFormat="1" customHeight="1" s="380">
      <c r="A22" s="550" t="inlineStr">
        <is>
          <t>Employee Benefits Rate</t>
        </is>
      </c>
      <c r="B22" s="658" t="n">
        <v>0.05</v>
      </c>
    </row>
    <row r="23" ht="15" customFormat="1" customHeight="1" s="380">
      <c r="A23" s="550" t="inlineStr">
        <is>
          <t>Workers Comp Rate</t>
        </is>
      </c>
      <c r="B23" s="658" t="n">
        <v>0.02</v>
      </c>
    </row>
    <row r="25" ht="15" customFormat="1" customHeight="1" s="380">
      <c r="A25" s="402" t="inlineStr">
        <is>
          <t>Expense Escalation</t>
        </is>
      </c>
      <c r="B25" s="402" t="n"/>
      <c r="C25" s="402" t="n"/>
      <c r="D25" s="402" t="n"/>
    </row>
    <row r="26" ht="15" customFormat="1" customHeight="1" s="380">
      <c r="A26" s="550" t="inlineStr">
        <is>
          <t>Annual Expense Escalation Rate</t>
        </is>
      </c>
      <c r="B26" s="635" t="n">
        <v>0.02</v>
      </c>
    </row>
    <row r="28" ht="15" customFormat="1" customHeight="1" s="380">
      <c r="A28" s="402" t="inlineStr">
        <is>
          <t>Beginning Cash Balances</t>
        </is>
      </c>
      <c r="B28" s="402" t="n"/>
      <c r="C28" s="402" t="n"/>
      <c r="D28" s="402" t="n"/>
    </row>
    <row r="29" ht="15" customFormat="1" customHeight="1" s="380">
      <c r="A29" s="550" t="inlineStr">
        <is>
          <t>LV (GC) Beginning Cash</t>
        </is>
      </c>
      <c r="B29" s="637" t="n">
        <v>283340</v>
      </c>
    </row>
    <row r="30" ht="15" customFormat="1" customHeight="1" s="380">
      <c r="A30" s="550" t="inlineStr">
        <is>
          <t>Six Peak Beginning Cash</t>
        </is>
      </c>
      <c r="B30" s="637" t="n">
        <v>122223</v>
      </c>
    </row>
    <row r="32" ht="15" customFormat="1" customHeight="1" s="380">
      <c r="A32" s="402" t="inlineStr">
        <is>
          <t>Debt Facility</t>
        </is>
      </c>
      <c r="B32" s="402" t="n"/>
      <c r="C32" s="402" t="n"/>
      <c r="D32" s="402" t="n"/>
    </row>
    <row r="33" ht="15" customFormat="1" customHeight="1" s="380">
      <c r="A33" s="550" t="inlineStr">
        <is>
          <t>Debt Starting Balance (Apr 2026)</t>
        </is>
      </c>
      <c r="B33" s="637" t="n">
        <v>1615485</v>
      </c>
    </row>
    <row r="34" ht="15" customFormat="1" customHeight="1" s="380">
      <c r="A34" s="550" t="inlineStr">
        <is>
          <t>Interest Rate (Annual)</t>
        </is>
      </c>
      <c r="B34" s="658" t="n">
        <v>0.15</v>
      </c>
    </row>
    <row r="35" ht="15" customFormat="1" customHeight="1" s="380">
      <c r="A35" s="550" t="inlineStr">
        <is>
          <t>Quarterly Rate</t>
        </is>
      </c>
      <c r="B35" s="553">
        <f>B34/4</f>
        <v/>
      </c>
    </row>
    <row r="36" ht="15" customFormat="1" customHeight="1" s="380">
      <c r="A36" s="550" t="inlineStr">
        <is>
          <t>Monthly Payment Amount</t>
        </is>
      </c>
      <c r="B36" s="637" t="n">
        <v>112000</v>
      </c>
    </row>
    <row r="37" ht="15" customFormat="1" customHeight="1" s="380">
      <c r="A37" s="550" t="inlineStr">
        <is>
          <t>First Payment Month #</t>
        </is>
      </c>
      <c r="B37" s="662" t="n">
        <v>10</v>
      </c>
    </row>
    <row r="38" ht="15" customFormat="1" customHeight="1" s="380">
      <c r="A38" s="663" t="inlineStr">
        <is>
          <t>(Month 7 = Oct 2026, paid off Dec 2027)</t>
        </is>
      </c>
    </row>
    <row r="40" ht="15" customFormat="1" customHeight="1" s="380">
      <c r="A40" s="402" t="inlineStr">
        <is>
          <t>Row Run Capital LLC</t>
        </is>
      </c>
      <c r="B40" s="402" t="n"/>
      <c r="C40" s="402" t="n"/>
      <c r="D40" s="402" t="n"/>
    </row>
    <row r="41" ht="15" customFormat="1" customHeight="1" s="380">
      <c r="A41" s="550" t="inlineStr">
        <is>
          <t>Loan Amount</t>
        </is>
      </c>
      <c r="B41" s="637" t="n">
        <v>1000000</v>
      </c>
    </row>
    <row r="42" ht="15" customFormat="1" customHeight="1" s="380">
      <c r="A42" s="550" t="inlineStr">
        <is>
          <t>Tranche Size (25%)</t>
        </is>
      </c>
      <c r="B42" s="664">
        <f>B41*0.25</f>
        <v/>
      </c>
    </row>
    <row r="43" ht="15" customFormat="1" customHeight="1" s="380">
      <c r="A43" s="550" t="inlineStr">
        <is>
          <t>Net Income Threshold</t>
        </is>
      </c>
      <c r="B43" s="637" t="n">
        <v>1000000</v>
      </c>
    </row>
    <row r="44" ht="15" customFormat="1" customHeight="1" s="380">
      <c r="A44" s="663" t="inlineStr">
        <is>
          <t>(Payable only when annual consolidated NI &gt;= threshold)</t>
        </is>
      </c>
    </row>
    <row r="46" ht="15" customFormat="1" customHeight="1" s="380">
      <c r="A46" s="402" t="inlineStr">
        <is>
          <t>Steyn Group Guaranty</t>
        </is>
      </c>
      <c r="B46" s="402" t="n"/>
      <c r="C46" s="402" t="n"/>
      <c r="D46" s="402" t="n"/>
    </row>
    <row r="47" ht="15" customFormat="1" customHeight="1" s="380">
      <c r="A47" s="550" t="inlineStr">
        <is>
          <t>Completion Guaranty Fee Rate</t>
        </is>
      </c>
      <c r="B47" s="658" t="n">
        <v>0.01</v>
      </c>
    </row>
    <row r="48" ht="15" customFormat="1" customHeight="1" s="380">
      <c r="A48" s="550" t="inlineStr">
        <is>
          <t>Liquidity Guarantee Fee Rate</t>
        </is>
      </c>
      <c r="B48" s="658" t="n">
        <v>0.03</v>
      </c>
    </row>
    <row r="50" ht="15" customFormat="1" customHeight="1" s="380">
      <c r="A50" s="402" t="inlineStr">
        <is>
          <t>Steyn Liquidity Requirements</t>
        </is>
      </c>
      <c r="B50" s="402" t="n"/>
      <c r="C50" s="665" t="n"/>
      <c r="D50" s="402" t="n"/>
    </row>
    <row r="51" ht="15" customFormat="1" customHeight="1" s="380">
      <c r="A51" s="550" t="inlineStr">
        <is>
          <t>Klump</t>
        </is>
      </c>
      <c r="B51" s="637" t="n">
        <v>2000000</v>
      </c>
    </row>
    <row r="52" ht="15" customFormat="1" customHeight="1" s="380">
      <c r="A52" s="550" t="inlineStr">
        <is>
          <t>Scott</t>
        </is>
      </c>
      <c r="B52" s="637" t="n">
        <v>2000000</v>
      </c>
    </row>
    <row r="53" ht="15" customFormat="1" customHeight="1" s="380">
      <c r="A53" s="550" t="inlineStr">
        <is>
          <t>Francis</t>
        </is>
      </c>
      <c r="B53" s="637" t="n">
        <v>5000000</v>
      </c>
      <c r="C53" s="468" t="n"/>
    </row>
    <row r="54" ht="15" customFormat="1" customHeight="1" s="380">
      <c r="A54" s="550" t="inlineStr">
        <is>
          <t>Reseda</t>
        </is>
      </c>
      <c r="B54" s="637" t="n">
        <v>5000000</v>
      </c>
      <c r="C54" s="468" t="n"/>
    </row>
    <row r="55" ht="15" customFormat="1" customHeight="1" s="380">
      <c r="A55" s="550" t="inlineStr">
        <is>
          <t>3rd St</t>
        </is>
      </c>
      <c r="B55" s="637" t="n">
        <v>5000000</v>
      </c>
      <c r="C55" s="468" t="n"/>
    </row>
    <row r="57" ht="15" customFormat="1" customHeight="1" s="380">
      <c r="A57" s="402" t="inlineStr">
        <is>
          <t>Project Investment Capital</t>
        </is>
      </c>
      <c r="B57" s="402" t="n"/>
      <c r="C57" s="402" t="n"/>
      <c r="D57" s="402" t="n"/>
    </row>
    <row r="58" ht="15" customFormat="1" customHeight="1" s="380">
      <c r="A58" s="550" t="inlineStr">
        <is>
          <t>Accrual Rate (Annual)</t>
        </is>
      </c>
      <c r="B58" s="658" t="n">
        <v>0.15</v>
      </c>
    </row>
    <row r="59" ht="15" customFormat="1" customHeight="1" s="380">
      <c r="A59" s="550" t="inlineStr">
        <is>
          <t>Quarterly Accrual Rate</t>
        </is>
      </c>
      <c r="B59" s="553">
        <f>B58/4</f>
        <v/>
      </c>
    </row>
    <row r="60" ht="15" customFormat="1" customHeight="1" s="380">
      <c r="A60" s="550" t="inlineStr">
        <is>
          <t>Klump - Capital Invested</t>
        </is>
      </c>
      <c r="B60" s="637" t="n">
        <v>0</v>
      </c>
    </row>
    <row r="61" ht="15" customFormat="1" customHeight="1" s="380">
      <c r="A61" s="550" t="inlineStr">
        <is>
          <t>Scott - Capital Invested</t>
        </is>
      </c>
      <c r="B61" s="637" t="n">
        <v>0</v>
      </c>
    </row>
    <row r="62" ht="15" customFormat="1" customHeight="1" s="380">
      <c r="A62" s="550" t="inlineStr">
        <is>
          <t>Reseda - Capital Invested</t>
        </is>
      </c>
      <c r="B62" s="637" t="n">
        <v>1784000</v>
      </c>
    </row>
    <row r="63" ht="15" customFormat="1" customHeight="1" s="380">
      <c r="A63" s="550" t="inlineStr">
        <is>
          <t>3rd St - Capital Invested</t>
        </is>
      </c>
      <c r="B63" s="637" t="n">
        <v>1766181</v>
      </c>
    </row>
    <row r="64" ht="15" customFormat="1" customHeight="1" s="380">
      <c r="A64" s="663" t="inlineStr">
        <is>
          <t>(Capital amounts TBD - enter when available)</t>
        </is>
      </c>
    </row>
    <row r="66" ht="15" customFormat="1" customHeight="1" s="380">
      <c r="A66" s="476" t="inlineStr">
        <is>
          <t>Edgemont Management Fee</t>
        </is>
      </c>
    </row>
    <row r="67" ht="15" customFormat="1" customHeight="1" s="380">
      <c r="A67" s="468" t="inlineStr">
        <is>
          <t>Monthly Fee Amount</t>
        </is>
      </c>
      <c r="B67" s="666" t="n">
        <v>833.33</v>
      </c>
    </row>
    <row r="68" ht="15" customFormat="1" customHeight="1" s="380">
      <c r="A68" s="468" t="inlineStr">
        <is>
          <t>Last Active Month #</t>
        </is>
      </c>
      <c r="B68" s="468" t="n">
        <v>5</v>
      </c>
    </row>
    <row r="70" ht="15" customFormat="1" customHeight="1" s="380">
      <c r="A70" s="667" t="inlineStr">
        <is>
          <t>PIK Detail Parameters</t>
        </is>
      </c>
      <c r="B70" s="667" t="n"/>
    </row>
    <row r="71" ht="15" customFormat="1" customHeight="1" s="380">
      <c r="A71" s="668" t="inlineStr">
        <is>
          <t>Reseda - Initial PIK Balance</t>
        </is>
      </c>
      <c r="B71" s="669" t="n">
        <v>1134000</v>
      </c>
    </row>
    <row r="72" ht="15" customFormat="1" customHeight="1" s="380">
      <c r="A72" s="670" t="inlineStr">
        <is>
          <t>Reseda - Monthly PIK Ramp</t>
        </is>
      </c>
      <c r="B72" s="671" t="n">
        <v>50000</v>
      </c>
    </row>
    <row r="73" ht="15" customFormat="1" customHeight="1" s="380">
      <c r="A73" s="668" t="inlineStr">
        <is>
          <t>Reseda - PIK Ramp Until Month</t>
        </is>
      </c>
      <c r="B73" s="672" t="n">
        <v>14</v>
      </c>
    </row>
    <row r="74" ht="15" customFormat="1" customHeight="1" s="380">
      <c r="A74" s="670" t="inlineStr">
        <is>
          <t>Reseda - Deal Distribution</t>
        </is>
      </c>
      <c r="B74" s="671" t="n">
        <v>-1450000</v>
      </c>
    </row>
    <row r="75" ht="15" customFormat="1" customHeight="1" s="380">
      <c r="A75" s="668" t="inlineStr">
        <is>
          <t>3rd St - Initial PIK Balance</t>
        </is>
      </c>
      <c r="B75" s="669" t="n">
        <v>264927.15</v>
      </c>
    </row>
    <row r="76" ht="15" customFormat="1" customHeight="1" s="380">
      <c r="A76" s="670" t="inlineStr">
        <is>
          <t>3rd St - Final Tranche (draw base: 20/20/10/10/10/100%)</t>
        </is>
      </c>
      <c r="B76" s="671" t="n">
        <v>883090.5</v>
      </c>
    </row>
    <row r="77" ht="15" customFormat="1" customHeight="1" s="380">
      <c r="A77" s="668" t="inlineStr">
        <is>
          <t>3rd St - Deal Distribution</t>
        </is>
      </c>
      <c r="B77" s="669" t="n">
        <v>-1800000</v>
      </c>
    </row>
    <row r="79" ht="19.5" customFormat="1" customHeight="1" s="380">
      <c r="A79" s="673" t="inlineStr">
        <is>
          <t>HVN Commission Structure</t>
        </is>
      </c>
    </row>
    <row r="80" ht="15" customFormat="1" customHeight="1" s="380">
      <c r="A80" s="674" t="inlineStr">
        <is>
          <t>Number of HVN deals per year (informational)</t>
        </is>
      </c>
      <c r="B80" s="675" t="n">
        <v>1</v>
      </c>
    </row>
    <row r="82" ht="27.75" customFormat="1" customHeight="1" s="380">
      <c r="A82" s="531" t="inlineStr">
        <is>
          <t>Tier</t>
        </is>
      </c>
      <c r="B82" s="531" t="inlineStr">
        <is>
          <t>Non-HVN BD Annual Billing &gt;=</t>
        </is>
      </c>
      <c r="C82" s="531" t="inlineStr">
        <is>
          <t>HVN Commission Rate</t>
        </is>
      </c>
    </row>
    <row r="83" ht="15" customFormat="1" customHeight="1" s="380">
      <c r="A83" s="676" t="inlineStr">
        <is>
          <t>Tier 0 (base)</t>
        </is>
      </c>
      <c r="B83" s="677" t="n">
        <v>0</v>
      </c>
      <c r="C83" s="678" t="n">
        <v>0.25</v>
      </c>
    </row>
    <row r="84" ht="15" customFormat="1" customHeight="1" s="380">
      <c r="A84" s="676" t="inlineStr">
        <is>
          <t>Tier 1</t>
        </is>
      </c>
      <c r="B84" s="677" t="n">
        <v>20000000</v>
      </c>
      <c r="C84" s="678" t="n">
        <v>0.5</v>
      </c>
    </row>
    <row r="85" ht="15" customFormat="1" customHeight="1" s="380">
      <c r="A85" s="676" t="inlineStr">
        <is>
          <t>Tier 2</t>
        </is>
      </c>
      <c r="B85" s="677" t="n">
        <v>40000000</v>
      </c>
      <c r="C85" s="678" t="n">
        <v>0.75</v>
      </c>
    </row>
    <row r="86" ht="15" customFormat="1" customHeight="1" s="380">
      <c r="A86" s="676" t="inlineStr">
        <is>
          <t>Tier 3</t>
        </is>
      </c>
      <c r="B86" s="677" t="n">
        <v>60000000</v>
      </c>
      <c r="C86" s="678" t="n">
        <v>1</v>
      </c>
    </row>
    <row r="88" ht="15" customFormat="1" customHeight="1" s="380">
      <c r="A88" s="452" t="inlineStr">
        <is>
          <t>(Thresholds measured by non-HVN BD annual billing; rate applied to that year's HVN GP)</t>
        </is>
      </c>
    </row>
    <row r="92" ht="15" customHeight="1" s="410">
      <c r="A92" s="380" t="inlineStr">
        <is>
          <t>ALT-1 SCENARIO NOTES</t>
        </is>
      </c>
    </row>
    <row r="93" ht="15" customHeight="1" s="410">
      <c r="A93" s="380" t="inlineStr">
        <is>
          <t>Built 14 Aug 2026 from 'Base Case (in-place) + HVN 3 (Dickens-Riverton-Moorpark)'.</t>
        </is>
      </c>
    </row>
    <row r="94" ht="15" customHeight="1" s="410">
      <c r="A94" s="380" t="inlineStr">
        <is>
          <t>Month index: month 1 = Apr 2026. Projects!C is that index.</t>
        </is>
      </c>
    </row>
    <row r="95" ht="15" customHeight="1" s="410">
      <c r="A95" s="380" t="inlineStr">
        <is>
          <t>Troost (Projects row 21, former BD-05 slot): GMP $15,189,509 from LV ROM 7/30/26.</t>
        </is>
      </c>
    </row>
    <row r="96" ht="15" customHeight="1" s="410">
      <c r="A96" s="380" t="inlineStr">
        <is>
          <t xml:space="preserve">   Nov 2026 start treated as unbilled mobilisation; Projects!C=9 so first billing is Dec 2026.</t>
        </is>
      </c>
    </row>
    <row r="97" ht="15" customHeight="1" s="410">
      <c r="A97" s="380" t="inlineStr">
        <is>
          <t xml:space="preserve">   Flagged HVN=Yes, so Tom earns the tiered HVN commission rate.</t>
        </is>
      </c>
    </row>
    <row r="98" ht="15" customHeight="1" s="410">
      <c r="A98" s="380" t="inlineStr">
        <is>
          <t xml:space="preserve">   ROM total carries $223,464 of bonding inside it; Bonded set to No, bonding not modelled separately.</t>
        </is>
      </c>
    </row>
    <row r="99" ht="15" customHeight="1" s="410">
      <c r="A99" s="380" t="inlineStr">
        <is>
          <t>Beverly (Projects row 20, BD-04 slot): GMP $25,026,331 from LV ROM 7/22/26.</t>
        </is>
      </c>
    </row>
    <row r="100" ht="15" customHeight="1" s="410">
      <c r="A100" s="380" t="inlineStr">
        <is>
          <t xml:space="preserve">   Oct 2027 start treated as unbilled mobilisation; Projects!C=20 so first billing is Nov 2027.</t>
        </is>
      </c>
    </row>
    <row r="101" ht="15" customHeight="1" s="410">
      <c r="A101" s="380" t="inlineStr">
        <is>
          <t xml:space="preserve">   Flagged HVN=No per direction, so Tom earns the standard 10% non-HVN commission.</t>
        </is>
      </c>
    </row>
    <row r="102" ht="15" customHeight="1" s="410">
      <c r="A102" s="380" t="inlineStr">
        <is>
          <t>Klump and Scott switched Active=Yes, both moved to Projects!C=10 (Jan 2027).</t>
        </is>
      </c>
    </row>
    <row r="103" ht="15" customHeight="1" s="410">
      <c r="A103" s="380" t="inlineStr">
        <is>
          <t>Model row 142 (BD Commission) restored to the BD Commission Detail engine with a $0 monthly floor.</t>
        </is>
      </c>
    </row>
    <row r="104" ht="15" customHeight="1" s="410">
      <c r="A104" s="380" t="inlineStr">
        <is>
          <t xml:space="preserve">   It was hard-coded to 0 from Jun 2026 in all 11 June files. Circular by design; workbook has iterate=true.</t>
        </is>
      </c>
    </row>
    <row r="105" ht="15" customHeight="1" s="410">
      <c r="A105" s="380" t="inlineStr">
        <is>
          <t>OPEN: no field staff added for the four newly-activated jobs. Personnel is a fixed roster,</t>
        </is>
      </c>
    </row>
    <row r="106" ht="15" customHeight="1" s="410">
      <c r="A106" s="380" t="inlineStr">
        <is>
          <t xml:space="preserve">   so GC payroll does not scale with job count. Acama and Reseda each carry a named Sr Super.</t>
        </is>
      </c>
    </row>
    <row r="108" ht="15" customHeight="1" s="410">
      <c r="A108" s="380" t="inlineStr">
        <is>
          <t>FIX: Model row 158 (Klump Guarantee Fee) was hardwired to column I (Aug 2026) with no month test,</t>
        </is>
      </c>
    </row>
    <row r="109" ht="15" customHeight="1" s="410">
      <c r="A109" s="380" t="inlineStr">
        <is>
          <t xml:space="preserve">   so it booked $253,980 regardless of Klump's start month. Now month-tested against Projects!C11,</t>
        </is>
      </c>
    </row>
    <row r="110" ht="15" customHeight="1" s="410">
      <c r="A110" s="380" t="inlineStr">
        <is>
          <t xml:space="preserve">   matching row 161 (Scott). Latent in all 11 June workbooks; only visible once the start crosses a FY.</t>
        </is>
      </c>
    </row>
    <row r="112" ht="15" customHeight="1" s="410">
      <c r="A112" s="380" t="inlineStr">
        <is>
          <t>STAFFING: Personnel row 34 added - Project Coordinator on Brisa's profile, $90,000,</t>
        </is>
      </c>
    </row>
    <row r="113" ht="15" customHeight="1" s="410">
      <c r="A113" s="380" t="inlineStr">
        <is>
          <t xml:space="preserve">   start month 10 (Jan 2027). Wired into Model r111 (payroll), Model r131 (15% recruiting</t>
        </is>
      </c>
    </row>
    <row r="114" ht="15" customHeight="1" s="410">
      <c r="A114" s="380" t="inlineStr">
        <is>
          <t xml:space="preserve">   fee in the start month) and Helpers r4 (W2 basis, which drives taxes/benefits/WC/servicing).</t>
        </is>
      </c>
    </row>
    <row r="115" ht="15" customHeight="1" s="410">
      <c r="A115" s="380" t="inlineStr">
        <is>
          <t xml:space="preserve">   Personnel row 28 'Placeholder Asst Super' left inactive and available for the Apr-Jul 2027 gap.</t>
        </is>
      </c>
    </row>
    <row r="117" ht="15" customHeight="1" s="410">
      <c r="A117" s="380" t="inlineStr">
        <is>
          <t>FIX: Helpers rows 98/99 excluded bonding from the BD profit base only when 3rd St was</t>
        </is>
      </c>
    </row>
    <row r="118" ht="15" customHeight="1" s="410">
      <c r="A118" s="380" t="inlineStr">
        <is>
          <t xml:space="preserve">   active and started. Apr-2027 monthly GP net of tier-2 bonding was -$3,384, so row 98</t>
        </is>
      </c>
    </row>
    <row r="119" ht="15" customHeight="1" s="410">
      <c r="A119" s="380" t="inlineStr">
        <is>
          <t xml:space="preserve">   (BD fees / monthly GP) returned -54.3x and row 100 booked +$33.6m of phantom BD GP in</t>
        </is>
      </c>
    </row>
    <row r="120" ht="15" customHeight="1" s="410">
      <c r="A120" s="380" t="inlineStr">
        <is>
          <t xml:space="preserve">   one month. Bonding is now excluded unconditionally, per BD Commission tab note row 19.</t>
        </is>
      </c>
    </row>
    <row r="121" ht="15" customHeight="1" s="410">
      <c r="A121" s="380" t="inlineStr">
        <is>
          <t xml:space="preserve">   Analysis-only: Model row 142 draws on BD Commission Detail r53, so net income never moved.</t>
        </is>
      </c>
    </row>
    <row r="130" ht="15" customHeight="1" s="410">
      <c r="A130" s="380" t="inlineStr">
        <is>
          <t>DEFECT FIXES APPLIED 14 Aug 2026 (see _START HERE open items):</t>
        </is>
      </c>
    </row>
    <row r="131" ht="15" customHeight="1" s="410">
      <c r="A131" s="380" t="inlineStr">
        <is>
          <t xml:space="preserve">  r142 BD commission restored with a $0 monthly floor (was hardcoded 0 in the 4 HVN 3 files;</t>
        </is>
      </c>
    </row>
    <row r="132" ht="15" customHeight="1" s="410">
      <c r="A132" s="380" t="inlineStr">
        <is>
          <t xml:space="preserve">       live but unfloored in the other 7, so negative months credited income).</t>
        </is>
      </c>
    </row>
    <row r="133" ht="15" customHeight="1" s="410">
      <c r="A133" s="380" t="inlineStr">
        <is>
          <t xml:space="preserve">  r158 Klump guarantee fee month-tested (was pinned to Aug-26 regardless of start).</t>
        </is>
      </c>
    </row>
    <row r="134" ht="15" customHeight="1" s="410">
      <c r="A134" s="380" t="inlineStr">
        <is>
          <t xml:space="preserve">  Appendix r15/r21 Steyn fees month-tested (were pinned to Aug-26 / Sep-26).</t>
        </is>
      </c>
    </row>
    <row r="135" ht="15" customHeight="1" s="410">
      <c r="A135" s="380" t="inlineStr">
        <is>
          <t xml:space="preserve">  r155 12th &amp; Fir zeroed Apr-Jun 26 in every file, per Chris — nil actuals posted.</t>
        </is>
      </c>
    </row>
    <row r="136" ht="15" customHeight="1" s="410">
      <c r="A136" s="380" t="inlineStr">
        <is>
          <t xml:space="preserve">  Helpers r98/r99 exclude bonding unconditionally (gate on 3rd St removed).</t>
        </is>
      </c>
    </row>
    <row r="137" ht="15" customHeight="1" s="410">
      <c r="A137" s="380" t="inlineStr">
        <is>
          <t xml:space="preserve">  r105/r106 bonding now covers Projects rows 17-46, not just 6-16.</t>
        </is>
      </c>
    </row>
    <row r="138" ht="15" customHeight="1" s="410">
      <c r="A138" s="380" t="inlineStr">
        <is>
          <t xml:space="preserve">  r258 added so bonded HVN deals appear in bonding outstanding.</t>
        </is>
      </c>
    </row>
    <row r="139" ht="15" customHeight="1" s="410">
      <c r="A139" s="380" t="inlineStr">
        <is>
          <t xml:space="preserve">  NOT changed: Personnel does not scale with job count — LV BD scenarios stay optimistic.</t>
        </is>
      </c>
    </row>
    <row r="141" ht="15" customHeight="1" s="410">
      <c r="A141" s="380" t="inlineStr">
        <is>
          <t>STAFFING ASSUMPTION (added 14 Aug 2026): two further senior superintendents, covering the</t>
        </is>
      </c>
    </row>
    <row r="142" ht="15" customHeight="1" s="410">
      <c r="A142" s="380" t="inlineStr">
        <is>
          <t xml:space="preserve">   Troost start and the Klump/Scott pair rather than recycling crews through the Apr-Jul 2027 overlap:</t>
        </is>
      </c>
    </row>
    <row r="143" ht="15" customHeight="1" s="410">
      <c r="A143" s="380" t="inlineStr">
        <is>
          <t xml:space="preserve">   Personnel row 46 Sr Super (Troost), $160,000, starts month 9 (Dec 2026, Troost's first billing month).</t>
        </is>
      </c>
    </row>
    <row r="144" ht="15" customHeight="1" s="410">
      <c r="A144" s="380" t="inlineStr">
        <is>
          <t xml:space="preserve">   Personnel row 47 Sr Super (Klump/Scott), $160,000, starts month 10 (Jan 2027), covering both jobs.</t>
        </is>
      </c>
    </row>
    <row r="145" ht="15" customHeight="1" s="410">
      <c r="A145" s="380" t="inlineStr">
        <is>
          <t xml:space="preserve">   Salary follows the named-project convention (Acama and Reseda Sr Supers, both $160,000).</t>
        </is>
      </c>
    </row>
    <row r="146" ht="15" customHeight="1" s="410">
      <c r="A146" s="380" t="inlineStr">
        <is>
          <t xml:space="preserve">   Field roster adds now total 5 heads: 1 coordinator + 4 senior/assistant supers.</t>
        </is>
      </c>
    </row>
    <row r="147" ht="15" customHeight="1" s="410">
      <c r="A147" s="380" t="inlineStr">
        <is>
          <t xml:space="preserve">   OPEN: both of these are modelling assumptions, not commitments. Troost could instead take the</t>
        </is>
      </c>
    </row>
    <row r="148" ht="15" customHeight="1" s="410">
      <c r="A148" s="380" t="inlineStr">
        <is>
          <t xml:space="preserve">   Crenshaw crew (saves $160,000/yr but spends the April slack), and the Klump/Scott pair may need</t>
        </is>
      </c>
    </row>
    <row r="149" ht="15" customHeight="1" s="410">
      <c r="A149" s="380" t="inlineStr">
        <is>
          <t xml:space="preserve">   two heads once both are framing. See 'ALT-2 Sequencing.html' for the full discussion list.</t>
        </is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0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B10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A1" activeCellId="0" sqref="A1"/>
    </sheetView>
  </sheetViews>
  <sheetFormatPr baseColWidth="8" defaultColWidth="8.71875" defaultRowHeight="15" zeroHeight="0" outlineLevelRow="0"/>
  <cols>
    <col width="10" customWidth="1" style="380" min="1" max="1"/>
    <col width="12" customWidth="1" style="380" min="2" max="2"/>
  </cols>
  <sheetData>
    <row r="1" ht="15" customFormat="1" customHeight="1" s="380">
      <c r="A1" s="383" t="inlineStr">
        <is>
          <t>Month</t>
        </is>
      </c>
      <c r="B1" s="383" t="inlineStr">
        <is>
          <t>Factor</t>
        </is>
      </c>
    </row>
    <row r="2" ht="15" customFormat="1" customHeight="1" s="380">
      <c r="A2" s="674" t="n">
        <v>1</v>
      </c>
      <c r="B2" s="679">
        <f>(1+Assumptions!$B$26)^INT((A2-1)/12)</f>
        <v/>
      </c>
    </row>
    <row r="3" ht="15" customFormat="1" customHeight="1" s="380">
      <c r="A3" s="674" t="n">
        <v>2</v>
      </c>
      <c r="B3" s="679">
        <f>(1+Assumptions!$B$26)^INT((A3-1)/12)</f>
        <v/>
      </c>
    </row>
    <row r="4" ht="15" customFormat="1" customHeight="1" s="380">
      <c r="A4" s="674" t="n">
        <v>3</v>
      </c>
      <c r="B4" s="679">
        <f>(1+Assumptions!$B$26)^INT((A4-1)/12)</f>
        <v/>
      </c>
    </row>
    <row r="5" ht="15" customFormat="1" customHeight="1" s="380">
      <c r="A5" s="674" t="n">
        <v>4</v>
      </c>
      <c r="B5" s="679">
        <f>(1+Assumptions!$B$26)^INT((A5-1)/12)</f>
        <v/>
      </c>
    </row>
    <row r="6" ht="15" customFormat="1" customHeight="1" s="380">
      <c r="A6" s="674" t="n">
        <v>5</v>
      </c>
      <c r="B6" s="679">
        <f>(1+Assumptions!$B$26)^INT((A6-1)/12)</f>
        <v/>
      </c>
    </row>
    <row r="7" ht="15" customFormat="1" customHeight="1" s="380">
      <c r="A7" s="674" t="n">
        <v>6</v>
      </c>
      <c r="B7" s="679">
        <f>(1+Assumptions!$B$26)^INT((A7-1)/12)</f>
        <v/>
      </c>
    </row>
    <row r="8" ht="15" customFormat="1" customHeight="1" s="380">
      <c r="A8" s="674" t="n">
        <v>7</v>
      </c>
      <c r="B8" s="679">
        <f>(1+Assumptions!$B$26)^INT((A8-1)/12)</f>
        <v/>
      </c>
    </row>
    <row r="9" ht="15" customFormat="1" customHeight="1" s="380">
      <c r="A9" s="674" t="n">
        <v>8</v>
      </c>
      <c r="B9" s="679">
        <f>(1+Assumptions!$B$26)^INT((A9-1)/12)</f>
        <v/>
      </c>
    </row>
    <row r="10" ht="15" customFormat="1" customHeight="1" s="380">
      <c r="A10" s="674" t="n">
        <v>9</v>
      </c>
      <c r="B10" s="679">
        <f>(1+Assumptions!$B$26)^INT((A10-1)/12)</f>
        <v/>
      </c>
    </row>
    <row r="11" ht="15" customFormat="1" customHeight="1" s="380">
      <c r="A11" s="674" t="n">
        <v>10</v>
      </c>
      <c r="B11" s="679">
        <f>(1+Assumptions!$B$26)^INT((A11-1)/12)</f>
        <v/>
      </c>
    </row>
    <row r="12" ht="15" customFormat="1" customHeight="1" s="380">
      <c r="A12" s="674" t="n">
        <v>11</v>
      </c>
      <c r="B12" s="679">
        <f>(1+Assumptions!$B$26)^INT((A12-1)/12)</f>
        <v/>
      </c>
    </row>
    <row r="13" ht="15" customFormat="1" customHeight="1" s="380">
      <c r="A13" s="674" t="n">
        <v>12</v>
      </c>
      <c r="B13" s="679">
        <f>(1+Assumptions!$B$26)^INT((A13-1)/12)</f>
        <v/>
      </c>
    </row>
    <row r="14" ht="15" customFormat="1" customHeight="1" s="380">
      <c r="A14" s="674" t="n">
        <v>13</v>
      </c>
      <c r="B14" s="679">
        <f>(1+Assumptions!$B$26)^INT((A14-1)/12)</f>
        <v/>
      </c>
    </row>
    <row r="15" ht="15" customFormat="1" customHeight="1" s="380">
      <c r="A15" s="674" t="n">
        <v>14</v>
      </c>
      <c r="B15" s="679">
        <f>(1+Assumptions!$B$26)^INT((A15-1)/12)</f>
        <v/>
      </c>
    </row>
    <row r="16" ht="15" customFormat="1" customHeight="1" s="380">
      <c r="A16" s="674" t="n">
        <v>15</v>
      </c>
      <c r="B16" s="679">
        <f>(1+Assumptions!$B$26)^INT((A16-1)/12)</f>
        <v/>
      </c>
    </row>
    <row r="17" ht="15" customFormat="1" customHeight="1" s="380">
      <c r="A17" s="674" t="n">
        <v>16</v>
      </c>
      <c r="B17" s="679">
        <f>(1+Assumptions!$B$26)^INT((A17-1)/12)</f>
        <v/>
      </c>
    </row>
    <row r="18" ht="15" customFormat="1" customHeight="1" s="380">
      <c r="A18" s="674" t="n">
        <v>17</v>
      </c>
      <c r="B18" s="679">
        <f>(1+Assumptions!$B$26)^INT((A18-1)/12)</f>
        <v/>
      </c>
    </row>
    <row r="19" ht="15" customFormat="1" customHeight="1" s="380">
      <c r="A19" s="674" t="n">
        <v>18</v>
      </c>
      <c r="B19" s="679">
        <f>(1+Assumptions!$B$26)^INT((A19-1)/12)</f>
        <v/>
      </c>
    </row>
    <row r="20" ht="15" customFormat="1" customHeight="1" s="380">
      <c r="A20" s="674" t="n">
        <v>19</v>
      </c>
      <c r="B20" s="679">
        <f>(1+Assumptions!$B$26)^INT((A20-1)/12)</f>
        <v/>
      </c>
    </row>
    <row r="21" ht="15" customFormat="1" customHeight="1" s="380">
      <c r="A21" s="674" t="n">
        <v>20</v>
      </c>
      <c r="B21" s="679">
        <f>(1+Assumptions!$B$26)^INT((A21-1)/12)</f>
        <v/>
      </c>
    </row>
    <row r="22" ht="15" customFormat="1" customHeight="1" s="380">
      <c r="A22" s="674" t="n">
        <v>21</v>
      </c>
      <c r="B22" s="679">
        <f>(1+Assumptions!$B$26)^INT((A22-1)/12)</f>
        <v/>
      </c>
    </row>
    <row r="23" ht="15" customFormat="1" customHeight="1" s="380">
      <c r="A23" s="674" t="n">
        <v>22</v>
      </c>
      <c r="B23" s="679">
        <f>(1+Assumptions!$B$26)^INT((A23-1)/12)</f>
        <v/>
      </c>
    </row>
    <row r="24" ht="15" customFormat="1" customHeight="1" s="380">
      <c r="A24" s="674" t="n">
        <v>23</v>
      </c>
      <c r="B24" s="679">
        <f>(1+Assumptions!$B$26)^INT((A24-1)/12)</f>
        <v/>
      </c>
    </row>
    <row r="25" ht="15" customFormat="1" customHeight="1" s="380">
      <c r="A25" s="674" t="n">
        <v>24</v>
      </c>
      <c r="B25" s="679">
        <f>(1+Assumptions!$B$26)^INT((A25-1)/12)</f>
        <v/>
      </c>
    </row>
    <row r="26" ht="15" customFormat="1" customHeight="1" s="380">
      <c r="A26" s="674" t="n">
        <v>25</v>
      </c>
      <c r="B26" s="679">
        <f>(1+Assumptions!$B$26)^INT((A26-1)/12)</f>
        <v/>
      </c>
    </row>
    <row r="27" ht="15" customFormat="1" customHeight="1" s="380">
      <c r="A27" s="674" t="n">
        <v>26</v>
      </c>
      <c r="B27" s="679">
        <f>(1+Assumptions!$B$26)^INT((A27-1)/12)</f>
        <v/>
      </c>
    </row>
    <row r="28" ht="15" customFormat="1" customHeight="1" s="380">
      <c r="A28" s="674" t="n">
        <v>27</v>
      </c>
      <c r="B28" s="679">
        <f>(1+Assumptions!$B$26)^INT((A28-1)/12)</f>
        <v/>
      </c>
    </row>
    <row r="29" ht="15" customFormat="1" customHeight="1" s="380">
      <c r="A29" s="674" t="n">
        <v>28</v>
      </c>
      <c r="B29" s="679">
        <f>(1+Assumptions!$B$26)^INT((A29-1)/12)</f>
        <v/>
      </c>
    </row>
    <row r="30" ht="15" customFormat="1" customHeight="1" s="380">
      <c r="A30" s="674" t="n">
        <v>29</v>
      </c>
      <c r="B30" s="679">
        <f>(1+Assumptions!$B$26)^INT((A30-1)/12)</f>
        <v/>
      </c>
    </row>
    <row r="31" ht="15" customFormat="1" customHeight="1" s="380">
      <c r="A31" s="674" t="n">
        <v>30</v>
      </c>
      <c r="B31" s="679">
        <f>(1+Assumptions!$B$26)^INT((A31-1)/12)</f>
        <v/>
      </c>
    </row>
    <row r="32" ht="15" customFormat="1" customHeight="1" s="380">
      <c r="A32" s="674" t="n">
        <v>31</v>
      </c>
      <c r="B32" s="679">
        <f>(1+Assumptions!$B$26)^INT((A32-1)/12)</f>
        <v/>
      </c>
    </row>
    <row r="33" ht="15" customFormat="1" customHeight="1" s="380">
      <c r="A33" s="674" t="n">
        <v>32</v>
      </c>
      <c r="B33" s="679">
        <f>(1+Assumptions!$B$26)^INT((A33-1)/12)</f>
        <v/>
      </c>
    </row>
    <row r="34" ht="15" customFormat="1" customHeight="1" s="380">
      <c r="A34" s="674" t="n">
        <v>33</v>
      </c>
      <c r="B34" s="679">
        <f>(1+Assumptions!$B$26)^INT((A34-1)/12)</f>
        <v/>
      </c>
    </row>
    <row r="35" ht="15" customFormat="1" customHeight="1" s="380">
      <c r="A35" s="674" t="n">
        <v>34</v>
      </c>
      <c r="B35" s="679">
        <f>(1+Assumptions!$B$26)^INT((A35-1)/12)</f>
        <v/>
      </c>
    </row>
    <row r="36" ht="15" customFormat="1" customHeight="1" s="380">
      <c r="A36" s="674" t="n">
        <v>35</v>
      </c>
      <c r="B36" s="679">
        <f>(1+Assumptions!$B$26)^INT((A36-1)/12)</f>
        <v/>
      </c>
    </row>
    <row r="37" ht="15" customFormat="1" customHeight="1" s="380">
      <c r="A37" s="674" t="n">
        <v>36</v>
      </c>
      <c r="B37" s="679">
        <f>(1+Assumptions!$B$26)^INT((A37-1)/12)</f>
        <v/>
      </c>
    </row>
    <row r="38" ht="15" customFormat="1" customHeight="1" s="380">
      <c r="A38" s="674" t="n">
        <v>37</v>
      </c>
      <c r="B38" s="679">
        <f>(1+Assumptions!$B$26)^INT((A38-1)/12)</f>
        <v/>
      </c>
    </row>
    <row r="39" ht="15" customFormat="1" customHeight="1" s="380">
      <c r="A39" s="674" t="n">
        <v>38</v>
      </c>
      <c r="B39" s="679">
        <f>(1+Assumptions!$B$26)^INT((A39-1)/12)</f>
        <v/>
      </c>
    </row>
    <row r="40" ht="15" customFormat="1" customHeight="1" s="380">
      <c r="A40" s="674" t="n">
        <v>39</v>
      </c>
      <c r="B40" s="679">
        <f>(1+Assumptions!$B$26)^INT((A40-1)/12)</f>
        <v/>
      </c>
    </row>
    <row r="41" ht="15" customFormat="1" customHeight="1" s="380">
      <c r="A41" s="674" t="n">
        <v>40</v>
      </c>
      <c r="B41" s="679">
        <f>(1+Assumptions!$B$26)^INT((A41-1)/12)</f>
        <v/>
      </c>
    </row>
    <row r="42" ht="15" customFormat="1" customHeight="1" s="380">
      <c r="A42" s="674" t="n">
        <v>41</v>
      </c>
      <c r="B42" s="679">
        <f>(1+Assumptions!$B$26)^INT((A42-1)/12)</f>
        <v/>
      </c>
    </row>
    <row r="43" ht="15" customFormat="1" customHeight="1" s="380">
      <c r="A43" s="674" t="n">
        <v>42</v>
      </c>
      <c r="B43" s="679">
        <f>(1+Assumptions!$B$26)^INT((A43-1)/12)</f>
        <v/>
      </c>
    </row>
    <row r="44" ht="15" customFormat="1" customHeight="1" s="380">
      <c r="A44" s="674" t="n">
        <v>43</v>
      </c>
      <c r="B44" s="679">
        <f>(1+Assumptions!$B$26)^INT((A44-1)/12)</f>
        <v/>
      </c>
    </row>
    <row r="45" ht="15" customFormat="1" customHeight="1" s="380">
      <c r="A45" s="674" t="n">
        <v>44</v>
      </c>
      <c r="B45" s="679">
        <f>(1+Assumptions!$B$26)^INT((A45-1)/12)</f>
        <v/>
      </c>
    </row>
    <row r="46" ht="15" customFormat="1" customHeight="1" s="380">
      <c r="A46" s="674" t="n">
        <v>45</v>
      </c>
      <c r="B46" s="679">
        <f>(1+Assumptions!$B$26)^INT((A46-1)/12)</f>
        <v/>
      </c>
    </row>
    <row r="47" ht="15" customFormat="1" customHeight="1" s="380">
      <c r="A47" s="674" t="n">
        <v>46</v>
      </c>
      <c r="B47" s="679">
        <f>(1+Assumptions!$B$26)^INT((A47-1)/12)</f>
        <v/>
      </c>
    </row>
    <row r="48" ht="15" customFormat="1" customHeight="1" s="380">
      <c r="A48" s="674" t="n">
        <v>47</v>
      </c>
      <c r="B48" s="679">
        <f>(1+Assumptions!$B$26)^INT((A48-1)/12)</f>
        <v/>
      </c>
    </row>
    <row r="49" ht="15" customFormat="1" customHeight="1" s="380">
      <c r="A49" s="674" t="n">
        <v>48</v>
      </c>
      <c r="B49" s="679">
        <f>(1+Assumptions!$B$26)^INT((A49-1)/12)</f>
        <v/>
      </c>
    </row>
    <row r="50" ht="15" customFormat="1" customHeight="1" s="380">
      <c r="A50" s="674" t="n">
        <v>49</v>
      </c>
      <c r="B50" s="679">
        <f>(1+Assumptions!$B$26)^INT((A50-1)/12)</f>
        <v/>
      </c>
    </row>
    <row r="51" ht="15" customFormat="1" customHeight="1" s="380">
      <c r="A51" s="674" t="n">
        <v>50</v>
      </c>
      <c r="B51" s="679">
        <f>(1+Assumptions!$B$26)^INT((A51-1)/12)</f>
        <v/>
      </c>
    </row>
    <row r="52" ht="15" customFormat="1" customHeight="1" s="380">
      <c r="A52" s="674" t="n">
        <v>51</v>
      </c>
      <c r="B52" s="679">
        <f>(1+Assumptions!$B$26)^INT((A52-1)/12)</f>
        <v/>
      </c>
    </row>
    <row r="53" ht="15" customFormat="1" customHeight="1" s="380">
      <c r="A53" s="674" t="n">
        <v>52</v>
      </c>
      <c r="B53" s="679">
        <f>(1+Assumptions!$B$26)^INT((A53-1)/12)</f>
        <v/>
      </c>
    </row>
    <row r="54" ht="15" customFormat="1" customHeight="1" s="380">
      <c r="A54" s="674" t="n">
        <v>53</v>
      </c>
      <c r="B54" s="679">
        <f>(1+Assumptions!$B$26)^INT((A54-1)/12)</f>
        <v/>
      </c>
    </row>
    <row r="55" ht="15" customFormat="1" customHeight="1" s="380">
      <c r="A55" s="674" t="n">
        <v>54</v>
      </c>
      <c r="B55" s="679">
        <f>(1+Assumptions!$B$26)^INT((A55-1)/12)</f>
        <v/>
      </c>
    </row>
    <row r="56" ht="15" customFormat="1" customHeight="1" s="380">
      <c r="A56" s="674" t="n">
        <v>55</v>
      </c>
      <c r="B56" s="679">
        <f>(1+Assumptions!$B$26)^INT((A56-1)/12)</f>
        <v/>
      </c>
    </row>
    <row r="57" ht="15" customFormat="1" customHeight="1" s="380">
      <c r="A57" s="674" t="n">
        <v>56</v>
      </c>
      <c r="B57" s="679">
        <f>(1+Assumptions!$B$26)^INT((A57-1)/12)</f>
        <v/>
      </c>
    </row>
    <row r="58" ht="15" customFormat="1" customHeight="1" s="380">
      <c r="A58" s="674" t="n">
        <v>57</v>
      </c>
      <c r="B58" s="679">
        <f>(1+Assumptions!$B$26)^INT((A58-1)/12)</f>
        <v/>
      </c>
    </row>
    <row r="59" ht="15" customFormat="1" customHeight="1" s="380">
      <c r="A59" s="674" t="n">
        <v>58</v>
      </c>
      <c r="B59" s="679">
        <f>(1+Assumptions!$B$26)^INT((A59-1)/12)</f>
        <v/>
      </c>
    </row>
    <row r="60" ht="15" customFormat="1" customHeight="1" s="380">
      <c r="A60" s="674" t="n">
        <v>59</v>
      </c>
      <c r="B60" s="679">
        <f>(1+Assumptions!$B$26)^INT((A60-1)/12)</f>
        <v/>
      </c>
    </row>
    <row r="61" ht="15" customFormat="1" customHeight="1" s="380">
      <c r="A61" s="674" t="n">
        <v>60</v>
      </c>
      <c r="B61" s="679">
        <f>(1+Assumptions!$B$26)^INT((A61-1)/12)</f>
        <v/>
      </c>
    </row>
    <row r="62" ht="15" customFormat="1" customHeight="1" s="380">
      <c r="A62" s="674" t="n">
        <v>61</v>
      </c>
      <c r="B62" s="679">
        <f>(1+Assumptions!$B$26)^INT((A62-1)/12)</f>
        <v/>
      </c>
    </row>
    <row r="63" ht="15" customFormat="1" customHeight="1" s="380">
      <c r="A63" s="674" t="n">
        <v>62</v>
      </c>
      <c r="B63" s="679">
        <f>(1+Assumptions!$B$26)^INT((A63-1)/12)</f>
        <v/>
      </c>
    </row>
    <row r="64" ht="15" customFormat="1" customHeight="1" s="380">
      <c r="A64" s="674" t="n">
        <v>63</v>
      </c>
      <c r="B64" s="679">
        <f>(1+Assumptions!$B$26)^INT((A64-1)/12)</f>
        <v/>
      </c>
    </row>
    <row r="65" ht="15" customFormat="1" customHeight="1" s="380">
      <c r="A65" s="674" t="n">
        <v>64</v>
      </c>
      <c r="B65" s="679">
        <f>(1+Assumptions!$B$26)^INT((A65-1)/12)</f>
        <v/>
      </c>
    </row>
    <row r="66" ht="15" customFormat="1" customHeight="1" s="380">
      <c r="A66" s="674" t="n">
        <v>65</v>
      </c>
      <c r="B66" s="679">
        <f>(1+Assumptions!$B$26)^INT((A66-1)/12)</f>
        <v/>
      </c>
    </row>
    <row r="67" ht="15" customFormat="1" customHeight="1" s="380">
      <c r="A67" s="674" t="n">
        <v>66</v>
      </c>
      <c r="B67" s="679">
        <f>(1+Assumptions!$B$26)^INT((A67-1)/12)</f>
        <v/>
      </c>
    </row>
    <row r="68" ht="15" customFormat="1" customHeight="1" s="380">
      <c r="A68" s="674" t="n">
        <v>67</v>
      </c>
      <c r="B68" s="679">
        <f>(1+Assumptions!$B$26)^INT((A68-1)/12)</f>
        <v/>
      </c>
    </row>
    <row r="69" ht="15" customFormat="1" customHeight="1" s="380">
      <c r="A69" s="674" t="n">
        <v>68</v>
      </c>
      <c r="B69" s="679">
        <f>(1+Assumptions!$B$26)^INT((A69-1)/12)</f>
        <v/>
      </c>
    </row>
    <row r="70" ht="15" customFormat="1" customHeight="1" s="380">
      <c r="A70" s="674" t="n">
        <v>69</v>
      </c>
      <c r="B70" s="679">
        <f>(1+Assumptions!$B$26)^INT((A70-1)/12)</f>
        <v/>
      </c>
    </row>
    <row r="71" ht="15" customFormat="1" customHeight="1" s="380">
      <c r="A71" s="674" t="n">
        <v>70</v>
      </c>
      <c r="B71" s="679">
        <f>(1+Assumptions!$B$26)^INT((A71-1)/12)</f>
        <v/>
      </c>
    </row>
    <row r="72" ht="15" customFormat="1" customHeight="1" s="380">
      <c r="A72" s="674" t="n">
        <v>71</v>
      </c>
      <c r="B72" s="679">
        <f>(1+Assumptions!$B$26)^INT((A72-1)/12)</f>
        <v/>
      </c>
    </row>
    <row r="73" ht="15" customFormat="1" customHeight="1" s="380">
      <c r="A73" s="674" t="n">
        <v>72</v>
      </c>
      <c r="B73" s="679">
        <f>(1+Assumptions!$B$26)^INT((A73-1)/12)</f>
        <v/>
      </c>
    </row>
    <row r="74" ht="15" customFormat="1" customHeight="1" s="380">
      <c r="A74" s="674" t="n">
        <v>73</v>
      </c>
      <c r="B74" s="679">
        <f>(1+Assumptions!$B$26)^INT((A74-1)/12)</f>
        <v/>
      </c>
    </row>
    <row r="75" ht="15" customFormat="1" customHeight="1" s="380">
      <c r="A75" s="674" t="n">
        <v>74</v>
      </c>
      <c r="B75" s="679">
        <f>(1+Assumptions!$B$26)^INT((A75-1)/12)</f>
        <v/>
      </c>
    </row>
    <row r="76" ht="15" customFormat="1" customHeight="1" s="380">
      <c r="A76" s="674" t="n">
        <v>75</v>
      </c>
      <c r="B76" s="679">
        <f>(1+Assumptions!$B$26)^INT((A76-1)/12)</f>
        <v/>
      </c>
    </row>
    <row r="77" ht="15" customFormat="1" customHeight="1" s="380">
      <c r="A77" s="674" t="n">
        <v>76</v>
      </c>
      <c r="B77" s="679">
        <f>(1+Assumptions!$B$26)^INT((A77-1)/12)</f>
        <v/>
      </c>
    </row>
    <row r="78" ht="15" customFormat="1" customHeight="1" s="380">
      <c r="A78" s="674" t="n">
        <v>77</v>
      </c>
      <c r="B78" s="679">
        <f>(1+Assumptions!$B$26)^INT((A78-1)/12)</f>
        <v/>
      </c>
    </row>
    <row r="79" ht="15" customFormat="1" customHeight="1" s="380">
      <c r="A79" s="674" t="n">
        <v>78</v>
      </c>
      <c r="B79" s="679">
        <f>(1+Assumptions!$B$26)^INT((A79-1)/12)</f>
        <v/>
      </c>
    </row>
    <row r="80" ht="15" customFormat="1" customHeight="1" s="380">
      <c r="A80" s="674" t="n">
        <v>79</v>
      </c>
      <c r="B80" s="679">
        <f>(1+Assumptions!$B$26)^INT((A80-1)/12)</f>
        <v/>
      </c>
    </row>
    <row r="81" ht="15" customFormat="1" customHeight="1" s="380">
      <c r="A81" s="674" t="n">
        <v>80</v>
      </c>
      <c r="B81" s="679">
        <f>(1+Assumptions!$B$26)^INT((A81-1)/12)</f>
        <v/>
      </c>
    </row>
    <row r="82" ht="15" customFormat="1" customHeight="1" s="380">
      <c r="A82" s="674" t="n">
        <v>81</v>
      </c>
      <c r="B82" s="679">
        <f>(1+Assumptions!$B$26)^INT((A82-1)/12)</f>
        <v/>
      </c>
    </row>
    <row r="83" ht="15" customFormat="1" customHeight="1" s="380">
      <c r="A83" s="674" t="n">
        <v>82</v>
      </c>
      <c r="B83" s="679">
        <f>(1+Assumptions!$B$26)^INT((A83-1)/12)</f>
        <v/>
      </c>
    </row>
    <row r="84" ht="15" customFormat="1" customHeight="1" s="380">
      <c r="A84" s="674" t="n">
        <v>83</v>
      </c>
      <c r="B84" s="679">
        <f>(1+Assumptions!$B$26)^INT((A84-1)/12)</f>
        <v/>
      </c>
    </row>
    <row r="85" ht="15" customFormat="1" customHeight="1" s="380">
      <c r="A85" s="674" t="n">
        <v>84</v>
      </c>
      <c r="B85" s="679">
        <f>(1+Assumptions!$B$26)^INT((A85-1)/12)</f>
        <v/>
      </c>
    </row>
    <row r="86" ht="15" customFormat="1" customHeight="1" s="380">
      <c r="A86" s="380" t="n">
        <v>85</v>
      </c>
      <c r="B86" s="380">
        <f>(1+Assumptions!$B$26)^INT((A86-1)/12)</f>
        <v/>
      </c>
    </row>
    <row r="87" ht="15" customFormat="1" customHeight="1" s="380">
      <c r="A87" s="380" t="n">
        <v>86</v>
      </c>
      <c r="B87" s="380">
        <f>(1+Assumptions!$B$26)^INT((A87-1)/12)</f>
        <v/>
      </c>
    </row>
    <row r="88" ht="15" customFormat="1" customHeight="1" s="380">
      <c r="A88" s="380" t="n">
        <v>87</v>
      </c>
      <c r="B88" s="380">
        <f>(1+Assumptions!$B$26)^INT((A88-1)/12)</f>
        <v/>
      </c>
    </row>
    <row r="89" ht="15" customFormat="1" customHeight="1" s="380">
      <c r="A89" s="380" t="n">
        <v>88</v>
      </c>
      <c r="B89" s="380">
        <f>(1+Assumptions!$B$26)^INT((A89-1)/12)</f>
        <v/>
      </c>
    </row>
    <row r="90" ht="15" customFormat="1" customHeight="1" s="380">
      <c r="A90" s="380" t="n">
        <v>89</v>
      </c>
      <c r="B90" s="380">
        <f>(1+Assumptions!$B$26)^INT((A90-1)/12)</f>
        <v/>
      </c>
    </row>
    <row r="91" ht="15" customFormat="1" customHeight="1" s="380">
      <c r="A91" s="380" t="n">
        <v>90</v>
      </c>
      <c r="B91" s="380">
        <f>(1+Assumptions!$B$26)^INT((A91-1)/12)</f>
        <v/>
      </c>
    </row>
    <row r="92" ht="15" customFormat="1" customHeight="1" s="380">
      <c r="A92" s="380" t="n">
        <v>91</v>
      </c>
      <c r="B92" s="380">
        <f>(1+Assumptions!$B$26)^INT((A92-1)/12)</f>
        <v/>
      </c>
    </row>
    <row r="93" ht="15" customFormat="1" customHeight="1" s="380">
      <c r="A93" s="380" t="n">
        <v>92</v>
      </c>
      <c r="B93" s="380">
        <f>(1+Assumptions!$B$26)^INT((A93-1)/12)</f>
        <v/>
      </c>
    </row>
    <row r="94" ht="15" customFormat="1" customHeight="1" s="380">
      <c r="A94" s="380" t="n">
        <v>93</v>
      </c>
      <c r="B94" s="380">
        <f>(1+Assumptions!$B$26)^INT((A94-1)/12)</f>
        <v/>
      </c>
    </row>
    <row r="95" ht="15" customFormat="1" customHeight="1" s="380">
      <c r="A95" s="380" t="n">
        <v>94</v>
      </c>
      <c r="B95" s="380">
        <f>(1+Assumptions!$B$26)^INT((A95-1)/12)</f>
        <v/>
      </c>
    </row>
    <row r="96" ht="15" customFormat="1" customHeight="1" s="380">
      <c r="A96" s="380" t="n">
        <v>95</v>
      </c>
      <c r="B96" s="380">
        <f>(1+Assumptions!$B$26)^INT((A96-1)/12)</f>
        <v/>
      </c>
    </row>
    <row r="97" ht="15" customFormat="1" customHeight="1" s="380">
      <c r="A97" s="380" t="n">
        <v>96</v>
      </c>
      <c r="B97" s="380">
        <f>(1+Assumptions!$B$26)^INT((A97-1)/12)</f>
        <v/>
      </c>
    </row>
    <row r="98" ht="15" customFormat="1" customHeight="1" s="380">
      <c r="A98" s="380" t="n">
        <v>97</v>
      </c>
      <c r="B98" s="380">
        <f>(1+Assumptions!$B$26)^INT((A98-1)/12)</f>
        <v/>
      </c>
    </row>
    <row r="99" ht="15" customFormat="1" customHeight="1" s="380">
      <c r="A99" s="380" t="n">
        <v>98</v>
      </c>
      <c r="B99" s="380">
        <f>(1+Assumptions!$B$26)^INT((A99-1)/12)</f>
        <v/>
      </c>
    </row>
    <row r="100" ht="15" customFormat="1" customHeight="1" s="380">
      <c r="A100" s="380" t="n">
        <v>99</v>
      </c>
      <c r="B100" s="380">
        <f>(1+Assumptions!$B$26)^INT((A100-1)/12)</f>
        <v/>
      </c>
    </row>
    <row r="101" ht="15" customFormat="1" customHeight="1" s="380">
      <c r="A101" s="380" t="n">
        <v>100</v>
      </c>
      <c r="B101" s="380">
        <f>(1+Assumptions!$B$26)^INT((A101-1)/12)</f>
        <v/>
      </c>
    </row>
    <row r="102" ht="15" customFormat="1" customHeight="1" s="380">
      <c r="A102" s="380" t="n">
        <v>101</v>
      </c>
      <c r="B102" s="380">
        <f>(1+Assumptions!$B$26)^INT((A102-1)/12)</f>
        <v/>
      </c>
    </row>
    <row r="103" ht="15" customFormat="1" customHeight="1" s="380">
      <c r="A103" s="380" t="n">
        <v>102</v>
      </c>
      <c r="B103" s="380">
        <f>(1+Assumptions!$B$26)^INT((A103-1)/12)</f>
        <v/>
      </c>
    </row>
    <row r="104" ht="15" customFormat="1" customHeight="1" s="380">
      <c r="A104" s="380" t="n">
        <v>103</v>
      </c>
      <c r="B104" s="380">
        <f>(1+Assumptions!$B$26)^INT((A104-1)/12)</f>
        <v/>
      </c>
    </row>
    <row r="105" ht="15" customFormat="1" customHeight="1" s="380">
      <c r="A105" s="380" t="n">
        <v>104</v>
      </c>
      <c r="B105" s="380">
        <f>(1+Assumptions!$B$26)^INT((A105-1)/12)</f>
        <v/>
      </c>
    </row>
    <row r="106" ht="15" customFormat="1" customHeight="1" s="380">
      <c r="A106" s="380" t="n">
        <v>105</v>
      </c>
      <c r="B106" s="380">
        <f>(1+Assumptions!$B$26)^INT((A106-1)/12)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1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F10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2"/>
    <col width="12" customWidth="1" style="380" min="3" max="86"/>
  </cols>
  <sheetData>
    <row r="1" ht="17.25" customFormat="1" customHeight="1" s="380">
      <c r="A1" s="473" t="inlineStr">
        <is>
          <t>W2 Payroll Basis &amp; Bonding Calculations</t>
        </is>
      </c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  <c r="CI2" s="384" t="n">
        <v>48639</v>
      </c>
      <c r="CJ2" s="384" t="n">
        <v>48639</v>
      </c>
      <c r="CK2" s="384" t="n">
        <v>48639</v>
      </c>
      <c r="CL2" s="384" t="n">
        <v>48639</v>
      </c>
      <c r="CM2" s="384" t="n">
        <v>48639</v>
      </c>
      <c r="CN2" s="384" t="n">
        <v>48639</v>
      </c>
      <c r="CO2" s="384" t="n">
        <v>48639</v>
      </c>
      <c r="CP2" s="384" t="n">
        <v>48639</v>
      </c>
      <c r="CQ2" s="384" t="n">
        <v>48639</v>
      </c>
    </row>
    <row r="3" ht="15" customFormat="1" customHeight="1" s="380">
      <c r="A3" s="550" t="inlineStr">
        <is>
          <t>Month #</t>
        </is>
      </c>
      <c r="C3" s="674" t="n">
        <v>1</v>
      </c>
      <c r="D3" s="674" t="n">
        <v>2</v>
      </c>
      <c r="E3" s="674" t="n">
        <v>3</v>
      </c>
      <c r="F3" s="674" t="n">
        <v>4</v>
      </c>
      <c r="G3" s="674" t="n">
        <v>5</v>
      </c>
      <c r="H3" s="674" t="n">
        <v>6</v>
      </c>
      <c r="I3" s="674" t="n">
        <v>7</v>
      </c>
      <c r="J3" s="674" t="n">
        <v>8</v>
      </c>
      <c r="K3" s="674" t="n">
        <v>9</v>
      </c>
      <c r="L3" s="674" t="n">
        <v>10</v>
      </c>
      <c r="M3" s="674" t="n">
        <v>11</v>
      </c>
      <c r="N3" s="674" t="n">
        <v>12</v>
      </c>
      <c r="O3" s="674" t="n">
        <v>13</v>
      </c>
      <c r="P3" s="674" t="n">
        <v>14</v>
      </c>
      <c r="Q3" s="674" t="n">
        <v>15</v>
      </c>
      <c r="R3" s="674" t="n">
        <v>16</v>
      </c>
      <c r="S3" s="674" t="n">
        <v>17</v>
      </c>
      <c r="T3" s="674" t="n">
        <v>18</v>
      </c>
      <c r="U3" s="674" t="n">
        <v>19</v>
      </c>
      <c r="V3" s="674" t="n">
        <v>20</v>
      </c>
      <c r="W3" s="674" t="n">
        <v>21</v>
      </c>
      <c r="X3" s="674" t="n">
        <v>22</v>
      </c>
      <c r="Y3" s="674" t="n">
        <v>23</v>
      </c>
      <c r="Z3" s="674" t="n">
        <v>24</v>
      </c>
      <c r="AA3" s="674" t="n">
        <v>25</v>
      </c>
      <c r="AB3" s="674" t="n">
        <v>26</v>
      </c>
      <c r="AC3" s="674" t="n">
        <v>27</v>
      </c>
      <c r="AD3" s="674" t="n">
        <v>28</v>
      </c>
      <c r="AE3" s="674" t="n">
        <v>29</v>
      </c>
      <c r="AF3" s="674" t="n">
        <v>30</v>
      </c>
      <c r="AG3" s="674" t="n">
        <v>31</v>
      </c>
      <c r="AH3" s="674" t="n">
        <v>32</v>
      </c>
      <c r="AI3" s="674" t="n">
        <v>33</v>
      </c>
      <c r="AJ3" s="674" t="n">
        <v>34</v>
      </c>
      <c r="AK3" s="674" t="n">
        <v>35</v>
      </c>
      <c r="AL3" s="674" t="n">
        <v>36</v>
      </c>
      <c r="AM3" s="674" t="n">
        <v>37</v>
      </c>
      <c r="AN3" s="674" t="n">
        <v>38</v>
      </c>
      <c r="AO3" s="674" t="n">
        <v>39</v>
      </c>
      <c r="AP3" s="674" t="n">
        <v>40</v>
      </c>
      <c r="AQ3" s="674" t="n">
        <v>41</v>
      </c>
      <c r="AR3" s="674" t="n">
        <v>42</v>
      </c>
      <c r="AS3" s="674" t="n">
        <v>43</v>
      </c>
      <c r="AT3" s="674" t="n">
        <v>44</v>
      </c>
      <c r="AU3" s="674" t="n">
        <v>45</v>
      </c>
      <c r="AV3" s="674" t="n">
        <v>46</v>
      </c>
      <c r="AW3" s="674" t="n">
        <v>47</v>
      </c>
      <c r="AX3" s="674" t="n">
        <v>48</v>
      </c>
      <c r="AY3" s="674" t="n">
        <v>49</v>
      </c>
      <c r="AZ3" s="674" t="n">
        <v>50</v>
      </c>
      <c r="BA3" s="674" t="n">
        <v>51</v>
      </c>
      <c r="BB3" s="674" t="n">
        <v>52</v>
      </c>
      <c r="BC3" s="674" t="n">
        <v>53</v>
      </c>
      <c r="BD3" s="674" t="n">
        <v>54</v>
      </c>
      <c r="BE3" s="674" t="n">
        <v>55</v>
      </c>
      <c r="BF3" s="674" t="n">
        <v>56</v>
      </c>
      <c r="BG3" s="674" t="n">
        <v>57</v>
      </c>
      <c r="BH3" s="674" t="n">
        <v>58</v>
      </c>
      <c r="BI3" s="674" t="n">
        <v>59</v>
      </c>
      <c r="BJ3" s="674" t="n">
        <v>60</v>
      </c>
      <c r="BK3" s="674" t="n">
        <v>61</v>
      </c>
      <c r="BL3" s="674" t="n">
        <v>62</v>
      </c>
      <c r="BM3" s="674" t="n">
        <v>63</v>
      </c>
      <c r="BN3" s="674" t="n">
        <v>64</v>
      </c>
      <c r="BO3" s="674" t="n">
        <v>65</v>
      </c>
      <c r="BP3" s="674" t="n">
        <v>66</v>
      </c>
      <c r="BQ3" s="674" t="n">
        <v>67</v>
      </c>
      <c r="BR3" s="674" t="n">
        <v>68</v>
      </c>
      <c r="BS3" s="674" t="n">
        <v>69</v>
      </c>
      <c r="BT3" s="674" t="n">
        <v>70</v>
      </c>
      <c r="BU3" s="674" t="n">
        <v>71</v>
      </c>
      <c r="BV3" s="674" t="n">
        <v>72</v>
      </c>
      <c r="BW3" s="674" t="n">
        <v>73</v>
      </c>
      <c r="BX3" s="674" t="n">
        <v>74</v>
      </c>
      <c r="BY3" s="674" t="n">
        <v>75</v>
      </c>
      <c r="BZ3" s="674" t="n">
        <v>76</v>
      </c>
      <c r="CA3" s="674" t="n">
        <v>77</v>
      </c>
      <c r="CB3" s="674" t="n">
        <v>78</v>
      </c>
      <c r="CC3" s="674" t="n">
        <v>79</v>
      </c>
      <c r="CD3" s="674" t="n">
        <v>80</v>
      </c>
      <c r="CE3" s="674" t="n">
        <v>81</v>
      </c>
      <c r="CF3" s="674" t="n">
        <v>82</v>
      </c>
      <c r="CG3" s="674" t="n">
        <v>83</v>
      </c>
      <c r="CH3" s="674" t="n">
        <v>84</v>
      </c>
      <c r="CI3" s="674" t="n">
        <v>84</v>
      </c>
      <c r="CJ3" s="674" t="n">
        <v>84</v>
      </c>
      <c r="CK3" s="674" t="n">
        <v>84</v>
      </c>
      <c r="CL3" s="674" t="n">
        <v>84</v>
      </c>
      <c r="CM3" s="674" t="n">
        <v>84</v>
      </c>
      <c r="CN3" s="674" t="n">
        <v>84</v>
      </c>
      <c r="CO3" s="674" t="n">
        <v>84</v>
      </c>
      <c r="CP3" s="674" t="n">
        <v>84</v>
      </c>
      <c r="CQ3" s="674" t="n">
        <v>84</v>
      </c>
    </row>
    <row r="4" ht="15" customFormat="1" customHeight="1" s="380">
      <c r="A4" s="550" t="inlineStr">
        <is>
          <t>GC W2 Payroll Basis</t>
        </is>
      </c>
      <c r="C4" s="664">
        <f>(SUMPRODUCT((Personnel!$O$9:$O$100&lt;&gt;"")*(Personnel!$G$9:$G$100="Yes")*(1&gt;=Personnel!$E$9:$E$100)*((Personnel!$K$9:$K$100="")+(1&lt;=Personnel!$K$9:$K$100)&gt;0)*Personnel!$D$9:$D$100*(1-Personnel!$H$9:$H$100))+Staffing!E81)*Escalation!$B$2</f>
        <v/>
      </c>
      <c r="D4" s="664">
        <f>(SUMPRODUCT((Personnel!$O$9:$O$100&lt;&gt;"")*(Personnel!$G$9:$G$100="Yes")*(2&gt;=Personnel!$E$9:$E$100)*((Personnel!$K$9:$K$100="")+(2&lt;=Personnel!$K$9:$K$100)&gt;0)*Personnel!$D$9:$D$100*(1-Personnel!$H$9:$H$100))+Staffing!F81)*Escalation!$B$3</f>
        <v/>
      </c>
      <c r="E4" s="664">
        <f>(SUMPRODUCT((Personnel!$O$9:$O$100&lt;&gt;"")*(Personnel!$G$9:$G$100="Yes")*(3&gt;=Personnel!$E$9:$E$100)*((Personnel!$K$9:$K$100="")+(3&lt;=Personnel!$K$9:$K$100)&gt;0)*Personnel!$D$9:$D$100*(1-Personnel!$H$9:$H$100))+Staffing!G81)*Escalation!$B$4</f>
        <v/>
      </c>
      <c r="F4" s="664">
        <f>(SUMPRODUCT((Personnel!$O$9:$O$100&lt;&gt;"")*(Personnel!$G$9:$G$100="Yes")*(4&gt;=Personnel!$E$9:$E$100)*((Personnel!$K$9:$K$100="")+(4&lt;=Personnel!$K$9:$K$100)&gt;0)*Personnel!$D$9:$D$100*(1-Personnel!$H$9:$H$100))+Staffing!H81)*Escalation!$B$5</f>
        <v/>
      </c>
      <c r="G4" s="664">
        <f>(SUMPRODUCT((Personnel!$O$9:$O$100&lt;&gt;"")*(Personnel!$G$9:$G$100="Yes")*(5&gt;=Personnel!$E$9:$E$100)*((Personnel!$K$9:$K$100="")+(5&lt;=Personnel!$K$9:$K$100)&gt;0)*Personnel!$D$9:$D$100*(1-Personnel!$H$9:$H$100))+Staffing!I81)*Escalation!$B$6</f>
        <v/>
      </c>
      <c r="H4" s="664">
        <f>(SUMPRODUCT((Personnel!$O$9:$O$100&lt;&gt;"")*(Personnel!$G$9:$G$100="Yes")*(6&gt;=Personnel!$E$9:$E$100)*((Personnel!$K$9:$K$100="")+(6&lt;=Personnel!$K$9:$K$100)&gt;0)*Personnel!$D$9:$D$100*(1-Personnel!$H$9:$H$100))+Staffing!J81)*Escalation!$B$7</f>
        <v/>
      </c>
      <c r="I4" s="664">
        <f>(SUMPRODUCT((Personnel!$O$9:$O$100&lt;&gt;"")*(Personnel!$G$9:$G$100="Yes")*(7&gt;=Personnel!$E$9:$E$100)*((Personnel!$K$9:$K$100="")+(7&lt;=Personnel!$K$9:$K$100)&gt;0)*Personnel!$D$9:$D$100*(1-Personnel!$H$9:$H$100))+Staffing!K81)*Escalation!$B$8</f>
        <v/>
      </c>
      <c r="J4" s="664">
        <f>(SUMPRODUCT((Personnel!$O$9:$O$100&lt;&gt;"")*(Personnel!$G$9:$G$100="Yes")*(8&gt;=Personnel!$E$9:$E$100)*((Personnel!$K$9:$K$100="")+(8&lt;=Personnel!$K$9:$K$100)&gt;0)*Personnel!$D$9:$D$100*(1-Personnel!$H$9:$H$100))+Staffing!L81)*Escalation!$B$9</f>
        <v/>
      </c>
      <c r="K4" s="664">
        <f>(SUMPRODUCT((Personnel!$O$9:$O$100&lt;&gt;"")*(Personnel!$G$9:$G$100="Yes")*(9&gt;=Personnel!$E$9:$E$100)*((Personnel!$K$9:$K$100="")+(9&lt;=Personnel!$K$9:$K$100)&gt;0)*Personnel!$D$9:$D$100*(1-Personnel!$H$9:$H$100))+Staffing!M81)*Escalation!$B$10</f>
        <v/>
      </c>
      <c r="L4" s="664">
        <f>(SUMPRODUCT((Personnel!$O$9:$O$100&lt;&gt;"")*(Personnel!$G$9:$G$100="Yes")*(10&gt;=Personnel!$E$9:$E$100)*((Personnel!$K$9:$K$100="")+(10&lt;=Personnel!$K$9:$K$100)&gt;0)*Personnel!$D$9:$D$100*(1-Personnel!$H$9:$H$100))+Staffing!N81)*Escalation!$B$11</f>
        <v/>
      </c>
      <c r="M4" s="664">
        <f>(SUMPRODUCT((Personnel!$O$9:$O$100&lt;&gt;"")*(Personnel!$G$9:$G$100="Yes")*(11&gt;=Personnel!$E$9:$E$100)*((Personnel!$K$9:$K$100="")+(11&lt;=Personnel!$K$9:$K$100)&gt;0)*Personnel!$D$9:$D$100*(1-Personnel!$H$9:$H$100))+Staffing!O81)*Escalation!$B$12</f>
        <v/>
      </c>
      <c r="N4" s="664">
        <f>(SUMPRODUCT((Personnel!$O$9:$O$100&lt;&gt;"")*(Personnel!$G$9:$G$100="Yes")*(12&gt;=Personnel!$E$9:$E$100)*((Personnel!$K$9:$K$100="")+(12&lt;=Personnel!$K$9:$K$100)&gt;0)*Personnel!$D$9:$D$100*(1-Personnel!$H$9:$H$100))+Staffing!P81)*Escalation!$B$13</f>
        <v/>
      </c>
      <c r="O4" s="664">
        <f>(SUMPRODUCT((Personnel!$O$9:$O$100&lt;&gt;"")*(Personnel!$G$9:$G$100="Yes")*(13&gt;=Personnel!$E$9:$E$100)*((Personnel!$K$9:$K$100="")+(13&lt;=Personnel!$K$9:$K$100)&gt;0)*Personnel!$D$9:$D$100*(1-Personnel!$H$9:$H$100))+Staffing!Q81)*Escalation!$B$14</f>
        <v/>
      </c>
      <c r="P4" s="664">
        <f>(SUMPRODUCT((Personnel!$O$9:$O$100&lt;&gt;"")*(Personnel!$G$9:$G$100="Yes")*(14&gt;=Personnel!$E$9:$E$100)*((Personnel!$K$9:$K$100="")+(14&lt;=Personnel!$K$9:$K$100)&gt;0)*Personnel!$D$9:$D$100*(1-Personnel!$H$9:$H$100))+Staffing!R81)*Escalation!$B$15</f>
        <v/>
      </c>
      <c r="Q4" s="664">
        <f>(SUMPRODUCT((Personnel!$O$9:$O$100&lt;&gt;"")*(Personnel!$G$9:$G$100="Yes")*(15&gt;=Personnel!$E$9:$E$100)*((Personnel!$K$9:$K$100="")+(15&lt;=Personnel!$K$9:$K$100)&gt;0)*Personnel!$D$9:$D$100*(1-Personnel!$H$9:$H$100))+Staffing!S81)*Escalation!$B$16</f>
        <v/>
      </c>
      <c r="R4" s="664">
        <f>(SUMPRODUCT((Personnel!$O$9:$O$100&lt;&gt;"")*(Personnel!$G$9:$G$100="Yes")*(16&gt;=Personnel!$E$9:$E$100)*((Personnel!$K$9:$K$100="")+(16&lt;=Personnel!$K$9:$K$100)&gt;0)*Personnel!$D$9:$D$100*(1-Personnel!$H$9:$H$100))+Staffing!T81)*Escalation!$B$17</f>
        <v/>
      </c>
      <c r="S4" s="664">
        <f>(SUMPRODUCT((Personnel!$O$9:$O$100&lt;&gt;"")*(Personnel!$G$9:$G$100="Yes")*(17&gt;=Personnel!$E$9:$E$100)*((Personnel!$K$9:$K$100="")+(17&lt;=Personnel!$K$9:$K$100)&gt;0)*Personnel!$D$9:$D$100*(1-Personnel!$H$9:$H$100))+Staffing!U81)*Escalation!$B$18</f>
        <v/>
      </c>
      <c r="T4" s="664">
        <f>(SUMPRODUCT((Personnel!$O$9:$O$100&lt;&gt;"")*(Personnel!$G$9:$G$100="Yes")*(18&gt;=Personnel!$E$9:$E$100)*((Personnel!$K$9:$K$100="")+(18&lt;=Personnel!$K$9:$K$100)&gt;0)*Personnel!$D$9:$D$100*(1-Personnel!$H$9:$H$100))+Staffing!V81)*Escalation!$B$19</f>
        <v/>
      </c>
      <c r="U4" s="664">
        <f>(SUMPRODUCT((Personnel!$O$9:$O$100&lt;&gt;"")*(Personnel!$G$9:$G$100="Yes")*(19&gt;=Personnel!$E$9:$E$100)*((Personnel!$K$9:$K$100="")+(19&lt;=Personnel!$K$9:$K$100)&gt;0)*Personnel!$D$9:$D$100*(1-Personnel!$H$9:$H$100))+Staffing!W81)*Escalation!$B$20</f>
        <v/>
      </c>
      <c r="V4" s="664">
        <f>(SUMPRODUCT((Personnel!$O$9:$O$100&lt;&gt;"")*(Personnel!$G$9:$G$100="Yes")*(20&gt;=Personnel!$E$9:$E$100)*((Personnel!$K$9:$K$100="")+(20&lt;=Personnel!$K$9:$K$100)&gt;0)*Personnel!$D$9:$D$100*(1-Personnel!$H$9:$H$100))+Staffing!X81)*Escalation!$B$21</f>
        <v/>
      </c>
      <c r="W4" s="664">
        <f>(SUMPRODUCT((Personnel!$O$9:$O$100&lt;&gt;"")*(Personnel!$G$9:$G$100="Yes")*(21&gt;=Personnel!$E$9:$E$100)*((Personnel!$K$9:$K$100="")+(21&lt;=Personnel!$K$9:$K$100)&gt;0)*Personnel!$D$9:$D$100*(1-Personnel!$H$9:$H$100))+Staffing!Y81)*Escalation!$B$22</f>
        <v/>
      </c>
      <c r="X4" s="664">
        <f>(SUMPRODUCT((Personnel!$O$9:$O$100&lt;&gt;"")*(Personnel!$G$9:$G$100="Yes")*(22&gt;=Personnel!$E$9:$E$100)*((Personnel!$K$9:$K$100="")+(22&lt;=Personnel!$K$9:$K$100)&gt;0)*Personnel!$D$9:$D$100*(1-Personnel!$H$9:$H$100))+Staffing!Z81)*Escalation!$B$23</f>
        <v/>
      </c>
      <c r="Y4" s="664">
        <f>(SUMPRODUCT((Personnel!$O$9:$O$100&lt;&gt;"")*(Personnel!$G$9:$G$100="Yes")*(23&gt;=Personnel!$E$9:$E$100)*((Personnel!$K$9:$K$100="")+(23&lt;=Personnel!$K$9:$K$100)&gt;0)*Personnel!$D$9:$D$100*(1-Personnel!$H$9:$H$100))+Staffing!AA81)*Escalation!$B$24</f>
        <v/>
      </c>
      <c r="Z4" s="664">
        <f>(SUMPRODUCT((Personnel!$O$9:$O$100&lt;&gt;"")*(Personnel!$G$9:$G$100="Yes")*(24&gt;=Personnel!$E$9:$E$100)*((Personnel!$K$9:$K$100="")+(24&lt;=Personnel!$K$9:$K$100)&gt;0)*Personnel!$D$9:$D$100*(1-Personnel!$H$9:$H$100))+Staffing!AB81)*Escalation!$B$25</f>
        <v/>
      </c>
      <c r="AA4" s="664">
        <f>(SUMPRODUCT((Personnel!$O$9:$O$100&lt;&gt;"")*(Personnel!$G$9:$G$100="Yes")*(25&gt;=Personnel!$E$9:$E$100)*((Personnel!$K$9:$K$100="")+(25&lt;=Personnel!$K$9:$K$100)&gt;0)*Personnel!$D$9:$D$100*(1-Personnel!$H$9:$H$100))+Staffing!AC81)*Escalation!$B$26</f>
        <v/>
      </c>
      <c r="AB4" s="664">
        <f>(SUMPRODUCT((Personnel!$O$9:$O$100&lt;&gt;"")*(Personnel!$G$9:$G$100="Yes")*(26&gt;=Personnel!$E$9:$E$100)*((Personnel!$K$9:$K$100="")+(26&lt;=Personnel!$K$9:$K$100)&gt;0)*Personnel!$D$9:$D$100*(1-Personnel!$H$9:$H$100))+Staffing!AD81)*Escalation!$B$27</f>
        <v/>
      </c>
      <c r="AC4" s="664">
        <f>(SUMPRODUCT((Personnel!$O$9:$O$100&lt;&gt;"")*(Personnel!$G$9:$G$100="Yes")*(27&gt;=Personnel!$E$9:$E$100)*((Personnel!$K$9:$K$100="")+(27&lt;=Personnel!$K$9:$K$100)&gt;0)*Personnel!$D$9:$D$100*(1-Personnel!$H$9:$H$100))+Staffing!AE81)*Escalation!$B$28</f>
        <v/>
      </c>
      <c r="AD4" s="664">
        <f>(SUMPRODUCT((Personnel!$O$9:$O$100&lt;&gt;"")*(Personnel!$G$9:$G$100="Yes")*(28&gt;=Personnel!$E$9:$E$100)*((Personnel!$K$9:$K$100="")+(28&lt;=Personnel!$K$9:$K$100)&gt;0)*Personnel!$D$9:$D$100*(1-Personnel!$H$9:$H$100))+Staffing!AF81)*Escalation!$B$29</f>
        <v/>
      </c>
      <c r="AE4" s="664">
        <f>(SUMPRODUCT((Personnel!$O$9:$O$100&lt;&gt;"")*(Personnel!$G$9:$G$100="Yes")*(29&gt;=Personnel!$E$9:$E$100)*((Personnel!$K$9:$K$100="")+(29&lt;=Personnel!$K$9:$K$100)&gt;0)*Personnel!$D$9:$D$100*(1-Personnel!$H$9:$H$100))+Staffing!AG81)*Escalation!$B$30</f>
        <v/>
      </c>
      <c r="AF4" s="664">
        <f>(SUMPRODUCT((Personnel!$O$9:$O$100&lt;&gt;"")*(Personnel!$G$9:$G$100="Yes")*(30&gt;=Personnel!$E$9:$E$100)*((Personnel!$K$9:$K$100="")+(30&lt;=Personnel!$K$9:$K$100)&gt;0)*Personnel!$D$9:$D$100*(1-Personnel!$H$9:$H$100))+Staffing!AH81)*Escalation!$B$31</f>
        <v/>
      </c>
      <c r="AG4" s="664">
        <f>(SUMPRODUCT((Personnel!$O$9:$O$100&lt;&gt;"")*(Personnel!$G$9:$G$100="Yes")*(31&gt;=Personnel!$E$9:$E$100)*((Personnel!$K$9:$K$100="")+(31&lt;=Personnel!$K$9:$K$100)&gt;0)*Personnel!$D$9:$D$100*(1-Personnel!$H$9:$H$100))+Staffing!AI81)*Escalation!$B$32</f>
        <v/>
      </c>
      <c r="AH4" s="664">
        <f>(SUMPRODUCT((Personnel!$O$9:$O$100&lt;&gt;"")*(Personnel!$G$9:$G$100="Yes")*(32&gt;=Personnel!$E$9:$E$100)*((Personnel!$K$9:$K$100="")+(32&lt;=Personnel!$K$9:$K$100)&gt;0)*Personnel!$D$9:$D$100*(1-Personnel!$H$9:$H$100))+Staffing!AJ81)*Escalation!$B$33</f>
        <v/>
      </c>
      <c r="AI4" s="664">
        <f>(SUMPRODUCT((Personnel!$O$9:$O$100&lt;&gt;"")*(Personnel!$G$9:$G$100="Yes")*(33&gt;=Personnel!$E$9:$E$100)*((Personnel!$K$9:$K$100="")+(33&lt;=Personnel!$K$9:$K$100)&gt;0)*Personnel!$D$9:$D$100*(1-Personnel!$H$9:$H$100))+Staffing!AK81)*Escalation!$B$34</f>
        <v/>
      </c>
      <c r="AJ4" s="664">
        <f>(SUMPRODUCT((Personnel!$O$9:$O$100&lt;&gt;"")*(Personnel!$G$9:$G$100="Yes")*(34&gt;=Personnel!$E$9:$E$100)*((Personnel!$K$9:$K$100="")+(34&lt;=Personnel!$K$9:$K$100)&gt;0)*Personnel!$D$9:$D$100*(1-Personnel!$H$9:$H$100))+Staffing!AL81)*Escalation!$B$35</f>
        <v/>
      </c>
      <c r="AK4" s="664">
        <f>(SUMPRODUCT((Personnel!$O$9:$O$100&lt;&gt;"")*(Personnel!$G$9:$G$100="Yes")*(35&gt;=Personnel!$E$9:$E$100)*((Personnel!$K$9:$K$100="")+(35&lt;=Personnel!$K$9:$K$100)&gt;0)*Personnel!$D$9:$D$100*(1-Personnel!$H$9:$H$100))+Staffing!AM81)*Escalation!$B$36</f>
        <v/>
      </c>
      <c r="AL4" s="664">
        <f>(SUMPRODUCT((Personnel!$O$9:$O$100&lt;&gt;"")*(Personnel!$G$9:$G$100="Yes")*(36&gt;=Personnel!$E$9:$E$100)*((Personnel!$K$9:$K$100="")+(36&lt;=Personnel!$K$9:$K$100)&gt;0)*Personnel!$D$9:$D$100*(1-Personnel!$H$9:$H$100))+Staffing!AN81)*Escalation!$B$37</f>
        <v/>
      </c>
      <c r="AM4" s="664">
        <f>(SUMPRODUCT((Personnel!$O$9:$O$100&lt;&gt;"")*(Personnel!$G$9:$G$100="Yes")*(37&gt;=Personnel!$E$9:$E$100)*((Personnel!$K$9:$K$100="")+(37&lt;=Personnel!$K$9:$K$100)&gt;0)*Personnel!$D$9:$D$100*(1-Personnel!$H$9:$H$100))+Staffing!AO81)*Escalation!$B$38</f>
        <v/>
      </c>
      <c r="AN4" s="664">
        <f>(SUMPRODUCT((Personnel!$O$9:$O$100&lt;&gt;"")*(Personnel!$G$9:$G$100="Yes")*(38&gt;=Personnel!$E$9:$E$100)*((Personnel!$K$9:$K$100="")+(38&lt;=Personnel!$K$9:$K$100)&gt;0)*Personnel!$D$9:$D$100*(1-Personnel!$H$9:$H$100))+Staffing!AP81)*Escalation!$B$39</f>
        <v/>
      </c>
      <c r="AO4" s="664">
        <f>(SUMPRODUCT((Personnel!$O$9:$O$100&lt;&gt;"")*(Personnel!$G$9:$G$100="Yes")*(39&gt;=Personnel!$E$9:$E$100)*((Personnel!$K$9:$K$100="")+(39&lt;=Personnel!$K$9:$K$100)&gt;0)*Personnel!$D$9:$D$100*(1-Personnel!$H$9:$H$100))+Staffing!AQ81)*Escalation!$B$40</f>
        <v/>
      </c>
      <c r="AP4" s="664">
        <f>(SUMPRODUCT((Personnel!$O$9:$O$100&lt;&gt;"")*(Personnel!$G$9:$G$100="Yes")*(40&gt;=Personnel!$E$9:$E$100)*((Personnel!$K$9:$K$100="")+(40&lt;=Personnel!$K$9:$K$100)&gt;0)*Personnel!$D$9:$D$100*(1-Personnel!$H$9:$H$100))+Staffing!AR81)*Escalation!$B$41</f>
        <v/>
      </c>
      <c r="AQ4" s="664">
        <f>(SUMPRODUCT((Personnel!$O$9:$O$100&lt;&gt;"")*(Personnel!$G$9:$G$100="Yes")*(41&gt;=Personnel!$E$9:$E$100)*((Personnel!$K$9:$K$100="")+(41&lt;=Personnel!$K$9:$K$100)&gt;0)*Personnel!$D$9:$D$100*(1-Personnel!$H$9:$H$100))+Staffing!AS81)*Escalation!$B$42</f>
        <v/>
      </c>
      <c r="AR4" s="664">
        <f>(SUMPRODUCT((Personnel!$O$9:$O$100&lt;&gt;"")*(Personnel!$G$9:$G$100="Yes")*(42&gt;=Personnel!$E$9:$E$100)*((Personnel!$K$9:$K$100="")+(42&lt;=Personnel!$K$9:$K$100)&gt;0)*Personnel!$D$9:$D$100*(1-Personnel!$H$9:$H$100))+Staffing!AT81)*Escalation!$B$43</f>
        <v/>
      </c>
      <c r="AS4" s="664">
        <f>(SUMPRODUCT((Personnel!$O$9:$O$100&lt;&gt;"")*(Personnel!$G$9:$G$100="Yes")*(43&gt;=Personnel!$E$9:$E$100)*((Personnel!$K$9:$K$100="")+(43&lt;=Personnel!$K$9:$K$100)&gt;0)*Personnel!$D$9:$D$100*(1-Personnel!$H$9:$H$100))+Staffing!AU81)*Escalation!$B$44</f>
        <v/>
      </c>
      <c r="AT4" s="664">
        <f>(SUMPRODUCT((Personnel!$O$9:$O$100&lt;&gt;"")*(Personnel!$G$9:$G$100="Yes")*(44&gt;=Personnel!$E$9:$E$100)*((Personnel!$K$9:$K$100="")+(44&lt;=Personnel!$K$9:$K$100)&gt;0)*Personnel!$D$9:$D$100*(1-Personnel!$H$9:$H$100))+Staffing!AV81)*Escalation!$B$45</f>
        <v/>
      </c>
      <c r="AU4" s="664">
        <f>(SUMPRODUCT((Personnel!$O$9:$O$100&lt;&gt;"")*(Personnel!$G$9:$G$100="Yes")*(45&gt;=Personnel!$E$9:$E$100)*((Personnel!$K$9:$K$100="")+(45&lt;=Personnel!$K$9:$K$100)&gt;0)*Personnel!$D$9:$D$100*(1-Personnel!$H$9:$H$100))+Staffing!AW81)*Escalation!$B$46</f>
        <v/>
      </c>
      <c r="AV4" s="664">
        <f>(SUMPRODUCT((Personnel!$O$9:$O$100&lt;&gt;"")*(Personnel!$G$9:$G$100="Yes")*(46&gt;=Personnel!$E$9:$E$100)*((Personnel!$K$9:$K$100="")+(46&lt;=Personnel!$K$9:$K$100)&gt;0)*Personnel!$D$9:$D$100*(1-Personnel!$H$9:$H$100))+Staffing!AX81)*Escalation!$B$47</f>
        <v/>
      </c>
      <c r="AW4" s="664">
        <f>(SUMPRODUCT((Personnel!$O$9:$O$100&lt;&gt;"")*(Personnel!$G$9:$G$100="Yes")*(47&gt;=Personnel!$E$9:$E$100)*((Personnel!$K$9:$K$100="")+(47&lt;=Personnel!$K$9:$K$100)&gt;0)*Personnel!$D$9:$D$100*(1-Personnel!$H$9:$H$100))+Staffing!AY81)*Escalation!$B$48</f>
        <v/>
      </c>
      <c r="AX4" s="664">
        <f>(SUMPRODUCT((Personnel!$O$9:$O$100&lt;&gt;"")*(Personnel!$G$9:$G$100="Yes")*(48&gt;=Personnel!$E$9:$E$100)*((Personnel!$K$9:$K$100="")+(48&lt;=Personnel!$K$9:$K$100)&gt;0)*Personnel!$D$9:$D$100*(1-Personnel!$H$9:$H$100))+Staffing!AZ81)*Escalation!$B$49</f>
        <v/>
      </c>
      <c r="AY4" s="664">
        <f>(SUMPRODUCT((Personnel!$O$9:$O$100&lt;&gt;"")*(Personnel!$G$9:$G$100="Yes")*(49&gt;=Personnel!$E$9:$E$100)*((Personnel!$K$9:$K$100="")+(49&lt;=Personnel!$K$9:$K$100)&gt;0)*Personnel!$D$9:$D$100*(1-Personnel!$H$9:$H$100))+Staffing!BA81)*Escalation!$B$50</f>
        <v/>
      </c>
      <c r="AZ4" s="664">
        <f>(SUMPRODUCT((Personnel!$O$9:$O$100&lt;&gt;"")*(Personnel!$G$9:$G$100="Yes")*(50&gt;=Personnel!$E$9:$E$100)*((Personnel!$K$9:$K$100="")+(50&lt;=Personnel!$K$9:$K$100)&gt;0)*Personnel!$D$9:$D$100*(1-Personnel!$H$9:$H$100))+Staffing!BB81)*Escalation!$B$51</f>
        <v/>
      </c>
      <c r="BA4" s="664">
        <f>(SUMPRODUCT((Personnel!$O$9:$O$100&lt;&gt;"")*(Personnel!$G$9:$G$100="Yes")*(51&gt;=Personnel!$E$9:$E$100)*((Personnel!$K$9:$K$100="")+(51&lt;=Personnel!$K$9:$K$100)&gt;0)*Personnel!$D$9:$D$100*(1-Personnel!$H$9:$H$100))+Staffing!BC81)*Escalation!$B$52</f>
        <v/>
      </c>
      <c r="BB4" s="664">
        <f>(SUMPRODUCT((Personnel!$O$9:$O$100&lt;&gt;"")*(Personnel!$G$9:$G$100="Yes")*(52&gt;=Personnel!$E$9:$E$100)*((Personnel!$K$9:$K$100="")+(52&lt;=Personnel!$K$9:$K$100)&gt;0)*Personnel!$D$9:$D$100*(1-Personnel!$H$9:$H$100))+Staffing!BD81)*Escalation!$B$53</f>
        <v/>
      </c>
      <c r="BC4" s="664">
        <f>(SUMPRODUCT((Personnel!$O$9:$O$100&lt;&gt;"")*(Personnel!$G$9:$G$100="Yes")*(53&gt;=Personnel!$E$9:$E$100)*((Personnel!$K$9:$K$100="")+(53&lt;=Personnel!$K$9:$K$100)&gt;0)*Personnel!$D$9:$D$100*(1-Personnel!$H$9:$H$100))+Staffing!BE81)*Escalation!$B$54</f>
        <v/>
      </c>
      <c r="BD4" s="664">
        <f>(SUMPRODUCT((Personnel!$O$9:$O$100&lt;&gt;"")*(Personnel!$G$9:$G$100="Yes")*(54&gt;=Personnel!$E$9:$E$100)*((Personnel!$K$9:$K$100="")+(54&lt;=Personnel!$K$9:$K$100)&gt;0)*Personnel!$D$9:$D$100*(1-Personnel!$H$9:$H$100))+Staffing!BF81)*Escalation!$B$55</f>
        <v/>
      </c>
      <c r="BE4" s="664">
        <f>(SUMPRODUCT((Personnel!$O$9:$O$100&lt;&gt;"")*(Personnel!$G$9:$G$100="Yes")*(55&gt;=Personnel!$E$9:$E$100)*((Personnel!$K$9:$K$100="")+(55&lt;=Personnel!$K$9:$K$100)&gt;0)*Personnel!$D$9:$D$100*(1-Personnel!$H$9:$H$100))+Staffing!BG81)*Escalation!$B$56</f>
        <v/>
      </c>
      <c r="BF4" s="664">
        <f>(SUMPRODUCT((Personnel!$O$9:$O$100&lt;&gt;"")*(Personnel!$G$9:$G$100="Yes")*(56&gt;=Personnel!$E$9:$E$100)*((Personnel!$K$9:$K$100="")+(56&lt;=Personnel!$K$9:$K$100)&gt;0)*Personnel!$D$9:$D$100*(1-Personnel!$H$9:$H$100))+Staffing!BH81)*Escalation!$B$57</f>
        <v/>
      </c>
      <c r="BG4" s="664">
        <f>(SUMPRODUCT((Personnel!$O$9:$O$100&lt;&gt;"")*(Personnel!$G$9:$G$100="Yes")*(57&gt;=Personnel!$E$9:$E$100)*((Personnel!$K$9:$K$100="")+(57&lt;=Personnel!$K$9:$K$100)&gt;0)*Personnel!$D$9:$D$100*(1-Personnel!$H$9:$H$100))+Staffing!BI81)*Escalation!$B$58</f>
        <v/>
      </c>
      <c r="BH4" s="664">
        <f>(SUMPRODUCT((Personnel!$O$9:$O$100&lt;&gt;"")*(Personnel!$G$9:$G$100="Yes")*(58&gt;=Personnel!$E$9:$E$100)*((Personnel!$K$9:$K$100="")+(58&lt;=Personnel!$K$9:$K$100)&gt;0)*Personnel!$D$9:$D$100*(1-Personnel!$H$9:$H$100))+Staffing!BJ81)*Escalation!$B$59</f>
        <v/>
      </c>
      <c r="BI4" s="664">
        <f>(SUMPRODUCT((Personnel!$O$9:$O$100&lt;&gt;"")*(Personnel!$G$9:$G$100="Yes")*(59&gt;=Personnel!$E$9:$E$100)*((Personnel!$K$9:$K$100="")+(59&lt;=Personnel!$K$9:$K$100)&gt;0)*Personnel!$D$9:$D$100*(1-Personnel!$H$9:$H$100))+Staffing!BK81)*Escalation!$B$60</f>
        <v/>
      </c>
      <c r="BJ4" s="664">
        <f>(SUMPRODUCT((Personnel!$O$9:$O$100&lt;&gt;"")*(Personnel!$G$9:$G$100="Yes")*(60&gt;=Personnel!$E$9:$E$100)*((Personnel!$K$9:$K$100="")+(60&lt;=Personnel!$K$9:$K$100)&gt;0)*Personnel!$D$9:$D$100*(1-Personnel!$H$9:$H$100))+Staffing!BL81)*Escalation!$B$61</f>
        <v/>
      </c>
      <c r="BK4" s="664">
        <f>(SUMPRODUCT((Personnel!$O$9:$O$100&lt;&gt;"")*(Personnel!$G$9:$G$100="Yes")*(61&gt;=Personnel!$E$9:$E$100)*((Personnel!$K$9:$K$100="")+(61&lt;=Personnel!$K$9:$K$100)&gt;0)*Personnel!$D$9:$D$100*(1-Personnel!$H$9:$H$100))+Staffing!BM81)*Escalation!$B$62</f>
        <v/>
      </c>
      <c r="BL4" s="664">
        <f>(SUMPRODUCT((Personnel!$O$9:$O$100&lt;&gt;"")*(Personnel!$G$9:$G$100="Yes")*(62&gt;=Personnel!$E$9:$E$100)*((Personnel!$K$9:$K$100="")+(62&lt;=Personnel!$K$9:$K$100)&gt;0)*Personnel!$D$9:$D$100*(1-Personnel!$H$9:$H$100))+Staffing!BN81)*Escalation!$B$63</f>
        <v/>
      </c>
      <c r="BM4" s="664">
        <f>(SUMPRODUCT((Personnel!$O$9:$O$100&lt;&gt;"")*(Personnel!$G$9:$G$100="Yes")*(63&gt;=Personnel!$E$9:$E$100)*((Personnel!$K$9:$K$100="")+(63&lt;=Personnel!$K$9:$K$100)&gt;0)*Personnel!$D$9:$D$100*(1-Personnel!$H$9:$H$100))+Staffing!BO81)*Escalation!$B$64</f>
        <v/>
      </c>
      <c r="BN4" s="664">
        <f>(SUMPRODUCT((Personnel!$O$9:$O$100&lt;&gt;"")*(Personnel!$G$9:$G$100="Yes")*(64&gt;=Personnel!$E$9:$E$100)*((Personnel!$K$9:$K$100="")+(64&lt;=Personnel!$K$9:$K$100)&gt;0)*Personnel!$D$9:$D$100*(1-Personnel!$H$9:$H$100))+Staffing!BP81)*Escalation!$B$65</f>
        <v/>
      </c>
      <c r="BO4" s="664">
        <f>(SUMPRODUCT((Personnel!$O$9:$O$100&lt;&gt;"")*(Personnel!$G$9:$G$100="Yes")*(65&gt;=Personnel!$E$9:$E$100)*((Personnel!$K$9:$K$100="")+(65&lt;=Personnel!$K$9:$K$100)&gt;0)*Personnel!$D$9:$D$100*(1-Personnel!$H$9:$H$100))+Staffing!BQ81)*Escalation!$B$66</f>
        <v/>
      </c>
      <c r="BP4" s="664">
        <f>(SUMPRODUCT((Personnel!$O$9:$O$100&lt;&gt;"")*(Personnel!$G$9:$G$100="Yes")*(66&gt;=Personnel!$E$9:$E$100)*((Personnel!$K$9:$K$100="")+(66&lt;=Personnel!$K$9:$K$100)&gt;0)*Personnel!$D$9:$D$100*(1-Personnel!$H$9:$H$100))+Staffing!BR81)*Escalation!$B$67</f>
        <v/>
      </c>
      <c r="BQ4" s="664">
        <f>(SUMPRODUCT((Personnel!$O$9:$O$100&lt;&gt;"")*(Personnel!$G$9:$G$100="Yes")*(67&gt;=Personnel!$E$9:$E$100)*((Personnel!$K$9:$K$100="")+(67&lt;=Personnel!$K$9:$K$100)&gt;0)*Personnel!$D$9:$D$100*(1-Personnel!$H$9:$H$100))+Staffing!BS81)*Escalation!$B$68</f>
        <v/>
      </c>
      <c r="BR4" s="664">
        <f>(SUMPRODUCT((Personnel!$O$9:$O$100&lt;&gt;"")*(Personnel!$G$9:$G$100="Yes")*(68&gt;=Personnel!$E$9:$E$100)*((Personnel!$K$9:$K$100="")+(68&lt;=Personnel!$K$9:$K$100)&gt;0)*Personnel!$D$9:$D$100*(1-Personnel!$H$9:$H$100))+Staffing!BT81)*Escalation!$B$69</f>
        <v/>
      </c>
      <c r="BS4" s="664">
        <f>(SUMPRODUCT((Personnel!$O$9:$O$100&lt;&gt;"")*(Personnel!$G$9:$G$100="Yes")*(69&gt;=Personnel!$E$9:$E$100)*((Personnel!$K$9:$K$100="")+(69&lt;=Personnel!$K$9:$K$100)&gt;0)*Personnel!$D$9:$D$100*(1-Personnel!$H$9:$H$100))+Staffing!BU81)*Escalation!$B$70</f>
        <v/>
      </c>
      <c r="BT4" s="664">
        <f>(SUMPRODUCT((Personnel!$O$9:$O$100&lt;&gt;"")*(Personnel!$G$9:$G$100="Yes")*(70&gt;=Personnel!$E$9:$E$100)*((Personnel!$K$9:$K$100="")+(70&lt;=Personnel!$K$9:$K$100)&gt;0)*Personnel!$D$9:$D$100*(1-Personnel!$H$9:$H$100))+Staffing!BV81)*Escalation!$B$71</f>
        <v/>
      </c>
      <c r="BU4" s="664">
        <f>(SUMPRODUCT((Personnel!$O$9:$O$100&lt;&gt;"")*(Personnel!$G$9:$G$100="Yes")*(71&gt;=Personnel!$E$9:$E$100)*((Personnel!$K$9:$K$100="")+(71&lt;=Personnel!$K$9:$K$100)&gt;0)*Personnel!$D$9:$D$100*(1-Personnel!$H$9:$H$100))+Staffing!BW81)*Escalation!$B$72</f>
        <v/>
      </c>
      <c r="BV4" s="664">
        <f>(SUMPRODUCT((Personnel!$O$9:$O$100&lt;&gt;"")*(Personnel!$G$9:$G$100="Yes")*(72&gt;=Personnel!$E$9:$E$100)*((Personnel!$K$9:$K$100="")+(72&lt;=Personnel!$K$9:$K$100)&gt;0)*Personnel!$D$9:$D$100*(1-Personnel!$H$9:$H$100))+Staffing!BX81)*Escalation!$B$73</f>
        <v/>
      </c>
      <c r="BW4" s="664">
        <f>(SUMPRODUCT((Personnel!$O$9:$O$100&lt;&gt;"")*(Personnel!$G$9:$G$100="Yes")*(73&gt;=Personnel!$E$9:$E$100)*((Personnel!$K$9:$K$100="")+(73&lt;=Personnel!$K$9:$K$100)&gt;0)*Personnel!$D$9:$D$100*(1-Personnel!$H$9:$H$100))+Staffing!BY81)*Escalation!$B$74</f>
        <v/>
      </c>
      <c r="BX4" s="664">
        <f>(SUMPRODUCT((Personnel!$O$9:$O$100&lt;&gt;"")*(Personnel!$G$9:$G$100="Yes")*(74&gt;=Personnel!$E$9:$E$100)*((Personnel!$K$9:$K$100="")+(74&lt;=Personnel!$K$9:$K$100)&gt;0)*Personnel!$D$9:$D$100*(1-Personnel!$H$9:$H$100))+Staffing!BZ81)*Escalation!$B$75</f>
        <v/>
      </c>
      <c r="BY4" s="664">
        <f>(SUMPRODUCT((Personnel!$O$9:$O$100&lt;&gt;"")*(Personnel!$G$9:$G$100="Yes")*(75&gt;=Personnel!$E$9:$E$100)*((Personnel!$K$9:$K$100="")+(75&lt;=Personnel!$K$9:$K$100)&gt;0)*Personnel!$D$9:$D$100*(1-Personnel!$H$9:$H$100))+Staffing!CA81)*Escalation!$B$76</f>
        <v/>
      </c>
      <c r="BZ4" s="664">
        <f>(SUMPRODUCT((Personnel!$O$9:$O$100&lt;&gt;"")*(Personnel!$G$9:$G$100="Yes")*(76&gt;=Personnel!$E$9:$E$100)*((Personnel!$K$9:$K$100="")+(76&lt;=Personnel!$K$9:$K$100)&gt;0)*Personnel!$D$9:$D$100*(1-Personnel!$H$9:$H$100))+Staffing!CB81)*Escalation!$B$77</f>
        <v/>
      </c>
      <c r="CA4" s="664">
        <f>(SUMPRODUCT((Personnel!$O$9:$O$100&lt;&gt;"")*(Personnel!$G$9:$G$100="Yes")*(77&gt;=Personnel!$E$9:$E$100)*((Personnel!$K$9:$K$100="")+(77&lt;=Personnel!$K$9:$K$100)&gt;0)*Personnel!$D$9:$D$100*(1-Personnel!$H$9:$H$100))+Staffing!CC81)*Escalation!$B$78</f>
        <v/>
      </c>
      <c r="CB4" s="664">
        <f>(SUMPRODUCT((Personnel!$O$9:$O$100&lt;&gt;"")*(Personnel!$G$9:$G$100="Yes")*(78&gt;=Personnel!$E$9:$E$100)*((Personnel!$K$9:$K$100="")+(78&lt;=Personnel!$K$9:$K$100)&gt;0)*Personnel!$D$9:$D$100*(1-Personnel!$H$9:$H$100))+Staffing!CD81)*Escalation!$B$79</f>
        <v/>
      </c>
      <c r="CC4" s="664">
        <f>(SUMPRODUCT((Personnel!$O$9:$O$100&lt;&gt;"")*(Personnel!$G$9:$G$100="Yes")*(79&gt;=Personnel!$E$9:$E$100)*((Personnel!$K$9:$K$100="")+(79&lt;=Personnel!$K$9:$K$100)&gt;0)*Personnel!$D$9:$D$100*(1-Personnel!$H$9:$H$100))+Staffing!CE81)*Escalation!$B$80</f>
        <v/>
      </c>
      <c r="CD4" s="664">
        <f>(SUMPRODUCT((Personnel!$O$9:$O$100&lt;&gt;"")*(Personnel!$G$9:$G$100="Yes")*(80&gt;=Personnel!$E$9:$E$100)*((Personnel!$K$9:$K$100="")+(80&lt;=Personnel!$K$9:$K$100)&gt;0)*Personnel!$D$9:$D$100*(1-Personnel!$H$9:$H$100))+Staffing!CF81)*Escalation!$B$81</f>
        <v/>
      </c>
      <c r="CE4" s="664">
        <f>(SUMPRODUCT((Personnel!$O$9:$O$100&lt;&gt;"")*(Personnel!$G$9:$G$100="Yes")*(81&gt;=Personnel!$E$9:$E$100)*((Personnel!$K$9:$K$100="")+(81&lt;=Personnel!$K$9:$K$100)&gt;0)*Personnel!$D$9:$D$100*(1-Personnel!$H$9:$H$100))+Staffing!CG81)*Escalation!$B$82</f>
        <v/>
      </c>
      <c r="CF4" s="664">
        <f>(SUMPRODUCT((Personnel!$O$9:$O$100&lt;&gt;"")*(Personnel!$G$9:$G$100="Yes")*(82&gt;=Personnel!$E$9:$E$100)*((Personnel!$K$9:$K$100="")+(82&lt;=Personnel!$K$9:$K$100)&gt;0)*Personnel!$D$9:$D$100*(1-Personnel!$H$9:$H$100))+Staffing!CH81)*Escalation!$B$83</f>
        <v/>
      </c>
      <c r="CG4" s="664">
        <f>(SUMPRODUCT((Personnel!$O$9:$O$100&lt;&gt;"")*(Personnel!$G$9:$G$100="Yes")*(83&gt;=Personnel!$E$9:$E$100)*((Personnel!$K$9:$K$100="")+(83&lt;=Personnel!$K$9:$K$100)&gt;0)*Personnel!$D$9:$D$100*(1-Personnel!$H$9:$H$100))+Staffing!CI81)*Escalation!$B$84</f>
        <v/>
      </c>
      <c r="CH4" s="664">
        <f>(SUMPRODUCT((Personnel!$O$9:$O$100&lt;&gt;"")*(Personnel!$G$9:$G$100="Yes")*(84&gt;=Personnel!$E$9:$E$100)*((Personnel!$K$9:$K$100="")+(84&lt;=Personnel!$K$9:$K$100)&gt;0)*Personnel!$D$9:$D$100*(1-Personnel!$H$9:$H$100))+Staffing!CJ81)*Escalation!$B$85</f>
        <v/>
      </c>
      <c r="CI4" s="664">
        <f>(SUMPRODUCT((Personnel!$O$9:$O$100&lt;&gt;"")*(Personnel!$G$9:$G$100="Yes")*(85&gt;=Personnel!$E$9:$E$100)*((Personnel!$K$9:$K$100="")+(85&lt;=Personnel!$K$9:$K$100)&gt;0)*Personnel!$D$9:$D$100*(1-Personnel!$H$9:$H$100))+Staffing!CK81)*Escalation!$B$86</f>
        <v/>
      </c>
      <c r="CJ4" s="664">
        <f>(SUMPRODUCT((Personnel!$O$9:$O$100&lt;&gt;"")*(Personnel!$G$9:$G$100="Yes")*(86&gt;=Personnel!$E$9:$E$100)*((Personnel!$K$9:$K$100="")+(86&lt;=Personnel!$K$9:$K$100)&gt;0)*Personnel!$D$9:$D$100*(1-Personnel!$H$9:$H$100))+Staffing!CL81)*Escalation!$B$87</f>
        <v/>
      </c>
      <c r="CK4" s="664">
        <f>(SUMPRODUCT((Personnel!$O$9:$O$100&lt;&gt;"")*(Personnel!$G$9:$G$100="Yes")*(87&gt;=Personnel!$E$9:$E$100)*((Personnel!$K$9:$K$100="")+(87&lt;=Personnel!$K$9:$K$100)&gt;0)*Personnel!$D$9:$D$100*(1-Personnel!$H$9:$H$100))+Staffing!CM81)*Escalation!$B$88</f>
        <v/>
      </c>
      <c r="CL4" s="664">
        <f>(SUMPRODUCT((Personnel!$O$9:$O$100&lt;&gt;"")*(Personnel!$G$9:$G$100="Yes")*(88&gt;=Personnel!$E$9:$E$100)*((Personnel!$K$9:$K$100="")+(88&lt;=Personnel!$K$9:$K$100)&gt;0)*Personnel!$D$9:$D$100*(1-Personnel!$H$9:$H$100))+Staffing!CN81)*Escalation!$B$89</f>
        <v/>
      </c>
      <c r="CM4" s="664">
        <f>(SUMPRODUCT((Personnel!$O$9:$O$100&lt;&gt;"")*(Personnel!$G$9:$G$100="Yes")*(89&gt;=Personnel!$E$9:$E$100)*((Personnel!$K$9:$K$100="")+(89&lt;=Personnel!$K$9:$K$100)&gt;0)*Personnel!$D$9:$D$100*(1-Personnel!$H$9:$H$100))+Staffing!CO81)*Escalation!$B$90</f>
        <v/>
      </c>
      <c r="CN4" s="664">
        <f>(SUMPRODUCT((Personnel!$O$9:$O$100&lt;&gt;"")*(Personnel!$G$9:$G$100="Yes")*(90&gt;=Personnel!$E$9:$E$100)*((Personnel!$K$9:$K$100="")+(90&lt;=Personnel!$K$9:$K$100)&gt;0)*Personnel!$D$9:$D$100*(1-Personnel!$H$9:$H$100))+Staffing!CP81)*Escalation!$B$91</f>
        <v/>
      </c>
      <c r="CO4" s="664">
        <f>(SUMPRODUCT((Personnel!$O$9:$O$100&lt;&gt;"")*(Personnel!$G$9:$G$100="Yes")*(91&gt;=Personnel!$E$9:$E$100)*((Personnel!$K$9:$K$100="")+(91&lt;=Personnel!$K$9:$K$100)&gt;0)*Personnel!$D$9:$D$100*(1-Personnel!$H$9:$H$100))+Staffing!CQ81)*Escalation!$B$92</f>
        <v/>
      </c>
      <c r="CP4" s="664">
        <f>(SUMPRODUCT((Personnel!$O$9:$O$100&lt;&gt;"")*(Personnel!$G$9:$G$100="Yes")*(92&gt;=Personnel!$E$9:$E$100)*((Personnel!$K$9:$K$100="")+(92&lt;=Personnel!$K$9:$K$100)&gt;0)*Personnel!$D$9:$D$100*(1-Personnel!$H$9:$H$100))+Staffing!CR81)*Escalation!$B$93</f>
        <v/>
      </c>
      <c r="CQ4" s="664">
        <f>(SUMPRODUCT((Personnel!$O$9:$O$100&lt;&gt;"")*(Personnel!$G$9:$G$100="Yes")*(93&gt;=Personnel!$E$9:$E$100)*((Personnel!$K$9:$K$100="")+(93&lt;=Personnel!$K$9:$K$100)&gt;0)*Personnel!$D$9:$D$100*(1-Personnel!$H$9:$H$100))+Staffing!CS81)*Escalation!$B$94</f>
        <v/>
      </c>
    </row>
    <row r="5" ht="15" customFormat="1" customHeight="1" s="380">
      <c r="A5" s="550" t="inlineStr">
        <is>
          <t>SP W2 Payroll Basis</t>
        </is>
      </c>
      <c r="C5" s="664">
        <f>(SUMPRODUCT((Personnel!$F$9:$F$100="SixPeak")*(Personnel!$G$9:$G$100="Yes")*(1&gt;=Personnel!$E$9:$E$100)*((Personnel!$K$9:$K$100="")+(1&lt;=Personnel!$K$9:$K$100)&gt;0)*Personnel!$D$9:$D$100*(1-Personnel!$H$9:$H$100)*(1-Personnel!$I$9:$I$100)))*Escalation!$B$2</f>
        <v/>
      </c>
      <c r="D5" s="664">
        <f>(SUMPRODUCT((Personnel!$F$9:$F$100="SixPeak")*(Personnel!$G$9:$G$100="Yes")*(2&gt;=Personnel!$E$9:$E$100)*((Personnel!$K$9:$K$100="")+(2&lt;=Personnel!$K$9:$K$100)&gt;0)*Personnel!$D$9:$D$100*(1-Personnel!$H$9:$H$100)*(1-Personnel!$I$9:$I$100)))*Escalation!$B$3</f>
        <v/>
      </c>
      <c r="E5" s="664">
        <f>(SUMPRODUCT((Personnel!$F$9:$F$100="SixPeak")*(Personnel!$G$9:$G$100="Yes")*(3&gt;=Personnel!$E$9:$E$100)*((Personnel!$K$9:$K$100="")+(3&lt;=Personnel!$K$9:$K$100)&gt;0)*Personnel!$D$9:$D$100*(1-Personnel!$H$9:$H$100)*(1-Personnel!$I$9:$I$100)))*Escalation!$B$4</f>
        <v/>
      </c>
      <c r="F5" s="664">
        <f>(SUMPRODUCT((Personnel!$F$9:$F$100="SixPeak")*(Personnel!$G$9:$G$100="Yes")*(4&gt;=Personnel!$E$9:$E$100)*((Personnel!$K$9:$K$100="")+(4&lt;=Personnel!$K$9:$K$100)&gt;0)*Personnel!$D$9:$D$100*(1-Personnel!$H$9:$H$100)*(1-Personnel!$I$9:$I$100)))*Escalation!$B$5</f>
        <v/>
      </c>
      <c r="G5" s="664">
        <f>(SUMPRODUCT((Personnel!$F$9:$F$100="SixPeak")*(Personnel!$G$9:$G$100="Yes")*(5&gt;=Personnel!$E$9:$E$100)*((Personnel!$K$9:$K$100="")+(5&lt;=Personnel!$K$9:$K$100)&gt;0)*Personnel!$D$9:$D$100*(1-Personnel!$H$9:$H$100)*(1-Personnel!$I$9:$I$100)))*Escalation!$B$6</f>
        <v/>
      </c>
      <c r="H5" s="664">
        <f>(SUMPRODUCT((Personnel!$F$9:$F$100="SixPeak")*(Personnel!$G$9:$G$100="Yes")*(6&gt;=Personnel!$E$9:$E$100)*((Personnel!$K$9:$K$100="")+(6&lt;=Personnel!$K$9:$K$100)&gt;0)*Personnel!$D$9:$D$100*(1-Personnel!$H$9:$H$100)*(1-Personnel!$I$9:$I$100)))*Escalation!$B$7</f>
        <v/>
      </c>
      <c r="I5" s="664">
        <f>(SUMPRODUCT((Personnel!$F$9:$F$100="SixPeak")*(Personnel!$G$9:$G$100="Yes")*(7&gt;=Personnel!$E$9:$E$100)*((Personnel!$K$9:$K$100="")+(7&lt;=Personnel!$K$9:$K$100)&gt;0)*Personnel!$D$9:$D$100*(1-Personnel!$H$9:$H$100)*(1-Personnel!$I$9:$I$100)))*Escalation!$B$8</f>
        <v/>
      </c>
      <c r="J5" s="664">
        <f>(SUMPRODUCT((Personnel!$F$9:$F$100="SixPeak")*(Personnel!$G$9:$G$100="Yes")*(8&gt;=Personnel!$E$9:$E$100)*((Personnel!$K$9:$K$100="")+(8&lt;=Personnel!$K$9:$K$100)&gt;0)*Personnel!$D$9:$D$100*(1-Personnel!$H$9:$H$100)*(1-Personnel!$I$9:$I$100)))*Escalation!$B$9</f>
        <v/>
      </c>
      <c r="K5" s="664">
        <f>(SUMPRODUCT((Personnel!$F$9:$F$100="SixPeak")*(Personnel!$G$9:$G$100="Yes")*(9&gt;=Personnel!$E$9:$E$100)*((Personnel!$K$9:$K$100="")+(9&lt;=Personnel!$K$9:$K$100)&gt;0)*Personnel!$D$9:$D$100*(1-Personnel!$H$9:$H$100)*(1-Personnel!$I$9:$I$100)))*Escalation!$B$10</f>
        <v/>
      </c>
      <c r="L5" s="664">
        <f>(SUMPRODUCT((Personnel!$F$9:$F$100="SixPeak")*(Personnel!$G$9:$G$100="Yes")*(10&gt;=Personnel!$E$9:$E$100)*((Personnel!$K$9:$K$100="")+(10&lt;=Personnel!$K$9:$K$100)&gt;0)*Personnel!$D$9:$D$100*(1-Personnel!$H$9:$H$100)*(1-Personnel!$I$9:$I$100)))*Escalation!$B$11</f>
        <v/>
      </c>
      <c r="M5" s="664">
        <f>(SUMPRODUCT((Personnel!$F$9:$F$100="SixPeak")*(Personnel!$G$9:$G$100="Yes")*(11&gt;=Personnel!$E$9:$E$100)*((Personnel!$K$9:$K$100="")+(11&lt;=Personnel!$K$9:$K$100)&gt;0)*Personnel!$D$9:$D$100*(1-Personnel!$H$9:$H$100)*(1-Personnel!$I$9:$I$100)))*Escalation!$B$12</f>
        <v/>
      </c>
      <c r="N5" s="664">
        <f>(SUMPRODUCT((Personnel!$F$9:$F$100="SixPeak")*(Personnel!$G$9:$G$100="Yes")*(12&gt;=Personnel!$E$9:$E$100)*((Personnel!$K$9:$K$100="")+(12&lt;=Personnel!$K$9:$K$100)&gt;0)*Personnel!$D$9:$D$100*(1-Personnel!$H$9:$H$100)*(1-Personnel!$I$9:$I$100)))*Escalation!$B$13</f>
        <v/>
      </c>
      <c r="O5" s="664">
        <f>(SUMPRODUCT((Personnel!$F$9:$F$100="SixPeak")*(Personnel!$G$9:$G$100="Yes")*(13&gt;=Personnel!$E$9:$E$100)*((Personnel!$K$9:$K$100="")+(13&lt;=Personnel!$K$9:$K$100)&gt;0)*Personnel!$D$9:$D$100*(1-Personnel!$H$9:$H$100)*(1-Personnel!$I$9:$I$100)))*Escalation!$B$14</f>
        <v/>
      </c>
      <c r="P5" s="664">
        <f>(SUMPRODUCT((Personnel!$F$9:$F$100="SixPeak")*(Personnel!$G$9:$G$100="Yes")*(14&gt;=Personnel!$E$9:$E$100)*((Personnel!$K$9:$K$100="")+(14&lt;=Personnel!$K$9:$K$100)&gt;0)*Personnel!$D$9:$D$100*(1-Personnel!$H$9:$H$100)*(1-Personnel!$I$9:$I$100)))*Escalation!$B$15</f>
        <v/>
      </c>
      <c r="Q5" s="664">
        <f>(SUMPRODUCT((Personnel!$F$9:$F$100="SixPeak")*(Personnel!$G$9:$G$100="Yes")*(15&gt;=Personnel!$E$9:$E$100)*((Personnel!$K$9:$K$100="")+(15&lt;=Personnel!$K$9:$K$100)&gt;0)*Personnel!$D$9:$D$100*(1-Personnel!$H$9:$H$100)*(1-Personnel!$I$9:$I$100)))*Escalation!$B$16</f>
        <v/>
      </c>
      <c r="R5" s="664">
        <f>(SUMPRODUCT((Personnel!$F$9:$F$100="SixPeak")*(Personnel!$G$9:$G$100="Yes")*(16&gt;=Personnel!$E$9:$E$100)*((Personnel!$K$9:$K$100="")+(16&lt;=Personnel!$K$9:$K$100)&gt;0)*Personnel!$D$9:$D$100*(1-Personnel!$H$9:$H$100)*(1-Personnel!$I$9:$I$100)))*Escalation!$B$17</f>
        <v/>
      </c>
      <c r="S5" s="664">
        <f>(SUMPRODUCT((Personnel!$F$9:$F$100="SixPeak")*(Personnel!$G$9:$G$100="Yes")*(17&gt;=Personnel!$E$9:$E$100)*((Personnel!$K$9:$K$100="")+(17&lt;=Personnel!$K$9:$K$100)&gt;0)*Personnel!$D$9:$D$100*(1-Personnel!$H$9:$H$100)*(1-Personnel!$I$9:$I$100)))*Escalation!$B$18</f>
        <v/>
      </c>
      <c r="T5" s="664">
        <f>(SUMPRODUCT((Personnel!$F$9:$F$100="SixPeak")*(Personnel!$G$9:$G$100="Yes")*(18&gt;=Personnel!$E$9:$E$100)*((Personnel!$K$9:$K$100="")+(18&lt;=Personnel!$K$9:$K$100)&gt;0)*Personnel!$D$9:$D$100*(1-Personnel!$H$9:$H$100)*(1-Personnel!$I$9:$I$100)))*Escalation!$B$19</f>
        <v/>
      </c>
      <c r="U5" s="664">
        <f>(SUMPRODUCT((Personnel!$F$9:$F$100="SixPeak")*(Personnel!$G$9:$G$100="Yes")*(19&gt;=Personnel!$E$9:$E$100)*((Personnel!$K$9:$K$100="")+(19&lt;=Personnel!$K$9:$K$100)&gt;0)*Personnel!$D$9:$D$100*(1-Personnel!$H$9:$H$100)*(1-Personnel!$I$9:$I$100)))*Escalation!$B$20</f>
        <v/>
      </c>
      <c r="V5" s="664">
        <f>(SUMPRODUCT((Personnel!$F$9:$F$100="SixPeak")*(Personnel!$G$9:$G$100="Yes")*(20&gt;=Personnel!$E$9:$E$100)*((Personnel!$K$9:$K$100="")+(20&lt;=Personnel!$K$9:$K$100)&gt;0)*Personnel!$D$9:$D$100*(1-Personnel!$H$9:$H$100)*(1-Personnel!$I$9:$I$100)))*Escalation!$B$21</f>
        <v/>
      </c>
      <c r="W5" s="664">
        <f>(SUMPRODUCT((Personnel!$F$9:$F$100="SixPeak")*(Personnel!$G$9:$G$100="Yes")*(21&gt;=Personnel!$E$9:$E$100)*((Personnel!$K$9:$K$100="")+(21&lt;=Personnel!$K$9:$K$100)&gt;0)*Personnel!$D$9:$D$100*(1-Personnel!$H$9:$H$100)*(1-Personnel!$I$9:$I$100)))*Escalation!$B$22</f>
        <v/>
      </c>
      <c r="X5" s="664">
        <f>(SUMPRODUCT((Personnel!$F$9:$F$100="SixPeak")*(Personnel!$G$9:$G$100="Yes")*(22&gt;=Personnel!$E$9:$E$100)*((Personnel!$K$9:$K$100="")+(22&lt;=Personnel!$K$9:$K$100)&gt;0)*Personnel!$D$9:$D$100*(1-Personnel!$H$9:$H$100)*(1-Personnel!$I$9:$I$100)))*Escalation!$B$23</f>
        <v/>
      </c>
      <c r="Y5" s="664">
        <f>(SUMPRODUCT((Personnel!$F$9:$F$100="SixPeak")*(Personnel!$G$9:$G$100="Yes")*(23&gt;=Personnel!$E$9:$E$100)*((Personnel!$K$9:$K$100="")+(23&lt;=Personnel!$K$9:$K$100)&gt;0)*Personnel!$D$9:$D$100*(1-Personnel!$H$9:$H$100)*(1-Personnel!$I$9:$I$100)))*Escalation!$B$24</f>
        <v/>
      </c>
      <c r="Z5" s="664">
        <f>(SUMPRODUCT((Personnel!$F$9:$F$100="SixPeak")*(Personnel!$G$9:$G$100="Yes")*(24&gt;=Personnel!$E$9:$E$100)*((Personnel!$K$9:$K$100="")+(24&lt;=Personnel!$K$9:$K$100)&gt;0)*Personnel!$D$9:$D$100*(1-Personnel!$H$9:$H$100)*(1-Personnel!$I$9:$I$100)))*Escalation!$B$25</f>
        <v/>
      </c>
      <c r="AA5" s="664">
        <f>(SUMPRODUCT((Personnel!$F$9:$F$100="SixPeak")*(Personnel!$G$9:$G$100="Yes")*(25&gt;=Personnel!$E$9:$E$100)*((Personnel!$K$9:$K$100="")+(25&lt;=Personnel!$K$9:$K$100)&gt;0)*Personnel!$D$9:$D$100*(1-Personnel!$H$9:$H$100)*(1-Personnel!$I$9:$I$100)))*Escalation!$B$26</f>
        <v/>
      </c>
      <c r="AB5" s="664">
        <f>(SUMPRODUCT((Personnel!$F$9:$F$100="SixPeak")*(Personnel!$G$9:$G$100="Yes")*(26&gt;=Personnel!$E$9:$E$100)*((Personnel!$K$9:$K$100="")+(26&lt;=Personnel!$K$9:$K$100)&gt;0)*Personnel!$D$9:$D$100*(1-Personnel!$H$9:$H$100)*(1-Personnel!$I$9:$I$100)))*Escalation!$B$27</f>
        <v/>
      </c>
      <c r="AC5" s="664">
        <f>(SUMPRODUCT((Personnel!$F$9:$F$100="SixPeak")*(Personnel!$G$9:$G$100="Yes")*(27&gt;=Personnel!$E$9:$E$100)*((Personnel!$K$9:$K$100="")+(27&lt;=Personnel!$K$9:$K$100)&gt;0)*Personnel!$D$9:$D$100*(1-Personnel!$H$9:$H$100)*(1-Personnel!$I$9:$I$100)))*Escalation!$B$28</f>
        <v/>
      </c>
      <c r="AD5" s="664">
        <f>(SUMPRODUCT((Personnel!$F$9:$F$100="SixPeak")*(Personnel!$G$9:$G$100="Yes")*(28&gt;=Personnel!$E$9:$E$100)*((Personnel!$K$9:$K$100="")+(28&lt;=Personnel!$K$9:$K$100)&gt;0)*Personnel!$D$9:$D$100*(1-Personnel!$H$9:$H$100)*(1-Personnel!$I$9:$I$100)))*Escalation!$B$29</f>
        <v/>
      </c>
      <c r="AE5" s="664">
        <f>(SUMPRODUCT((Personnel!$F$9:$F$100="SixPeak")*(Personnel!$G$9:$G$100="Yes")*(29&gt;=Personnel!$E$9:$E$100)*((Personnel!$K$9:$K$100="")+(29&lt;=Personnel!$K$9:$K$100)&gt;0)*Personnel!$D$9:$D$100*(1-Personnel!$H$9:$H$100)*(1-Personnel!$I$9:$I$100)))*Escalation!$B$30</f>
        <v/>
      </c>
      <c r="AF5" s="664">
        <f>(SUMPRODUCT((Personnel!$F$9:$F$100="SixPeak")*(Personnel!$G$9:$G$100="Yes")*(30&gt;=Personnel!$E$9:$E$100)*((Personnel!$K$9:$K$100="")+(30&lt;=Personnel!$K$9:$K$100)&gt;0)*Personnel!$D$9:$D$100*(1-Personnel!$H$9:$H$100)*(1-Personnel!$I$9:$I$100)))*Escalation!$B$31</f>
        <v/>
      </c>
      <c r="AG5" s="664">
        <f>(SUMPRODUCT((Personnel!$F$9:$F$100="SixPeak")*(Personnel!$G$9:$G$100="Yes")*(31&gt;=Personnel!$E$9:$E$100)*((Personnel!$K$9:$K$100="")+(31&lt;=Personnel!$K$9:$K$100)&gt;0)*Personnel!$D$9:$D$100*(1-Personnel!$H$9:$H$100)*(1-Personnel!$I$9:$I$100)))*Escalation!$B$32</f>
        <v/>
      </c>
      <c r="AH5" s="664">
        <f>(SUMPRODUCT((Personnel!$F$9:$F$100="SixPeak")*(Personnel!$G$9:$G$100="Yes")*(32&gt;=Personnel!$E$9:$E$100)*((Personnel!$K$9:$K$100="")+(32&lt;=Personnel!$K$9:$K$100)&gt;0)*Personnel!$D$9:$D$100*(1-Personnel!$H$9:$H$100)*(1-Personnel!$I$9:$I$100)))*Escalation!$B$33</f>
        <v/>
      </c>
      <c r="AI5" s="664">
        <f>(SUMPRODUCT((Personnel!$F$9:$F$100="SixPeak")*(Personnel!$G$9:$G$100="Yes")*(33&gt;=Personnel!$E$9:$E$100)*((Personnel!$K$9:$K$100="")+(33&lt;=Personnel!$K$9:$K$100)&gt;0)*Personnel!$D$9:$D$100*(1-Personnel!$H$9:$H$100)*(1-Personnel!$I$9:$I$100)))*Escalation!$B$34</f>
        <v/>
      </c>
      <c r="AJ5" s="664">
        <f>(SUMPRODUCT((Personnel!$F$9:$F$100="SixPeak")*(Personnel!$G$9:$G$100="Yes")*(34&gt;=Personnel!$E$9:$E$100)*((Personnel!$K$9:$K$100="")+(34&lt;=Personnel!$K$9:$K$100)&gt;0)*Personnel!$D$9:$D$100*(1-Personnel!$H$9:$H$100)*(1-Personnel!$I$9:$I$100)))*Escalation!$B$35</f>
        <v/>
      </c>
      <c r="AK5" s="664">
        <f>(SUMPRODUCT((Personnel!$F$9:$F$100="SixPeak")*(Personnel!$G$9:$G$100="Yes")*(35&gt;=Personnel!$E$9:$E$100)*((Personnel!$K$9:$K$100="")+(35&lt;=Personnel!$K$9:$K$100)&gt;0)*Personnel!$D$9:$D$100*(1-Personnel!$H$9:$H$100)*(1-Personnel!$I$9:$I$100)))*Escalation!$B$36</f>
        <v/>
      </c>
      <c r="AL5" s="664">
        <f>(SUMPRODUCT((Personnel!$F$9:$F$100="SixPeak")*(Personnel!$G$9:$G$100="Yes")*(36&gt;=Personnel!$E$9:$E$100)*((Personnel!$K$9:$K$100="")+(36&lt;=Personnel!$K$9:$K$100)&gt;0)*Personnel!$D$9:$D$100*(1-Personnel!$H$9:$H$100)*(1-Personnel!$I$9:$I$100)))*Escalation!$B$37</f>
        <v/>
      </c>
      <c r="AM5" s="664">
        <f>(SUMPRODUCT((Personnel!$F$9:$F$100="SixPeak")*(Personnel!$G$9:$G$100="Yes")*(37&gt;=Personnel!$E$9:$E$100)*((Personnel!$K$9:$K$100="")+(37&lt;=Personnel!$K$9:$K$100)&gt;0)*Personnel!$D$9:$D$100*(1-Personnel!$H$9:$H$100)*(1-Personnel!$I$9:$I$100)))*Escalation!$B$38</f>
        <v/>
      </c>
      <c r="AN5" s="664">
        <f>(SUMPRODUCT((Personnel!$F$9:$F$100="SixPeak")*(Personnel!$G$9:$G$100="Yes")*(38&gt;=Personnel!$E$9:$E$100)*((Personnel!$K$9:$K$100="")+(38&lt;=Personnel!$K$9:$K$100)&gt;0)*Personnel!$D$9:$D$100*(1-Personnel!$H$9:$H$100)*(1-Personnel!$I$9:$I$100)))*Escalation!$B$39</f>
        <v/>
      </c>
      <c r="AO5" s="664">
        <f>(SUMPRODUCT((Personnel!$F$9:$F$100="SixPeak")*(Personnel!$G$9:$G$100="Yes")*(39&gt;=Personnel!$E$9:$E$100)*((Personnel!$K$9:$K$100="")+(39&lt;=Personnel!$K$9:$K$100)&gt;0)*Personnel!$D$9:$D$100*(1-Personnel!$H$9:$H$100)*(1-Personnel!$I$9:$I$100)))*Escalation!$B$40</f>
        <v/>
      </c>
      <c r="AP5" s="664">
        <f>(SUMPRODUCT((Personnel!$F$9:$F$100="SixPeak")*(Personnel!$G$9:$G$100="Yes")*(40&gt;=Personnel!$E$9:$E$100)*((Personnel!$K$9:$K$100="")+(40&lt;=Personnel!$K$9:$K$100)&gt;0)*Personnel!$D$9:$D$100*(1-Personnel!$H$9:$H$100)*(1-Personnel!$I$9:$I$100)))*Escalation!$B$41</f>
        <v/>
      </c>
      <c r="AQ5" s="664">
        <f>(SUMPRODUCT((Personnel!$F$9:$F$100="SixPeak")*(Personnel!$G$9:$G$100="Yes")*(41&gt;=Personnel!$E$9:$E$100)*((Personnel!$K$9:$K$100="")+(41&lt;=Personnel!$K$9:$K$100)&gt;0)*Personnel!$D$9:$D$100*(1-Personnel!$H$9:$H$100)*(1-Personnel!$I$9:$I$100)))*Escalation!$B$42</f>
        <v/>
      </c>
      <c r="AR5" s="664">
        <f>(SUMPRODUCT((Personnel!$F$9:$F$100="SixPeak")*(Personnel!$G$9:$G$100="Yes")*(42&gt;=Personnel!$E$9:$E$100)*((Personnel!$K$9:$K$100="")+(42&lt;=Personnel!$K$9:$K$100)&gt;0)*Personnel!$D$9:$D$100*(1-Personnel!$H$9:$H$100)*(1-Personnel!$I$9:$I$100)))*Escalation!$B$43</f>
        <v/>
      </c>
      <c r="AS5" s="664">
        <f>(SUMPRODUCT((Personnel!$F$9:$F$100="SixPeak")*(Personnel!$G$9:$G$100="Yes")*(43&gt;=Personnel!$E$9:$E$100)*((Personnel!$K$9:$K$100="")+(43&lt;=Personnel!$K$9:$K$100)&gt;0)*Personnel!$D$9:$D$100*(1-Personnel!$H$9:$H$100)*(1-Personnel!$I$9:$I$100)))*Escalation!$B$44</f>
        <v/>
      </c>
      <c r="AT5" s="664">
        <f>(SUMPRODUCT((Personnel!$F$9:$F$100="SixPeak")*(Personnel!$G$9:$G$100="Yes")*(44&gt;=Personnel!$E$9:$E$100)*((Personnel!$K$9:$K$100="")+(44&lt;=Personnel!$K$9:$K$100)&gt;0)*Personnel!$D$9:$D$100*(1-Personnel!$H$9:$H$100)*(1-Personnel!$I$9:$I$100)))*Escalation!$B$45</f>
        <v/>
      </c>
      <c r="AU5" s="664">
        <f>(SUMPRODUCT((Personnel!$F$9:$F$100="SixPeak")*(Personnel!$G$9:$G$100="Yes")*(45&gt;=Personnel!$E$9:$E$100)*((Personnel!$K$9:$K$100="")+(45&lt;=Personnel!$K$9:$K$100)&gt;0)*Personnel!$D$9:$D$100*(1-Personnel!$H$9:$H$100)*(1-Personnel!$I$9:$I$100)))*Escalation!$B$46</f>
        <v/>
      </c>
      <c r="AV5" s="664">
        <f>(SUMPRODUCT((Personnel!$F$9:$F$100="SixPeak")*(Personnel!$G$9:$G$100="Yes")*(46&gt;=Personnel!$E$9:$E$100)*((Personnel!$K$9:$K$100="")+(46&lt;=Personnel!$K$9:$K$100)&gt;0)*Personnel!$D$9:$D$100*(1-Personnel!$H$9:$H$100)*(1-Personnel!$I$9:$I$100)))*Escalation!$B$47</f>
        <v/>
      </c>
      <c r="AW5" s="664">
        <f>(SUMPRODUCT((Personnel!$F$9:$F$100="SixPeak")*(Personnel!$G$9:$G$100="Yes")*(47&gt;=Personnel!$E$9:$E$100)*((Personnel!$K$9:$K$100="")+(47&lt;=Personnel!$K$9:$K$100)&gt;0)*Personnel!$D$9:$D$100*(1-Personnel!$H$9:$H$100)*(1-Personnel!$I$9:$I$100)))*Escalation!$B$48</f>
        <v/>
      </c>
      <c r="AX5" s="664">
        <f>(SUMPRODUCT((Personnel!$F$9:$F$100="SixPeak")*(Personnel!$G$9:$G$100="Yes")*(48&gt;=Personnel!$E$9:$E$100)*((Personnel!$K$9:$K$100="")+(48&lt;=Personnel!$K$9:$K$100)&gt;0)*Personnel!$D$9:$D$100*(1-Personnel!$H$9:$H$100)*(1-Personnel!$I$9:$I$100)))*Escalation!$B$49</f>
        <v/>
      </c>
      <c r="AY5" s="664">
        <f>(SUMPRODUCT((Personnel!$F$9:$F$100="SixPeak")*(Personnel!$G$9:$G$100="Yes")*(49&gt;=Personnel!$E$9:$E$100)*((Personnel!$K$9:$K$100="")+(49&lt;=Personnel!$K$9:$K$100)&gt;0)*Personnel!$D$9:$D$100*(1-Personnel!$H$9:$H$100)*(1-Personnel!$I$9:$I$100)))*Escalation!$B$50</f>
        <v/>
      </c>
      <c r="AZ5" s="664">
        <f>(SUMPRODUCT((Personnel!$F$9:$F$100="SixPeak")*(Personnel!$G$9:$G$100="Yes")*(50&gt;=Personnel!$E$9:$E$100)*((Personnel!$K$9:$K$100="")+(50&lt;=Personnel!$K$9:$K$100)&gt;0)*Personnel!$D$9:$D$100*(1-Personnel!$H$9:$H$100)*(1-Personnel!$I$9:$I$100)))*Escalation!$B$51</f>
        <v/>
      </c>
      <c r="BA5" s="664">
        <f>(SUMPRODUCT((Personnel!$F$9:$F$100="SixPeak")*(Personnel!$G$9:$G$100="Yes")*(51&gt;=Personnel!$E$9:$E$100)*((Personnel!$K$9:$K$100="")+(51&lt;=Personnel!$K$9:$K$100)&gt;0)*Personnel!$D$9:$D$100*(1-Personnel!$H$9:$H$100)*(1-Personnel!$I$9:$I$100)))*Escalation!$B$52</f>
        <v/>
      </c>
      <c r="BB5" s="664">
        <f>(SUMPRODUCT((Personnel!$F$9:$F$100="SixPeak")*(Personnel!$G$9:$G$100="Yes")*(52&gt;=Personnel!$E$9:$E$100)*((Personnel!$K$9:$K$100="")+(52&lt;=Personnel!$K$9:$K$100)&gt;0)*Personnel!$D$9:$D$100*(1-Personnel!$H$9:$H$100)*(1-Personnel!$I$9:$I$100)))*Escalation!$B$53</f>
        <v/>
      </c>
      <c r="BC5" s="664">
        <f>(SUMPRODUCT((Personnel!$F$9:$F$100="SixPeak")*(Personnel!$G$9:$G$100="Yes")*(53&gt;=Personnel!$E$9:$E$100)*((Personnel!$K$9:$K$100="")+(53&lt;=Personnel!$K$9:$K$100)&gt;0)*Personnel!$D$9:$D$100*(1-Personnel!$H$9:$H$100)*(1-Personnel!$I$9:$I$100)))*Escalation!$B$54</f>
        <v/>
      </c>
      <c r="BD5" s="664">
        <f>(SUMPRODUCT((Personnel!$F$9:$F$100="SixPeak")*(Personnel!$G$9:$G$100="Yes")*(54&gt;=Personnel!$E$9:$E$100)*((Personnel!$K$9:$K$100="")+(54&lt;=Personnel!$K$9:$K$100)&gt;0)*Personnel!$D$9:$D$100*(1-Personnel!$H$9:$H$100)*(1-Personnel!$I$9:$I$100)))*Escalation!$B$55</f>
        <v/>
      </c>
      <c r="BE5" s="664">
        <f>(SUMPRODUCT((Personnel!$F$9:$F$100="SixPeak")*(Personnel!$G$9:$G$100="Yes")*(55&gt;=Personnel!$E$9:$E$100)*((Personnel!$K$9:$K$100="")+(55&lt;=Personnel!$K$9:$K$100)&gt;0)*Personnel!$D$9:$D$100*(1-Personnel!$H$9:$H$100)*(1-Personnel!$I$9:$I$100)))*Escalation!$B$56</f>
        <v/>
      </c>
      <c r="BF5" s="664">
        <f>(SUMPRODUCT((Personnel!$F$9:$F$100="SixPeak")*(Personnel!$G$9:$G$100="Yes")*(56&gt;=Personnel!$E$9:$E$100)*((Personnel!$K$9:$K$100="")+(56&lt;=Personnel!$K$9:$K$100)&gt;0)*Personnel!$D$9:$D$100*(1-Personnel!$H$9:$H$100)*(1-Personnel!$I$9:$I$100)))*Escalation!$B$57</f>
        <v/>
      </c>
      <c r="BG5" s="664">
        <f>(SUMPRODUCT((Personnel!$F$9:$F$100="SixPeak")*(Personnel!$G$9:$G$100="Yes")*(57&gt;=Personnel!$E$9:$E$100)*((Personnel!$K$9:$K$100="")+(57&lt;=Personnel!$K$9:$K$100)&gt;0)*Personnel!$D$9:$D$100*(1-Personnel!$H$9:$H$100)*(1-Personnel!$I$9:$I$100)))*Escalation!$B$58</f>
        <v/>
      </c>
      <c r="BH5" s="664">
        <f>(SUMPRODUCT((Personnel!$F$9:$F$100="SixPeak")*(Personnel!$G$9:$G$100="Yes")*(58&gt;=Personnel!$E$9:$E$100)*((Personnel!$K$9:$K$100="")+(58&lt;=Personnel!$K$9:$K$100)&gt;0)*Personnel!$D$9:$D$100*(1-Personnel!$H$9:$H$100)*(1-Personnel!$I$9:$I$100)))*Escalation!$B$59</f>
        <v/>
      </c>
      <c r="BI5" s="664">
        <f>(SUMPRODUCT((Personnel!$F$9:$F$100="SixPeak")*(Personnel!$G$9:$G$100="Yes")*(59&gt;=Personnel!$E$9:$E$100)*((Personnel!$K$9:$K$100="")+(59&lt;=Personnel!$K$9:$K$100)&gt;0)*Personnel!$D$9:$D$100*(1-Personnel!$H$9:$H$100)*(1-Personnel!$I$9:$I$100)))*Escalation!$B$60</f>
        <v/>
      </c>
      <c r="BJ5" s="664">
        <f>(SUMPRODUCT((Personnel!$F$9:$F$100="SixPeak")*(Personnel!$G$9:$G$100="Yes")*(60&gt;=Personnel!$E$9:$E$100)*((Personnel!$K$9:$K$100="")+(60&lt;=Personnel!$K$9:$K$100)&gt;0)*Personnel!$D$9:$D$100*(1-Personnel!$H$9:$H$100)*(1-Personnel!$I$9:$I$100)))*Escalation!$B$61</f>
        <v/>
      </c>
      <c r="BK5" s="664">
        <f>(SUMPRODUCT((Personnel!$F$9:$F$100="SixPeak")*(Personnel!$G$9:$G$100="Yes")*(61&gt;=Personnel!$E$9:$E$100)*((Personnel!$K$9:$K$100="")+(61&lt;=Personnel!$K$9:$K$100)&gt;0)*Personnel!$D$9:$D$100*(1-Personnel!$H$9:$H$100)*(1-Personnel!$I$9:$I$100)))*Escalation!$B$62</f>
        <v/>
      </c>
      <c r="BL5" s="664">
        <f>(SUMPRODUCT((Personnel!$F$9:$F$100="SixPeak")*(Personnel!$G$9:$G$100="Yes")*(62&gt;=Personnel!$E$9:$E$100)*((Personnel!$K$9:$K$100="")+(62&lt;=Personnel!$K$9:$K$100)&gt;0)*Personnel!$D$9:$D$100*(1-Personnel!$H$9:$H$100)*(1-Personnel!$I$9:$I$100)))*Escalation!$B$63</f>
        <v/>
      </c>
      <c r="BM5" s="664">
        <f>(SUMPRODUCT((Personnel!$F$9:$F$100="SixPeak")*(Personnel!$G$9:$G$100="Yes")*(63&gt;=Personnel!$E$9:$E$100)*((Personnel!$K$9:$K$100="")+(63&lt;=Personnel!$K$9:$K$100)&gt;0)*Personnel!$D$9:$D$100*(1-Personnel!$H$9:$H$100)*(1-Personnel!$I$9:$I$100)))*Escalation!$B$64</f>
        <v/>
      </c>
      <c r="BN5" s="664">
        <f>(SUMPRODUCT((Personnel!$F$9:$F$100="SixPeak")*(Personnel!$G$9:$G$100="Yes")*(64&gt;=Personnel!$E$9:$E$100)*((Personnel!$K$9:$K$100="")+(64&lt;=Personnel!$K$9:$K$100)&gt;0)*Personnel!$D$9:$D$100*(1-Personnel!$H$9:$H$100)*(1-Personnel!$I$9:$I$100)))*Escalation!$B$65</f>
        <v/>
      </c>
      <c r="BO5" s="664">
        <f>(SUMPRODUCT((Personnel!$F$9:$F$100="SixPeak")*(Personnel!$G$9:$G$100="Yes")*(65&gt;=Personnel!$E$9:$E$100)*((Personnel!$K$9:$K$100="")+(65&lt;=Personnel!$K$9:$K$100)&gt;0)*Personnel!$D$9:$D$100*(1-Personnel!$H$9:$H$100)*(1-Personnel!$I$9:$I$100)))*Escalation!$B$66</f>
        <v/>
      </c>
      <c r="BP5" s="664">
        <f>(SUMPRODUCT((Personnel!$F$9:$F$100="SixPeak")*(Personnel!$G$9:$G$100="Yes")*(66&gt;=Personnel!$E$9:$E$100)*((Personnel!$K$9:$K$100="")+(66&lt;=Personnel!$K$9:$K$100)&gt;0)*Personnel!$D$9:$D$100*(1-Personnel!$H$9:$H$100)*(1-Personnel!$I$9:$I$100)))*Escalation!$B$67</f>
        <v/>
      </c>
      <c r="BQ5" s="664">
        <f>(SUMPRODUCT((Personnel!$F$9:$F$100="SixPeak")*(Personnel!$G$9:$G$100="Yes")*(67&gt;=Personnel!$E$9:$E$100)*((Personnel!$K$9:$K$100="")+(67&lt;=Personnel!$K$9:$K$100)&gt;0)*Personnel!$D$9:$D$100*(1-Personnel!$H$9:$H$100)*(1-Personnel!$I$9:$I$100)))*Escalation!$B$68</f>
        <v/>
      </c>
      <c r="BR5" s="664">
        <f>(SUMPRODUCT((Personnel!$F$9:$F$100="SixPeak")*(Personnel!$G$9:$G$100="Yes")*(68&gt;=Personnel!$E$9:$E$100)*((Personnel!$K$9:$K$100="")+(68&lt;=Personnel!$K$9:$K$100)&gt;0)*Personnel!$D$9:$D$100*(1-Personnel!$H$9:$H$100)*(1-Personnel!$I$9:$I$100)))*Escalation!$B$69</f>
        <v/>
      </c>
      <c r="BS5" s="664">
        <f>(SUMPRODUCT((Personnel!$F$9:$F$100="SixPeak")*(Personnel!$G$9:$G$100="Yes")*(69&gt;=Personnel!$E$9:$E$100)*((Personnel!$K$9:$K$100="")+(69&lt;=Personnel!$K$9:$K$100)&gt;0)*Personnel!$D$9:$D$100*(1-Personnel!$H$9:$H$100)*(1-Personnel!$I$9:$I$100)))*Escalation!$B$70</f>
        <v/>
      </c>
      <c r="BT5" s="664">
        <f>(SUMPRODUCT((Personnel!$F$9:$F$100="SixPeak")*(Personnel!$G$9:$G$100="Yes")*(70&gt;=Personnel!$E$9:$E$100)*((Personnel!$K$9:$K$100="")+(70&lt;=Personnel!$K$9:$K$100)&gt;0)*Personnel!$D$9:$D$100*(1-Personnel!$H$9:$H$100)*(1-Personnel!$I$9:$I$100)))*Escalation!$B$71</f>
        <v/>
      </c>
      <c r="BU5" s="664">
        <f>(SUMPRODUCT((Personnel!$F$9:$F$100="SixPeak")*(Personnel!$G$9:$G$100="Yes")*(71&gt;=Personnel!$E$9:$E$100)*((Personnel!$K$9:$K$100="")+(71&lt;=Personnel!$K$9:$K$100)&gt;0)*Personnel!$D$9:$D$100*(1-Personnel!$H$9:$H$100)*(1-Personnel!$I$9:$I$100)))*Escalation!$B$72</f>
        <v/>
      </c>
      <c r="BV5" s="664">
        <f>(SUMPRODUCT((Personnel!$F$9:$F$100="SixPeak")*(Personnel!$G$9:$G$100="Yes")*(72&gt;=Personnel!$E$9:$E$100)*((Personnel!$K$9:$K$100="")+(72&lt;=Personnel!$K$9:$K$100)&gt;0)*Personnel!$D$9:$D$100*(1-Personnel!$H$9:$H$100)*(1-Personnel!$I$9:$I$100)))*Escalation!$B$73</f>
        <v/>
      </c>
      <c r="BW5" s="664">
        <f>(SUMPRODUCT((Personnel!$F$9:$F$100="SixPeak")*(Personnel!$G$9:$G$100="Yes")*(73&gt;=Personnel!$E$9:$E$100)*((Personnel!$K$9:$K$100="")+(73&lt;=Personnel!$K$9:$K$100)&gt;0)*Personnel!$D$9:$D$100*(1-Personnel!$H$9:$H$100)*(1-Personnel!$I$9:$I$100)))*Escalation!$B$74</f>
        <v/>
      </c>
      <c r="BX5" s="664">
        <f>(SUMPRODUCT((Personnel!$F$9:$F$100="SixPeak")*(Personnel!$G$9:$G$100="Yes")*(74&gt;=Personnel!$E$9:$E$100)*((Personnel!$K$9:$K$100="")+(74&lt;=Personnel!$K$9:$K$100)&gt;0)*Personnel!$D$9:$D$100*(1-Personnel!$H$9:$H$100)*(1-Personnel!$I$9:$I$100)))*Escalation!$B$75</f>
        <v/>
      </c>
      <c r="BY5" s="664">
        <f>(SUMPRODUCT((Personnel!$F$9:$F$100="SixPeak")*(Personnel!$G$9:$G$100="Yes")*(75&gt;=Personnel!$E$9:$E$100)*((Personnel!$K$9:$K$100="")+(75&lt;=Personnel!$K$9:$K$100)&gt;0)*Personnel!$D$9:$D$100*(1-Personnel!$H$9:$H$100)*(1-Personnel!$I$9:$I$100)))*Escalation!$B$76</f>
        <v/>
      </c>
      <c r="BZ5" s="664">
        <f>(SUMPRODUCT((Personnel!$F$9:$F$100="SixPeak")*(Personnel!$G$9:$G$100="Yes")*(76&gt;=Personnel!$E$9:$E$100)*((Personnel!$K$9:$K$100="")+(76&lt;=Personnel!$K$9:$K$100)&gt;0)*Personnel!$D$9:$D$100*(1-Personnel!$H$9:$H$100)*(1-Personnel!$I$9:$I$100)))*Escalation!$B$77</f>
        <v/>
      </c>
      <c r="CA5" s="664">
        <f>(SUMPRODUCT((Personnel!$F$9:$F$100="SixPeak")*(Personnel!$G$9:$G$100="Yes")*(77&gt;=Personnel!$E$9:$E$100)*((Personnel!$K$9:$K$100="")+(77&lt;=Personnel!$K$9:$K$100)&gt;0)*Personnel!$D$9:$D$100*(1-Personnel!$H$9:$H$100)*(1-Personnel!$I$9:$I$100)))*Escalation!$B$78</f>
        <v/>
      </c>
      <c r="CB5" s="664">
        <f>(SUMPRODUCT((Personnel!$F$9:$F$100="SixPeak")*(Personnel!$G$9:$G$100="Yes")*(78&gt;=Personnel!$E$9:$E$100)*((Personnel!$K$9:$K$100="")+(78&lt;=Personnel!$K$9:$K$100)&gt;0)*Personnel!$D$9:$D$100*(1-Personnel!$H$9:$H$100)*(1-Personnel!$I$9:$I$100)))*Escalation!$B$79</f>
        <v/>
      </c>
      <c r="CC5" s="664">
        <f>(SUMPRODUCT((Personnel!$F$9:$F$100="SixPeak")*(Personnel!$G$9:$G$100="Yes")*(79&gt;=Personnel!$E$9:$E$100)*((Personnel!$K$9:$K$100="")+(79&lt;=Personnel!$K$9:$K$100)&gt;0)*Personnel!$D$9:$D$100*(1-Personnel!$H$9:$H$100)*(1-Personnel!$I$9:$I$100)))*Escalation!$B$80</f>
        <v/>
      </c>
      <c r="CD5" s="664">
        <f>(SUMPRODUCT((Personnel!$F$9:$F$100="SixPeak")*(Personnel!$G$9:$G$100="Yes")*(80&gt;=Personnel!$E$9:$E$100)*((Personnel!$K$9:$K$100="")+(80&lt;=Personnel!$K$9:$K$100)&gt;0)*Personnel!$D$9:$D$100*(1-Personnel!$H$9:$H$100)*(1-Personnel!$I$9:$I$100)))*Escalation!$B$81</f>
        <v/>
      </c>
      <c r="CE5" s="664">
        <f>(SUMPRODUCT((Personnel!$F$9:$F$100="SixPeak")*(Personnel!$G$9:$G$100="Yes")*(81&gt;=Personnel!$E$9:$E$100)*((Personnel!$K$9:$K$100="")+(81&lt;=Personnel!$K$9:$K$100)&gt;0)*Personnel!$D$9:$D$100*(1-Personnel!$H$9:$H$100)*(1-Personnel!$I$9:$I$100)))*Escalation!$B$82</f>
        <v/>
      </c>
      <c r="CF5" s="664">
        <f>(SUMPRODUCT((Personnel!$F$9:$F$100="SixPeak")*(Personnel!$G$9:$G$100="Yes")*(82&gt;=Personnel!$E$9:$E$100)*((Personnel!$K$9:$K$100="")+(82&lt;=Personnel!$K$9:$K$100)&gt;0)*Personnel!$D$9:$D$100*(1-Personnel!$H$9:$H$100)*(1-Personnel!$I$9:$I$100)))*Escalation!$B$83</f>
        <v/>
      </c>
      <c r="CG5" s="664">
        <f>(SUMPRODUCT((Personnel!$F$9:$F$100="SixPeak")*(Personnel!$G$9:$G$100="Yes")*(83&gt;=Personnel!$E$9:$E$100)*((Personnel!$K$9:$K$100="")+(83&lt;=Personnel!$K$9:$K$100)&gt;0)*Personnel!$D$9:$D$100*(1-Personnel!$H$9:$H$100)*(1-Personnel!$I$9:$I$100)))*Escalation!$B$84</f>
        <v/>
      </c>
      <c r="CH5" s="664">
        <f>(SUMPRODUCT((Personnel!$F$9:$F$100="SixPeak")*(Personnel!$G$9:$G$100="Yes")*(84&gt;=Personnel!$E$9:$E$100)*((Personnel!$K$9:$K$100="")+(84&lt;=Personnel!$K$9:$K$100)&gt;0)*Personnel!$D$9:$D$100*(1-Personnel!$H$9:$H$100)*(1-Personnel!$I$9:$I$100)))*Escalation!$B$85</f>
        <v/>
      </c>
      <c r="CI5" s="664">
        <f>(SUMPRODUCT((Personnel!$F$9:$F$100="SixPeak")*(Personnel!$G$9:$G$100="Yes")*(85&gt;=Personnel!$E$9:$E$100)*((Personnel!$K$9:$K$100="")+(85&lt;=Personnel!$K$9:$K$100)&gt;0)*Personnel!$D$9:$D$100*(1-Personnel!$H$9:$H$100)*(1-Personnel!$I$9:$I$100)))*Escalation!$B$86</f>
        <v/>
      </c>
      <c r="CJ5" s="664">
        <f>(SUMPRODUCT((Personnel!$F$9:$F$100="SixPeak")*(Personnel!$G$9:$G$100="Yes")*(86&gt;=Personnel!$E$9:$E$100)*((Personnel!$K$9:$K$100="")+(86&lt;=Personnel!$K$9:$K$100)&gt;0)*Personnel!$D$9:$D$100*(1-Personnel!$H$9:$H$100)*(1-Personnel!$I$9:$I$100)))*Escalation!$B$87</f>
        <v/>
      </c>
      <c r="CK5" s="664">
        <f>(SUMPRODUCT((Personnel!$F$9:$F$100="SixPeak")*(Personnel!$G$9:$G$100="Yes")*(87&gt;=Personnel!$E$9:$E$100)*((Personnel!$K$9:$K$100="")+(87&lt;=Personnel!$K$9:$K$100)&gt;0)*Personnel!$D$9:$D$100*(1-Personnel!$H$9:$H$100)*(1-Personnel!$I$9:$I$100)))*Escalation!$B$88</f>
        <v/>
      </c>
      <c r="CL5" s="664">
        <f>(SUMPRODUCT((Personnel!$F$9:$F$100="SixPeak")*(Personnel!$G$9:$G$100="Yes")*(88&gt;=Personnel!$E$9:$E$100)*((Personnel!$K$9:$K$100="")+(88&lt;=Personnel!$K$9:$K$100)&gt;0)*Personnel!$D$9:$D$100*(1-Personnel!$H$9:$H$100)*(1-Personnel!$I$9:$I$100)))*Escalation!$B$89</f>
        <v/>
      </c>
      <c r="CM5" s="664">
        <f>(SUMPRODUCT((Personnel!$F$9:$F$100="SixPeak")*(Personnel!$G$9:$G$100="Yes")*(89&gt;=Personnel!$E$9:$E$100)*((Personnel!$K$9:$K$100="")+(89&lt;=Personnel!$K$9:$K$100)&gt;0)*Personnel!$D$9:$D$100*(1-Personnel!$H$9:$H$100)*(1-Personnel!$I$9:$I$100)))*Escalation!$B$90</f>
        <v/>
      </c>
      <c r="CN5" s="664">
        <f>(SUMPRODUCT((Personnel!$F$9:$F$100="SixPeak")*(Personnel!$G$9:$G$100="Yes")*(90&gt;=Personnel!$E$9:$E$100)*((Personnel!$K$9:$K$100="")+(90&lt;=Personnel!$K$9:$K$100)&gt;0)*Personnel!$D$9:$D$100*(1-Personnel!$H$9:$H$100)*(1-Personnel!$I$9:$I$100)))*Escalation!$B$91</f>
        <v/>
      </c>
      <c r="CO5" s="664">
        <f>(SUMPRODUCT((Personnel!$F$9:$F$100="SixPeak")*(Personnel!$G$9:$G$100="Yes")*(91&gt;=Personnel!$E$9:$E$100)*((Personnel!$K$9:$K$100="")+(91&lt;=Personnel!$K$9:$K$100)&gt;0)*Personnel!$D$9:$D$100*(1-Personnel!$H$9:$H$100)*(1-Personnel!$I$9:$I$100)))*Escalation!$B$92</f>
        <v/>
      </c>
      <c r="CP5" s="664">
        <f>(SUMPRODUCT((Personnel!$F$9:$F$100="SixPeak")*(Personnel!$G$9:$G$100="Yes")*(92&gt;=Personnel!$E$9:$E$100)*((Personnel!$K$9:$K$100="")+(92&lt;=Personnel!$K$9:$K$100)&gt;0)*Personnel!$D$9:$D$100*(1-Personnel!$H$9:$H$100)*(1-Personnel!$I$9:$I$100)))*Escalation!$B$93</f>
        <v/>
      </c>
      <c r="CQ5" s="664">
        <f>(SUMPRODUCT((Personnel!$F$9:$F$100="SixPeak")*(Personnel!$G$9:$G$100="Yes")*(93&gt;=Personnel!$E$9:$E$100)*((Personnel!$K$9:$K$100="")+(93&lt;=Personnel!$K$9:$K$100)&gt;0)*Personnel!$D$9:$D$100*(1-Personnel!$H$9:$H$100)*(1-Personnel!$I$9:$I$100)))*Escalation!$B$94</f>
        <v/>
      </c>
    </row>
    <row r="7" ht="15" customFormat="1" customHeight="1" s="380">
      <c r="A7" s="659" t="inlineStr">
        <is>
          <t>Bonding Outstanding by Project</t>
        </is>
      </c>
    </row>
    <row r="8" ht="15" customFormat="1" customHeight="1" s="380">
      <c r="A8" s="550" t="inlineStr">
        <is>
          <t>Califa</t>
        </is>
      </c>
      <c r="C8" s="664" t="n">
        <v>11187175.79</v>
      </c>
      <c r="D8" s="664" t="n">
        <v>10356493.69</v>
      </c>
      <c r="E8" s="664" t="n">
        <v>9450240.48</v>
      </c>
      <c r="F8" s="664" t="n">
        <v>8485833.109999999</v>
      </c>
      <c r="G8" s="664" t="n">
        <v>6546008.3</v>
      </c>
      <c r="H8" s="664" t="n">
        <v>5950977.14</v>
      </c>
      <c r="I8" s="664" t="n">
        <v>5403449.04</v>
      </c>
      <c r="J8" s="664" t="n">
        <v>4778618.53</v>
      </c>
      <c r="K8" s="664" t="n">
        <v>4012283.82</v>
      </c>
      <c r="L8" s="664" t="n">
        <v>3317496.87</v>
      </c>
      <c r="M8" s="664" t="n">
        <v>2693094.26</v>
      </c>
      <c r="N8" s="664" t="n">
        <v>1981609.96</v>
      </c>
      <c r="O8" s="664" t="n">
        <v>1250721.11</v>
      </c>
      <c r="P8" s="664" t="n">
        <v>661631.3</v>
      </c>
      <c r="Q8" s="664" t="n">
        <v>297802.14</v>
      </c>
      <c r="R8" s="664" t="n">
        <v>126194.42</v>
      </c>
      <c r="S8" s="664" t="n">
        <v>0</v>
      </c>
      <c r="T8" s="664" t="n">
        <v>0</v>
      </c>
      <c r="U8" s="664" t="n">
        <v>0</v>
      </c>
      <c r="V8" s="664" t="n">
        <v>0</v>
      </c>
      <c r="W8" s="664" t="n">
        <v>0</v>
      </c>
      <c r="X8" s="664" t="n">
        <v>0</v>
      </c>
      <c r="Y8" s="664" t="n">
        <v>0</v>
      </c>
      <c r="Z8" s="664" t="n">
        <v>0</v>
      </c>
      <c r="AA8" s="664" t="n">
        <v>0</v>
      </c>
      <c r="AB8" s="664" t="n">
        <v>0</v>
      </c>
      <c r="AC8" s="664" t="n">
        <v>0</v>
      </c>
      <c r="AD8" s="664" t="n">
        <v>0</v>
      </c>
      <c r="AE8" s="664" t="n">
        <v>0</v>
      </c>
      <c r="AF8" s="664" t="n">
        <v>0</v>
      </c>
      <c r="AG8" s="664" t="n">
        <v>0</v>
      </c>
      <c r="AH8" s="664" t="n">
        <v>0</v>
      </c>
      <c r="AI8" s="664" t="n">
        <v>0</v>
      </c>
      <c r="AJ8" s="664" t="n">
        <v>0</v>
      </c>
      <c r="AK8" s="664" t="n">
        <v>0</v>
      </c>
      <c r="AL8" s="664" t="n">
        <v>0</v>
      </c>
      <c r="AM8" s="664" t="n">
        <v>0</v>
      </c>
      <c r="AN8" s="664" t="n">
        <v>0</v>
      </c>
      <c r="AO8" s="664" t="n">
        <v>0</v>
      </c>
      <c r="AP8" s="664" t="n">
        <v>0</v>
      </c>
      <c r="AQ8" s="664" t="n">
        <v>0</v>
      </c>
      <c r="AR8" s="664" t="n">
        <v>0</v>
      </c>
      <c r="AS8" s="664" t="n">
        <v>0</v>
      </c>
      <c r="AT8" s="664" t="n">
        <v>0</v>
      </c>
      <c r="AU8" s="664" t="n">
        <v>0</v>
      </c>
      <c r="AV8" s="664" t="n">
        <v>0</v>
      </c>
      <c r="AW8" s="664" t="n">
        <v>0</v>
      </c>
      <c r="AX8" s="664" t="n">
        <v>0</v>
      </c>
      <c r="AY8" s="664" t="n">
        <v>0</v>
      </c>
      <c r="AZ8" s="664" t="n">
        <v>0</v>
      </c>
      <c r="BA8" s="664" t="n">
        <v>0</v>
      </c>
      <c r="BB8" s="664" t="n">
        <v>0</v>
      </c>
      <c r="BC8" s="664" t="n">
        <v>0</v>
      </c>
      <c r="BD8" s="664" t="n">
        <v>0</v>
      </c>
      <c r="BE8" s="664" t="n">
        <v>0</v>
      </c>
      <c r="BF8" s="664" t="n">
        <v>0</v>
      </c>
      <c r="BG8" s="664" t="n">
        <v>0</v>
      </c>
      <c r="BH8" s="664" t="n">
        <v>0</v>
      </c>
      <c r="BI8" s="664" t="n">
        <v>0</v>
      </c>
      <c r="BJ8" s="664" t="n">
        <v>0</v>
      </c>
      <c r="BK8" s="664" t="n">
        <v>0</v>
      </c>
      <c r="BL8" s="664" t="n">
        <v>0</v>
      </c>
      <c r="BM8" s="664" t="n">
        <v>0</v>
      </c>
      <c r="BN8" s="664" t="n">
        <v>0</v>
      </c>
      <c r="BO8" s="664" t="n">
        <v>0</v>
      </c>
      <c r="BP8" s="664" t="n">
        <v>0</v>
      </c>
      <c r="BQ8" s="664" t="n">
        <v>0</v>
      </c>
      <c r="BR8" s="664" t="n">
        <v>0</v>
      </c>
      <c r="BS8" s="664" t="n">
        <v>0</v>
      </c>
      <c r="BT8" s="664" t="n">
        <v>0</v>
      </c>
      <c r="BU8" s="664" t="n">
        <v>0</v>
      </c>
      <c r="BV8" s="664" t="n">
        <v>0</v>
      </c>
      <c r="BW8" s="664" t="n">
        <v>0</v>
      </c>
      <c r="BX8" s="664" t="n">
        <v>0</v>
      </c>
      <c r="BY8" s="664" t="n">
        <v>0</v>
      </c>
      <c r="BZ8" s="664" t="n">
        <v>0</v>
      </c>
      <c r="CA8" s="664" t="n">
        <v>0</v>
      </c>
      <c r="CB8" s="664" t="n">
        <v>0</v>
      </c>
      <c r="CC8" s="664" t="n">
        <v>0</v>
      </c>
      <c r="CD8" s="664" t="n">
        <v>0</v>
      </c>
      <c r="CE8" s="664" t="n">
        <v>0</v>
      </c>
      <c r="CF8" s="664" t="n">
        <v>0</v>
      </c>
      <c r="CG8" s="664" t="n">
        <v>0</v>
      </c>
      <c r="CH8" s="664" t="n">
        <v>0</v>
      </c>
      <c r="CI8" s="664" t="n">
        <v>0</v>
      </c>
      <c r="CJ8" s="664" t="n">
        <v>0</v>
      </c>
      <c r="CK8" s="664" t="n">
        <v>0</v>
      </c>
      <c r="CL8" s="664" t="n">
        <v>0</v>
      </c>
      <c r="CM8" s="664" t="n">
        <v>0</v>
      </c>
      <c r="CN8" s="664" t="n">
        <v>0</v>
      </c>
      <c r="CO8" s="664" t="n">
        <v>0</v>
      </c>
      <c r="CP8" s="664" t="n">
        <v>0</v>
      </c>
      <c r="CQ8" s="664" t="n">
        <v>0</v>
      </c>
    </row>
    <row r="9" ht="15" customFormat="1" customHeight="1" s="380">
      <c r="A9" s="550" t="inlineStr">
        <is>
          <t>Whipple</t>
        </is>
      </c>
      <c r="C9" s="664" t="n">
        <v>13529664.56</v>
      </c>
      <c r="D9" s="664" t="n">
        <v>12525045.48</v>
      </c>
      <c r="E9" s="664" t="n">
        <v>11429031.43</v>
      </c>
      <c r="F9" s="664" t="n">
        <v>10262686.27</v>
      </c>
      <c r="G9" s="664" t="n">
        <v>9354156.4</v>
      </c>
      <c r="H9" s="664" t="n">
        <v>8576474.68</v>
      </c>
      <c r="I9" s="664" t="n">
        <v>7686708.76</v>
      </c>
      <c r="J9" s="664" t="n">
        <v>7003935.62</v>
      </c>
      <c r="K9" s="664" t="n">
        <v>6232412.67</v>
      </c>
      <c r="L9" s="664" t="n">
        <v>5543806.21</v>
      </c>
      <c r="M9" s="664" t="n">
        <v>4887352.83</v>
      </c>
      <c r="N9" s="664" t="n">
        <v>4294423.23</v>
      </c>
      <c r="O9" s="664" t="n">
        <v>3826241.58</v>
      </c>
      <c r="P9" s="664" t="n">
        <v>3410361.03</v>
      </c>
      <c r="Q9" s="664" t="n">
        <v>2510448.86</v>
      </c>
      <c r="R9" s="664" t="n">
        <v>1384588.44</v>
      </c>
      <c r="S9" s="664" t="n">
        <v>631341.78</v>
      </c>
      <c r="T9" s="664" t="n">
        <v>164743.84</v>
      </c>
      <c r="U9" s="664" t="n">
        <v>0</v>
      </c>
      <c r="V9" s="664" t="n">
        <v>0</v>
      </c>
      <c r="W9" s="664" t="n">
        <v>0</v>
      </c>
      <c r="X9" s="664" t="n">
        <v>0</v>
      </c>
      <c r="Y9" s="664" t="n">
        <v>0</v>
      </c>
      <c r="Z9" s="664" t="n">
        <v>0</v>
      </c>
      <c r="AA9" s="664" t="n">
        <v>0</v>
      </c>
      <c r="AB9" s="664" t="n">
        <v>0</v>
      </c>
      <c r="AC9" s="664" t="n">
        <v>0</v>
      </c>
      <c r="AD9" s="664" t="n">
        <v>0</v>
      </c>
      <c r="AE9" s="664" t="n">
        <v>0</v>
      </c>
      <c r="AF9" s="664" t="n">
        <v>0</v>
      </c>
      <c r="AG9" s="664" t="n">
        <v>0</v>
      </c>
      <c r="AH9" s="664" t="n">
        <v>0</v>
      </c>
      <c r="AI9" s="664" t="n">
        <v>0</v>
      </c>
      <c r="AJ9" s="664" t="n">
        <v>0</v>
      </c>
      <c r="AK9" s="664" t="n">
        <v>0</v>
      </c>
      <c r="AL9" s="664" t="n">
        <v>0</v>
      </c>
      <c r="AM9" s="664" t="n">
        <v>0</v>
      </c>
      <c r="AN9" s="664" t="n">
        <v>0</v>
      </c>
      <c r="AO9" s="664" t="n">
        <v>0</v>
      </c>
      <c r="AP9" s="664" t="n">
        <v>0</v>
      </c>
      <c r="AQ9" s="664" t="n">
        <v>0</v>
      </c>
      <c r="AR9" s="664" t="n">
        <v>0</v>
      </c>
      <c r="AS9" s="664" t="n">
        <v>0</v>
      </c>
      <c r="AT9" s="664" t="n">
        <v>0</v>
      </c>
      <c r="AU9" s="664" t="n">
        <v>0</v>
      </c>
      <c r="AV9" s="664" t="n">
        <v>0</v>
      </c>
      <c r="AW9" s="664" t="n">
        <v>0</v>
      </c>
      <c r="AX9" s="664" t="n">
        <v>0</v>
      </c>
      <c r="AY9" s="664" t="n">
        <v>0</v>
      </c>
      <c r="AZ9" s="664" t="n">
        <v>0</v>
      </c>
      <c r="BA9" s="664" t="n">
        <v>0</v>
      </c>
      <c r="BB9" s="664" t="n">
        <v>0</v>
      </c>
      <c r="BC9" s="664" t="n">
        <v>0</v>
      </c>
      <c r="BD9" s="664" t="n">
        <v>0</v>
      </c>
      <c r="BE9" s="664" t="n">
        <v>0</v>
      </c>
      <c r="BF9" s="664" t="n">
        <v>0</v>
      </c>
      <c r="BG9" s="664" t="n">
        <v>0</v>
      </c>
      <c r="BH9" s="664" t="n">
        <v>0</v>
      </c>
      <c r="BI9" s="664" t="n">
        <v>0</v>
      </c>
      <c r="BJ9" s="664" t="n">
        <v>0</v>
      </c>
      <c r="BK9" s="664" t="n">
        <v>0</v>
      </c>
      <c r="BL9" s="664" t="n">
        <v>0</v>
      </c>
      <c r="BM9" s="664" t="n">
        <v>0</v>
      </c>
      <c r="BN9" s="664" t="n">
        <v>0</v>
      </c>
      <c r="BO9" s="664" t="n">
        <v>0</v>
      </c>
      <c r="BP9" s="664" t="n">
        <v>0</v>
      </c>
      <c r="BQ9" s="664" t="n">
        <v>0</v>
      </c>
      <c r="BR9" s="664" t="n">
        <v>0</v>
      </c>
      <c r="BS9" s="664" t="n">
        <v>0</v>
      </c>
      <c r="BT9" s="664" t="n">
        <v>0</v>
      </c>
      <c r="BU9" s="664" t="n">
        <v>0</v>
      </c>
      <c r="BV9" s="664" t="n">
        <v>0</v>
      </c>
      <c r="BW9" s="664" t="n">
        <v>0</v>
      </c>
      <c r="BX9" s="664" t="n">
        <v>0</v>
      </c>
      <c r="BY9" s="664" t="n">
        <v>0</v>
      </c>
      <c r="BZ9" s="664" t="n">
        <v>0</v>
      </c>
      <c r="CA9" s="664" t="n">
        <v>0</v>
      </c>
      <c r="CB9" s="664" t="n">
        <v>0</v>
      </c>
      <c r="CC9" s="664" t="n">
        <v>0</v>
      </c>
      <c r="CD9" s="664" t="n">
        <v>0</v>
      </c>
      <c r="CE9" s="664" t="n">
        <v>0</v>
      </c>
      <c r="CF9" s="664" t="n">
        <v>0</v>
      </c>
      <c r="CG9" s="664" t="n">
        <v>0</v>
      </c>
      <c r="CH9" s="664" t="n">
        <v>0</v>
      </c>
      <c r="CI9" s="664" t="n">
        <v>0</v>
      </c>
      <c r="CJ9" s="664" t="n">
        <v>0</v>
      </c>
      <c r="CK9" s="664" t="n">
        <v>0</v>
      </c>
      <c r="CL9" s="664" t="n">
        <v>0</v>
      </c>
      <c r="CM9" s="664" t="n">
        <v>0</v>
      </c>
      <c r="CN9" s="664" t="n">
        <v>0</v>
      </c>
      <c r="CO9" s="664" t="n">
        <v>0</v>
      </c>
      <c r="CP9" s="664" t="n">
        <v>0</v>
      </c>
      <c r="CQ9" s="664" t="n">
        <v>0</v>
      </c>
    </row>
    <row r="10" ht="15" customFormat="1" customHeight="1" s="380">
      <c r="A10" s="550" t="inlineStr">
        <is>
          <t>Francis</t>
        </is>
      </c>
      <c r="C10" s="664" t="n">
        <v>0</v>
      </c>
      <c r="D10" s="664" t="n">
        <v>0</v>
      </c>
      <c r="E10" s="664" t="n">
        <v>0</v>
      </c>
      <c r="F10" s="664" t="n">
        <v>0</v>
      </c>
      <c r="G10" s="664" t="n">
        <v>42418193.38</v>
      </c>
      <c r="H10" s="664" t="n">
        <v>41557159.51</v>
      </c>
      <c r="I10" s="664" t="n">
        <v>40347746.5</v>
      </c>
      <c r="J10" s="664" t="n">
        <v>39561567.49</v>
      </c>
      <c r="K10" s="664" t="n">
        <v>38972367.12</v>
      </c>
      <c r="L10" s="664" t="n">
        <v>38221747.38</v>
      </c>
      <c r="M10" s="664" t="n">
        <v>37614512.89</v>
      </c>
      <c r="N10" s="664" t="n">
        <v>36881872.23</v>
      </c>
      <c r="O10" s="664" t="n">
        <v>36263088.93</v>
      </c>
      <c r="P10" s="664" t="n">
        <v>35502601.32</v>
      </c>
      <c r="Q10" s="664" t="n">
        <v>34787831.07</v>
      </c>
      <c r="R10" s="664" t="n">
        <v>33505756.49</v>
      </c>
      <c r="S10" s="664" t="n">
        <v>32686448.68</v>
      </c>
      <c r="T10" s="664" t="n">
        <v>30243213.22</v>
      </c>
      <c r="U10" s="664" t="n">
        <v>28699798.34</v>
      </c>
      <c r="V10" s="664" t="n">
        <v>25529541</v>
      </c>
      <c r="W10" s="664" t="n">
        <v>23704130.61</v>
      </c>
      <c r="X10" s="664" t="n">
        <v>20828303.45</v>
      </c>
      <c r="Y10" s="664" t="n">
        <v>18426892.45</v>
      </c>
      <c r="Z10" s="664" t="n">
        <v>16789882.88</v>
      </c>
      <c r="AA10" s="664" t="n">
        <v>15753895.35</v>
      </c>
      <c r="AB10" s="664" t="n">
        <v>14527106.83</v>
      </c>
      <c r="AC10" s="664" t="n">
        <v>13375707.75</v>
      </c>
      <c r="AD10" s="664" t="n">
        <v>11951889.75</v>
      </c>
      <c r="AE10" s="664" t="n">
        <v>9479263.810000001</v>
      </c>
      <c r="AF10" s="664" t="n">
        <v>7184499.57</v>
      </c>
      <c r="AG10" s="664" t="n">
        <v>4941005.43</v>
      </c>
      <c r="AH10" s="664" t="n">
        <v>3716991.2</v>
      </c>
      <c r="AI10" s="664" t="n">
        <v>2700888.54</v>
      </c>
      <c r="AJ10" s="664" t="n">
        <v>1565814.84</v>
      </c>
      <c r="AK10" s="664" t="n">
        <v>331958.4</v>
      </c>
      <c r="AL10" s="664" t="n">
        <v>0</v>
      </c>
      <c r="AM10" s="664" t="n">
        <v>0</v>
      </c>
      <c r="AN10" s="664" t="n">
        <v>0</v>
      </c>
      <c r="AO10" s="664" t="n">
        <v>0</v>
      </c>
      <c r="AP10" s="664" t="n">
        <v>0</v>
      </c>
      <c r="AQ10" s="664" t="n">
        <v>0</v>
      </c>
      <c r="AR10" s="664" t="n">
        <v>0</v>
      </c>
      <c r="AS10" s="664" t="n">
        <v>0</v>
      </c>
      <c r="AT10" s="664" t="n">
        <v>0</v>
      </c>
      <c r="AU10" s="664" t="n">
        <v>0</v>
      </c>
      <c r="AV10" s="664" t="n">
        <v>0</v>
      </c>
      <c r="AW10" s="664" t="n">
        <v>0</v>
      </c>
      <c r="AX10" s="664" t="n">
        <v>0</v>
      </c>
      <c r="AY10" s="664" t="n">
        <v>0</v>
      </c>
      <c r="AZ10" s="664" t="n">
        <v>0</v>
      </c>
      <c r="BA10" s="664" t="n">
        <v>0</v>
      </c>
      <c r="BB10" s="664" t="n">
        <v>0</v>
      </c>
      <c r="BC10" s="664" t="n">
        <v>0</v>
      </c>
      <c r="BD10" s="664" t="n">
        <v>0</v>
      </c>
      <c r="BE10" s="664" t="n">
        <v>0</v>
      </c>
      <c r="BF10" s="664" t="n">
        <v>0</v>
      </c>
      <c r="BG10" s="664" t="n">
        <v>0</v>
      </c>
      <c r="BH10" s="664" t="n">
        <v>0</v>
      </c>
      <c r="BI10" s="664" t="n">
        <v>0</v>
      </c>
      <c r="BJ10" s="664" t="n">
        <v>0</v>
      </c>
      <c r="BK10" s="664" t="n">
        <v>0</v>
      </c>
      <c r="BL10" s="664" t="n">
        <v>0</v>
      </c>
      <c r="BM10" s="664" t="n">
        <v>0</v>
      </c>
      <c r="BN10" s="664" t="n">
        <v>0</v>
      </c>
      <c r="BO10" s="664" t="n">
        <v>0</v>
      </c>
      <c r="BP10" s="664" t="n">
        <v>0</v>
      </c>
      <c r="BQ10" s="664" t="n">
        <v>0</v>
      </c>
      <c r="BR10" s="664" t="n">
        <v>0</v>
      </c>
      <c r="BS10" s="664" t="n">
        <v>0</v>
      </c>
      <c r="BT10" s="664" t="n">
        <v>0</v>
      </c>
      <c r="BU10" s="664" t="n">
        <v>0</v>
      </c>
      <c r="BV10" s="664" t="n">
        <v>0</v>
      </c>
      <c r="BW10" s="664" t="n">
        <v>0</v>
      </c>
      <c r="BX10" s="664" t="n">
        <v>0</v>
      </c>
      <c r="BY10" s="664" t="n">
        <v>0</v>
      </c>
      <c r="BZ10" s="664" t="n">
        <v>0</v>
      </c>
      <c r="CA10" s="664" t="n">
        <v>0</v>
      </c>
      <c r="CB10" s="664" t="n">
        <v>0</v>
      </c>
      <c r="CC10" s="664" t="n">
        <v>0</v>
      </c>
      <c r="CD10" s="664" t="n">
        <v>0</v>
      </c>
      <c r="CE10" s="664" t="n">
        <v>0</v>
      </c>
      <c r="CF10" s="664" t="n">
        <v>0</v>
      </c>
      <c r="CG10" s="664" t="n">
        <v>0</v>
      </c>
      <c r="CH10" s="664" t="n">
        <v>0</v>
      </c>
      <c r="CI10" s="664" t="n">
        <v>0</v>
      </c>
      <c r="CJ10" s="664" t="n">
        <v>0</v>
      </c>
      <c r="CK10" s="664" t="n">
        <v>0</v>
      </c>
      <c r="CL10" s="664" t="n">
        <v>0</v>
      </c>
      <c r="CM10" s="664" t="n">
        <v>0</v>
      </c>
      <c r="CN10" s="664" t="n">
        <v>0</v>
      </c>
      <c r="CO10" s="664" t="n">
        <v>0</v>
      </c>
      <c r="CP10" s="664" t="n">
        <v>0</v>
      </c>
      <c r="CQ10" s="664" t="n">
        <v>0</v>
      </c>
    </row>
    <row r="11" ht="15" customFormat="1" customHeight="1" s="380">
      <c r="A11" s="550" t="inlineStr">
        <is>
          <t>Lexington</t>
        </is>
      </c>
      <c r="C11" s="664">
        <f>IF(AND(Projects!$G$8="Yes",Projects!$F$8="Yes",1&gt;=Projects!$C$8,1&lt;Projects!$C$8+Projects!$D$8),Projects!$B$8*(1-SUMPRODUCT((Curves!$B$4:$AO$4)*(COLUMN(Curves!$B$4:$AO$4)-COLUMN(Curves!$B$4)+1&lt;=1-Projects!$C$8+1))),0)</f>
        <v/>
      </c>
      <c r="D11" s="664">
        <f>IF(AND(Projects!$G$8="Yes",Projects!$F$8="Yes",2&gt;=Projects!$C$8,2&lt;Projects!$C$8+Projects!$D$8),Projects!$B$8*(1-SUMPRODUCT((Curves!$B$4:$AO$4)*(COLUMN(Curves!$B$4:$AO$4)-COLUMN(Curves!$B$4)+1&lt;=2-Projects!$C$8+1))),0)</f>
        <v/>
      </c>
      <c r="E11" s="664">
        <f>IF(AND(Projects!$G$8="Yes",Projects!$F$8="Yes",3&gt;=Projects!$C$8,3&lt;Projects!$C$8+Projects!$D$8),Projects!$B$8*(1-SUMPRODUCT((Curves!$B$4:$AO$4)*(COLUMN(Curves!$B$4:$AO$4)-COLUMN(Curves!$B$4)+1&lt;=3-Projects!$C$8+1))),0)</f>
        <v/>
      </c>
      <c r="F11" s="664">
        <f>IF(AND(Projects!$G$8="Yes",Projects!$F$8="Yes",4&gt;=Projects!$C$8,4&lt;Projects!$C$8+Projects!$D$8),Projects!$B$8*(1-SUMPRODUCT((Curves!$B$4:$AO$4)*(COLUMN(Curves!$B$4:$AO$4)-COLUMN(Curves!$B$4)+1&lt;=4-Projects!$C$8+1))),0)</f>
        <v/>
      </c>
      <c r="G11" s="664">
        <f>IF(AND(Projects!$G$8="Yes",Projects!$F$8="Yes",5&gt;=Projects!$C$8,5&lt;Projects!$C$8+Projects!$D$8),Projects!$B$8*(1-SUMPRODUCT((Curves!$B$4:$AO$4)*(COLUMN(Curves!$B$4:$AO$4)-COLUMN(Curves!$B$4)+1&lt;=5-Projects!$C$8+1))),0)</f>
        <v/>
      </c>
      <c r="H11" s="664">
        <f>IF(AND(Projects!$G$8="Yes",Projects!$F$8="Yes",6&gt;=Projects!$C$8,6&lt;Projects!$C$8+Projects!$D$8),Projects!$B$8*(1-SUMPRODUCT((Curves!$B$4:$AO$4)*(COLUMN(Curves!$B$4:$AO$4)-COLUMN(Curves!$B$4)+1&lt;=6-Projects!$C$8+1))),0)</f>
        <v/>
      </c>
      <c r="I11" s="664">
        <f>IF(AND(Projects!$G$8="Yes",Projects!$F$8="Yes",7&gt;=Projects!$C$8,7&lt;Projects!$C$8+Projects!$D$8),Projects!$B$8*(1-SUMPRODUCT((Curves!$B$4:$AO$4)*(COLUMN(Curves!$B$4:$AO$4)-COLUMN(Curves!$B$4)+1&lt;=7-Projects!$C$8+1))),0)</f>
        <v/>
      </c>
      <c r="J11" s="664">
        <f>IF(AND(Projects!$G$8="Yes",Projects!$F$8="Yes",8&gt;=Projects!$C$8,8&lt;Projects!$C$8+Projects!$D$8),Projects!$B$8*(1-SUMPRODUCT((Curves!$B$4:$AO$4)*(COLUMN(Curves!$B$4:$AO$4)-COLUMN(Curves!$B$4)+1&lt;=8-Projects!$C$8+1))),0)</f>
        <v/>
      </c>
      <c r="K11" s="664">
        <f>IF(AND(Projects!$G$8="Yes",Projects!$F$8="Yes",9&gt;=Projects!$C$8,9&lt;Projects!$C$8+Projects!$D$8),Projects!$B$8*(1-SUMPRODUCT((Curves!$B$4:$AO$4)*(COLUMN(Curves!$B$4:$AO$4)-COLUMN(Curves!$B$4)+1&lt;=9-Projects!$C$8+1))),0)</f>
        <v/>
      </c>
      <c r="L11" s="664">
        <f>IF(AND(Projects!$G$8="Yes",Projects!$F$8="Yes",10&gt;=Projects!$C$8,10&lt;Projects!$C$8+Projects!$D$8),Projects!$B$8*(1-SUMPRODUCT((Curves!$B$4:$AO$4)*(COLUMN(Curves!$B$4:$AO$4)-COLUMN(Curves!$B$4)+1&lt;=10-Projects!$C$8+1))),0)</f>
        <v/>
      </c>
      <c r="M11" s="664">
        <f>IF(AND(Projects!$G$8="Yes",Projects!$F$8="Yes",11&gt;=Projects!$C$8,11&lt;Projects!$C$8+Projects!$D$8),Projects!$B$8*(1-SUMPRODUCT((Curves!$B$4:$AO$4)*(COLUMN(Curves!$B$4:$AO$4)-COLUMN(Curves!$B$4)+1&lt;=11-Projects!$C$8+1))),0)</f>
        <v/>
      </c>
      <c r="N11" s="664">
        <f>IF(AND(Projects!$G$8="Yes",Projects!$F$8="Yes",12&gt;=Projects!$C$8,12&lt;Projects!$C$8+Projects!$D$8),Projects!$B$8*(1-SUMPRODUCT((Curves!$B$4:$AO$4)*(COLUMN(Curves!$B$4:$AO$4)-COLUMN(Curves!$B$4)+1&lt;=12-Projects!$C$8+1))),0)</f>
        <v/>
      </c>
      <c r="O11" s="664">
        <f>IF(AND(Projects!$G$8="Yes",Projects!$F$8="Yes",13&gt;=Projects!$C$8,13&lt;Projects!$C$8+Projects!$D$8),Projects!$B$8*(1-SUMPRODUCT((Curves!$B$4:$AO$4)*(COLUMN(Curves!$B$4:$AO$4)-COLUMN(Curves!$B$4)+1&lt;=13-Projects!$C$8+1))),0)</f>
        <v/>
      </c>
      <c r="P11" s="664">
        <f>IF(AND(Projects!$G$8="Yes",Projects!$F$8="Yes",14&gt;=Projects!$C$8,14&lt;Projects!$C$8+Projects!$D$8),Projects!$B$8*(1-SUMPRODUCT((Curves!$B$4:$AO$4)*(COLUMN(Curves!$B$4:$AO$4)-COLUMN(Curves!$B$4)+1&lt;=14-Projects!$C$8+1))),0)</f>
        <v/>
      </c>
      <c r="Q11" s="664">
        <f>IF(AND(Projects!$G$8="Yes",Projects!$F$8="Yes",15&gt;=Projects!$C$8,15&lt;Projects!$C$8+Projects!$D$8),Projects!$B$8*(1-SUMPRODUCT((Curves!$B$4:$AO$4)*(COLUMN(Curves!$B$4:$AO$4)-COLUMN(Curves!$B$4)+1&lt;=15-Projects!$C$8+1))),0)</f>
        <v/>
      </c>
      <c r="R11" s="664">
        <f>IF(AND(Projects!$G$8="Yes",Projects!$F$8="Yes",16&gt;=Projects!$C$8,16&lt;Projects!$C$8+Projects!$D$8),Projects!$B$8*(1-SUMPRODUCT((Curves!$B$4:$AO$4)*(COLUMN(Curves!$B$4:$AO$4)-COLUMN(Curves!$B$4)+1&lt;=16-Projects!$C$8+1))),0)</f>
        <v/>
      </c>
      <c r="S11" s="664">
        <f>IF(AND(Projects!$G$8="Yes",Projects!$F$8="Yes",17&gt;=Projects!$C$8,17&lt;Projects!$C$8+Projects!$D$8),Projects!$B$8*(1-SUMPRODUCT((Curves!$B$4:$AO$4)*(COLUMN(Curves!$B$4:$AO$4)-COLUMN(Curves!$B$4)+1&lt;=17-Projects!$C$8+1))),0)</f>
        <v/>
      </c>
      <c r="T11" s="664">
        <f>IF(AND(Projects!$G$8="Yes",Projects!$F$8="Yes",18&gt;=Projects!$C$8,18&lt;Projects!$C$8+Projects!$D$8),Projects!$B$8*(1-SUMPRODUCT((Curves!$B$4:$AO$4)*(COLUMN(Curves!$B$4:$AO$4)-COLUMN(Curves!$B$4)+1&lt;=18-Projects!$C$8+1))),0)</f>
        <v/>
      </c>
      <c r="U11" s="664">
        <f>IF(AND(Projects!$G$8="Yes",Projects!$F$8="Yes",19&gt;=Projects!$C$8,19&lt;Projects!$C$8+Projects!$D$8),Projects!$B$8*(1-SUMPRODUCT((Curves!$B$4:$AO$4)*(COLUMN(Curves!$B$4:$AO$4)-COLUMN(Curves!$B$4)+1&lt;=19-Projects!$C$8+1))),0)</f>
        <v/>
      </c>
      <c r="V11" s="664">
        <f>IF(AND(Projects!$G$8="Yes",Projects!$F$8="Yes",20&gt;=Projects!$C$8,20&lt;Projects!$C$8+Projects!$D$8),Projects!$B$8*(1-SUMPRODUCT((Curves!$B$4:$AO$4)*(COLUMN(Curves!$B$4:$AO$4)-COLUMN(Curves!$B$4)+1&lt;=20-Projects!$C$8+1))),0)</f>
        <v/>
      </c>
      <c r="W11" s="664">
        <f>IF(AND(Projects!$G$8="Yes",Projects!$F$8="Yes",21&gt;=Projects!$C$8,21&lt;Projects!$C$8+Projects!$D$8),Projects!$B$8*(1-SUMPRODUCT((Curves!$B$4:$AO$4)*(COLUMN(Curves!$B$4:$AO$4)-COLUMN(Curves!$B$4)+1&lt;=21-Projects!$C$8+1))),0)</f>
        <v/>
      </c>
      <c r="X11" s="664">
        <f>IF(AND(Projects!$G$8="Yes",Projects!$F$8="Yes",22&gt;=Projects!$C$8,22&lt;Projects!$C$8+Projects!$D$8),Projects!$B$8*(1-SUMPRODUCT((Curves!$B$4:$AO$4)*(COLUMN(Curves!$B$4:$AO$4)-COLUMN(Curves!$B$4)+1&lt;=22-Projects!$C$8+1))),0)</f>
        <v/>
      </c>
      <c r="Y11" s="664">
        <f>IF(AND(Projects!$G$8="Yes",Projects!$F$8="Yes",23&gt;=Projects!$C$8,23&lt;Projects!$C$8+Projects!$D$8),Projects!$B$8*(1-SUMPRODUCT((Curves!$B$4:$AO$4)*(COLUMN(Curves!$B$4:$AO$4)-COLUMN(Curves!$B$4)+1&lt;=23-Projects!$C$8+1))),0)</f>
        <v/>
      </c>
      <c r="Z11" s="664">
        <f>IF(AND(Projects!$G$8="Yes",Projects!$F$8="Yes",24&gt;=Projects!$C$8,24&lt;Projects!$C$8+Projects!$D$8),Projects!$B$8*(1-SUMPRODUCT((Curves!$B$4:$AO$4)*(COLUMN(Curves!$B$4:$AO$4)-COLUMN(Curves!$B$4)+1&lt;=24-Projects!$C$8+1))),0)</f>
        <v/>
      </c>
      <c r="AA11" s="664">
        <f>IF(AND(Projects!$G$8="Yes",Projects!$F$8="Yes",25&gt;=Projects!$C$8,25&lt;Projects!$C$8+Projects!$D$8),Projects!$B$8*(1-SUMPRODUCT((Curves!$B$4:$AO$4)*(COLUMN(Curves!$B$4:$AO$4)-COLUMN(Curves!$B$4)+1&lt;=25-Projects!$C$8+1))),0)</f>
        <v/>
      </c>
      <c r="AB11" s="664">
        <f>IF(AND(Projects!$G$8="Yes",Projects!$F$8="Yes",26&gt;=Projects!$C$8,26&lt;Projects!$C$8+Projects!$D$8),Projects!$B$8*(1-SUMPRODUCT((Curves!$B$4:$AO$4)*(COLUMN(Curves!$B$4:$AO$4)-COLUMN(Curves!$B$4)+1&lt;=26-Projects!$C$8+1))),0)</f>
        <v/>
      </c>
      <c r="AC11" s="664">
        <f>IF(AND(Projects!$G$8="Yes",Projects!$F$8="Yes",27&gt;=Projects!$C$8,27&lt;Projects!$C$8+Projects!$D$8),Projects!$B$8*(1-SUMPRODUCT((Curves!$B$4:$AO$4)*(COLUMN(Curves!$B$4:$AO$4)-COLUMN(Curves!$B$4)+1&lt;=27-Projects!$C$8+1))),0)</f>
        <v/>
      </c>
      <c r="AD11" s="664">
        <f>IF(AND(Projects!$G$8="Yes",Projects!$F$8="Yes",28&gt;=Projects!$C$8,28&lt;Projects!$C$8+Projects!$D$8),Projects!$B$8*(1-SUMPRODUCT((Curves!$B$4:$AO$4)*(COLUMN(Curves!$B$4:$AO$4)-COLUMN(Curves!$B$4)+1&lt;=28-Projects!$C$8+1))),0)</f>
        <v/>
      </c>
      <c r="AE11" s="664">
        <f>IF(AND(Projects!$G$8="Yes",Projects!$F$8="Yes",29&gt;=Projects!$C$8,29&lt;Projects!$C$8+Projects!$D$8),Projects!$B$8*(1-SUMPRODUCT((Curves!$B$4:$AO$4)*(COLUMN(Curves!$B$4:$AO$4)-COLUMN(Curves!$B$4)+1&lt;=29-Projects!$C$8+1))),0)</f>
        <v/>
      </c>
      <c r="AF11" s="664">
        <f>IF(AND(Projects!$G$8="Yes",Projects!$F$8="Yes",30&gt;=Projects!$C$8,30&lt;Projects!$C$8+Projects!$D$8),Projects!$B$8*(1-SUMPRODUCT((Curves!$B$4:$AO$4)*(COLUMN(Curves!$B$4:$AO$4)-COLUMN(Curves!$B$4)+1&lt;=30-Projects!$C$8+1))),0)</f>
        <v/>
      </c>
      <c r="AG11" s="664">
        <f>IF(AND(Projects!$G$8="Yes",Projects!$F$8="Yes",31&gt;=Projects!$C$8,31&lt;Projects!$C$8+Projects!$D$8),Projects!$B$8*(1-SUMPRODUCT((Curves!$B$4:$AO$4)*(COLUMN(Curves!$B$4:$AO$4)-COLUMN(Curves!$B$4)+1&lt;=31-Projects!$C$8+1))),0)</f>
        <v/>
      </c>
      <c r="AH11" s="664">
        <f>IF(AND(Projects!$G$8="Yes",Projects!$F$8="Yes",32&gt;=Projects!$C$8,32&lt;Projects!$C$8+Projects!$D$8),Projects!$B$8*(1-SUMPRODUCT((Curves!$B$4:$AO$4)*(COLUMN(Curves!$B$4:$AO$4)-COLUMN(Curves!$B$4)+1&lt;=32-Projects!$C$8+1))),0)</f>
        <v/>
      </c>
      <c r="AI11" s="664">
        <f>IF(AND(Projects!$G$8="Yes",Projects!$F$8="Yes",33&gt;=Projects!$C$8,33&lt;Projects!$C$8+Projects!$D$8),Projects!$B$8*(1-SUMPRODUCT((Curves!$B$4:$AO$4)*(COLUMN(Curves!$B$4:$AO$4)-COLUMN(Curves!$B$4)+1&lt;=33-Projects!$C$8+1))),0)</f>
        <v/>
      </c>
      <c r="AJ11" s="664">
        <f>IF(AND(Projects!$G$8="Yes",Projects!$F$8="Yes",34&gt;=Projects!$C$8,34&lt;Projects!$C$8+Projects!$D$8),Projects!$B$8*(1-SUMPRODUCT((Curves!$B$4:$AO$4)*(COLUMN(Curves!$B$4:$AO$4)-COLUMN(Curves!$B$4)+1&lt;=34-Projects!$C$8+1))),0)</f>
        <v/>
      </c>
      <c r="AK11" s="664">
        <f>IF(AND(Projects!$G$8="Yes",Projects!$F$8="Yes",35&gt;=Projects!$C$8,35&lt;Projects!$C$8+Projects!$D$8),Projects!$B$8*(1-SUMPRODUCT((Curves!$B$4:$AO$4)*(COLUMN(Curves!$B$4:$AO$4)-COLUMN(Curves!$B$4)+1&lt;=35-Projects!$C$8+1))),0)</f>
        <v/>
      </c>
      <c r="AL11" s="664">
        <f>IF(AND(Projects!$G$8="Yes",Projects!$F$8="Yes",36&gt;=Projects!$C$8,36&lt;Projects!$C$8+Projects!$D$8),Projects!$B$8*(1-SUMPRODUCT((Curves!$B$4:$AO$4)*(COLUMN(Curves!$B$4:$AO$4)-COLUMN(Curves!$B$4)+1&lt;=36-Projects!$C$8+1))),0)</f>
        <v/>
      </c>
      <c r="AM11" s="664">
        <f>IF(AND(Projects!$G$8="Yes",Projects!$F$8="Yes",37&gt;=Projects!$C$8,37&lt;Projects!$C$8+Projects!$D$8),Projects!$B$8*(1-SUMPRODUCT((Curves!$B$4:$AO$4)*(COLUMN(Curves!$B$4:$AO$4)-COLUMN(Curves!$B$4)+1&lt;=37-Projects!$C$8+1))),0)</f>
        <v/>
      </c>
      <c r="AN11" s="664">
        <f>IF(AND(Projects!$G$8="Yes",Projects!$F$8="Yes",38&gt;=Projects!$C$8,38&lt;Projects!$C$8+Projects!$D$8),Projects!$B$8*(1-SUMPRODUCT((Curves!$B$4:$AO$4)*(COLUMN(Curves!$B$4:$AO$4)-COLUMN(Curves!$B$4)+1&lt;=38-Projects!$C$8+1))),0)</f>
        <v/>
      </c>
      <c r="AO11" s="664">
        <f>IF(AND(Projects!$G$8="Yes",Projects!$F$8="Yes",39&gt;=Projects!$C$8,39&lt;Projects!$C$8+Projects!$D$8),Projects!$B$8*(1-SUMPRODUCT((Curves!$B$4:$AO$4)*(COLUMN(Curves!$B$4:$AO$4)-COLUMN(Curves!$B$4)+1&lt;=39-Projects!$C$8+1))),0)</f>
        <v/>
      </c>
      <c r="AP11" s="664">
        <f>IF(AND(Projects!$G$8="Yes",Projects!$F$8="Yes",40&gt;=Projects!$C$8,40&lt;Projects!$C$8+Projects!$D$8),Projects!$B$8*(1-SUMPRODUCT((Curves!$B$4:$AO$4)*(COLUMN(Curves!$B$4:$AO$4)-COLUMN(Curves!$B$4)+1&lt;=40-Projects!$C$8+1))),0)</f>
        <v/>
      </c>
      <c r="AQ11" s="664">
        <f>IF(AND(Projects!$G$8="Yes",Projects!$F$8="Yes",41&gt;=Projects!$C$8,41&lt;Projects!$C$8+Projects!$D$8),Projects!$B$8*(1-SUMPRODUCT((Curves!$B$4:$AO$4)*(COLUMN(Curves!$B$4:$AO$4)-COLUMN(Curves!$B$4)+1&lt;=41-Projects!$C$8+1))),0)</f>
        <v/>
      </c>
      <c r="AR11" s="664">
        <f>IF(AND(Projects!$G$8="Yes",Projects!$F$8="Yes",42&gt;=Projects!$C$8,42&lt;Projects!$C$8+Projects!$D$8),Projects!$B$8*(1-SUMPRODUCT((Curves!$B$4:$AO$4)*(COLUMN(Curves!$B$4:$AO$4)-COLUMN(Curves!$B$4)+1&lt;=42-Projects!$C$8+1))),0)</f>
        <v/>
      </c>
      <c r="AS11" s="664">
        <f>IF(AND(Projects!$G$8="Yes",Projects!$F$8="Yes",43&gt;=Projects!$C$8,43&lt;Projects!$C$8+Projects!$D$8),Projects!$B$8*(1-SUMPRODUCT((Curves!$B$4:$AO$4)*(COLUMN(Curves!$B$4:$AO$4)-COLUMN(Curves!$B$4)+1&lt;=43-Projects!$C$8+1))),0)</f>
        <v/>
      </c>
      <c r="AT11" s="664">
        <f>IF(AND(Projects!$G$8="Yes",Projects!$F$8="Yes",44&gt;=Projects!$C$8,44&lt;Projects!$C$8+Projects!$D$8),Projects!$B$8*(1-SUMPRODUCT((Curves!$B$4:$AO$4)*(COLUMN(Curves!$B$4:$AO$4)-COLUMN(Curves!$B$4)+1&lt;=44-Projects!$C$8+1))),0)</f>
        <v/>
      </c>
      <c r="AU11" s="664">
        <f>IF(AND(Projects!$G$8="Yes",Projects!$F$8="Yes",45&gt;=Projects!$C$8,45&lt;Projects!$C$8+Projects!$D$8),Projects!$B$8*(1-SUMPRODUCT((Curves!$B$4:$AO$4)*(COLUMN(Curves!$B$4:$AO$4)-COLUMN(Curves!$B$4)+1&lt;=45-Projects!$C$8+1))),0)</f>
        <v/>
      </c>
      <c r="AV11" s="664">
        <f>IF(AND(Projects!$G$8="Yes",Projects!$F$8="Yes",46&gt;=Projects!$C$8,46&lt;Projects!$C$8+Projects!$D$8),Projects!$B$8*(1-SUMPRODUCT((Curves!$B$4:$AO$4)*(COLUMN(Curves!$B$4:$AO$4)-COLUMN(Curves!$B$4)+1&lt;=46-Projects!$C$8+1))),0)</f>
        <v/>
      </c>
      <c r="AW11" s="664">
        <f>IF(AND(Projects!$G$8="Yes",Projects!$F$8="Yes",47&gt;=Projects!$C$8,47&lt;Projects!$C$8+Projects!$D$8),Projects!$B$8*(1-SUMPRODUCT((Curves!$B$4:$AO$4)*(COLUMN(Curves!$B$4:$AO$4)-COLUMN(Curves!$B$4)+1&lt;=47-Projects!$C$8+1))),0)</f>
        <v/>
      </c>
      <c r="AX11" s="664">
        <f>IF(AND(Projects!$G$8="Yes",Projects!$F$8="Yes",48&gt;=Projects!$C$8,48&lt;Projects!$C$8+Projects!$D$8),Projects!$B$8*(1-SUMPRODUCT((Curves!$B$4:$AO$4)*(COLUMN(Curves!$B$4:$AO$4)-COLUMN(Curves!$B$4)+1&lt;=48-Projects!$C$8+1))),0)</f>
        <v/>
      </c>
      <c r="AY11" s="664">
        <f>IF(AND(Projects!$G$8="Yes",Projects!$F$8="Yes",49&gt;=Projects!$C$8,49&lt;Projects!$C$8+Projects!$D$8),Projects!$B$8*(1-SUMPRODUCT((Curves!$B$4:$AO$4)*(COLUMN(Curves!$B$4:$AO$4)-COLUMN(Curves!$B$4)+1&lt;=49-Projects!$C$8+1))),0)</f>
        <v/>
      </c>
      <c r="AZ11" s="664">
        <f>IF(AND(Projects!$G$8="Yes",Projects!$F$8="Yes",50&gt;=Projects!$C$8,50&lt;Projects!$C$8+Projects!$D$8),Projects!$B$8*(1-SUMPRODUCT((Curves!$B$4:$AO$4)*(COLUMN(Curves!$B$4:$AO$4)-COLUMN(Curves!$B$4)+1&lt;=50-Projects!$C$8+1))),0)</f>
        <v/>
      </c>
      <c r="BA11" s="664">
        <f>IF(AND(Projects!$G$8="Yes",Projects!$F$8="Yes",51&gt;=Projects!$C$8,51&lt;Projects!$C$8+Projects!$D$8),Projects!$B$8*(1-SUMPRODUCT((Curves!$B$4:$AO$4)*(COLUMN(Curves!$B$4:$AO$4)-COLUMN(Curves!$B$4)+1&lt;=51-Projects!$C$8+1))),0)</f>
        <v/>
      </c>
      <c r="BB11" s="664">
        <f>IF(AND(Projects!$G$8="Yes",Projects!$F$8="Yes",52&gt;=Projects!$C$8,52&lt;Projects!$C$8+Projects!$D$8),Projects!$B$8*(1-SUMPRODUCT((Curves!$B$4:$AO$4)*(COLUMN(Curves!$B$4:$AO$4)-COLUMN(Curves!$B$4)+1&lt;=52-Projects!$C$8+1))),0)</f>
        <v/>
      </c>
      <c r="BC11" s="664">
        <f>IF(AND(Projects!$G$8="Yes",Projects!$F$8="Yes",53&gt;=Projects!$C$8,53&lt;Projects!$C$8+Projects!$D$8),Projects!$B$8*(1-SUMPRODUCT((Curves!$B$4:$AO$4)*(COLUMN(Curves!$B$4:$AO$4)-COLUMN(Curves!$B$4)+1&lt;=53-Projects!$C$8+1))),0)</f>
        <v/>
      </c>
      <c r="BD11" s="664">
        <f>IF(AND(Projects!$G$8="Yes",Projects!$F$8="Yes",54&gt;=Projects!$C$8,54&lt;Projects!$C$8+Projects!$D$8),Projects!$B$8*(1-SUMPRODUCT((Curves!$B$4:$AO$4)*(COLUMN(Curves!$B$4:$AO$4)-COLUMN(Curves!$B$4)+1&lt;=54-Projects!$C$8+1))),0)</f>
        <v/>
      </c>
      <c r="BE11" s="664">
        <f>IF(AND(Projects!$G$8="Yes",Projects!$F$8="Yes",55&gt;=Projects!$C$8,55&lt;Projects!$C$8+Projects!$D$8),Projects!$B$8*(1-SUMPRODUCT((Curves!$B$4:$AO$4)*(COLUMN(Curves!$B$4:$AO$4)-COLUMN(Curves!$B$4)+1&lt;=55-Projects!$C$8+1))),0)</f>
        <v/>
      </c>
      <c r="BF11" s="664">
        <f>IF(AND(Projects!$G$8="Yes",Projects!$F$8="Yes",56&gt;=Projects!$C$8,56&lt;Projects!$C$8+Projects!$D$8),Projects!$B$8*(1-SUMPRODUCT((Curves!$B$4:$AO$4)*(COLUMN(Curves!$B$4:$AO$4)-COLUMN(Curves!$B$4)+1&lt;=56-Projects!$C$8+1))),0)</f>
        <v/>
      </c>
      <c r="BG11" s="664">
        <f>IF(AND(Projects!$G$8="Yes",Projects!$F$8="Yes",57&gt;=Projects!$C$8,57&lt;Projects!$C$8+Projects!$D$8),Projects!$B$8*(1-SUMPRODUCT((Curves!$B$4:$AO$4)*(COLUMN(Curves!$B$4:$AO$4)-COLUMN(Curves!$B$4)+1&lt;=57-Projects!$C$8+1))),0)</f>
        <v/>
      </c>
      <c r="BH11" s="664">
        <f>IF(AND(Projects!$G$8="Yes",Projects!$F$8="Yes",58&gt;=Projects!$C$8,58&lt;Projects!$C$8+Projects!$D$8),Projects!$B$8*(1-SUMPRODUCT((Curves!$B$4:$AO$4)*(COLUMN(Curves!$B$4:$AO$4)-COLUMN(Curves!$B$4)+1&lt;=58-Projects!$C$8+1))),0)</f>
        <v/>
      </c>
      <c r="BI11" s="664">
        <f>IF(AND(Projects!$G$8="Yes",Projects!$F$8="Yes",59&gt;=Projects!$C$8,59&lt;Projects!$C$8+Projects!$D$8),Projects!$B$8*(1-SUMPRODUCT((Curves!$B$4:$AO$4)*(COLUMN(Curves!$B$4:$AO$4)-COLUMN(Curves!$B$4)+1&lt;=59-Projects!$C$8+1))),0)</f>
        <v/>
      </c>
      <c r="BJ11" s="664">
        <f>IF(AND(Projects!$G$8="Yes",Projects!$F$8="Yes",60&gt;=Projects!$C$8,60&lt;Projects!$C$8+Projects!$D$8),Projects!$B$8*(1-SUMPRODUCT((Curves!$B$4:$AO$4)*(COLUMN(Curves!$B$4:$AO$4)-COLUMN(Curves!$B$4)+1&lt;=60-Projects!$C$8+1))),0)</f>
        <v/>
      </c>
      <c r="BK11" s="664">
        <f>IF(AND(Projects!$G$8="Yes",Projects!$F$8="Yes",61&gt;=Projects!$C$8,61&lt;Projects!$C$8+Projects!$D$8),Projects!$B$8*(1-SUMPRODUCT((Curves!$B$4:$AO$4)*(COLUMN(Curves!$B$4:$AO$4)-COLUMN(Curves!$B$4)+1&lt;=61-Projects!$C$8+1))),0)</f>
        <v/>
      </c>
      <c r="BL11" s="664">
        <f>IF(AND(Projects!$G$8="Yes",Projects!$F$8="Yes",62&gt;=Projects!$C$8,62&lt;Projects!$C$8+Projects!$D$8),Projects!$B$8*(1-SUMPRODUCT((Curves!$B$4:$AO$4)*(COLUMN(Curves!$B$4:$AO$4)-COLUMN(Curves!$B$4)+1&lt;=62-Projects!$C$8+1))),0)</f>
        <v/>
      </c>
      <c r="BM11" s="664">
        <f>IF(AND(Projects!$G$8="Yes",Projects!$F$8="Yes",63&gt;=Projects!$C$8,63&lt;Projects!$C$8+Projects!$D$8),Projects!$B$8*(1-SUMPRODUCT((Curves!$B$4:$AO$4)*(COLUMN(Curves!$B$4:$AO$4)-COLUMN(Curves!$B$4)+1&lt;=63-Projects!$C$8+1))),0)</f>
        <v/>
      </c>
      <c r="BN11" s="664">
        <f>IF(AND(Projects!$G$8="Yes",Projects!$F$8="Yes",64&gt;=Projects!$C$8,64&lt;Projects!$C$8+Projects!$D$8),Projects!$B$8*(1-SUMPRODUCT((Curves!$B$4:$AO$4)*(COLUMN(Curves!$B$4:$AO$4)-COLUMN(Curves!$B$4)+1&lt;=64-Projects!$C$8+1))),0)</f>
        <v/>
      </c>
      <c r="BO11" s="664">
        <f>IF(AND(Projects!$G$8="Yes",Projects!$F$8="Yes",65&gt;=Projects!$C$8,65&lt;Projects!$C$8+Projects!$D$8),Projects!$B$8*(1-SUMPRODUCT((Curves!$B$4:$AO$4)*(COLUMN(Curves!$B$4:$AO$4)-COLUMN(Curves!$B$4)+1&lt;=65-Projects!$C$8+1))),0)</f>
        <v/>
      </c>
      <c r="BP11" s="664">
        <f>IF(AND(Projects!$G$8="Yes",Projects!$F$8="Yes",66&gt;=Projects!$C$8,66&lt;Projects!$C$8+Projects!$D$8),Projects!$B$8*(1-SUMPRODUCT((Curves!$B$4:$AO$4)*(COLUMN(Curves!$B$4:$AO$4)-COLUMN(Curves!$B$4)+1&lt;=66-Projects!$C$8+1))),0)</f>
        <v/>
      </c>
      <c r="BQ11" s="664">
        <f>IF(AND(Projects!$G$8="Yes",Projects!$F$8="Yes",67&gt;=Projects!$C$8,67&lt;Projects!$C$8+Projects!$D$8),Projects!$B$8*(1-SUMPRODUCT((Curves!$B$4:$AO$4)*(COLUMN(Curves!$B$4:$AO$4)-COLUMN(Curves!$B$4)+1&lt;=67-Projects!$C$8+1))),0)</f>
        <v/>
      </c>
      <c r="BR11" s="664">
        <f>IF(AND(Projects!$G$8="Yes",Projects!$F$8="Yes",68&gt;=Projects!$C$8,68&lt;Projects!$C$8+Projects!$D$8),Projects!$B$8*(1-SUMPRODUCT((Curves!$B$4:$AO$4)*(COLUMN(Curves!$B$4:$AO$4)-COLUMN(Curves!$B$4)+1&lt;=68-Projects!$C$8+1))),0)</f>
        <v/>
      </c>
      <c r="BS11" s="664">
        <f>IF(AND(Projects!$G$8="Yes",Projects!$F$8="Yes",69&gt;=Projects!$C$8,69&lt;Projects!$C$8+Projects!$D$8),Projects!$B$8*(1-SUMPRODUCT((Curves!$B$4:$AO$4)*(COLUMN(Curves!$B$4:$AO$4)-COLUMN(Curves!$B$4)+1&lt;=69-Projects!$C$8+1))),0)</f>
        <v/>
      </c>
      <c r="BT11" s="664">
        <f>IF(AND(Projects!$G$8="Yes",Projects!$F$8="Yes",70&gt;=Projects!$C$8,70&lt;Projects!$C$8+Projects!$D$8),Projects!$B$8*(1-SUMPRODUCT((Curves!$B$4:$AO$4)*(COLUMN(Curves!$B$4:$AO$4)-COLUMN(Curves!$B$4)+1&lt;=70-Projects!$C$8+1))),0)</f>
        <v/>
      </c>
      <c r="BU11" s="664">
        <f>IF(AND(Projects!$G$8="Yes",Projects!$F$8="Yes",71&gt;=Projects!$C$8,71&lt;Projects!$C$8+Projects!$D$8),Projects!$B$8*(1-SUMPRODUCT((Curves!$B$4:$AO$4)*(COLUMN(Curves!$B$4:$AO$4)-COLUMN(Curves!$B$4)+1&lt;=71-Projects!$C$8+1))),0)</f>
        <v/>
      </c>
      <c r="BV11" s="664">
        <f>IF(AND(Projects!$G$8="Yes",Projects!$F$8="Yes",72&gt;=Projects!$C$8,72&lt;Projects!$C$8+Projects!$D$8),Projects!$B$8*(1-SUMPRODUCT((Curves!$B$4:$AO$4)*(COLUMN(Curves!$B$4:$AO$4)-COLUMN(Curves!$B$4)+1&lt;=72-Projects!$C$8+1))),0)</f>
        <v/>
      </c>
      <c r="BW11" s="664">
        <f>IF(AND(Projects!$G$8="Yes",Projects!$F$8="Yes",73&gt;=Projects!$C$8,73&lt;Projects!$C$8+Projects!$D$8),Projects!$B$8*(1-SUMPRODUCT((Curves!$B$4:$AO$4)*(COLUMN(Curves!$B$4:$AO$4)-COLUMN(Curves!$B$4)+1&lt;=73-Projects!$C$8+1))),0)</f>
        <v/>
      </c>
      <c r="BX11" s="664">
        <f>IF(AND(Projects!$G$8="Yes",Projects!$F$8="Yes",74&gt;=Projects!$C$8,74&lt;Projects!$C$8+Projects!$D$8),Projects!$B$8*(1-SUMPRODUCT((Curves!$B$4:$AO$4)*(COLUMN(Curves!$B$4:$AO$4)-COLUMN(Curves!$B$4)+1&lt;=74-Projects!$C$8+1))),0)</f>
        <v/>
      </c>
      <c r="BY11" s="664">
        <f>IF(AND(Projects!$G$8="Yes",Projects!$F$8="Yes",75&gt;=Projects!$C$8,75&lt;Projects!$C$8+Projects!$D$8),Projects!$B$8*(1-SUMPRODUCT((Curves!$B$4:$AO$4)*(COLUMN(Curves!$B$4:$AO$4)-COLUMN(Curves!$B$4)+1&lt;=75-Projects!$C$8+1))),0)</f>
        <v/>
      </c>
      <c r="BZ11" s="664">
        <f>IF(AND(Projects!$G$8="Yes",Projects!$F$8="Yes",76&gt;=Projects!$C$8,76&lt;Projects!$C$8+Projects!$D$8),Projects!$B$8*(1-SUMPRODUCT((Curves!$B$4:$AO$4)*(COLUMN(Curves!$B$4:$AO$4)-COLUMN(Curves!$B$4)+1&lt;=76-Projects!$C$8+1))),0)</f>
        <v/>
      </c>
      <c r="CA11" s="664">
        <f>IF(AND(Projects!$G$8="Yes",Projects!$F$8="Yes",77&gt;=Projects!$C$8,77&lt;Projects!$C$8+Projects!$D$8),Projects!$B$8*(1-SUMPRODUCT((Curves!$B$4:$AO$4)*(COLUMN(Curves!$B$4:$AO$4)-COLUMN(Curves!$B$4)+1&lt;=77-Projects!$C$8+1))),0)</f>
        <v/>
      </c>
      <c r="CB11" s="664">
        <f>IF(AND(Projects!$G$8="Yes",Projects!$F$8="Yes",78&gt;=Projects!$C$8,78&lt;Projects!$C$8+Projects!$D$8),Projects!$B$8*(1-SUMPRODUCT((Curves!$B$4:$AO$4)*(COLUMN(Curves!$B$4:$AO$4)-COLUMN(Curves!$B$4)+1&lt;=78-Projects!$C$8+1))),0)</f>
        <v/>
      </c>
      <c r="CC11" s="664">
        <f>IF(AND(Projects!$G$8="Yes",Projects!$F$8="Yes",79&gt;=Projects!$C$8,79&lt;Projects!$C$8+Projects!$D$8),Projects!$B$8*(1-SUMPRODUCT((Curves!$B$4:$AO$4)*(COLUMN(Curves!$B$4:$AO$4)-COLUMN(Curves!$B$4)+1&lt;=79-Projects!$C$8+1))),0)</f>
        <v/>
      </c>
      <c r="CD11" s="664">
        <f>IF(AND(Projects!$G$8="Yes",Projects!$F$8="Yes",80&gt;=Projects!$C$8,80&lt;Projects!$C$8+Projects!$D$8),Projects!$B$8*(1-SUMPRODUCT((Curves!$B$4:$AO$4)*(COLUMN(Curves!$B$4:$AO$4)-COLUMN(Curves!$B$4)+1&lt;=80-Projects!$C$8+1))),0)</f>
        <v/>
      </c>
      <c r="CE11" s="664">
        <f>IF(AND(Projects!$G$8="Yes",Projects!$F$8="Yes",81&gt;=Projects!$C$8,81&lt;Projects!$C$8+Projects!$D$8),Projects!$B$8*(1-SUMPRODUCT((Curves!$B$4:$AO$4)*(COLUMN(Curves!$B$4:$AO$4)-COLUMN(Curves!$B$4)+1&lt;=81-Projects!$C$8+1))),0)</f>
        <v/>
      </c>
      <c r="CF11" s="664">
        <f>IF(AND(Projects!$G$8="Yes",Projects!$F$8="Yes",82&gt;=Projects!$C$8,82&lt;Projects!$C$8+Projects!$D$8),Projects!$B$8*(1-SUMPRODUCT((Curves!$B$4:$AO$4)*(COLUMN(Curves!$B$4:$AO$4)-COLUMN(Curves!$B$4)+1&lt;=82-Projects!$C$8+1))),0)</f>
        <v/>
      </c>
      <c r="CG11" s="664">
        <f>IF(AND(Projects!$G$8="Yes",Projects!$F$8="Yes",83&gt;=Projects!$C$8,83&lt;Projects!$C$8+Projects!$D$8),Projects!$B$8*(1-SUMPRODUCT((Curves!$B$4:$AO$4)*(COLUMN(Curves!$B$4:$AO$4)-COLUMN(Curves!$B$4)+1&lt;=83-Projects!$C$8+1))),0)</f>
        <v/>
      </c>
      <c r="CH11" s="664">
        <f>IF(AND(Projects!$G$8="Yes",Projects!$F$8="Yes",84&gt;=Projects!$C$8,84&lt;Projects!$C$8+Projects!$D$8),Projects!$B$8*(1-SUMPRODUCT((Curves!$B$4:$AO$4)*(COLUMN(Curves!$B$4:$AO$4)-COLUMN(Curves!$B$4)+1&lt;=84-Projects!$C$8+1))),0)</f>
        <v/>
      </c>
      <c r="CI11" s="664">
        <f>IF(AND(Projects!$G$8="Yes",Projects!$F$8="Yes",85&gt;=Projects!$C$8,85&lt;Projects!$C$8+Projects!$D$8),Projects!$B$8*(1-SUMPRODUCT((Curves!$B$4:$AO$4)*(COLUMN(Curves!$B$4:$AO$4)-COLUMN(Curves!$B$4)+1&lt;=85-Projects!$C$8+1))),0)</f>
        <v/>
      </c>
      <c r="CJ11" s="664">
        <f>IF(AND(Projects!$G$8="Yes",Projects!$F$8="Yes",86&gt;=Projects!$C$8,86&lt;Projects!$C$8+Projects!$D$8),Projects!$B$8*(1-SUMPRODUCT((Curves!$B$4:$AO$4)*(COLUMN(Curves!$B$4:$AO$4)-COLUMN(Curves!$B$4)+1&lt;=86-Projects!$C$8+1))),0)</f>
        <v/>
      </c>
      <c r="CK11" s="664">
        <f>IF(AND(Projects!$G$8="Yes",Projects!$F$8="Yes",87&gt;=Projects!$C$8,87&lt;Projects!$C$8+Projects!$D$8),Projects!$B$8*(1-SUMPRODUCT((Curves!$B$4:$AO$4)*(COLUMN(Curves!$B$4:$AO$4)-COLUMN(Curves!$B$4)+1&lt;=87-Projects!$C$8+1))),0)</f>
        <v/>
      </c>
      <c r="CL11" s="664">
        <f>IF(AND(Projects!$G$8="Yes",Projects!$F$8="Yes",88&gt;=Projects!$C$8,88&lt;Projects!$C$8+Projects!$D$8),Projects!$B$8*(1-SUMPRODUCT((Curves!$B$4:$AO$4)*(COLUMN(Curves!$B$4:$AO$4)-COLUMN(Curves!$B$4)+1&lt;=88-Projects!$C$8+1))),0)</f>
        <v/>
      </c>
      <c r="CM11" s="664">
        <f>IF(AND(Projects!$G$8="Yes",Projects!$F$8="Yes",89&gt;=Projects!$C$8,89&lt;Projects!$C$8+Projects!$D$8),Projects!$B$8*(1-SUMPRODUCT((Curves!$B$4:$AO$4)*(COLUMN(Curves!$B$4:$AO$4)-COLUMN(Curves!$B$4)+1&lt;=89-Projects!$C$8+1))),0)</f>
        <v/>
      </c>
      <c r="CN11" s="664">
        <f>IF(AND(Projects!$G$8="Yes",Projects!$F$8="Yes",90&gt;=Projects!$C$8,90&lt;Projects!$C$8+Projects!$D$8),Projects!$B$8*(1-SUMPRODUCT((Curves!$B$4:$AO$4)*(COLUMN(Curves!$B$4:$AO$4)-COLUMN(Curves!$B$4)+1&lt;=90-Projects!$C$8+1))),0)</f>
        <v/>
      </c>
      <c r="CO11" s="664">
        <f>IF(AND(Projects!$G$8="Yes",Projects!$F$8="Yes",91&gt;=Projects!$C$8,91&lt;Projects!$C$8+Projects!$D$8),Projects!$B$8*(1-SUMPRODUCT((Curves!$B$4:$AO$4)*(COLUMN(Curves!$B$4:$AO$4)-COLUMN(Curves!$B$4)+1&lt;=91-Projects!$C$8+1))),0)</f>
        <v/>
      </c>
      <c r="CP11" s="664">
        <f>IF(AND(Projects!$G$8="Yes",Projects!$F$8="Yes",92&gt;=Projects!$C$8,92&lt;Projects!$C$8+Projects!$D$8),Projects!$B$8*(1-SUMPRODUCT((Curves!$B$4:$AO$4)*(COLUMN(Curves!$B$4:$AO$4)-COLUMN(Curves!$B$4)+1&lt;=92-Projects!$C$8+1))),0)</f>
        <v/>
      </c>
      <c r="CQ11" s="664">
        <f>IF(AND(Projects!$G$8="Yes",Projects!$F$8="Yes",93&gt;=Projects!$C$8,93&lt;Projects!$C$8+Projects!$D$8),Projects!$B$8*(1-SUMPRODUCT((Curves!$B$4:$AO$4)*(COLUMN(Curves!$B$4:$AO$4)-COLUMN(Curves!$B$4)+1&lt;=93-Projects!$C$8+1))),0)</f>
        <v/>
      </c>
    </row>
    <row r="12" ht="15" customFormat="1" customHeight="1" s="380">
      <c r="A12" s="550" t="inlineStr">
        <is>
          <t>Denny</t>
        </is>
      </c>
      <c r="C12" s="664">
        <f>IF(AND(Projects!$G$9="Yes",Projects!$F$9="Yes",1&gt;=Projects!$C$9,1&lt;Projects!$C$9+Projects!$D$9),Projects!$B$9*(1-SUMPRODUCT((Curves!$B$2:$AO$2)*(COLUMN(Curves!$B$2:$AO$2)-COLUMN(Curves!$B$2)+1&lt;=1-Projects!$C$9+1))),0)</f>
        <v/>
      </c>
      <c r="D12" s="664">
        <f>IF(AND(Projects!$G$9="Yes",Projects!$F$9="Yes",2&gt;=Projects!$C$9,2&lt;Projects!$C$9+Projects!$D$9),Projects!$B$9*(1-SUMPRODUCT((Curves!$B$2:$AO$2)*(COLUMN(Curves!$B$2:$AO$2)-COLUMN(Curves!$B$2)+1&lt;=2-Projects!$C$9+1))),0)</f>
        <v/>
      </c>
      <c r="E12" s="664">
        <f>IF(AND(Projects!$G$9="Yes",Projects!$F$9="Yes",3&gt;=Projects!$C$9,3&lt;Projects!$C$9+Projects!$D$9),Projects!$B$9*(1-SUMPRODUCT((Curves!$B$2:$AO$2)*(COLUMN(Curves!$B$2:$AO$2)-COLUMN(Curves!$B$2)+1&lt;=3-Projects!$C$9+1))),0)</f>
        <v/>
      </c>
      <c r="F12" s="664">
        <f>IF(AND(Projects!$G$9="Yes",Projects!$F$9="Yes",4&gt;=Projects!$C$9,4&lt;Projects!$C$9+Projects!$D$9),Projects!$B$9*(1-SUMPRODUCT((Curves!$B$2:$AO$2)*(COLUMN(Curves!$B$2:$AO$2)-COLUMN(Curves!$B$2)+1&lt;=4-Projects!$C$9+1))),0)</f>
        <v/>
      </c>
      <c r="G12" s="664">
        <f>IF(AND(Projects!$G$9="Yes",Projects!$F$9="Yes",5&gt;=Projects!$C$9,5&lt;Projects!$C$9+Projects!$D$9),Projects!$B$9*(1-SUMPRODUCT((Curves!$B$2:$AO$2)*(COLUMN(Curves!$B$2:$AO$2)-COLUMN(Curves!$B$2)+1&lt;=5-Projects!$C$9+1))),0)</f>
        <v/>
      </c>
      <c r="H12" s="664">
        <f>IF(AND(Projects!$G$9="Yes",Projects!$F$9="Yes",6&gt;=Projects!$C$9,6&lt;Projects!$C$9+Projects!$D$9),Projects!$B$9*(1-SUMPRODUCT((Curves!$B$2:$AO$2)*(COLUMN(Curves!$B$2:$AO$2)-COLUMN(Curves!$B$2)+1&lt;=6-Projects!$C$9+1))),0)</f>
        <v/>
      </c>
      <c r="I12" s="664">
        <f>IF(AND(Projects!$G$9="Yes",Projects!$F$9="Yes",7&gt;=Projects!$C$9,7&lt;Projects!$C$9+Projects!$D$9),Projects!$B$9*(1-SUMPRODUCT((Curves!$B$2:$AO$2)*(COLUMN(Curves!$B$2:$AO$2)-COLUMN(Curves!$B$2)+1&lt;=7-Projects!$C$9+1))),0)</f>
        <v/>
      </c>
      <c r="J12" s="664">
        <f>IF(AND(Projects!$G$9="Yes",Projects!$F$9="Yes",8&gt;=Projects!$C$9,8&lt;Projects!$C$9+Projects!$D$9),Projects!$B$9*(1-SUMPRODUCT((Curves!$B$2:$AO$2)*(COLUMN(Curves!$B$2:$AO$2)-COLUMN(Curves!$B$2)+1&lt;=8-Projects!$C$9+1))),0)</f>
        <v/>
      </c>
      <c r="K12" s="664">
        <f>IF(AND(Projects!$G$9="Yes",Projects!$F$9="Yes",9&gt;=Projects!$C$9,9&lt;Projects!$C$9+Projects!$D$9),Projects!$B$9*(1-SUMPRODUCT((Curves!$B$2:$AO$2)*(COLUMN(Curves!$B$2:$AO$2)-COLUMN(Curves!$B$2)+1&lt;=9-Projects!$C$9+1))),0)</f>
        <v/>
      </c>
      <c r="L12" s="664">
        <f>IF(AND(Projects!$G$9="Yes",Projects!$F$9="Yes",10&gt;=Projects!$C$9,10&lt;Projects!$C$9+Projects!$D$9),Projects!$B$9*(1-SUMPRODUCT((Curves!$B$2:$AO$2)*(COLUMN(Curves!$B$2:$AO$2)-COLUMN(Curves!$B$2)+1&lt;=10-Projects!$C$9+1))),0)</f>
        <v/>
      </c>
      <c r="M12" s="664">
        <f>IF(AND(Projects!$G$9="Yes",Projects!$F$9="Yes",11&gt;=Projects!$C$9,11&lt;Projects!$C$9+Projects!$D$9),Projects!$B$9*(1-SUMPRODUCT((Curves!$B$2:$AO$2)*(COLUMN(Curves!$B$2:$AO$2)-COLUMN(Curves!$B$2)+1&lt;=11-Projects!$C$9+1))),0)</f>
        <v/>
      </c>
      <c r="N12" s="664">
        <f>IF(AND(Projects!$G$9="Yes",Projects!$F$9="Yes",12&gt;=Projects!$C$9,12&lt;Projects!$C$9+Projects!$D$9),Projects!$B$9*(1-SUMPRODUCT((Curves!$B$2:$AO$2)*(COLUMN(Curves!$B$2:$AO$2)-COLUMN(Curves!$B$2)+1&lt;=12-Projects!$C$9+1))),0)</f>
        <v/>
      </c>
      <c r="O12" s="664">
        <f>IF(AND(Projects!$G$9="Yes",Projects!$F$9="Yes",13&gt;=Projects!$C$9,13&lt;Projects!$C$9+Projects!$D$9),Projects!$B$9*(1-SUMPRODUCT((Curves!$B$2:$AO$2)*(COLUMN(Curves!$B$2:$AO$2)-COLUMN(Curves!$B$2)+1&lt;=13-Projects!$C$9+1))),0)</f>
        <v/>
      </c>
      <c r="P12" s="664">
        <f>IF(AND(Projects!$G$9="Yes",Projects!$F$9="Yes",14&gt;=Projects!$C$9,14&lt;Projects!$C$9+Projects!$D$9),Projects!$B$9*(1-SUMPRODUCT((Curves!$B$2:$AO$2)*(COLUMN(Curves!$B$2:$AO$2)-COLUMN(Curves!$B$2)+1&lt;=14-Projects!$C$9+1))),0)</f>
        <v/>
      </c>
      <c r="Q12" s="664">
        <f>IF(AND(Projects!$G$9="Yes",Projects!$F$9="Yes",15&gt;=Projects!$C$9,15&lt;Projects!$C$9+Projects!$D$9),Projects!$B$9*(1-SUMPRODUCT((Curves!$B$2:$AO$2)*(COLUMN(Curves!$B$2:$AO$2)-COLUMN(Curves!$B$2)+1&lt;=15-Projects!$C$9+1))),0)</f>
        <v/>
      </c>
      <c r="R12" s="664">
        <f>IF(AND(Projects!$G$9="Yes",Projects!$F$9="Yes",16&gt;=Projects!$C$9,16&lt;Projects!$C$9+Projects!$D$9),Projects!$B$9*(1-SUMPRODUCT((Curves!$B$2:$AO$2)*(COLUMN(Curves!$B$2:$AO$2)-COLUMN(Curves!$B$2)+1&lt;=16-Projects!$C$9+1))),0)</f>
        <v/>
      </c>
      <c r="S12" s="664">
        <f>IF(AND(Projects!$G$9="Yes",Projects!$F$9="Yes",17&gt;=Projects!$C$9,17&lt;Projects!$C$9+Projects!$D$9),Projects!$B$9*(1-SUMPRODUCT((Curves!$B$2:$AO$2)*(COLUMN(Curves!$B$2:$AO$2)-COLUMN(Curves!$B$2)+1&lt;=17-Projects!$C$9+1))),0)</f>
        <v/>
      </c>
      <c r="T12" s="664">
        <f>IF(AND(Projects!$G$9="Yes",Projects!$F$9="Yes",18&gt;=Projects!$C$9,18&lt;Projects!$C$9+Projects!$D$9),Projects!$B$9*(1-SUMPRODUCT((Curves!$B$2:$AO$2)*(COLUMN(Curves!$B$2:$AO$2)-COLUMN(Curves!$B$2)+1&lt;=18-Projects!$C$9+1))),0)</f>
        <v/>
      </c>
      <c r="U12" s="664">
        <f>IF(AND(Projects!$G$9="Yes",Projects!$F$9="Yes",19&gt;=Projects!$C$9,19&lt;Projects!$C$9+Projects!$D$9),Projects!$B$9*(1-SUMPRODUCT((Curves!$B$2:$AO$2)*(COLUMN(Curves!$B$2:$AO$2)-COLUMN(Curves!$B$2)+1&lt;=19-Projects!$C$9+1))),0)</f>
        <v/>
      </c>
      <c r="V12" s="664">
        <f>IF(AND(Projects!$G$9="Yes",Projects!$F$9="Yes",20&gt;=Projects!$C$9,20&lt;Projects!$C$9+Projects!$D$9),Projects!$B$9*(1-SUMPRODUCT((Curves!$B$2:$AO$2)*(COLUMN(Curves!$B$2:$AO$2)-COLUMN(Curves!$B$2)+1&lt;=20-Projects!$C$9+1))),0)</f>
        <v/>
      </c>
      <c r="W12" s="664">
        <f>IF(AND(Projects!$G$9="Yes",Projects!$F$9="Yes",21&gt;=Projects!$C$9,21&lt;Projects!$C$9+Projects!$D$9),Projects!$B$9*(1-SUMPRODUCT((Curves!$B$2:$AO$2)*(COLUMN(Curves!$B$2:$AO$2)-COLUMN(Curves!$B$2)+1&lt;=21-Projects!$C$9+1))),0)</f>
        <v/>
      </c>
      <c r="X12" s="664">
        <f>IF(AND(Projects!$G$9="Yes",Projects!$F$9="Yes",22&gt;=Projects!$C$9,22&lt;Projects!$C$9+Projects!$D$9),Projects!$B$9*(1-SUMPRODUCT((Curves!$B$2:$AO$2)*(COLUMN(Curves!$B$2:$AO$2)-COLUMN(Curves!$B$2)+1&lt;=22-Projects!$C$9+1))),0)</f>
        <v/>
      </c>
      <c r="Y12" s="664">
        <f>IF(AND(Projects!$G$9="Yes",Projects!$F$9="Yes",23&gt;=Projects!$C$9,23&lt;Projects!$C$9+Projects!$D$9),Projects!$B$9*(1-SUMPRODUCT((Curves!$B$2:$AO$2)*(COLUMN(Curves!$B$2:$AO$2)-COLUMN(Curves!$B$2)+1&lt;=23-Projects!$C$9+1))),0)</f>
        <v/>
      </c>
      <c r="Z12" s="664">
        <f>IF(AND(Projects!$G$9="Yes",Projects!$F$9="Yes",24&gt;=Projects!$C$9,24&lt;Projects!$C$9+Projects!$D$9),Projects!$B$9*(1-SUMPRODUCT((Curves!$B$2:$AO$2)*(COLUMN(Curves!$B$2:$AO$2)-COLUMN(Curves!$B$2)+1&lt;=24-Projects!$C$9+1))),0)</f>
        <v/>
      </c>
      <c r="AA12" s="664">
        <f>IF(AND(Projects!$G$9="Yes",Projects!$F$9="Yes",25&gt;=Projects!$C$9,25&lt;Projects!$C$9+Projects!$D$9),Projects!$B$9*(1-SUMPRODUCT((Curves!$B$2:$AO$2)*(COLUMN(Curves!$B$2:$AO$2)-COLUMN(Curves!$B$2)+1&lt;=25-Projects!$C$9+1))),0)</f>
        <v/>
      </c>
      <c r="AB12" s="664">
        <f>IF(AND(Projects!$G$9="Yes",Projects!$F$9="Yes",26&gt;=Projects!$C$9,26&lt;Projects!$C$9+Projects!$D$9),Projects!$B$9*(1-SUMPRODUCT((Curves!$B$2:$AO$2)*(COLUMN(Curves!$B$2:$AO$2)-COLUMN(Curves!$B$2)+1&lt;=26-Projects!$C$9+1))),0)</f>
        <v/>
      </c>
      <c r="AC12" s="664">
        <f>IF(AND(Projects!$G$9="Yes",Projects!$F$9="Yes",27&gt;=Projects!$C$9,27&lt;Projects!$C$9+Projects!$D$9),Projects!$B$9*(1-SUMPRODUCT((Curves!$B$2:$AO$2)*(COLUMN(Curves!$B$2:$AO$2)-COLUMN(Curves!$B$2)+1&lt;=27-Projects!$C$9+1))),0)</f>
        <v/>
      </c>
      <c r="AD12" s="664">
        <f>IF(AND(Projects!$G$9="Yes",Projects!$F$9="Yes",28&gt;=Projects!$C$9,28&lt;Projects!$C$9+Projects!$D$9),Projects!$B$9*(1-SUMPRODUCT((Curves!$B$2:$AO$2)*(COLUMN(Curves!$B$2:$AO$2)-COLUMN(Curves!$B$2)+1&lt;=28-Projects!$C$9+1))),0)</f>
        <v/>
      </c>
      <c r="AE12" s="664">
        <f>IF(AND(Projects!$G$9="Yes",Projects!$F$9="Yes",29&gt;=Projects!$C$9,29&lt;Projects!$C$9+Projects!$D$9),Projects!$B$9*(1-SUMPRODUCT((Curves!$B$2:$AO$2)*(COLUMN(Curves!$B$2:$AO$2)-COLUMN(Curves!$B$2)+1&lt;=29-Projects!$C$9+1))),0)</f>
        <v/>
      </c>
      <c r="AF12" s="664">
        <f>IF(AND(Projects!$G$9="Yes",Projects!$F$9="Yes",30&gt;=Projects!$C$9,30&lt;Projects!$C$9+Projects!$D$9),Projects!$B$9*(1-SUMPRODUCT((Curves!$B$2:$AO$2)*(COLUMN(Curves!$B$2:$AO$2)-COLUMN(Curves!$B$2)+1&lt;=30-Projects!$C$9+1))),0)</f>
        <v/>
      </c>
      <c r="AG12" s="664">
        <f>IF(AND(Projects!$G$9="Yes",Projects!$F$9="Yes",31&gt;=Projects!$C$9,31&lt;Projects!$C$9+Projects!$D$9),Projects!$B$9*(1-SUMPRODUCT((Curves!$B$2:$AO$2)*(COLUMN(Curves!$B$2:$AO$2)-COLUMN(Curves!$B$2)+1&lt;=31-Projects!$C$9+1))),0)</f>
        <v/>
      </c>
      <c r="AH12" s="664">
        <f>IF(AND(Projects!$G$9="Yes",Projects!$F$9="Yes",32&gt;=Projects!$C$9,32&lt;Projects!$C$9+Projects!$D$9),Projects!$B$9*(1-SUMPRODUCT((Curves!$B$2:$AO$2)*(COLUMN(Curves!$B$2:$AO$2)-COLUMN(Curves!$B$2)+1&lt;=32-Projects!$C$9+1))),0)</f>
        <v/>
      </c>
      <c r="AI12" s="664">
        <f>IF(AND(Projects!$G$9="Yes",Projects!$F$9="Yes",33&gt;=Projects!$C$9,33&lt;Projects!$C$9+Projects!$D$9),Projects!$B$9*(1-SUMPRODUCT((Curves!$B$2:$AO$2)*(COLUMN(Curves!$B$2:$AO$2)-COLUMN(Curves!$B$2)+1&lt;=33-Projects!$C$9+1))),0)</f>
        <v/>
      </c>
      <c r="AJ12" s="664">
        <f>IF(AND(Projects!$G$9="Yes",Projects!$F$9="Yes",34&gt;=Projects!$C$9,34&lt;Projects!$C$9+Projects!$D$9),Projects!$B$9*(1-SUMPRODUCT((Curves!$B$2:$AO$2)*(COLUMN(Curves!$B$2:$AO$2)-COLUMN(Curves!$B$2)+1&lt;=34-Projects!$C$9+1))),0)</f>
        <v/>
      </c>
      <c r="AK12" s="664">
        <f>IF(AND(Projects!$G$9="Yes",Projects!$F$9="Yes",35&gt;=Projects!$C$9,35&lt;Projects!$C$9+Projects!$D$9),Projects!$B$9*(1-SUMPRODUCT((Curves!$B$2:$AO$2)*(COLUMN(Curves!$B$2:$AO$2)-COLUMN(Curves!$B$2)+1&lt;=35-Projects!$C$9+1))),0)</f>
        <v/>
      </c>
      <c r="AL12" s="664">
        <f>IF(AND(Projects!$G$9="Yes",Projects!$F$9="Yes",36&gt;=Projects!$C$9,36&lt;Projects!$C$9+Projects!$D$9),Projects!$B$9*(1-SUMPRODUCT((Curves!$B$2:$AO$2)*(COLUMN(Curves!$B$2:$AO$2)-COLUMN(Curves!$B$2)+1&lt;=36-Projects!$C$9+1))),0)</f>
        <v/>
      </c>
      <c r="AM12" s="664">
        <f>IF(AND(Projects!$G$9="Yes",Projects!$F$9="Yes",37&gt;=Projects!$C$9,37&lt;Projects!$C$9+Projects!$D$9),Projects!$B$9*(1-SUMPRODUCT((Curves!$B$2:$AO$2)*(COLUMN(Curves!$B$2:$AO$2)-COLUMN(Curves!$B$2)+1&lt;=37-Projects!$C$9+1))),0)</f>
        <v/>
      </c>
      <c r="AN12" s="664">
        <f>IF(AND(Projects!$G$9="Yes",Projects!$F$9="Yes",38&gt;=Projects!$C$9,38&lt;Projects!$C$9+Projects!$D$9),Projects!$B$9*(1-SUMPRODUCT((Curves!$B$2:$AO$2)*(COLUMN(Curves!$B$2:$AO$2)-COLUMN(Curves!$B$2)+1&lt;=38-Projects!$C$9+1))),0)</f>
        <v/>
      </c>
      <c r="AO12" s="664">
        <f>IF(AND(Projects!$G$9="Yes",Projects!$F$9="Yes",39&gt;=Projects!$C$9,39&lt;Projects!$C$9+Projects!$D$9),Projects!$B$9*(1-SUMPRODUCT((Curves!$B$2:$AO$2)*(COLUMN(Curves!$B$2:$AO$2)-COLUMN(Curves!$B$2)+1&lt;=39-Projects!$C$9+1))),0)</f>
        <v/>
      </c>
      <c r="AP12" s="664">
        <f>IF(AND(Projects!$G$9="Yes",Projects!$F$9="Yes",40&gt;=Projects!$C$9,40&lt;Projects!$C$9+Projects!$D$9),Projects!$B$9*(1-SUMPRODUCT((Curves!$B$2:$AO$2)*(COLUMN(Curves!$B$2:$AO$2)-COLUMN(Curves!$B$2)+1&lt;=40-Projects!$C$9+1))),0)</f>
        <v/>
      </c>
      <c r="AQ12" s="664">
        <f>IF(AND(Projects!$G$9="Yes",Projects!$F$9="Yes",41&gt;=Projects!$C$9,41&lt;Projects!$C$9+Projects!$D$9),Projects!$B$9*(1-SUMPRODUCT((Curves!$B$2:$AO$2)*(COLUMN(Curves!$B$2:$AO$2)-COLUMN(Curves!$B$2)+1&lt;=41-Projects!$C$9+1))),0)</f>
        <v/>
      </c>
      <c r="AR12" s="664">
        <f>IF(AND(Projects!$G$9="Yes",Projects!$F$9="Yes",42&gt;=Projects!$C$9,42&lt;Projects!$C$9+Projects!$D$9),Projects!$B$9*(1-SUMPRODUCT((Curves!$B$2:$AO$2)*(COLUMN(Curves!$B$2:$AO$2)-COLUMN(Curves!$B$2)+1&lt;=42-Projects!$C$9+1))),0)</f>
        <v/>
      </c>
      <c r="AS12" s="664">
        <f>IF(AND(Projects!$G$9="Yes",Projects!$F$9="Yes",43&gt;=Projects!$C$9,43&lt;Projects!$C$9+Projects!$D$9),Projects!$B$9*(1-SUMPRODUCT((Curves!$B$2:$AO$2)*(COLUMN(Curves!$B$2:$AO$2)-COLUMN(Curves!$B$2)+1&lt;=43-Projects!$C$9+1))),0)</f>
        <v/>
      </c>
      <c r="AT12" s="664">
        <f>IF(AND(Projects!$G$9="Yes",Projects!$F$9="Yes",44&gt;=Projects!$C$9,44&lt;Projects!$C$9+Projects!$D$9),Projects!$B$9*(1-SUMPRODUCT((Curves!$B$2:$AO$2)*(COLUMN(Curves!$B$2:$AO$2)-COLUMN(Curves!$B$2)+1&lt;=44-Projects!$C$9+1))),0)</f>
        <v/>
      </c>
      <c r="AU12" s="664">
        <f>IF(AND(Projects!$G$9="Yes",Projects!$F$9="Yes",45&gt;=Projects!$C$9,45&lt;Projects!$C$9+Projects!$D$9),Projects!$B$9*(1-SUMPRODUCT((Curves!$B$2:$AO$2)*(COLUMN(Curves!$B$2:$AO$2)-COLUMN(Curves!$B$2)+1&lt;=45-Projects!$C$9+1))),0)</f>
        <v/>
      </c>
      <c r="AV12" s="664">
        <f>IF(AND(Projects!$G$9="Yes",Projects!$F$9="Yes",46&gt;=Projects!$C$9,46&lt;Projects!$C$9+Projects!$D$9),Projects!$B$9*(1-SUMPRODUCT((Curves!$B$2:$AO$2)*(COLUMN(Curves!$B$2:$AO$2)-COLUMN(Curves!$B$2)+1&lt;=46-Projects!$C$9+1))),0)</f>
        <v/>
      </c>
      <c r="AW12" s="664">
        <f>IF(AND(Projects!$G$9="Yes",Projects!$F$9="Yes",47&gt;=Projects!$C$9,47&lt;Projects!$C$9+Projects!$D$9),Projects!$B$9*(1-SUMPRODUCT((Curves!$B$2:$AO$2)*(COLUMN(Curves!$B$2:$AO$2)-COLUMN(Curves!$B$2)+1&lt;=47-Projects!$C$9+1))),0)</f>
        <v/>
      </c>
      <c r="AX12" s="664">
        <f>IF(AND(Projects!$G$9="Yes",Projects!$F$9="Yes",48&gt;=Projects!$C$9,48&lt;Projects!$C$9+Projects!$D$9),Projects!$B$9*(1-SUMPRODUCT((Curves!$B$2:$AO$2)*(COLUMN(Curves!$B$2:$AO$2)-COLUMN(Curves!$B$2)+1&lt;=48-Projects!$C$9+1))),0)</f>
        <v/>
      </c>
      <c r="AY12" s="664">
        <f>IF(AND(Projects!$G$9="Yes",Projects!$F$9="Yes",49&gt;=Projects!$C$9,49&lt;Projects!$C$9+Projects!$D$9),Projects!$B$9*(1-SUMPRODUCT((Curves!$B$2:$AO$2)*(COLUMN(Curves!$B$2:$AO$2)-COLUMN(Curves!$B$2)+1&lt;=49-Projects!$C$9+1))),0)</f>
        <v/>
      </c>
      <c r="AZ12" s="664">
        <f>IF(AND(Projects!$G$9="Yes",Projects!$F$9="Yes",50&gt;=Projects!$C$9,50&lt;Projects!$C$9+Projects!$D$9),Projects!$B$9*(1-SUMPRODUCT((Curves!$B$2:$AO$2)*(COLUMN(Curves!$B$2:$AO$2)-COLUMN(Curves!$B$2)+1&lt;=50-Projects!$C$9+1))),0)</f>
        <v/>
      </c>
      <c r="BA12" s="664">
        <f>IF(AND(Projects!$G$9="Yes",Projects!$F$9="Yes",51&gt;=Projects!$C$9,51&lt;Projects!$C$9+Projects!$D$9),Projects!$B$9*(1-SUMPRODUCT((Curves!$B$2:$AO$2)*(COLUMN(Curves!$B$2:$AO$2)-COLUMN(Curves!$B$2)+1&lt;=51-Projects!$C$9+1))),0)</f>
        <v/>
      </c>
      <c r="BB12" s="664">
        <f>IF(AND(Projects!$G$9="Yes",Projects!$F$9="Yes",52&gt;=Projects!$C$9,52&lt;Projects!$C$9+Projects!$D$9),Projects!$B$9*(1-SUMPRODUCT((Curves!$B$2:$AO$2)*(COLUMN(Curves!$B$2:$AO$2)-COLUMN(Curves!$B$2)+1&lt;=52-Projects!$C$9+1))),0)</f>
        <v/>
      </c>
      <c r="BC12" s="664">
        <f>IF(AND(Projects!$G$9="Yes",Projects!$F$9="Yes",53&gt;=Projects!$C$9,53&lt;Projects!$C$9+Projects!$D$9),Projects!$B$9*(1-SUMPRODUCT((Curves!$B$2:$AO$2)*(COLUMN(Curves!$B$2:$AO$2)-COLUMN(Curves!$B$2)+1&lt;=53-Projects!$C$9+1))),0)</f>
        <v/>
      </c>
      <c r="BD12" s="664">
        <f>IF(AND(Projects!$G$9="Yes",Projects!$F$9="Yes",54&gt;=Projects!$C$9,54&lt;Projects!$C$9+Projects!$D$9),Projects!$B$9*(1-SUMPRODUCT((Curves!$B$2:$AO$2)*(COLUMN(Curves!$B$2:$AO$2)-COLUMN(Curves!$B$2)+1&lt;=54-Projects!$C$9+1))),0)</f>
        <v/>
      </c>
      <c r="BE12" s="664">
        <f>IF(AND(Projects!$G$9="Yes",Projects!$F$9="Yes",55&gt;=Projects!$C$9,55&lt;Projects!$C$9+Projects!$D$9),Projects!$B$9*(1-SUMPRODUCT((Curves!$B$2:$AO$2)*(COLUMN(Curves!$B$2:$AO$2)-COLUMN(Curves!$B$2)+1&lt;=55-Projects!$C$9+1))),0)</f>
        <v/>
      </c>
      <c r="BF12" s="664">
        <f>IF(AND(Projects!$G$9="Yes",Projects!$F$9="Yes",56&gt;=Projects!$C$9,56&lt;Projects!$C$9+Projects!$D$9),Projects!$B$9*(1-SUMPRODUCT((Curves!$B$2:$AO$2)*(COLUMN(Curves!$B$2:$AO$2)-COLUMN(Curves!$B$2)+1&lt;=56-Projects!$C$9+1))),0)</f>
        <v/>
      </c>
      <c r="BG12" s="664">
        <f>IF(AND(Projects!$G$9="Yes",Projects!$F$9="Yes",57&gt;=Projects!$C$9,57&lt;Projects!$C$9+Projects!$D$9),Projects!$B$9*(1-SUMPRODUCT((Curves!$B$2:$AO$2)*(COLUMN(Curves!$B$2:$AO$2)-COLUMN(Curves!$B$2)+1&lt;=57-Projects!$C$9+1))),0)</f>
        <v/>
      </c>
      <c r="BH12" s="664">
        <f>IF(AND(Projects!$G$9="Yes",Projects!$F$9="Yes",58&gt;=Projects!$C$9,58&lt;Projects!$C$9+Projects!$D$9),Projects!$B$9*(1-SUMPRODUCT((Curves!$B$2:$AO$2)*(COLUMN(Curves!$B$2:$AO$2)-COLUMN(Curves!$B$2)+1&lt;=58-Projects!$C$9+1))),0)</f>
        <v/>
      </c>
      <c r="BI12" s="664">
        <f>IF(AND(Projects!$G$9="Yes",Projects!$F$9="Yes",59&gt;=Projects!$C$9,59&lt;Projects!$C$9+Projects!$D$9),Projects!$B$9*(1-SUMPRODUCT((Curves!$B$2:$AO$2)*(COLUMN(Curves!$B$2:$AO$2)-COLUMN(Curves!$B$2)+1&lt;=59-Projects!$C$9+1))),0)</f>
        <v/>
      </c>
      <c r="BJ12" s="664">
        <f>IF(AND(Projects!$G$9="Yes",Projects!$F$9="Yes",60&gt;=Projects!$C$9,60&lt;Projects!$C$9+Projects!$D$9),Projects!$B$9*(1-SUMPRODUCT((Curves!$B$2:$AO$2)*(COLUMN(Curves!$B$2:$AO$2)-COLUMN(Curves!$B$2)+1&lt;=60-Projects!$C$9+1))),0)</f>
        <v/>
      </c>
      <c r="BK12" s="664">
        <f>IF(AND(Projects!$G$9="Yes",Projects!$F$9="Yes",61&gt;=Projects!$C$9,61&lt;Projects!$C$9+Projects!$D$9),Projects!$B$9*(1-SUMPRODUCT((Curves!$B$2:$AO$2)*(COLUMN(Curves!$B$2:$AO$2)-COLUMN(Curves!$B$2)+1&lt;=61-Projects!$C$9+1))),0)</f>
        <v/>
      </c>
      <c r="BL12" s="664">
        <f>IF(AND(Projects!$G$9="Yes",Projects!$F$9="Yes",62&gt;=Projects!$C$9,62&lt;Projects!$C$9+Projects!$D$9),Projects!$B$9*(1-SUMPRODUCT((Curves!$B$2:$AO$2)*(COLUMN(Curves!$B$2:$AO$2)-COLUMN(Curves!$B$2)+1&lt;=62-Projects!$C$9+1))),0)</f>
        <v/>
      </c>
      <c r="BM12" s="664">
        <f>IF(AND(Projects!$G$9="Yes",Projects!$F$9="Yes",63&gt;=Projects!$C$9,63&lt;Projects!$C$9+Projects!$D$9),Projects!$B$9*(1-SUMPRODUCT((Curves!$B$2:$AO$2)*(COLUMN(Curves!$B$2:$AO$2)-COLUMN(Curves!$B$2)+1&lt;=63-Projects!$C$9+1))),0)</f>
        <v/>
      </c>
      <c r="BN12" s="664">
        <f>IF(AND(Projects!$G$9="Yes",Projects!$F$9="Yes",64&gt;=Projects!$C$9,64&lt;Projects!$C$9+Projects!$D$9),Projects!$B$9*(1-SUMPRODUCT((Curves!$B$2:$AO$2)*(COLUMN(Curves!$B$2:$AO$2)-COLUMN(Curves!$B$2)+1&lt;=64-Projects!$C$9+1))),0)</f>
        <v/>
      </c>
      <c r="BO12" s="664">
        <f>IF(AND(Projects!$G$9="Yes",Projects!$F$9="Yes",65&gt;=Projects!$C$9,65&lt;Projects!$C$9+Projects!$D$9),Projects!$B$9*(1-SUMPRODUCT((Curves!$B$2:$AO$2)*(COLUMN(Curves!$B$2:$AO$2)-COLUMN(Curves!$B$2)+1&lt;=65-Projects!$C$9+1))),0)</f>
        <v/>
      </c>
      <c r="BP12" s="664">
        <f>IF(AND(Projects!$G$9="Yes",Projects!$F$9="Yes",66&gt;=Projects!$C$9,66&lt;Projects!$C$9+Projects!$D$9),Projects!$B$9*(1-SUMPRODUCT((Curves!$B$2:$AO$2)*(COLUMN(Curves!$B$2:$AO$2)-COLUMN(Curves!$B$2)+1&lt;=66-Projects!$C$9+1))),0)</f>
        <v/>
      </c>
      <c r="BQ12" s="664">
        <f>IF(AND(Projects!$G$9="Yes",Projects!$F$9="Yes",67&gt;=Projects!$C$9,67&lt;Projects!$C$9+Projects!$D$9),Projects!$B$9*(1-SUMPRODUCT((Curves!$B$2:$AO$2)*(COLUMN(Curves!$B$2:$AO$2)-COLUMN(Curves!$B$2)+1&lt;=67-Projects!$C$9+1))),0)</f>
        <v/>
      </c>
      <c r="BR12" s="664">
        <f>IF(AND(Projects!$G$9="Yes",Projects!$F$9="Yes",68&gt;=Projects!$C$9,68&lt;Projects!$C$9+Projects!$D$9),Projects!$B$9*(1-SUMPRODUCT((Curves!$B$2:$AO$2)*(COLUMN(Curves!$B$2:$AO$2)-COLUMN(Curves!$B$2)+1&lt;=68-Projects!$C$9+1))),0)</f>
        <v/>
      </c>
      <c r="BS12" s="664">
        <f>IF(AND(Projects!$G$9="Yes",Projects!$F$9="Yes",69&gt;=Projects!$C$9,69&lt;Projects!$C$9+Projects!$D$9),Projects!$B$9*(1-SUMPRODUCT((Curves!$B$2:$AO$2)*(COLUMN(Curves!$B$2:$AO$2)-COLUMN(Curves!$B$2)+1&lt;=69-Projects!$C$9+1))),0)</f>
        <v/>
      </c>
      <c r="BT12" s="664">
        <f>IF(AND(Projects!$G$9="Yes",Projects!$F$9="Yes",70&gt;=Projects!$C$9,70&lt;Projects!$C$9+Projects!$D$9),Projects!$B$9*(1-SUMPRODUCT((Curves!$B$2:$AO$2)*(COLUMN(Curves!$B$2:$AO$2)-COLUMN(Curves!$B$2)+1&lt;=70-Projects!$C$9+1))),0)</f>
        <v/>
      </c>
      <c r="BU12" s="664">
        <f>IF(AND(Projects!$G$9="Yes",Projects!$F$9="Yes",71&gt;=Projects!$C$9,71&lt;Projects!$C$9+Projects!$D$9),Projects!$B$9*(1-SUMPRODUCT((Curves!$B$2:$AO$2)*(COLUMN(Curves!$B$2:$AO$2)-COLUMN(Curves!$B$2)+1&lt;=71-Projects!$C$9+1))),0)</f>
        <v/>
      </c>
      <c r="BV12" s="664">
        <f>IF(AND(Projects!$G$9="Yes",Projects!$F$9="Yes",72&gt;=Projects!$C$9,72&lt;Projects!$C$9+Projects!$D$9),Projects!$B$9*(1-SUMPRODUCT((Curves!$B$2:$AO$2)*(COLUMN(Curves!$B$2:$AO$2)-COLUMN(Curves!$B$2)+1&lt;=72-Projects!$C$9+1))),0)</f>
        <v/>
      </c>
      <c r="BW12" s="664">
        <f>IF(AND(Projects!$G$9="Yes",Projects!$F$9="Yes",73&gt;=Projects!$C$9,73&lt;Projects!$C$9+Projects!$D$9),Projects!$B$9*(1-SUMPRODUCT((Curves!$B$2:$AO$2)*(COLUMN(Curves!$B$2:$AO$2)-COLUMN(Curves!$B$2)+1&lt;=73-Projects!$C$9+1))),0)</f>
        <v/>
      </c>
      <c r="BX12" s="664">
        <f>IF(AND(Projects!$G$9="Yes",Projects!$F$9="Yes",74&gt;=Projects!$C$9,74&lt;Projects!$C$9+Projects!$D$9),Projects!$B$9*(1-SUMPRODUCT((Curves!$B$2:$AO$2)*(COLUMN(Curves!$B$2:$AO$2)-COLUMN(Curves!$B$2)+1&lt;=74-Projects!$C$9+1))),0)</f>
        <v/>
      </c>
      <c r="BY12" s="664">
        <f>IF(AND(Projects!$G$9="Yes",Projects!$F$9="Yes",75&gt;=Projects!$C$9,75&lt;Projects!$C$9+Projects!$D$9),Projects!$B$9*(1-SUMPRODUCT((Curves!$B$2:$AO$2)*(COLUMN(Curves!$B$2:$AO$2)-COLUMN(Curves!$B$2)+1&lt;=75-Projects!$C$9+1))),0)</f>
        <v/>
      </c>
      <c r="BZ12" s="664">
        <f>IF(AND(Projects!$G$9="Yes",Projects!$F$9="Yes",76&gt;=Projects!$C$9,76&lt;Projects!$C$9+Projects!$D$9),Projects!$B$9*(1-SUMPRODUCT((Curves!$B$2:$AO$2)*(COLUMN(Curves!$B$2:$AO$2)-COLUMN(Curves!$B$2)+1&lt;=76-Projects!$C$9+1))),0)</f>
        <v/>
      </c>
      <c r="CA12" s="664">
        <f>IF(AND(Projects!$G$9="Yes",Projects!$F$9="Yes",77&gt;=Projects!$C$9,77&lt;Projects!$C$9+Projects!$D$9),Projects!$B$9*(1-SUMPRODUCT((Curves!$B$2:$AO$2)*(COLUMN(Curves!$B$2:$AO$2)-COLUMN(Curves!$B$2)+1&lt;=77-Projects!$C$9+1))),0)</f>
        <v/>
      </c>
      <c r="CB12" s="664">
        <f>IF(AND(Projects!$G$9="Yes",Projects!$F$9="Yes",78&gt;=Projects!$C$9,78&lt;Projects!$C$9+Projects!$D$9),Projects!$B$9*(1-SUMPRODUCT((Curves!$B$2:$AO$2)*(COLUMN(Curves!$B$2:$AO$2)-COLUMN(Curves!$B$2)+1&lt;=78-Projects!$C$9+1))),0)</f>
        <v/>
      </c>
      <c r="CC12" s="664">
        <f>IF(AND(Projects!$G$9="Yes",Projects!$F$9="Yes",79&gt;=Projects!$C$9,79&lt;Projects!$C$9+Projects!$D$9),Projects!$B$9*(1-SUMPRODUCT((Curves!$B$2:$AO$2)*(COLUMN(Curves!$B$2:$AO$2)-COLUMN(Curves!$B$2)+1&lt;=79-Projects!$C$9+1))),0)</f>
        <v/>
      </c>
      <c r="CD12" s="664">
        <f>IF(AND(Projects!$G$9="Yes",Projects!$F$9="Yes",80&gt;=Projects!$C$9,80&lt;Projects!$C$9+Projects!$D$9),Projects!$B$9*(1-SUMPRODUCT((Curves!$B$2:$AO$2)*(COLUMN(Curves!$B$2:$AO$2)-COLUMN(Curves!$B$2)+1&lt;=80-Projects!$C$9+1))),0)</f>
        <v/>
      </c>
      <c r="CE12" s="664">
        <f>IF(AND(Projects!$G$9="Yes",Projects!$F$9="Yes",81&gt;=Projects!$C$9,81&lt;Projects!$C$9+Projects!$D$9),Projects!$B$9*(1-SUMPRODUCT((Curves!$B$2:$AO$2)*(COLUMN(Curves!$B$2:$AO$2)-COLUMN(Curves!$B$2)+1&lt;=81-Projects!$C$9+1))),0)</f>
        <v/>
      </c>
      <c r="CF12" s="664">
        <f>IF(AND(Projects!$G$9="Yes",Projects!$F$9="Yes",82&gt;=Projects!$C$9,82&lt;Projects!$C$9+Projects!$D$9),Projects!$B$9*(1-SUMPRODUCT((Curves!$B$2:$AO$2)*(COLUMN(Curves!$B$2:$AO$2)-COLUMN(Curves!$B$2)+1&lt;=82-Projects!$C$9+1))),0)</f>
        <v/>
      </c>
      <c r="CG12" s="664">
        <f>IF(AND(Projects!$G$9="Yes",Projects!$F$9="Yes",83&gt;=Projects!$C$9,83&lt;Projects!$C$9+Projects!$D$9),Projects!$B$9*(1-SUMPRODUCT((Curves!$B$2:$AO$2)*(COLUMN(Curves!$B$2:$AO$2)-COLUMN(Curves!$B$2)+1&lt;=83-Projects!$C$9+1))),0)</f>
        <v/>
      </c>
      <c r="CH12" s="664">
        <f>IF(AND(Projects!$G$9="Yes",Projects!$F$9="Yes",84&gt;=Projects!$C$9,84&lt;Projects!$C$9+Projects!$D$9),Projects!$B$9*(1-SUMPRODUCT((Curves!$B$2:$AO$2)*(COLUMN(Curves!$B$2:$AO$2)-COLUMN(Curves!$B$2)+1&lt;=84-Projects!$C$9+1))),0)</f>
        <v/>
      </c>
      <c r="CI12" s="664">
        <f>IF(AND(Projects!$G$9="Yes",Projects!$F$9="Yes",85&gt;=Projects!$C$9,85&lt;Projects!$C$9+Projects!$D$9),Projects!$B$9*(1-SUMPRODUCT((Curves!$B$2:$AO$2)*(COLUMN(Curves!$B$2:$AO$2)-COLUMN(Curves!$B$2)+1&lt;=85-Projects!$C$9+1))),0)</f>
        <v/>
      </c>
      <c r="CJ12" s="664">
        <f>IF(AND(Projects!$G$9="Yes",Projects!$F$9="Yes",86&gt;=Projects!$C$9,86&lt;Projects!$C$9+Projects!$D$9),Projects!$B$9*(1-SUMPRODUCT((Curves!$B$2:$AO$2)*(COLUMN(Curves!$B$2:$AO$2)-COLUMN(Curves!$B$2)+1&lt;=86-Projects!$C$9+1))),0)</f>
        <v/>
      </c>
      <c r="CK12" s="664">
        <f>IF(AND(Projects!$G$9="Yes",Projects!$F$9="Yes",87&gt;=Projects!$C$9,87&lt;Projects!$C$9+Projects!$D$9),Projects!$B$9*(1-SUMPRODUCT((Curves!$B$2:$AO$2)*(COLUMN(Curves!$B$2:$AO$2)-COLUMN(Curves!$B$2)+1&lt;=87-Projects!$C$9+1))),0)</f>
        <v/>
      </c>
      <c r="CL12" s="664">
        <f>IF(AND(Projects!$G$9="Yes",Projects!$F$9="Yes",88&gt;=Projects!$C$9,88&lt;Projects!$C$9+Projects!$D$9),Projects!$B$9*(1-SUMPRODUCT((Curves!$B$2:$AO$2)*(COLUMN(Curves!$B$2:$AO$2)-COLUMN(Curves!$B$2)+1&lt;=88-Projects!$C$9+1))),0)</f>
        <v/>
      </c>
      <c r="CM12" s="664">
        <f>IF(AND(Projects!$G$9="Yes",Projects!$F$9="Yes",89&gt;=Projects!$C$9,89&lt;Projects!$C$9+Projects!$D$9),Projects!$B$9*(1-SUMPRODUCT((Curves!$B$2:$AO$2)*(COLUMN(Curves!$B$2:$AO$2)-COLUMN(Curves!$B$2)+1&lt;=89-Projects!$C$9+1))),0)</f>
        <v/>
      </c>
      <c r="CN12" s="664">
        <f>IF(AND(Projects!$G$9="Yes",Projects!$F$9="Yes",90&gt;=Projects!$C$9,90&lt;Projects!$C$9+Projects!$D$9),Projects!$B$9*(1-SUMPRODUCT((Curves!$B$2:$AO$2)*(COLUMN(Curves!$B$2:$AO$2)-COLUMN(Curves!$B$2)+1&lt;=90-Projects!$C$9+1))),0)</f>
        <v/>
      </c>
      <c r="CO12" s="664">
        <f>IF(AND(Projects!$G$9="Yes",Projects!$F$9="Yes",91&gt;=Projects!$C$9,91&lt;Projects!$C$9+Projects!$D$9),Projects!$B$9*(1-SUMPRODUCT((Curves!$B$2:$AO$2)*(COLUMN(Curves!$B$2:$AO$2)-COLUMN(Curves!$B$2)+1&lt;=91-Projects!$C$9+1))),0)</f>
        <v/>
      </c>
      <c r="CP12" s="664">
        <f>IF(AND(Projects!$G$9="Yes",Projects!$F$9="Yes",92&gt;=Projects!$C$9,92&lt;Projects!$C$9+Projects!$D$9),Projects!$B$9*(1-SUMPRODUCT((Curves!$B$2:$AO$2)*(COLUMN(Curves!$B$2:$AO$2)-COLUMN(Curves!$B$2)+1&lt;=92-Projects!$C$9+1))),0)</f>
        <v/>
      </c>
      <c r="CQ12" s="664">
        <f>IF(AND(Projects!$G$9="Yes",Projects!$F$9="Yes",93&gt;=Projects!$C$9,93&lt;Projects!$C$9+Projects!$D$9),Projects!$B$9*(1-SUMPRODUCT((Curves!$B$2:$AO$2)*(COLUMN(Curves!$B$2:$AO$2)-COLUMN(Curves!$B$2)+1&lt;=93-Projects!$C$9+1))),0)</f>
        <v/>
      </c>
    </row>
    <row r="13" ht="15" customFormat="1" customHeight="1" s="380">
      <c r="A13" s="550" t="inlineStr">
        <is>
          <t>Acama</t>
        </is>
      </c>
      <c r="C13" s="664">
        <f>IF(AND(Projects!$G$10="Yes",Projects!$F$10="Yes",1&gt;=Projects!$C$10,1&lt;Projects!$C$10+Projects!$D$10),Projects!$B$10*(1-SUMPRODUCT((Curves!$B$4:$AO$4)*(COLUMN(Curves!$B$4:$AO$4)-COLUMN(Curves!$B$4)+1&lt;=1-Projects!$C$10+1))),0)</f>
        <v/>
      </c>
      <c r="D13" s="664">
        <f>IF(AND(Projects!$G$10="Yes",Projects!$F$10="Yes",2&gt;=Projects!$C$10,2&lt;Projects!$C$10+Projects!$D$10),Projects!$B$10*(1-SUMPRODUCT((Curves!$B$4:$AO$4)*(COLUMN(Curves!$B$4:$AO$4)-COLUMN(Curves!$B$4)+1&lt;=2-Projects!$C$10+1))),0)</f>
        <v/>
      </c>
      <c r="E13" s="664">
        <f>IF(AND(Projects!$G$10="Yes",Projects!$F$10="Yes",3&gt;=Projects!$C$10,3&lt;Projects!$C$10+Projects!$D$10),Projects!$B$10*(1-SUMPRODUCT((Curves!$B$4:$AO$4)*(COLUMN(Curves!$B$4:$AO$4)-COLUMN(Curves!$B$4)+1&lt;=3-Projects!$C$10+1))),0)</f>
        <v/>
      </c>
      <c r="F13" s="664">
        <f>IF(AND(Projects!$G$10="Yes",Projects!$F$10="Yes",4&gt;=Projects!$C$10,4&lt;Projects!$C$10+Projects!$D$10),Projects!$B$10*(1-SUMPRODUCT((Curves!$B$4:$AO$4)*(COLUMN(Curves!$B$4:$AO$4)-COLUMN(Curves!$B$4)+1&lt;=4-Projects!$C$10+1))),0)</f>
        <v/>
      </c>
      <c r="G13" s="664">
        <f>IF(AND(Projects!$G$10="Yes",Projects!$F$10="Yes",5&gt;=Projects!$C$10,5&lt;Projects!$C$10+Projects!$D$10),Projects!$B$10*(1-SUMPRODUCT((Curves!$B$4:$AO$4)*(COLUMN(Curves!$B$4:$AO$4)-COLUMN(Curves!$B$4)+1&lt;=5-Projects!$C$10+1))),0)</f>
        <v/>
      </c>
      <c r="H13" s="664">
        <f>IF(AND(Projects!$G$10="Yes",Projects!$F$10="Yes",6&gt;=Projects!$C$10,6&lt;Projects!$C$10+Projects!$D$10),Projects!$B$10*(1-SUMPRODUCT((Curves!$B$4:$AO$4)*(COLUMN(Curves!$B$4:$AO$4)-COLUMN(Curves!$B$4)+1&lt;=6-Projects!$C$10+1))),0)</f>
        <v/>
      </c>
      <c r="I13" s="664">
        <f>IF(AND(Projects!$G$10="Yes",Projects!$F$10="Yes",7&gt;=Projects!$C$10,7&lt;Projects!$C$10+Projects!$D$10),Projects!$B$10*(1-SUMPRODUCT((Curves!$B$4:$AO$4)*(COLUMN(Curves!$B$4:$AO$4)-COLUMN(Curves!$B$4)+1&lt;=7-Projects!$C$10+1))),0)</f>
        <v/>
      </c>
      <c r="J13" s="664">
        <f>IF(AND(Projects!$G$10="Yes",Projects!$F$10="Yes",8&gt;=Projects!$C$10,8&lt;Projects!$C$10+Projects!$D$10),Projects!$B$10*(1-SUMPRODUCT((Curves!$B$4:$AO$4)*(COLUMN(Curves!$B$4:$AO$4)-COLUMN(Curves!$B$4)+1&lt;=8-Projects!$C$10+1))),0)</f>
        <v/>
      </c>
      <c r="K13" s="664">
        <f>IF(AND(Projects!$G$10="Yes",Projects!$F$10="Yes",9&gt;=Projects!$C$10,9&lt;Projects!$C$10+Projects!$D$10),Projects!$B$10*(1-SUMPRODUCT((Curves!$B$4:$AO$4)*(COLUMN(Curves!$B$4:$AO$4)-COLUMN(Curves!$B$4)+1&lt;=9-Projects!$C$10+1))),0)</f>
        <v/>
      </c>
      <c r="L13" s="664">
        <f>IF(AND(Projects!$G$10="Yes",Projects!$F$10="Yes",10&gt;=Projects!$C$10,10&lt;Projects!$C$10+Projects!$D$10),Projects!$B$10*(1-SUMPRODUCT((Curves!$B$4:$AO$4)*(COLUMN(Curves!$B$4:$AO$4)-COLUMN(Curves!$B$4)+1&lt;=10-Projects!$C$10+1))),0)</f>
        <v/>
      </c>
      <c r="M13" s="664">
        <f>IF(AND(Projects!$G$10="Yes",Projects!$F$10="Yes",11&gt;=Projects!$C$10,11&lt;Projects!$C$10+Projects!$D$10),Projects!$B$10*(1-SUMPRODUCT((Curves!$B$4:$AO$4)*(COLUMN(Curves!$B$4:$AO$4)-COLUMN(Curves!$B$4)+1&lt;=11-Projects!$C$10+1))),0)</f>
        <v/>
      </c>
      <c r="N13" s="664">
        <f>IF(AND(Projects!$G$10="Yes",Projects!$F$10="Yes",12&gt;=Projects!$C$10,12&lt;Projects!$C$10+Projects!$D$10),Projects!$B$10*(1-SUMPRODUCT((Curves!$B$4:$AO$4)*(COLUMN(Curves!$B$4:$AO$4)-COLUMN(Curves!$B$4)+1&lt;=12-Projects!$C$10+1))),0)</f>
        <v/>
      </c>
      <c r="O13" s="664">
        <f>IF(AND(Projects!$G$10="Yes",Projects!$F$10="Yes",13&gt;=Projects!$C$10,13&lt;Projects!$C$10+Projects!$D$10),Projects!$B$10*(1-SUMPRODUCT((Curves!$B$4:$AO$4)*(COLUMN(Curves!$B$4:$AO$4)-COLUMN(Curves!$B$4)+1&lt;=13-Projects!$C$10+1))),0)</f>
        <v/>
      </c>
      <c r="P13" s="664">
        <f>IF(AND(Projects!$G$10="Yes",Projects!$F$10="Yes",14&gt;=Projects!$C$10,14&lt;Projects!$C$10+Projects!$D$10),Projects!$B$10*(1-SUMPRODUCT((Curves!$B$4:$AO$4)*(COLUMN(Curves!$B$4:$AO$4)-COLUMN(Curves!$B$4)+1&lt;=14-Projects!$C$10+1))),0)</f>
        <v/>
      </c>
      <c r="Q13" s="664">
        <f>IF(AND(Projects!$G$10="Yes",Projects!$F$10="Yes",15&gt;=Projects!$C$10,15&lt;Projects!$C$10+Projects!$D$10),Projects!$B$10*(1-SUMPRODUCT((Curves!$B$4:$AO$4)*(COLUMN(Curves!$B$4:$AO$4)-COLUMN(Curves!$B$4)+1&lt;=15-Projects!$C$10+1))),0)</f>
        <v/>
      </c>
      <c r="R13" s="664">
        <f>IF(AND(Projects!$G$10="Yes",Projects!$F$10="Yes",16&gt;=Projects!$C$10,16&lt;Projects!$C$10+Projects!$D$10),Projects!$B$10*(1-SUMPRODUCT((Curves!$B$4:$AO$4)*(COLUMN(Curves!$B$4:$AO$4)-COLUMN(Curves!$B$4)+1&lt;=16-Projects!$C$10+1))),0)</f>
        <v/>
      </c>
      <c r="S13" s="664">
        <f>IF(AND(Projects!$G$10="Yes",Projects!$F$10="Yes",17&gt;=Projects!$C$10,17&lt;Projects!$C$10+Projects!$D$10),Projects!$B$10*(1-SUMPRODUCT((Curves!$B$4:$AO$4)*(COLUMN(Curves!$B$4:$AO$4)-COLUMN(Curves!$B$4)+1&lt;=17-Projects!$C$10+1))),0)</f>
        <v/>
      </c>
      <c r="T13" s="664">
        <f>IF(AND(Projects!$G$10="Yes",Projects!$F$10="Yes",18&gt;=Projects!$C$10,18&lt;Projects!$C$10+Projects!$D$10),Projects!$B$10*(1-SUMPRODUCT((Curves!$B$4:$AO$4)*(COLUMN(Curves!$B$4:$AO$4)-COLUMN(Curves!$B$4)+1&lt;=18-Projects!$C$10+1))),0)</f>
        <v/>
      </c>
      <c r="U13" s="664">
        <f>IF(AND(Projects!$G$10="Yes",Projects!$F$10="Yes",19&gt;=Projects!$C$10,19&lt;Projects!$C$10+Projects!$D$10),Projects!$B$10*(1-SUMPRODUCT((Curves!$B$4:$AO$4)*(COLUMN(Curves!$B$4:$AO$4)-COLUMN(Curves!$B$4)+1&lt;=19-Projects!$C$10+1))),0)</f>
        <v/>
      </c>
      <c r="V13" s="664">
        <f>IF(AND(Projects!$G$10="Yes",Projects!$F$10="Yes",20&gt;=Projects!$C$10,20&lt;Projects!$C$10+Projects!$D$10),Projects!$B$10*(1-SUMPRODUCT((Curves!$B$4:$AO$4)*(COLUMN(Curves!$B$4:$AO$4)-COLUMN(Curves!$B$4)+1&lt;=20-Projects!$C$10+1))),0)</f>
        <v/>
      </c>
      <c r="W13" s="664">
        <f>IF(AND(Projects!$G$10="Yes",Projects!$F$10="Yes",21&gt;=Projects!$C$10,21&lt;Projects!$C$10+Projects!$D$10),Projects!$B$10*(1-SUMPRODUCT((Curves!$B$4:$AO$4)*(COLUMN(Curves!$B$4:$AO$4)-COLUMN(Curves!$B$4)+1&lt;=21-Projects!$C$10+1))),0)</f>
        <v/>
      </c>
      <c r="X13" s="664">
        <f>IF(AND(Projects!$G$10="Yes",Projects!$F$10="Yes",22&gt;=Projects!$C$10,22&lt;Projects!$C$10+Projects!$D$10),Projects!$B$10*(1-SUMPRODUCT((Curves!$B$4:$AO$4)*(COLUMN(Curves!$B$4:$AO$4)-COLUMN(Curves!$B$4)+1&lt;=22-Projects!$C$10+1))),0)</f>
        <v/>
      </c>
      <c r="Y13" s="664">
        <f>IF(AND(Projects!$G$10="Yes",Projects!$F$10="Yes",23&gt;=Projects!$C$10,23&lt;Projects!$C$10+Projects!$D$10),Projects!$B$10*(1-SUMPRODUCT((Curves!$B$4:$AO$4)*(COLUMN(Curves!$B$4:$AO$4)-COLUMN(Curves!$B$4)+1&lt;=23-Projects!$C$10+1))),0)</f>
        <v/>
      </c>
      <c r="Z13" s="664">
        <f>IF(AND(Projects!$G$10="Yes",Projects!$F$10="Yes",24&gt;=Projects!$C$10,24&lt;Projects!$C$10+Projects!$D$10),Projects!$B$10*(1-SUMPRODUCT((Curves!$B$4:$AO$4)*(COLUMN(Curves!$B$4:$AO$4)-COLUMN(Curves!$B$4)+1&lt;=24-Projects!$C$10+1))),0)</f>
        <v/>
      </c>
      <c r="AA13" s="664">
        <f>IF(AND(Projects!$G$10="Yes",Projects!$F$10="Yes",25&gt;=Projects!$C$10,25&lt;Projects!$C$10+Projects!$D$10),Projects!$B$10*(1-SUMPRODUCT((Curves!$B$4:$AO$4)*(COLUMN(Curves!$B$4:$AO$4)-COLUMN(Curves!$B$4)+1&lt;=25-Projects!$C$10+1))),0)</f>
        <v/>
      </c>
      <c r="AB13" s="664">
        <f>IF(AND(Projects!$G$10="Yes",Projects!$F$10="Yes",26&gt;=Projects!$C$10,26&lt;Projects!$C$10+Projects!$D$10),Projects!$B$10*(1-SUMPRODUCT((Curves!$B$4:$AO$4)*(COLUMN(Curves!$B$4:$AO$4)-COLUMN(Curves!$B$4)+1&lt;=26-Projects!$C$10+1))),0)</f>
        <v/>
      </c>
      <c r="AC13" s="664">
        <f>IF(AND(Projects!$G$10="Yes",Projects!$F$10="Yes",27&gt;=Projects!$C$10,27&lt;Projects!$C$10+Projects!$D$10),Projects!$B$10*(1-SUMPRODUCT((Curves!$B$4:$AO$4)*(COLUMN(Curves!$B$4:$AO$4)-COLUMN(Curves!$B$4)+1&lt;=27-Projects!$C$10+1))),0)</f>
        <v/>
      </c>
      <c r="AD13" s="664">
        <f>IF(AND(Projects!$G$10="Yes",Projects!$F$10="Yes",28&gt;=Projects!$C$10,28&lt;Projects!$C$10+Projects!$D$10),Projects!$B$10*(1-SUMPRODUCT((Curves!$B$4:$AO$4)*(COLUMN(Curves!$B$4:$AO$4)-COLUMN(Curves!$B$4)+1&lt;=28-Projects!$C$10+1))),0)</f>
        <v/>
      </c>
      <c r="AE13" s="664">
        <f>IF(AND(Projects!$G$10="Yes",Projects!$F$10="Yes",29&gt;=Projects!$C$10,29&lt;Projects!$C$10+Projects!$D$10),Projects!$B$10*(1-SUMPRODUCT((Curves!$B$4:$AO$4)*(COLUMN(Curves!$B$4:$AO$4)-COLUMN(Curves!$B$4)+1&lt;=29-Projects!$C$10+1))),0)</f>
        <v/>
      </c>
      <c r="AF13" s="664">
        <f>IF(AND(Projects!$G$10="Yes",Projects!$F$10="Yes",30&gt;=Projects!$C$10,30&lt;Projects!$C$10+Projects!$D$10),Projects!$B$10*(1-SUMPRODUCT((Curves!$B$4:$AO$4)*(COLUMN(Curves!$B$4:$AO$4)-COLUMN(Curves!$B$4)+1&lt;=30-Projects!$C$10+1))),0)</f>
        <v/>
      </c>
      <c r="AG13" s="664">
        <f>IF(AND(Projects!$G$10="Yes",Projects!$F$10="Yes",31&gt;=Projects!$C$10,31&lt;Projects!$C$10+Projects!$D$10),Projects!$B$10*(1-SUMPRODUCT((Curves!$B$4:$AO$4)*(COLUMN(Curves!$B$4:$AO$4)-COLUMN(Curves!$B$4)+1&lt;=31-Projects!$C$10+1))),0)</f>
        <v/>
      </c>
      <c r="AH13" s="664">
        <f>IF(AND(Projects!$G$10="Yes",Projects!$F$10="Yes",32&gt;=Projects!$C$10,32&lt;Projects!$C$10+Projects!$D$10),Projects!$B$10*(1-SUMPRODUCT((Curves!$B$4:$AO$4)*(COLUMN(Curves!$B$4:$AO$4)-COLUMN(Curves!$B$4)+1&lt;=32-Projects!$C$10+1))),0)</f>
        <v/>
      </c>
      <c r="AI13" s="664">
        <f>IF(AND(Projects!$G$10="Yes",Projects!$F$10="Yes",33&gt;=Projects!$C$10,33&lt;Projects!$C$10+Projects!$D$10),Projects!$B$10*(1-SUMPRODUCT((Curves!$B$4:$AO$4)*(COLUMN(Curves!$B$4:$AO$4)-COLUMN(Curves!$B$4)+1&lt;=33-Projects!$C$10+1))),0)</f>
        <v/>
      </c>
      <c r="AJ13" s="664">
        <f>IF(AND(Projects!$G$10="Yes",Projects!$F$10="Yes",34&gt;=Projects!$C$10,34&lt;Projects!$C$10+Projects!$D$10),Projects!$B$10*(1-SUMPRODUCT((Curves!$B$4:$AO$4)*(COLUMN(Curves!$B$4:$AO$4)-COLUMN(Curves!$B$4)+1&lt;=34-Projects!$C$10+1))),0)</f>
        <v/>
      </c>
      <c r="AK13" s="664">
        <f>IF(AND(Projects!$G$10="Yes",Projects!$F$10="Yes",35&gt;=Projects!$C$10,35&lt;Projects!$C$10+Projects!$D$10),Projects!$B$10*(1-SUMPRODUCT((Curves!$B$4:$AO$4)*(COLUMN(Curves!$B$4:$AO$4)-COLUMN(Curves!$B$4)+1&lt;=35-Projects!$C$10+1))),0)</f>
        <v/>
      </c>
      <c r="AL13" s="664">
        <f>IF(AND(Projects!$G$10="Yes",Projects!$F$10="Yes",36&gt;=Projects!$C$10,36&lt;Projects!$C$10+Projects!$D$10),Projects!$B$10*(1-SUMPRODUCT((Curves!$B$4:$AO$4)*(COLUMN(Curves!$B$4:$AO$4)-COLUMN(Curves!$B$4)+1&lt;=36-Projects!$C$10+1))),0)</f>
        <v/>
      </c>
      <c r="AM13" s="664">
        <f>IF(AND(Projects!$G$10="Yes",Projects!$F$10="Yes",37&gt;=Projects!$C$10,37&lt;Projects!$C$10+Projects!$D$10),Projects!$B$10*(1-SUMPRODUCT((Curves!$B$4:$AO$4)*(COLUMN(Curves!$B$4:$AO$4)-COLUMN(Curves!$B$4)+1&lt;=37-Projects!$C$10+1))),0)</f>
        <v/>
      </c>
      <c r="AN13" s="664">
        <f>IF(AND(Projects!$G$10="Yes",Projects!$F$10="Yes",38&gt;=Projects!$C$10,38&lt;Projects!$C$10+Projects!$D$10),Projects!$B$10*(1-SUMPRODUCT((Curves!$B$4:$AO$4)*(COLUMN(Curves!$B$4:$AO$4)-COLUMN(Curves!$B$4)+1&lt;=38-Projects!$C$10+1))),0)</f>
        <v/>
      </c>
      <c r="AO13" s="664">
        <f>IF(AND(Projects!$G$10="Yes",Projects!$F$10="Yes",39&gt;=Projects!$C$10,39&lt;Projects!$C$10+Projects!$D$10),Projects!$B$10*(1-SUMPRODUCT((Curves!$B$4:$AO$4)*(COLUMN(Curves!$B$4:$AO$4)-COLUMN(Curves!$B$4)+1&lt;=39-Projects!$C$10+1))),0)</f>
        <v/>
      </c>
      <c r="AP13" s="664">
        <f>IF(AND(Projects!$G$10="Yes",Projects!$F$10="Yes",40&gt;=Projects!$C$10,40&lt;Projects!$C$10+Projects!$D$10),Projects!$B$10*(1-SUMPRODUCT((Curves!$B$4:$AO$4)*(COLUMN(Curves!$B$4:$AO$4)-COLUMN(Curves!$B$4)+1&lt;=40-Projects!$C$10+1))),0)</f>
        <v/>
      </c>
      <c r="AQ13" s="664">
        <f>IF(AND(Projects!$G$10="Yes",Projects!$F$10="Yes",41&gt;=Projects!$C$10,41&lt;Projects!$C$10+Projects!$D$10),Projects!$B$10*(1-SUMPRODUCT((Curves!$B$4:$AO$4)*(COLUMN(Curves!$B$4:$AO$4)-COLUMN(Curves!$B$4)+1&lt;=41-Projects!$C$10+1))),0)</f>
        <v/>
      </c>
      <c r="AR13" s="664">
        <f>IF(AND(Projects!$G$10="Yes",Projects!$F$10="Yes",42&gt;=Projects!$C$10,42&lt;Projects!$C$10+Projects!$D$10),Projects!$B$10*(1-SUMPRODUCT((Curves!$B$4:$AO$4)*(COLUMN(Curves!$B$4:$AO$4)-COLUMN(Curves!$B$4)+1&lt;=42-Projects!$C$10+1))),0)</f>
        <v/>
      </c>
      <c r="AS13" s="664">
        <f>IF(AND(Projects!$G$10="Yes",Projects!$F$10="Yes",43&gt;=Projects!$C$10,43&lt;Projects!$C$10+Projects!$D$10),Projects!$B$10*(1-SUMPRODUCT((Curves!$B$4:$AO$4)*(COLUMN(Curves!$B$4:$AO$4)-COLUMN(Curves!$B$4)+1&lt;=43-Projects!$C$10+1))),0)</f>
        <v/>
      </c>
      <c r="AT13" s="664">
        <f>IF(AND(Projects!$G$10="Yes",Projects!$F$10="Yes",44&gt;=Projects!$C$10,44&lt;Projects!$C$10+Projects!$D$10),Projects!$B$10*(1-SUMPRODUCT((Curves!$B$4:$AO$4)*(COLUMN(Curves!$B$4:$AO$4)-COLUMN(Curves!$B$4)+1&lt;=44-Projects!$C$10+1))),0)</f>
        <v/>
      </c>
      <c r="AU13" s="664">
        <f>IF(AND(Projects!$G$10="Yes",Projects!$F$10="Yes",45&gt;=Projects!$C$10,45&lt;Projects!$C$10+Projects!$D$10),Projects!$B$10*(1-SUMPRODUCT((Curves!$B$4:$AO$4)*(COLUMN(Curves!$B$4:$AO$4)-COLUMN(Curves!$B$4)+1&lt;=45-Projects!$C$10+1))),0)</f>
        <v/>
      </c>
      <c r="AV13" s="664">
        <f>IF(AND(Projects!$G$10="Yes",Projects!$F$10="Yes",46&gt;=Projects!$C$10,46&lt;Projects!$C$10+Projects!$D$10),Projects!$B$10*(1-SUMPRODUCT((Curves!$B$4:$AO$4)*(COLUMN(Curves!$B$4:$AO$4)-COLUMN(Curves!$B$4)+1&lt;=46-Projects!$C$10+1))),0)</f>
        <v/>
      </c>
      <c r="AW13" s="664">
        <f>IF(AND(Projects!$G$10="Yes",Projects!$F$10="Yes",47&gt;=Projects!$C$10,47&lt;Projects!$C$10+Projects!$D$10),Projects!$B$10*(1-SUMPRODUCT((Curves!$B$4:$AO$4)*(COLUMN(Curves!$B$4:$AO$4)-COLUMN(Curves!$B$4)+1&lt;=47-Projects!$C$10+1))),0)</f>
        <v/>
      </c>
      <c r="AX13" s="664">
        <f>IF(AND(Projects!$G$10="Yes",Projects!$F$10="Yes",48&gt;=Projects!$C$10,48&lt;Projects!$C$10+Projects!$D$10),Projects!$B$10*(1-SUMPRODUCT((Curves!$B$4:$AO$4)*(COLUMN(Curves!$B$4:$AO$4)-COLUMN(Curves!$B$4)+1&lt;=48-Projects!$C$10+1))),0)</f>
        <v/>
      </c>
      <c r="AY13" s="664">
        <f>IF(AND(Projects!$G$10="Yes",Projects!$F$10="Yes",49&gt;=Projects!$C$10,49&lt;Projects!$C$10+Projects!$D$10),Projects!$B$10*(1-SUMPRODUCT((Curves!$B$4:$AO$4)*(COLUMN(Curves!$B$4:$AO$4)-COLUMN(Curves!$B$4)+1&lt;=49-Projects!$C$10+1))),0)</f>
        <v/>
      </c>
      <c r="AZ13" s="664">
        <f>IF(AND(Projects!$G$10="Yes",Projects!$F$10="Yes",50&gt;=Projects!$C$10,50&lt;Projects!$C$10+Projects!$D$10),Projects!$B$10*(1-SUMPRODUCT((Curves!$B$4:$AO$4)*(COLUMN(Curves!$B$4:$AO$4)-COLUMN(Curves!$B$4)+1&lt;=50-Projects!$C$10+1))),0)</f>
        <v/>
      </c>
      <c r="BA13" s="664">
        <f>IF(AND(Projects!$G$10="Yes",Projects!$F$10="Yes",51&gt;=Projects!$C$10,51&lt;Projects!$C$10+Projects!$D$10),Projects!$B$10*(1-SUMPRODUCT((Curves!$B$4:$AO$4)*(COLUMN(Curves!$B$4:$AO$4)-COLUMN(Curves!$B$4)+1&lt;=51-Projects!$C$10+1))),0)</f>
        <v/>
      </c>
      <c r="BB13" s="664">
        <f>IF(AND(Projects!$G$10="Yes",Projects!$F$10="Yes",52&gt;=Projects!$C$10,52&lt;Projects!$C$10+Projects!$D$10),Projects!$B$10*(1-SUMPRODUCT((Curves!$B$4:$AO$4)*(COLUMN(Curves!$B$4:$AO$4)-COLUMN(Curves!$B$4)+1&lt;=52-Projects!$C$10+1))),0)</f>
        <v/>
      </c>
      <c r="BC13" s="664">
        <f>IF(AND(Projects!$G$10="Yes",Projects!$F$10="Yes",53&gt;=Projects!$C$10,53&lt;Projects!$C$10+Projects!$D$10),Projects!$B$10*(1-SUMPRODUCT((Curves!$B$4:$AO$4)*(COLUMN(Curves!$B$4:$AO$4)-COLUMN(Curves!$B$4)+1&lt;=53-Projects!$C$10+1))),0)</f>
        <v/>
      </c>
      <c r="BD13" s="664">
        <f>IF(AND(Projects!$G$10="Yes",Projects!$F$10="Yes",54&gt;=Projects!$C$10,54&lt;Projects!$C$10+Projects!$D$10),Projects!$B$10*(1-SUMPRODUCT((Curves!$B$4:$AO$4)*(COLUMN(Curves!$B$4:$AO$4)-COLUMN(Curves!$B$4)+1&lt;=54-Projects!$C$10+1))),0)</f>
        <v/>
      </c>
      <c r="BE13" s="664">
        <f>IF(AND(Projects!$G$10="Yes",Projects!$F$10="Yes",55&gt;=Projects!$C$10,55&lt;Projects!$C$10+Projects!$D$10),Projects!$B$10*(1-SUMPRODUCT((Curves!$B$4:$AO$4)*(COLUMN(Curves!$B$4:$AO$4)-COLUMN(Curves!$B$4)+1&lt;=55-Projects!$C$10+1))),0)</f>
        <v/>
      </c>
      <c r="BF13" s="664">
        <f>IF(AND(Projects!$G$10="Yes",Projects!$F$10="Yes",56&gt;=Projects!$C$10,56&lt;Projects!$C$10+Projects!$D$10),Projects!$B$10*(1-SUMPRODUCT((Curves!$B$4:$AO$4)*(COLUMN(Curves!$B$4:$AO$4)-COLUMN(Curves!$B$4)+1&lt;=56-Projects!$C$10+1))),0)</f>
        <v/>
      </c>
      <c r="BG13" s="664">
        <f>IF(AND(Projects!$G$10="Yes",Projects!$F$10="Yes",57&gt;=Projects!$C$10,57&lt;Projects!$C$10+Projects!$D$10),Projects!$B$10*(1-SUMPRODUCT((Curves!$B$4:$AO$4)*(COLUMN(Curves!$B$4:$AO$4)-COLUMN(Curves!$B$4)+1&lt;=57-Projects!$C$10+1))),0)</f>
        <v/>
      </c>
      <c r="BH13" s="664">
        <f>IF(AND(Projects!$G$10="Yes",Projects!$F$10="Yes",58&gt;=Projects!$C$10,58&lt;Projects!$C$10+Projects!$D$10),Projects!$B$10*(1-SUMPRODUCT((Curves!$B$4:$AO$4)*(COLUMN(Curves!$B$4:$AO$4)-COLUMN(Curves!$B$4)+1&lt;=58-Projects!$C$10+1))),0)</f>
        <v/>
      </c>
      <c r="BI13" s="664">
        <f>IF(AND(Projects!$G$10="Yes",Projects!$F$10="Yes",59&gt;=Projects!$C$10,59&lt;Projects!$C$10+Projects!$D$10),Projects!$B$10*(1-SUMPRODUCT((Curves!$B$4:$AO$4)*(COLUMN(Curves!$B$4:$AO$4)-COLUMN(Curves!$B$4)+1&lt;=59-Projects!$C$10+1))),0)</f>
        <v/>
      </c>
      <c r="BJ13" s="664">
        <f>IF(AND(Projects!$G$10="Yes",Projects!$F$10="Yes",60&gt;=Projects!$C$10,60&lt;Projects!$C$10+Projects!$D$10),Projects!$B$10*(1-SUMPRODUCT((Curves!$B$4:$AO$4)*(COLUMN(Curves!$B$4:$AO$4)-COLUMN(Curves!$B$4)+1&lt;=60-Projects!$C$10+1))),0)</f>
        <v/>
      </c>
      <c r="BK13" s="664">
        <f>IF(AND(Projects!$G$10="Yes",Projects!$F$10="Yes",61&gt;=Projects!$C$10,61&lt;Projects!$C$10+Projects!$D$10),Projects!$B$10*(1-SUMPRODUCT((Curves!$B$4:$AO$4)*(COLUMN(Curves!$B$4:$AO$4)-COLUMN(Curves!$B$4)+1&lt;=61-Projects!$C$10+1))),0)</f>
        <v/>
      </c>
      <c r="BL13" s="664">
        <f>IF(AND(Projects!$G$10="Yes",Projects!$F$10="Yes",62&gt;=Projects!$C$10,62&lt;Projects!$C$10+Projects!$D$10),Projects!$B$10*(1-SUMPRODUCT((Curves!$B$4:$AO$4)*(COLUMN(Curves!$B$4:$AO$4)-COLUMN(Curves!$B$4)+1&lt;=62-Projects!$C$10+1))),0)</f>
        <v/>
      </c>
      <c r="BM13" s="664">
        <f>IF(AND(Projects!$G$10="Yes",Projects!$F$10="Yes",63&gt;=Projects!$C$10,63&lt;Projects!$C$10+Projects!$D$10),Projects!$B$10*(1-SUMPRODUCT((Curves!$B$4:$AO$4)*(COLUMN(Curves!$B$4:$AO$4)-COLUMN(Curves!$B$4)+1&lt;=63-Projects!$C$10+1))),0)</f>
        <v/>
      </c>
      <c r="BN13" s="664">
        <f>IF(AND(Projects!$G$10="Yes",Projects!$F$10="Yes",64&gt;=Projects!$C$10,64&lt;Projects!$C$10+Projects!$D$10),Projects!$B$10*(1-SUMPRODUCT((Curves!$B$4:$AO$4)*(COLUMN(Curves!$B$4:$AO$4)-COLUMN(Curves!$B$4)+1&lt;=64-Projects!$C$10+1))),0)</f>
        <v/>
      </c>
      <c r="BO13" s="664">
        <f>IF(AND(Projects!$G$10="Yes",Projects!$F$10="Yes",65&gt;=Projects!$C$10,65&lt;Projects!$C$10+Projects!$D$10),Projects!$B$10*(1-SUMPRODUCT((Curves!$B$4:$AO$4)*(COLUMN(Curves!$B$4:$AO$4)-COLUMN(Curves!$B$4)+1&lt;=65-Projects!$C$10+1))),0)</f>
        <v/>
      </c>
      <c r="BP13" s="664">
        <f>IF(AND(Projects!$G$10="Yes",Projects!$F$10="Yes",66&gt;=Projects!$C$10,66&lt;Projects!$C$10+Projects!$D$10),Projects!$B$10*(1-SUMPRODUCT((Curves!$B$4:$AO$4)*(COLUMN(Curves!$B$4:$AO$4)-COLUMN(Curves!$B$4)+1&lt;=66-Projects!$C$10+1))),0)</f>
        <v/>
      </c>
      <c r="BQ13" s="664">
        <f>IF(AND(Projects!$G$10="Yes",Projects!$F$10="Yes",67&gt;=Projects!$C$10,67&lt;Projects!$C$10+Projects!$D$10),Projects!$B$10*(1-SUMPRODUCT((Curves!$B$4:$AO$4)*(COLUMN(Curves!$B$4:$AO$4)-COLUMN(Curves!$B$4)+1&lt;=67-Projects!$C$10+1))),0)</f>
        <v/>
      </c>
      <c r="BR13" s="664">
        <f>IF(AND(Projects!$G$10="Yes",Projects!$F$10="Yes",68&gt;=Projects!$C$10,68&lt;Projects!$C$10+Projects!$D$10),Projects!$B$10*(1-SUMPRODUCT((Curves!$B$4:$AO$4)*(COLUMN(Curves!$B$4:$AO$4)-COLUMN(Curves!$B$4)+1&lt;=68-Projects!$C$10+1))),0)</f>
        <v/>
      </c>
      <c r="BS13" s="664">
        <f>IF(AND(Projects!$G$10="Yes",Projects!$F$10="Yes",69&gt;=Projects!$C$10,69&lt;Projects!$C$10+Projects!$D$10),Projects!$B$10*(1-SUMPRODUCT((Curves!$B$4:$AO$4)*(COLUMN(Curves!$B$4:$AO$4)-COLUMN(Curves!$B$4)+1&lt;=69-Projects!$C$10+1))),0)</f>
        <v/>
      </c>
      <c r="BT13" s="664">
        <f>IF(AND(Projects!$G$10="Yes",Projects!$F$10="Yes",70&gt;=Projects!$C$10,70&lt;Projects!$C$10+Projects!$D$10),Projects!$B$10*(1-SUMPRODUCT((Curves!$B$4:$AO$4)*(COLUMN(Curves!$B$4:$AO$4)-COLUMN(Curves!$B$4)+1&lt;=70-Projects!$C$10+1))),0)</f>
        <v/>
      </c>
      <c r="BU13" s="664">
        <f>IF(AND(Projects!$G$10="Yes",Projects!$F$10="Yes",71&gt;=Projects!$C$10,71&lt;Projects!$C$10+Projects!$D$10),Projects!$B$10*(1-SUMPRODUCT((Curves!$B$4:$AO$4)*(COLUMN(Curves!$B$4:$AO$4)-COLUMN(Curves!$B$4)+1&lt;=71-Projects!$C$10+1))),0)</f>
        <v/>
      </c>
      <c r="BV13" s="664">
        <f>IF(AND(Projects!$G$10="Yes",Projects!$F$10="Yes",72&gt;=Projects!$C$10,72&lt;Projects!$C$10+Projects!$D$10),Projects!$B$10*(1-SUMPRODUCT((Curves!$B$4:$AO$4)*(COLUMN(Curves!$B$4:$AO$4)-COLUMN(Curves!$B$4)+1&lt;=72-Projects!$C$10+1))),0)</f>
        <v/>
      </c>
      <c r="BW13" s="664">
        <f>IF(AND(Projects!$G$10="Yes",Projects!$F$10="Yes",73&gt;=Projects!$C$10,73&lt;Projects!$C$10+Projects!$D$10),Projects!$B$10*(1-SUMPRODUCT((Curves!$B$4:$AO$4)*(COLUMN(Curves!$B$4:$AO$4)-COLUMN(Curves!$B$4)+1&lt;=73-Projects!$C$10+1))),0)</f>
        <v/>
      </c>
      <c r="BX13" s="664">
        <f>IF(AND(Projects!$G$10="Yes",Projects!$F$10="Yes",74&gt;=Projects!$C$10,74&lt;Projects!$C$10+Projects!$D$10),Projects!$B$10*(1-SUMPRODUCT((Curves!$B$4:$AO$4)*(COLUMN(Curves!$B$4:$AO$4)-COLUMN(Curves!$B$4)+1&lt;=74-Projects!$C$10+1))),0)</f>
        <v/>
      </c>
      <c r="BY13" s="664">
        <f>IF(AND(Projects!$G$10="Yes",Projects!$F$10="Yes",75&gt;=Projects!$C$10,75&lt;Projects!$C$10+Projects!$D$10),Projects!$B$10*(1-SUMPRODUCT((Curves!$B$4:$AO$4)*(COLUMN(Curves!$B$4:$AO$4)-COLUMN(Curves!$B$4)+1&lt;=75-Projects!$C$10+1))),0)</f>
        <v/>
      </c>
      <c r="BZ13" s="664">
        <f>IF(AND(Projects!$G$10="Yes",Projects!$F$10="Yes",76&gt;=Projects!$C$10,76&lt;Projects!$C$10+Projects!$D$10),Projects!$B$10*(1-SUMPRODUCT((Curves!$B$4:$AO$4)*(COLUMN(Curves!$B$4:$AO$4)-COLUMN(Curves!$B$4)+1&lt;=76-Projects!$C$10+1))),0)</f>
        <v/>
      </c>
      <c r="CA13" s="664">
        <f>IF(AND(Projects!$G$10="Yes",Projects!$F$10="Yes",77&gt;=Projects!$C$10,77&lt;Projects!$C$10+Projects!$D$10),Projects!$B$10*(1-SUMPRODUCT((Curves!$B$4:$AO$4)*(COLUMN(Curves!$B$4:$AO$4)-COLUMN(Curves!$B$4)+1&lt;=77-Projects!$C$10+1))),0)</f>
        <v/>
      </c>
      <c r="CB13" s="664">
        <f>IF(AND(Projects!$G$10="Yes",Projects!$F$10="Yes",78&gt;=Projects!$C$10,78&lt;Projects!$C$10+Projects!$D$10),Projects!$B$10*(1-SUMPRODUCT((Curves!$B$4:$AO$4)*(COLUMN(Curves!$B$4:$AO$4)-COLUMN(Curves!$B$4)+1&lt;=78-Projects!$C$10+1))),0)</f>
        <v/>
      </c>
      <c r="CC13" s="664">
        <f>IF(AND(Projects!$G$10="Yes",Projects!$F$10="Yes",79&gt;=Projects!$C$10,79&lt;Projects!$C$10+Projects!$D$10),Projects!$B$10*(1-SUMPRODUCT((Curves!$B$4:$AO$4)*(COLUMN(Curves!$B$4:$AO$4)-COLUMN(Curves!$B$4)+1&lt;=79-Projects!$C$10+1))),0)</f>
        <v/>
      </c>
      <c r="CD13" s="664">
        <f>IF(AND(Projects!$G$10="Yes",Projects!$F$10="Yes",80&gt;=Projects!$C$10,80&lt;Projects!$C$10+Projects!$D$10),Projects!$B$10*(1-SUMPRODUCT((Curves!$B$4:$AO$4)*(COLUMN(Curves!$B$4:$AO$4)-COLUMN(Curves!$B$4)+1&lt;=80-Projects!$C$10+1))),0)</f>
        <v/>
      </c>
      <c r="CE13" s="664">
        <f>IF(AND(Projects!$G$10="Yes",Projects!$F$10="Yes",81&gt;=Projects!$C$10,81&lt;Projects!$C$10+Projects!$D$10),Projects!$B$10*(1-SUMPRODUCT((Curves!$B$4:$AO$4)*(COLUMN(Curves!$B$4:$AO$4)-COLUMN(Curves!$B$4)+1&lt;=81-Projects!$C$10+1))),0)</f>
        <v/>
      </c>
      <c r="CF13" s="664">
        <f>IF(AND(Projects!$G$10="Yes",Projects!$F$10="Yes",82&gt;=Projects!$C$10,82&lt;Projects!$C$10+Projects!$D$10),Projects!$B$10*(1-SUMPRODUCT((Curves!$B$4:$AO$4)*(COLUMN(Curves!$B$4:$AO$4)-COLUMN(Curves!$B$4)+1&lt;=82-Projects!$C$10+1))),0)</f>
        <v/>
      </c>
      <c r="CG13" s="664">
        <f>IF(AND(Projects!$G$10="Yes",Projects!$F$10="Yes",83&gt;=Projects!$C$10,83&lt;Projects!$C$10+Projects!$D$10),Projects!$B$10*(1-SUMPRODUCT((Curves!$B$4:$AO$4)*(COLUMN(Curves!$B$4:$AO$4)-COLUMN(Curves!$B$4)+1&lt;=83-Projects!$C$10+1))),0)</f>
        <v/>
      </c>
      <c r="CH13" s="664">
        <f>IF(AND(Projects!$G$10="Yes",Projects!$F$10="Yes",84&gt;=Projects!$C$10,84&lt;Projects!$C$10+Projects!$D$10),Projects!$B$10*(1-SUMPRODUCT((Curves!$B$4:$AO$4)*(COLUMN(Curves!$B$4:$AO$4)-COLUMN(Curves!$B$4)+1&lt;=84-Projects!$C$10+1))),0)</f>
        <v/>
      </c>
      <c r="CI13" s="664">
        <f>IF(AND(Projects!$G$10="Yes",Projects!$F$10="Yes",85&gt;=Projects!$C$10,85&lt;Projects!$C$10+Projects!$D$10),Projects!$B$10*(1-SUMPRODUCT((Curves!$B$4:$AO$4)*(COLUMN(Curves!$B$4:$AO$4)-COLUMN(Curves!$B$4)+1&lt;=85-Projects!$C$10+1))),0)</f>
        <v/>
      </c>
      <c r="CJ13" s="664">
        <f>IF(AND(Projects!$G$10="Yes",Projects!$F$10="Yes",86&gt;=Projects!$C$10,86&lt;Projects!$C$10+Projects!$D$10),Projects!$B$10*(1-SUMPRODUCT((Curves!$B$4:$AO$4)*(COLUMN(Curves!$B$4:$AO$4)-COLUMN(Curves!$B$4)+1&lt;=86-Projects!$C$10+1))),0)</f>
        <v/>
      </c>
      <c r="CK13" s="664">
        <f>IF(AND(Projects!$G$10="Yes",Projects!$F$10="Yes",87&gt;=Projects!$C$10,87&lt;Projects!$C$10+Projects!$D$10),Projects!$B$10*(1-SUMPRODUCT((Curves!$B$4:$AO$4)*(COLUMN(Curves!$B$4:$AO$4)-COLUMN(Curves!$B$4)+1&lt;=87-Projects!$C$10+1))),0)</f>
        <v/>
      </c>
      <c r="CL13" s="664">
        <f>IF(AND(Projects!$G$10="Yes",Projects!$F$10="Yes",88&gt;=Projects!$C$10,88&lt;Projects!$C$10+Projects!$D$10),Projects!$B$10*(1-SUMPRODUCT((Curves!$B$4:$AO$4)*(COLUMN(Curves!$B$4:$AO$4)-COLUMN(Curves!$B$4)+1&lt;=88-Projects!$C$10+1))),0)</f>
        <v/>
      </c>
      <c r="CM13" s="664">
        <f>IF(AND(Projects!$G$10="Yes",Projects!$F$10="Yes",89&gt;=Projects!$C$10,89&lt;Projects!$C$10+Projects!$D$10),Projects!$B$10*(1-SUMPRODUCT((Curves!$B$4:$AO$4)*(COLUMN(Curves!$B$4:$AO$4)-COLUMN(Curves!$B$4)+1&lt;=89-Projects!$C$10+1))),0)</f>
        <v/>
      </c>
      <c r="CN13" s="664">
        <f>IF(AND(Projects!$G$10="Yes",Projects!$F$10="Yes",90&gt;=Projects!$C$10,90&lt;Projects!$C$10+Projects!$D$10),Projects!$B$10*(1-SUMPRODUCT((Curves!$B$4:$AO$4)*(COLUMN(Curves!$B$4:$AO$4)-COLUMN(Curves!$B$4)+1&lt;=90-Projects!$C$10+1))),0)</f>
        <v/>
      </c>
      <c r="CO13" s="664">
        <f>IF(AND(Projects!$G$10="Yes",Projects!$F$10="Yes",91&gt;=Projects!$C$10,91&lt;Projects!$C$10+Projects!$D$10),Projects!$B$10*(1-SUMPRODUCT((Curves!$B$4:$AO$4)*(COLUMN(Curves!$B$4:$AO$4)-COLUMN(Curves!$B$4)+1&lt;=91-Projects!$C$10+1))),0)</f>
        <v/>
      </c>
      <c r="CP13" s="664">
        <f>IF(AND(Projects!$G$10="Yes",Projects!$F$10="Yes",92&gt;=Projects!$C$10,92&lt;Projects!$C$10+Projects!$D$10),Projects!$B$10*(1-SUMPRODUCT((Curves!$B$4:$AO$4)*(COLUMN(Curves!$B$4:$AO$4)-COLUMN(Curves!$B$4)+1&lt;=92-Projects!$C$10+1))),0)</f>
        <v/>
      </c>
      <c r="CQ13" s="664">
        <f>IF(AND(Projects!$G$10="Yes",Projects!$F$10="Yes",93&gt;=Projects!$C$10,93&lt;Projects!$C$10+Projects!$D$10),Projects!$B$10*(1-SUMPRODUCT((Curves!$B$4:$AO$4)*(COLUMN(Curves!$B$4:$AO$4)-COLUMN(Curves!$B$4)+1&lt;=93-Projects!$C$10+1))),0)</f>
        <v/>
      </c>
    </row>
    <row r="14" ht="15" customFormat="1" customHeight="1" s="380">
      <c r="A14" s="550" t="inlineStr">
        <is>
          <t>Reseda</t>
        </is>
      </c>
      <c r="C14" s="664">
        <f>IF(AND(Projects!$G$13="Yes",Projects!$F$13="Yes",1&gt;=Projects!$C$13,1&lt;Projects!$C$13+Projects!$D$13),Projects!$B$13*(1-SUMPRODUCT((Curves!$B$2:$AO$2)*(COLUMN(Curves!$B$2:$AO$2)-COLUMN(Curves!$B$2)+1&lt;=1-Projects!$C$13+1))),0)</f>
        <v/>
      </c>
      <c r="D14" s="664">
        <f>IF(AND(Projects!$G$13="Yes",Projects!$F$13="Yes",2&gt;=Projects!$C$13,2&lt;Projects!$C$13+Projects!$D$13),Projects!$B$13*(1-SUMPRODUCT((Curves!$B$2:$AO$2)*(COLUMN(Curves!$B$2:$AO$2)-COLUMN(Curves!$B$2)+1&lt;=2-Projects!$C$13+1))),0)</f>
        <v/>
      </c>
      <c r="E14" s="664">
        <f>IF(AND(Projects!$G$13="Yes",Projects!$F$13="Yes",3&gt;=Projects!$C$13,3&lt;Projects!$C$13+Projects!$D$13),Projects!$B$13*(1-SUMPRODUCT((Curves!$B$2:$AO$2)*(COLUMN(Curves!$B$2:$AO$2)-COLUMN(Curves!$B$2)+1&lt;=3-Projects!$C$13+1))),0)</f>
        <v/>
      </c>
      <c r="F14" s="664">
        <f>IF(AND(Projects!$G$13="Yes",Projects!$F$13="Yes",4&gt;=Projects!$C$13,4&lt;Projects!$C$13+Projects!$D$13),Projects!$B$13*(1-SUMPRODUCT((Curves!$B$2:$AO$2)*(COLUMN(Curves!$B$2:$AO$2)-COLUMN(Curves!$B$2)+1&lt;=4-Projects!$C$13+1))),0)</f>
        <v/>
      </c>
      <c r="G14" s="664">
        <f>IF(AND(Projects!$G$13="Yes",Projects!$F$13="Yes",5&gt;=Projects!$C$13,5&lt;Projects!$C$13+Projects!$D$13),Projects!$B$13*(1-SUMPRODUCT((Curves!$B$2:$AO$2)*(COLUMN(Curves!$B$2:$AO$2)-COLUMN(Curves!$B$2)+1&lt;=5-Projects!$C$13+1))),0)</f>
        <v/>
      </c>
      <c r="H14" s="664">
        <f>IF(AND(Projects!$G$13="Yes",Projects!$F$13="Yes",6&gt;=Projects!$C$13,6&lt;Projects!$C$13+Projects!$D$13),Projects!$B$13*(1-SUMPRODUCT((Curves!$B$2:$AO$2)*(COLUMN(Curves!$B$2:$AO$2)-COLUMN(Curves!$B$2)+1&lt;=6-Projects!$C$13+1))),0)</f>
        <v/>
      </c>
      <c r="I14" s="664">
        <f>IF(AND(Projects!$G$13="Yes",Projects!$F$13="Yes",7&gt;=Projects!$C$13,7&lt;Projects!$C$13+Projects!$D$13),Projects!$B$13*(1-SUMPRODUCT((Curves!$B$2:$AO$2)*(COLUMN(Curves!$B$2:$AO$2)-COLUMN(Curves!$B$2)+1&lt;=7-Projects!$C$13+1))),0)</f>
        <v/>
      </c>
      <c r="J14" s="664">
        <f>IF(AND(Projects!$G$13="Yes",Projects!$F$13="Yes",8&gt;=Projects!$C$13,8&lt;Projects!$C$13+Projects!$D$13),Projects!$B$13*(1-SUMPRODUCT((Curves!$B$2:$AO$2)*(COLUMN(Curves!$B$2:$AO$2)-COLUMN(Curves!$B$2)+1&lt;=8-Projects!$C$13+1))),0)</f>
        <v/>
      </c>
      <c r="K14" s="664">
        <f>IF(AND(Projects!$G$13="Yes",Projects!$F$13="Yes",9&gt;=Projects!$C$13,9&lt;Projects!$C$13+Projects!$D$13),Projects!$B$13*(1-SUMPRODUCT((Curves!$B$2:$AO$2)*(COLUMN(Curves!$B$2:$AO$2)-COLUMN(Curves!$B$2)+1&lt;=9-Projects!$C$13+1))),0)</f>
        <v/>
      </c>
      <c r="L14" s="664">
        <f>IF(AND(Projects!$G$13="Yes",Projects!$F$13="Yes",10&gt;=Projects!$C$13,10&lt;Projects!$C$13+Projects!$D$13),Projects!$B$13*(1-SUMPRODUCT((Curves!$B$2:$AO$2)*(COLUMN(Curves!$B$2:$AO$2)-COLUMN(Curves!$B$2)+1&lt;=10-Projects!$C$13+1))),0)</f>
        <v/>
      </c>
      <c r="M14" s="664">
        <f>IF(AND(Projects!$G$13="Yes",Projects!$F$13="Yes",11&gt;=Projects!$C$13,11&lt;Projects!$C$13+Projects!$D$13),Projects!$B$13*(1-SUMPRODUCT((Curves!$B$2:$AO$2)*(COLUMN(Curves!$B$2:$AO$2)-COLUMN(Curves!$B$2)+1&lt;=11-Projects!$C$13+1))),0)</f>
        <v/>
      </c>
      <c r="N14" s="664">
        <f>IF(AND(Projects!$G$13="Yes",Projects!$F$13="Yes",12&gt;=Projects!$C$13,12&lt;Projects!$C$13+Projects!$D$13),Projects!$B$13*(1-SUMPRODUCT((Curves!$B$2:$AO$2)*(COLUMN(Curves!$B$2:$AO$2)-COLUMN(Curves!$B$2)+1&lt;=12-Projects!$C$13+1))),0)</f>
        <v/>
      </c>
      <c r="O14" s="664">
        <f>IF(AND(Projects!$G$13="Yes",Projects!$F$13="Yes",13&gt;=Projects!$C$13,13&lt;Projects!$C$13+Projects!$D$13),Projects!$B$13*(1-SUMPRODUCT((Curves!$B$2:$AO$2)*(COLUMN(Curves!$B$2:$AO$2)-COLUMN(Curves!$B$2)+1&lt;=13-Projects!$C$13+1))),0)</f>
        <v/>
      </c>
      <c r="P14" s="664">
        <f>IF(AND(Projects!$G$13="Yes",Projects!$F$13="Yes",14&gt;=Projects!$C$13,14&lt;Projects!$C$13+Projects!$D$13),Projects!$B$13*(1-SUMPRODUCT((Curves!$B$2:$AO$2)*(COLUMN(Curves!$B$2:$AO$2)-COLUMN(Curves!$B$2)+1&lt;=14-Projects!$C$13+1))),0)</f>
        <v/>
      </c>
      <c r="Q14" s="664">
        <f>IF(AND(Projects!$G$13="Yes",Projects!$F$13="Yes",15&gt;=Projects!$C$13,15&lt;Projects!$C$13+Projects!$D$13),Projects!$B$13*(1-SUMPRODUCT((Curves!$B$2:$AO$2)*(COLUMN(Curves!$B$2:$AO$2)-COLUMN(Curves!$B$2)+1&lt;=15-Projects!$C$13+1))),0)</f>
        <v/>
      </c>
      <c r="R14" s="664">
        <f>IF(AND(Projects!$G$13="Yes",Projects!$F$13="Yes",16&gt;=Projects!$C$13,16&lt;Projects!$C$13+Projects!$D$13),Projects!$B$13*(1-SUMPRODUCT((Curves!$B$2:$AO$2)*(COLUMN(Curves!$B$2:$AO$2)-COLUMN(Curves!$B$2)+1&lt;=16-Projects!$C$13+1))),0)</f>
        <v/>
      </c>
      <c r="S14" s="664">
        <f>IF(AND(Projects!$G$13="Yes",Projects!$F$13="Yes",17&gt;=Projects!$C$13,17&lt;Projects!$C$13+Projects!$D$13),Projects!$B$13*(1-SUMPRODUCT((Curves!$B$2:$AO$2)*(COLUMN(Curves!$B$2:$AO$2)-COLUMN(Curves!$B$2)+1&lt;=17-Projects!$C$13+1))),0)</f>
        <v/>
      </c>
      <c r="T14" s="664">
        <f>IF(AND(Projects!$G$13="Yes",Projects!$F$13="Yes",18&gt;=Projects!$C$13,18&lt;Projects!$C$13+Projects!$D$13),Projects!$B$13*(1-SUMPRODUCT((Curves!$B$2:$AO$2)*(COLUMN(Curves!$B$2:$AO$2)-COLUMN(Curves!$B$2)+1&lt;=18-Projects!$C$13+1))),0)</f>
        <v/>
      </c>
      <c r="U14" s="664">
        <f>IF(AND(Projects!$G$13="Yes",Projects!$F$13="Yes",19&gt;=Projects!$C$13,19&lt;Projects!$C$13+Projects!$D$13),Projects!$B$13*(1-SUMPRODUCT((Curves!$B$2:$AO$2)*(COLUMN(Curves!$B$2:$AO$2)-COLUMN(Curves!$B$2)+1&lt;=19-Projects!$C$13+1))),0)</f>
        <v/>
      </c>
      <c r="V14" s="664">
        <f>IF(AND(Projects!$G$13="Yes",Projects!$F$13="Yes",20&gt;=Projects!$C$13,20&lt;Projects!$C$13+Projects!$D$13),Projects!$B$13*(1-SUMPRODUCT((Curves!$B$2:$AO$2)*(COLUMN(Curves!$B$2:$AO$2)-COLUMN(Curves!$B$2)+1&lt;=20-Projects!$C$13+1))),0)</f>
        <v/>
      </c>
      <c r="W14" s="664">
        <f>IF(AND(Projects!$G$13="Yes",Projects!$F$13="Yes",21&gt;=Projects!$C$13,21&lt;Projects!$C$13+Projects!$D$13),Projects!$B$13*(1-SUMPRODUCT((Curves!$B$2:$AO$2)*(COLUMN(Curves!$B$2:$AO$2)-COLUMN(Curves!$B$2)+1&lt;=21-Projects!$C$13+1))),0)</f>
        <v/>
      </c>
      <c r="X14" s="664">
        <f>IF(AND(Projects!$G$13="Yes",Projects!$F$13="Yes",22&gt;=Projects!$C$13,22&lt;Projects!$C$13+Projects!$D$13),Projects!$B$13*(1-SUMPRODUCT((Curves!$B$2:$AO$2)*(COLUMN(Curves!$B$2:$AO$2)-COLUMN(Curves!$B$2)+1&lt;=22-Projects!$C$13+1))),0)</f>
        <v/>
      </c>
      <c r="Y14" s="664">
        <f>IF(AND(Projects!$G$13="Yes",Projects!$F$13="Yes",23&gt;=Projects!$C$13,23&lt;Projects!$C$13+Projects!$D$13),Projects!$B$13*(1-SUMPRODUCT((Curves!$B$2:$AO$2)*(COLUMN(Curves!$B$2:$AO$2)-COLUMN(Curves!$B$2)+1&lt;=23-Projects!$C$13+1))),0)</f>
        <v/>
      </c>
      <c r="Z14" s="664">
        <f>IF(AND(Projects!$G$13="Yes",Projects!$F$13="Yes",24&gt;=Projects!$C$13,24&lt;Projects!$C$13+Projects!$D$13),Projects!$B$13*(1-SUMPRODUCT((Curves!$B$2:$AO$2)*(COLUMN(Curves!$B$2:$AO$2)-COLUMN(Curves!$B$2)+1&lt;=24-Projects!$C$13+1))),0)</f>
        <v/>
      </c>
      <c r="AA14" s="664">
        <f>IF(AND(Projects!$G$13="Yes",Projects!$F$13="Yes",25&gt;=Projects!$C$13,25&lt;Projects!$C$13+Projects!$D$13),Projects!$B$13*(1-SUMPRODUCT((Curves!$B$2:$AO$2)*(COLUMN(Curves!$B$2:$AO$2)-COLUMN(Curves!$B$2)+1&lt;=25-Projects!$C$13+1))),0)</f>
        <v/>
      </c>
      <c r="AB14" s="664">
        <f>IF(AND(Projects!$G$13="Yes",Projects!$F$13="Yes",26&gt;=Projects!$C$13,26&lt;Projects!$C$13+Projects!$D$13),Projects!$B$13*(1-SUMPRODUCT((Curves!$B$2:$AO$2)*(COLUMN(Curves!$B$2:$AO$2)-COLUMN(Curves!$B$2)+1&lt;=26-Projects!$C$13+1))),0)</f>
        <v/>
      </c>
      <c r="AC14" s="664">
        <f>IF(AND(Projects!$G$13="Yes",Projects!$F$13="Yes",27&gt;=Projects!$C$13,27&lt;Projects!$C$13+Projects!$D$13),Projects!$B$13*(1-SUMPRODUCT((Curves!$B$2:$AO$2)*(COLUMN(Curves!$B$2:$AO$2)-COLUMN(Curves!$B$2)+1&lt;=27-Projects!$C$13+1))),0)</f>
        <v/>
      </c>
      <c r="AD14" s="664">
        <f>IF(AND(Projects!$G$13="Yes",Projects!$F$13="Yes",28&gt;=Projects!$C$13,28&lt;Projects!$C$13+Projects!$D$13),Projects!$B$13*(1-SUMPRODUCT((Curves!$B$2:$AO$2)*(COLUMN(Curves!$B$2:$AO$2)-COLUMN(Curves!$B$2)+1&lt;=28-Projects!$C$13+1))),0)</f>
        <v/>
      </c>
      <c r="AE14" s="664">
        <f>IF(AND(Projects!$G$13="Yes",Projects!$F$13="Yes",29&gt;=Projects!$C$13,29&lt;Projects!$C$13+Projects!$D$13),Projects!$B$13*(1-SUMPRODUCT((Curves!$B$2:$AO$2)*(COLUMN(Curves!$B$2:$AO$2)-COLUMN(Curves!$B$2)+1&lt;=29-Projects!$C$13+1))),0)</f>
        <v/>
      </c>
      <c r="AF14" s="664">
        <f>IF(AND(Projects!$G$13="Yes",Projects!$F$13="Yes",30&gt;=Projects!$C$13,30&lt;Projects!$C$13+Projects!$D$13),Projects!$B$13*(1-SUMPRODUCT((Curves!$B$2:$AO$2)*(COLUMN(Curves!$B$2:$AO$2)-COLUMN(Curves!$B$2)+1&lt;=30-Projects!$C$13+1))),0)</f>
        <v/>
      </c>
      <c r="AG14" s="664">
        <f>IF(AND(Projects!$G$13="Yes",Projects!$F$13="Yes",31&gt;=Projects!$C$13,31&lt;Projects!$C$13+Projects!$D$13),Projects!$B$13*(1-SUMPRODUCT((Curves!$B$2:$AO$2)*(COLUMN(Curves!$B$2:$AO$2)-COLUMN(Curves!$B$2)+1&lt;=31-Projects!$C$13+1))),0)</f>
        <v/>
      </c>
      <c r="AH14" s="664">
        <f>IF(AND(Projects!$G$13="Yes",Projects!$F$13="Yes",32&gt;=Projects!$C$13,32&lt;Projects!$C$13+Projects!$D$13),Projects!$B$13*(1-SUMPRODUCT((Curves!$B$2:$AO$2)*(COLUMN(Curves!$B$2:$AO$2)-COLUMN(Curves!$B$2)+1&lt;=32-Projects!$C$13+1))),0)</f>
        <v/>
      </c>
      <c r="AI14" s="664">
        <f>IF(AND(Projects!$G$13="Yes",Projects!$F$13="Yes",33&gt;=Projects!$C$13,33&lt;Projects!$C$13+Projects!$D$13),Projects!$B$13*(1-SUMPRODUCT((Curves!$B$2:$AO$2)*(COLUMN(Curves!$B$2:$AO$2)-COLUMN(Curves!$B$2)+1&lt;=33-Projects!$C$13+1))),0)</f>
        <v/>
      </c>
      <c r="AJ14" s="664">
        <f>IF(AND(Projects!$G$13="Yes",Projects!$F$13="Yes",34&gt;=Projects!$C$13,34&lt;Projects!$C$13+Projects!$D$13),Projects!$B$13*(1-SUMPRODUCT((Curves!$B$2:$AO$2)*(COLUMN(Curves!$B$2:$AO$2)-COLUMN(Curves!$B$2)+1&lt;=34-Projects!$C$13+1))),0)</f>
        <v/>
      </c>
      <c r="AK14" s="664">
        <f>IF(AND(Projects!$G$13="Yes",Projects!$F$13="Yes",35&gt;=Projects!$C$13,35&lt;Projects!$C$13+Projects!$D$13),Projects!$B$13*(1-SUMPRODUCT((Curves!$B$2:$AO$2)*(COLUMN(Curves!$B$2:$AO$2)-COLUMN(Curves!$B$2)+1&lt;=35-Projects!$C$13+1))),0)</f>
        <v/>
      </c>
      <c r="AL14" s="664">
        <f>IF(AND(Projects!$G$13="Yes",Projects!$F$13="Yes",36&gt;=Projects!$C$13,36&lt;Projects!$C$13+Projects!$D$13),Projects!$B$13*(1-SUMPRODUCT((Curves!$B$2:$AO$2)*(COLUMN(Curves!$B$2:$AO$2)-COLUMN(Curves!$B$2)+1&lt;=36-Projects!$C$13+1))),0)</f>
        <v/>
      </c>
      <c r="AM14" s="664">
        <f>IF(AND(Projects!$G$13="Yes",Projects!$F$13="Yes",37&gt;=Projects!$C$13,37&lt;Projects!$C$13+Projects!$D$13),Projects!$B$13*(1-SUMPRODUCT((Curves!$B$2:$AO$2)*(COLUMN(Curves!$B$2:$AO$2)-COLUMN(Curves!$B$2)+1&lt;=37-Projects!$C$13+1))),0)</f>
        <v/>
      </c>
      <c r="AN14" s="664">
        <f>IF(AND(Projects!$G$13="Yes",Projects!$F$13="Yes",38&gt;=Projects!$C$13,38&lt;Projects!$C$13+Projects!$D$13),Projects!$B$13*(1-SUMPRODUCT((Curves!$B$2:$AO$2)*(COLUMN(Curves!$B$2:$AO$2)-COLUMN(Curves!$B$2)+1&lt;=38-Projects!$C$13+1))),0)</f>
        <v/>
      </c>
      <c r="AO14" s="664">
        <f>IF(AND(Projects!$G$13="Yes",Projects!$F$13="Yes",39&gt;=Projects!$C$13,39&lt;Projects!$C$13+Projects!$D$13),Projects!$B$13*(1-SUMPRODUCT((Curves!$B$2:$AO$2)*(COLUMN(Curves!$B$2:$AO$2)-COLUMN(Curves!$B$2)+1&lt;=39-Projects!$C$13+1))),0)</f>
        <v/>
      </c>
      <c r="AP14" s="664">
        <f>IF(AND(Projects!$G$13="Yes",Projects!$F$13="Yes",40&gt;=Projects!$C$13,40&lt;Projects!$C$13+Projects!$D$13),Projects!$B$13*(1-SUMPRODUCT((Curves!$B$2:$AO$2)*(COLUMN(Curves!$B$2:$AO$2)-COLUMN(Curves!$B$2)+1&lt;=40-Projects!$C$13+1))),0)</f>
        <v/>
      </c>
      <c r="AQ14" s="664">
        <f>IF(AND(Projects!$G$13="Yes",Projects!$F$13="Yes",41&gt;=Projects!$C$13,41&lt;Projects!$C$13+Projects!$D$13),Projects!$B$13*(1-SUMPRODUCT((Curves!$B$2:$AO$2)*(COLUMN(Curves!$B$2:$AO$2)-COLUMN(Curves!$B$2)+1&lt;=41-Projects!$C$13+1))),0)</f>
        <v/>
      </c>
      <c r="AR14" s="664">
        <f>IF(AND(Projects!$G$13="Yes",Projects!$F$13="Yes",42&gt;=Projects!$C$13,42&lt;Projects!$C$13+Projects!$D$13),Projects!$B$13*(1-SUMPRODUCT((Curves!$B$2:$AO$2)*(COLUMN(Curves!$B$2:$AO$2)-COLUMN(Curves!$B$2)+1&lt;=42-Projects!$C$13+1))),0)</f>
        <v/>
      </c>
      <c r="AS14" s="664">
        <f>IF(AND(Projects!$G$13="Yes",Projects!$F$13="Yes",43&gt;=Projects!$C$13,43&lt;Projects!$C$13+Projects!$D$13),Projects!$B$13*(1-SUMPRODUCT((Curves!$B$2:$AO$2)*(COLUMN(Curves!$B$2:$AO$2)-COLUMN(Curves!$B$2)+1&lt;=43-Projects!$C$13+1))),0)</f>
        <v/>
      </c>
      <c r="AT14" s="664">
        <f>IF(AND(Projects!$G$13="Yes",Projects!$F$13="Yes",44&gt;=Projects!$C$13,44&lt;Projects!$C$13+Projects!$D$13),Projects!$B$13*(1-SUMPRODUCT((Curves!$B$2:$AO$2)*(COLUMN(Curves!$B$2:$AO$2)-COLUMN(Curves!$B$2)+1&lt;=44-Projects!$C$13+1))),0)</f>
        <v/>
      </c>
      <c r="AU14" s="664">
        <f>IF(AND(Projects!$G$13="Yes",Projects!$F$13="Yes",45&gt;=Projects!$C$13,45&lt;Projects!$C$13+Projects!$D$13),Projects!$B$13*(1-SUMPRODUCT((Curves!$B$2:$AO$2)*(COLUMN(Curves!$B$2:$AO$2)-COLUMN(Curves!$B$2)+1&lt;=45-Projects!$C$13+1))),0)</f>
        <v/>
      </c>
      <c r="AV14" s="664">
        <f>IF(AND(Projects!$G$13="Yes",Projects!$F$13="Yes",46&gt;=Projects!$C$13,46&lt;Projects!$C$13+Projects!$D$13),Projects!$B$13*(1-SUMPRODUCT((Curves!$B$2:$AO$2)*(COLUMN(Curves!$B$2:$AO$2)-COLUMN(Curves!$B$2)+1&lt;=46-Projects!$C$13+1))),0)</f>
        <v/>
      </c>
      <c r="AW14" s="664">
        <f>IF(AND(Projects!$G$13="Yes",Projects!$F$13="Yes",47&gt;=Projects!$C$13,47&lt;Projects!$C$13+Projects!$D$13),Projects!$B$13*(1-SUMPRODUCT((Curves!$B$2:$AO$2)*(COLUMN(Curves!$B$2:$AO$2)-COLUMN(Curves!$B$2)+1&lt;=47-Projects!$C$13+1))),0)</f>
        <v/>
      </c>
      <c r="AX14" s="664">
        <f>IF(AND(Projects!$G$13="Yes",Projects!$F$13="Yes",48&gt;=Projects!$C$13,48&lt;Projects!$C$13+Projects!$D$13),Projects!$B$13*(1-SUMPRODUCT((Curves!$B$2:$AO$2)*(COLUMN(Curves!$B$2:$AO$2)-COLUMN(Curves!$B$2)+1&lt;=48-Projects!$C$13+1))),0)</f>
        <v/>
      </c>
      <c r="AY14" s="664">
        <f>IF(AND(Projects!$G$13="Yes",Projects!$F$13="Yes",49&gt;=Projects!$C$13,49&lt;Projects!$C$13+Projects!$D$13),Projects!$B$13*(1-SUMPRODUCT((Curves!$B$2:$AO$2)*(COLUMN(Curves!$B$2:$AO$2)-COLUMN(Curves!$B$2)+1&lt;=49-Projects!$C$13+1))),0)</f>
        <v/>
      </c>
      <c r="AZ14" s="664">
        <f>IF(AND(Projects!$G$13="Yes",Projects!$F$13="Yes",50&gt;=Projects!$C$13,50&lt;Projects!$C$13+Projects!$D$13),Projects!$B$13*(1-SUMPRODUCT((Curves!$B$2:$AO$2)*(COLUMN(Curves!$B$2:$AO$2)-COLUMN(Curves!$B$2)+1&lt;=50-Projects!$C$13+1))),0)</f>
        <v/>
      </c>
      <c r="BA14" s="664">
        <f>IF(AND(Projects!$G$13="Yes",Projects!$F$13="Yes",51&gt;=Projects!$C$13,51&lt;Projects!$C$13+Projects!$D$13),Projects!$B$13*(1-SUMPRODUCT((Curves!$B$2:$AO$2)*(COLUMN(Curves!$B$2:$AO$2)-COLUMN(Curves!$B$2)+1&lt;=51-Projects!$C$13+1))),0)</f>
        <v/>
      </c>
      <c r="BB14" s="664">
        <f>IF(AND(Projects!$G$13="Yes",Projects!$F$13="Yes",52&gt;=Projects!$C$13,52&lt;Projects!$C$13+Projects!$D$13),Projects!$B$13*(1-SUMPRODUCT((Curves!$B$2:$AO$2)*(COLUMN(Curves!$B$2:$AO$2)-COLUMN(Curves!$B$2)+1&lt;=52-Projects!$C$13+1))),0)</f>
        <v/>
      </c>
      <c r="BC14" s="664">
        <f>IF(AND(Projects!$G$13="Yes",Projects!$F$13="Yes",53&gt;=Projects!$C$13,53&lt;Projects!$C$13+Projects!$D$13),Projects!$B$13*(1-SUMPRODUCT((Curves!$B$2:$AO$2)*(COLUMN(Curves!$B$2:$AO$2)-COLUMN(Curves!$B$2)+1&lt;=53-Projects!$C$13+1))),0)</f>
        <v/>
      </c>
      <c r="BD14" s="664">
        <f>IF(AND(Projects!$G$13="Yes",Projects!$F$13="Yes",54&gt;=Projects!$C$13,54&lt;Projects!$C$13+Projects!$D$13),Projects!$B$13*(1-SUMPRODUCT((Curves!$B$2:$AO$2)*(COLUMN(Curves!$B$2:$AO$2)-COLUMN(Curves!$B$2)+1&lt;=54-Projects!$C$13+1))),0)</f>
        <v/>
      </c>
      <c r="BE14" s="664">
        <f>IF(AND(Projects!$G$13="Yes",Projects!$F$13="Yes",55&gt;=Projects!$C$13,55&lt;Projects!$C$13+Projects!$D$13),Projects!$B$13*(1-SUMPRODUCT((Curves!$B$2:$AO$2)*(COLUMN(Curves!$B$2:$AO$2)-COLUMN(Curves!$B$2)+1&lt;=55-Projects!$C$13+1))),0)</f>
        <v/>
      </c>
      <c r="BF14" s="664">
        <f>IF(AND(Projects!$G$13="Yes",Projects!$F$13="Yes",56&gt;=Projects!$C$13,56&lt;Projects!$C$13+Projects!$D$13),Projects!$B$13*(1-SUMPRODUCT((Curves!$B$2:$AO$2)*(COLUMN(Curves!$B$2:$AO$2)-COLUMN(Curves!$B$2)+1&lt;=56-Projects!$C$13+1))),0)</f>
        <v/>
      </c>
      <c r="BG14" s="664">
        <f>IF(AND(Projects!$G$13="Yes",Projects!$F$13="Yes",57&gt;=Projects!$C$13,57&lt;Projects!$C$13+Projects!$D$13),Projects!$B$13*(1-SUMPRODUCT((Curves!$B$2:$AO$2)*(COLUMN(Curves!$B$2:$AO$2)-COLUMN(Curves!$B$2)+1&lt;=57-Projects!$C$13+1))),0)</f>
        <v/>
      </c>
      <c r="BH14" s="664">
        <f>IF(AND(Projects!$G$13="Yes",Projects!$F$13="Yes",58&gt;=Projects!$C$13,58&lt;Projects!$C$13+Projects!$D$13),Projects!$B$13*(1-SUMPRODUCT((Curves!$B$2:$AO$2)*(COLUMN(Curves!$B$2:$AO$2)-COLUMN(Curves!$B$2)+1&lt;=58-Projects!$C$13+1))),0)</f>
        <v/>
      </c>
      <c r="BI14" s="664">
        <f>IF(AND(Projects!$G$13="Yes",Projects!$F$13="Yes",59&gt;=Projects!$C$13,59&lt;Projects!$C$13+Projects!$D$13),Projects!$B$13*(1-SUMPRODUCT((Curves!$B$2:$AO$2)*(COLUMN(Curves!$B$2:$AO$2)-COLUMN(Curves!$B$2)+1&lt;=59-Projects!$C$13+1))),0)</f>
        <v/>
      </c>
      <c r="BJ14" s="664">
        <f>IF(AND(Projects!$G$13="Yes",Projects!$F$13="Yes",60&gt;=Projects!$C$13,60&lt;Projects!$C$13+Projects!$D$13),Projects!$B$13*(1-SUMPRODUCT((Curves!$B$2:$AO$2)*(COLUMN(Curves!$B$2:$AO$2)-COLUMN(Curves!$B$2)+1&lt;=60-Projects!$C$13+1))),0)</f>
        <v/>
      </c>
      <c r="BK14" s="664">
        <f>IF(AND(Projects!$G$13="Yes",Projects!$F$13="Yes",61&gt;=Projects!$C$13,61&lt;Projects!$C$13+Projects!$D$13),Projects!$B$13*(1-SUMPRODUCT((Curves!$B$2:$AO$2)*(COLUMN(Curves!$B$2:$AO$2)-COLUMN(Curves!$B$2)+1&lt;=61-Projects!$C$13+1))),0)</f>
        <v/>
      </c>
      <c r="BL14" s="664">
        <f>IF(AND(Projects!$G$13="Yes",Projects!$F$13="Yes",62&gt;=Projects!$C$13,62&lt;Projects!$C$13+Projects!$D$13),Projects!$B$13*(1-SUMPRODUCT((Curves!$B$2:$AO$2)*(COLUMN(Curves!$B$2:$AO$2)-COLUMN(Curves!$B$2)+1&lt;=62-Projects!$C$13+1))),0)</f>
        <v/>
      </c>
      <c r="BM14" s="664">
        <f>IF(AND(Projects!$G$13="Yes",Projects!$F$13="Yes",63&gt;=Projects!$C$13,63&lt;Projects!$C$13+Projects!$D$13),Projects!$B$13*(1-SUMPRODUCT((Curves!$B$2:$AO$2)*(COLUMN(Curves!$B$2:$AO$2)-COLUMN(Curves!$B$2)+1&lt;=63-Projects!$C$13+1))),0)</f>
        <v/>
      </c>
      <c r="BN14" s="664">
        <f>IF(AND(Projects!$G$13="Yes",Projects!$F$13="Yes",64&gt;=Projects!$C$13,64&lt;Projects!$C$13+Projects!$D$13),Projects!$B$13*(1-SUMPRODUCT((Curves!$B$2:$AO$2)*(COLUMN(Curves!$B$2:$AO$2)-COLUMN(Curves!$B$2)+1&lt;=64-Projects!$C$13+1))),0)</f>
        <v/>
      </c>
      <c r="BO14" s="664">
        <f>IF(AND(Projects!$G$13="Yes",Projects!$F$13="Yes",65&gt;=Projects!$C$13,65&lt;Projects!$C$13+Projects!$D$13),Projects!$B$13*(1-SUMPRODUCT((Curves!$B$2:$AO$2)*(COLUMN(Curves!$B$2:$AO$2)-COLUMN(Curves!$B$2)+1&lt;=65-Projects!$C$13+1))),0)</f>
        <v/>
      </c>
      <c r="BP14" s="664">
        <f>IF(AND(Projects!$G$13="Yes",Projects!$F$13="Yes",66&gt;=Projects!$C$13,66&lt;Projects!$C$13+Projects!$D$13),Projects!$B$13*(1-SUMPRODUCT((Curves!$B$2:$AO$2)*(COLUMN(Curves!$B$2:$AO$2)-COLUMN(Curves!$B$2)+1&lt;=66-Projects!$C$13+1))),0)</f>
        <v/>
      </c>
      <c r="BQ14" s="664">
        <f>IF(AND(Projects!$G$13="Yes",Projects!$F$13="Yes",67&gt;=Projects!$C$13,67&lt;Projects!$C$13+Projects!$D$13),Projects!$B$13*(1-SUMPRODUCT((Curves!$B$2:$AO$2)*(COLUMN(Curves!$B$2:$AO$2)-COLUMN(Curves!$B$2)+1&lt;=67-Projects!$C$13+1))),0)</f>
        <v/>
      </c>
      <c r="BR14" s="664">
        <f>IF(AND(Projects!$G$13="Yes",Projects!$F$13="Yes",68&gt;=Projects!$C$13,68&lt;Projects!$C$13+Projects!$D$13),Projects!$B$13*(1-SUMPRODUCT((Curves!$B$2:$AO$2)*(COLUMN(Curves!$B$2:$AO$2)-COLUMN(Curves!$B$2)+1&lt;=68-Projects!$C$13+1))),0)</f>
        <v/>
      </c>
      <c r="BS14" s="664">
        <f>IF(AND(Projects!$G$13="Yes",Projects!$F$13="Yes",69&gt;=Projects!$C$13,69&lt;Projects!$C$13+Projects!$D$13),Projects!$B$13*(1-SUMPRODUCT((Curves!$B$2:$AO$2)*(COLUMN(Curves!$B$2:$AO$2)-COLUMN(Curves!$B$2)+1&lt;=69-Projects!$C$13+1))),0)</f>
        <v/>
      </c>
      <c r="BT14" s="664">
        <f>IF(AND(Projects!$G$13="Yes",Projects!$F$13="Yes",70&gt;=Projects!$C$13,70&lt;Projects!$C$13+Projects!$D$13),Projects!$B$13*(1-SUMPRODUCT((Curves!$B$2:$AO$2)*(COLUMN(Curves!$B$2:$AO$2)-COLUMN(Curves!$B$2)+1&lt;=70-Projects!$C$13+1))),0)</f>
        <v/>
      </c>
      <c r="BU14" s="664">
        <f>IF(AND(Projects!$G$13="Yes",Projects!$F$13="Yes",71&gt;=Projects!$C$13,71&lt;Projects!$C$13+Projects!$D$13),Projects!$B$13*(1-SUMPRODUCT((Curves!$B$2:$AO$2)*(COLUMN(Curves!$B$2:$AO$2)-COLUMN(Curves!$B$2)+1&lt;=71-Projects!$C$13+1))),0)</f>
        <v/>
      </c>
      <c r="BV14" s="664">
        <f>IF(AND(Projects!$G$13="Yes",Projects!$F$13="Yes",72&gt;=Projects!$C$13,72&lt;Projects!$C$13+Projects!$D$13),Projects!$B$13*(1-SUMPRODUCT((Curves!$B$2:$AO$2)*(COLUMN(Curves!$B$2:$AO$2)-COLUMN(Curves!$B$2)+1&lt;=72-Projects!$C$13+1))),0)</f>
        <v/>
      </c>
      <c r="BW14" s="664">
        <f>IF(AND(Projects!$G$13="Yes",Projects!$F$13="Yes",73&gt;=Projects!$C$13,73&lt;Projects!$C$13+Projects!$D$13),Projects!$B$13*(1-SUMPRODUCT((Curves!$B$2:$AO$2)*(COLUMN(Curves!$B$2:$AO$2)-COLUMN(Curves!$B$2)+1&lt;=73-Projects!$C$13+1))),0)</f>
        <v/>
      </c>
      <c r="BX14" s="664">
        <f>IF(AND(Projects!$G$13="Yes",Projects!$F$13="Yes",74&gt;=Projects!$C$13,74&lt;Projects!$C$13+Projects!$D$13),Projects!$B$13*(1-SUMPRODUCT((Curves!$B$2:$AO$2)*(COLUMN(Curves!$B$2:$AO$2)-COLUMN(Curves!$B$2)+1&lt;=74-Projects!$C$13+1))),0)</f>
        <v/>
      </c>
      <c r="BY14" s="664">
        <f>IF(AND(Projects!$G$13="Yes",Projects!$F$13="Yes",75&gt;=Projects!$C$13,75&lt;Projects!$C$13+Projects!$D$13),Projects!$B$13*(1-SUMPRODUCT((Curves!$B$2:$AO$2)*(COLUMN(Curves!$B$2:$AO$2)-COLUMN(Curves!$B$2)+1&lt;=75-Projects!$C$13+1))),0)</f>
        <v/>
      </c>
      <c r="BZ14" s="664">
        <f>IF(AND(Projects!$G$13="Yes",Projects!$F$13="Yes",76&gt;=Projects!$C$13,76&lt;Projects!$C$13+Projects!$D$13),Projects!$B$13*(1-SUMPRODUCT((Curves!$B$2:$AO$2)*(COLUMN(Curves!$B$2:$AO$2)-COLUMN(Curves!$B$2)+1&lt;=76-Projects!$C$13+1))),0)</f>
        <v/>
      </c>
      <c r="CA14" s="664">
        <f>IF(AND(Projects!$G$13="Yes",Projects!$F$13="Yes",77&gt;=Projects!$C$13,77&lt;Projects!$C$13+Projects!$D$13),Projects!$B$13*(1-SUMPRODUCT((Curves!$B$2:$AO$2)*(COLUMN(Curves!$B$2:$AO$2)-COLUMN(Curves!$B$2)+1&lt;=77-Projects!$C$13+1))),0)</f>
        <v/>
      </c>
      <c r="CB14" s="664">
        <f>IF(AND(Projects!$G$13="Yes",Projects!$F$13="Yes",78&gt;=Projects!$C$13,78&lt;Projects!$C$13+Projects!$D$13),Projects!$B$13*(1-SUMPRODUCT((Curves!$B$2:$AO$2)*(COLUMN(Curves!$B$2:$AO$2)-COLUMN(Curves!$B$2)+1&lt;=78-Projects!$C$13+1))),0)</f>
        <v/>
      </c>
      <c r="CC14" s="664">
        <f>IF(AND(Projects!$G$13="Yes",Projects!$F$13="Yes",79&gt;=Projects!$C$13,79&lt;Projects!$C$13+Projects!$D$13),Projects!$B$13*(1-SUMPRODUCT((Curves!$B$2:$AO$2)*(COLUMN(Curves!$B$2:$AO$2)-COLUMN(Curves!$B$2)+1&lt;=79-Projects!$C$13+1))),0)</f>
        <v/>
      </c>
      <c r="CD14" s="664">
        <f>IF(AND(Projects!$G$13="Yes",Projects!$F$13="Yes",80&gt;=Projects!$C$13,80&lt;Projects!$C$13+Projects!$D$13),Projects!$B$13*(1-SUMPRODUCT((Curves!$B$2:$AO$2)*(COLUMN(Curves!$B$2:$AO$2)-COLUMN(Curves!$B$2)+1&lt;=80-Projects!$C$13+1))),0)</f>
        <v/>
      </c>
      <c r="CE14" s="664">
        <f>IF(AND(Projects!$G$13="Yes",Projects!$F$13="Yes",81&gt;=Projects!$C$13,81&lt;Projects!$C$13+Projects!$D$13),Projects!$B$13*(1-SUMPRODUCT((Curves!$B$2:$AO$2)*(COLUMN(Curves!$B$2:$AO$2)-COLUMN(Curves!$B$2)+1&lt;=81-Projects!$C$13+1))),0)</f>
        <v/>
      </c>
      <c r="CF14" s="664">
        <f>IF(AND(Projects!$G$13="Yes",Projects!$F$13="Yes",82&gt;=Projects!$C$13,82&lt;Projects!$C$13+Projects!$D$13),Projects!$B$13*(1-SUMPRODUCT((Curves!$B$2:$AO$2)*(COLUMN(Curves!$B$2:$AO$2)-COLUMN(Curves!$B$2)+1&lt;=82-Projects!$C$13+1))),0)</f>
        <v/>
      </c>
      <c r="CG14" s="664">
        <f>IF(AND(Projects!$G$13="Yes",Projects!$F$13="Yes",83&gt;=Projects!$C$13,83&lt;Projects!$C$13+Projects!$D$13),Projects!$B$13*(1-SUMPRODUCT((Curves!$B$2:$AO$2)*(COLUMN(Curves!$B$2:$AO$2)-COLUMN(Curves!$B$2)+1&lt;=83-Projects!$C$13+1))),0)</f>
        <v/>
      </c>
      <c r="CH14" s="664">
        <f>IF(AND(Projects!$G$13="Yes",Projects!$F$13="Yes",84&gt;=Projects!$C$13,84&lt;Projects!$C$13+Projects!$D$13),Projects!$B$13*(1-SUMPRODUCT((Curves!$B$2:$AO$2)*(COLUMN(Curves!$B$2:$AO$2)-COLUMN(Curves!$B$2)+1&lt;=84-Projects!$C$13+1))),0)</f>
        <v/>
      </c>
      <c r="CI14" s="664">
        <f>IF(AND(Projects!$G$13="Yes",Projects!$F$13="Yes",85&gt;=Projects!$C$13,85&lt;Projects!$C$13+Projects!$D$13),Projects!$B$13*(1-SUMPRODUCT((Curves!$B$2:$AO$2)*(COLUMN(Curves!$B$2:$AO$2)-COLUMN(Curves!$B$2)+1&lt;=85-Projects!$C$13+1))),0)</f>
        <v/>
      </c>
      <c r="CJ14" s="664">
        <f>IF(AND(Projects!$G$13="Yes",Projects!$F$13="Yes",86&gt;=Projects!$C$13,86&lt;Projects!$C$13+Projects!$D$13),Projects!$B$13*(1-SUMPRODUCT((Curves!$B$2:$AO$2)*(COLUMN(Curves!$B$2:$AO$2)-COLUMN(Curves!$B$2)+1&lt;=86-Projects!$C$13+1))),0)</f>
        <v/>
      </c>
      <c r="CK14" s="664">
        <f>IF(AND(Projects!$G$13="Yes",Projects!$F$13="Yes",87&gt;=Projects!$C$13,87&lt;Projects!$C$13+Projects!$D$13),Projects!$B$13*(1-SUMPRODUCT((Curves!$B$2:$AO$2)*(COLUMN(Curves!$B$2:$AO$2)-COLUMN(Curves!$B$2)+1&lt;=87-Projects!$C$13+1))),0)</f>
        <v/>
      </c>
      <c r="CL14" s="664">
        <f>IF(AND(Projects!$G$13="Yes",Projects!$F$13="Yes",88&gt;=Projects!$C$13,88&lt;Projects!$C$13+Projects!$D$13),Projects!$B$13*(1-SUMPRODUCT((Curves!$B$2:$AO$2)*(COLUMN(Curves!$B$2:$AO$2)-COLUMN(Curves!$B$2)+1&lt;=88-Projects!$C$13+1))),0)</f>
        <v/>
      </c>
      <c r="CM14" s="664">
        <f>IF(AND(Projects!$G$13="Yes",Projects!$F$13="Yes",89&gt;=Projects!$C$13,89&lt;Projects!$C$13+Projects!$D$13),Projects!$B$13*(1-SUMPRODUCT((Curves!$B$2:$AO$2)*(COLUMN(Curves!$B$2:$AO$2)-COLUMN(Curves!$B$2)+1&lt;=89-Projects!$C$13+1))),0)</f>
        <v/>
      </c>
      <c r="CN14" s="664">
        <f>IF(AND(Projects!$G$13="Yes",Projects!$F$13="Yes",90&gt;=Projects!$C$13,90&lt;Projects!$C$13+Projects!$D$13),Projects!$B$13*(1-SUMPRODUCT((Curves!$B$2:$AO$2)*(COLUMN(Curves!$B$2:$AO$2)-COLUMN(Curves!$B$2)+1&lt;=90-Projects!$C$13+1))),0)</f>
        <v/>
      </c>
      <c r="CO14" s="664">
        <f>IF(AND(Projects!$G$13="Yes",Projects!$F$13="Yes",91&gt;=Projects!$C$13,91&lt;Projects!$C$13+Projects!$D$13),Projects!$B$13*(1-SUMPRODUCT((Curves!$B$2:$AO$2)*(COLUMN(Curves!$B$2:$AO$2)-COLUMN(Curves!$B$2)+1&lt;=91-Projects!$C$13+1))),0)</f>
        <v/>
      </c>
      <c r="CP14" s="664">
        <f>IF(AND(Projects!$G$13="Yes",Projects!$F$13="Yes",92&gt;=Projects!$C$13,92&lt;Projects!$C$13+Projects!$D$13),Projects!$B$13*(1-SUMPRODUCT((Curves!$B$2:$AO$2)*(COLUMN(Curves!$B$2:$AO$2)-COLUMN(Curves!$B$2)+1&lt;=92-Projects!$C$13+1))),0)</f>
        <v/>
      </c>
      <c r="CQ14" s="664">
        <f>IF(AND(Projects!$G$13="Yes",Projects!$F$13="Yes",93&gt;=Projects!$C$13,93&lt;Projects!$C$13+Projects!$D$13),Projects!$B$13*(1-SUMPRODUCT((Curves!$B$2:$AO$2)*(COLUMN(Curves!$B$2:$AO$2)-COLUMN(Curves!$B$2)+1&lt;=93-Projects!$C$13+1))),0)</f>
        <v/>
      </c>
    </row>
    <row r="15" ht="15" customFormat="1" customHeight="1" s="380">
      <c r="A15" s="550" t="inlineStr">
        <is>
          <t>3rd St</t>
        </is>
      </c>
      <c r="C15" s="664">
        <f>IF(AND(Projects!$G$14="Yes",Projects!$F$14="Yes",1&gt;=Projects!$C$14,1&lt;Projects!$C$14+Projects!$D$14),Projects!$B$14*(1-SUMPRODUCT((Curves!$B$2:$AO$2)*(COLUMN(Curves!$B$2:$AO$2)-COLUMN(Curves!$B$2)+1&lt;=1-Projects!$C$14+1))),0)</f>
        <v/>
      </c>
      <c r="D15" s="664">
        <f>IF(AND(Projects!$G$14="Yes",Projects!$F$14="Yes",2&gt;=Projects!$C$14,2&lt;Projects!$C$14+Projects!$D$14),Projects!$B$14*(1-SUMPRODUCT((Curves!$B$2:$AO$2)*(COLUMN(Curves!$B$2:$AO$2)-COLUMN(Curves!$B$2)+1&lt;=2-Projects!$C$14+1))),0)</f>
        <v/>
      </c>
      <c r="E15" s="664">
        <f>IF(AND(Projects!$G$14="Yes",Projects!$F$14="Yes",3&gt;=Projects!$C$14,3&lt;Projects!$C$14+Projects!$D$14),Projects!$B$14*(1-SUMPRODUCT((Curves!$B$2:$AO$2)*(COLUMN(Curves!$B$2:$AO$2)-COLUMN(Curves!$B$2)+1&lt;=3-Projects!$C$14+1))),0)</f>
        <v/>
      </c>
      <c r="F15" s="664">
        <f>IF(AND(Projects!$G$14="Yes",Projects!$F$14="Yes",4&gt;=Projects!$C$14,4&lt;Projects!$C$14+Projects!$D$14),Projects!$B$14*(1-SUMPRODUCT((Curves!$B$2:$AO$2)*(COLUMN(Curves!$B$2:$AO$2)-COLUMN(Curves!$B$2)+1&lt;=4-Projects!$C$14+1))),0)</f>
        <v/>
      </c>
      <c r="G15" s="664">
        <f>IF(AND(Projects!$G$14="Yes",Projects!$F$14="Yes",5&gt;=Projects!$C$14,5&lt;Projects!$C$14+Projects!$D$14),Projects!$B$14*(1-SUMPRODUCT((Curves!$B$2:$AO$2)*(COLUMN(Curves!$B$2:$AO$2)-COLUMN(Curves!$B$2)+1&lt;=5-Projects!$C$14+1))),0)</f>
        <v/>
      </c>
      <c r="H15" s="664">
        <f>IF(AND(Projects!$G$14="Yes",Projects!$F$14="Yes",6&gt;=Projects!$C$14,6&lt;Projects!$C$14+Projects!$D$14),Projects!$B$14*(1-SUMPRODUCT((Curves!$B$2:$AO$2)*(COLUMN(Curves!$B$2:$AO$2)-COLUMN(Curves!$B$2)+1&lt;=6-Projects!$C$14+1))),0)</f>
        <v/>
      </c>
      <c r="I15" s="664">
        <f>IF(AND(Projects!$G$14="Yes",Projects!$F$14="Yes",7&gt;=Projects!$C$14,7&lt;Projects!$C$14+Projects!$D$14),Projects!$B$14*(1-SUMPRODUCT((Curves!$B$2:$AO$2)*(COLUMN(Curves!$B$2:$AO$2)-COLUMN(Curves!$B$2)+1&lt;=7-Projects!$C$14+1))),0)</f>
        <v/>
      </c>
      <c r="J15" s="664">
        <f>IF(AND(Projects!$G$14="Yes",Projects!$F$14="Yes",8&gt;=Projects!$C$14,8&lt;Projects!$C$14+Projects!$D$14),Projects!$B$14*(1-SUMPRODUCT((Curves!$B$2:$AO$2)*(COLUMN(Curves!$B$2:$AO$2)-COLUMN(Curves!$B$2)+1&lt;=8-Projects!$C$14+1))),0)</f>
        <v/>
      </c>
      <c r="K15" s="664">
        <f>IF(AND(Projects!$G$14="Yes",Projects!$F$14="Yes",9&gt;=Projects!$C$14,9&lt;Projects!$C$14+Projects!$D$14),Projects!$B$14*(1-SUMPRODUCT((Curves!$B$2:$AO$2)*(COLUMN(Curves!$B$2:$AO$2)-COLUMN(Curves!$B$2)+1&lt;=9-Projects!$C$14+1))),0)</f>
        <v/>
      </c>
      <c r="L15" s="664">
        <f>IF(AND(Projects!$G$14="Yes",Projects!$F$14="Yes",10&gt;=Projects!$C$14,10&lt;Projects!$C$14+Projects!$D$14),Projects!$B$14*(1-SUMPRODUCT((Curves!$B$2:$AO$2)*(COLUMN(Curves!$B$2:$AO$2)-COLUMN(Curves!$B$2)+1&lt;=10-Projects!$C$14+1))),0)</f>
        <v/>
      </c>
      <c r="M15" s="664">
        <f>IF(AND(Projects!$G$14="Yes",Projects!$F$14="Yes",11&gt;=Projects!$C$14,11&lt;Projects!$C$14+Projects!$D$14),Projects!$B$14*(1-SUMPRODUCT((Curves!$B$2:$AO$2)*(COLUMN(Curves!$B$2:$AO$2)-COLUMN(Curves!$B$2)+1&lt;=11-Projects!$C$14+1))),0)</f>
        <v/>
      </c>
      <c r="N15" s="664">
        <f>IF(AND(Projects!$G$14="Yes",Projects!$F$14="Yes",12&gt;=Projects!$C$14,12&lt;Projects!$C$14+Projects!$D$14),Projects!$B$14*(1-SUMPRODUCT((Curves!$B$2:$AO$2)*(COLUMN(Curves!$B$2:$AO$2)-COLUMN(Curves!$B$2)+1&lt;=12-Projects!$C$14+1))),0)</f>
        <v/>
      </c>
      <c r="O15" s="664">
        <f>IF(AND(Projects!$G$14="Yes",Projects!$F$14="Yes",13&gt;=Projects!$C$14,13&lt;Projects!$C$14+Projects!$D$14),Projects!$B$14*(1-SUMPRODUCT((Curves!$B$2:$AO$2)*(COLUMN(Curves!$B$2:$AO$2)-COLUMN(Curves!$B$2)+1&lt;=13-Projects!$C$14+1))),0)</f>
        <v/>
      </c>
      <c r="P15" s="664">
        <f>IF(AND(Projects!$G$14="Yes",Projects!$F$14="Yes",14&gt;=Projects!$C$14,14&lt;Projects!$C$14+Projects!$D$14),Projects!$B$14*(1-SUMPRODUCT((Curves!$B$2:$AO$2)*(COLUMN(Curves!$B$2:$AO$2)-COLUMN(Curves!$B$2)+1&lt;=14-Projects!$C$14+1))),0)</f>
        <v/>
      </c>
      <c r="Q15" s="664">
        <f>IF(AND(Projects!$G$14="Yes",Projects!$F$14="Yes",15&gt;=Projects!$C$14,15&lt;Projects!$C$14+Projects!$D$14),Projects!$B$14*(1-SUMPRODUCT((Curves!$B$2:$AO$2)*(COLUMN(Curves!$B$2:$AO$2)-COLUMN(Curves!$B$2)+1&lt;=15-Projects!$C$14+1))),0)</f>
        <v/>
      </c>
      <c r="R15" s="664">
        <f>IF(AND(Projects!$G$14="Yes",Projects!$F$14="Yes",16&gt;=Projects!$C$14,16&lt;Projects!$C$14+Projects!$D$14),Projects!$B$14*(1-SUMPRODUCT((Curves!$B$2:$AO$2)*(COLUMN(Curves!$B$2:$AO$2)-COLUMN(Curves!$B$2)+1&lt;=16-Projects!$C$14+1))),0)</f>
        <v/>
      </c>
      <c r="S15" s="664">
        <f>IF(AND(Projects!$G$14="Yes",Projects!$F$14="Yes",17&gt;=Projects!$C$14,17&lt;Projects!$C$14+Projects!$D$14),Projects!$B$14*(1-SUMPRODUCT((Curves!$B$2:$AO$2)*(COLUMN(Curves!$B$2:$AO$2)-COLUMN(Curves!$B$2)+1&lt;=17-Projects!$C$14+1))),0)</f>
        <v/>
      </c>
      <c r="T15" s="664">
        <f>IF(AND(Projects!$G$14="Yes",Projects!$F$14="Yes",18&gt;=Projects!$C$14,18&lt;Projects!$C$14+Projects!$D$14),Projects!$B$14*(1-SUMPRODUCT((Curves!$B$2:$AO$2)*(COLUMN(Curves!$B$2:$AO$2)-COLUMN(Curves!$B$2)+1&lt;=18-Projects!$C$14+1))),0)</f>
        <v/>
      </c>
      <c r="U15" s="664">
        <f>IF(AND(Projects!$G$14="Yes",Projects!$F$14="Yes",19&gt;=Projects!$C$14,19&lt;Projects!$C$14+Projects!$D$14),Projects!$B$14*(1-SUMPRODUCT((Curves!$B$2:$AO$2)*(COLUMN(Curves!$B$2:$AO$2)-COLUMN(Curves!$B$2)+1&lt;=19-Projects!$C$14+1))),0)</f>
        <v/>
      </c>
      <c r="V15" s="664">
        <f>IF(AND(Projects!$G$14="Yes",Projects!$F$14="Yes",20&gt;=Projects!$C$14,20&lt;Projects!$C$14+Projects!$D$14),Projects!$B$14*(1-SUMPRODUCT((Curves!$B$2:$AO$2)*(COLUMN(Curves!$B$2:$AO$2)-COLUMN(Curves!$B$2)+1&lt;=20-Projects!$C$14+1))),0)</f>
        <v/>
      </c>
      <c r="W15" s="664">
        <f>IF(AND(Projects!$G$14="Yes",Projects!$F$14="Yes",21&gt;=Projects!$C$14,21&lt;Projects!$C$14+Projects!$D$14),Projects!$B$14*(1-SUMPRODUCT((Curves!$B$2:$AO$2)*(COLUMN(Curves!$B$2:$AO$2)-COLUMN(Curves!$B$2)+1&lt;=21-Projects!$C$14+1))),0)</f>
        <v/>
      </c>
      <c r="X15" s="664">
        <f>IF(AND(Projects!$G$14="Yes",Projects!$F$14="Yes",22&gt;=Projects!$C$14,22&lt;Projects!$C$14+Projects!$D$14),Projects!$B$14*(1-SUMPRODUCT((Curves!$B$2:$AO$2)*(COLUMN(Curves!$B$2:$AO$2)-COLUMN(Curves!$B$2)+1&lt;=22-Projects!$C$14+1))),0)</f>
        <v/>
      </c>
      <c r="Y15" s="664">
        <f>IF(AND(Projects!$G$14="Yes",Projects!$F$14="Yes",23&gt;=Projects!$C$14,23&lt;Projects!$C$14+Projects!$D$14),Projects!$B$14*(1-SUMPRODUCT((Curves!$B$2:$AO$2)*(COLUMN(Curves!$B$2:$AO$2)-COLUMN(Curves!$B$2)+1&lt;=23-Projects!$C$14+1))),0)</f>
        <v/>
      </c>
      <c r="Z15" s="664">
        <f>IF(AND(Projects!$G$14="Yes",Projects!$F$14="Yes",24&gt;=Projects!$C$14,24&lt;Projects!$C$14+Projects!$D$14),Projects!$B$14*(1-SUMPRODUCT((Curves!$B$2:$AO$2)*(COLUMN(Curves!$B$2:$AO$2)-COLUMN(Curves!$B$2)+1&lt;=24-Projects!$C$14+1))),0)</f>
        <v/>
      </c>
      <c r="AA15" s="664">
        <f>IF(AND(Projects!$G$14="Yes",Projects!$F$14="Yes",25&gt;=Projects!$C$14,25&lt;Projects!$C$14+Projects!$D$14),Projects!$B$14*(1-SUMPRODUCT((Curves!$B$2:$AO$2)*(COLUMN(Curves!$B$2:$AO$2)-COLUMN(Curves!$B$2)+1&lt;=25-Projects!$C$14+1))),0)</f>
        <v/>
      </c>
      <c r="AB15" s="664">
        <f>IF(AND(Projects!$G$14="Yes",Projects!$F$14="Yes",26&gt;=Projects!$C$14,26&lt;Projects!$C$14+Projects!$D$14),Projects!$B$14*(1-SUMPRODUCT((Curves!$B$2:$AO$2)*(COLUMN(Curves!$B$2:$AO$2)-COLUMN(Curves!$B$2)+1&lt;=26-Projects!$C$14+1))),0)</f>
        <v/>
      </c>
      <c r="AC15" s="664">
        <f>IF(AND(Projects!$G$14="Yes",Projects!$F$14="Yes",27&gt;=Projects!$C$14,27&lt;Projects!$C$14+Projects!$D$14),Projects!$B$14*(1-SUMPRODUCT((Curves!$B$2:$AO$2)*(COLUMN(Curves!$B$2:$AO$2)-COLUMN(Curves!$B$2)+1&lt;=27-Projects!$C$14+1))),0)</f>
        <v/>
      </c>
      <c r="AD15" s="664">
        <f>IF(AND(Projects!$G$14="Yes",Projects!$F$14="Yes",28&gt;=Projects!$C$14,28&lt;Projects!$C$14+Projects!$D$14),Projects!$B$14*(1-SUMPRODUCT((Curves!$B$2:$AO$2)*(COLUMN(Curves!$B$2:$AO$2)-COLUMN(Curves!$B$2)+1&lt;=28-Projects!$C$14+1))),0)</f>
        <v/>
      </c>
      <c r="AE15" s="664">
        <f>IF(AND(Projects!$G$14="Yes",Projects!$F$14="Yes",29&gt;=Projects!$C$14,29&lt;Projects!$C$14+Projects!$D$14),Projects!$B$14*(1-SUMPRODUCT((Curves!$B$2:$AO$2)*(COLUMN(Curves!$B$2:$AO$2)-COLUMN(Curves!$B$2)+1&lt;=29-Projects!$C$14+1))),0)</f>
        <v/>
      </c>
      <c r="AF15" s="664">
        <f>IF(AND(Projects!$G$14="Yes",Projects!$F$14="Yes",30&gt;=Projects!$C$14,30&lt;Projects!$C$14+Projects!$D$14),Projects!$B$14*(1-SUMPRODUCT((Curves!$B$2:$AO$2)*(COLUMN(Curves!$B$2:$AO$2)-COLUMN(Curves!$B$2)+1&lt;=30-Projects!$C$14+1))),0)</f>
        <v/>
      </c>
      <c r="AG15" s="664">
        <f>IF(AND(Projects!$G$14="Yes",Projects!$F$14="Yes",31&gt;=Projects!$C$14,31&lt;Projects!$C$14+Projects!$D$14),Projects!$B$14*(1-SUMPRODUCT((Curves!$B$2:$AO$2)*(COLUMN(Curves!$B$2:$AO$2)-COLUMN(Curves!$B$2)+1&lt;=31-Projects!$C$14+1))),0)</f>
        <v/>
      </c>
      <c r="AH15" s="664">
        <f>IF(AND(Projects!$G$14="Yes",Projects!$F$14="Yes",32&gt;=Projects!$C$14,32&lt;Projects!$C$14+Projects!$D$14),Projects!$B$14*(1-SUMPRODUCT((Curves!$B$2:$AO$2)*(COLUMN(Curves!$B$2:$AO$2)-COLUMN(Curves!$B$2)+1&lt;=32-Projects!$C$14+1))),0)</f>
        <v/>
      </c>
      <c r="AI15" s="664">
        <f>IF(AND(Projects!$G$14="Yes",Projects!$F$14="Yes",33&gt;=Projects!$C$14,33&lt;Projects!$C$14+Projects!$D$14),Projects!$B$14*(1-SUMPRODUCT((Curves!$B$2:$AO$2)*(COLUMN(Curves!$B$2:$AO$2)-COLUMN(Curves!$B$2)+1&lt;=33-Projects!$C$14+1))),0)</f>
        <v/>
      </c>
      <c r="AJ15" s="664">
        <f>IF(AND(Projects!$G$14="Yes",Projects!$F$14="Yes",34&gt;=Projects!$C$14,34&lt;Projects!$C$14+Projects!$D$14),Projects!$B$14*(1-SUMPRODUCT((Curves!$B$2:$AO$2)*(COLUMN(Curves!$B$2:$AO$2)-COLUMN(Curves!$B$2)+1&lt;=34-Projects!$C$14+1))),0)</f>
        <v/>
      </c>
      <c r="AK15" s="664">
        <f>IF(AND(Projects!$G$14="Yes",Projects!$F$14="Yes",35&gt;=Projects!$C$14,35&lt;Projects!$C$14+Projects!$D$14),Projects!$B$14*(1-SUMPRODUCT((Curves!$B$2:$AO$2)*(COLUMN(Curves!$B$2:$AO$2)-COLUMN(Curves!$B$2)+1&lt;=35-Projects!$C$14+1))),0)</f>
        <v/>
      </c>
      <c r="AL15" s="664">
        <f>IF(AND(Projects!$G$14="Yes",Projects!$F$14="Yes",36&gt;=Projects!$C$14,36&lt;Projects!$C$14+Projects!$D$14),Projects!$B$14*(1-SUMPRODUCT((Curves!$B$2:$AO$2)*(COLUMN(Curves!$B$2:$AO$2)-COLUMN(Curves!$B$2)+1&lt;=36-Projects!$C$14+1))),0)</f>
        <v/>
      </c>
      <c r="AM15" s="664">
        <f>IF(AND(Projects!$G$14="Yes",Projects!$F$14="Yes",37&gt;=Projects!$C$14,37&lt;Projects!$C$14+Projects!$D$14),Projects!$B$14*(1-SUMPRODUCT((Curves!$B$2:$AO$2)*(COLUMN(Curves!$B$2:$AO$2)-COLUMN(Curves!$B$2)+1&lt;=37-Projects!$C$14+1))),0)</f>
        <v/>
      </c>
      <c r="AN15" s="664">
        <f>IF(AND(Projects!$G$14="Yes",Projects!$F$14="Yes",38&gt;=Projects!$C$14,38&lt;Projects!$C$14+Projects!$D$14),Projects!$B$14*(1-SUMPRODUCT((Curves!$B$2:$AO$2)*(COLUMN(Curves!$B$2:$AO$2)-COLUMN(Curves!$B$2)+1&lt;=38-Projects!$C$14+1))),0)</f>
        <v/>
      </c>
      <c r="AO15" s="664">
        <f>IF(AND(Projects!$G$14="Yes",Projects!$F$14="Yes",39&gt;=Projects!$C$14,39&lt;Projects!$C$14+Projects!$D$14),Projects!$B$14*(1-SUMPRODUCT((Curves!$B$2:$AO$2)*(COLUMN(Curves!$B$2:$AO$2)-COLUMN(Curves!$B$2)+1&lt;=39-Projects!$C$14+1))),0)</f>
        <v/>
      </c>
      <c r="AP15" s="664">
        <f>IF(AND(Projects!$G$14="Yes",Projects!$F$14="Yes",40&gt;=Projects!$C$14,40&lt;Projects!$C$14+Projects!$D$14),Projects!$B$14*(1-SUMPRODUCT((Curves!$B$2:$AO$2)*(COLUMN(Curves!$B$2:$AO$2)-COLUMN(Curves!$B$2)+1&lt;=40-Projects!$C$14+1))),0)</f>
        <v/>
      </c>
      <c r="AQ15" s="664">
        <f>IF(AND(Projects!$G$14="Yes",Projects!$F$14="Yes",41&gt;=Projects!$C$14,41&lt;Projects!$C$14+Projects!$D$14),Projects!$B$14*(1-SUMPRODUCT((Curves!$B$2:$AO$2)*(COLUMN(Curves!$B$2:$AO$2)-COLUMN(Curves!$B$2)+1&lt;=41-Projects!$C$14+1))),0)</f>
        <v/>
      </c>
      <c r="AR15" s="664">
        <f>IF(AND(Projects!$G$14="Yes",Projects!$F$14="Yes",42&gt;=Projects!$C$14,42&lt;Projects!$C$14+Projects!$D$14),Projects!$B$14*(1-SUMPRODUCT((Curves!$B$2:$AO$2)*(COLUMN(Curves!$B$2:$AO$2)-COLUMN(Curves!$B$2)+1&lt;=42-Projects!$C$14+1))),0)</f>
        <v/>
      </c>
      <c r="AS15" s="664">
        <f>IF(AND(Projects!$G$14="Yes",Projects!$F$14="Yes",43&gt;=Projects!$C$14,43&lt;Projects!$C$14+Projects!$D$14),Projects!$B$14*(1-SUMPRODUCT((Curves!$B$2:$AO$2)*(COLUMN(Curves!$B$2:$AO$2)-COLUMN(Curves!$B$2)+1&lt;=43-Projects!$C$14+1))),0)</f>
        <v/>
      </c>
      <c r="AT15" s="664">
        <f>IF(AND(Projects!$G$14="Yes",Projects!$F$14="Yes",44&gt;=Projects!$C$14,44&lt;Projects!$C$14+Projects!$D$14),Projects!$B$14*(1-SUMPRODUCT((Curves!$B$2:$AO$2)*(COLUMN(Curves!$B$2:$AO$2)-COLUMN(Curves!$B$2)+1&lt;=44-Projects!$C$14+1))),0)</f>
        <v/>
      </c>
      <c r="AU15" s="664">
        <f>IF(AND(Projects!$G$14="Yes",Projects!$F$14="Yes",45&gt;=Projects!$C$14,45&lt;Projects!$C$14+Projects!$D$14),Projects!$B$14*(1-SUMPRODUCT((Curves!$B$2:$AO$2)*(COLUMN(Curves!$B$2:$AO$2)-COLUMN(Curves!$B$2)+1&lt;=45-Projects!$C$14+1))),0)</f>
        <v/>
      </c>
      <c r="AV15" s="664">
        <f>IF(AND(Projects!$G$14="Yes",Projects!$F$14="Yes",46&gt;=Projects!$C$14,46&lt;Projects!$C$14+Projects!$D$14),Projects!$B$14*(1-SUMPRODUCT((Curves!$B$2:$AO$2)*(COLUMN(Curves!$B$2:$AO$2)-COLUMN(Curves!$B$2)+1&lt;=46-Projects!$C$14+1))),0)</f>
        <v/>
      </c>
      <c r="AW15" s="664">
        <f>IF(AND(Projects!$G$14="Yes",Projects!$F$14="Yes",47&gt;=Projects!$C$14,47&lt;Projects!$C$14+Projects!$D$14),Projects!$B$14*(1-SUMPRODUCT((Curves!$B$2:$AO$2)*(COLUMN(Curves!$B$2:$AO$2)-COLUMN(Curves!$B$2)+1&lt;=47-Projects!$C$14+1))),0)</f>
        <v/>
      </c>
      <c r="AX15" s="664">
        <f>IF(AND(Projects!$G$14="Yes",Projects!$F$14="Yes",48&gt;=Projects!$C$14,48&lt;Projects!$C$14+Projects!$D$14),Projects!$B$14*(1-SUMPRODUCT((Curves!$B$2:$AO$2)*(COLUMN(Curves!$B$2:$AO$2)-COLUMN(Curves!$B$2)+1&lt;=48-Projects!$C$14+1))),0)</f>
        <v/>
      </c>
      <c r="AY15" s="664">
        <f>IF(AND(Projects!$G$14="Yes",Projects!$F$14="Yes",49&gt;=Projects!$C$14,49&lt;Projects!$C$14+Projects!$D$14),Projects!$B$14*(1-SUMPRODUCT((Curves!$B$2:$AO$2)*(COLUMN(Curves!$B$2:$AO$2)-COLUMN(Curves!$B$2)+1&lt;=49-Projects!$C$14+1))),0)</f>
        <v/>
      </c>
      <c r="AZ15" s="664">
        <f>IF(AND(Projects!$G$14="Yes",Projects!$F$14="Yes",50&gt;=Projects!$C$14,50&lt;Projects!$C$14+Projects!$D$14),Projects!$B$14*(1-SUMPRODUCT((Curves!$B$2:$AO$2)*(COLUMN(Curves!$B$2:$AO$2)-COLUMN(Curves!$B$2)+1&lt;=50-Projects!$C$14+1))),0)</f>
        <v/>
      </c>
      <c r="BA15" s="664">
        <f>IF(AND(Projects!$G$14="Yes",Projects!$F$14="Yes",51&gt;=Projects!$C$14,51&lt;Projects!$C$14+Projects!$D$14),Projects!$B$14*(1-SUMPRODUCT((Curves!$B$2:$AO$2)*(COLUMN(Curves!$B$2:$AO$2)-COLUMN(Curves!$B$2)+1&lt;=51-Projects!$C$14+1))),0)</f>
        <v/>
      </c>
      <c r="BB15" s="664">
        <f>IF(AND(Projects!$G$14="Yes",Projects!$F$14="Yes",52&gt;=Projects!$C$14,52&lt;Projects!$C$14+Projects!$D$14),Projects!$B$14*(1-SUMPRODUCT((Curves!$B$2:$AO$2)*(COLUMN(Curves!$B$2:$AO$2)-COLUMN(Curves!$B$2)+1&lt;=52-Projects!$C$14+1))),0)</f>
        <v/>
      </c>
      <c r="BC15" s="664">
        <f>IF(AND(Projects!$G$14="Yes",Projects!$F$14="Yes",53&gt;=Projects!$C$14,53&lt;Projects!$C$14+Projects!$D$14),Projects!$B$14*(1-SUMPRODUCT((Curves!$B$2:$AO$2)*(COLUMN(Curves!$B$2:$AO$2)-COLUMN(Curves!$B$2)+1&lt;=53-Projects!$C$14+1))),0)</f>
        <v/>
      </c>
      <c r="BD15" s="664">
        <f>IF(AND(Projects!$G$14="Yes",Projects!$F$14="Yes",54&gt;=Projects!$C$14,54&lt;Projects!$C$14+Projects!$D$14),Projects!$B$14*(1-SUMPRODUCT((Curves!$B$2:$AO$2)*(COLUMN(Curves!$B$2:$AO$2)-COLUMN(Curves!$B$2)+1&lt;=54-Projects!$C$14+1))),0)</f>
        <v/>
      </c>
      <c r="BE15" s="664">
        <f>IF(AND(Projects!$G$14="Yes",Projects!$F$14="Yes",55&gt;=Projects!$C$14,55&lt;Projects!$C$14+Projects!$D$14),Projects!$B$14*(1-SUMPRODUCT((Curves!$B$2:$AO$2)*(COLUMN(Curves!$B$2:$AO$2)-COLUMN(Curves!$B$2)+1&lt;=55-Projects!$C$14+1))),0)</f>
        <v/>
      </c>
      <c r="BF15" s="664">
        <f>IF(AND(Projects!$G$14="Yes",Projects!$F$14="Yes",56&gt;=Projects!$C$14,56&lt;Projects!$C$14+Projects!$D$14),Projects!$B$14*(1-SUMPRODUCT((Curves!$B$2:$AO$2)*(COLUMN(Curves!$B$2:$AO$2)-COLUMN(Curves!$B$2)+1&lt;=56-Projects!$C$14+1))),0)</f>
        <v/>
      </c>
      <c r="BG15" s="664">
        <f>IF(AND(Projects!$G$14="Yes",Projects!$F$14="Yes",57&gt;=Projects!$C$14,57&lt;Projects!$C$14+Projects!$D$14),Projects!$B$14*(1-SUMPRODUCT((Curves!$B$2:$AO$2)*(COLUMN(Curves!$B$2:$AO$2)-COLUMN(Curves!$B$2)+1&lt;=57-Projects!$C$14+1))),0)</f>
        <v/>
      </c>
      <c r="BH15" s="664">
        <f>IF(AND(Projects!$G$14="Yes",Projects!$F$14="Yes",58&gt;=Projects!$C$14,58&lt;Projects!$C$14+Projects!$D$14),Projects!$B$14*(1-SUMPRODUCT((Curves!$B$2:$AO$2)*(COLUMN(Curves!$B$2:$AO$2)-COLUMN(Curves!$B$2)+1&lt;=58-Projects!$C$14+1))),0)</f>
        <v/>
      </c>
      <c r="BI15" s="664">
        <f>IF(AND(Projects!$G$14="Yes",Projects!$F$14="Yes",59&gt;=Projects!$C$14,59&lt;Projects!$C$14+Projects!$D$14),Projects!$B$14*(1-SUMPRODUCT((Curves!$B$2:$AO$2)*(COLUMN(Curves!$B$2:$AO$2)-COLUMN(Curves!$B$2)+1&lt;=59-Projects!$C$14+1))),0)</f>
        <v/>
      </c>
      <c r="BJ15" s="664">
        <f>IF(AND(Projects!$G$14="Yes",Projects!$F$14="Yes",60&gt;=Projects!$C$14,60&lt;Projects!$C$14+Projects!$D$14),Projects!$B$14*(1-SUMPRODUCT((Curves!$B$2:$AO$2)*(COLUMN(Curves!$B$2:$AO$2)-COLUMN(Curves!$B$2)+1&lt;=60-Projects!$C$14+1))),0)</f>
        <v/>
      </c>
      <c r="BK15" s="664">
        <f>IF(AND(Projects!$G$14="Yes",Projects!$F$14="Yes",61&gt;=Projects!$C$14,61&lt;Projects!$C$14+Projects!$D$14),Projects!$B$14*(1-SUMPRODUCT((Curves!$B$2:$AO$2)*(COLUMN(Curves!$B$2:$AO$2)-COLUMN(Curves!$B$2)+1&lt;=61-Projects!$C$14+1))),0)</f>
        <v/>
      </c>
      <c r="BL15" s="664">
        <f>IF(AND(Projects!$G$14="Yes",Projects!$F$14="Yes",62&gt;=Projects!$C$14,62&lt;Projects!$C$14+Projects!$D$14),Projects!$B$14*(1-SUMPRODUCT((Curves!$B$2:$AO$2)*(COLUMN(Curves!$B$2:$AO$2)-COLUMN(Curves!$B$2)+1&lt;=62-Projects!$C$14+1))),0)</f>
        <v/>
      </c>
      <c r="BM15" s="664">
        <f>IF(AND(Projects!$G$14="Yes",Projects!$F$14="Yes",63&gt;=Projects!$C$14,63&lt;Projects!$C$14+Projects!$D$14),Projects!$B$14*(1-SUMPRODUCT((Curves!$B$2:$AO$2)*(COLUMN(Curves!$B$2:$AO$2)-COLUMN(Curves!$B$2)+1&lt;=63-Projects!$C$14+1))),0)</f>
        <v/>
      </c>
      <c r="BN15" s="664">
        <f>IF(AND(Projects!$G$14="Yes",Projects!$F$14="Yes",64&gt;=Projects!$C$14,64&lt;Projects!$C$14+Projects!$D$14),Projects!$B$14*(1-SUMPRODUCT((Curves!$B$2:$AO$2)*(COLUMN(Curves!$B$2:$AO$2)-COLUMN(Curves!$B$2)+1&lt;=64-Projects!$C$14+1))),0)</f>
        <v/>
      </c>
      <c r="BO15" s="664">
        <f>IF(AND(Projects!$G$14="Yes",Projects!$F$14="Yes",65&gt;=Projects!$C$14,65&lt;Projects!$C$14+Projects!$D$14),Projects!$B$14*(1-SUMPRODUCT((Curves!$B$2:$AO$2)*(COLUMN(Curves!$B$2:$AO$2)-COLUMN(Curves!$B$2)+1&lt;=65-Projects!$C$14+1))),0)</f>
        <v/>
      </c>
      <c r="BP15" s="664">
        <f>IF(AND(Projects!$G$14="Yes",Projects!$F$14="Yes",66&gt;=Projects!$C$14,66&lt;Projects!$C$14+Projects!$D$14),Projects!$B$14*(1-SUMPRODUCT((Curves!$B$2:$AO$2)*(COLUMN(Curves!$B$2:$AO$2)-COLUMN(Curves!$B$2)+1&lt;=66-Projects!$C$14+1))),0)</f>
        <v/>
      </c>
      <c r="BQ15" s="664">
        <f>IF(AND(Projects!$G$14="Yes",Projects!$F$14="Yes",67&gt;=Projects!$C$14,67&lt;Projects!$C$14+Projects!$D$14),Projects!$B$14*(1-SUMPRODUCT((Curves!$B$2:$AO$2)*(COLUMN(Curves!$B$2:$AO$2)-COLUMN(Curves!$B$2)+1&lt;=67-Projects!$C$14+1))),0)</f>
        <v/>
      </c>
      <c r="BR15" s="664">
        <f>IF(AND(Projects!$G$14="Yes",Projects!$F$14="Yes",68&gt;=Projects!$C$14,68&lt;Projects!$C$14+Projects!$D$14),Projects!$B$14*(1-SUMPRODUCT((Curves!$B$2:$AO$2)*(COLUMN(Curves!$B$2:$AO$2)-COLUMN(Curves!$B$2)+1&lt;=68-Projects!$C$14+1))),0)</f>
        <v/>
      </c>
      <c r="BS15" s="664">
        <f>IF(AND(Projects!$G$14="Yes",Projects!$F$14="Yes",69&gt;=Projects!$C$14,69&lt;Projects!$C$14+Projects!$D$14),Projects!$B$14*(1-SUMPRODUCT((Curves!$B$2:$AO$2)*(COLUMN(Curves!$B$2:$AO$2)-COLUMN(Curves!$B$2)+1&lt;=69-Projects!$C$14+1))),0)</f>
        <v/>
      </c>
      <c r="BT15" s="664">
        <f>IF(AND(Projects!$G$14="Yes",Projects!$F$14="Yes",70&gt;=Projects!$C$14,70&lt;Projects!$C$14+Projects!$D$14),Projects!$B$14*(1-SUMPRODUCT((Curves!$B$2:$AO$2)*(COLUMN(Curves!$B$2:$AO$2)-COLUMN(Curves!$B$2)+1&lt;=70-Projects!$C$14+1))),0)</f>
        <v/>
      </c>
      <c r="BU15" s="664">
        <f>IF(AND(Projects!$G$14="Yes",Projects!$F$14="Yes",71&gt;=Projects!$C$14,71&lt;Projects!$C$14+Projects!$D$14),Projects!$B$14*(1-SUMPRODUCT((Curves!$B$2:$AO$2)*(COLUMN(Curves!$B$2:$AO$2)-COLUMN(Curves!$B$2)+1&lt;=71-Projects!$C$14+1))),0)</f>
        <v/>
      </c>
      <c r="BV15" s="664">
        <f>IF(AND(Projects!$G$14="Yes",Projects!$F$14="Yes",72&gt;=Projects!$C$14,72&lt;Projects!$C$14+Projects!$D$14),Projects!$B$14*(1-SUMPRODUCT((Curves!$B$2:$AO$2)*(COLUMN(Curves!$B$2:$AO$2)-COLUMN(Curves!$B$2)+1&lt;=72-Projects!$C$14+1))),0)</f>
        <v/>
      </c>
      <c r="BW15" s="664">
        <f>IF(AND(Projects!$G$14="Yes",Projects!$F$14="Yes",73&gt;=Projects!$C$14,73&lt;Projects!$C$14+Projects!$D$14),Projects!$B$14*(1-SUMPRODUCT((Curves!$B$2:$AO$2)*(COLUMN(Curves!$B$2:$AO$2)-COLUMN(Curves!$B$2)+1&lt;=73-Projects!$C$14+1))),0)</f>
        <v/>
      </c>
      <c r="BX15" s="664">
        <f>IF(AND(Projects!$G$14="Yes",Projects!$F$14="Yes",74&gt;=Projects!$C$14,74&lt;Projects!$C$14+Projects!$D$14),Projects!$B$14*(1-SUMPRODUCT((Curves!$B$2:$AO$2)*(COLUMN(Curves!$B$2:$AO$2)-COLUMN(Curves!$B$2)+1&lt;=74-Projects!$C$14+1))),0)</f>
        <v/>
      </c>
      <c r="BY15" s="664">
        <f>IF(AND(Projects!$G$14="Yes",Projects!$F$14="Yes",75&gt;=Projects!$C$14,75&lt;Projects!$C$14+Projects!$D$14),Projects!$B$14*(1-SUMPRODUCT((Curves!$B$2:$AO$2)*(COLUMN(Curves!$B$2:$AO$2)-COLUMN(Curves!$B$2)+1&lt;=75-Projects!$C$14+1))),0)</f>
        <v/>
      </c>
      <c r="BZ15" s="664">
        <f>IF(AND(Projects!$G$14="Yes",Projects!$F$14="Yes",76&gt;=Projects!$C$14,76&lt;Projects!$C$14+Projects!$D$14),Projects!$B$14*(1-SUMPRODUCT((Curves!$B$2:$AO$2)*(COLUMN(Curves!$B$2:$AO$2)-COLUMN(Curves!$B$2)+1&lt;=76-Projects!$C$14+1))),0)</f>
        <v/>
      </c>
      <c r="CA15" s="664">
        <f>IF(AND(Projects!$G$14="Yes",Projects!$F$14="Yes",77&gt;=Projects!$C$14,77&lt;Projects!$C$14+Projects!$D$14),Projects!$B$14*(1-SUMPRODUCT((Curves!$B$2:$AO$2)*(COLUMN(Curves!$B$2:$AO$2)-COLUMN(Curves!$B$2)+1&lt;=77-Projects!$C$14+1))),0)</f>
        <v/>
      </c>
      <c r="CB15" s="664">
        <f>IF(AND(Projects!$G$14="Yes",Projects!$F$14="Yes",78&gt;=Projects!$C$14,78&lt;Projects!$C$14+Projects!$D$14),Projects!$B$14*(1-SUMPRODUCT((Curves!$B$2:$AO$2)*(COLUMN(Curves!$B$2:$AO$2)-COLUMN(Curves!$B$2)+1&lt;=78-Projects!$C$14+1))),0)</f>
        <v/>
      </c>
      <c r="CC15" s="664">
        <f>IF(AND(Projects!$G$14="Yes",Projects!$F$14="Yes",79&gt;=Projects!$C$14,79&lt;Projects!$C$14+Projects!$D$14),Projects!$B$14*(1-SUMPRODUCT((Curves!$B$2:$AO$2)*(COLUMN(Curves!$B$2:$AO$2)-COLUMN(Curves!$B$2)+1&lt;=79-Projects!$C$14+1))),0)</f>
        <v/>
      </c>
      <c r="CD15" s="664">
        <f>IF(AND(Projects!$G$14="Yes",Projects!$F$14="Yes",80&gt;=Projects!$C$14,80&lt;Projects!$C$14+Projects!$D$14),Projects!$B$14*(1-SUMPRODUCT((Curves!$B$2:$AO$2)*(COLUMN(Curves!$B$2:$AO$2)-COLUMN(Curves!$B$2)+1&lt;=80-Projects!$C$14+1))),0)</f>
        <v/>
      </c>
      <c r="CE15" s="664">
        <f>IF(AND(Projects!$G$14="Yes",Projects!$F$14="Yes",81&gt;=Projects!$C$14,81&lt;Projects!$C$14+Projects!$D$14),Projects!$B$14*(1-SUMPRODUCT((Curves!$B$2:$AO$2)*(COLUMN(Curves!$B$2:$AO$2)-COLUMN(Curves!$B$2)+1&lt;=81-Projects!$C$14+1))),0)</f>
        <v/>
      </c>
      <c r="CF15" s="664">
        <f>IF(AND(Projects!$G$14="Yes",Projects!$F$14="Yes",82&gt;=Projects!$C$14,82&lt;Projects!$C$14+Projects!$D$14),Projects!$B$14*(1-SUMPRODUCT((Curves!$B$2:$AO$2)*(COLUMN(Curves!$B$2:$AO$2)-COLUMN(Curves!$B$2)+1&lt;=82-Projects!$C$14+1))),0)</f>
        <v/>
      </c>
      <c r="CG15" s="664">
        <f>IF(AND(Projects!$G$14="Yes",Projects!$F$14="Yes",83&gt;=Projects!$C$14,83&lt;Projects!$C$14+Projects!$D$14),Projects!$B$14*(1-SUMPRODUCT((Curves!$B$2:$AO$2)*(COLUMN(Curves!$B$2:$AO$2)-COLUMN(Curves!$B$2)+1&lt;=83-Projects!$C$14+1))),0)</f>
        <v/>
      </c>
      <c r="CH15" s="664">
        <f>IF(AND(Projects!$G$14="Yes",Projects!$F$14="Yes",84&gt;=Projects!$C$14,84&lt;Projects!$C$14+Projects!$D$14),Projects!$B$14*(1-SUMPRODUCT((Curves!$B$2:$AO$2)*(COLUMN(Curves!$B$2:$AO$2)-COLUMN(Curves!$B$2)+1&lt;=84-Projects!$C$14+1))),0)</f>
        <v/>
      </c>
      <c r="CI15" s="664">
        <f>IF(AND(Projects!$G$14="Yes",Projects!$F$14="Yes",85&gt;=Projects!$C$14,85&lt;Projects!$C$14+Projects!$D$14),Projects!$B$14*(1-SUMPRODUCT((Curves!$B$2:$AO$2)*(COLUMN(Curves!$B$2:$AO$2)-COLUMN(Curves!$B$2)+1&lt;=85-Projects!$C$14+1))),0)</f>
        <v/>
      </c>
      <c r="CJ15" s="664">
        <f>IF(AND(Projects!$G$14="Yes",Projects!$F$14="Yes",86&gt;=Projects!$C$14,86&lt;Projects!$C$14+Projects!$D$14),Projects!$B$14*(1-SUMPRODUCT((Curves!$B$2:$AO$2)*(COLUMN(Curves!$B$2:$AO$2)-COLUMN(Curves!$B$2)+1&lt;=86-Projects!$C$14+1))),0)</f>
        <v/>
      </c>
      <c r="CK15" s="664">
        <f>IF(AND(Projects!$G$14="Yes",Projects!$F$14="Yes",87&gt;=Projects!$C$14,87&lt;Projects!$C$14+Projects!$D$14),Projects!$B$14*(1-SUMPRODUCT((Curves!$B$2:$AO$2)*(COLUMN(Curves!$B$2:$AO$2)-COLUMN(Curves!$B$2)+1&lt;=87-Projects!$C$14+1))),0)</f>
        <v/>
      </c>
      <c r="CL15" s="664">
        <f>IF(AND(Projects!$G$14="Yes",Projects!$F$14="Yes",88&gt;=Projects!$C$14,88&lt;Projects!$C$14+Projects!$D$14),Projects!$B$14*(1-SUMPRODUCT((Curves!$B$2:$AO$2)*(COLUMN(Curves!$B$2:$AO$2)-COLUMN(Curves!$B$2)+1&lt;=88-Projects!$C$14+1))),0)</f>
        <v/>
      </c>
      <c r="CM15" s="664">
        <f>IF(AND(Projects!$G$14="Yes",Projects!$F$14="Yes",89&gt;=Projects!$C$14,89&lt;Projects!$C$14+Projects!$D$14),Projects!$B$14*(1-SUMPRODUCT((Curves!$B$2:$AO$2)*(COLUMN(Curves!$B$2:$AO$2)-COLUMN(Curves!$B$2)+1&lt;=89-Projects!$C$14+1))),0)</f>
        <v/>
      </c>
      <c r="CN15" s="664">
        <f>IF(AND(Projects!$G$14="Yes",Projects!$F$14="Yes",90&gt;=Projects!$C$14,90&lt;Projects!$C$14+Projects!$D$14),Projects!$B$14*(1-SUMPRODUCT((Curves!$B$2:$AO$2)*(COLUMN(Curves!$B$2:$AO$2)-COLUMN(Curves!$B$2)+1&lt;=90-Projects!$C$14+1))),0)</f>
        <v/>
      </c>
      <c r="CO15" s="664">
        <f>IF(AND(Projects!$G$14="Yes",Projects!$F$14="Yes",91&gt;=Projects!$C$14,91&lt;Projects!$C$14+Projects!$D$14),Projects!$B$14*(1-SUMPRODUCT((Curves!$B$2:$AO$2)*(COLUMN(Curves!$B$2:$AO$2)-COLUMN(Curves!$B$2)+1&lt;=91-Projects!$C$14+1))),0)</f>
        <v/>
      </c>
      <c r="CP15" s="664">
        <f>IF(AND(Projects!$G$14="Yes",Projects!$F$14="Yes",92&gt;=Projects!$C$14,92&lt;Projects!$C$14+Projects!$D$14),Projects!$B$14*(1-SUMPRODUCT((Curves!$B$2:$AO$2)*(COLUMN(Curves!$B$2:$AO$2)-COLUMN(Curves!$B$2)+1&lt;=92-Projects!$C$14+1))),0)</f>
        <v/>
      </c>
      <c r="CQ15" s="664">
        <f>IF(AND(Projects!$G$14="Yes",Projects!$F$14="Yes",93&gt;=Projects!$C$14,93&lt;Projects!$C$14+Projects!$D$14),Projects!$B$14*(1-SUMPRODUCT((Curves!$B$2:$AO$2)*(COLUMN(Curves!$B$2:$AO$2)-COLUMN(Curves!$B$2)+1&lt;=93-Projects!$C$14+1))),0)</f>
        <v/>
      </c>
    </row>
    <row r="16" ht="15" customFormat="1" customHeight="1" s="380">
      <c r="A16" s="473" t="inlineStr">
        <is>
          <t>Total Bonding Outstanding</t>
        </is>
      </c>
      <c r="C16" s="680">
        <f>SUM(C8:C15)</f>
        <v/>
      </c>
      <c r="D16" s="680">
        <f>SUM(D8:D15)</f>
        <v/>
      </c>
      <c r="E16" s="680">
        <f>SUM(E8:E15)</f>
        <v/>
      </c>
      <c r="F16" s="680">
        <f>SUM(F8:F15)</f>
        <v/>
      </c>
      <c r="G16" s="680">
        <f>SUM(G8:G15)</f>
        <v/>
      </c>
      <c r="H16" s="680">
        <f>SUM(H8:H15)</f>
        <v/>
      </c>
      <c r="I16" s="680">
        <f>SUM(I8:I15)</f>
        <v/>
      </c>
      <c r="J16" s="680">
        <f>SUM(J8:J15)</f>
        <v/>
      </c>
      <c r="K16" s="680">
        <f>SUM(K8:K15)</f>
        <v/>
      </c>
      <c r="L16" s="680">
        <f>SUM(L8:L15)</f>
        <v/>
      </c>
      <c r="M16" s="680">
        <f>SUM(M8:M15)</f>
        <v/>
      </c>
      <c r="N16" s="680">
        <f>SUM(N8:N15)</f>
        <v/>
      </c>
      <c r="O16" s="680">
        <f>SUM(O8:O15)</f>
        <v/>
      </c>
      <c r="P16" s="680">
        <f>SUM(P8:P15)</f>
        <v/>
      </c>
      <c r="Q16" s="680">
        <f>SUM(Q8:Q15)</f>
        <v/>
      </c>
      <c r="R16" s="680">
        <f>SUM(R8:R15)</f>
        <v/>
      </c>
      <c r="S16" s="680">
        <f>SUM(S8:S15)</f>
        <v/>
      </c>
      <c r="T16" s="680">
        <f>SUM(T8:T15)</f>
        <v/>
      </c>
      <c r="U16" s="680">
        <f>SUM(U8:U15)</f>
        <v/>
      </c>
      <c r="V16" s="680">
        <f>SUM(V8:V15)</f>
        <v/>
      </c>
      <c r="W16" s="680">
        <f>SUM(W8:W15)</f>
        <v/>
      </c>
      <c r="X16" s="680">
        <f>SUM(X8:X15)</f>
        <v/>
      </c>
      <c r="Y16" s="680">
        <f>SUM(Y8:Y15)</f>
        <v/>
      </c>
      <c r="Z16" s="680">
        <f>SUM(Z8:Z15)</f>
        <v/>
      </c>
      <c r="AA16" s="680">
        <f>SUM(AA8:AA15)</f>
        <v/>
      </c>
      <c r="AB16" s="680">
        <f>SUM(AB8:AB15)</f>
        <v/>
      </c>
      <c r="AC16" s="680">
        <f>SUM(AC8:AC15)</f>
        <v/>
      </c>
      <c r="AD16" s="680">
        <f>SUM(AD8:AD15)</f>
        <v/>
      </c>
      <c r="AE16" s="680">
        <f>SUM(AE8:AE15)</f>
        <v/>
      </c>
      <c r="AF16" s="680">
        <f>SUM(AF8:AF15)</f>
        <v/>
      </c>
      <c r="AG16" s="680">
        <f>SUM(AG8:AG15)</f>
        <v/>
      </c>
      <c r="AH16" s="680">
        <f>SUM(AH8:AH15)</f>
        <v/>
      </c>
      <c r="AI16" s="680">
        <f>SUM(AI8:AI15)</f>
        <v/>
      </c>
      <c r="AJ16" s="680">
        <f>SUM(AJ8:AJ15)</f>
        <v/>
      </c>
      <c r="AK16" s="680">
        <f>SUM(AK8:AK15)</f>
        <v/>
      </c>
      <c r="AL16" s="680">
        <f>SUM(AL8:AL15)</f>
        <v/>
      </c>
      <c r="AM16" s="680">
        <f>SUM(AM8:AM15)</f>
        <v/>
      </c>
      <c r="AN16" s="680">
        <f>SUM(AN8:AN15)</f>
        <v/>
      </c>
      <c r="AO16" s="680">
        <f>SUM(AO8:AO15)</f>
        <v/>
      </c>
      <c r="AP16" s="680">
        <f>SUM(AP8:AP15)</f>
        <v/>
      </c>
      <c r="AQ16" s="680">
        <f>SUM(AQ8:AQ15)</f>
        <v/>
      </c>
      <c r="AR16" s="680">
        <f>SUM(AR8:AR15)</f>
        <v/>
      </c>
      <c r="AS16" s="680">
        <f>SUM(AS8:AS15)</f>
        <v/>
      </c>
      <c r="AT16" s="680">
        <f>SUM(AT8:AT15)</f>
        <v/>
      </c>
      <c r="AU16" s="680">
        <f>SUM(AU8:AU15)</f>
        <v/>
      </c>
      <c r="AV16" s="680">
        <f>SUM(AV8:AV15)</f>
        <v/>
      </c>
      <c r="AW16" s="680">
        <f>SUM(AW8:AW15)</f>
        <v/>
      </c>
      <c r="AX16" s="680">
        <f>SUM(AX8:AX15)</f>
        <v/>
      </c>
      <c r="AY16" s="680">
        <f>SUM(AY8:AY15)</f>
        <v/>
      </c>
      <c r="AZ16" s="680">
        <f>SUM(AZ8:AZ15)</f>
        <v/>
      </c>
      <c r="BA16" s="680">
        <f>SUM(BA8:BA15)</f>
        <v/>
      </c>
      <c r="BB16" s="680">
        <f>SUM(BB8:BB15)</f>
        <v/>
      </c>
      <c r="BC16" s="680">
        <f>SUM(BC8:BC15)</f>
        <v/>
      </c>
      <c r="BD16" s="680">
        <f>SUM(BD8:BD15)</f>
        <v/>
      </c>
      <c r="BE16" s="680">
        <f>SUM(BE8:BE15)</f>
        <v/>
      </c>
      <c r="BF16" s="680">
        <f>SUM(BF8:BF15)</f>
        <v/>
      </c>
      <c r="BG16" s="680">
        <f>SUM(BG8:BG15)</f>
        <v/>
      </c>
      <c r="BH16" s="680">
        <f>SUM(BH8:BH15)</f>
        <v/>
      </c>
      <c r="BI16" s="680">
        <f>SUM(BI8:BI15)</f>
        <v/>
      </c>
      <c r="BJ16" s="680">
        <f>SUM(BJ8:BJ15)</f>
        <v/>
      </c>
      <c r="BK16" s="680">
        <f>SUM(BK8:BK15)</f>
        <v/>
      </c>
      <c r="BL16" s="680">
        <f>SUM(BL8:BL15)</f>
        <v/>
      </c>
      <c r="BM16" s="680">
        <f>SUM(BM8:BM15)</f>
        <v/>
      </c>
      <c r="BN16" s="680">
        <f>SUM(BN8:BN15)</f>
        <v/>
      </c>
      <c r="BO16" s="680">
        <f>SUM(BO8:BO15)</f>
        <v/>
      </c>
      <c r="BP16" s="680">
        <f>SUM(BP8:BP15)</f>
        <v/>
      </c>
      <c r="BQ16" s="680">
        <f>SUM(BQ8:BQ15)</f>
        <v/>
      </c>
      <c r="BR16" s="680">
        <f>SUM(BR8:BR15)</f>
        <v/>
      </c>
      <c r="BS16" s="680">
        <f>SUM(BS8:BS15)</f>
        <v/>
      </c>
      <c r="BT16" s="680">
        <f>SUM(BT8:BT15)</f>
        <v/>
      </c>
      <c r="BU16" s="680">
        <f>SUM(BU8:BU15)</f>
        <v/>
      </c>
      <c r="BV16" s="680">
        <f>SUM(BV8:BV15)</f>
        <v/>
      </c>
      <c r="BW16" s="680">
        <f>SUM(BW8:BW15)</f>
        <v/>
      </c>
      <c r="BX16" s="680">
        <f>SUM(BX8:BX15)</f>
        <v/>
      </c>
      <c r="BY16" s="680">
        <f>SUM(BY8:BY15)</f>
        <v/>
      </c>
      <c r="BZ16" s="680">
        <f>SUM(BZ8:BZ15)</f>
        <v/>
      </c>
      <c r="CA16" s="680">
        <f>SUM(CA8:CA15)</f>
        <v/>
      </c>
      <c r="CB16" s="680">
        <f>SUM(CB8:CB15)</f>
        <v/>
      </c>
      <c r="CC16" s="680">
        <f>SUM(CC8:CC15)</f>
        <v/>
      </c>
      <c r="CD16" s="680">
        <f>SUM(CD8:CD15)</f>
        <v/>
      </c>
      <c r="CE16" s="680">
        <f>SUM(CE8:CE15)</f>
        <v/>
      </c>
      <c r="CF16" s="680">
        <f>SUM(CF8:CF15)</f>
        <v/>
      </c>
      <c r="CG16" s="680">
        <f>SUM(CG8:CG15)</f>
        <v/>
      </c>
      <c r="CH16" s="680">
        <f>SUM(CH8:CH15)</f>
        <v/>
      </c>
      <c r="CI16" s="680">
        <f>SUM(CI8:CI15)</f>
        <v/>
      </c>
      <c r="CJ16" s="680">
        <f>SUM(CJ8:CJ15)</f>
        <v/>
      </c>
      <c r="CK16" s="680">
        <f>SUM(CK8:CK15)</f>
        <v/>
      </c>
      <c r="CL16" s="680">
        <f>SUM(CL8:CL15)</f>
        <v/>
      </c>
      <c r="CM16" s="680">
        <f>SUM(CM8:CM15)</f>
        <v/>
      </c>
      <c r="CN16" s="680">
        <f>SUM(CN8:CN15)</f>
        <v/>
      </c>
      <c r="CO16" s="680">
        <f>SUM(CO8:CO15)</f>
        <v/>
      </c>
      <c r="CP16" s="680">
        <f>SUM(CP8:CP15)</f>
        <v/>
      </c>
      <c r="CQ16" s="680">
        <f>SUM(CQ8:CQ15)</f>
        <v/>
      </c>
    </row>
    <row r="18" ht="15" customFormat="1" customHeight="1" s="380">
      <c r="A18" s="402" t="inlineStr">
        <is>
          <t>Steyn Fee Balance Tracking</t>
        </is>
      </c>
      <c r="B18" s="402" t="n"/>
      <c r="C18" s="402" t="n"/>
      <c r="D18" s="402" t="n"/>
      <c r="E18" s="402" t="n"/>
      <c r="F18" s="402" t="n"/>
      <c r="G18" s="402" t="n"/>
      <c r="H18" s="402" t="n"/>
      <c r="I18" s="402" t="n"/>
      <c r="J18" s="402" t="n"/>
      <c r="K18" s="402" t="n"/>
      <c r="L18" s="402" t="n"/>
      <c r="M18" s="402" t="n"/>
      <c r="N18" s="402" t="n"/>
      <c r="O18" s="402" t="n"/>
      <c r="P18" s="402" t="n"/>
      <c r="Q18" s="402" t="n"/>
      <c r="R18" s="402" t="n"/>
      <c r="S18" s="402" t="n"/>
      <c r="T18" s="402" t="n"/>
      <c r="U18" s="402" t="n"/>
      <c r="V18" s="402" t="n"/>
      <c r="W18" s="402" t="n"/>
      <c r="X18" s="402" t="n"/>
      <c r="Y18" s="402" t="n"/>
      <c r="Z18" s="402" t="n"/>
      <c r="AA18" s="402" t="n"/>
      <c r="AB18" s="402" t="n"/>
      <c r="AC18" s="402" t="n"/>
      <c r="AD18" s="402" t="n"/>
      <c r="AE18" s="402" t="n"/>
      <c r="AF18" s="402" t="n"/>
      <c r="AG18" s="402" t="n"/>
      <c r="AH18" s="402" t="n"/>
      <c r="AI18" s="402" t="n"/>
      <c r="AJ18" s="402" t="n"/>
      <c r="AK18" s="402" t="n"/>
      <c r="AL18" s="402" t="n"/>
      <c r="AM18" s="402" t="n"/>
      <c r="AN18" s="402" t="n"/>
      <c r="AO18" s="402" t="n"/>
      <c r="AP18" s="402" t="n"/>
      <c r="AQ18" s="402" t="n"/>
      <c r="AR18" s="402" t="n"/>
      <c r="AS18" s="402" t="n"/>
      <c r="AT18" s="402" t="n"/>
      <c r="AU18" s="402" t="n"/>
      <c r="AV18" s="402" t="n"/>
      <c r="AW18" s="402" t="n"/>
      <c r="AX18" s="402" t="n"/>
      <c r="AY18" s="402" t="n"/>
      <c r="AZ18" s="402" t="n"/>
      <c r="BA18" s="402" t="n"/>
      <c r="BB18" s="402" t="n"/>
      <c r="BC18" s="402" t="n"/>
      <c r="BD18" s="402" t="n"/>
      <c r="BE18" s="402" t="n"/>
      <c r="BF18" s="402" t="n"/>
      <c r="BG18" s="402" t="n"/>
      <c r="BH18" s="402" t="n"/>
      <c r="BI18" s="402" t="n"/>
      <c r="BJ18" s="402" t="n"/>
      <c r="BK18" s="402" t="n"/>
      <c r="BL18" s="402" t="n"/>
      <c r="BM18" s="402" t="n"/>
      <c r="BN18" s="402" t="n"/>
      <c r="BO18" s="402" t="n"/>
      <c r="BP18" s="402" t="n"/>
      <c r="BQ18" s="402" t="n"/>
      <c r="BR18" s="402" t="n"/>
      <c r="BS18" s="402" t="n"/>
      <c r="BT18" s="402" t="n"/>
      <c r="BU18" s="402" t="n"/>
      <c r="BV18" s="402" t="n"/>
      <c r="BW18" s="402" t="n"/>
      <c r="BX18" s="402" t="n"/>
      <c r="BY18" s="402" t="n"/>
      <c r="BZ18" s="402" t="n"/>
      <c r="CA18" s="402" t="n"/>
      <c r="CB18" s="402" t="n"/>
      <c r="CC18" s="402" t="n"/>
      <c r="CD18" s="402" t="n"/>
      <c r="CE18" s="402" t="n"/>
      <c r="CF18" s="402" t="n"/>
      <c r="CG18" s="402" t="n"/>
      <c r="CH18" s="402" t="n"/>
    </row>
    <row r="19" ht="15" customFormat="1" customHeight="1" s="380">
      <c r="A19" s="550" t="inlineStr">
        <is>
          <t>Francis Steyn - Beginning Balance</t>
        </is>
      </c>
      <c r="C19" s="664">
        <f>IF(Projects!$G$7="Yes",Projects!$B$7*Assumptions!$B$47+Assumptions!$B$53*Assumptions!$B$48,0)</f>
        <v/>
      </c>
      <c r="D19" s="664">
        <f>C21</f>
        <v/>
      </c>
      <c r="E19" s="664">
        <f>D21</f>
        <v/>
      </c>
      <c r="F19" s="664">
        <f>E21</f>
        <v/>
      </c>
      <c r="G19" s="664">
        <f>F21</f>
        <v/>
      </c>
      <c r="H19" s="664">
        <f>G21</f>
        <v/>
      </c>
      <c r="I19" s="664">
        <f>H21</f>
        <v/>
      </c>
      <c r="J19" s="664">
        <f>I21</f>
        <v/>
      </c>
      <c r="K19" s="664">
        <f>J21</f>
        <v/>
      </c>
      <c r="L19" s="664">
        <f>K21</f>
        <v/>
      </c>
      <c r="M19" s="664">
        <f>L21</f>
        <v/>
      </c>
      <c r="N19" s="664">
        <f>M21</f>
        <v/>
      </c>
      <c r="O19" s="664">
        <f>N21</f>
        <v/>
      </c>
      <c r="P19" s="664">
        <f>O21</f>
        <v/>
      </c>
      <c r="Q19" s="664">
        <f>P21</f>
        <v/>
      </c>
      <c r="R19" s="664">
        <f>Q21</f>
        <v/>
      </c>
      <c r="S19" s="664">
        <f>R21</f>
        <v/>
      </c>
      <c r="T19" s="664">
        <f>S21</f>
        <v/>
      </c>
      <c r="U19" s="664">
        <f>T21</f>
        <v/>
      </c>
      <c r="V19" s="664">
        <f>U21</f>
        <v/>
      </c>
      <c r="W19" s="664">
        <f>V21</f>
        <v/>
      </c>
      <c r="X19" s="664">
        <f>W21</f>
        <v/>
      </c>
      <c r="Y19" s="664">
        <f>X21</f>
        <v/>
      </c>
      <c r="Z19" s="664">
        <f>Y21</f>
        <v/>
      </c>
      <c r="AA19" s="664">
        <f>Z21</f>
        <v/>
      </c>
      <c r="AB19" s="664">
        <f>AA21</f>
        <v/>
      </c>
      <c r="AC19" s="664">
        <f>AB21</f>
        <v/>
      </c>
      <c r="AD19" s="664">
        <f>AC21</f>
        <v/>
      </c>
      <c r="AE19" s="664">
        <f>AD21</f>
        <v/>
      </c>
      <c r="AF19" s="664">
        <f>AE21</f>
        <v/>
      </c>
      <c r="AG19" s="664">
        <f>AF21</f>
        <v/>
      </c>
      <c r="AH19" s="664">
        <f>AG21</f>
        <v/>
      </c>
      <c r="AI19" s="664">
        <f>AH21</f>
        <v/>
      </c>
      <c r="AJ19" s="664">
        <f>AI21</f>
        <v/>
      </c>
      <c r="AK19" s="664">
        <f>AJ21</f>
        <v/>
      </c>
      <c r="AL19" s="664">
        <f>AK21</f>
        <v/>
      </c>
      <c r="AM19" s="664">
        <f>AL21</f>
        <v/>
      </c>
      <c r="AN19" s="664">
        <f>AM21</f>
        <v/>
      </c>
      <c r="AO19" s="664">
        <f>AN21</f>
        <v/>
      </c>
      <c r="AP19" s="664">
        <f>AO21</f>
        <v/>
      </c>
      <c r="AQ19" s="664">
        <f>AP21</f>
        <v/>
      </c>
      <c r="AR19" s="664">
        <f>AQ21</f>
        <v/>
      </c>
      <c r="AS19" s="664">
        <f>AR21</f>
        <v/>
      </c>
      <c r="AT19" s="664">
        <f>AS21</f>
        <v/>
      </c>
      <c r="AU19" s="664">
        <f>AT21</f>
        <v/>
      </c>
      <c r="AV19" s="664">
        <f>AU21</f>
        <v/>
      </c>
      <c r="AW19" s="664">
        <f>AV21</f>
        <v/>
      </c>
      <c r="AX19" s="664">
        <f>AW21</f>
        <v/>
      </c>
      <c r="AY19" s="664">
        <f>AX21</f>
        <v/>
      </c>
      <c r="AZ19" s="664">
        <f>AY21</f>
        <v/>
      </c>
      <c r="BA19" s="664">
        <f>AZ21</f>
        <v/>
      </c>
      <c r="BB19" s="664">
        <f>BA21</f>
        <v/>
      </c>
      <c r="BC19" s="664">
        <f>BB21</f>
        <v/>
      </c>
      <c r="BD19" s="664">
        <f>BC21</f>
        <v/>
      </c>
      <c r="BE19" s="664">
        <f>BD21</f>
        <v/>
      </c>
      <c r="BF19" s="664">
        <f>BE21</f>
        <v/>
      </c>
      <c r="BG19" s="664">
        <f>BF21</f>
        <v/>
      </c>
      <c r="BH19" s="664">
        <f>BG21</f>
        <v/>
      </c>
      <c r="BI19" s="664">
        <f>BH21</f>
        <v/>
      </c>
      <c r="BJ19" s="664">
        <f>BI21</f>
        <v/>
      </c>
      <c r="BK19" s="664">
        <f>BJ21</f>
        <v/>
      </c>
      <c r="BL19" s="664">
        <f>BK21</f>
        <v/>
      </c>
      <c r="BM19" s="664">
        <f>BL21</f>
        <v/>
      </c>
      <c r="BN19" s="664">
        <f>BM21</f>
        <v/>
      </c>
      <c r="BO19" s="664">
        <f>BN21</f>
        <v/>
      </c>
      <c r="BP19" s="664">
        <f>BO21</f>
        <v/>
      </c>
      <c r="BQ19" s="664">
        <f>BP21</f>
        <v/>
      </c>
      <c r="BR19" s="664">
        <f>BQ21</f>
        <v/>
      </c>
      <c r="BS19" s="664">
        <f>BR21</f>
        <v/>
      </c>
      <c r="BT19" s="664">
        <f>BS21</f>
        <v/>
      </c>
      <c r="BU19" s="664">
        <f>BT21</f>
        <v/>
      </c>
      <c r="BV19" s="664">
        <f>BU21</f>
        <v/>
      </c>
      <c r="BW19" s="664">
        <f>BV21</f>
        <v/>
      </c>
      <c r="BX19" s="664">
        <f>BW21</f>
        <v/>
      </c>
      <c r="BY19" s="664">
        <f>BX21</f>
        <v/>
      </c>
      <c r="BZ19" s="664">
        <f>BY21</f>
        <v/>
      </c>
      <c r="CA19" s="664">
        <f>BZ21</f>
        <v/>
      </c>
      <c r="CB19" s="664">
        <f>CA21</f>
        <v/>
      </c>
      <c r="CC19" s="664">
        <f>CB21</f>
        <v/>
      </c>
      <c r="CD19" s="664">
        <f>CC21</f>
        <v/>
      </c>
      <c r="CE19" s="664">
        <f>CD21</f>
        <v/>
      </c>
      <c r="CF19" s="664">
        <f>CE21</f>
        <v/>
      </c>
      <c r="CG19" s="664">
        <f>CF21</f>
        <v/>
      </c>
      <c r="CH19" s="664">
        <f>CG21</f>
        <v/>
      </c>
      <c r="CI19" s="664">
        <f>CH21</f>
        <v/>
      </c>
      <c r="CJ19" s="664">
        <f>CI21</f>
        <v/>
      </c>
      <c r="CK19" s="664">
        <f>CJ21</f>
        <v/>
      </c>
      <c r="CL19" s="664">
        <f>CK21</f>
        <v/>
      </c>
      <c r="CM19" s="664">
        <f>CL21</f>
        <v/>
      </c>
      <c r="CN19" s="664">
        <f>CM21</f>
        <v/>
      </c>
      <c r="CO19" s="664">
        <f>CN21</f>
        <v/>
      </c>
      <c r="CP19" s="664">
        <f>CO21</f>
        <v/>
      </c>
      <c r="CQ19" s="664">
        <f>CP21</f>
        <v/>
      </c>
    </row>
    <row r="20" ht="15" customFormat="1" customHeight="1" s="380">
      <c r="A20" s="681" t="inlineStr">
        <is>
          <t>Francis Steyn - Payment</t>
        </is>
      </c>
      <c r="C20" s="682">
        <f>MIN(C19,Model!E164)</f>
        <v/>
      </c>
      <c r="D20" s="682">
        <f>MIN(D19,Model!F164)</f>
        <v/>
      </c>
      <c r="E20" s="682">
        <f>MIN(E19,Model!G164)</f>
        <v/>
      </c>
      <c r="F20" s="682">
        <f>MIN(F19,Model!H164)</f>
        <v/>
      </c>
      <c r="G20" s="682">
        <f>MIN(G19,Model!I164)</f>
        <v/>
      </c>
      <c r="H20" s="682">
        <f>MIN(H19,Model!J164)</f>
        <v/>
      </c>
      <c r="I20" s="682">
        <f>MIN(I19,Model!K164)</f>
        <v/>
      </c>
      <c r="J20" s="682">
        <f>MIN(J19,Model!L164)</f>
        <v/>
      </c>
      <c r="K20" s="682">
        <f>MIN(K19,Model!M164)</f>
        <v/>
      </c>
      <c r="L20" s="682">
        <f>MIN(L19,Model!N164)</f>
        <v/>
      </c>
      <c r="M20" s="682">
        <f>MIN(M19,Model!O164)</f>
        <v/>
      </c>
      <c r="N20" s="682">
        <f>MIN(N19,Model!P164)</f>
        <v/>
      </c>
      <c r="O20" s="682">
        <f>MIN(O19,Model!Q164)</f>
        <v/>
      </c>
      <c r="P20" s="682">
        <f>MIN(P19,Model!R164)</f>
        <v/>
      </c>
      <c r="Q20" s="682">
        <f>MIN(Q19,Model!S164)</f>
        <v/>
      </c>
      <c r="R20" s="682">
        <f>MIN(R19,Model!T164)</f>
        <v/>
      </c>
      <c r="S20" s="682">
        <f>MIN(S19,Model!U164)</f>
        <v/>
      </c>
      <c r="T20" s="682">
        <f>MIN(T19,Model!V164)</f>
        <v/>
      </c>
      <c r="U20" s="682">
        <f>MIN(U19,Model!W164)</f>
        <v/>
      </c>
      <c r="V20" s="682">
        <f>MIN(V19,Model!X164)</f>
        <v/>
      </c>
      <c r="W20" s="682">
        <f>MIN(W19,Model!Y164)</f>
        <v/>
      </c>
      <c r="X20" s="682">
        <f>MIN(X19,Model!Z164)</f>
        <v/>
      </c>
      <c r="Y20" s="682">
        <f>MIN(Y19,Model!AA164)</f>
        <v/>
      </c>
      <c r="Z20" s="682">
        <f>MIN(Z19,Model!AB164)</f>
        <v/>
      </c>
      <c r="AA20" s="682">
        <f>MIN(AA19,Model!AC164)</f>
        <v/>
      </c>
      <c r="AB20" s="682">
        <f>MIN(AB19,Model!AD164)</f>
        <v/>
      </c>
      <c r="AC20" s="682">
        <f>MIN(AC19,Model!AE164)</f>
        <v/>
      </c>
      <c r="AD20" s="682">
        <f>MIN(AD19,Model!AF164)</f>
        <v/>
      </c>
      <c r="AE20" s="682">
        <f>MIN(AE19,Model!AG164)</f>
        <v/>
      </c>
      <c r="AF20" s="682">
        <f>MIN(AF19,Model!AH164)</f>
        <v/>
      </c>
      <c r="AG20" s="682">
        <f>MIN(AG19,Model!AI164)</f>
        <v/>
      </c>
      <c r="AH20" s="682">
        <f>MIN(AH19,Model!AJ164)</f>
        <v/>
      </c>
      <c r="AI20" s="682">
        <f>MIN(AI19,Model!AK164)</f>
        <v/>
      </c>
      <c r="AJ20" s="682">
        <f>MIN(AJ19,Model!AL164)</f>
        <v/>
      </c>
      <c r="AK20" s="682">
        <f>MIN(AK19,Model!AM164)</f>
        <v/>
      </c>
      <c r="AL20" s="682">
        <f>MIN(AL19,Model!AN164)</f>
        <v/>
      </c>
      <c r="AM20" s="682">
        <f>MIN(AM19,Model!AO164)</f>
        <v/>
      </c>
      <c r="AN20" s="682">
        <f>MIN(AN19,Model!AP164)</f>
        <v/>
      </c>
      <c r="AO20" s="682">
        <f>MIN(AO19,Model!AQ164)</f>
        <v/>
      </c>
      <c r="AP20" s="682">
        <f>MIN(AP19,Model!AR164)</f>
        <v/>
      </c>
      <c r="AQ20" s="682">
        <f>MIN(AQ19,Model!AS164)</f>
        <v/>
      </c>
      <c r="AR20" s="682">
        <f>MIN(AR19,Model!AT164)</f>
        <v/>
      </c>
      <c r="AS20" s="682">
        <f>MIN(AS19,Model!AU164)</f>
        <v/>
      </c>
      <c r="AT20" s="682">
        <f>MIN(AT19,Model!AV164)</f>
        <v/>
      </c>
      <c r="AU20" s="682">
        <f>MIN(AU19,Model!AW164)</f>
        <v/>
      </c>
      <c r="AV20" s="682">
        <f>MIN(AV19,Model!AX164)</f>
        <v/>
      </c>
      <c r="AW20" s="682">
        <f>MIN(AW19,Model!AY164)</f>
        <v/>
      </c>
      <c r="AX20" s="682">
        <f>MIN(AX19,Model!AZ164)</f>
        <v/>
      </c>
      <c r="AY20" s="682">
        <f>MIN(AY19,Model!BA164)</f>
        <v/>
      </c>
      <c r="AZ20" s="682">
        <f>MIN(AZ19,Model!BB164)</f>
        <v/>
      </c>
      <c r="BA20" s="682">
        <f>MIN(BA19,Model!BC164)</f>
        <v/>
      </c>
      <c r="BB20" s="682">
        <f>MIN(BB19,Model!BD164)</f>
        <v/>
      </c>
      <c r="BC20" s="682">
        <f>MIN(BC19,Model!BE164)</f>
        <v/>
      </c>
      <c r="BD20" s="682">
        <f>MIN(BD19,Model!BF164)</f>
        <v/>
      </c>
      <c r="BE20" s="682">
        <f>MIN(BE19,Model!BG164)</f>
        <v/>
      </c>
      <c r="BF20" s="682">
        <f>MIN(BF19,Model!BH164)</f>
        <v/>
      </c>
      <c r="BG20" s="682">
        <f>MIN(BG19,Model!BI164)</f>
        <v/>
      </c>
      <c r="BH20" s="682">
        <f>MIN(BH19,Model!BJ164)</f>
        <v/>
      </c>
      <c r="BI20" s="682">
        <f>MIN(BI19,Model!BK164)</f>
        <v/>
      </c>
      <c r="BJ20" s="682">
        <f>MIN(BJ19,Model!BL164)</f>
        <v/>
      </c>
      <c r="BK20" s="682">
        <f>MIN(BK19,Model!BM164)</f>
        <v/>
      </c>
      <c r="BL20" s="682">
        <f>MIN(BL19,Model!BN164)</f>
        <v/>
      </c>
      <c r="BM20" s="682">
        <f>MIN(BM19,Model!BO164)</f>
        <v/>
      </c>
      <c r="BN20" s="682">
        <f>MIN(BN19,Model!BP164)</f>
        <v/>
      </c>
      <c r="BO20" s="682">
        <f>MIN(BO19,Model!BQ164)</f>
        <v/>
      </c>
      <c r="BP20" s="682">
        <f>MIN(BP19,Model!BR164)</f>
        <v/>
      </c>
      <c r="BQ20" s="682">
        <f>MIN(BQ19,Model!BS164)</f>
        <v/>
      </c>
      <c r="BR20" s="682">
        <f>MIN(BR19,Model!BT164)</f>
        <v/>
      </c>
      <c r="BS20" s="682">
        <f>MIN(BS19,Model!BU164)</f>
        <v/>
      </c>
      <c r="BT20" s="682">
        <f>MIN(BT19,Model!BV164)</f>
        <v/>
      </c>
      <c r="BU20" s="682">
        <f>MIN(BU19,Model!BW164)</f>
        <v/>
      </c>
      <c r="BV20" s="682">
        <f>MIN(BV19,Model!BX164)</f>
        <v/>
      </c>
      <c r="BW20" s="682">
        <f>MIN(BW19,Model!BY164)</f>
        <v/>
      </c>
      <c r="BX20" s="682">
        <f>MIN(BX19,Model!BZ164)</f>
        <v/>
      </c>
      <c r="BY20" s="682">
        <f>MIN(BY19,Model!CA164)</f>
        <v/>
      </c>
      <c r="BZ20" s="682">
        <f>MIN(BZ19,Model!CB164)</f>
        <v/>
      </c>
      <c r="CA20" s="682">
        <f>MIN(CA19,Model!CC164)</f>
        <v/>
      </c>
      <c r="CB20" s="682">
        <f>MIN(CB19,Model!CD164)</f>
        <v/>
      </c>
      <c r="CC20" s="682">
        <f>MIN(CC19,Model!CE164)</f>
        <v/>
      </c>
      <c r="CD20" s="682">
        <f>MIN(CD19,Model!CF164)</f>
        <v/>
      </c>
      <c r="CE20" s="682">
        <f>MIN(CE19,Model!CG164)</f>
        <v/>
      </c>
      <c r="CF20" s="682">
        <f>MIN(CF19,Model!CH164)</f>
        <v/>
      </c>
      <c r="CG20" s="682">
        <f>MIN(CG19,Model!CI164)</f>
        <v/>
      </c>
      <c r="CH20" s="682">
        <f>MIN(CH19,Model!CJ164)</f>
        <v/>
      </c>
      <c r="CI20" s="682">
        <f>MIN(CI19,Model!CK164)</f>
        <v/>
      </c>
      <c r="CJ20" s="682">
        <f>MIN(CJ19,Model!CL164)</f>
        <v/>
      </c>
      <c r="CK20" s="682">
        <f>MIN(CK19,Model!CM164)</f>
        <v/>
      </c>
      <c r="CL20" s="682">
        <f>MIN(CL19,Model!CN164)</f>
        <v/>
      </c>
      <c r="CM20" s="682">
        <f>MIN(CM19,Model!CO164)</f>
        <v/>
      </c>
      <c r="CN20" s="682">
        <f>MIN(CN19,Model!CP164)</f>
        <v/>
      </c>
      <c r="CO20" s="682">
        <f>MIN(CO19,Model!CQ164)</f>
        <v/>
      </c>
      <c r="CP20" s="682">
        <f>MIN(CP19,Model!CR164)</f>
        <v/>
      </c>
      <c r="CQ20" s="682">
        <f>MIN(CQ19,Model!CS164)</f>
        <v/>
      </c>
    </row>
    <row r="21" ht="15" customFormat="1" customHeight="1" s="380">
      <c r="A21" s="473" t="inlineStr">
        <is>
          <t>Francis Steyn - Ending Balance</t>
        </is>
      </c>
      <c r="C21" s="680">
        <f>MAX(0,C19-C20)</f>
        <v/>
      </c>
      <c r="D21" s="680">
        <f>MAX(0,D19-D20)</f>
        <v/>
      </c>
      <c r="E21" s="680">
        <f>MAX(0,E19-E20)</f>
        <v/>
      </c>
      <c r="F21" s="680">
        <f>MAX(0,F19-F20)</f>
        <v/>
      </c>
      <c r="G21" s="680">
        <f>MAX(0,G19-G20)</f>
        <v/>
      </c>
      <c r="H21" s="680">
        <f>MAX(0,H19-H20)</f>
        <v/>
      </c>
      <c r="I21" s="680">
        <f>MAX(0,I19-I20)</f>
        <v/>
      </c>
      <c r="J21" s="680">
        <f>MAX(0,J19-J20)</f>
        <v/>
      </c>
      <c r="K21" s="680">
        <f>MAX(0,K19-K20)</f>
        <v/>
      </c>
      <c r="L21" s="680">
        <f>MAX(0,L19-L20)</f>
        <v/>
      </c>
      <c r="M21" s="680">
        <f>MAX(0,M19-M20)</f>
        <v/>
      </c>
      <c r="N21" s="680">
        <f>MAX(0,N19-N20)</f>
        <v/>
      </c>
      <c r="O21" s="680">
        <f>MAX(0,O19-O20)</f>
        <v/>
      </c>
      <c r="P21" s="680">
        <f>MAX(0,P19-P20)</f>
        <v/>
      </c>
      <c r="Q21" s="680">
        <f>MAX(0,Q19-Q20)</f>
        <v/>
      </c>
      <c r="R21" s="680">
        <f>MAX(0,R19-R20)</f>
        <v/>
      </c>
      <c r="S21" s="680">
        <f>MAX(0,S19-S20)</f>
        <v/>
      </c>
      <c r="T21" s="680">
        <f>MAX(0,T19-T20)</f>
        <v/>
      </c>
      <c r="U21" s="680">
        <f>MAX(0,U19-U20)</f>
        <v/>
      </c>
      <c r="V21" s="680">
        <f>MAX(0,V19-V20)</f>
        <v/>
      </c>
      <c r="W21" s="680">
        <f>MAX(0,W19-W20)</f>
        <v/>
      </c>
      <c r="X21" s="680">
        <f>MAX(0,X19-X20)</f>
        <v/>
      </c>
      <c r="Y21" s="680">
        <f>MAX(0,Y19-Y20)</f>
        <v/>
      </c>
      <c r="Z21" s="680">
        <f>MAX(0,Z19-Z20)</f>
        <v/>
      </c>
      <c r="AA21" s="680">
        <f>MAX(0,AA19-AA20)</f>
        <v/>
      </c>
      <c r="AB21" s="680">
        <f>MAX(0,AB19-AB20)</f>
        <v/>
      </c>
      <c r="AC21" s="680">
        <f>MAX(0,AC19-AC20)</f>
        <v/>
      </c>
      <c r="AD21" s="680">
        <f>MAX(0,AD19-AD20)</f>
        <v/>
      </c>
      <c r="AE21" s="680">
        <f>MAX(0,AE19-AE20)</f>
        <v/>
      </c>
      <c r="AF21" s="680">
        <f>MAX(0,AF19-AF20)</f>
        <v/>
      </c>
      <c r="AG21" s="680">
        <f>MAX(0,AG19-AG20)</f>
        <v/>
      </c>
      <c r="AH21" s="680">
        <f>MAX(0,AH19-AH20)</f>
        <v/>
      </c>
      <c r="AI21" s="680">
        <f>MAX(0,AI19-AI20)</f>
        <v/>
      </c>
      <c r="AJ21" s="680">
        <f>MAX(0,AJ19-AJ20)</f>
        <v/>
      </c>
      <c r="AK21" s="680">
        <f>MAX(0,AK19-AK20)</f>
        <v/>
      </c>
      <c r="AL21" s="680">
        <f>MAX(0,AL19-AL20)</f>
        <v/>
      </c>
      <c r="AM21" s="680">
        <f>MAX(0,AM19-AM20)</f>
        <v/>
      </c>
      <c r="AN21" s="680">
        <f>MAX(0,AN19-AN20)</f>
        <v/>
      </c>
      <c r="AO21" s="680">
        <f>MAX(0,AO19-AO20)</f>
        <v/>
      </c>
      <c r="AP21" s="680">
        <f>MAX(0,AP19-AP20)</f>
        <v/>
      </c>
      <c r="AQ21" s="680">
        <f>MAX(0,AQ19-AQ20)</f>
        <v/>
      </c>
      <c r="AR21" s="680">
        <f>MAX(0,AR19-AR20)</f>
        <v/>
      </c>
      <c r="AS21" s="680">
        <f>MAX(0,AS19-AS20)</f>
        <v/>
      </c>
      <c r="AT21" s="680">
        <f>MAX(0,AT19-AT20)</f>
        <v/>
      </c>
      <c r="AU21" s="680">
        <f>MAX(0,AU19-AU20)</f>
        <v/>
      </c>
      <c r="AV21" s="680">
        <f>MAX(0,AV19-AV20)</f>
        <v/>
      </c>
      <c r="AW21" s="680">
        <f>MAX(0,AW19-AW20)</f>
        <v/>
      </c>
      <c r="AX21" s="680">
        <f>MAX(0,AX19-AX20)</f>
        <v/>
      </c>
      <c r="AY21" s="680">
        <f>MAX(0,AY19-AY20)</f>
        <v/>
      </c>
      <c r="AZ21" s="680">
        <f>MAX(0,AZ19-AZ20)</f>
        <v/>
      </c>
      <c r="BA21" s="680">
        <f>MAX(0,BA19-BA20)</f>
        <v/>
      </c>
      <c r="BB21" s="680">
        <f>MAX(0,BB19-BB20)</f>
        <v/>
      </c>
      <c r="BC21" s="680">
        <f>MAX(0,BC19-BC20)</f>
        <v/>
      </c>
      <c r="BD21" s="680">
        <f>MAX(0,BD19-BD20)</f>
        <v/>
      </c>
      <c r="BE21" s="680">
        <f>MAX(0,BE19-BE20)</f>
        <v/>
      </c>
      <c r="BF21" s="680">
        <f>MAX(0,BF19-BF20)</f>
        <v/>
      </c>
      <c r="BG21" s="680">
        <f>MAX(0,BG19-BG20)</f>
        <v/>
      </c>
      <c r="BH21" s="680">
        <f>MAX(0,BH19-BH20)</f>
        <v/>
      </c>
      <c r="BI21" s="680">
        <f>MAX(0,BI19-BI20)</f>
        <v/>
      </c>
      <c r="BJ21" s="680">
        <f>MAX(0,BJ19-BJ20)</f>
        <v/>
      </c>
      <c r="BK21" s="680">
        <f>MAX(0,BK19-BK20)</f>
        <v/>
      </c>
      <c r="BL21" s="680">
        <f>MAX(0,BL19-BL20)</f>
        <v/>
      </c>
      <c r="BM21" s="680">
        <f>MAX(0,BM19-BM20)</f>
        <v/>
      </c>
      <c r="BN21" s="680">
        <f>MAX(0,BN19-BN20)</f>
        <v/>
      </c>
      <c r="BO21" s="680">
        <f>MAX(0,BO19-BO20)</f>
        <v/>
      </c>
      <c r="BP21" s="680">
        <f>MAX(0,BP19-BP20)</f>
        <v/>
      </c>
      <c r="BQ21" s="680">
        <f>MAX(0,BQ19-BQ20)</f>
        <v/>
      </c>
      <c r="BR21" s="680">
        <f>MAX(0,BR19-BR20)</f>
        <v/>
      </c>
      <c r="BS21" s="680">
        <f>MAX(0,BS19-BS20)</f>
        <v/>
      </c>
      <c r="BT21" s="680">
        <f>MAX(0,BT19-BT20)</f>
        <v/>
      </c>
      <c r="BU21" s="680">
        <f>MAX(0,BU19-BU20)</f>
        <v/>
      </c>
      <c r="BV21" s="680">
        <f>MAX(0,BV19-BV20)</f>
        <v/>
      </c>
      <c r="BW21" s="680">
        <f>MAX(0,BW19-BW20)</f>
        <v/>
      </c>
      <c r="BX21" s="680">
        <f>MAX(0,BX19-BX20)</f>
        <v/>
      </c>
      <c r="BY21" s="680">
        <f>MAX(0,BY19-BY20)</f>
        <v/>
      </c>
      <c r="BZ21" s="680">
        <f>MAX(0,BZ19-BZ20)</f>
        <v/>
      </c>
      <c r="CA21" s="680">
        <f>MAX(0,CA19-CA20)</f>
        <v/>
      </c>
      <c r="CB21" s="680">
        <f>MAX(0,CB19-CB20)</f>
        <v/>
      </c>
      <c r="CC21" s="680">
        <f>MAX(0,CC19-CC20)</f>
        <v/>
      </c>
      <c r="CD21" s="680">
        <f>MAX(0,CD19-CD20)</f>
        <v/>
      </c>
      <c r="CE21" s="680">
        <f>MAX(0,CE19-CE20)</f>
        <v/>
      </c>
      <c r="CF21" s="680">
        <f>MAX(0,CF19-CF20)</f>
        <v/>
      </c>
      <c r="CG21" s="680">
        <f>MAX(0,CG19-CG20)</f>
        <v/>
      </c>
      <c r="CH21" s="680">
        <f>MAX(0,CH19-CH20)</f>
        <v/>
      </c>
      <c r="CI21" s="680">
        <f>MAX(0,CI19-CI20)</f>
        <v/>
      </c>
      <c r="CJ21" s="680">
        <f>MAX(0,CJ19-CJ20)</f>
        <v/>
      </c>
      <c r="CK21" s="680">
        <f>MAX(0,CK19-CK20)</f>
        <v/>
      </c>
      <c r="CL21" s="680">
        <f>MAX(0,CL19-CL20)</f>
        <v/>
      </c>
      <c r="CM21" s="680">
        <f>MAX(0,CM19-CM20)</f>
        <v/>
      </c>
      <c r="CN21" s="680">
        <f>MAX(0,CN19-CN20)</f>
        <v/>
      </c>
      <c r="CO21" s="680">
        <f>MAX(0,CO19-CO20)</f>
        <v/>
      </c>
      <c r="CP21" s="680">
        <f>MAX(0,CP19-CP20)</f>
        <v/>
      </c>
      <c r="CQ21" s="680">
        <f>MAX(0,CQ19-CQ20)</f>
        <v/>
      </c>
    </row>
    <row r="22" ht="15" customFormat="1" customHeight="1" s="380">
      <c r="A22" s="550" t="inlineStr">
        <is>
          <t>Reseda Steyn - Beginning Balance</t>
        </is>
      </c>
      <c r="C22" s="664">
        <f>IF(Projects!$G$13="Yes",Projects!$B$13*Assumptions!$B$47+Assumptions!$B$54*Assumptions!$B$48,0)</f>
        <v/>
      </c>
      <c r="D22" s="664">
        <f>C24</f>
        <v/>
      </c>
      <c r="E22" s="664">
        <f>D24</f>
        <v/>
      </c>
      <c r="F22" s="664">
        <f>E24</f>
        <v/>
      </c>
      <c r="G22" s="664">
        <f>F24</f>
        <v/>
      </c>
      <c r="H22" s="664">
        <f>G24</f>
        <v/>
      </c>
      <c r="I22" s="664">
        <f>H24</f>
        <v/>
      </c>
      <c r="J22" s="664">
        <f>I24</f>
        <v/>
      </c>
      <c r="K22" s="664">
        <f>J24</f>
        <v/>
      </c>
      <c r="L22" s="664">
        <f>K24</f>
        <v/>
      </c>
      <c r="M22" s="664">
        <f>L24</f>
        <v/>
      </c>
      <c r="N22" s="664">
        <f>M24</f>
        <v/>
      </c>
      <c r="O22" s="664">
        <f>N24</f>
        <v/>
      </c>
      <c r="P22" s="664">
        <f>O24</f>
        <v/>
      </c>
      <c r="Q22" s="664">
        <f>P24</f>
        <v/>
      </c>
      <c r="R22" s="664">
        <f>Q24</f>
        <v/>
      </c>
      <c r="S22" s="664">
        <f>R24</f>
        <v/>
      </c>
      <c r="T22" s="664">
        <f>S24</f>
        <v/>
      </c>
      <c r="U22" s="664">
        <f>T24</f>
        <v/>
      </c>
      <c r="V22" s="664">
        <f>U24</f>
        <v/>
      </c>
      <c r="W22" s="664">
        <f>V24</f>
        <v/>
      </c>
      <c r="X22" s="664">
        <f>W24</f>
        <v/>
      </c>
      <c r="Y22" s="664">
        <f>X24</f>
        <v/>
      </c>
      <c r="Z22" s="664">
        <f>Y24</f>
        <v/>
      </c>
      <c r="AA22" s="664">
        <f>Z24</f>
        <v/>
      </c>
      <c r="AB22" s="664">
        <f>AA24</f>
        <v/>
      </c>
      <c r="AC22" s="664">
        <f>AB24</f>
        <v/>
      </c>
      <c r="AD22" s="664">
        <f>AC24</f>
        <v/>
      </c>
      <c r="AE22" s="664">
        <f>AD24</f>
        <v/>
      </c>
      <c r="AF22" s="664">
        <f>AE24</f>
        <v/>
      </c>
      <c r="AG22" s="664">
        <f>AF24</f>
        <v/>
      </c>
      <c r="AH22" s="664">
        <f>AG24</f>
        <v/>
      </c>
      <c r="AI22" s="664">
        <f>AH24</f>
        <v/>
      </c>
      <c r="AJ22" s="664">
        <f>AI24</f>
        <v/>
      </c>
      <c r="AK22" s="664">
        <f>AJ24</f>
        <v/>
      </c>
      <c r="AL22" s="664">
        <f>AK24</f>
        <v/>
      </c>
      <c r="AM22" s="664">
        <f>AL24</f>
        <v/>
      </c>
      <c r="AN22" s="664">
        <f>AM24</f>
        <v/>
      </c>
      <c r="AO22" s="664">
        <f>AN24</f>
        <v/>
      </c>
      <c r="AP22" s="664">
        <f>AO24</f>
        <v/>
      </c>
      <c r="AQ22" s="664">
        <f>AP24</f>
        <v/>
      </c>
      <c r="AR22" s="664">
        <f>AQ24</f>
        <v/>
      </c>
      <c r="AS22" s="664">
        <f>AR24</f>
        <v/>
      </c>
      <c r="AT22" s="664">
        <f>AS24</f>
        <v/>
      </c>
      <c r="AU22" s="664">
        <f>AT24</f>
        <v/>
      </c>
      <c r="AV22" s="664">
        <f>AU24</f>
        <v/>
      </c>
      <c r="AW22" s="664">
        <f>AV24</f>
        <v/>
      </c>
      <c r="AX22" s="664">
        <f>AW24</f>
        <v/>
      </c>
      <c r="AY22" s="664">
        <f>AX24</f>
        <v/>
      </c>
      <c r="AZ22" s="664">
        <f>AY24</f>
        <v/>
      </c>
      <c r="BA22" s="664">
        <f>AZ24</f>
        <v/>
      </c>
      <c r="BB22" s="664">
        <f>BA24</f>
        <v/>
      </c>
      <c r="BC22" s="664">
        <f>BB24</f>
        <v/>
      </c>
      <c r="BD22" s="664">
        <f>BC24</f>
        <v/>
      </c>
      <c r="BE22" s="664">
        <f>BD24</f>
        <v/>
      </c>
      <c r="BF22" s="664">
        <f>BE24</f>
        <v/>
      </c>
      <c r="BG22" s="664">
        <f>BF24</f>
        <v/>
      </c>
      <c r="BH22" s="664">
        <f>BG24</f>
        <v/>
      </c>
      <c r="BI22" s="664">
        <f>BH24</f>
        <v/>
      </c>
      <c r="BJ22" s="664">
        <f>BI24</f>
        <v/>
      </c>
      <c r="BK22" s="664">
        <f>BJ24</f>
        <v/>
      </c>
      <c r="BL22" s="664">
        <f>BK24</f>
        <v/>
      </c>
      <c r="BM22" s="664">
        <f>BL24</f>
        <v/>
      </c>
      <c r="BN22" s="664">
        <f>BM24</f>
        <v/>
      </c>
      <c r="BO22" s="664">
        <f>BN24</f>
        <v/>
      </c>
      <c r="BP22" s="664">
        <f>BO24</f>
        <v/>
      </c>
      <c r="BQ22" s="664">
        <f>BP24</f>
        <v/>
      </c>
      <c r="BR22" s="664">
        <f>BQ24</f>
        <v/>
      </c>
      <c r="BS22" s="664">
        <f>BR24</f>
        <v/>
      </c>
      <c r="BT22" s="664">
        <f>BS24</f>
        <v/>
      </c>
      <c r="BU22" s="664">
        <f>BT24</f>
        <v/>
      </c>
      <c r="BV22" s="664">
        <f>BU24</f>
        <v/>
      </c>
      <c r="BW22" s="664">
        <f>BV24</f>
        <v/>
      </c>
      <c r="BX22" s="664">
        <f>BW24</f>
        <v/>
      </c>
      <c r="BY22" s="664">
        <f>BX24</f>
        <v/>
      </c>
      <c r="BZ22" s="664">
        <f>BY24</f>
        <v/>
      </c>
      <c r="CA22" s="664">
        <f>BZ24</f>
        <v/>
      </c>
      <c r="CB22" s="664">
        <f>CA24</f>
        <v/>
      </c>
      <c r="CC22" s="664">
        <f>CB24</f>
        <v/>
      </c>
      <c r="CD22" s="664">
        <f>CC24</f>
        <v/>
      </c>
      <c r="CE22" s="664">
        <f>CD24</f>
        <v/>
      </c>
      <c r="CF22" s="664">
        <f>CE24</f>
        <v/>
      </c>
      <c r="CG22" s="664">
        <f>CF24</f>
        <v/>
      </c>
      <c r="CH22" s="664">
        <f>CG24</f>
        <v/>
      </c>
      <c r="CI22" s="664">
        <f>CH24</f>
        <v/>
      </c>
      <c r="CJ22" s="664">
        <f>CI24</f>
        <v/>
      </c>
      <c r="CK22" s="664">
        <f>CJ24</f>
        <v/>
      </c>
      <c r="CL22" s="664">
        <f>CK24</f>
        <v/>
      </c>
      <c r="CM22" s="664">
        <f>CL24</f>
        <v/>
      </c>
      <c r="CN22" s="664">
        <f>CM24</f>
        <v/>
      </c>
      <c r="CO22" s="664">
        <f>CN24</f>
        <v/>
      </c>
      <c r="CP22" s="664">
        <f>CO24</f>
        <v/>
      </c>
      <c r="CQ22" s="664">
        <f>CP24</f>
        <v/>
      </c>
    </row>
    <row r="23" ht="15" customFormat="1" customHeight="1" s="380">
      <c r="A23" s="681" t="inlineStr">
        <is>
          <t>Reseda Steyn - Payment</t>
        </is>
      </c>
      <c r="C23" s="682">
        <f>MIN(C22,Model!E165)</f>
        <v/>
      </c>
      <c r="D23" s="682">
        <f>MIN(D22,Model!F165)</f>
        <v/>
      </c>
      <c r="E23" s="682">
        <f>MIN(E22,Model!G165)</f>
        <v/>
      </c>
      <c r="F23" s="682">
        <f>MIN(F22,Model!H165)</f>
        <v/>
      </c>
      <c r="G23" s="682">
        <f>MIN(G22,Model!I165)</f>
        <v/>
      </c>
      <c r="H23" s="682">
        <f>MIN(H22,Model!J165)</f>
        <v/>
      </c>
      <c r="I23" s="682">
        <f>MIN(I22,Model!K165)</f>
        <v/>
      </c>
      <c r="J23" s="682">
        <f>MIN(J22,Model!L165)</f>
        <v/>
      </c>
      <c r="K23" s="682">
        <f>MIN(K22,Model!M165)</f>
        <v/>
      </c>
      <c r="L23" s="682">
        <f>MIN(L22,Model!N165)</f>
        <v/>
      </c>
      <c r="M23" s="682">
        <f>MIN(M22,Model!O165)</f>
        <v/>
      </c>
      <c r="N23" s="682">
        <f>MIN(N22,Model!P165)</f>
        <v/>
      </c>
      <c r="O23" s="682">
        <f>MIN(O22,Model!Q165)</f>
        <v/>
      </c>
      <c r="P23" s="682">
        <f>MIN(P22,Model!R165)</f>
        <v/>
      </c>
      <c r="Q23" s="682">
        <f>MIN(Q22,Model!S165)</f>
        <v/>
      </c>
      <c r="R23" s="682">
        <f>MIN(R22,Model!T165)</f>
        <v/>
      </c>
      <c r="S23" s="682">
        <f>MIN(S22,Model!U165)</f>
        <v/>
      </c>
      <c r="T23" s="682">
        <f>MIN(T22,Model!V165)</f>
        <v/>
      </c>
      <c r="U23" s="682">
        <f>MIN(U22,Model!W165)</f>
        <v/>
      </c>
      <c r="V23" s="682">
        <f>MIN(V22,Model!X165)</f>
        <v/>
      </c>
      <c r="W23" s="682">
        <f>MIN(W22,Model!Y165)</f>
        <v/>
      </c>
      <c r="X23" s="682">
        <f>MIN(X22,Model!Z165)</f>
        <v/>
      </c>
      <c r="Y23" s="682">
        <f>MIN(Y22,Model!AA165)</f>
        <v/>
      </c>
      <c r="Z23" s="682">
        <f>MIN(Z22,Model!AB165)</f>
        <v/>
      </c>
      <c r="AA23" s="682">
        <f>MIN(AA22,Model!AC165)</f>
        <v/>
      </c>
      <c r="AB23" s="682">
        <f>MIN(AB22,Model!AD165)</f>
        <v/>
      </c>
      <c r="AC23" s="682">
        <f>MIN(AC22,Model!AE165)</f>
        <v/>
      </c>
      <c r="AD23" s="682">
        <f>MIN(AD22,Model!AF165)</f>
        <v/>
      </c>
      <c r="AE23" s="682">
        <f>MIN(AE22,Model!AG165)</f>
        <v/>
      </c>
      <c r="AF23" s="682">
        <f>MIN(AF22,Model!AH165)</f>
        <v/>
      </c>
      <c r="AG23" s="682">
        <f>MIN(AG22,Model!AI165)</f>
        <v/>
      </c>
      <c r="AH23" s="682">
        <f>MIN(AH22,Model!AJ165)</f>
        <v/>
      </c>
      <c r="AI23" s="682">
        <f>MIN(AI22,Model!AK165)</f>
        <v/>
      </c>
      <c r="AJ23" s="682">
        <f>MIN(AJ22,Model!AL165)</f>
        <v/>
      </c>
      <c r="AK23" s="682">
        <f>MIN(AK22,Model!AM165)</f>
        <v/>
      </c>
      <c r="AL23" s="682">
        <f>MIN(AL22,Model!AN165)</f>
        <v/>
      </c>
      <c r="AM23" s="682">
        <f>MIN(AM22,Model!AO165)</f>
        <v/>
      </c>
      <c r="AN23" s="682">
        <f>MIN(AN22,Model!AP165)</f>
        <v/>
      </c>
      <c r="AO23" s="682">
        <f>MIN(AO22,Model!AQ165)</f>
        <v/>
      </c>
      <c r="AP23" s="682">
        <f>MIN(AP22,Model!AR165)</f>
        <v/>
      </c>
      <c r="AQ23" s="682">
        <f>MIN(AQ22,Model!AS165)</f>
        <v/>
      </c>
      <c r="AR23" s="682">
        <f>MIN(AR22,Model!AT165)</f>
        <v/>
      </c>
      <c r="AS23" s="682">
        <f>MIN(AS22,Model!AU165)</f>
        <v/>
      </c>
      <c r="AT23" s="682">
        <f>MIN(AT22,Model!AV165)</f>
        <v/>
      </c>
      <c r="AU23" s="682">
        <f>MIN(AU22,Model!AW165)</f>
        <v/>
      </c>
      <c r="AV23" s="682">
        <f>MIN(AV22,Model!AX165)</f>
        <v/>
      </c>
      <c r="AW23" s="682">
        <f>MIN(AW22,Model!AY165)</f>
        <v/>
      </c>
      <c r="AX23" s="682">
        <f>MIN(AX22,Model!AZ165)</f>
        <v/>
      </c>
      <c r="AY23" s="682">
        <f>MIN(AY22,Model!BA165)</f>
        <v/>
      </c>
      <c r="AZ23" s="682">
        <f>MIN(AZ22,Model!BB165)</f>
        <v/>
      </c>
      <c r="BA23" s="682">
        <f>MIN(BA22,Model!BC165)</f>
        <v/>
      </c>
      <c r="BB23" s="682">
        <f>MIN(BB22,Model!BD165)</f>
        <v/>
      </c>
      <c r="BC23" s="682">
        <f>MIN(BC22,Model!BE165)</f>
        <v/>
      </c>
      <c r="BD23" s="682">
        <f>MIN(BD22,Model!BF165)</f>
        <v/>
      </c>
      <c r="BE23" s="682">
        <f>MIN(BE22,Model!BG165)</f>
        <v/>
      </c>
      <c r="BF23" s="682">
        <f>MIN(BF22,Model!BH165)</f>
        <v/>
      </c>
      <c r="BG23" s="682">
        <f>MIN(BG22,Model!BI165)</f>
        <v/>
      </c>
      <c r="BH23" s="682">
        <f>MIN(BH22,Model!BJ165)</f>
        <v/>
      </c>
      <c r="BI23" s="682">
        <f>MIN(BI22,Model!BK165)</f>
        <v/>
      </c>
      <c r="BJ23" s="682">
        <f>MIN(BJ22,Model!BL165)</f>
        <v/>
      </c>
      <c r="BK23" s="682">
        <f>MIN(BK22,Model!BM165)</f>
        <v/>
      </c>
      <c r="BL23" s="682">
        <f>MIN(BL22,Model!BN165)</f>
        <v/>
      </c>
      <c r="BM23" s="682">
        <f>MIN(BM22,Model!BO165)</f>
        <v/>
      </c>
      <c r="BN23" s="682">
        <f>MIN(BN22,Model!BP165)</f>
        <v/>
      </c>
      <c r="BO23" s="682">
        <f>MIN(BO22,Model!BQ165)</f>
        <v/>
      </c>
      <c r="BP23" s="682">
        <f>MIN(BP22,Model!BR165)</f>
        <v/>
      </c>
      <c r="BQ23" s="682">
        <f>MIN(BQ22,Model!BS165)</f>
        <v/>
      </c>
      <c r="BR23" s="682">
        <f>MIN(BR22,Model!BT165)</f>
        <v/>
      </c>
      <c r="BS23" s="682">
        <f>MIN(BS22,Model!BU165)</f>
        <v/>
      </c>
      <c r="BT23" s="682">
        <f>MIN(BT22,Model!BV165)</f>
        <v/>
      </c>
      <c r="BU23" s="682">
        <f>MIN(BU22,Model!BW165)</f>
        <v/>
      </c>
      <c r="BV23" s="682">
        <f>MIN(BV22,Model!BX165)</f>
        <v/>
      </c>
      <c r="BW23" s="682">
        <f>MIN(BW22,Model!BY165)</f>
        <v/>
      </c>
      <c r="BX23" s="682">
        <f>MIN(BX22,Model!BZ165)</f>
        <v/>
      </c>
      <c r="BY23" s="682">
        <f>MIN(BY22,Model!CA165)</f>
        <v/>
      </c>
      <c r="BZ23" s="682">
        <f>MIN(BZ22,Model!CB165)</f>
        <v/>
      </c>
      <c r="CA23" s="682">
        <f>MIN(CA22,Model!CC165)</f>
        <v/>
      </c>
      <c r="CB23" s="682">
        <f>MIN(CB22,Model!CD165)</f>
        <v/>
      </c>
      <c r="CC23" s="682">
        <f>MIN(CC22,Model!CE165)</f>
        <v/>
      </c>
      <c r="CD23" s="682">
        <f>MIN(CD22,Model!CF165)</f>
        <v/>
      </c>
      <c r="CE23" s="682">
        <f>MIN(CE22,Model!CG165)</f>
        <v/>
      </c>
      <c r="CF23" s="682">
        <f>MIN(CF22,Model!CH165)</f>
        <v/>
      </c>
      <c r="CG23" s="682">
        <f>MIN(CG22,Model!CI165)</f>
        <v/>
      </c>
      <c r="CH23" s="682">
        <f>MIN(CH22,Model!CJ165)</f>
        <v/>
      </c>
      <c r="CI23" s="682">
        <f>MIN(CI22,Model!CK165)</f>
        <v/>
      </c>
      <c r="CJ23" s="682">
        <f>MIN(CJ22,Model!CL165)</f>
        <v/>
      </c>
      <c r="CK23" s="682">
        <f>MIN(CK22,Model!CM165)</f>
        <v/>
      </c>
      <c r="CL23" s="682">
        <f>MIN(CL22,Model!CN165)</f>
        <v/>
      </c>
      <c r="CM23" s="682">
        <f>MIN(CM22,Model!CO165)</f>
        <v/>
      </c>
      <c r="CN23" s="682">
        <f>MIN(CN22,Model!CP165)</f>
        <v/>
      </c>
      <c r="CO23" s="682">
        <f>MIN(CO22,Model!CQ165)</f>
        <v/>
      </c>
      <c r="CP23" s="682">
        <f>MIN(CP22,Model!CR165)</f>
        <v/>
      </c>
      <c r="CQ23" s="682">
        <f>MIN(CQ22,Model!CS165)</f>
        <v/>
      </c>
    </row>
    <row r="24" ht="15" customFormat="1" customHeight="1" s="380">
      <c r="A24" s="473" t="inlineStr">
        <is>
          <t>Reseda Steyn - Ending Balance</t>
        </is>
      </c>
      <c r="C24" s="680">
        <f>MAX(0,C22-C23)</f>
        <v/>
      </c>
      <c r="D24" s="680">
        <f>MAX(0,D22-D23)</f>
        <v/>
      </c>
      <c r="E24" s="680">
        <f>MAX(0,E22-E23)</f>
        <v/>
      </c>
      <c r="F24" s="680">
        <f>MAX(0,F22-F23)</f>
        <v/>
      </c>
      <c r="G24" s="680">
        <f>MAX(0,G22-G23)</f>
        <v/>
      </c>
      <c r="H24" s="680">
        <f>MAX(0,H22-H23)</f>
        <v/>
      </c>
      <c r="I24" s="680">
        <f>MAX(0,I22-I23)</f>
        <v/>
      </c>
      <c r="J24" s="680">
        <f>MAX(0,J22-J23)</f>
        <v/>
      </c>
      <c r="K24" s="680">
        <f>MAX(0,K22-K23)</f>
        <v/>
      </c>
      <c r="L24" s="680">
        <f>MAX(0,L22-L23)</f>
        <v/>
      </c>
      <c r="M24" s="680">
        <f>MAX(0,M22-M23)</f>
        <v/>
      </c>
      <c r="N24" s="680">
        <f>MAX(0,N22-N23)</f>
        <v/>
      </c>
      <c r="O24" s="680">
        <f>MAX(0,O22-O23)</f>
        <v/>
      </c>
      <c r="P24" s="680">
        <f>MAX(0,P22-P23)</f>
        <v/>
      </c>
      <c r="Q24" s="680">
        <f>MAX(0,Q22-Q23)</f>
        <v/>
      </c>
      <c r="R24" s="680">
        <f>MAX(0,R22-R23)</f>
        <v/>
      </c>
      <c r="S24" s="680">
        <f>MAX(0,S22-S23)</f>
        <v/>
      </c>
      <c r="T24" s="680">
        <f>MAX(0,T22-T23)</f>
        <v/>
      </c>
      <c r="U24" s="680">
        <f>MAX(0,U22-U23)</f>
        <v/>
      </c>
      <c r="V24" s="680">
        <f>MAX(0,V22-V23)</f>
        <v/>
      </c>
      <c r="W24" s="680">
        <f>MAX(0,W22-W23)</f>
        <v/>
      </c>
      <c r="X24" s="680">
        <f>MAX(0,X22-X23)</f>
        <v/>
      </c>
      <c r="Y24" s="680">
        <f>MAX(0,Y22-Y23)</f>
        <v/>
      </c>
      <c r="Z24" s="680">
        <f>MAX(0,Z22-Z23)</f>
        <v/>
      </c>
      <c r="AA24" s="680">
        <f>MAX(0,AA22-AA23)</f>
        <v/>
      </c>
      <c r="AB24" s="680">
        <f>MAX(0,AB22-AB23)</f>
        <v/>
      </c>
      <c r="AC24" s="680">
        <f>MAX(0,AC22-AC23)</f>
        <v/>
      </c>
      <c r="AD24" s="680">
        <f>MAX(0,AD22-AD23)</f>
        <v/>
      </c>
      <c r="AE24" s="680">
        <f>MAX(0,AE22-AE23)</f>
        <v/>
      </c>
      <c r="AF24" s="680">
        <f>MAX(0,AF22-AF23)</f>
        <v/>
      </c>
      <c r="AG24" s="680">
        <f>MAX(0,AG22-AG23)</f>
        <v/>
      </c>
      <c r="AH24" s="680">
        <f>MAX(0,AH22-AH23)</f>
        <v/>
      </c>
      <c r="AI24" s="680">
        <f>MAX(0,AI22-AI23)</f>
        <v/>
      </c>
      <c r="AJ24" s="680">
        <f>MAX(0,AJ22-AJ23)</f>
        <v/>
      </c>
      <c r="AK24" s="680">
        <f>MAX(0,AK22-AK23)</f>
        <v/>
      </c>
      <c r="AL24" s="680">
        <f>MAX(0,AL22-AL23)</f>
        <v/>
      </c>
      <c r="AM24" s="680">
        <f>MAX(0,AM22-AM23)</f>
        <v/>
      </c>
      <c r="AN24" s="680">
        <f>MAX(0,AN22-AN23)</f>
        <v/>
      </c>
      <c r="AO24" s="680">
        <f>MAX(0,AO22-AO23)</f>
        <v/>
      </c>
      <c r="AP24" s="680">
        <f>MAX(0,AP22-AP23)</f>
        <v/>
      </c>
      <c r="AQ24" s="680">
        <f>MAX(0,AQ22-AQ23)</f>
        <v/>
      </c>
      <c r="AR24" s="680">
        <f>MAX(0,AR22-AR23)</f>
        <v/>
      </c>
      <c r="AS24" s="680">
        <f>MAX(0,AS22-AS23)</f>
        <v/>
      </c>
      <c r="AT24" s="680">
        <f>MAX(0,AT22-AT23)</f>
        <v/>
      </c>
      <c r="AU24" s="680">
        <f>MAX(0,AU22-AU23)</f>
        <v/>
      </c>
      <c r="AV24" s="680">
        <f>MAX(0,AV22-AV23)</f>
        <v/>
      </c>
      <c r="AW24" s="680">
        <f>MAX(0,AW22-AW23)</f>
        <v/>
      </c>
      <c r="AX24" s="680">
        <f>MAX(0,AX22-AX23)</f>
        <v/>
      </c>
      <c r="AY24" s="680">
        <f>MAX(0,AY22-AY23)</f>
        <v/>
      </c>
      <c r="AZ24" s="680">
        <f>MAX(0,AZ22-AZ23)</f>
        <v/>
      </c>
      <c r="BA24" s="680">
        <f>MAX(0,BA22-BA23)</f>
        <v/>
      </c>
      <c r="BB24" s="680">
        <f>MAX(0,BB22-BB23)</f>
        <v/>
      </c>
      <c r="BC24" s="680">
        <f>MAX(0,BC22-BC23)</f>
        <v/>
      </c>
      <c r="BD24" s="680">
        <f>MAX(0,BD22-BD23)</f>
        <v/>
      </c>
      <c r="BE24" s="680">
        <f>MAX(0,BE22-BE23)</f>
        <v/>
      </c>
      <c r="BF24" s="680">
        <f>MAX(0,BF22-BF23)</f>
        <v/>
      </c>
      <c r="BG24" s="680">
        <f>MAX(0,BG22-BG23)</f>
        <v/>
      </c>
      <c r="BH24" s="680">
        <f>MAX(0,BH22-BH23)</f>
        <v/>
      </c>
      <c r="BI24" s="680">
        <f>MAX(0,BI22-BI23)</f>
        <v/>
      </c>
      <c r="BJ24" s="680">
        <f>MAX(0,BJ22-BJ23)</f>
        <v/>
      </c>
      <c r="BK24" s="680">
        <f>MAX(0,BK22-BK23)</f>
        <v/>
      </c>
      <c r="BL24" s="680">
        <f>MAX(0,BL22-BL23)</f>
        <v/>
      </c>
      <c r="BM24" s="680">
        <f>MAX(0,BM22-BM23)</f>
        <v/>
      </c>
      <c r="BN24" s="680">
        <f>MAX(0,BN22-BN23)</f>
        <v/>
      </c>
      <c r="BO24" s="680">
        <f>MAX(0,BO22-BO23)</f>
        <v/>
      </c>
      <c r="BP24" s="680">
        <f>MAX(0,BP22-BP23)</f>
        <v/>
      </c>
      <c r="BQ24" s="680">
        <f>MAX(0,BQ22-BQ23)</f>
        <v/>
      </c>
      <c r="BR24" s="680">
        <f>MAX(0,BR22-BR23)</f>
        <v/>
      </c>
      <c r="BS24" s="680">
        <f>MAX(0,BS22-BS23)</f>
        <v/>
      </c>
      <c r="BT24" s="680">
        <f>MAX(0,BT22-BT23)</f>
        <v/>
      </c>
      <c r="BU24" s="680">
        <f>MAX(0,BU22-BU23)</f>
        <v/>
      </c>
      <c r="BV24" s="680">
        <f>MAX(0,BV22-BV23)</f>
        <v/>
      </c>
      <c r="BW24" s="680">
        <f>MAX(0,BW22-BW23)</f>
        <v/>
      </c>
      <c r="BX24" s="680">
        <f>MAX(0,BX22-BX23)</f>
        <v/>
      </c>
      <c r="BY24" s="680">
        <f>MAX(0,BY22-BY23)</f>
        <v/>
      </c>
      <c r="BZ24" s="680">
        <f>MAX(0,BZ22-BZ23)</f>
        <v/>
      </c>
      <c r="CA24" s="680">
        <f>MAX(0,CA22-CA23)</f>
        <v/>
      </c>
      <c r="CB24" s="680">
        <f>MAX(0,CB22-CB23)</f>
        <v/>
      </c>
      <c r="CC24" s="680">
        <f>MAX(0,CC22-CC23)</f>
        <v/>
      </c>
      <c r="CD24" s="680">
        <f>MAX(0,CD22-CD23)</f>
        <v/>
      </c>
      <c r="CE24" s="680">
        <f>MAX(0,CE22-CE23)</f>
        <v/>
      </c>
      <c r="CF24" s="680">
        <f>MAX(0,CF22-CF23)</f>
        <v/>
      </c>
      <c r="CG24" s="680">
        <f>MAX(0,CG22-CG23)</f>
        <v/>
      </c>
      <c r="CH24" s="680">
        <f>MAX(0,CH22-CH23)</f>
        <v/>
      </c>
      <c r="CI24" s="680">
        <f>MAX(0,CI22-CI23)</f>
        <v/>
      </c>
      <c r="CJ24" s="680">
        <f>MAX(0,CJ22-CJ23)</f>
        <v/>
      </c>
      <c r="CK24" s="680">
        <f>MAX(0,CK22-CK23)</f>
        <v/>
      </c>
      <c r="CL24" s="680">
        <f>MAX(0,CL22-CL23)</f>
        <v/>
      </c>
      <c r="CM24" s="680">
        <f>MAX(0,CM22-CM23)</f>
        <v/>
      </c>
      <c r="CN24" s="680">
        <f>MAX(0,CN22-CN23)</f>
        <v/>
      </c>
      <c r="CO24" s="680">
        <f>MAX(0,CO22-CO23)</f>
        <v/>
      </c>
      <c r="CP24" s="680">
        <f>MAX(0,CP22-CP23)</f>
        <v/>
      </c>
      <c r="CQ24" s="680">
        <f>MAX(0,CQ22-CQ23)</f>
        <v/>
      </c>
    </row>
    <row r="25" ht="15" customFormat="1" customHeight="1" s="380">
      <c r="A25" s="380" t="inlineStr">
        <is>
          <t>3rd St Steyn</t>
        </is>
      </c>
      <c r="B25" s="380" t="inlineStr">
        <is>
          <t>Beg Balance</t>
        </is>
      </c>
      <c r="C25" s="683">
        <f>IF(Projects!$G$14="Yes",Projects!$B$14*Assumptions!$B$47+Assumptions!$B$55*Assumptions!$B$48,0)</f>
        <v/>
      </c>
      <c r="D25" s="380">
        <f>C27</f>
        <v/>
      </c>
      <c r="E25" s="380">
        <f>D27</f>
        <v/>
      </c>
      <c r="F25" s="380">
        <f>E27</f>
        <v/>
      </c>
      <c r="G25" s="380">
        <f>F27</f>
        <v/>
      </c>
      <c r="H25" s="380">
        <f>G27</f>
        <v/>
      </c>
      <c r="I25" s="380">
        <f>H27</f>
        <v/>
      </c>
      <c r="J25" s="380">
        <f>I27</f>
        <v/>
      </c>
      <c r="K25" s="380">
        <f>J27</f>
        <v/>
      </c>
      <c r="L25" s="380">
        <f>K27</f>
        <v/>
      </c>
      <c r="M25" s="380">
        <f>L27</f>
        <v/>
      </c>
      <c r="N25" s="380">
        <f>M27</f>
        <v/>
      </c>
      <c r="O25" s="380">
        <f>N27</f>
        <v/>
      </c>
      <c r="P25" s="380">
        <f>O27</f>
        <v/>
      </c>
      <c r="Q25" s="380">
        <f>P27</f>
        <v/>
      </c>
      <c r="R25" s="380">
        <f>Q27</f>
        <v/>
      </c>
      <c r="S25" s="380">
        <f>R27</f>
        <v/>
      </c>
      <c r="T25" s="380">
        <f>S27</f>
        <v/>
      </c>
      <c r="U25" s="380">
        <f>T27</f>
        <v/>
      </c>
      <c r="V25" s="380">
        <f>U27</f>
        <v/>
      </c>
      <c r="W25" s="380">
        <f>V27</f>
        <v/>
      </c>
      <c r="X25" s="380">
        <f>W27</f>
        <v/>
      </c>
      <c r="Y25" s="380">
        <f>X27</f>
        <v/>
      </c>
      <c r="Z25" s="380">
        <f>Y27</f>
        <v/>
      </c>
      <c r="AA25" s="380">
        <f>Z27</f>
        <v/>
      </c>
      <c r="AB25" s="380">
        <f>AA27</f>
        <v/>
      </c>
      <c r="AC25" s="380">
        <f>AB27</f>
        <v/>
      </c>
      <c r="AD25" s="380">
        <f>AC27</f>
        <v/>
      </c>
      <c r="AE25" s="380">
        <f>AD27</f>
        <v/>
      </c>
      <c r="AF25" s="380">
        <f>AE27</f>
        <v/>
      </c>
      <c r="AG25" s="380">
        <f>AF27</f>
        <v/>
      </c>
      <c r="AH25" s="380">
        <f>AG27</f>
        <v/>
      </c>
      <c r="AI25" s="380">
        <f>AH27</f>
        <v/>
      </c>
      <c r="AJ25" s="380">
        <f>AI27</f>
        <v/>
      </c>
      <c r="AK25" s="380">
        <f>AJ27</f>
        <v/>
      </c>
      <c r="AL25" s="380">
        <f>AK27</f>
        <v/>
      </c>
      <c r="AM25" s="380">
        <f>AL27</f>
        <v/>
      </c>
      <c r="AN25" s="380">
        <f>AM27</f>
        <v/>
      </c>
      <c r="AO25" s="380">
        <f>AN27</f>
        <v/>
      </c>
      <c r="AP25" s="380">
        <f>AO27</f>
        <v/>
      </c>
      <c r="AQ25" s="380">
        <f>AP27</f>
        <v/>
      </c>
      <c r="AR25" s="380">
        <f>AQ27</f>
        <v/>
      </c>
      <c r="AS25" s="380">
        <f>AR27</f>
        <v/>
      </c>
      <c r="AT25" s="380">
        <f>AS27</f>
        <v/>
      </c>
      <c r="AU25" s="380">
        <f>AT27</f>
        <v/>
      </c>
      <c r="AV25" s="380">
        <f>AU27</f>
        <v/>
      </c>
      <c r="AW25" s="380">
        <f>AV27</f>
        <v/>
      </c>
      <c r="AX25" s="380">
        <f>AW27</f>
        <v/>
      </c>
      <c r="AY25" s="380">
        <f>AX27</f>
        <v/>
      </c>
      <c r="AZ25" s="380">
        <f>AY27</f>
        <v/>
      </c>
      <c r="BA25" s="380">
        <f>AZ27</f>
        <v/>
      </c>
      <c r="BB25" s="380">
        <f>BA27</f>
        <v/>
      </c>
      <c r="BC25" s="380">
        <f>BB27</f>
        <v/>
      </c>
      <c r="BD25" s="380">
        <f>BC27</f>
        <v/>
      </c>
      <c r="BE25" s="380">
        <f>BD27</f>
        <v/>
      </c>
      <c r="BF25" s="380">
        <f>BE27</f>
        <v/>
      </c>
      <c r="BG25" s="380">
        <f>BF27</f>
        <v/>
      </c>
      <c r="BH25" s="380">
        <f>BG27</f>
        <v/>
      </c>
      <c r="BI25" s="380">
        <f>BH27</f>
        <v/>
      </c>
      <c r="BJ25" s="380">
        <f>BI27</f>
        <v/>
      </c>
      <c r="BK25" s="380">
        <f>BJ27</f>
        <v/>
      </c>
      <c r="BL25" s="380">
        <f>BK27</f>
        <v/>
      </c>
      <c r="BM25" s="380">
        <f>BL27</f>
        <v/>
      </c>
      <c r="BN25" s="380">
        <f>BM27</f>
        <v/>
      </c>
      <c r="BO25" s="380">
        <f>BN27</f>
        <v/>
      </c>
      <c r="BP25" s="380">
        <f>BO27</f>
        <v/>
      </c>
      <c r="BQ25" s="380">
        <f>BP27</f>
        <v/>
      </c>
      <c r="BR25" s="380">
        <f>BQ27</f>
        <v/>
      </c>
      <c r="BS25" s="380">
        <f>BR27</f>
        <v/>
      </c>
      <c r="BT25" s="380">
        <f>BS27</f>
        <v/>
      </c>
      <c r="BU25" s="380">
        <f>BT27</f>
        <v/>
      </c>
      <c r="BV25" s="380">
        <f>BU27</f>
        <v/>
      </c>
      <c r="BW25" s="380">
        <f>BV27</f>
        <v/>
      </c>
      <c r="BX25" s="380">
        <f>BW27</f>
        <v/>
      </c>
      <c r="BY25" s="380">
        <f>BX27</f>
        <v/>
      </c>
      <c r="BZ25" s="380">
        <f>BY27</f>
        <v/>
      </c>
      <c r="CA25" s="380">
        <f>BZ27</f>
        <v/>
      </c>
      <c r="CB25" s="380">
        <f>CA27</f>
        <v/>
      </c>
      <c r="CC25" s="380">
        <f>CB27</f>
        <v/>
      </c>
      <c r="CD25" s="380">
        <f>CC27</f>
        <v/>
      </c>
      <c r="CE25" s="380">
        <f>CD27</f>
        <v/>
      </c>
      <c r="CF25" s="380">
        <f>CE27</f>
        <v/>
      </c>
      <c r="CG25" s="380">
        <f>CF27</f>
        <v/>
      </c>
      <c r="CH25" s="380">
        <f>CG27</f>
        <v/>
      </c>
      <c r="CI25" s="380">
        <f>CH27</f>
        <v/>
      </c>
      <c r="CJ25" s="380">
        <f>CI27</f>
        <v/>
      </c>
      <c r="CK25" s="380">
        <f>CJ27</f>
        <v/>
      </c>
      <c r="CL25" s="380">
        <f>CK27</f>
        <v/>
      </c>
      <c r="CM25" s="380">
        <f>CL27</f>
        <v/>
      </c>
      <c r="CN25" s="380">
        <f>CM27</f>
        <v/>
      </c>
      <c r="CO25" s="380">
        <f>CN27</f>
        <v/>
      </c>
      <c r="CP25" s="380">
        <f>CO27</f>
        <v/>
      </c>
      <c r="CQ25" s="380">
        <f>CP27</f>
        <v/>
      </c>
    </row>
    <row r="26" ht="15" customFormat="1" customHeight="1" s="380">
      <c r="B26" s="380" t="inlineStr">
        <is>
          <t>Payment</t>
        </is>
      </c>
      <c r="C26" s="683">
        <f>MIN(C25,Model!E166)</f>
        <v/>
      </c>
      <c r="D26" s="380">
        <f>MIN(D25,Model!F166)</f>
        <v/>
      </c>
      <c r="E26" s="380">
        <f>MIN(E25,Model!G166)</f>
        <v/>
      </c>
      <c r="F26" s="380">
        <f>MIN(F25,Model!H166)</f>
        <v/>
      </c>
      <c r="G26" s="380">
        <f>MIN(G25,Model!I166)</f>
        <v/>
      </c>
      <c r="H26" s="380">
        <f>MIN(H25,Model!J166)</f>
        <v/>
      </c>
      <c r="I26" s="380">
        <f>MIN(I25,Model!K166)</f>
        <v/>
      </c>
      <c r="J26" s="380">
        <f>MIN(J25,Model!L166)</f>
        <v/>
      </c>
      <c r="K26" s="380">
        <f>MIN(K25,Model!M166)</f>
        <v/>
      </c>
      <c r="L26" s="380">
        <f>MIN(L25,Model!N166)</f>
        <v/>
      </c>
      <c r="M26" s="380">
        <f>MIN(M25,Model!O166)</f>
        <v/>
      </c>
      <c r="N26" s="380">
        <f>MIN(N25,Model!P166)</f>
        <v/>
      </c>
      <c r="O26" s="380">
        <f>MIN(O25,Model!Q166)</f>
        <v/>
      </c>
      <c r="P26" s="380">
        <f>MIN(P25,Model!R166)</f>
        <v/>
      </c>
      <c r="Q26" s="380">
        <f>MIN(Q25,Model!S166)</f>
        <v/>
      </c>
      <c r="R26" s="380">
        <f>MIN(R25,Model!T166)</f>
        <v/>
      </c>
      <c r="S26" s="380">
        <f>MIN(S25,Model!U166)</f>
        <v/>
      </c>
      <c r="T26" s="380">
        <f>MIN(T25,Model!V166)</f>
        <v/>
      </c>
      <c r="U26" s="380">
        <f>MIN(U25,Model!W166)</f>
        <v/>
      </c>
      <c r="V26" s="380">
        <f>MIN(V25,Model!X166)</f>
        <v/>
      </c>
      <c r="W26" s="380">
        <f>MIN(W25,Model!Y166)</f>
        <v/>
      </c>
      <c r="X26" s="380">
        <f>MIN(X25,Model!Z166)</f>
        <v/>
      </c>
      <c r="Y26" s="380">
        <f>MIN(Y25,Model!AA166)</f>
        <v/>
      </c>
      <c r="Z26" s="380">
        <f>MIN(Z25,Model!AB166)</f>
        <v/>
      </c>
      <c r="AA26" s="380">
        <f>MIN(AA25,Model!AC166)</f>
        <v/>
      </c>
      <c r="AB26" s="380">
        <f>MIN(AB25,Model!AD166)</f>
        <v/>
      </c>
      <c r="AC26" s="380">
        <f>MIN(AC25,Model!AE166)</f>
        <v/>
      </c>
      <c r="AD26" s="380">
        <f>MIN(AD25,Model!AF166)</f>
        <v/>
      </c>
      <c r="AE26" s="380">
        <f>MIN(AE25,Model!AG166)</f>
        <v/>
      </c>
      <c r="AF26" s="380">
        <f>MIN(AF25,Model!AH166)</f>
        <v/>
      </c>
      <c r="AG26" s="380">
        <f>MIN(AG25,Model!AI166)</f>
        <v/>
      </c>
      <c r="AH26" s="380">
        <f>MIN(AH25,Model!AJ166)</f>
        <v/>
      </c>
      <c r="AI26" s="380">
        <f>MIN(AI25,Model!AK166)</f>
        <v/>
      </c>
      <c r="AJ26" s="380">
        <f>MIN(AJ25,Model!AL166)</f>
        <v/>
      </c>
      <c r="AK26" s="380">
        <f>MIN(AK25,Model!AM166)</f>
        <v/>
      </c>
      <c r="AL26" s="380">
        <f>MIN(AL25,Model!AN166)</f>
        <v/>
      </c>
      <c r="AM26" s="380">
        <f>MIN(AM25,Model!AO166)</f>
        <v/>
      </c>
      <c r="AN26" s="380">
        <f>MIN(AN25,Model!AP166)</f>
        <v/>
      </c>
      <c r="AO26" s="380">
        <f>MIN(AO25,Model!AQ166)</f>
        <v/>
      </c>
      <c r="AP26" s="380">
        <f>MIN(AP25,Model!AR166)</f>
        <v/>
      </c>
      <c r="AQ26" s="380">
        <f>MIN(AQ25,Model!AS166)</f>
        <v/>
      </c>
      <c r="AR26" s="380">
        <f>MIN(AR25,Model!AT166)</f>
        <v/>
      </c>
      <c r="AS26" s="380">
        <f>MIN(AS25,Model!AU166)</f>
        <v/>
      </c>
      <c r="AT26" s="380">
        <f>MIN(AT25,Model!AV166)</f>
        <v/>
      </c>
      <c r="AU26" s="380">
        <f>MIN(AU25,Model!AW166)</f>
        <v/>
      </c>
      <c r="AV26" s="380">
        <f>MIN(AV25,Model!AX166)</f>
        <v/>
      </c>
      <c r="AW26" s="380">
        <f>MIN(AW25,Model!AY166)</f>
        <v/>
      </c>
      <c r="AX26" s="380">
        <f>MIN(AX25,Model!AZ166)</f>
        <v/>
      </c>
      <c r="AY26" s="380">
        <f>MIN(AY25,Model!BA166)</f>
        <v/>
      </c>
      <c r="AZ26" s="380">
        <f>MIN(AZ25,Model!BB166)</f>
        <v/>
      </c>
      <c r="BA26" s="380">
        <f>MIN(BA25,Model!BC166)</f>
        <v/>
      </c>
      <c r="BB26" s="380">
        <f>MIN(BB25,Model!BD166)</f>
        <v/>
      </c>
      <c r="BC26" s="380">
        <f>MIN(BC25,Model!BE166)</f>
        <v/>
      </c>
      <c r="BD26" s="380">
        <f>MIN(BD25,Model!BF166)</f>
        <v/>
      </c>
      <c r="BE26" s="380">
        <f>MIN(BE25,Model!BG166)</f>
        <v/>
      </c>
      <c r="BF26" s="380">
        <f>MIN(BF25,Model!BH166)</f>
        <v/>
      </c>
      <c r="BG26" s="380">
        <f>MIN(BG25,Model!BI166)</f>
        <v/>
      </c>
      <c r="BH26" s="380">
        <f>MIN(BH25,Model!BJ166)</f>
        <v/>
      </c>
      <c r="BI26" s="380">
        <f>MIN(BI25,Model!BK166)</f>
        <v/>
      </c>
      <c r="BJ26" s="380">
        <f>MIN(BJ25,Model!BL166)</f>
        <v/>
      </c>
      <c r="BK26" s="380">
        <f>MIN(BK25,Model!BM166)</f>
        <v/>
      </c>
      <c r="BL26" s="380">
        <f>MIN(BL25,Model!BN166)</f>
        <v/>
      </c>
      <c r="BM26" s="380">
        <f>MIN(BM25,Model!BO166)</f>
        <v/>
      </c>
      <c r="BN26" s="380">
        <f>MIN(BN25,Model!BP166)</f>
        <v/>
      </c>
      <c r="BO26" s="380">
        <f>MIN(BO25,Model!BQ166)</f>
        <v/>
      </c>
      <c r="BP26" s="380">
        <f>MIN(BP25,Model!BR166)</f>
        <v/>
      </c>
      <c r="BQ26" s="380">
        <f>MIN(BQ25,Model!BS166)</f>
        <v/>
      </c>
      <c r="BR26" s="380">
        <f>MIN(BR25,Model!BT166)</f>
        <v/>
      </c>
      <c r="BS26" s="380">
        <f>MIN(BS25,Model!BU166)</f>
        <v/>
      </c>
      <c r="BT26" s="380">
        <f>MIN(BT25,Model!BV166)</f>
        <v/>
      </c>
      <c r="BU26" s="380">
        <f>MIN(BU25,Model!BW166)</f>
        <v/>
      </c>
      <c r="BV26" s="380">
        <f>MIN(BV25,Model!BX166)</f>
        <v/>
      </c>
      <c r="BW26" s="380">
        <f>MIN(BW25,Model!BY166)</f>
        <v/>
      </c>
      <c r="BX26" s="380">
        <f>MIN(BX25,Model!BZ166)</f>
        <v/>
      </c>
      <c r="BY26" s="380">
        <f>MIN(BY25,Model!CA166)</f>
        <v/>
      </c>
      <c r="BZ26" s="380">
        <f>MIN(BZ25,Model!CB166)</f>
        <v/>
      </c>
      <c r="CA26" s="380">
        <f>MIN(CA25,Model!CC166)</f>
        <v/>
      </c>
      <c r="CB26" s="380">
        <f>MIN(CB25,Model!CD166)</f>
        <v/>
      </c>
      <c r="CC26" s="380">
        <f>MIN(CC25,Model!CE166)</f>
        <v/>
      </c>
      <c r="CD26" s="380">
        <f>MIN(CD25,Model!CF166)</f>
        <v/>
      </c>
      <c r="CE26" s="380">
        <f>MIN(CE25,Model!CG166)</f>
        <v/>
      </c>
      <c r="CF26" s="380">
        <f>MIN(CF25,Model!CH166)</f>
        <v/>
      </c>
      <c r="CG26" s="380">
        <f>MIN(CG25,Model!CI166)</f>
        <v/>
      </c>
      <c r="CH26" s="380">
        <f>MIN(CH25,Model!CJ166)</f>
        <v/>
      </c>
      <c r="CI26" s="380">
        <f>MIN(CI25,Model!CK166)</f>
        <v/>
      </c>
      <c r="CJ26" s="380">
        <f>MIN(CJ25,Model!CL166)</f>
        <v/>
      </c>
      <c r="CK26" s="380">
        <f>MIN(CK25,Model!CM166)</f>
        <v/>
      </c>
      <c r="CL26" s="380">
        <f>MIN(CL25,Model!CN166)</f>
        <v/>
      </c>
      <c r="CM26" s="380">
        <f>MIN(CM25,Model!CO166)</f>
        <v/>
      </c>
      <c r="CN26" s="380">
        <f>MIN(CN25,Model!CP166)</f>
        <v/>
      </c>
      <c r="CO26" s="380">
        <f>MIN(CO25,Model!CQ166)</f>
        <v/>
      </c>
      <c r="CP26" s="380">
        <f>MIN(CP25,Model!CR166)</f>
        <v/>
      </c>
      <c r="CQ26" s="380">
        <f>MIN(CQ25,Model!CS166)</f>
        <v/>
      </c>
    </row>
    <row r="27" ht="15" customFormat="1" customHeight="1" s="380">
      <c r="B27" s="380" t="inlineStr">
        <is>
          <t>End Balance</t>
        </is>
      </c>
      <c r="C27" s="380">
        <f>MAX(0,C25-C26)</f>
        <v/>
      </c>
      <c r="D27" s="380">
        <f>MAX(0,D25-D26)</f>
        <v/>
      </c>
      <c r="E27" s="380">
        <f>MAX(0,E25-E26)</f>
        <v/>
      </c>
      <c r="F27" s="380">
        <f>MAX(0,F25-F26)</f>
        <v/>
      </c>
      <c r="G27" s="380">
        <f>MAX(0,G25-G26)</f>
        <v/>
      </c>
      <c r="H27" s="380">
        <f>MAX(0,H25-H26)</f>
        <v/>
      </c>
      <c r="I27" s="380">
        <f>MAX(0,I25-I26)</f>
        <v/>
      </c>
      <c r="J27" s="380">
        <f>MAX(0,J25-J26)</f>
        <v/>
      </c>
      <c r="K27" s="380">
        <f>MAX(0,K25-K26)</f>
        <v/>
      </c>
      <c r="L27" s="380">
        <f>MAX(0,L25-L26)</f>
        <v/>
      </c>
      <c r="M27" s="380">
        <f>MAX(0,M25-M26)</f>
        <v/>
      </c>
      <c r="N27" s="380">
        <f>MAX(0,N25-N26)</f>
        <v/>
      </c>
      <c r="O27" s="380">
        <f>MAX(0,O25-O26)</f>
        <v/>
      </c>
      <c r="P27" s="380">
        <f>MAX(0,P25-P26)</f>
        <v/>
      </c>
      <c r="Q27" s="380">
        <f>MAX(0,Q25-Q26)</f>
        <v/>
      </c>
      <c r="R27" s="380">
        <f>MAX(0,R25-R26)</f>
        <v/>
      </c>
      <c r="S27" s="380">
        <f>MAX(0,S25-S26)</f>
        <v/>
      </c>
      <c r="T27" s="380">
        <f>MAX(0,T25-T26)</f>
        <v/>
      </c>
      <c r="U27" s="380">
        <f>MAX(0,U25-U26)</f>
        <v/>
      </c>
      <c r="V27" s="380">
        <f>MAX(0,V25-V26)</f>
        <v/>
      </c>
      <c r="W27" s="380">
        <f>MAX(0,W25-W26)</f>
        <v/>
      </c>
      <c r="X27" s="380">
        <f>MAX(0,X25-X26)</f>
        <v/>
      </c>
      <c r="Y27" s="380">
        <f>MAX(0,Y25-Y26)</f>
        <v/>
      </c>
      <c r="Z27" s="380">
        <f>MAX(0,Z25-Z26)</f>
        <v/>
      </c>
      <c r="AA27" s="380">
        <f>MAX(0,AA25-AA26)</f>
        <v/>
      </c>
      <c r="AB27" s="380">
        <f>MAX(0,AB25-AB26)</f>
        <v/>
      </c>
      <c r="AC27" s="380">
        <f>MAX(0,AC25-AC26)</f>
        <v/>
      </c>
      <c r="AD27" s="380">
        <f>MAX(0,AD25-AD26)</f>
        <v/>
      </c>
      <c r="AE27" s="380">
        <f>MAX(0,AE25-AE26)</f>
        <v/>
      </c>
      <c r="AF27" s="380">
        <f>MAX(0,AF25-AF26)</f>
        <v/>
      </c>
      <c r="AG27" s="380">
        <f>MAX(0,AG25-AG26)</f>
        <v/>
      </c>
      <c r="AH27" s="380">
        <f>MAX(0,AH25-AH26)</f>
        <v/>
      </c>
      <c r="AI27" s="380">
        <f>MAX(0,AI25-AI26)</f>
        <v/>
      </c>
      <c r="AJ27" s="380">
        <f>MAX(0,AJ25-AJ26)</f>
        <v/>
      </c>
      <c r="AK27" s="380">
        <f>MAX(0,AK25-AK26)</f>
        <v/>
      </c>
      <c r="AL27" s="380">
        <f>MAX(0,AL25-AL26)</f>
        <v/>
      </c>
      <c r="AM27" s="380">
        <f>MAX(0,AM25-AM26)</f>
        <v/>
      </c>
      <c r="AN27" s="380">
        <f>MAX(0,AN25-AN26)</f>
        <v/>
      </c>
      <c r="AO27" s="380">
        <f>MAX(0,AO25-AO26)</f>
        <v/>
      </c>
      <c r="AP27" s="380">
        <f>MAX(0,AP25-AP26)</f>
        <v/>
      </c>
      <c r="AQ27" s="380">
        <f>MAX(0,AQ25-AQ26)</f>
        <v/>
      </c>
      <c r="AR27" s="380">
        <f>MAX(0,AR25-AR26)</f>
        <v/>
      </c>
      <c r="AS27" s="380">
        <f>MAX(0,AS25-AS26)</f>
        <v/>
      </c>
      <c r="AT27" s="380">
        <f>MAX(0,AT25-AT26)</f>
        <v/>
      </c>
      <c r="AU27" s="380">
        <f>MAX(0,AU25-AU26)</f>
        <v/>
      </c>
      <c r="AV27" s="380">
        <f>MAX(0,AV25-AV26)</f>
        <v/>
      </c>
      <c r="AW27" s="380">
        <f>MAX(0,AW25-AW26)</f>
        <v/>
      </c>
      <c r="AX27" s="380">
        <f>MAX(0,AX25-AX26)</f>
        <v/>
      </c>
      <c r="AY27" s="380">
        <f>MAX(0,AY25-AY26)</f>
        <v/>
      </c>
      <c r="AZ27" s="380">
        <f>MAX(0,AZ25-AZ26)</f>
        <v/>
      </c>
      <c r="BA27" s="380">
        <f>MAX(0,BA25-BA26)</f>
        <v/>
      </c>
      <c r="BB27" s="380">
        <f>MAX(0,BB25-BB26)</f>
        <v/>
      </c>
      <c r="BC27" s="380">
        <f>MAX(0,BC25-BC26)</f>
        <v/>
      </c>
      <c r="BD27" s="380">
        <f>MAX(0,BD25-BD26)</f>
        <v/>
      </c>
      <c r="BE27" s="380">
        <f>MAX(0,BE25-BE26)</f>
        <v/>
      </c>
      <c r="BF27" s="380">
        <f>MAX(0,BF25-BF26)</f>
        <v/>
      </c>
      <c r="BG27" s="380">
        <f>MAX(0,BG25-BG26)</f>
        <v/>
      </c>
      <c r="BH27" s="380">
        <f>MAX(0,BH25-BH26)</f>
        <v/>
      </c>
      <c r="BI27" s="380">
        <f>MAX(0,BI25-BI26)</f>
        <v/>
      </c>
      <c r="BJ27" s="380">
        <f>MAX(0,BJ25-BJ26)</f>
        <v/>
      </c>
      <c r="BK27" s="380">
        <f>MAX(0,BK25-BK26)</f>
        <v/>
      </c>
      <c r="BL27" s="380">
        <f>MAX(0,BL25-BL26)</f>
        <v/>
      </c>
      <c r="BM27" s="380">
        <f>MAX(0,BM25-BM26)</f>
        <v/>
      </c>
      <c r="BN27" s="380">
        <f>MAX(0,BN25-BN26)</f>
        <v/>
      </c>
      <c r="BO27" s="380">
        <f>MAX(0,BO25-BO26)</f>
        <v/>
      </c>
      <c r="BP27" s="380">
        <f>MAX(0,BP25-BP26)</f>
        <v/>
      </c>
      <c r="BQ27" s="380">
        <f>MAX(0,BQ25-BQ26)</f>
        <v/>
      </c>
      <c r="BR27" s="380">
        <f>MAX(0,BR25-BR26)</f>
        <v/>
      </c>
      <c r="BS27" s="380">
        <f>MAX(0,BS25-BS26)</f>
        <v/>
      </c>
      <c r="BT27" s="380">
        <f>MAX(0,BT25-BT26)</f>
        <v/>
      </c>
      <c r="BU27" s="380">
        <f>MAX(0,BU25-BU26)</f>
        <v/>
      </c>
      <c r="BV27" s="380">
        <f>MAX(0,BV25-BV26)</f>
        <v/>
      </c>
      <c r="BW27" s="380">
        <f>MAX(0,BW25-BW26)</f>
        <v/>
      </c>
      <c r="BX27" s="380">
        <f>MAX(0,BX25-BX26)</f>
        <v/>
      </c>
      <c r="BY27" s="380">
        <f>MAX(0,BY25-BY26)</f>
        <v/>
      </c>
      <c r="BZ27" s="380">
        <f>MAX(0,BZ25-BZ26)</f>
        <v/>
      </c>
      <c r="CA27" s="380">
        <f>MAX(0,CA25-CA26)</f>
        <v/>
      </c>
      <c r="CB27" s="380">
        <f>MAX(0,CB25-CB26)</f>
        <v/>
      </c>
      <c r="CC27" s="380">
        <f>MAX(0,CC25-CC26)</f>
        <v/>
      </c>
      <c r="CD27" s="380">
        <f>MAX(0,CD25-CD26)</f>
        <v/>
      </c>
      <c r="CE27" s="380">
        <f>MAX(0,CE25-CE26)</f>
        <v/>
      </c>
      <c r="CF27" s="380">
        <f>MAX(0,CF25-CF26)</f>
        <v/>
      </c>
      <c r="CG27" s="380">
        <f>MAX(0,CG25-CG26)</f>
        <v/>
      </c>
      <c r="CH27" s="380">
        <f>MAX(0,CH25-CH26)</f>
        <v/>
      </c>
      <c r="CI27" s="380">
        <f>MAX(0,CI25-CI26)</f>
        <v/>
      </c>
      <c r="CJ27" s="380">
        <f>MAX(0,CJ25-CJ26)</f>
        <v/>
      </c>
      <c r="CK27" s="380">
        <f>MAX(0,CK25-CK26)</f>
        <v/>
      </c>
      <c r="CL27" s="380">
        <f>MAX(0,CL25-CL26)</f>
        <v/>
      </c>
      <c r="CM27" s="380">
        <f>MAX(0,CM25-CM26)</f>
        <v/>
      </c>
      <c r="CN27" s="380">
        <f>MAX(0,CN25-CN26)</f>
        <v/>
      </c>
      <c r="CO27" s="380">
        <f>MAX(0,CO25-CO26)</f>
        <v/>
      </c>
      <c r="CP27" s="380">
        <f>MAX(0,CP25-CP26)</f>
        <v/>
      </c>
      <c r="CQ27" s="380">
        <f>MAX(0,CQ25-CQ26)</f>
        <v/>
      </c>
    </row>
    <row r="30" ht="15" customFormat="1" customHeight="1" s="380">
      <c r="A30" s="667" t="inlineStr">
        <is>
          <t>POST-MODEL LIHTC PROJECTIONS (10-Year Credit = 40 Quarters)</t>
        </is>
      </c>
      <c r="B30" s="667" t="n"/>
      <c r="C30" s="667" t="n"/>
      <c r="D30" s="667" t="n"/>
      <c r="E30" s="667" t="n"/>
      <c r="F30" s="667" t="n"/>
      <c r="G30" s="667" t="n"/>
      <c r="H30" s="667" t="n"/>
      <c r="I30" s="667" t="n"/>
    </row>
    <row r="31" ht="15" customFormat="1" customHeight="1" s="380">
      <c r="A31" s="684" t="inlineStr">
        <is>
          <t>Last Quarterly LIHTC Rate</t>
        </is>
      </c>
    </row>
    <row r="32" ht="15" customFormat="1" customHeight="1" s="380">
      <c r="A32" s="685" t="inlineStr">
        <is>
          <t>Francis</t>
        </is>
      </c>
      <c r="B32" s="595">
        <f>LOOKUP(2,1/(Model!E164:CG164&gt;0),Model!E164:CG164)</f>
        <v/>
      </c>
    </row>
    <row r="33" ht="15" customFormat="1" customHeight="1" s="380">
      <c r="A33" s="685" t="inlineStr">
        <is>
          <t>3rd St</t>
        </is>
      </c>
      <c r="B33" s="595">
        <f>LOOKUP(2,1/(Model!E166:CG166&gt;0),Model!E166:CG166)</f>
        <v/>
      </c>
    </row>
    <row r="34" ht="15" customFormat="1" customHeight="1" s="380">
      <c r="A34" s="685" t="inlineStr">
        <is>
          <t>Reseda</t>
        </is>
      </c>
      <c r="B34" s="595">
        <f>LOOKUP(2,1/(Model!E165:CG165&gt;0),Model!E165:CG165)</f>
        <v/>
      </c>
    </row>
    <row r="36" ht="15" customFormat="1" customHeight="1" s="380">
      <c r="A36" s="684" t="inlineStr">
        <is>
          <t>In-Model Quarterly Payments</t>
        </is>
      </c>
    </row>
    <row r="37" ht="15" customFormat="1" customHeight="1" s="380">
      <c r="A37" s="685" t="inlineStr">
        <is>
          <t>Francis</t>
        </is>
      </c>
      <c r="B37" s="468">
        <f>SUMPRODUCT((Model!E164:CG164&gt;0)*1)</f>
        <v/>
      </c>
    </row>
    <row r="38" ht="15" customFormat="1" customHeight="1" s="380">
      <c r="A38" s="685" t="inlineStr">
        <is>
          <t>3rd St</t>
        </is>
      </c>
      <c r="B38" s="468">
        <f>SUMPRODUCT((Model!E166:CG166&gt;0)*1)</f>
        <v/>
      </c>
    </row>
    <row r="39" ht="15" customFormat="1" customHeight="1" s="380">
      <c r="A39" s="685" t="inlineStr">
        <is>
          <t>Reseda</t>
        </is>
      </c>
      <c r="B39" s="468">
        <f>SUMPRODUCT((Model!E165:CG165&gt;0)*1)</f>
        <v/>
      </c>
    </row>
    <row r="41" ht="15" customFormat="1" customHeight="1" s="380">
      <c r="A41" s="684" t="inlineStr">
        <is>
          <t>Remaining Quarters (Post-Model)</t>
        </is>
      </c>
    </row>
    <row r="42" ht="15" customFormat="1" customHeight="1" s="380">
      <c r="A42" s="685" t="inlineStr">
        <is>
          <t>Francis</t>
        </is>
      </c>
      <c r="B42" s="468">
        <f>40-B37</f>
        <v/>
      </c>
    </row>
    <row r="43" ht="15" customFormat="1" customHeight="1" s="380">
      <c r="A43" s="685" t="inlineStr">
        <is>
          <t>3rd St</t>
        </is>
      </c>
      <c r="B43" s="468">
        <f>40-B38</f>
        <v/>
      </c>
    </row>
    <row r="44" ht="15" customFormat="1" customHeight="1" s="380">
      <c r="A44" s="685" t="inlineStr">
        <is>
          <t>Reseda</t>
        </is>
      </c>
      <c r="B44" s="468">
        <f>40-B39</f>
        <v/>
      </c>
    </row>
    <row r="46" ht="15" customFormat="1" customHeight="1" s="380">
      <c r="A46" s="684" t="inlineStr">
        <is>
          <t>Post-Model Total LIHTC Revenue</t>
        </is>
      </c>
    </row>
    <row r="47" ht="15" customFormat="1" customHeight="1" s="380">
      <c r="A47" s="685" t="inlineStr">
        <is>
          <t>Francis</t>
        </is>
      </c>
      <c r="B47" s="595">
        <f>B32*B42</f>
        <v/>
      </c>
    </row>
    <row r="48" ht="15" customFormat="1" customHeight="1" s="380">
      <c r="A48" s="685" t="inlineStr">
        <is>
          <t>3rd St</t>
        </is>
      </c>
      <c r="B48" s="595">
        <f>B33*B43</f>
        <v/>
      </c>
    </row>
    <row r="49" ht="15" customFormat="1" customHeight="1" s="380">
      <c r="A49" s="685" t="inlineStr">
        <is>
          <t>Reseda</t>
        </is>
      </c>
      <c r="B49" s="595">
        <f>B34*B44</f>
        <v/>
      </c>
    </row>
    <row r="51" ht="15" customFormat="1" customHeight="1" s="380">
      <c r="A51" s="667" t="inlineStr">
        <is>
          <t>3RD ST POST-MODEL PIK AMORTIZATION</t>
        </is>
      </c>
      <c r="B51" s="667" t="n"/>
      <c r="C51" s="667" t="n"/>
      <c r="D51" s="667" t="n"/>
      <c r="E51" s="667" t="n"/>
      <c r="F51" s="667" t="n"/>
      <c r="G51" s="667" t="n"/>
    </row>
    <row r="52" ht="15" customFormat="1" customHeight="1" s="380">
      <c r="A52" s="684" t="inlineStr">
        <is>
          <t>Quarter</t>
        </is>
      </c>
      <c r="B52" s="684" t="inlineStr">
        <is>
          <t>LIHTC Rev</t>
        </is>
      </c>
      <c r="C52" s="684" t="inlineStr">
        <is>
          <t>Steyn Bal</t>
        </is>
      </c>
      <c r="D52" s="684" t="inlineStr">
        <is>
          <t>Steyn Pmt</t>
        </is>
      </c>
      <c r="E52" s="684" t="inlineStr">
        <is>
          <t>PIK Bal</t>
        </is>
      </c>
      <c r="F52" s="684" t="inlineStr">
        <is>
          <t>PIK Interest</t>
        </is>
      </c>
      <c r="G52" s="684" t="inlineStr">
        <is>
          <t>PIK Pmt</t>
        </is>
      </c>
    </row>
    <row r="53" ht="15" customFormat="1" customHeight="1" s="380">
      <c r="A53" s="468" t="n">
        <v>1</v>
      </c>
      <c r="B53" s="595">
        <f>$B$33</f>
        <v/>
      </c>
      <c r="C53" s="595">
        <f>CH27</f>
        <v/>
      </c>
      <c r="D53" s="595">
        <f>MIN(C53,B53)</f>
        <v/>
      </c>
      <c r="E53" s="595">
        <f>Model!CJ244</f>
        <v/>
      </c>
      <c r="F53" s="595">
        <f>E53*Assumptions!$B$59</f>
        <v/>
      </c>
      <c r="G53" s="595">
        <f>MIN(E53+F53,MAX(0,B53-D53))</f>
        <v/>
      </c>
    </row>
    <row r="54" ht="15" customFormat="1" customHeight="1" s="380">
      <c r="A54" s="468" t="n">
        <v>2</v>
      </c>
      <c r="B54" s="595">
        <f>$B$33</f>
        <v/>
      </c>
      <c r="C54" s="595">
        <f>MAX(0,C53-D53)</f>
        <v/>
      </c>
      <c r="D54" s="595">
        <f>MIN(C54,B54)</f>
        <v/>
      </c>
      <c r="E54" s="595">
        <f>MAX(0,E53+F53-G53)</f>
        <v/>
      </c>
      <c r="F54" s="595">
        <f>E54*Assumptions!$B$59</f>
        <v/>
      </c>
      <c r="G54" s="595">
        <f>MIN(E54+F54,MAX(0,B54-D54))</f>
        <v/>
      </c>
    </row>
    <row r="55" ht="15" customFormat="1" customHeight="1" s="380">
      <c r="A55" s="468" t="n">
        <v>3</v>
      </c>
      <c r="B55" s="595">
        <f>$B$33</f>
        <v/>
      </c>
      <c r="C55" s="595">
        <f>MAX(0,C54-D54)</f>
        <v/>
      </c>
      <c r="D55" s="595">
        <f>MIN(C55,B55)</f>
        <v/>
      </c>
      <c r="E55" s="595">
        <f>MAX(0,E54+F54-G54)</f>
        <v/>
      </c>
      <c r="F55" s="595">
        <f>E55*Assumptions!$B$59</f>
        <v/>
      </c>
      <c r="G55" s="595">
        <f>MIN(E55+F55,MAX(0,B55-D55))</f>
        <v/>
      </c>
    </row>
    <row r="56" ht="15" customFormat="1" customHeight="1" s="380">
      <c r="A56" s="468" t="n">
        <v>4</v>
      </c>
      <c r="B56" s="595">
        <f>$B$33</f>
        <v/>
      </c>
      <c r="C56" s="595">
        <f>MAX(0,C55-D55)</f>
        <v/>
      </c>
      <c r="D56" s="595">
        <f>MIN(C56,B56)</f>
        <v/>
      </c>
      <c r="E56" s="595">
        <f>MAX(0,E55+F55-G55)</f>
        <v/>
      </c>
      <c r="F56" s="595">
        <f>E56*Assumptions!$B$59</f>
        <v/>
      </c>
      <c r="G56" s="595">
        <f>MIN(E56+F56,MAX(0,B56-D56))</f>
        <v/>
      </c>
    </row>
    <row r="57" ht="15" customFormat="1" customHeight="1" s="380">
      <c r="A57" s="468" t="n">
        <v>5</v>
      </c>
      <c r="B57" s="595">
        <f>$B$33</f>
        <v/>
      </c>
      <c r="C57" s="595">
        <f>MAX(0,C56-D56)</f>
        <v/>
      </c>
      <c r="D57" s="595">
        <f>MIN(C57,B57)</f>
        <v/>
      </c>
      <c r="E57" s="595">
        <f>MAX(0,E56+F56-G56)</f>
        <v/>
      </c>
      <c r="F57" s="595">
        <f>E57*Assumptions!$B$59</f>
        <v/>
      </c>
      <c r="G57" s="595">
        <f>MIN(E57+F57,MAX(0,B57-D57))</f>
        <v/>
      </c>
    </row>
    <row r="58" ht="15" customFormat="1" customHeight="1" s="380">
      <c r="A58" s="468" t="n">
        <v>6</v>
      </c>
      <c r="B58" s="595">
        <f>$B$33</f>
        <v/>
      </c>
      <c r="C58" s="595">
        <f>MAX(0,C57-D57)</f>
        <v/>
      </c>
      <c r="D58" s="595">
        <f>MIN(C58,B58)</f>
        <v/>
      </c>
      <c r="E58" s="595">
        <f>MAX(0,E57+F57-G57)</f>
        <v/>
      </c>
      <c r="F58" s="595">
        <f>E58*Assumptions!$B$59</f>
        <v/>
      </c>
      <c r="G58" s="595">
        <f>MIN(E58+F58,MAX(0,B58-D58))</f>
        <v/>
      </c>
    </row>
    <row r="59" ht="15" customFormat="1" customHeight="1" s="380">
      <c r="A59" s="468" t="n">
        <v>7</v>
      </c>
      <c r="B59" s="595">
        <f>$B$33</f>
        <v/>
      </c>
      <c r="C59" s="595">
        <f>MAX(0,C58-D58)</f>
        <v/>
      </c>
      <c r="D59" s="595">
        <f>MIN(C59,B59)</f>
        <v/>
      </c>
      <c r="E59" s="595">
        <f>MAX(0,E58+F58-G58)</f>
        <v/>
      </c>
      <c r="F59" s="595">
        <f>E59*Assumptions!$B$59</f>
        <v/>
      </c>
      <c r="G59" s="595">
        <f>MIN(E59+F59,MAX(0,B59-D59))</f>
        <v/>
      </c>
    </row>
    <row r="60" ht="15" customFormat="1" customHeight="1" s="380">
      <c r="A60" s="468" t="n">
        <v>8</v>
      </c>
      <c r="B60" s="595">
        <f>$B$33</f>
        <v/>
      </c>
      <c r="C60" s="595">
        <f>MAX(0,C59-D59)</f>
        <v/>
      </c>
      <c r="D60" s="595">
        <f>MIN(C60,B60)</f>
        <v/>
      </c>
      <c r="E60" s="595">
        <f>MAX(0,E59+F59-G59)</f>
        <v/>
      </c>
      <c r="F60" s="595">
        <f>E60*Assumptions!$B$59</f>
        <v/>
      </c>
      <c r="G60" s="595">
        <f>MIN(E60+F60,MAX(0,B60-D60))</f>
        <v/>
      </c>
    </row>
    <row r="61" ht="15" customFormat="1" customHeight="1" s="380">
      <c r="A61" s="468" t="n">
        <v>9</v>
      </c>
      <c r="B61" s="595">
        <f>$B$33</f>
        <v/>
      </c>
      <c r="C61" s="595">
        <f>MAX(0,C60-D60)</f>
        <v/>
      </c>
      <c r="D61" s="595">
        <f>MIN(C61,B61)</f>
        <v/>
      </c>
      <c r="E61" s="595">
        <f>MAX(0,E60+F60-G60)</f>
        <v/>
      </c>
      <c r="F61" s="595">
        <f>E61*Assumptions!$B$59</f>
        <v/>
      </c>
      <c r="G61" s="595">
        <f>MIN(E61+F61,MAX(0,B61-D61))</f>
        <v/>
      </c>
    </row>
    <row r="62" ht="15" customFormat="1" customHeight="1" s="380">
      <c r="A62" s="468" t="n">
        <v>10</v>
      </c>
      <c r="B62" s="595">
        <f>$B$33</f>
        <v/>
      </c>
      <c r="C62" s="595">
        <f>MAX(0,C61-D61)</f>
        <v/>
      </c>
      <c r="D62" s="595">
        <f>MIN(C62,B62)</f>
        <v/>
      </c>
      <c r="E62" s="595">
        <f>MAX(0,E61+F61-G61)</f>
        <v/>
      </c>
      <c r="F62" s="595">
        <f>E62*Assumptions!$B$59</f>
        <v/>
      </c>
      <c r="G62" s="595">
        <f>MIN(E62+F62,MAX(0,B62-D62))</f>
        <v/>
      </c>
    </row>
    <row r="63" ht="15" customFormat="1" customHeight="1" s="380">
      <c r="A63" s="468" t="n">
        <v>11</v>
      </c>
      <c r="B63" s="595">
        <f>$B$33</f>
        <v/>
      </c>
      <c r="C63" s="595">
        <f>MAX(0,C62-D62)</f>
        <v/>
      </c>
      <c r="D63" s="595">
        <f>MIN(C63,B63)</f>
        <v/>
      </c>
      <c r="E63" s="595">
        <f>MAX(0,E62+F62-G62)</f>
        <v/>
      </c>
      <c r="F63" s="595">
        <f>E63*Assumptions!$B$59</f>
        <v/>
      </c>
      <c r="G63" s="595">
        <f>MIN(E63+F63,MAX(0,B63-D63))</f>
        <v/>
      </c>
    </row>
    <row r="64" ht="15" customFormat="1" customHeight="1" s="380">
      <c r="A64" s="468" t="n">
        <v>12</v>
      </c>
      <c r="B64" s="595">
        <f>$B$33</f>
        <v/>
      </c>
      <c r="C64" s="595">
        <f>MAX(0,C63-D63)</f>
        <v/>
      </c>
      <c r="D64" s="595">
        <f>MIN(C64,B64)</f>
        <v/>
      </c>
      <c r="E64" s="595">
        <f>MAX(0,E63+F63-G63)</f>
        <v/>
      </c>
      <c r="F64" s="595">
        <f>E64*Assumptions!$B$59</f>
        <v/>
      </c>
      <c r="G64" s="595">
        <f>MIN(E64+F64,MAX(0,B64-D64))</f>
        <v/>
      </c>
    </row>
    <row r="65" ht="15" customFormat="1" customHeight="1" s="380">
      <c r="A65" s="468" t="n">
        <v>13</v>
      </c>
      <c r="B65" s="595">
        <f>$B$33</f>
        <v/>
      </c>
      <c r="C65" s="595">
        <f>MAX(0,C64-D64)</f>
        <v/>
      </c>
      <c r="D65" s="595">
        <f>MIN(C65,B65)</f>
        <v/>
      </c>
      <c r="E65" s="595">
        <f>MAX(0,E64+F64-G64)</f>
        <v/>
      </c>
      <c r="F65" s="595">
        <f>E65*Assumptions!$B$59</f>
        <v/>
      </c>
      <c r="G65" s="595">
        <f>MIN(E65+F65,MAX(0,B65-D65))</f>
        <v/>
      </c>
    </row>
    <row r="66" ht="15" customFormat="1" customHeight="1" s="380">
      <c r="A66" s="468" t="n">
        <v>14</v>
      </c>
      <c r="B66" s="595">
        <f>$B$33</f>
        <v/>
      </c>
      <c r="C66" s="595">
        <f>MAX(0,C65-D65)</f>
        <v/>
      </c>
      <c r="D66" s="595">
        <f>MIN(C66,B66)</f>
        <v/>
      </c>
      <c r="E66" s="595">
        <f>MAX(0,E65+F65-G65)</f>
        <v/>
      </c>
      <c r="F66" s="595">
        <f>E66*Assumptions!$B$59</f>
        <v/>
      </c>
      <c r="G66" s="595">
        <f>MIN(E66+F66,MAX(0,B66-D66))</f>
        <v/>
      </c>
    </row>
    <row r="67" ht="15" customFormat="1" customHeight="1" s="380">
      <c r="A67" s="468" t="n">
        <v>15</v>
      </c>
      <c r="B67" s="595">
        <f>$B$33</f>
        <v/>
      </c>
      <c r="C67" s="595">
        <f>MAX(0,C66-D66)</f>
        <v/>
      </c>
      <c r="D67" s="595">
        <f>MIN(C67,B67)</f>
        <v/>
      </c>
      <c r="E67" s="595">
        <f>MAX(0,E66+F66-G66)</f>
        <v/>
      </c>
      <c r="F67" s="595">
        <f>E67*Assumptions!$B$59</f>
        <v/>
      </c>
      <c r="G67" s="595">
        <f>MIN(E67+F67,MAX(0,B67-D67))</f>
        <v/>
      </c>
    </row>
    <row r="68" ht="15" customFormat="1" customHeight="1" s="380">
      <c r="A68" s="468" t="n">
        <v>16</v>
      </c>
      <c r="B68" s="595">
        <f>$B$33</f>
        <v/>
      </c>
      <c r="C68" s="595">
        <f>MAX(0,C67-D67)</f>
        <v/>
      </c>
      <c r="D68" s="595">
        <f>MIN(C68,B68)</f>
        <v/>
      </c>
      <c r="E68" s="595">
        <f>MAX(0,E67+F67-G67)</f>
        <v/>
      </c>
      <c r="F68" s="595">
        <f>E68*Assumptions!$B$59</f>
        <v/>
      </c>
      <c r="G68" s="595">
        <f>MIN(E68+F68,MAX(0,B68-D68))</f>
        <v/>
      </c>
    </row>
    <row r="69" ht="15" customFormat="1" customHeight="1" s="380">
      <c r="A69" s="468" t="n">
        <v>17</v>
      </c>
      <c r="B69" s="595">
        <f>$B$33</f>
        <v/>
      </c>
      <c r="C69" s="595">
        <f>MAX(0,C68-D68)</f>
        <v/>
      </c>
      <c r="D69" s="595">
        <f>MIN(C69,B69)</f>
        <v/>
      </c>
      <c r="E69" s="595">
        <f>MAX(0,E68+F68-G68)</f>
        <v/>
      </c>
      <c r="F69" s="595">
        <f>E69*Assumptions!$B$59</f>
        <v/>
      </c>
      <c r="G69" s="595">
        <f>MIN(E69+F69,MAX(0,B69-D69))</f>
        <v/>
      </c>
    </row>
    <row r="70" ht="15" customFormat="1" customHeight="1" s="380">
      <c r="A70" s="468" t="n">
        <v>18</v>
      </c>
      <c r="B70" s="595">
        <f>$B$33</f>
        <v/>
      </c>
      <c r="C70" s="595">
        <f>MAX(0,C69-D69)</f>
        <v/>
      </c>
      <c r="D70" s="595">
        <f>MIN(C70,B70)</f>
        <v/>
      </c>
      <c r="E70" s="595">
        <f>MAX(0,E69+F69-G69)</f>
        <v/>
      </c>
      <c r="F70" s="595">
        <f>E70*Assumptions!$B$59</f>
        <v/>
      </c>
      <c r="G70" s="595">
        <f>MIN(E70+F70,MAX(0,B70-D70))</f>
        <v/>
      </c>
    </row>
    <row r="71" ht="15" customFormat="1" customHeight="1" s="380">
      <c r="A71" s="468" t="n">
        <v>19</v>
      </c>
      <c r="B71" s="595">
        <f>$B$33</f>
        <v/>
      </c>
      <c r="C71" s="595">
        <f>MAX(0,C70-D70)</f>
        <v/>
      </c>
      <c r="D71" s="595">
        <f>MIN(C71,B71)</f>
        <v/>
      </c>
      <c r="E71" s="595">
        <f>MAX(0,E70+F70-G70)</f>
        <v/>
      </c>
      <c r="F71" s="595">
        <f>E71*Assumptions!$B$59</f>
        <v/>
      </c>
      <c r="G71" s="595">
        <f>MIN(E71+F71,MAX(0,B71-D71))</f>
        <v/>
      </c>
    </row>
    <row r="72" ht="15" customFormat="1" customHeight="1" s="380">
      <c r="A72" s="468" t="n">
        <v>20</v>
      </c>
      <c r="B72" s="595">
        <f>$B$33</f>
        <v/>
      </c>
      <c r="C72" s="595">
        <f>MAX(0,C71-D71)</f>
        <v/>
      </c>
      <c r="D72" s="595">
        <f>MIN(C72,B72)</f>
        <v/>
      </c>
      <c r="E72" s="595">
        <f>MAX(0,E71+F71-G71)</f>
        <v/>
      </c>
      <c r="F72" s="595">
        <f>E72*Assumptions!$B$59</f>
        <v/>
      </c>
      <c r="G72" s="595">
        <f>MIN(E72+F72,MAX(0,B72-D72))</f>
        <v/>
      </c>
    </row>
    <row r="73" ht="15" customFormat="1" customHeight="1" s="380">
      <c r="A73" s="468" t="n">
        <v>21</v>
      </c>
      <c r="B73" s="595">
        <f>$B$33</f>
        <v/>
      </c>
      <c r="C73" s="595">
        <f>MAX(0,C72-D72)</f>
        <v/>
      </c>
      <c r="D73" s="595">
        <f>MIN(C73,B73)</f>
        <v/>
      </c>
      <c r="E73" s="595">
        <f>MAX(0,E72+F72-G72)</f>
        <v/>
      </c>
      <c r="F73" s="595">
        <f>E73*Assumptions!$B$59</f>
        <v/>
      </c>
      <c r="G73" s="595">
        <f>MIN(E73+F73,MAX(0,B73-D73))</f>
        <v/>
      </c>
    </row>
    <row r="74" ht="15" customFormat="1" customHeight="1" s="380">
      <c r="A74" s="468" t="n">
        <v>22</v>
      </c>
      <c r="B74" s="595">
        <f>$B$33</f>
        <v/>
      </c>
      <c r="C74" s="595">
        <f>MAX(0,C73-D73)</f>
        <v/>
      </c>
      <c r="D74" s="595">
        <f>MIN(C74,B74)</f>
        <v/>
      </c>
      <c r="E74" s="595">
        <f>MAX(0,E73+F73-G73)</f>
        <v/>
      </c>
      <c r="F74" s="595">
        <f>E74*Assumptions!$B$59</f>
        <v/>
      </c>
      <c r="G74" s="595">
        <f>MIN(E74+F74,MAX(0,B74-D74))</f>
        <v/>
      </c>
    </row>
    <row r="75" ht="15" customFormat="1" customHeight="1" s="380">
      <c r="A75" s="468" t="n">
        <v>23</v>
      </c>
      <c r="B75" s="595">
        <f>$B$33</f>
        <v/>
      </c>
      <c r="C75" s="595">
        <f>MAX(0,C74-D74)</f>
        <v/>
      </c>
      <c r="D75" s="595">
        <f>MIN(C75,B75)</f>
        <v/>
      </c>
      <c r="E75" s="595">
        <f>MAX(0,E74+F74-G74)</f>
        <v/>
      </c>
      <c r="F75" s="595">
        <f>E75*Assumptions!$B$59</f>
        <v/>
      </c>
      <c r="G75" s="595">
        <f>MIN(E75+F75,MAX(0,B75-D75))</f>
        <v/>
      </c>
    </row>
    <row r="76" ht="15" customFormat="1" customHeight="1" s="380">
      <c r="A76" s="468" t="n">
        <v>24</v>
      </c>
      <c r="B76" s="595">
        <f>$B$33</f>
        <v/>
      </c>
      <c r="C76" s="595">
        <f>MAX(0,C75-D75)</f>
        <v/>
      </c>
      <c r="D76" s="595">
        <f>MIN(C76,B76)</f>
        <v/>
      </c>
      <c r="E76" s="595">
        <f>MAX(0,E75+F75-G75)</f>
        <v/>
      </c>
      <c r="F76" s="595">
        <f>E76*Assumptions!$B$59</f>
        <v/>
      </c>
      <c r="G76" s="595">
        <f>MIN(E76+F76,MAX(0,B76-D76))</f>
        <v/>
      </c>
    </row>
    <row r="77" ht="15" customFormat="1" customHeight="1" s="380">
      <c r="A77" s="468" t="n">
        <v>25</v>
      </c>
      <c r="B77" s="595">
        <f>$B$33</f>
        <v/>
      </c>
      <c r="C77" s="595">
        <f>MAX(0,C76-D76)</f>
        <v/>
      </c>
      <c r="D77" s="595">
        <f>MIN(C77,B77)</f>
        <v/>
      </c>
      <c r="E77" s="595">
        <f>MAX(0,E76+F76-G76)</f>
        <v/>
      </c>
      <c r="F77" s="595">
        <f>E77*Assumptions!$B$59</f>
        <v/>
      </c>
      <c r="G77" s="595">
        <f>MIN(E77+F77,MAX(0,B77-D77))</f>
        <v/>
      </c>
    </row>
    <row r="78" ht="15" customFormat="1" customHeight="1" s="380">
      <c r="A78" s="468" t="n">
        <v>26</v>
      </c>
      <c r="B78" s="595">
        <f>$B$33</f>
        <v/>
      </c>
      <c r="C78" s="595">
        <f>MAX(0,C77-D77)</f>
        <v/>
      </c>
      <c r="D78" s="595">
        <f>MIN(C78,B78)</f>
        <v/>
      </c>
      <c r="E78" s="595">
        <f>MAX(0,E77+F77-G77)</f>
        <v/>
      </c>
      <c r="F78" s="595">
        <f>E78*Assumptions!$B$59</f>
        <v/>
      </c>
      <c r="G78" s="595">
        <f>MIN(E78+F78,MAX(0,B78-D78))</f>
        <v/>
      </c>
    </row>
    <row r="79" ht="15" customFormat="1" customHeight="1" s="380">
      <c r="A79" s="468" t="n">
        <v>27</v>
      </c>
      <c r="B79" s="595">
        <f>$B$33</f>
        <v/>
      </c>
      <c r="C79" s="595">
        <f>MAX(0,C78-D78)</f>
        <v/>
      </c>
      <c r="D79" s="595">
        <f>MIN(C79,B79)</f>
        <v/>
      </c>
      <c r="E79" s="595">
        <f>MAX(0,E78+F78-G78)</f>
        <v/>
      </c>
      <c r="F79" s="595">
        <f>E79*Assumptions!$B$59</f>
        <v/>
      </c>
      <c r="G79" s="595">
        <f>MIN(E79+F79,MAX(0,B79-D79))</f>
        <v/>
      </c>
    </row>
    <row r="80" ht="15" customFormat="1" customHeight="1" s="380">
      <c r="A80" s="468" t="n">
        <v>28</v>
      </c>
      <c r="B80" s="595">
        <f>$B$33</f>
        <v/>
      </c>
      <c r="C80" s="595">
        <f>MAX(0,C79-D79)</f>
        <v/>
      </c>
      <c r="D80" s="595">
        <f>MIN(C80,B80)</f>
        <v/>
      </c>
      <c r="E80" s="595">
        <f>MAX(0,E79+F79-G79)</f>
        <v/>
      </c>
      <c r="F80" s="595">
        <f>E80*Assumptions!$B$59</f>
        <v/>
      </c>
      <c r="G80" s="595">
        <f>MIN(E80+F80,MAX(0,B80-D80))</f>
        <v/>
      </c>
    </row>
    <row r="81" ht="15" customFormat="1" customHeight="1" s="380">
      <c r="A81" s="468" t="n">
        <v>29</v>
      </c>
      <c r="B81" s="595">
        <f>$B$33</f>
        <v/>
      </c>
      <c r="C81" s="595">
        <f>MAX(0,C80-D80)</f>
        <v/>
      </c>
      <c r="D81" s="595">
        <f>MIN(C81,B81)</f>
        <v/>
      </c>
      <c r="E81" s="595">
        <f>MAX(0,E80+F80-G80)</f>
        <v/>
      </c>
      <c r="F81" s="595">
        <f>E81*Assumptions!$B$59</f>
        <v/>
      </c>
      <c r="G81" s="595">
        <f>MIN(E81+F81,MAX(0,B81-D81))</f>
        <v/>
      </c>
    </row>
    <row r="82" ht="15" customFormat="1" customHeight="1" s="380">
      <c r="A82" s="468" t="n">
        <v>30</v>
      </c>
      <c r="B82" s="595">
        <f>$B$33</f>
        <v/>
      </c>
      <c r="C82" s="595">
        <f>MAX(0,C81-D81)</f>
        <v/>
      </c>
      <c r="D82" s="595">
        <f>MIN(C82,B82)</f>
        <v/>
      </c>
      <c r="E82" s="595">
        <f>MAX(0,E81+F81-G81)</f>
        <v/>
      </c>
      <c r="F82" s="595">
        <f>E82*Assumptions!$B$59</f>
        <v/>
      </c>
      <c r="G82" s="595">
        <f>MIN(E82+F82,MAX(0,B82-D82))</f>
        <v/>
      </c>
    </row>
    <row r="83" ht="15" customFormat="1" customHeight="1" s="380">
      <c r="A83" s="468" t="n">
        <v>31</v>
      </c>
      <c r="B83" s="595">
        <f>$B$33</f>
        <v/>
      </c>
      <c r="C83" s="595">
        <f>MAX(0,C82-D82)</f>
        <v/>
      </c>
      <c r="D83" s="595">
        <f>MIN(C83,B83)</f>
        <v/>
      </c>
      <c r="E83" s="595">
        <f>MAX(0,E82+F82-G82)</f>
        <v/>
      </c>
      <c r="F83" s="595">
        <f>E83*Assumptions!$B$59</f>
        <v/>
      </c>
      <c r="G83" s="595">
        <f>MIN(E83+F83,MAX(0,B83-D83))</f>
        <v/>
      </c>
    </row>
    <row r="84" ht="15" customFormat="1" customHeight="1" s="380">
      <c r="A84" s="468" t="n">
        <v>32</v>
      </c>
      <c r="B84" s="595">
        <f>$B$33</f>
        <v/>
      </c>
      <c r="C84" s="595">
        <f>MAX(0,C83-D83)</f>
        <v/>
      </c>
      <c r="D84" s="595">
        <f>MIN(C84,B84)</f>
        <v/>
      </c>
      <c r="E84" s="595">
        <f>MAX(0,E83+F83-G83)</f>
        <v/>
      </c>
      <c r="F84" s="595">
        <f>E84*Assumptions!$B$59</f>
        <v/>
      </c>
      <c r="G84" s="595">
        <f>MIN(E84+F84,MAX(0,B84-D84))</f>
        <v/>
      </c>
    </row>
    <row r="85" ht="15" customFormat="1" customHeight="1" s="380">
      <c r="A85" s="468" t="n">
        <v>33</v>
      </c>
      <c r="B85" s="595">
        <f>$B$33</f>
        <v/>
      </c>
      <c r="C85" s="595">
        <f>MAX(0,C84-D84)</f>
        <v/>
      </c>
      <c r="D85" s="595">
        <f>MIN(C85,B85)</f>
        <v/>
      </c>
      <c r="E85" s="595">
        <f>MAX(0,E84+F84-G84)</f>
        <v/>
      </c>
      <c r="F85" s="595">
        <f>E85*Assumptions!$B$59</f>
        <v/>
      </c>
      <c r="G85" s="595">
        <f>MIN(E85+F85,MAX(0,B85-D85))</f>
        <v/>
      </c>
    </row>
    <row r="86" ht="15" customFormat="1" customHeight="1" s="380">
      <c r="A86" s="468" t="n">
        <v>34</v>
      </c>
      <c r="B86" s="595">
        <f>$B$33</f>
        <v/>
      </c>
      <c r="C86" s="595">
        <f>MAX(0,C85-D85)</f>
        <v/>
      </c>
      <c r="D86" s="595">
        <f>MIN(C86,B86)</f>
        <v/>
      </c>
      <c r="E86" s="595">
        <f>MAX(0,E85+F85-G85)</f>
        <v/>
      </c>
      <c r="F86" s="595">
        <f>E86*Assumptions!$B$59</f>
        <v/>
      </c>
      <c r="G86" s="595">
        <f>MIN(E86+F86,MAX(0,B86-D86))</f>
        <v/>
      </c>
    </row>
    <row r="87" ht="15" customFormat="1" customHeight="1" s="380">
      <c r="A87" s="468" t="n">
        <v>35</v>
      </c>
      <c r="B87" s="595">
        <f>$B$33</f>
        <v/>
      </c>
      <c r="C87" s="595">
        <f>MAX(0,C86-D86)</f>
        <v/>
      </c>
      <c r="D87" s="595">
        <f>MIN(C87,B87)</f>
        <v/>
      </c>
      <c r="E87" s="595">
        <f>MAX(0,E86+F86-G86)</f>
        <v/>
      </c>
      <c r="F87" s="595">
        <f>E87*Assumptions!$B$59</f>
        <v/>
      </c>
      <c r="G87" s="595">
        <f>MIN(E87+F87,MAX(0,B87-D87))</f>
        <v/>
      </c>
    </row>
    <row r="88" ht="15" customFormat="1" customHeight="1" s="380">
      <c r="A88" s="468" t="n">
        <v>36</v>
      </c>
      <c r="B88" s="595">
        <f>$B$33</f>
        <v/>
      </c>
      <c r="C88" s="595">
        <f>MAX(0,C87-D87)</f>
        <v/>
      </c>
      <c r="D88" s="595">
        <f>MIN(C88,B88)</f>
        <v/>
      </c>
      <c r="E88" s="595">
        <f>MAX(0,E87+F87-G87)</f>
        <v/>
      </c>
      <c r="F88" s="595">
        <f>E88*Assumptions!$B$59</f>
        <v/>
      </c>
      <c r="G88" s="595">
        <f>MIN(E88+F88,MAX(0,B88-D88))</f>
        <v/>
      </c>
    </row>
    <row r="89" ht="15" customFormat="1" customHeight="1" s="380">
      <c r="A89" s="468" t="n">
        <v>37</v>
      </c>
      <c r="B89" s="595">
        <f>$B$33</f>
        <v/>
      </c>
      <c r="C89" s="595">
        <f>MAX(0,C88-D88)</f>
        <v/>
      </c>
      <c r="D89" s="595">
        <f>MIN(C89,B89)</f>
        <v/>
      </c>
      <c r="E89" s="595">
        <f>MAX(0,E88+F88-G88)</f>
        <v/>
      </c>
      <c r="F89" s="595">
        <f>E89*Assumptions!$B$59</f>
        <v/>
      </c>
      <c r="G89" s="595">
        <f>MIN(E89+F89,MAX(0,B89-D89))</f>
        <v/>
      </c>
    </row>
    <row r="90" ht="15" customFormat="1" customHeight="1" s="380">
      <c r="A90" s="468" t="n">
        <v>38</v>
      </c>
      <c r="B90" s="595">
        <f>$B$33</f>
        <v/>
      </c>
      <c r="C90" s="595">
        <f>MAX(0,C89-D89)</f>
        <v/>
      </c>
      <c r="D90" s="595">
        <f>MIN(C90,B90)</f>
        <v/>
      </c>
      <c r="E90" s="595">
        <f>MAX(0,E89+F89-G89)</f>
        <v/>
      </c>
      <c r="F90" s="595">
        <f>E90*Assumptions!$B$59</f>
        <v/>
      </c>
      <c r="G90" s="595">
        <f>MIN(E90+F90,MAX(0,B90-D90))</f>
        <v/>
      </c>
    </row>
    <row r="91" ht="15" customFormat="1" customHeight="1" s="380">
      <c r="A91" s="468" t="n">
        <v>39</v>
      </c>
      <c r="B91" s="595">
        <f>$B$33</f>
        <v/>
      </c>
      <c r="C91" s="595">
        <f>MAX(0,C90-D90)</f>
        <v/>
      </c>
      <c r="D91" s="595">
        <f>MIN(C91,B91)</f>
        <v/>
      </c>
      <c r="E91" s="595">
        <f>MAX(0,E90+F90-G90)</f>
        <v/>
      </c>
      <c r="F91" s="595">
        <f>E91*Assumptions!$B$59</f>
        <v/>
      </c>
      <c r="G91" s="595">
        <f>MIN(E91+F91,MAX(0,B91-D91))</f>
        <v/>
      </c>
    </row>
    <row r="92" ht="15" customFormat="1" customHeight="1" s="380">
      <c r="A92" s="468" t="n">
        <v>40</v>
      </c>
      <c r="B92" s="595">
        <f>$B$33</f>
        <v/>
      </c>
      <c r="C92" s="595">
        <f>MAX(0,C91-D91)</f>
        <v/>
      </c>
      <c r="D92" s="595">
        <f>MIN(C92,B92)</f>
        <v/>
      </c>
      <c r="E92" s="595">
        <f>MAX(0,E91+F91-G91)</f>
        <v/>
      </c>
      <c r="F92" s="595">
        <f>E92*Assumptions!$B$59</f>
        <v/>
      </c>
      <c r="G92" s="595">
        <f>MIN(E92+F92,MAX(0,B92-D92))</f>
        <v/>
      </c>
    </row>
    <row r="93" ht="15" customFormat="1" customHeight="1" s="380">
      <c r="A93" s="684" t="inlineStr">
        <is>
          <t>NOTE: two month-index conventions on this sheet. Rows 3-27: col C = month 1 (= Model col E).</t>
        </is>
      </c>
      <c r="D93" s="686">
        <f>SUM(D53:D92)</f>
        <v/>
      </c>
      <c r="F93" s="686">
        <f>SUM(F53:F92)</f>
        <v/>
      </c>
      <c r="G93" s="686">
        <f>SUM(G53:G92)</f>
        <v/>
      </c>
    </row>
    <row r="94" ht="15" customHeight="1" s="410">
      <c r="A94" s="380" t="inlineStr">
        <is>
          <t>Rows 96-101: col C = month -2 (= Model col B). Check which block you are in before editing.</t>
        </is>
      </c>
    </row>
    <row r="95" ht="15" customFormat="1" customHeight="1" s="380">
      <c r="A95" s="380" t="inlineStr">
        <is>
          <t>BD MEMO ROWS  (moved from Model rows 203-207, 214)</t>
        </is>
      </c>
    </row>
    <row r="96" ht="15" customFormat="1" customHeight="1" s="380">
      <c r="A96" s="452" t="inlineStr">
        <is>
          <t>BD Construction Billing (memo)</t>
        </is>
      </c>
      <c r="B96" s="687">
        <f>SUM(Actuals!C112:N112)</f>
        <v/>
      </c>
      <c r="C96" s="688">
        <f>IF(AND(Projects!$G$17="Yes",-2&gt;=Projects!$C$17,-2&lt;Projects!$C$17+Projects!$D$17),Projects!$B$17*INDEX(Curves!$B$4:$AR$4,1,-2-Projects!$C$17+1),0)+IF(AND(Projects!$G$18="Yes",-2&gt;=Projects!$C$18,-2&lt;Projects!$C$18+Projects!$D$18),Projects!$B$18*INDEX(Curves!$B$4:$AR$4,1,-2-Projects!$C$18+1),0)+IF(AND(Projects!$G$19="Yes",-2&gt;=Projects!$C$19,-2&lt;Projects!$C$19+Projects!$D$19),Projects!$B$19*INDEX(Curves!$B$4:$AR$4,1,-2-Projects!$C$19+1),0)+IF(AND(Projects!$G$20="Yes",-2&gt;=Projects!$C$20,-2&lt;Projects!$C$20+Projects!$D$20),Projects!$B$20*INDEX(Curves!$B$4:$AR$4,1,-2-Projects!$C$20+1),0)+IF(AND(Projects!$G$21="Yes",-2&gt;=Projects!$C$21,-2&lt;Projects!$C$21+Projects!$D$21),Projects!$B$21*INDEX(Curves!$B$4:$AR$4,1,-2-Projects!$C$21+1),0)+IF(AND(Projects!$G$22="Yes",-2&gt;=Projects!$C$22,-2&lt;Projects!$C$22+Projects!$D$22),Projects!$B$22*INDEX(Curves!$B$4:$AR$4,1,-2-Projects!$C$22+1),0)+IF(AND(Projects!$G$23="Yes",-2&gt;=Projects!$C$23,-2&lt;Projects!$C$23+Projects!$D$23),Projects!$B$23*INDEX(Curves!$B$4:$AR$4,1,-2-Projects!$C$23+1),0)+IF(AND(Projects!$G$24="Yes",-2&gt;=Projects!$C$24,-2&lt;Projects!$C$24+Projects!$D$24),Projects!$B$24*INDEX(Curves!$B$4:$AR$4,1,-2-Projects!$C$24+1),0)+IF(AND(Projects!$G$25="Yes",-2&gt;=Projects!$C$25,-2&lt;Projects!$C$25+Projects!$D$25),Projects!$B$25*INDEX(Curves!$B$4:$AR$4,1,-2-Projects!$C$25+1),0)+IF(AND(Projects!$G$26="Yes",-2&gt;=Projects!$C$26,-2&lt;Projects!$C$26+Projects!$D$26),Projects!$B$26*INDEX(Curves!$B$4:$AR$4,1,-2-Projects!$C$26+1),0)+IF(AND(Projects!$G$27="Yes",-2&gt;=Projects!$C$27,-2&lt;Projects!$C$27+Projects!$D$27),Projects!$B$27*INDEX(Curves!$B$4:$AR$4,1,-2-Projects!$C$27+1),0)+IF(AND(Projects!$G$28="Yes",-2&gt;=Projects!$C$28,-2&lt;Projects!$C$28+Projects!$D$28),Projects!$B$28*INDEX(Curves!$B$4:$AR$4,1,-2-Projects!$C$28+1),0)+IF(AND(Projects!$G$29="Yes",-2&gt;=Projects!$C$29,-2&lt;Projects!$C$29+Projects!$D$29),Projects!$B$29*INDEX(Curves!$B$4:$AR$4,1,-2-Projects!$C$29+1),0)+IF(AND(Projects!$G$30="Yes",-2&gt;=Projects!$C$30,-2&lt;Projects!$C$30+Projects!$D$30),Projects!$B$30*INDEX(Curves!$B$4:$AR$4,1,-2-Projects!$C$30+1),0)+IF(AND(Projects!$G$31="Yes",-2&gt;=Projects!$C$31,-2&lt;Projects!$C$31+Projects!$D$31),Projects!$B$31*INDEX(Curves!$B$4:$AR$4,1,-2-Projects!$C$31+1),0)+IF(AND(Projects!$G$32="Yes",-2&gt;=Projects!$C$32,-2&lt;Projects!$C$32+Projects!$D$32),Projects!$B$32*INDEX(Curves!$B$4:$AR$4,1,-2-Projects!$C$32+1),0)+IF(AND(Projects!$G$33="Yes",-2&gt;=Projects!$C$33,-2&lt;Projects!$C$33+Projects!$D$33),Projects!$B$33*INDEX(Curves!$B$4:$AR$4,1,-2-Projects!$C$33+1),0)+IF(AND(Projects!$G$34="Yes",-2&gt;=Projects!$C$34,-2&lt;Projects!$C$34+Projects!$D$34),Projects!$B$34*INDEX(Curves!$B$4:$AR$4,1,-2-Projects!$C$34+1),0)+IF(AND(Projects!$G$35="Yes",-2&gt;=Projects!$C$35,-2&lt;Projects!$C$35+Projects!$D$35),Projects!$B$35*INDEX(Curves!$B$4:$AR$4,1,-2-Projects!$C$35+1),0)+IF(AND(Projects!$G$36="Yes",-2&gt;=Projects!$C$36,-2&lt;Projects!$C$36+Projects!$D$36),Projects!$B$36*INDEX(Curves!$B$4:$AR$4,1,-2-Projects!$C$36+1),0)+IF(AND(Projects!$G$37="Yes",-2&gt;=Projects!$C$37,-2&lt;Projects!$C$37+Projects!$D$37),Projects!$B$37*INDEX(Curves!$B$4:$AR$4,1,-2-Projects!$C$37+1),0)+IF(AND(Projects!$G$38="Yes",-2&gt;=Projects!$C$38,-2&lt;Projects!$C$38+Projects!$D$38),Projects!$B$38*INDEX(Curves!$B$4:$AR$4,1,-2-Projects!$C$38+1),0)+IF(AND(Projects!$G$39="Yes",-2&gt;=Projects!$C$39,-2&lt;Projects!$C$39+Projects!$D$39),Projects!$B$39*INDEX(Curves!$B$4:$AR$4,1,-2-Projects!$C$39+1),0)+IF(AND(Projects!$G$40="Yes",-2&gt;=Projects!$C$40,-2&lt;Projects!$C$40+Projects!$D$40),Projects!$B$40*INDEX(Curves!$B$4:$AR$4,1,-2-Projects!$C$40+1),0)+IF(AND(Projects!$G$41="Yes",-2&gt;=Projects!$C$41,-2&lt;Projects!$C$41+Projects!$D$41),Projects!$B$41*INDEX(Curves!$B$4:$AR$4,1,-2-Projects!$C$41+1),0)+IF(AND(Projects!$G$42="Yes",-2&gt;=Projects!$C$42,-2&lt;Projects!$C$42+Projects!$D$42),Projects!$B$42*INDEX(Curves!$B$4:$AR$4,1,-2-Projects!$C$42+1),0)+IF(AND(Projects!$G$43="Yes",-2&gt;=Projects!$C$43,-2&lt;Projects!$C$43+Projects!$D$43),Projects!$B$43*INDEX(Curves!$B$4:$AR$4,1,-2-Projects!$C$43+1),0)+IF(AND(Projects!$G$44="Yes",-2&gt;=Projects!$C$44,-2&lt;Projects!$C$44+Projects!$D$44),Projects!$B$44*INDEX(Curves!$B$4:$AR$4,1,-2-Projects!$C$44+1),0)+IF(AND(Projects!$G$45="Yes",-2&gt;=Projects!$C$45,-2&lt;Projects!$C$45+Projects!$D$45),Projects!$B$45*INDEX(Curves!$B$4:$AR$4,1,-2-Projects!$C$45+1),0)+IF(AND(Projects!$G$46="Yes",-2&gt;=Projects!$C$46,-2&lt;Projects!$C$46+Projects!$D$46),Projects!$B$46*INDEX(Curves!$B$4:$AR$4,1,-2-Projects!$C$46+1),0)</f>
        <v/>
      </c>
      <c r="D96" s="688">
        <f>IF(AND(Projects!$G$17="Yes",-1&gt;=Projects!$C$17,-1&lt;Projects!$C$17+Projects!$D$17),Projects!$B$17*INDEX(Curves!$B$4:$AR$4,1,-1-Projects!$C$17+1),0)+IF(AND(Projects!$G$18="Yes",-1&gt;=Projects!$C$18,-1&lt;Projects!$C$18+Projects!$D$18),Projects!$B$18*INDEX(Curves!$B$4:$AR$4,1,-1-Projects!$C$18+1),0)+IF(AND(Projects!$G$19="Yes",-1&gt;=Projects!$C$19,-1&lt;Projects!$C$19+Projects!$D$19),Projects!$B$19*INDEX(Curves!$B$4:$AR$4,1,-1-Projects!$C$19+1),0)+IF(AND(Projects!$G$20="Yes",-1&gt;=Projects!$C$20,-1&lt;Projects!$C$20+Projects!$D$20),Projects!$B$20*INDEX(Curves!$B$4:$AR$4,1,-1-Projects!$C$20+1),0)+IF(AND(Projects!$G$21="Yes",-1&gt;=Projects!$C$21,-1&lt;Projects!$C$21+Projects!$D$21),Projects!$B$21*INDEX(Curves!$B$4:$AR$4,1,-1-Projects!$C$21+1),0)+IF(AND(Projects!$G$22="Yes",-1&gt;=Projects!$C$22,-1&lt;Projects!$C$22+Projects!$D$22),Projects!$B$22*INDEX(Curves!$B$4:$AR$4,1,-1-Projects!$C$22+1),0)+IF(AND(Projects!$G$23="Yes",-1&gt;=Projects!$C$23,-1&lt;Projects!$C$23+Projects!$D$23),Projects!$B$23*INDEX(Curves!$B$4:$AR$4,1,-1-Projects!$C$23+1),0)+IF(AND(Projects!$G$24="Yes",-1&gt;=Projects!$C$24,-1&lt;Projects!$C$24+Projects!$D$24),Projects!$B$24*INDEX(Curves!$B$4:$AR$4,1,-1-Projects!$C$24+1),0)+IF(AND(Projects!$G$25="Yes",-1&gt;=Projects!$C$25,-1&lt;Projects!$C$25+Projects!$D$25),Projects!$B$25*INDEX(Curves!$B$4:$AR$4,1,-1-Projects!$C$25+1),0)+IF(AND(Projects!$G$26="Yes",-1&gt;=Projects!$C$26,-1&lt;Projects!$C$26+Projects!$D$26),Projects!$B$26*INDEX(Curves!$B$4:$AR$4,1,-1-Projects!$C$26+1),0)+IF(AND(Projects!$G$27="Yes",-1&gt;=Projects!$C$27,-1&lt;Projects!$C$27+Projects!$D$27),Projects!$B$27*INDEX(Curves!$B$4:$AR$4,1,-1-Projects!$C$27+1),0)+IF(AND(Projects!$G$28="Yes",-1&gt;=Projects!$C$28,-1&lt;Projects!$C$28+Projects!$D$28),Projects!$B$28*INDEX(Curves!$B$4:$AR$4,1,-1-Projects!$C$28+1),0)+IF(AND(Projects!$G$29="Yes",-1&gt;=Projects!$C$29,-1&lt;Projects!$C$29+Projects!$D$29),Projects!$B$29*INDEX(Curves!$B$4:$AR$4,1,-1-Projects!$C$29+1),0)+IF(AND(Projects!$G$30="Yes",-1&gt;=Projects!$C$30,-1&lt;Projects!$C$30+Projects!$D$30),Projects!$B$30*INDEX(Curves!$B$4:$AR$4,1,-1-Projects!$C$30+1),0)+IF(AND(Projects!$G$31="Yes",-1&gt;=Projects!$C$31,-1&lt;Projects!$C$31+Projects!$D$31),Projects!$B$31*INDEX(Curves!$B$4:$AR$4,1,-1-Projects!$C$31+1),0)+IF(AND(Projects!$G$32="Yes",-1&gt;=Projects!$C$32,-1&lt;Projects!$C$32+Projects!$D$32),Projects!$B$32*INDEX(Curves!$B$4:$AR$4,1,-1-Projects!$C$32+1),0)+IF(AND(Projects!$G$33="Yes",-1&gt;=Projects!$C$33,-1&lt;Projects!$C$33+Projects!$D$33),Projects!$B$33*INDEX(Curves!$B$4:$AR$4,1,-1-Projects!$C$33+1),0)+IF(AND(Projects!$G$34="Yes",-1&gt;=Projects!$C$34,-1&lt;Projects!$C$34+Projects!$D$34),Projects!$B$34*INDEX(Curves!$B$4:$AR$4,1,-1-Projects!$C$34+1),0)+IF(AND(Projects!$G$35="Yes",-1&gt;=Projects!$C$35,-1&lt;Projects!$C$35+Projects!$D$35),Projects!$B$35*INDEX(Curves!$B$4:$AR$4,1,-1-Projects!$C$35+1),0)+IF(AND(Projects!$G$36="Yes",-1&gt;=Projects!$C$36,-1&lt;Projects!$C$36+Projects!$D$36),Projects!$B$36*INDEX(Curves!$B$4:$AR$4,1,-1-Projects!$C$36+1),0)+IF(AND(Projects!$G$37="Yes",-1&gt;=Projects!$C$37,-1&lt;Projects!$C$37+Projects!$D$37),Projects!$B$37*INDEX(Curves!$B$4:$AR$4,1,-1-Projects!$C$37+1),0)+IF(AND(Projects!$G$38="Yes",-1&gt;=Projects!$C$38,-1&lt;Projects!$C$38+Projects!$D$38),Projects!$B$38*INDEX(Curves!$B$4:$AR$4,1,-1-Projects!$C$38+1),0)+IF(AND(Projects!$G$39="Yes",-1&gt;=Projects!$C$39,-1&lt;Projects!$C$39+Projects!$D$39),Projects!$B$39*INDEX(Curves!$B$4:$AR$4,1,-1-Projects!$C$39+1),0)+IF(AND(Projects!$G$40="Yes",-1&gt;=Projects!$C$40,-1&lt;Projects!$C$40+Projects!$D$40),Projects!$B$40*INDEX(Curves!$B$4:$AR$4,1,-1-Projects!$C$40+1),0)+IF(AND(Projects!$G$41="Yes",-1&gt;=Projects!$C$41,-1&lt;Projects!$C$41+Projects!$D$41),Projects!$B$41*INDEX(Curves!$B$4:$AR$4,1,-1-Projects!$C$41+1),0)+IF(AND(Projects!$G$42="Yes",-1&gt;=Projects!$C$42,-1&lt;Projects!$C$42+Projects!$D$42),Projects!$B$42*INDEX(Curves!$B$4:$AR$4,1,-1-Projects!$C$42+1),0)+IF(AND(Projects!$G$43="Yes",-1&gt;=Projects!$C$43,-1&lt;Projects!$C$43+Projects!$D$43),Projects!$B$43*INDEX(Curves!$B$4:$AR$4,1,-1-Projects!$C$43+1),0)+IF(AND(Projects!$G$44="Yes",-1&gt;=Projects!$C$44,-1&lt;Projects!$C$44+Projects!$D$44),Projects!$B$44*INDEX(Curves!$B$4:$AR$4,1,-1-Projects!$C$44+1),0)+IF(AND(Projects!$G$45="Yes",-1&gt;=Projects!$C$45,-1&lt;Projects!$C$45+Projects!$D$45),Projects!$B$45*INDEX(Curves!$B$4:$AR$4,1,-1-Projects!$C$45+1),0)+IF(AND(Projects!$G$46="Yes",-1&gt;=Projects!$C$46,-1&lt;Projects!$C$46+Projects!$D$46),Projects!$B$46*INDEX(Curves!$B$4:$AR$4,1,-1-Projects!$C$46+1),0)</f>
        <v/>
      </c>
      <c r="E96" s="688">
        <f>IF(AND(Projects!$G$17="Yes",0&gt;=Projects!$C$17,0&lt;Projects!$C$17+Projects!$D$17),Projects!$B$17*INDEX(Curves!$B$4:$AR$4,1,0-Projects!$C$17+1),0)+IF(AND(Projects!$G$18="Yes",0&gt;=Projects!$C$18,0&lt;Projects!$C$18+Projects!$D$18),Projects!$B$18*INDEX(Curves!$B$4:$AR$4,1,0-Projects!$C$18+1),0)+IF(AND(Projects!$G$19="Yes",0&gt;=Projects!$C$19,0&lt;Projects!$C$19+Projects!$D$19),Projects!$B$19*INDEX(Curves!$B$4:$AR$4,1,0-Projects!$C$19+1),0)+IF(AND(Projects!$G$20="Yes",0&gt;=Projects!$C$20,0&lt;Projects!$C$20+Projects!$D$20),Projects!$B$20*INDEX(Curves!$B$4:$AR$4,1,0-Projects!$C$20+1),0)+IF(AND(Projects!$G$21="Yes",0&gt;=Projects!$C$21,0&lt;Projects!$C$21+Projects!$D$21),Projects!$B$21*INDEX(Curves!$B$4:$AR$4,1,0-Projects!$C$21+1),0)+IF(AND(Projects!$G$22="Yes",0&gt;=Projects!$C$22,0&lt;Projects!$C$22+Projects!$D$22),Projects!$B$22*INDEX(Curves!$B$4:$AR$4,1,0-Projects!$C$22+1),0)+IF(AND(Projects!$G$23="Yes",0&gt;=Projects!$C$23,0&lt;Projects!$C$23+Projects!$D$23),Projects!$B$23*INDEX(Curves!$B$4:$AR$4,1,0-Projects!$C$23+1),0)+IF(AND(Projects!$G$24="Yes",0&gt;=Projects!$C$24,0&lt;Projects!$C$24+Projects!$D$24),Projects!$B$24*INDEX(Curves!$B$4:$AR$4,1,0-Projects!$C$24+1),0)+IF(AND(Projects!$G$25="Yes",0&gt;=Projects!$C$25,0&lt;Projects!$C$25+Projects!$D$25),Projects!$B$25*INDEX(Curves!$B$4:$AR$4,1,0-Projects!$C$25+1),0)+IF(AND(Projects!$G$26="Yes",0&gt;=Projects!$C$26,0&lt;Projects!$C$26+Projects!$D$26),Projects!$B$26*INDEX(Curves!$B$4:$AR$4,1,0-Projects!$C$26+1),0)+IF(AND(Projects!$G$27="Yes",0&gt;=Projects!$C$27,0&lt;Projects!$C$27+Projects!$D$27),Projects!$B$27*INDEX(Curves!$B$4:$AR$4,1,0-Projects!$C$27+1),0)+IF(AND(Projects!$G$28="Yes",0&gt;=Projects!$C$28,0&lt;Projects!$C$28+Projects!$D$28),Projects!$B$28*INDEX(Curves!$B$4:$AR$4,1,0-Projects!$C$28+1),0)+IF(AND(Projects!$G$29="Yes",0&gt;=Projects!$C$29,0&lt;Projects!$C$29+Projects!$D$29),Projects!$B$29*INDEX(Curves!$B$4:$AR$4,1,0-Projects!$C$29+1),0)+IF(AND(Projects!$G$30="Yes",0&gt;=Projects!$C$30,0&lt;Projects!$C$30+Projects!$D$30),Projects!$B$30*INDEX(Curves!$B$4:$AR$4,1,0-Projects!$C$30+1),0)+IF(AND(Projects!$G$31="Yes",0&gt;=Projects!$C$31,0&lt;Projects!$C$31+Projects!$D$31),Projects!$B$31*INDEX(Curves!$B$4:$AR$4,1,0-Projects!$C$31+1),0)+IF(AND(Projects!$G$32="Yes",0&gt;=Projects!$C$32,0&lt;Projects!$C$32+Projects!$D$32),Projects!$B$32*INDEX(Curves!$B$4:$AR$4,1,0-Projects!$C$32+1),0)+IF(AND(Projects!$G$33="Yes",0&gt;=Projects!$C$33,0&lt;Projects!$C$33+Projects!$D$33),Projects!$B$33*INDEX(Curves!$B$4:$AR$4,1,0-Projects!$C$33+1),0)+IF(AND(Projects!$G$34="Yes",0&gt;=Projects!$C$34,0&lt;Projects!$C$34+Projects!$D$34),Projects!$B$34*INDEX(Curves!$B$4:$AR$4,1,0-Projects!$C$34+1),0)+IF(AND(Projects!$G$35="Yes",0&gt;=Projects!$C$35,0&lt;Projects!$C$35+Projects!$D$35),Projects!$B$35*INDEX(Curves!$B$4:$AR$4,1,0-Projects!$C$35+1),0)+IF(AND(Projects!$G$36="Yes",0&gt;=Projects!$C$36,0&lt;Projects!$C$36+Projects!$D$36),Projects!$B$36*INDEX(Curves!$B$4:$AR$4,1,0-Projects!$C$36+1),0)+IF(AND(Projects!$G$37="Yes",0&gt;=Projects!$C$37,0&lt;Projects!$C$37+Projects!$D$37),Projects!$B$37*INDEX(Curves!$B$4:$AR$4,1,0-Projects!$C$37+1),0)+IF(AND(Projects!$G$38="Yes",0&gt;=Projects!$C$38,0&lt;Projects!$C$38+Projects!$D$38),Projects!$B$38*INDEX(Curves!$B$4:$AR$4,1,0-Projects!$C$38+1),0)+IF(AND(Projects!$G$39="Yes",0&gt;=Projects!$C$39,0&lt;Projects!$C$39+Projects!$D$39),Projects!$B$39*INDEX(Curves!$B$4:$AR$4,1,0-Projects!$C$39+1),0)+IF(AND(Projects!$G$40="Yes",0&gt;=Projects!$C$40,0&lt;Projects!$C$40+Projects!$D$40),Projects!$B$40*INDEX(Curves!$B$4:$AR$4,1,0-Projects!$C$40+1),0)+IF(AND(Projects!$G$41="Yes",0&gt;=Projects!$C$41,0&lt;Projects!$C$41+Projects!$D$41),Projects!$B$41*INDEX(Curves!$B$4:$AR$4,1,0-Projects!$C$41+1),0)+IF(AND(Projects!$G$42="Yes",0&gt;=Projects!$C$42,0&lt;Projects!$C$42+Projects!$D$42),Projects!$B$42*INDEX(Curves!$B$4:$AR$4,1,0-Projects!$C$42+1),0)+IF(AND(Projects!$G$43="Yes",0&gt;=Projects!$C$43,0&lt;Projects!$C$43+Projects!$D$43),Projects!$B$43*INDEX(Curves!$B$4:$AR$4,1,0-Projects!$C$43+1),0)+IF(AND(Projects!$G$44="Yes",0&gt;=Projects!$C$44,0&lt;Projects!$C$44+Projects!$D$44),Projects!$B$44*INDEX(Curves!$B$4:$AR$4,1,0-Projects!$C$44+1),0)+IF(AND(Projects!$G$45="Yes",0&gt;=Projects!$C$45,0&lt;Projects!$C$45+Projects!$D$45),Projects!$B$45*INDEX(Curves!$B$4:$AR$4,1,0-Projects!$C$45+1),0)+IF(AND(Projects!$G$46="Yes",0&gt;=Projects!$C$46,0&lt;Projects!$C$46+Projects!$D$46),Projects!$B$46*INDEX(Curves!$B$4:$AR$4,1,0-Projects!$C$46+1),0)</f>
        <v/>
      </c>
      <c r="F96" s="688">
        <f>IF(AND(Projects!$G$17="Yes",1&gt;=Projects!$C$17,1&lt;Projects!$C$17+Projects!$D$17),Projects!$B$17*INDEX(Curves!$B$4:$AR$4,1,1-Projects!$C$17+1),0)+IF(AND(Projects!$G$18="Yes",1&gt;=Projects!$C$18,1&lt;Projects!$C$18+Projects!$D$18),Projects!$B$18*INDEX(Curves!$B$4:$AR$4,1,1-Projects!$C$18+1),0)+IF(AND(Projects!$G$19="Yes",1&gt;=Projects!$C$19,1&lt;Projects!$C$19+Projects!$D$19),Projects!$B$19*INDEX(Curves!$B$4:$AR$4,1,1-Projects!$C$19+1),0)+IF(AND(Projects!$G$20="Yes",1&gt;=Projects!$C$20,1&lt;Projects!$C$20+Projects!$D$20),Projects!$B$20*INDEX(Curves!$B$4:$AR$4,1,1-Projects!$C$20+1),0)+IF(AND(Projects!$G$21="Yes",1&gt;=Projects!$C$21,1&lt;Projects!$C$21+Projects!$D$21),Projects!$B$21*INDEX(Curves!$B$4:$AR$4,1,1-Projects!$C$21+1),0)+IF(AND(Projects!$G$22="Yes",1&gt;=Projects!$C$22,1&lt;Projects!$C$22+Projects!$D$22),Projects!$B$22*INDEX(Curves!$B$4:$AR$4,1,1-Projects!$C$22+1),0)+IF(AND(Projects!$G$23="Yes",1&gt;=Projects!$C$23,1&lt;Projects!$C$23+Projects!$D$23),Projects!$B$23*INDEX(Curves!$B$4:$AR$4,1,1-Projects!$C$23+1),0)+IF(AND(Projects!$G$24="Yes",1&gt;=Projects!$C$24,1&lt;Projects!$C$24+Projects!$D$24),Projects!$B$24*INDEX(Curves!$B$4:$AR$4,1,1-Projects!$C$24+1),0)+IF(AND(Projects!$G$25="Yes",1&gt;=Projects!$C$25,1&lt;Projects!$C$25+Projects!$D$25),Projects!$B$25*INDEX(Curves!$B$4:$AR$4,1,1-Projects!$C$25+1),0)+IF(AND(Projects!$G$26="Yes",1&gt;=Projects!$C$26,1&lt;Projects!$C$26+Projects!$D$26),Projects!$B$26*INDEX(Curves!$B$4:$AR$4,1,1-Projects!$C$26+1),0)+IF(AND(Projects!$G$27="Yes",1&gt;=Projects!$C$27,1&lt;Projects!$C$27+Projects!$D$27),Projects!$B$27*INDEX(Curves!$B$4:$AR$4,1,1-Projects!$C$27+1),0)+IF(AND(Projects!$G$28="Yes",1&gt;=Projects!$C$28,1&lt;Projects!$C$28+Projects!$D$28),Projects!$B$28*INDEX(Curves!$B$4:$AR$4,1,1-Projects!$C$28+1),0)+IF(AND(Projects!$G$29="Yes",1&gt;=Projects!$C$29,1&lt;Projects!$C$29+Projects!$D$29),Projects!$B$29*INDEX(Curves!$B$4:$AR$4,1,1-Projects!$C$29+1),0)+IF(AND(Projects!$G$30="Yes",1&gt;=Projects!$C$30,1&lt;Projects!$C$30+Projects!$D$30),Projects!$B$30*INDEX(Curves!$B$4:$AR$4,1,1-Projects!$C$30+1),0)+IF(AND(Projects!$G$31="Yes",1&gt;=Projects!$C$31,1&lt;Projects!$C$31+Projects!$D$31),Projects!$B$31*INDEX(Curves!$B$4:$AR$4,1,1-Projects!$C$31+1),0)+IF(AND(Projects!$G$32="Yes",1&gt;=Projects!$C$32,1&lt;Projects!$C$32+Projects!$D$32),Projects!$B$32*INDEX(Curves!$B$4:$AR$4,1,1-Projects!$C$32+1),0)+IF(AND(Projects!$G$33="Yes",1&gt;=Projects!$C$33,1&lt;Projects!$C$33+Projects!$D$33),Projects!$B$33*INDEX(Curves!$B$4:$AR$4,1,1-Projects!$C$33+1),0)+IF(AND(Projects!$G$34="Yes",1&gt;=Projects!$C$34,1&lt;Projects!$C$34+Projects!$D$34),Projects!$B$34*INDEX(Curves!$B$4:$AR$4,1,1-Projects!$C$34+1),0)+IF(AND(Projects!$G$35="Yes",1&gt;=Projects!$C$35,1&lt;Projects!$C$35+Projects!$D$35),Projects!$B$35*INDEX(Curves!$B$4:$AR$4,1,1-Projects!$C$35+1),0)+IF(AND(Projects!$G$36="Yes",1&gt;=Projects!$C$36,1&lt;Projects!$C$36+Projects!$D$36),Projects!$B$36*INDEX(Curves!$B$4:$AR$4,1,1-Projects!$C$36+1),0)+IF(AND(Projects!$G$37="Yes",1&gt;=Projects!$C$37,1&lt;Projects!$C$37+Projects!$D$37),Projects!$B$37*INDEX(Curves!$B$4:$AR$4,1,1-Projects!$C$37+1),0)+IF(AND(Projects!$G$38="Yes",1&gt;=Projects!$C$38,1&lt;Projects!$C$38+Projects!$D$38),Projects!$B$38*INDEX(Curves!$B$4:$AR$4,1,1-Projects!$C$38+1),0)+IF(AND(Projects!$G$39="Yes",1&gt;=Projects!$C$39,1&lt;Projects!$C$39+Projects!$D$39),Projects!$B$39*INDEX(Curves!$B$4:$AR$4,1,1-Projects!$C$39+1),0)+IF(AND(Projects!$G$40="Yes",1&gt;=Projects!$C$40,1&lt;Projects!$C$40+Projects!$D$40),Projects!$B$40*INDEX(Curves!$B$4:$AR$4,1,1-Projects!$C$40+1),0)+IF(AND(Projects!$G$41="Yes",1&gt;=Projects!$C$41,1&lt;Projects!$C$41+Projects!$D$41),Projects!$B$41*INDEX(Curves!$B$4:$AR$4,1,1-Projects!$C$41+1),0)+IF(AND(Projects!$G$42="Yes",1&gt;=Projects!$C$42,1&lt;Projects!$C$42+Projects!$D$42),Projects!$B$42*INDEX(Curves!$B$4:$AR$4,1,1-Projects!$C$42+1),0)+IF(AND(Projects!$G$43="Yes",1&gt;=Projects!$C$43,1&lt;Projects!$C$43+Projects!$D$43),Projects!$B$43*INDEX(Curves!$B$4:$AR$4,1,1-Projects!$C$43+1),0)+IF(AND(Projects!$G$44="Yes",1&gt;=Projects!$C$44,1&lt;Projects!$C$44+Projects!$D$44),Projects!$B$44*INDEX(Curves!$B$4:$AR$4,1,1-Projects!$C$44+1),0)+IF(AND(Projects!$G$45="Yes",1&gt;=Projects!$C$45,1&lt;Projects!$C$45+Projects!$D$45),Projects!$B$45*INDEX(Curves!$B$4:$AR$4,1,1-Projects!$C$45+1),0)+IF(AND(Projects!$G$46="Yes",1&gt;=Projects!$C$46,1&lt;Projects!$C$46+Projects!$D$46),Projects!$B$46*INDEX(Curves!$B$4:$AR$4,1,1-Projects!$C$46+1),0)</f>
        <v/>
      </c>
      <c r="G96" s="688">
        <f>IF(AND(Projects!$G$17="Yes",2&gt;=Projects!$C$17,2&lt;Projects!$C$17+Projects!$D$17),Projects!$B$17*INDEX(Curves!$B$4:$AR$4,1,2-Projects!$C$17+1),0)+IF(AND(Projects!$G$18="Yes",2&gt;=Projects!$C$18,2&lt;Projects!$C$18+Projects!$D$18),Projects!$B$18*INDEX(Curves!$B$4:$AR$4,1,2-Projects!$C$18+1),0)+IF(AND(Projects!$G$19="Yes",2&gt;=Projects!$C$19,2&lt;Projects!$C$19+Projects!$D$19),Projects!$B$19*INDEX(Curves!$B$4:$AR$4,1,2-Projects!$C$19+1),0)+IF(AND(Projects!$G$20="Yes",2&gt;=Projects!$C$20,2&lt;Projects!$C$20+Projects!$D$20),Projects!$B$20*INDEX(Curves!$B$4:$AR$4,1,2-Projects!$C$20+1),0)+IF(AND(Projects!$G$21="Yes",2&gt;=Projects!$C$21,2&lt;Projects!$C$21+Projects!$D$21),Projects!$B$21*INDEX(Curves!$B$4:$AR$4,1,2-Projects!$C$21+1),0)+IF(AND(Projects!$G$22="Yes",2&gt;=Projects!$C$22,2&lt;Projects!$C$22+Projects!$D$22),Projects!$B$22*INDEX(Curves!$B$4:$AR$4,1,2-Projects!$C$22+1),0)+IF(AND(Projects!$G$23="Yes",2&gt;=Projects!$C$23,2&lt;Projects!$C$23+Projects!$D$23),Projects!$B$23*INDEX(Curves!$B$4:$AR$4,1,2-Projects!$C$23+1),0)+IF(AND(Projects!$G$24="Yes",2&gt;=Projects!$C$24,2&lt;Projects!$C$24+Projects!$D$24),Projects!$B$24*INDEX(Curves!$B$4:$AR$4,1,2-Projects!$C$24+1),0)+IF(AND(Projects!$G$25="Yes",2&gt;=Projects!$C$25,2&lt;Projects!$C$25+Projects!$D$25),Projects!$B$25*INDEX(Curves!$B$4:$AR$4,1,2-Projects!$C$25+1),0)+IF(AND(Projects!$G$26="Yes",2&gt;=Projects!$C$26,2&lt;Projects!$C$26+Projects!$D$26),Projects!$B$26*INDEX(Curves!$B$4:$AR$4,1,2-Projects!$C$26+1),0)+IF(AND(Projects!$G$27="Yes",2&gt;=Projects!$C$27,2&lt;Projects!$C$27+Projects!$D$27),Projects!$B$27*INDEX(Curves!$B$4:$AR$4,1,2-Projects!$C$27+1),0)+IF(AND(Projects!$G$28="Yes",2&gt;=Projects!$C$28,2&lt;Projects!$C$28+Projects!$D$28),Projects!$B$28*INDEX(Curves!$B$4:$AR$4,1,2-Projects!$C$28+1),0)+IF(AND(Projects!$G$29="Yes",2&gt;=Projects!$C$29,2&lt;Projects!$C$29+Projects!$D$29),Projects!$B$29*INDEX(Curves!$B$4:$AR$4,1,2-Projects!$C$29+1),0)+IF(AND(Projects!$G$30="Yes",2&gt;=Projects!$C$30,2&lt;Projects!$C$30+Projects!$D$30),Projects!$B$30*INDEX(Curves!$B$4:$AR$4,1,2-Projects!$C$30+1),0)+IF(AND(Projects!$G$31="Yes",2&gt;=Projects!$C$31,2&lt;Projects!$C$31+Projects!$D$31),Projects!$B$31*INDEX(Curves!$B$4:$AR$4,1,2-Projects!$C$31+1),0)+IF(AND(Projects!$G$32="Yes",2&gt;=Projects!$C$32,2&lt;Projects!$C$32+Projects!$D$32),Projects!$B$32*INDEX(Curves!$B$4:$AR$4,1,2-Projects!$C$32+1),0)+IF(AND(Projects!$G$33="Yes",2&gt;=Projects!$C$33,2&lt;Projects!$C$33+Projects!$D$33),Projects!$B$33*INDEX(Curves!$B$4:$AR$4,1,2-Projects!$C$33+1),0)+IF(AND(Projects!$G$34="Yes",2&gt;=Projects!$C$34,2&lt;Projects!$C$34+Projects!$D$34),Projects!$B$34*INDEX(Curves!$B$4:$AR$4,1,2-Projects!$C$34+1),0)+IF(AND(Projects!$G$35="Yes",2&gt;=Projects!$C$35,2&lt;Projects!$C$35+Projects!$D$35),Projects!$B$35*INDEX(Curves!$B$4:$AR$4,1,2-Projects!$C$35+1),0)+IF(AND(Projects!$G$36="Yes",2&gt;=Projects!$C$36,2&lt;Projects!$C$36+Projects!$D$36),Projects!$B$36*INDEX(Curves!$B$4:$AR$4,1,2-Projects!$C$36+1),0)+IF(AND(Projects!$G$37="Yes",2&gt;=Projects!$C$37,2&lt;Projects!$C$37+Projects!$D$37),Projects!$B$37*INDEX(Curves!$B$4:$AR$4,1,2-Projects!$C$37+1),0)+IF(AND(Projects!$G$38="Yes",2&gt;=Projects!$C$38,2&lt;Projects!$C$38+Projects!$D$38),Projects!$B$38*INDEX(Curves!$B$4:$AR$4,1,2-Projects!$C$38+1),0)+IF(AND(Projects!$G$39="Yes",2&gt;=Projects!$C$39,2&lt;Projects!$C$39+Projects!$D$39),Projects!$B$39*INDEX(Curves!$B$4:$AR$4,1,2-Projects!$C$39+1),0)+IF(AND(Projects!$G$40="Yes",2&gt;=Projects!$C$40,2&lt;Projects!$C$40+Projects!$D$40),Projects!$B$40*INDEX(Curves!$B$4:$AR$4,1,2-Projects!$C$40+1),0)+IF(AND(Projects!$G$41="Yes",2&gt;=Projects!$C$41,2&lt;Projects!$C$41+Projects!$D$41),Projects!$B$41*INDEX(Curves!$B$4:$AR$4,1,2-Projects!$C$41+1),0)+IF(AND(Projects!$G$42="Yes",2&gt;=Projects!$C$42,2&lt;Projects!$C$42+Projects!$D$42),Projects!$B$42*INDEX(Curves!$B$4:$AR$4,1,2-Projects!$C$42+1),0)+IF(AND(Projects!$G$43="Yes",2&gt;=Projects!$C$43,2&lt;Projects!$C$43+Projects!$D$43),Projects!$B$43*INDEX(Curves!$B$4:$AR$4,1,2-Projects!$C$43+1),0)+IF(AND(Projects!$G$44="Yes",2&gt;=Projects!$C$44,2&lt;Projects!$C$44+Projects!$D$44),Projects!$B$44*INDEX(Curves!$B$4:$AR$4,1,2-Projects!$C$44+1),0)+IF(AND(Projects!$G$45="Yes",2&gt;=Projects!$C$45,2&lt;Projects!$C$45+Projects!$D$45),Projects!$B$45*INDEX(Curves!$B$4:$AR$4,1,2-Projects!$C$45+1),0)+IF(AND(Projects!$G$46="Yes",2&gt;=Projects!$C$46,2&lt;Projects!$C$46+Projects!$D$46),Projects!$B$46*INDEX(Curves!$B$4:$AR$4,1,2-Projects!$C$46+1),0)</f>
        <v/>
      </c>
      <c r="H96" s="688">
        <f>IF(AND(Projects!$G$17="Yes",3&gt;=Projects!$C$17,3&lt;Projects!$C$17+Projects!$D$17),Projects!$B$17*INDEX(Curves!$B$4:$AR$4,1,3-Projects!$C$17+1),0)+IF(AND(Projects!$G$18="Yes",3&gt;=Projects!$C$18,3&lt;Projects!$C$18+Projects!$D$18),Projects!$B$18*INDEX(Curves!$B$4:$AR$4,1,3-Projects!$C$18+1),0)+IF(AND(Projects!$G$19="Yes",3&gt;=Projects!$C$19,3&lt;Projects!$C$19+Projects!$D$19),Projects!$B$19*INDEX(Curves!$B$4:$AR$4,1,3-Projects!$C$19+1),0)+IF(AND(Projects!$G$20="Yes",3&gt;=Projects!$C$20,3&lt;Projects!$C$20+Projects!$D$20),Projects!$B$20*INDEX(Curves!$B$4:$AR$4,1,3-Projects!$C$20+1),0)+IF(AND(Projects!$G$21="Yes",3&gt;=Projects!$C$21,3&lt;Projects!$C$21+Projects!$D$21),Projects!$B$21*INDEX(Curves!$B$4:$AR$4,1,3-Projects!$C$21+1),0)+IF(AND(Projects!$G$22="Yes",3&gt;=Projects!$C$22,3&lt;Projects!$C$22+Projects!$D$22),Projects!$B$22*INDEX(Curves!$B$4:$AR$4,1,3-Projects!$C$22+1),0)+IF(AND(Projects!$G$23="Yes",3&gt;=Projects!$C$23,3&lt;Projects!$C$23+Projects!$D$23),Projects!$B$23*INDEX(Curves!$B$4:$AR$4,1,3-Projects!$C$23+1),0)+IF(AND(Projects!$G$24="Yes",3&gt;=Projects!$C$24,3&lt;Projects!$C$24+Projects!$D$24),Projects!$B$24*INDEX(Curves!$B$4:$AR$4,1,3-Projects!$C$24+1),0)+IF(AND(Projects!$G$25="Yes",3&gt;=Projects!$C$25,3&lt;Projects!$C$25+Projects!$D$25),Projects!$B$25*INDEX(Curves!$B$4:$AR$4,1,3-Projects!$C$25+1),0)+IF(AND(Projects!$G$26="Yes",3&gt;=Projects!$C$26,3&lt;Projects!$C$26+Projects!$D$26),Projects!$B$26*INDEX(Curves!$B$4:$AR$4,1,3-Projects!$C$26+1),0)+IF(AND(Projects!$G$27="Yes",3&gt;=Projects!$C$27,3&lt;Projects!$C$27+Projects!$D$27),Projects!$B$27*INDEX(Curves!$B$4:$AR$4,1,3-Projects!$C$27+1),0)+IF(AND(Projects!$G$28="Yes",3&gt;=Projects!$C$28,3&lt;Projects!$C$28+Projects!$D$28),Projects!$B$28*INDEX(Curves!$B$4:$AR$4,1,3-Projects!$C$28+1),0)+IF(AND(Projects!$G$29="Yes",3&gt;=Projects!$C$29,3&lt;Projects!$C$29+Projects!$D$29),Projects!$B$29*INDEX(Curves!$B$4:$AR$4,1,3-Projects!$C$29+1),0)+IF(AND(Projects!$G$30="Yes",3&gt;=Projects!$C$30,3&lt;Projects!$C$30+Projects!$D$30),Projects!$B$30*INDEX(Curves!$B$4:$AR$4,1,3-Projects!$C$30+1),0)+IF(AND(Projects!$G$31="Yes",3&gt;=Projects!$C$31,3&lt;Projects!$C$31+Projects!$D$31),Projects!$B$31*INDEX(Curves!$B$4:$AR$4,1,3-Projects!$C$31+1),0)+IF(AND(Projects!$G$32="Yes",3&gt;=Projects!$C$32,3&lt;Projects!$C$32+Projects!$D$32),Projects!$B$32*INDEX(Curves!$B$4:$AR$4,1,3-Projects!$C$32+1),0)+IF(AND(Projects!$G$33="Yes",3&gt;=Projects!$C$33,3&lt;Projects!$C$33+Projects!$D$33),Projects!$B$33*INDEX(Curves!$B$4:$AR$4,1,3-Projects!$C$33+1),0)+IF(AND(Projects!$G$34="Yes",3&gt;=Projects!$C$34,3&lt;Projects!$C$34+Projects!$D$34),Projects!$B$34*INDEX(Curves!$B$4:$AR$4,1,3-Projects!$C$34+1),0)+IF(AND(Projects!$G$35="Yes",3&gt;=Projects!$C$35,3&lt;Projects!$C$35+Projects!$D$35),Projects!$B$35*INDEX(Curves!$B$4:$AR$4,1,3-Projects!$C$35+1),0)+IF(AND(Projects!$G$36="Yes",3&gt;=Projects!$C$36,3&lt;Projects!$C$36+Projects!$D$36),Projects!$B$36*INDEX(Curves!$B$4:$AR$4,1,3-Projects!$C$36+1),0)+IF(AND(Projects!$G$37="Yes",3&gt;=Projects!$C$37,3&lt;Projects!$C$37+Projects!$D$37),Projects!$B$37*INDEX(Curves!$B$4:$AR$4,1,3-Projects!$C$37+1),0)+IF(AND(Projects!$G$38="Yes",3&gt;=Projects!$C$38,3&lt;Projects!$C$38+Projects!$D$38),Projects!$B$38*INDEX(Curves!$B$4:$AR$4,1,3-Projects!$C$38+1),0)+IF(AND(Projects!$G$39="Yes",3&gt;=Projects!$C$39,3&lt;Projects!$C$39+Projects!$D$39),Projects!$B$39*INDEX(Curves!$B$4:$AR$4,1,3-Projects!$C$39+1),0)+IF(AND(Projects!$G$40="Yes",3&gt;=Projects!$C$40,3&lt;Projects!$C$40+Projects!$D$40),Projects!$B$40*INDEX(Curves!$B$4:$AR$4,1,3-Projects!$C$40+1),0)+IF(AND(Projects!$G$41="Yes",3&gt;=Projects!$C$41,3&lt;Projects!$C$41+Projects!$D$41),Projects!$B$41*INDEX(Curves!$B$4:$AR$4,1,3-Projects!$C$41+1),0)+IF(AND(Projects!$G$42="Yes",3&gt;=Projects!$C$42,3&lt;Projects!$C$42+Projects!$D$42),Projects!$B$42*INDEX(Curves!$B$4:$AR$4,1,3-Projects!$C$42+1),0)+IF(AND(Projects!$G$43="Yes",3&gt;=Projects!$C$43,3&lt;Projects!$C$43+Projects!$D$43),Projects!$B$43*INDEX(Curves!$B$4:$AR$4,1,3-Projects!$C$43+1),0)+IF(AND(Projects!$G$44="Yes",3&gt;=Projects!$C$44,3&lt;Projects!$C$44+Projects!$D$44),Projects!$B$44*INDEX(Curves!$B$4:$AR$4,1,3-Projects!$C$44+1),0)+IF(AND(Projects!$G$45="Yes",3&gt;=Projects!$C$45,3&lt;Projects!$C$45+Projects!$D$45),Projects!$B$45*INDEX(Curves!$B$4:$AR$4,1,3-Projects!$C$45+1),0)+IF(AND(Projects!$G$46="Yes",3&gt;=Projects!$C$46,3&lt;Projects!$C$46+Projects!$D$46),Projects!$B$46*INDEX(Curves!$B$4:$AR$4,1,3-Projects!$C$46+1),0)</f>
        <v/>
      </c>
      <c r="I96" s="688">
        <f>IF(AND(Projects!$G$17="Yes",4&gt;=Projects!$C$17,4&lt;Projects!$C$17+Projects!$D$17),Projects!$B$17*INDEX(Curves!$B$4:$AR$4,1,4-Projects!$C$17+1),0)+IF(AND(Projects!$G$18="Yes",4&gt;=Projects!$C$18,4&lt;Projects!$C$18+Projects!$D$18),Projects!$B$18*INDEX(Curves!$B$4:$AR$4,1,4-Projects!$C$18+1),0)+IF(AND(Projects!$G$19="Yes",4&gt;=Projects!$C$19,4&lt;Projects!$C$19+Projects!$D$19),Projects!$B$19*INDEX(Curves!$B$4:$AR$4,1,4-Projects!$C$19+1),0)+IF(AND(Projects!$G$20="Yes",4&gt;=Projects!$C$20,4&lt;Projects!$C$20+Projects!$D$20),Projects!$B$20*INDEX(Curves!$B$4:$AR$4,1,4-Projects!$C$20+1),0)+IF(AND(Projects!$G$21="Yes",4&gt;=Projects!$C$21,4&lt;Projects!$C$21+Projects!$D$21),Projects!$B$21*INDEX(Curves!$B$4:$AR$4,1,4-Projects!$C$21+1),0)+IF(AND(Projects!$G$22="Yes",4&gt;=Projects!$C$22,4&lt;Projects!$C$22+Projects!$D$22),Projects!$B$22*INDEX(Curves!$B$4:$AR$4,1,4-Projects!$C$22+1),0)+IF(AND(Projects!$G$23="Yes",4&gt;=Projects!$C$23,4&lt;Projects!$C$23+Projects!$D$23),Projects!$B$23*INDEX(Curves!$B$4:$AR$4,1,4-Projects!$C$23+1),0)+IF(AND(Projects!$G$24="Yes",4&gt;=Projects!$C$24,4&lt;Projects!$C$24+Projects!$D$24),Projects!$B$24*INDEX(Curves!$B$4:$AR$4,1,4-Projects!$C$24+1),0)+IF(AND(Projects!$G$25="Yes",4&gt;=Projects!$C$25,4&lt;Projects!$C$25+Projects!$D$25),Projects!$B$25*INDEX(Curves!$B$4:$AR$4,1,4-Projects!$C$25+1),0)+IF(AND(Projects!$G$26="Yes",4&gt;=Projects!$C$26,4&lt;Projects!$C$26+Projects!$D$26),Projects!$B$26*INDEX(Curves!$B$4:$AR$4,1,4-Projects!$C$26+1),0)+IF(AND(Projects!$G$27="Yes",4&gt;=Projects!$C$27,4&lt;Projects!$C$27+Projects!$D$27),Projects!$B$27*INDEX(Curves!$B$4:$AR$4,1,4-Projects!$C$27+1),0)+IF(AND(Projects!$G$28="Yes",4&gt;=Projects!$C$28,4&lt;Projects!$C$28+Projects!$D$28),Projects!$B$28*INDEX(Curves!$B$4:$AR$4,1,4-Projects!$C$28+1),0)+IF(AND(Projects!$G$29="Yes",4&gt;=Projects!$C$29,4&lt;Projects!$C$29+Projects!$D$29),Projects!$B$29*INDEX(Curves!$B$4:$AR$4,1,4-Projects!$C$29+1),0)+IF(AND(Projects!$G$30="Yes",4&gt;=Projects!$C$30,4&lt;Projects!$C$30+Projects!$D$30),Projects!$B$30*INDEX(Curves!$B$4:$AR$4,1,4-Projects!$C$30+1),0)+IF(AND(Projects!$G$31="Yes",4&gt;=Projects!$C$31,4&lt;Projects!$C$31+Projects!$D$31),Projects!$B$31*INDEX(Curves!$B$4:$AR$4,1,4-Projects!$C$31+1),0)+IF(AND(Projects!$G$32="Yes",4&gt;=Projects!$C$32,4&lt;Projects!$C$32+Projects!$D$32),Projects!$B$32*INDEX(Curves!$B$4:$AR$4,1,4-Projects!$C$32+1),0)+IF(AND(Projects!$G$33="Yes",4&gt;=Projects!$C$33,4&lt;Projects!$C$33+Projects!$D$33),Projects!$B$33*INDEX(Curves!$B$4:$AR$4,1,4-Projects!$C$33+1),0)+IF(AND(Projects!$G$34="Yes",4&gt;=Projects!$C$34,4&lt;Projects!$C$34+Projects!$D$34),Projects!$B$34*INDEX(Curves!$B$4:$AR$4,1,4-Projects!$C$34+1),0)+IF(AND(Projects!$G$35="Yes",4&gt;=Projects!$C$35,4&lt;Projects!$C$35+Projects!$D$35),Projects!$B$35*INDEX(Curves!$B$4:$AR$4,1,4-Projects!$C$35+1),0)+IF(AND(Projects!$G$36="Yes",4&gt;=Projects!$C$36,4&lt;Projects!$C$36+Projects!$D$36),Projects!$B$36*INDEX(Curves!$B$4:$AR$4,1,4-Projects!$C$36+1),0)+IF(AND(Projects!$G$37="Yes",4&gt;=Projects!$C$37,4&lt;Projects!$C$37+Projects!$D$37),Projects!$B$37*INDEX(Curves!$B$4:$AR$4,1,4-Projects!$C$37+1),0)+IF(AND(Projects!$G$38="Yes",4&gt;=Projects!$C$38,4&lt;Projects!$C$38+Projects!$D$38),Projects!$B$38*INDEX(Curves!$B$4:$AR$4,1,4-Projects!$C$38+1),0)+IF(AND(Projects!$G$39="Yes",4&gt;=Projects!$C$39,4&lt;Projects!$C$39+Projects!$D$39),Projects!$B$39*INDEX(Curves!$B$4:$AR$4,1,4-Projects!$C$39+1),0)+IF(AND(Projects!$G$40="Yes",4&gt;=Projects!$C$40,4&lt;Projects!$C$40+Projects!$D$40),Projects!$B$40*INDEX(Curves!$B$4:$AR$4,1,4-Projects!$C$40+1),0)+IF(AND(Projects!$G$41="Yes",4&gt;=Projects!$C$41,4&lt;Projects!$C$41+Projects!$D$41),Projects!$B$41*INDEX(Curves!$B$4:$AR$4,1,4-Projects!$C$41+1),0)+IF(AND(Projects!$G$42="Yes",4&gt;=Projects!$C$42,4&lt;Projects!$C$42+Projects!$D$42),Projects!$B$42*INDEX(Curves!$B$4:$AR$4,1,4-Projects!$C$42+1),0)+IF(AND(Projects!$G$43="Yes",4&gt;=Projects!$C$43,4&lt;Projects!$C$43+Projects!$D$43),Projects!$B$43*INDEX(Curves!$B$4:$AR$4,1,4-Projects!$C$43+1),0)+IF(AND(Projects!$G$44="Yes",4&gt;=Projects!$C$44,4&lt;Projects!$C$44+Projects!$D$44),Projects!$B$44*INDEX(Curves!$B$4:$AR$4,1,4-Projects!$C$44+1),0)+IF(AND(Projects!$G$45="Yes",4&gt;=Projects!$C$45,4&lt;Projects!$C$45+Projects!$D$45),Projects!$B$45*INDEX(Curves!$B$4:$AR$4,1,4-Projects!$C$45+1),0)+IF(AND(Projects!$G$46="Yes",4&gt;=Projects!$C$46,4&lt;Projects!$C$46+Projects!$D$46),Projects!$B$46*INDEX(Curves!$B$4:$AR$4,1,4-Projects!$C$46+1),0)</f>
        <v/>
      </c>
      <c r="J96" s="688">
        <f>IF(AND(Projects!$G$17="Yes",5&gt;=Projects!$C$17,5&lt;Projects!$C$17+Projects!$D$17),Projects!$B$17*INDEX(Curves!$B$4:$AR$4,1,5-Projects!$C$17+1),0)+IF(AND(Projects!$G$18="Yes",5&gt;=Projects!$C$18,5&lt;Projects!$C$18+Projects!$D$18),Projects!$B$18*INDEX(Curves!$B$4:$AR$4,1,5-Projects!$C$18+1),0)+IF(AND(Projects!$G$19="Yes",5&gt;=Projects!$C$19,5&lt;Projects!$C$19+Projects!$D$19),Projects!$B$19*INDEX(Curves!$B$4:$AR$4,1,5-Projects!$C$19+1),0)+IF(AND(Projects!$G$20="Yes",5&gt;=Projects!$C$20,5&lt;Projects!$C$20+Projects!$D$20),Projects!$B$20*INDEX(Curves!$B$4:$AR$4,1,5-Projects!$C$20+1),0)+IF(AND(Projects!$G$21="Yes",5&gt;=Projects!$C$21,5&lt;Projects!$C$21+Projects!$D$21),Projects!$B$21*INDEX(Curves!$B$4:$AR$4,1,5-Projects!$C$21+1),0)+IF(AND(Projects!$G$22="Yes",5&gt;=Projects!$C$22,5&lt;Projects!$C$22+Projects!$D$22),Projects!$B$22*INDEX(Curves!$B$4:$AR$4,1,5-Projects!$C$22+1),0)+IF(AND(Projects!$G$23="Yes",5&gt;=Projects!$C$23,5&lt;Projects!$C$23+Projects!$D$23),Projects!$B$23*INDEX(Curves!$B$4:$AR$4,1,5-Projects!$C$23+1),0)+IF(AND(Projects!$G$24="Yes",5&gt;=Projects!$C$24,5&lt;Projects!$C$24+Projects!$D$24),Projects!$B$24*INDEX(Curves!$B$4:$AR$4,1,5-Projects!$C$24+1),0)+IF(AND(Projects!$G$25="Yes",5&gt;=Projects!$C$25,5&lt;Projects!$C$25+Projects!$D$25),Projects!$B$25*INDEX(Curves!$B$4:$AR$4,1,5-Projects!$C$25+1),0)+IF(AND(Projects!$G$26="Yes",5&gt;=Projects!$C$26,5&lt;Projects!$C$26+Projects!$D$26),Projects!$B$26*INDEX(Curves!$B$4:$AR$4,1,5-Projects!$C$26+1),0)+IF(AND(Projects!$G$27="Yes",5&gt;=Projects!$C$27,5&lt;Projects!$C$27+Projects!$D$27),Projects!$B$27*INDEX(Curves!$B$4:$AR$4,1,5-Projects!$C$27+1),0)+IF(AND(Projects!$G$28="Yes",5&gt;=Projects!$C$28,5&lt;Projects!$C$28+Projects!$D$28),Projects!$B$28*INDEX(Curves!$B$4:$AR$4,1,5-Projects!$C$28+1),0)+IF(AND(Projects!$G$29="Yes",5&gt;=Projects!$C$29,5&lt;Projects!$C$29+Projects!$D$29),Projects!$B$29*INDEX(Curves!$B$4:$AR$4,1,5-Projects!$C$29+1),0)+IF(AND(Projects!$G$30="Yes",5&gt;=Projects!$C$30,5&lt;Projects!$C$30+Projects!$D$30),Projects!$B$30*INDEX(Curves!$B$4:$AR$4,1,5-Projects!$C$30+1),0)+IF(AND(Projects!$G$31="Yes",5&gt;=Projects!$C$31,5&lt;Projects!$C$31+Projects!$D$31),Projects!$B$31*INDEX(Curves!$B$4:$AR$4,1,5-Projects!$C$31+1),0)+IF(AND(Projects!$G$32="Yes",5&gt;=Projects!$C$32,5&lt;Projects!$C$32+Projects!$D$32),Projects!$B$32*INDEX(Curves!$B$4:$AR$4,1,5-Projects!$C$32+1),0)+IF(AND(Projects!$G$33="Yes",5&gt;=Projects!$C$33,5&lt;Projects!$C$33+Projects!$D$33),Projects!$B$33*INDEX(Curves!$B$4:$AR$4,1,5-Projects!$C$33+1),0)+IF(AND(Projects!$G$34="Yes",5&gt;=Projects!$C$34,5&lt;Projects!$C$34+Projects!$D$34),Projects!$B$34*INDEX(Curves!$B$4:$AR$4,1,5-Projects!$C$34+1),0)+IF(AND(Projects!$G$35="Yes",5&gt;=Projects!$C$35,5&lt;Projects!$C$35+Projects!$D$35),Projects!$B$35*INDEX(Curves!$B$4:$AR$4,1,5-Projects!$C$35+1),0)+IF(AND(Projects!$G$36="Yes",5&gt;=Projects!$C$36,5&lt;Projects!$C$36+Projects!$D$36),Projects!$B$36*INDEX(Curves!$B$4:$AR$4,1,5-Projects!$C$36+1),0)+IF(AND(Projects!$G$37="Yes",5&gt;=Projects!$C$37,5&lt;Projects!$C$37+Projects!$D$37),Projects!$B$37*INDEX(Curves!$B$4:$AR$4,1,5-Projects!$C$37+1),0)+IF(AND(Projects!$G$38="Yes",5&gt;=Projects!$C$38,5&lt;Projects!$C$38+Projects!$D$38),Projects!$B$38*INDEX(Curves!$B$4:$AR$4,1,5-Projects!$C$38+1),0)+IF(AND(Projects!$G$39="Yes",5&gt;=Projects!$C$39,5&lt;Projects!$C$39+Projects!$D$39),Projects!$B$39*INDEX(Curves!$B$4:$AR$4,1,5-Projects!$C$39+1),0)+IF(AND(Projects!$G$40="Yes",5&gt;=Projects!$C$40,5&lt;Projects!$C$40+Projects!$D$40),Projects!$B$40*INDEX(Curves!$B$4:$AR$4,1,5-Projects!$C$40+1),0)+IF(AND(Projects!$G$41="Yes",5&gt;=Projects!$C$41,5&lt;Projects!$C$41+Projects!$D$41),Projects!$B$41*INDEX(Curves!$B$4:$AR$4,1,5-Projects!$C$41+1),0)+IF(AND(Projects!$G$42="Yes",5&gt;=Projects!$C$42,5&lt;Projects!$C$42+Projects!$D$42),Projects!$B$42*INDEX(Curves!$B$4:$AR$4,1,5-Projects!$C$42+1),0)+IF(AND(Projects!$G$43="Yes",5&gt;=Projects!$C$43,5&lt;Projects!$C$43+Projects!$D$43),Projects!$B$43*INDEX(Curves!$B$4:$AR$4,1,5-Projects!$C$43+1),0)+IF(AND(Projects!$G$44="Yes",5&gt;=Projects!$C$44,5&lt;Projects!$C$44+Projects!$D$44),Projects!$B$44*INDEX(Curves!$B$4:$AR$4,1,5-Projects!$C$44+1),0)+IF(AND(Projects!$G$45="Yes",5&gt;=Projects!$C$45,5&lt;Projects!$C$45+Projects!$D$45),Projects!$B$45*INDEX(Curves!$B$4:$AR$4,1,5-Projects!$C$45+1),0)+IF(AND(Projects!$G$46="Yes",5&gt;=Projects!$C$46,5&lt;Projects!$C$46+Projects!$D$46),Projects!$B$46*INDEX(Curves!$B$4:$AR$4,1,5-Projects!$C$46+1),0)</f>
        <v/>
      </c>
      <c r="K96" s="688">
        <f>IF(AND(Projects!$G$17="Yes",6&gt;=Projects!$C$17,6&lt;Projects!$C$17+Projects!$D$17),Projects!$B$17*INDEX(Curves!$B$4:$AR$4,1,6-Projects!$C$17+1),0)+IF(AND(Projects!$G$18="Yes",6&gt;=Projects!$C$18,6&lt;Projects!$C$18+Projects!$D$18),Projects!$B$18*INDEX(Curves!$B$4:$AR$4,1,6-Projects!$C$18+1),0)+IF(AND(Projects!$G$19="Yes",6&gt;=Projects!$C$19,6&lt;Projects!$C$19+Projects!$D$19),Projects!$B$19*INDEX(Curves!$B$4:$AR$4,1,6-Projects!$C$19+1),0)+IF(AND(Projects!$G$20="Yes",6&gt;=Projects!$C$20,6&lt;Projects!$C$20+Projects!$D$20),Projects!$B$20*INDEX(Curves!$B$4:$AR$4,1,6-Projects!$C$20+1),0)+IF(AND(Projects!$G$21="Yes",6&gt;=Projects!$C$21,6&lt;Projects!$C$21+Projects!$D$21),Projects!$B$21*INDEX(Curves!$B$4:$AR$4,1,6-Projects!$C$21+1),0)+IF(AND(Projects!$G$22="Yes",6&gt;=Projects!$C$22,6&lt;Projects!$C$22+Projects!$D$22),Projects!$B$22*INDEX(Curves!$B$4:$AR$4,1,6-Projects!$C$22+1),0)+IF(AND(Projects!$G$23="Yes",6&gt;=Projects!$C$23,6&lt;Projects!$C$23+Projects!$D$23),Projects!$B$23*INDEX(Curves!$B$4:$AR$4,1,6-Projects!$C$23+1),0)+IF(AND(Projects!$G$24="Yes",6&gt;=Projects!$C$24,6&lt;Projects!$C$24+Projects!$D$24),Projects!$B$24*INDEX(Curves!$B$4:$AR$4,1,6-Projects!$C$24+1),0)+IF(AND(Projects!$G$25="Yes",6&gt;=Projects!$C$25,6&lt;Projects!$C$25+Projects!$D$25),Projects!$B$25*INDEX(Curves!$B$4:$AR$4,1,6-Projects!$C$25+1),0)+IF(AND(Projects!$G$26="Yes",6&gt;=Projects!$C$26,6&lt;Projects!$C$26+Projects!$D$26),Projects!$B$26*INDEX(Curves!$B$4:$AR$4,1,6-Projects!$C$26+1),0)+IF(AND(Projects!$G$27="Yes",6&gt;=Projects!$C$27,6&lt;Projects!$C$27+Projects!$D$27),Projects!$B$27*INDEX(Curves!$B$4:$AR$4,1,6-Projects!$C$27+1),0)+IF(AND(Projects!$G$28="Yes",6&gt;=Projects!$C$28,6&lt;Projects!$C$28+Projects!$D$28),Projects!$B$28*INDEX(Curves!$B$4:$AR$4,1,6-Projects!$C$28+1),0)+IF(AND(Projects!$G$29="Yes",6&gt;=Projects!$C$29,6&lt;Projects!$C$29+Projects!$D$29),Projects!$B$29*INDEX(Curves!$B$4:$AR$4,1,6-Projects!$C$29+1),0)+IF(AND(Projects!$G$30="Yes",6&gt;=Projects!$C$30,6&lt;Projects!$C$30+Projects!$D$30),Projects!$B$30*INDEX(Curves!$B$4:$AR$4,1,6-Projects!$C$30+1),0)+IF(AND(Projects!$G$31="Yes",6&gt;=Projects!$C$31,6&lt;Projects!$C$31+Projects!$D$31),Projects!$B$31*INDEX(Curves!$B$4:$AR$4,1,6-Projects!$C$31+1),0)+IF(AND(Projects!$G$32="Yes",6&gt;=Projects!$C$32,6&lt;Projects!$C$32+Projects!$D$32),Projects!$B$32*INDEX(Curves!$B$4:$AR$4,1,6-Projects!$C$32+1),0)+IF(AND(Projects!$G$33="Yes",6&gt;=Projects!$C$33,6&lt;Projects!$C$33+Projects!$D$33),Projects!$B$33*INDEX(Curves!$B$4:$AR$4,1,6-Projects!$C$33+1),0)+IF(AND(Projects!$G$34="Yes",6&gt;=Projects!$C$34,6&lt;Projects!$C$34+Projects!$D$34),Projects!$B$34*INDEX(Curves!$B$4:$AR$4,1,6-Projects!$C$34+1),0)+IF(AND(Projects!$G$35="Yes",6&gt;=Projects!$C$35,6&lt;Projects!$C$35+Projects!$D$35),Projects!$B$35*INDEX(Curves!$B$4:$AR$4,1,6-Projects!$C$35+1),0)+IF(AND(Projects!$G$36="Yes",6&gt;=Projects!$C$36,6&lt;Projects!$C$36+Projects!$D$36),Projects!$B$36*INDEX(Curves!$B$4:$AR$4,1,6-Projects!$C$36+1),0)+IF(AND(Projects!$G$37="Yes",6&gt;=Projects!$C$37,6&lt;Projects!$C$37+Projects!$D$37),Projects!$B$37*INDEX(Curves!$B$4:$AR$4,1,6-Projects!$C$37+1),0)+IF(AND(Projects!$G$38="Yes",6&gt;=Projects!$C$38,6&lt;Projects!$C$38+Projects!$D$38),Projects!$B$38*INDEX(Curves!$B$4:$AR$4,1,6-Projects!$C$38+1),0)+IF(AND(Projects!$G$39="Yes",6&gt;=Projects!$C$39,6&lt;Projects!$C$39+Projects!$D$39),Projects!$B$39*INDEX(Curves!$B$4:$AR$4,1,6-Projects!$C$39+1),0)+IF(AND(Projects!$G$40="Yes",6&gt;=Projects!$C$40,6&lt;Projects!$C$40+Projects!$D$40),Projects!$B$40*INDEX(Curves!$B$4:$AR$4,1,6-Projects!$C$40+1),0)+IF(AND(Projects!$G$41="Yes",6&gt;=Projects!$C$41,6&lt;Projects!$C$41+Projects!$D$41),Projects!$B$41*INDEX(Curves!$B$4:$AR$4,1,6-Projects!$C$41+1),0)+IF(AND(Projects!$G$42="Yes",6&gt;=Projects!$C$42,6&lt;Projects!$C$42+Projects!$D$42),Projects!$B$42*INDEX(Curves!$B$4:$AR$4,1,6-Projects!$C$42+1),0)+IF(AND(Projects!$G$43="Yes",6&gt;=Projects!$C$43,6&lt;Projects!$C$43+Projects!$D$43),Projects!$B$43*INDEX(Curves!$B$4:$AR$4,1,6-Projects!$C$43+1),0)+IF(AND(Projects!$G$44="Yes",6&gt;=Projects!$C$44,6&lt;Projects!$C$44+Projects!$D$44),Projects!$B$44*INDEX(Curves!$B$4:$AR$4,1,6-Projects!$C$44+1),0)+IF(AND(Projects!$G$45="Yes",6&gt;=Projects!$C$45,6&lt;Projects!$C$45+Projects!$D$45),Projects!$B$45*INDEX(Curves!$B$4:$AR$4,1,6-Projects!$C$45+1),0)+IF(AND(Projects!$G$46="Yes",6&gt;=Projects!$C$46,6&lt;Projects!$C$46+Projects!$D$46),Projects!$B$46*INDEX(Curves!$B$4:$AR$4,1,6-Projects!$C$46+1),0)</f>
        <v/>
      </c>
      <c r="L96" s="688">
        <f>IF(AND(Projects!$G$17="Yes",7&gt;=Projects!$C$17,7&lt;Projects!$C$17+Projects!$D$17),Projects!$B$17*INDEX(Curves!$B$4:$AR$4,1,7-Projects!$C$17+1),0)+IF(AND(Projects!$G$18="Yes",7&gt;=Projects!$C$18,7&lt;Projects!$C$18+Projects!$D$18),Projects!$B$18*INDEX(Curves!$B$4:$AR$4,1,7-Projects!$C$18+1),0)+IF(AND(Projects!$G$19="Yes",7&gt;=Projects!$C$19,7&lt;Projects!$C$19+Projects!$D$19),Projects!$B$19*INDEX(Curves!$B$4:$AR$4,1,7-Projects!$C$19+1),0)+IF(AND(Projects!$G$20="Yes",7&gt;=Projects!$C$20,7&lt;Projects!$C$20+Projects!$D$20),Projects!$B$20*INDEX(Curves!$B$4:$AR$4,1,7-Projects!$C$20+1),0)+IF(AND(Projects!$G$21="Yes",7&gt;=Projects!$C$21,7&lt;Projects!$C$21+Projects!$D$21),Projects!$B$21*INDEX(Curves!$B$4:$AR$4,1,7-Projects!$C$21+1),0)+IF(AND(Projects!$G$22="Yes",7&gt;=Projects!$C$22,7&lt;Projects!$C$22+Projects!$D$22),Projects!$B$22*INDEX(Curves!$B$4:$AR$4,1,7-Projects!$C$22+1),0)+IF(AND(Projects!$G$23="Yes",7&gt;=Projects!$C$23,7&lt;Projects!$C$23+Projects!$D$23),Projects!$B$23*INDEX(Curves!$B$4:$AR$4,1,7-Projects!$C$23+1),0)+IF(AND(Projects!$G$24="Yes",7&gt;=Projects!$C$24,7&lt;Projects!$C$24+Projects!$D$24),Projects!$B$24*INDEX(Curves!$B$4:$AR$4,1,7-Projects!$C$24+1),0)+IF(AND(Projects!$G$25="Yes",7&gt;=Projects!$C$25,7&lt;Projects!$C$25+Projects!$D$25),Projects!$B$25*INDEX(Curves!$B$4:$AR$4,1,7-Projects!$C$25+1),0)+IF(AND(Projects!$G$26="Yes",7&gt;=Projects!$C$26,7&lt;Projects!$C$26+Projects!$D$26),Projects!$B$26*INDEX(Curves!$B$4:$AR$4,1,7-Projects!$C$26+1),0)+IF(AND(Projects!$G$27="Yes",7&gt;=Projects!$C$27,7&lt;Projects!$C$27+Projects!$D$27),Projects!$B$27*INDEX(Curves!$B$4:$AR$4,1,7-Projects!$C$27+1),0)+IF(AND(Projects!$G$28="Yes",7&gt;=Projects!$C$28,7&lt;Projects!$C$28+Projects!$D$28),Projects!$B$28*INDEX(Curves!$B$4:$AR$4,1,7-Projects!$C$28+1),0)+IF(AND(Projects!$G$29="Yes",7&gt;=Projects!$C$29,7&lt;Projects!$C$29+Projects!$D$29),Projects!$B$29*INDEX(Curves!$B$4:$AR$4,1,7-Projects!$C$29+1),0)+IF(AND(Projects!$G$30="Yes",7&gt;=Projects!$C$30,7&lt;Projects!$C$30+Projects!$D$30),Projects!$B$30*INDEX(Curves!$B$4:$AR$4,1,7-Projects!$C$30+1),0)+IF(AND(Projects!$G$31="Yes",7&gt;=Projects!$C$31,7&lt;Projects!$C$31+Projects!$D$31),Projects!$B$31*INDEX(Curves!$B$4:$AR$4,1,7-Projects!$C$31+1),0)+IF(AND(Projects!$G$32="Yes",7&gt;=Projects!$C$32,7&lt;Projects!$C$32+Projects!$D$32),Projects!$B$32*INDEX(Curves!$B$4:$AR$4,1,7-Projects!$C$32+1),0)+IF(AND(Projects!$G$33="Yes",7&gt;=Projects!$C$33,7&lt;Projects!$C$33+Projects!$D$33),Projects!$B$33*INDEX(Curves!$B$4:$AR$4,1,7-Projects!$C$33+1),0)+IF(AND(Projects!$G$34="Yes",7&gt;=Projects!$C$34,7&lt;Projects!$C$34+Projects!$D$34),Projects!$B$34*INDEX(Curves!$B$4:$AR$4,1,7-Projects!$C$34+1),0)+IF(AND(Projects!$G$35="Yes",7&gt;=Projects!$C$35,7&lt;Projects!$C$35+Projects!$D$35),Projects!$B$35*INDEX(Curves!$B$4:$AR$4,1,7-Projects!$C$35+1),0)+IF(AND(Projects!$G$36="Yes",7&gt;=Projects!$C$36,7&lt;Projects!$C$36+Projects!$D$36),Projects!$B$36*INDEX(Curves!$B$4:$AR$4,1,7-Projects!$C$36+1),0)+IF(AND(Projects!$G$37="Yes",7&gt;=Projects!$C$37,7&lt;Projects!$C$37+Projects!$D$37),Projects!$B$37*INDEX(Curves!$B$4:$AR$4,1,7-Projects!$C$37+1),0)+IF(AND(Projects!$G$38="Yes",7&gt;=Projects!$C$38,7&lt;Projects!$C$38+Projects!$D$38),Projects!$B$38*INDEX(Curves!$B$4:$AR$4,1,7-Projects!$C$38+1),0)+IF(AND(Projects!$G$39="Yes",7&gt;=Projects!$C$39,7&lt;Projects!$C$39+Projects!$D$39),Projects!$B$39*INDEX(Curves!$B$4:$AR$4,1,7-Projects!$C$39+1),0)+IF(AND(Projects!$G$40="Yes",7&gt;=Projects!$C$40,7&lt;Projects!$C$40+Projects!$D$40),Projects!$B$40*INDEX(Curves!$B$4:$AR$4,1,7-Projects!$C$40+1),0)+IF(AND(Projects!$G$41="Yes",7&gt;=Projects!$C$41,7&lt;Projects!$C$41+Projects!$D$41),Projects!$B$41*INDEX(Curves!$B$4:$AR$4,1,7-Projects!$C$41+1),0)+IF(AND(Projects!$G$42="Yes",7&gt;=Projects!$C$42,7&lt;Projects!$C$42+Projects!$D$42),Projects!$B$42*INDEX(Curves!$B$4:$AR$4,1,7-Projects!$C$42+1),0)+IF(AND(Projects!$G$43="Yes",7&gt;=Projects!$C$43,7&lt;Projects!$C$43+Projects!$D$43),Projects!$B$43*INDEX(Curves!$B$4:$AR$4,1,7-Projects!$C$43+1),0)+IF(AND(Projects!$G$44="Yes",7&gt;=Projects!$C$44,7&lt;Projects!$C$44+Projects!$D$44),Projects!$B$44*INDEX(Curves!$B$4:$AR$4,1,7-Projects!$C$44+1),0)+IF(AND(Projects!$G$45="Yes",7&gt;=Projects!$C$45,7&lt;Projects!$C$45+Projects!$D$45),Projects!$B$45*INDEX(Curves!$B$4:$AR$4,1,7-Projects!$C$45+1),0)+IF(AND(Projects!$G$46="Yes",7&gt;=Projects!$C$46,7&lt;Projects!$C$46+Projects!$D$46),Projects!$B$46*INDEX(Curves!$B$4:$AR$4,1,7-Projects!$C$46+1),0)</f>
        <v/>
      </c>
      <c r="M96" s="688">
        <f>IF(AND(Projects!$G$17="Yes",8&gt;=Projects!$C$17,8&lt;Projects!$C$17+Projects!$D$17),Projects!$B$17*INDEX(Curves!$B$4:$AR$4,1,8-Projects!$C$17+1),0)+IF(AND(Projects!$G$18="Yes",8&gt;=Projects!$C$18,8&lt;Projects!$C$18+Projects!$D$18),Projects!$B$18*INDEX(Curves!$B$4:$AR$4,1,8-Projects!$C$18+1),0)+IF(AND(Projects!$G$19="Yes",8&gt;=Projects!$C$19,8&lt;Projects!$C$19+Projects!$D$19),Projects!$B$19*INDEX(Curves!$B$4:$AR$4,1,8-Projects!$C$19+1),0)+IF(AND(Projects!$G$20="Yes",8&gt;=Projects!$C$20,8&lt;Projects!$C$20+Projects!$D$20),Projects!$B$20*INDEX(Curves!$B$4:$AR$4,1,8-Projects!$C$20+1),0)+IF(AND(Projects!$G$21="Yes",8&gt;=Projects!$C$21,8&lt;Projects!$C$21+Projects!$D$21),Projects!$B$21*INDEX(Curves!$B$4:$AR$4,1,8-Projects!$C$21+1),0)+IF(AND(Projects!$G$22="Yes",8&gt;=Projects!$C$22,8&lt;Projects!$C$22+Projects!$D$22),Projects!$B$22*INDEX(Curves!$B$4:$AR$4,1,8-Projects!$C$22+1),0)+IF(AND(Projects!$G$23="Yes",8&gt;=Projects!$C$23,8&lt;Projects!$C$23+Projects!$D$23),Projects!$B$23*INDEX(Curves!$B$4:$AR$4,1,8-Projects!$C$23+1),0)+IF(AND(Projects!$G$24="Yes",8&gt;=Projects!$C$24,8&lt;Projects!$C$24+Projects!$D$24),Projects!$B$24*INDEX(Curves!$B$4:$AR$4,1,8-Projects!$C$24+1),0)+IF(AND(Projects!$G$25="Yes",8&gt;=Projects!$C$25,8&lt;Projects!$C$25+Projects!$D$25),Projects!$B$25*INDEX(Curves!$B$4:$AR$4,1,8-Projects!$C$25+1),0)+IF(AND(Projects!$G$26="Yes",8&gt;=Projects!$C$26,8&lt;Projects!$C$26+Projects!$D$26),Projects!$B$26*INDEX(Curves!$B$4:$AR$4,1,8-Projects!$C$26+1),0)+IF(AND(Projects!$G$27="Yes",8&gt;=Projects!$C$27,8&lt;Projects!$C$27+Projects!$D$27),Projects!$B$27*INDEX(Curves!$B$4:$AR$4,1,8-Projects!$C$27+1),0)+IF(AND(Projects!$G$28="Yes",8&gt;=Projects!$C$28,8&lt;Projects!$C$28+Projects!$D$28),Projects!$B$28*INDEX(Curves!$B$4:$AR$4,1,8-Projects!$C$28+1),0)+IF(AND(Projects!$G$29="Yes",8&gt;=Projects!$C$29,8&lt;Projects!$C$29+Projects!$D$29),Projects!$B$29*INDEX(Curves!$B$4:$AR$4,1,8-Projects!$C$29+1),0)+IF(AND(Projects!$G$30="Yes",8&gt;=Projects!$C$30,8&lt;Projects!$C$30+Projects!$D$30),Projects!$B$30*INDEX(Curves!$B$4:$AR$4,1,8-Projects!$C$30+1),0)+IF(AND(Projects!$G$31="Yes",8&gt;=Projects!$C$31,8&lt;Projects!$C$31+Projects!$D$31),Projects!$B$31*INDEX(Curves!$B$4:$AR$4,1,8-Projects!$C$31+1),0)+IF(AND(Projects!$G$32="Yes",8&gt;=Projects!$C$32,8&lt;Projects!$C$32+Projects!$D$32),Projects!$B$32*INDEX(Curves!$B$4:$AR$4,1,8-Projects!$C$32+1),0)+IF(AND(Projects!$G$33="Yes",8&gt;=Projects!$C$33,8&lt;Projects!$C$33+Projects!$D$33),Projects!$B$33*INDEX(Curves!$B$4:$AR$4,1,8-Projects!$C$33+1),0)+IF(AND(Projects!$G$34="Yes",8&gt;=Projects!$C$34,8&lt;Projects!$C$34+Projects!$D$34),Projects!$B$34*INDEX(Curves!$B$4:$AR$4,1,8-Projects!$C$34+1),0)+IF(AND(Projects!$G$35="Yes",8&gt;=Projects!$C$35,8&lt;Projects!$C$35+Projects!$D$35),Projects!$B$35*INDEX(Curves!$B$4:$AR$4,1,8-Projects!$C$35+1),0)+IF(AND(Projects!$G$36="Yes",8&gt;=Projects!$C$36,8&lt;Projects!$C$36+Projects!$D$36),Projects!$B$36*INDEX(Curves!$B$4:$AR$4,1,8-Projects!$C$36+1),0)+IF(AND(Projects!$G$37="Yes",8&gt;=Projects!$C$37,8&lt;Projects!$C$37+Projects!$D$37),Projects!$B$37*INDEX(Curves!$B$4:$AR$4,1,8-Projects!$C$37+1),0)+IF(AND(Projects!$G$38="Yes",8&gt;=Projects!$C$38,8&lt;Projects!$C$38+Projects!$D$38),Projects!$B$38*INDEX(Curves!$B$4:$AR$4,1,8-Projects!$C$38+1),0)+IF(AND(Projects!$G$39="Yes",8&gt;=Projects!$C$39,8&lt;Projects!$C$39+Projects!$D$39),Projects!$B$39*INDEX(Curves!$B$4:$AR$4,1,8-Projects!$C$39+1),0)+IF(AND(Projects!$G$40="Yes",8&gt;=Projects!$C$40,8&lt;Projects!$C$40+Projects!$D$40),Projects!$B$40*INDEX(Curves!$B$4:$AR$4,1,8-Projects!$C$40+1),0)+IF(AND(Projects!$G$41="Yes",8&gt;=Projects!$C$41,8&lt;Projects!$C$41+Projects!$D$41),Projects!$B$41*INDEX(Curves!$B$4:$AR$4,1,8-Projects!$C$41+1),0)+IF(AND(Projects!$G$42="Yes",8&gt;=Projects!$C$42,8&lt;Projects!$C$42+Projects!$D$42),Projects!$B$42*INDEX(Curves!$B$4:$AR$4,1,8-Projects!$C$42+1),0)+IF(AND(Projects!$G$43="Yes",8&gt;=Projects!$C$43,8&lt;Projects!$C$43+Projects!$D$43),Projects!$B$43*INDEX(Curves!$B$4:$AR$4,1,8-Projects!$C$43+1),0)+IF(AND(Projects!$G$44="Yes",8&gt;=Projects!$C$44,8&lt;Projects!$C$44+Projects!$D$44),Projects!$B$44*INDEX(Curves!$B$4:$AR$4,1,8-Projects!$C$44+1),0)+IF(AND(Projects!$G$45="Yes",8&gt;=Projects!$C$45,8&lt;Projects!$C$45+Projects!$D$45),Projects!$B$45*INDEX(Curves!$B$4:$AR$4,1,8-Projects!$C$45+1),0)+IF(AND(Projects!$G$46="Yes",8&gt;=Projects!$C$46,8&lt;Projects!$C$46+Projects!$D$46),Projects!$B$46*INDEX(Curves!$B$4:$AR$4,1,8-Projects!$C$46+1),0)</f>
        <v/>
      </c>
      <c r="N96" s="688">
        <f>IF(AND(Projects!$G$17="Yes",9&gt;=Projects!$C$17,9&lt;Projects!$C$17+Projects!$D$17),Projects!$B$17*INDEX(Curves!$B$4:$AR$4,1,9-Projects!$C$17+1),0)+IF(AND(Projects!$G$18="Yes",9&gt;=Projects!$C$18,9&lt;Projects!$C$18+Projects!$D$18),Projects!$B$18*INDEX(Curves!$B$4:$AR$4,1,9-Projects!$C$18+1),0)+IF(AND(Projects!$G$19="Yes",9&gt;=Projects!$C$19,9&lt;Projects!$C$19+Projects!$D$19),Projects!$B$19*INDEX(Curves!$B$4:$AR$4,1,9-Projects!$C$19+1),0)+IF(AND(Projects!$G$20="Yes",9&gt;=Projects!$C$20,9&lt;Projects!$C$20+Projects!$D$20),Projects!$B$20*INDEX(Curves!$B$4:$AR$4,1,9-Projects!$C$20+1),0)+IF(AND(Projects!$G$21="Yes",9&gt;=Projects!$C$21,9&lt;Projects!$C$21+Projects!$D$21),Projects!$B$21*INDEX(Curves!$B$4:$AR$4,1,9-Projects!$C$21+1),0)+IF(AND(Projects!$G$22="Yes",9&gt;=Projects!$C$22,9&lt;Projects!$C$22+Projects!$D$22),Projects!$B$22*INDEX(Curves!$B$4:$AR$4,1,9-Projects!$C$22+1),0)+IF(AND(Projects!$G$23="Yes",9&gt;=Projects!$C$23,9&lt;Projects!$C$23+Projects!$D$23),Projects!$B$23*INDEX(Curves!$B$4:$AR$4,1,9-Projects!$C$23+1),0)+IF(AND(Projects!$G$24="Yes",9&gt;=Projects!$C$24,9&lt;Projects!$C$24+Projects!$D$24),Projects!$B$24*INDEX(Curves!$B$4:$AR$4,1,9-Projects!$C$24+1),0)+IF(AND(Projects!$G$25="Yes",9&gt;=Projects!$C$25,9&lt;Projects!$C$25+Projects!$D$25),Projects!$B$25*INDEX(Curves!$B$4:$AR$4,1,9-Projects!$C$25+1),0)+IF(AND(Projects!$G$26="Yes",9&gt;=Projects!$C$26,9&lt;Projects!$C$26+Projects!$D$26),Projects!$B$26*INDEX(Curves!$B$4:$AR$4,1,9-Projects!$C$26+1),0)+IF(AND(Projects!$G$27="Yes",9&gt;=Projects!$C$27,9&lt;Projects!$C$27+Projects!$D$27),Projects!$B$27*INDEX(Curves!$B$4:$AR$4,1,9-Projects!$C$27+1),0)+IF(AND(Projects!$G$28="Yes",9&gt;=Projects!$C$28,9&lt;Projects!$C$28+Projects!$D$28),Projects!$B$28*INDEX(Curves!$B$4:$AR$4,1,9-Projects!$C$28+1),0)+IF(AND(Projects!$G$29="Yes",9&gt;=Projects!$C$29,9&lt;Projects!$C$29+Projects!$D$29),Projects!$B$29*INDEX(Curves!$B$4:$AR$4,1,9-Projects!$C$29+1),0)+IF(AND(Projects!$G$30="Yes",9&gt;=Projects!$C$30,9&lt;Projects!$C$30+Projects!$D$30),Projects!$B$30*INDEX(Curves!$B$4:$AR$4,1,9-Projects!$C$30+1),0)+IF(AND(Projects!$G$31="Yes",9&gt;=Projects!$C$31,9&lt;Projects!$C$31+Projects!$D$31),Projects!$B$31*INDEX(Curves!$B$4:$AR$4,1,9-Projects!$C$31+1),0)+IF(AND(Projects!$G$32="Yes",9&gt;=Projects!$C$32,9&lt;Projects!$C$32+Projects!$D$32),Projects!$B$32*INDEX(Curves!$B$4:$AR$4,1,9-Projects!$C$32+1),0)+IF(AND(Projects!$G$33="Yes",9&gt;=Projects!$C$33,9&lt;Projects!$C$33+Projects!$D$33),Projects!$B$33*INDEX(Curves!$B$4:$AR$4,1,9-Projects!$C$33+1),0)+IF(AND(Projects!$G$34="Yes",9&gt;=Projects!$C$34,9&lt;Projects!$C$34+Projects!$D$34),Projects!$B$34*INDEX(Curves!$B$4:$AR$4,1,9-Projects!$C$34+1),0)+IF(AND(Projects!$G$35="Yes",9&gt;=Projects!$C$35,9&lt;Projects!$C$35+Projects!$D$35),Projects!$B$35*INDEX(Curves!$B$4:$AR$4,1,9-Projects!$C$35+1),0)+IF(AND(Projects!$G$36="Yes",9&gt;=Projects!$C$36,9&lt;Projects!$C$36+Projects!$D$36),Projects!$B$36*INDEX(Curves!$B$4:$AR$4,1,9-Projects!$C$36+1),0)+IF(AND(Projects!$G$37="Yes",9&gt;=Projects!$C$37,9&lt;Projects!$C$37+Projects!$D$37),Projects!$B$37*INDEX(Curves!$B$4:$AR$4,1,9-Projects!$C$37+1),0)+IF(AND(Projects!$G$38="Yes",9&gt;=Projects!$C$38,9&lt;Projects!$C$38+Projects!$D$38),Projects!$B$38*INDEX(Curves!$B$4:$AR$4,1,9-Projects!$C$38+1),0)+IF(AND(Projects!$G$39="Yes",9&gt;=Projects!$C$39,9&lt;Projects!$C$39+Projects!$D$39),Projects!$B$39*INDEX(Curves!$B$4:$AR$4,1,9-Projects!$C$39+1),0)+IF(AND(Projects!$G$40="Yes",9&gt;=Projects!$C$40,9&lt;Projects!$C$40+Projects!$D$40),Projects!$B$40*INDEX(Curves!$B$4:$AR$4,1,9-Projects!$C$40+1),0)+IF(AND(Projects!$G$41="Yes",9&gt;=Projects!$C$41,9&lt;Projects!$C$41+Projects!$D$41),Projects!$B$41*INDEX(Curves!$B$4:$AR$4,1,9-Projects!$C$41+1),0)+IF(AND(Projects!$G$42="Yes",9&gt;=Projects!$C$42,9&lt;Projects!$C$42+Projects!$D$42),Projects!$B$42*INDEX(Curves!$B$4:$AR$4,1,9-Projects!$C$42+1),0)+IF(AND(Projects!$G$43="Yes",9&gt;=Projects!$C$43,9&lt;Projects!$C$43+Projects!$D$43),Projects!$B$43*INDEX(Curves!$B$4:$AR$4,1,9-Projects!$C$43+1),0)+IF(AND(Projects!$G$44="Yes",9&gt;=Projects!$C$44,9&lt;Projects!$C$44+Projects!$D$44),Projects!$B$44*INDEX(Curves!$B$4:$AR$4,1,9-Projects!$C$44+1),0)+IF(AND(Projects!$G$45="Yes",9&gt;=Projects!$C$45,9&lt;Projects!$C$45+Projects!$D$45),Projects!$B$45*INDEX(Curves!$B$4:$AR$4,1,9-Projects!$C$45+1),0)+IF(AND(Projects!$G$46="Yes",9&gt;=Projects!$C$46,9&lt;Projects!$C$46+Projects!$D$46),Projects!$B$46*INDEX(Curves!$B$4:$AR$4,1,9-Projects!$C$46+1),0)</f>
        <v/>
      </c>
      <c r="O96" s="688">
        <f>IF(AND(Projects!$G$17="Yes",10&gt;=Projects!$C$17,10&lt;Projects!$C$17+Projects!$D$17),Projects!$B$17*INDEX(Curves!$B$4:$AR$4,1,10-Projects!$C$17+1),0)+IF(AND(Projects!$G$18="Yes",10&gt;=Projects!$C$18,10&lt;Projects!$C$18+Projects!$D$18),Projects!$B$18*INDEX(Curves!$B$4:$AR$4,1,10-Projects!$C$18+1),0)+IF(AND(Projects!$G$19="Yes",10&gt;=Projects!$C$19,10&lt;Projects!$C$19+Projects!$D$19),Projects!$B$19*INDEX(Curves!$B$4:$AR$4,1,10-Projects!$C$19+1),0)+IF(AND(Projects!$G$20="Yes",10&gt;=Projects!$C$20,10&lt;Projects!$C$20+Projects!$D$20),Projects!$B$20*INDEX(Curves!$B$4:$AR$4,1,10-Projects!$C$20+1),0)+IF(AND(Projects!$G$21="Yes",10&gt;=Projects!$C$21,10&lt;Projects!$C$21+Projects!$D$21),Projects!$B$21*INDEX(Curves!$B$4:$AR$4,1,10-Projects!$C$21+1),0)+IF(AND(Projects!$G$22="Yes",10&gt;=Projects!$C$22,10&lt;Projects!$C$22+Projects!$D$22),Projects!$B$22*INDEX(Curves!$B$4:$AR$4,1,10-Projects!$C$22+1),0)+IF(AND(Projects!$G$23="Yes",10&gt;=Projects!$C$23,10&lt;Projects!$C$23+Projects!$D$23),Projects!$B$23*INDEX(Curves!$B$4:$AR$4,1,10-Projects!$C$23+1),0)+IF(AND(Projects!$G$24="Yes",10&gt;=Projects!$C$24,10&lt;Projects!$C$24+Projects!$D$24),Projects!$B$24*INDEX(Curves!$B$4:$AR$4,1,10-Projects!$C$24+1),0)+IF(AND(Projects!$G$25="Yes",10&gt;=Projects!$C$25,10&lt;Projects!$C$25+Projects!$D$25),Projects!$B$25*INDEX(Curves!$B$4:$AR$4,1,10-Projects!$C$25+1),0)+IF(AND(Projects!$G$26="Yes",10&gt;=Projects!$C$26,10&lt;Projects!$C$26+Projects!$D$26),Projects!$B$26*INDEX(Curves!$B$4:$AR$4,1,10-Projects!$C$26+1),0)+IF(AND(Projects!$G$27="Yes",10&gt;=Projects!$C$27,10&lt;Projects!$C$27+Projects!$D$27),Projects!$B$27*INDEX(Curves!$B$4:$AR$4,1,10-Projects!$C$27+1),0)+IF(AND(Projects!$G$28="Yes",10&gt;=Projects!$C$28,10&lt;Projects!$C$28+Projects!$D$28),Projects!$B$28*INDEX(Curves!$B$4:$AR$4,1,10-Projects!$C$28+1),0)+IF(AND(Projects!$G$29="Yes",10&gt;=Projects!$C$29,10&lt;Projects!$C$29+Projects!$D$29),Projects!$B$29*INDEX(Curves!$B$4:$AR$4,1,10-Projects!$C$29+1),0)+IF(AND(Projects!$G$30="Yes",10&gt;=Projects!$C$30,10&lt;Projects!$C$30+Projects!$D$30),Projects!$B$30*INDEX(Curves!$B$4:$AR$4,1,10-Projects!$C$30+1),0)+IF(AND(Projects!$G$31="Yes",10&gt;=Projects!$C$31,10&lt;Projects!$C$31+Projects!$D$31),Projects!$B$31*INDEX(Curves!$B$4:$AR$4,1,10-Projects!$C$31+1),0)+IF(AND(Projects!$G$32="Yes",10&gt;=Projects!$C$32,10&lt;Projects!$C$32+Projects!$D$32),Projects!$B$32*INDEX(Curves!$B$4:$AR$4,1,10-Projects!$C$32+1),0)+IF(AND(Projects!$G$33="Yes",10&gt;=Projects!$C$33,10&lt;Projects!$C$33+Projects!$D$33),Projects!$B$33*INDEX(Curves!$B$4:$AR$4,1,10-Projects!$C$33+1),0)+IF(AND(Projects!$G$34="Yes",10&gt;=Projects!$C$34,10&lt;Projects!$C$34+Projects!$D$34),Projects!$B$34*INDEX(Curves!$B$4:$AR$4,1,10-Projects!$C$34+1),0)+IF(AND(Projects!$G$35="Yes",10&gt;=Projects!$C$35,10&lt;Projects!$C$35+Projects!$D$35),Projects!$B$35*INDEX(Curves!$B$4:$AR$4,1,10-Projects!$C$35+1),0)+IF(AND(Projects!$G$36="Yes",10&gt;=Projects!$C$36,10&lt;Projects!$C$36+Projects!$D$36),Projects!$B$36*INDEX(Curves!$B$4:$AR$4,1,10-Projects!$C$36+1),0)+IF(AND(Projects!$G$37="Yes",10&gt;=Projects!$C$37,10&lt;Projects!$C$37+Projects!$D$37),Projects!$B$37*INDEX(Curves!$B$4:$AR$4,1,10-Projects!$C$37+1),0)+IF(AND(Projects!$G$38="Yes",10&gt;=Projects!$C$38,10&lt;Projects!$C$38+Projects!$D$38),Projects!$B$38*INDEX(Curves!$B$4:$AR$4,1,10-Projects!$C$38+1),0)+IF(AND(Projects!$G$39="Yes",10&gt;=Projects!$C$39,10&lt;Projects!$C$39+Projects!$D$39),Projects!$B$39*INDEX(Curves!$B$4:$AR$4,1,10-Projects!$C$39+1),0)+IF(AND(Projects!$G$40="Yes",10&gt;=Projects!$C$40,10&lt;Projects!$C$40+Projects!$D$40),Projects!$B$40*INDEX(Curves!$B$4:$AR$4,1,10-Projects!$C$40+1),0)+IF(AND(Projects!$G$41="Yes",10&gt;=Projects!$C$41,10&lt;Projects!$C$41+Projects!$D$41),Projects!$B$41*INDEX(Curves!$B$4:$AR$4,1,10-Projects!$C$41+1),0)+IF(AND(Projects!$G$42="Yes",10&gt;=Projects!$C$42,10&lt;Projects!$C$42+Projects!$D$42),Projects!$B$42*INDEX(Curves!$B$4:$AR$4,1,10-Projects!$C$42+1),0)+IF(AND(Projects!$G$43="Yes",10&gt;=Projects!$C$43,10&lt;Projects!$C$43+Projects!$D$43),Projects!$B$43*INDEX(Curves!$B$4:$AR$4,1,10-Projects!$C$43+1),0)+IF(AND(Projects!$G$44="Yes",10&gt;=Projects!$C$44,10&lt;Projects!$C$44+Projects!$D$44),Projects!$B$44*INDEX(Curves!$B$4:$AR$4,1,10-Projects!$C$44+1),0)+IF(AND(Projects!$G$45="Yes",10&gt;=Projects!$C$45,10&lt;Projects!$C$45+Projects!$D$45),Projects!$B$45*INDEX(Curves!$B$4:$AR$4,1,10-Projects!$C$45+1),0)+IF(AND(Projects!$G$46="Yes",10&gt;=Projects!$C$46,10&lt;Projects!$C$46+Projects!$D$46),Projects!$B$46*INDEX(Curves!$B$4:$AR$4,1,10-Projects!$C$46+1),0)</f>
        <v/>
      </c>
      <c r="P96" s="688">
        <f>IF(AND(Projects!$G$17="Yes",11&gt;=Projects!$C$17,11&lt;Projects!$C$17+Projects!$D$17),Projects!$B$17*INDEX(Curves!$B$4:$AR$4,1,11-Projects!$C$17+1),0)+IF(AND(Projects!$G$18="Yes",11&gt;=Projects!$C$18,11&lt;Projects!$C$18+Projects!$D$18),Projects!$B$18*INDEX(Curves!$B$4:$AR$4,1,11-Projects!$C$18+1),0)+IF(AND(Projects!$G$19="Yes",11&gt;=Projects!$C$19,11&lt;Projects!$C$19+Projects!$D$19),Projects!$B$19*INDEX(Curves!$B$4:$AR$4,1,11-Projects!$C$19+1),0)+IF(AND(Projects!$G$20="Yes",11&gt;=Projects!$C$20,11&lt;Projects!$C$20+Projects!$D$20),Projects!$B$20*INDEX(Curves!$B$4:$AR$4,1,11-Projects!$C$20+1),0)+IF(AND(Projects!$G$21="Yes",11&gt;=Projects!$C$21,11&lt;Projects!$C$21+Projects!$D$21),Projects!$B$21*INDEX(Curves!$B$4:$AR$4,1,11-Projects!$C$21+1),0)+IF(AND(Projects!$G$22="Yes",11&gt;=Projects!$C$22,11&lt;Projects!$C$22+Projects!$D$22),Projects!$B$22*INDEX(Curves!$B$4:$AR$4,1,11-Projects!$C$22+1),0)+IF(AND(Projects!$G$23="Yes",11&gt;=Projects!$C$23,11&lt;Projects!$C$23+Projects!$D$23),Projects!$B$23*INDEX(Curves!$B$4:$AR$4,1,11-Projects!$C$23+1),0)+IF(AND(Projects!$G$24="Yes",11&gt;=Projects!$C$24,11&lt;Projects!$C$24+Projects!$D$24),Projects!$B$24*INDEX(Curves!$B$4:$AR$4,1,11-Projects!$C$24+1),0)+IF(AND(Projects!$G$25="Yes",11&gt;=Projects!$C$25,11&lt;Projects!$C$25+Projects!$D$25),Projects!$B$25*INDEX(Curves!$B$4:$AR$4,1,11-Projects!$C$25+1),0)+IF(AND(Projects!$G$26="Yes",11&gt;=Projects!$C$26,11&lt;Projects!$C$26+Projects!$D$26),Projects!$B$26*INDEX(Curves!$B$4:$AR$4,1,11-Projects!$C$26+1),0)+IF(AND(Projects!$G$27="Yes",11&gt;=Projects!$C$27,11&lt;Projects!$C$27+Projects!$D$27),Projects!$B$27*INDEX(Curves!$B$4:$AR$4,1,11-Projects!$C$27+1),0)+IF(AND(Projects!$G$28="Yes",11&gt;=Projects!$C$28,11&lt;Projects!$C$28+Projects!$D$28),Projects!$B$28*INDEX(Curves!$B$4:$AR$4,1,11-Projects!$C$28+1),0)+IF(AND(Projects!$G$29="Yes",11&gt;=Projects!$C$29,11&lt;Projects!$C$29+Projects!$D$29),Projects!$B$29*INDEX(Curves!$B$4:$AR$4,1,11-Projects!$C$29+1),0)+IF(AND(Projects!$G$30="Yes",11&gt;=Projects!$C$30,11&lt;Projects!$C$30+Projects!$D$30),Projects!$B$30*INDEX(Curves!$B$4:$AR$4,1,11-Projects!$C$30+1),0)+IF(AND(Projects!$G$31="Yes",11&gt;=Projects!$C$31,11&lt;Projects!$C$31+Projects!$D$31),Projects!$B$31*INDEX(Curves!$B$4:$AR$4,1,11-Projects!$C$31+1),0)+IF(AND(Projects!$G$32="Yes",11&gt;=Projects!$C$32,11&lt;Projects!$C$32+Projects!$D$32),Projects!$B$32*INDEX(Curves!$B$4:$AR$4,1,11-Projects!$C$32+1),0)+IF(AND(Projects!$G$33="Yes",11&gt;=Projects!$C$33,11&lt;Projects!$C$33+Projects!$D$33),Projects!$B$33*INDEX(Curves!$B$4:$AR$4,1,11-Projects!$C$33+1),0)+IF(AND(Projects!$G$34="Yes",11&gt;=Projects!$C$34,11&lt;Projects!$C$34+Projects!$D$34),Projects!$B$34*INDEX(Curves!$B$4:$AR$4,1,11-Projects!$C$34+1),0)+IF(AND(Projects!$G$35="Yes",11&gt;=Projects!$C$35,11&lt;Projects!$C$35+Projects!$D$35),Projects!$B$35*INDEX(Curves!$B$4:$AR$4,1,11-Projects!$C$35+1),0)+IF(AND(Projects!$G$36="Yes",11&gt;=Projects!$C$36,11&lt;Projects!$C$36+Projects!$D$36),Projects!$B$36*INDEX(Curves!$B$4:$AR$4,1,11-Projects!$C$36+1),0)+IF(AND(Projects!$G$37="Yes",11&gt;=Projects!$C$37,11&lt;Projects!$C$37+Projects!$D$37),Projects!$B$37*INDEX(Curves!$B$4:$AR$4,1,11-Projects!$C$37+1),0)+IF(AND(Projects!$G$38="Yes",11&gt;=Projects!$C$38,11&lt;Projects!$C$38+Projects!$D$38),Projects!$B$38*INDEX(Curves!$B$4:$AR$4,1,11-Projects!$C$38+1),0)+IF(AND(Projects!$G$39="Yes",11&gt;=Projects!$C$39,11&lt;Projects!$C$39+Projects!$D$39),Projects!$B$39*INDEX(Curves!$B$4:$AR$4,1,11-Projects!$C$39+1),0)+IF(AND(Projects!$G$40="Yes",11&gt;=Projects!$C$40,11&lt;Projects!$C$40+Projects!$D$40),Projects!$B$40*INDEX(Curves!$B$4:$AR$4,1,11-Projects!$C$40+1),0)+IF(AND(Projects!$G$41="Yes",11&gt;=Projects!$C$41,11&lt;Projects!$C$41+Projects!$D$41),Projects!$B$41*INDEX(Curves!$B$4:$AR$4,1,11-Projects!$C$41+1),0)+IF(AND(Projects!$G$42="Yes",11&gt;=Projects!$C$42,11&lt;Projects!$C$42+Projects!$D$42),Projects!$B$42*INDEX(Curves!$B$4:$AR$4,1,11-Projects!$C$42+1),0)+IF(AND(Projects!$G$43="Yes",11&gt;=Projects!$C$43,11&lt;Projects!$C$43+Projects!$D$43),Projects!$B$43*INDEX(Curves!$B$4:$AR$4,1,11-Projects!$C$43+1),0)+IF(AND(Projects!$G$44="Yes",11&gt;=Projects!$C$44,11&lt;Projects!$C$44+Projects!$D$44),Projects!$B$44*INDEX(Curves!$B$4:$AR$4,1,11-Projects!$C$44+1),0)+IF(AND(Projects!$G$45="Yes",11&gt;=Projects!$C$45,11&lt;Projects!$C$45+Projects!$D$45),Projects!$B$45*INDEX(Curves!$B$4:$AR$4,1,11-Projects!$C$45+1),0)+IF(AND(Projects!$G$46="Yes",11&gt;=Projects!$C$46,11&lt;Projects!$C$46+Projects!$D$46),Projects!$B$46*INDEX(Curves!$B$4:$AR$4,1,11-Projects!$C$46+1),0)</f>
        <v/>
      </c>
      <c r="Q96" s="688">
        <f>IF(AND(Projects!$G$17="Yes",12&gt;=Projects!$C$17,12&lt;Projects!$C$17+Projects!$D$17),Projects!$B$17*INDEX(Curves!$B$4:$AR$4,1,12-Projects!$C$17+1),0)+IF(AND(Projects!$G$18="Yes",12&gt;=Projects!$C$18,12&lt;Projects!$C$18+Projects!$D$18),Projects!$B$18*INDEX(Curves!$B$4:$AR$4,1,12-Projects!$C$18+1),0)+IF(AND(Projects!$G$19="Yes",12&gt;=Projects!$C$19,12&lt;Projects!$C$19+Projects!$D$19),Projects!$B$19*INDEX(Curves!$B$4:$AR$4,1,12-Projects!$C$19+1),0)+IF(AND(Projects!$G$20="Yes",12&gt;=Projects!$C$20,12&lt;Projects!$C$20+Projects!$D$20),Projects!$B$20*INDEX(Curves!$B$4:$AR$4,1,12-Projects!$C$20+1),0)+IF(AND(Projects!$G$21="Yes",12&gt;=Projects!$C$21,12&lt;Projects!$C$21+Projects!$D$21),Projects!$B$21*INDEX(Curves!$B$4:$AR$4,1,12-Projects!$C$21+1),0)+IF(AND(Projects!$G$22="Yes",12&gt;=Projects!$C$22,12&lt;Projects!$C$22+Projects!$D$22),Projects!$B$22*INDEX(Curves!$B$4:$AR$4,1,12-Projects!$C$22+1),0)+IF(AND(Projects!$G$23="Yes",12&gt;=Projects!$C$23,12&lt;Projects!$C$23+Projects!$D$23),Projects!$B$23*INDEX(Curves!$B$4:$AR$4,1,12-Projects!$C$23+1),0)+IF(AND(Projects!$G$24="Yes",12&gt;=Projects!$C$24,12&lt;Projects!$C$24+Projects!$D$24),Projects!$B$24*INDEX(Curves!$B$4:$AR$4,1,12-Projects!$C$24+1),0)+IF(AND(Projects!$G$25="Yes",12&gt;=Projects!$C$25,12&lt;Projects!$C$25+Projects!$D$25),Projects!$B$25*INDEX(Curves!$B$4:$AR$4,1,12-Projects!$C$25+1),0)+IF(AND(Projects!$G$26="Yes",12&gt;=Projects!$C$26,12&lt;Projects!$C$26+Projects!$D$26),Projects!$B$26*INDEX(Curves!$B$4:$AR$4,1,12-Projects!$C$26+1),0)+IF(AND(Projects!$G$27="Yes",12&gt;=Projects!$C$27,12&lt;Projects!$C$27+Projects!$D$27),Projects!$B$27*INDEX(Curves!$B$4:$AR$4,1,12-Projects!$C$27+1),0)+IF(AND(Projects!$G$28="Yes",12&gt;=Projects!$C$28,12&lt;Projects!$C$28+Projects!$D$28),Projects!$B$28*INDEX(Curves!$B$4:$AR$4,1,12-Projects!$C$28+1),0)+IF(AND(Projects!$G$29="Yes",12&gt;=Projects!$C$29,12&lt;Projects!$C$29+Projects!$D$29),Projects!$B$29*INDEX(Curves!$B$4:$AR$4,1,12-Projects!$C$29+1),0)+IF(AND(Projects!$G$30="Yes",12&gt;=Projects!$C$30,12&lt;Projects!$C$30+Projects!$D$30),Projects!$B$30*INDEX(Curves!$B$4:$AR$4,1,12-Projects!$C$30+1),0)+IF(AND(Projects!$G$31="Yes",12&gt;=Projects!$C$31,12&lt;Projects!$C$31+Projects!$D$31),Projects!$B$31*INDEX(Curves!$B$4:$AR$4,1,12-Projects!$C$31+1),0)+IF(AND(Projects!$G$32="Yes",12&gt;=Projects!$C$32,12&lt;Projects!$C$32+Projects!$D$32),Projects!$B$32*INDEX(Curves!$B$4:$AR$4,1,12-Projects!$C$32+1),0)+IF(AND(Projects!$G$33="Yes",12&gt;=Projects!$C$33,12&lt;Projects!$C$33+Projects!$D$33),Projects!$B$33*INDEX(Curves!$B$4:$AR$4,1,12-Projects!$C$33+1),0)+IF(AND(Projects!$G$34="Yes",12&gt;=Projects!$C$34,12&lt;Projects!$C$34+Projects!$D$34),Projects!$B$34*INDEX(Curves!$B$4:$AR$4,1,12-Projects!$C$34+1),0)+IF(AND(Projects!$G$35="Yes",12&gt;=Projects!$C$35,12&lt;Projects!$C$35+Projects!$D$35),Projects!$B$35*INDEX(Curves!$B$4:$AR$4,1,12-Projects!$C$35+1),0)+IF(AND(Projects!$G$36="Yes",12&gt;=Projects!$C$36,12&lt;Projects!$C$36+Projects!$D$36),Projects!$B$36*INDEX(Curves!$B$4:$AR$4,1,12-Projects!$C$36+1),0)+IF(AND(Projects!$G$37="Yes",12&gt;=Projects!$C$37,12&lt;Projects!$C$37+Projects!$D$37),Projects!$B$37*INDEX(Curves!$B$4:$AR$4,1,12-Projects!$C$37+1),0)+IF(AND(Projects!$G$38="Yes",12&gt;=Projects!$C$38,12&lt;Projects!$C$38+Projects!$D$38),Projects!$B$38*INDEX(Curves!$B$4:$AR$4,1,12-Projects!$C$38+1),0)+IF(AND(Projects!$G$39="Yes",12&gt;=Projects!$C$39,12&lt;Projects!$C$39+Projects!$D$39),Projects!$B$39*INDEX(Curves!$B$4:$AR$4,1,12-Projects!$C$39+1),0)+IF(AND(Projects!$G$40="Yes",12&gt;=Projects!$C$40,12&lt;Projects!$C$40+Projects!$D$40),Projects!$B$40*INDEX(Curves!$B$4:$AR$4,1,12-Projects!$C$40+1),0)+IF(AND(Projects!$G$41="Yes",12&gt;=Projects!$C$41,12&lt;Projects!$C$41+Projects!$D$41),Projects!$B$41*INDEX(Curves!$B$4:$AR$4,1,12-Projects!$C$41+1),0)+IF(AND(Projects!$G$42="Yes",12&gt;=Projects!$C$42,12&lt;Projects!$C$42+Projects!$D$42),Projects!$B$42*INDEX(Curves!$B$4:$AR$4,1,12-Projects!$C$42+1),0)+IF(AND(Projects!$G$43="Yes",12&gt;=Projects!$C$43,12&lt;Projects!$C$43+Projects!$D$43),Projects!$B$43*INDEX(Curves!$B$4:$AR$4,1,12-Projects!$C$43+1),0)+IF(AND(Projects!$G$44="Yes",12&gt;=Projects!$C$44,12&lt;Projects!$C$44+Projects!$D$44),Projects!$B$44*INDEX(Curves!$B$4:$AR$4,1,12-Projects!$C$44+1),0)+IF(AND(Projects!$G$45="Yes",12&gt;=Projects!$C$45,12&lt;Projects!$C$45+Projects!$D$45),Projects!$B$45*INDEX(Curves!$B$4:$AR$4,1,12-Projects!$C$45+1),0)+IF(AND(Projects!$G$46="Yes",12&gt;=Projects!$C$46,12&lt;Projects!$C$46+Projects!$D$46),Projects!$B$46*INDEX(Curves!$B$4:$AR$4,1,12-Projects!$C$46+1),0)</f>
        <v/>
      </c>
      <c r="R96" s="688">
        <f>IF(AND(Projects!$G$17="Yes",13&gt;=Projects!$C$17,13&lt;Projects!$C$17+Projects!$D$17),Projects!$B$17*INDEX(Curves!$B$4:$AR$4,1,13-Projects!$C$17+1),0)+IF(AND(Projects!$G$18="Yes",13&gt;=Projects!$C$18,13&lt;Projects!$C$18+Projects!$D$18),Projects!$B$18*INDEX(Curves!$B$4:$AR$4,1,13-Projects!$C$18+1),0)+IF(AND(Projects!$G$19="Yes",13&gt;=Projects!$C$19,13&lt;Projects!$C$19+Projects!$D$19),Projects!$B$19*INDEX(Curves!$B$4:$AR$4,1,13-Projects!$C$19+1),0)+IF(AND(Projects!$G$20="Yes",13&gt;=Projects!$C$20,13&lt;Projects!$C$20+Projects!$D$20),Projects!$B$20*INDEX(Curves!$B$4:$AR$4,1,13-Projects!$C$20+1),0)+IF(AND(Projects!$G$21="Yes",13&gt;=Projects!$C$21,13&lt;Projects!$C$21+Projects!$D$21),Projects!$B$21*INDEX(Curves!$B$4:$AR$4,1,13-Projects!$C$21+1),0)+IF(AND(Projects!$G$22="Yes",13&gt;=Projects!$C$22,13&lt;Projects!$C$22+Projects!$D$22),Projects!$B$22*INDEX(Curves!$B$4:$AR$4,1,13-Projects!$C$22+1),0)+IF(AND(Projects!$G$23="Yes",13&gt;=Projects!$C$23,13&lt;Projects!$C$23+Projects!$D$23),Projects!$B$23*INDEX(Curves!$B$4:$AR$4,1,13-Projects!$C$23+1),0)+IF(AND(Projects!$G$24="Yes",13&gt;=Projects!$C$24,13&lt;Projects!$C$24+Projects!$D$24),Projects!$B$24*INDEX(Curves!$B$4:$AR$4,1,13-Projects!$C$24+1),0)+IF(AND(Projects!$G$25="Yes",13&gt;=Projects!$C$25,13&lt;Projects!$C$25+Projects!$D$25),Projects!$B$25*INDEX(Curves!$B$4:$AR$4,1,13-Projects!$C$25+1),0)+IF(AND(Projects!$G$26="Yes",13&gt;=Projects!$C$26,13&lt;Projects!$C$26+Projects!$D$26),Projects!$B$26*INDEX(Curves!$B$4:$AR$4,1,13-Projects!$C$26+1),0)+IF(AND(Projects!$G$27="Yes",13&gt;=Projects!$C$27,13&lt;Projects!$C$27+Projects!$D$27),Projects!$B$27*INDEX(Curves!$B$4:$AR$4,1,13-Projects!$C$27+1),0)+IF(AND(Projects!$G$28="Yes",13&gt;=Projects!$C$28,13&lt;Projects!$C$28+Projects!$D$28),Projects!$B$28*INDEX(Curves!$B$4:$AR$4,1,13-Projects!$C$28+1),0)+IF(AND(Projects!$G$29="Yes",13&gt;=Projects!$C$29,13&lt;Projects!$C$29+Projects!$D$29),Projects!$B$29*INDEX(Curves!$B$4:$AR$4,1,13-Projects!$C$29+1),0)+IF(AND(Projects!$G$30="Yes",13&gt;=Projects!$C$30,13&lt;Projects!$C$30+Projects!$D$30),Projects!$B$30*INDEX(Curves!$B$4:$AR$4,1,13-Projects!$C$30+1),0)+IF(AND(Projects!$G$31="Yes",13&gt;=Projects!$C$31,13&lt;Projects!$C$31+Projects!$D$31),Projects!$B$31*INDEX(Curves!$B$4:$AR$4,1,13-Projects!$C$31+1),0)+IF(AND(Projects!$G$32="Yes",13&gt;=Projects!$C$32,13&lt;Projects!$C$32+Projects!$D$32),Projects!$B$32*INDEX(Curves!$B$4:$AR$4,1,13-Projects!$C$32+1),0)+IF(AND(Projects!$G$33="Yes",13&gt;=Projects!$C$33,13&lt;Projects!$C$33+Projects!$D$33),Projects!$B$33*INDEX(Curves!$B$4:$AR$4,1,13-Projects!$C$33+1),0)+IF(AND(Projects!$G$34="Yes",13&gt;=Projects!$C$34,13&lt;Projects!$C$34+Projects!$D$34),Projects!$B$34*INDEX(Curves!$B$4:$AR$4,1,13-Projects!$C$34+1),0)+IF(AND(Projects!$G$35="Yes",13&gt;=Projects!$C$35,13&lt;Projects!$C$35+Projects!$D$35),Projects!$B$35*INDEX(Curves!$B$4:$AR$4,1,13-Projects!$C$35+1),0)+IF(AND(Projects!$G$36="Yes",13&gt;=Projects!$C$36,13&lt;Projects!$C$36+Projects!$D$36),Projects!$B$36*INDEX(Curves!$B$4:$AR$4,1,13-Projects!$C$36+1),0)+IF(AND(Projects!$G$37="Yes",13&gt;=Projects!$C$37,13&lt;Projects!$C$37+Projects!$D$37),Projects!$B$37*INDEX(Curves!$B$4:$AR$4,1,13-Projects!$C$37+1),0)+IF(AND(Projects!$G$38="Yes",13&gt;=Projects!$C$38,13&lt;Projects!$C$38+Projects!$D$38),Projects!$B$38*INDEX(Curves!$B$4:$AR$4,1,13-Projects!$C$38+1),0)+IF(AND(Projects!$G$39="Yes",13&gt;=Projects!$C$39,13&lt;Projects!$C$39+Projects!$D$39),Projects!$B$39*INDEX(Curves!$B$4:$AR$4,1,13-Projects!$C$39+1),0)+IF(AND(Projects!$G$40="Yes",13&gt;=Projects!$C$40,13&lt;Projects!$C$40+Projects!$D$40),Projects!$B$40*INDEX(Curves!$B$4:$AR$4,1,13-Projects!$C$40+1),0)+IF(AND(Projects!$G$41="Yes",13&gt;=Projects!$C$41,13&lt;Projects!$C$41+Projects!$D$41),Projects!$B$41*INDEX(Curves!$B$4:$AR$4,1,13-Projects!$C$41+1),0)+IF(AND(Projects!$G$42="Yes",13&gt;=Projects!$C$42,13&lt;Projects!$C$42+Projects!$D$42),Projects!$B$42*INDEX(Curves!$B$4:$AR$4,1,13-Projects!$C$42+1),0)+IF(AND(Projects!$G$43="Yes",13&gt;=Projects!$C$43,13&lt;Projects!$C$43+Projects!$D$43),Projects!$B$43*INDEX(Curves!$B$4:$AR$4,1,13-Projects!$C$43+1),0)+IF(AND(Projects!$G$44="Yes",13&gt;=Projects!$C$44,13&lt;Projects!$C$44+Projects!$D$44),Projects!$B$44*INDEX(Curves!$B$4:$AR$4,1,13-Projects!$C$44+1),0)+IF(AND(Projects!$G$45="Yes",13&gt;=Projects!$C$45,13&lt;Projects!$C$45+Projects!$D$45),Projects!$B$45*INDEX(Curves!$B$4:$AR$4,1,13-Projects!$C$45+1),0)+IF(AND(Projects!$G$46="Yes",13&gt;=Projects!$C$46,13&lt;Projects!$C$46+Projects!$D$46),Projects!$B$46*INDEX(Curves!$B$4:$AR$4,1,13-Projects!$C$46+1),0)</f>
        <v/>
      </c>
      <c r="S96" s="688">
        <f>IF(AND(Projects!$G$17="Yes",14&gt;=Projects!$C$17,14&lt;Projects!$C$17+Projects!$D$17),Projects!$B$17*INDEX(Curves!$B$4:$AR$4,1,14-Projects!$C$17+1),0)+IF(AND(Projects!$G$18="Yes",14&gt;=Projects!$C$18,14&lt;Projects!$C$18+Projects!$D$18),Projects!$B$18*INDEX(Curves!$B$4:$AR$4,1,14-Projects!$C$18+1),0)+IF(AND(Projects!$G$19="Yes",14&gt;=Projects!$C$19,14&lt;Projects!$C$19+Projects!$D$19),Projects!$B$19*INDEX(Curves!$B$4:$AR$4,1,14-Projects!$C$19+1),0)+IF(AND(Projects!$G$20="Yes",14&gt;=Projects!$C$20,14&lt;Projects!$C$20+Projects!$D$20),Projects!$B$20*INDEX(Curves!$B$4:$AR$4,1,14-Projects!$C$20+1),0)+IF(AND(Projects!$G$21="Yes",14&gt;=Projects!$C$21,14&lt;Projects!$C$21+Projects!$D$21),Projects!$B$21*INDEX(Curves!$B$4:$AR$4,1,14-Projects!$C$21+1),0)+IF(AND(Projects!$G$22="Yes",14&gt;=Projects!$C$22,14&lt;Projects!$C$22+Projects!$D$22),Projects!$B$22*INDEX(Curves!$B$4:$AR$4,1,14-Projects!$C$22+1),0)+IF(AND(Projects!$G$23="Yes",14&gt;=Projects!$C$23,14&lt;Projects!$C$23+Projects!$D$23),Projects!$B$23*INDEX(Curves!$B$4:$AR$4,1,14-Projects!$C$23+1),0)+IF(AND(Projects!$G$24="Yes",14&gt;=Projects!$C$24,14&lt;Projects!$C$24+Projects!$D$24),Projects!$B$24*INDEX(Curves!$B$4:$AR$4,1,14-Projects!$C$24+1),0)+IF(AND(Projects!$G$25="Yes",14&gt;=Projects!$C$25,14&lt;Projects!$C$25+Projects!$D$25),Projects!$B$25*INDEX(Curves!$B$4:$AR$4,1,14-Projects!$C$25+1),0)+IF(AND(Projects!$G$26="Yes",14&gt;=Projects!$C$26,14&lt;Projects!$C$26+Projects!$D$26),Projects!$B$26*INDEX(Curves!$B$4:$AR$4,1,14-Projects!$C$26+1),0)+IF(AND(Projects!$G$27="Yes",14&gt;=Projects!$C$27,14&lt;Projects!$C$27+Projects!$D$27),Projects!$B$27*INDEX(Curves!$B$4:$AR$4,1,14-Projects!$C$27+1),0)+IF(AND(Projects!$G$28="Yes",14&gt;=Projects!$C$28,14&lt;Projects!$C$28+Projects!$D$28),Projects!$B$28*INDEX(Curves!$B$4:$AR$4,1,14-Projects!$C$28+1),0)+IF(AND(Projects!$G$29="Yes",14&gt;=Projects!$C$29,14&lt;Projects!$C$29+Projects!$D$29),Projects!$B$29*INDEX(Curves!$B$4:$AR$4,1,14-Projects!$C$29+1),0)+IF(AND(Projects!$G$30="Yes",14&gt;=Projects!$C$30,14&lt;Projects!$C$30+Projects!$D$30),Projects!$B$30*INDEX(Curves!$B$4:$AR$4,1,14-Projects!$C$30+1),0)+IF(AND(Projects!$G$31="Yes",14&gt;=Projects!$C$31,14&lt;Projects!$C$31+Projects!$D$31),Projects!$B$31*INDEX(Curves!$B$4:$AR$4,1,14-Projects!$C$31+1),0)+IF(AND(Projects!$G$32="Yes",14&gt;=Projects!$C$32,14&lt;Projects!$C$32+Projects!$D$32),Projects!$B$32*INDEX(Curves!$B$4:$AR$4,1,14-Projects!$C$32+1),0)+IF(AND(Projects!$G$33="Yes",14&gt;=Projects!$C$33,14&lt;Projects!$C$33+Projects!$D$33),Projects!$B$33*INDEX(Curves!$B$4:$AR$4,1,14-Projects!$C$33+1),0)+IF(AND(Projects!$G$34="Yes",14&gt;=Projects!$C$34,14&lt;Projects!$C$34+Projects!$D$34),Projects!$B$34*INDEX(Curves!$B$4:$AR$4,1,14-Projects!$C$34+1),0)+IF(AND(Projects!$G$35="Yes",14&gt;=Projects!$C$35,14&lt;Projects!$C$35+Projects!$D$35),Projects!$B$35*INDEX(Curves!$B$4:$AR$4,1,14-Projects!$C$35+1),0)+IF(AND(Projects!$G$36="Yes",14&gt;=Projects!$C$36,14&lt;Projects!$C$36+Projects!$D$36),Projects!$B$36*INDEX(Curves!$B$4:$AR$4,1,14-Projects!$C$36+1),0)+IF(AND(Projects!$G$37="Yes",14&gt;=Projects!$C$37,14&lt;Projects!$C$37+Projects!$D$37),Projects!$B$37*INDEX(Curves!$B$4:$AR$4,1,14-Projects!$C$37+1),0)+IF(AND(Projects!$G$38="Yes",14&gt;=Projects!$C$38,14&lt;Projects!$C$38+Projects!$D$38),Projects!$B$38*INDEX(Curves!$B$4:$AR$4,1,14-Projects!$C$38+1),0)+IF(AND(Projects!$G$39="Yes",14&gt;=Projects!$C$39,14&lt;Projects!$C$39+Projects!$D$39),Projects!$B$39*INDEX(Curves!$B$4:$AR$4,1,14-Projects!$C$39+1),0)+IF(AND(Projects!$G$40="Yes",14&gt;=Projects!$C$40,14&lt;Projects!$C$40+Projects!$D$40),Projects!$B$40*INDEX(Curves!$B$4:$AR$4,1,14-Projects!$C$40+1),0)+IF(AND(Projects!$G$41="Yes",14&gt;=Projects!$C$41,14&lt;Projects!$C$41+Projects!$D$41),Projects!$B$41*INDEX(Curves!$B$4:$AR$4,1,14-Projects!$C$41+1),0)+IF(AND(Projects!$G$42="Yes",14&gt;=Projects!$C$42,14&lt;Projects!$C$42+Projects!$D$42),Projects!$B$42*INDEX(Curves!$B$4:$AR$4,1,14-Projects!$C$42+1),0)+IF(AND(Projects!$G$43="Yes",14&gt;=Projects!$C$43,14&lt;Projects!$C$43+Projects!$D$43),Projects!$B$43*INDEX(Curves!$B$4:$AR$4,1,14-Projects!$C$43+1),0)+IF(AND(Projects!$G$44="Yes",14&gt;=Projects!$C$44,14&lt;Projects!$C$44+Projects!$D$44),Projects!$B$44*INDEX(Curves!$B$4:$AR$4,1,14-Projects!$C$44+1),0)+IF(AND(Projects!$G$45="Yes",14&gt;=Projects!$C$45,14&lt;Projects!$C$45+Projects!$D$45),Projects!$B$45*INDEX(Curves!$B$4:$AR$4,1,14-Projects!$C$45+1),0)+IF(AND(Projects!$G$46="Yes",14&gt;=Projects!$C$46,14&lt;Projects!$C$46+Projects!$D$46),Projects!$B$46*INDEX(Curves!$B$4:$AR$4,1,14-Projects!$C$46+1),0)</f>
        <v/>
      </c>
      <c r="T96" s="688">
        <f>IF(AND(Projects!$G$17="Yes",15&gt;=Projects!$C$17,15&lt;Projects!$C$17+Projects!$D$17),Projects!$B$17*INDEX(Curves!$B$4:$AR$4,1,15-Projects!$C$17+1),0)+IF(AND(Projects!$G$18="Yes",15&gt;=Projects!$C$18,15&lt;Projects!$C$18+Projects!$D$18),Projects!$B$18*INDEX(Curves!$B$4:$AR$4,1,15-Projects!$C$18+1),0)+IF(AND(Projects!$G$19="Yes",15&gt;=Projects!$C$19,15&lt;Projects!$C$19+Projects!$D$19),Projects!$B$19*INDEX(Curves!$B$4:$AR$4,1,15-Projects!$C$19+1),0)+IF(AND(Projects!$G$20="Yes",15&gt;=Projects!$C$20,15&lt;Projects!$C$20+Projects!$D$20),Projects!$B$20*INDEX(Curves!$B$4:$AR$4,1,15-Projects!$C$20+1),0)+IF(AND(Projects!$G$21="Yes",15&gt;=Projects!$C$21,15&lt;Projects!$C$21+Projects!$D$21),Projects!$B$21*INDEX(Curves!$B$4:$AR$4,1,15-Projects!$C$21+1),0)+IF(AND(Projects!$G$22="Yes",15&gt;=Projects!$C$22,15&lt;Projects!$C$22+Projects!$D$22),Projects!$B$22*INDEX(Curves!$B$4:$AR$4,1,15-Projects!$C$22+1),0)+IF(AND(Projects!$G$23="Yes",15&gt;=Projects!$C$23,15&lt;Projects!$C$23+Projects!$D$23),Projects!$B$23*INDEX(Curves!$B$4:$AR$4,1,15-Projects!$C$23+1),0)+IF(AND(Projects!$G$24="Yes",15&gt;=Projects!$C$24,15&lt;Projects!$C$24+Projects!$D$24),Projects!$B$24*INDEX(Curves!$B$4:$AR$4,1,15-Projects!$C$24+1),0)+IF(AND(Projects!$G$25="Yes",15&gt;=Projects!$C$25,15&lt;Projects!$C$25+Projects!$D$25),Projects!$B$25*INDEX(Curves!$B$4:$AR$4,1,15-Projects!$C$25+1),0)+IF(AND(Projects!$G$26="Yes",15&gt;=Projects!$C$26,15&lt;Projects!$C$26+Projects!$D$26),Projects!$B$26*INDEX(Curves!$B$4:$AR$4,1,15-Projects!$C$26+1),0)+IF(AND(Projects!$G$27="Yes",15&gt;=Projects!$C$27,15&lt;Projects!$C$27+Projects!$D$27),Projects!$B$27*INDEX(Curves!$B$4:$AR$4,1,15-Projects!$C$27+1),0)+IF(AND(Projects!$G$28="Yes",15&gt;=Projects!$C$28,15&lt;Projects!$C$28+Projects!$D$28),Projects!$B$28*INDEX(Curves!$B$4:$AR$4,1,15-Projects!$C$28+1),0)+IF(AND(Projects!$G$29="Yes",15&gt;=Projects!$C$29,15&lt;Projects!$C$29+Projects!$D$29),Projects!$B$29*INDEX(Curves!$B$4:$AR$4,1,15-Projects!$C$29+1),0)+IF(AND(Projects!$G$30="Yes",15&gt;=Projects!$C$30,15&lt;Projects!$C$30+Projects!$D$30),Projects!$B$30*INDEX(Curves!$B$4:$AR$4,1,15-Projects!$C$30+1),0)+IF(AND(Projects!$G$31="Yes",15&gt;=Projects!$C$31,15&lt;Projects!$C$31+Projects!$D$31),Projects!$B$31*INDEX(Curves!$B$4:$AR$4,1,15-Projects!$C$31+1),0)+IF(AND(Projects!$G$32="Yes",15&gt;=Projects!$C$32,15&lt;Projects!$C$32+Projects!$D$32),Projects!$B$32*INDEX(Curves!$B$4:$AR$4,1,15-Projects!$C$32+1),0)+IF(AND(Projects!$G$33="Yes",15&gt;=Projects!$C$33,15&lt;Projects!$C$33+Projects!$D$33),Projects!$B$33*INDEX(Curves!$B$4:$AR$4,1,15-Projects!$C$33+1),0)+IF(AND(Projects!$G$34="Yes",15&gt;=Projects!$C$34,15&lt;Projects!$C$34+Projects!$D$34),Projects!$B$34*INDEX(Curves!$B$4:$AR$4,1,15-Projects!$C$34+1),0)+IF(AND(Projects!$G$35="Yes",15&gt;=Projects!$C$35,15&lt;Projects!$C$35+Projects!$D$35),Projects!$B$35*INDEX(Curves!$B$4:$AR$4,1,15-Projects!$C$35+1),0)+IF(AND(Projects!$G$36="Yes",15&gt;=Projects!$C$36,15&lt;Projects!$C$36+Projects!$D$36),Projects!$B$36*INDEX(Curves!$B$4:$AR$4,1,15-Projects!$C$36+1),0)+IF(AND(Projects!$G$37="Yes",15&gt;=Projects!$C$37,15&lt;Projects!$C$37+Projects!$D$37),Projects!$B$37*INDEX(Curves!$B$4:$AR$4,1,15-Projects!$C$37+1),0)+IF(AND(Projects!$G$38="Yes",15&gt;=Projects!$C$38,15&lt;Projects!$C$38+Projects!$D$38),Projects!$B$38*INDEX(Curves!$B$4:$AR$4,1,15-Projects!$C$38+1),0)+IF(AND(Projects!$G$39="Yes",15&gt;=Projects!$C$39,15&lt;Projects!$C$39+Projects!$D$39),Projects!$B$39*INDEX(Curves!$B$4:$AR$4,1,15-Projects!$C$39+1),0)+IF(AND(Projects!$G$40="Yes",15&gt;=Projects!$C$40,15&lt;Projects!$C$40+Projects!$D$40),Projects!$B$40*INDEX(Curves!$B$4:$AR$4,1,15-Projects!$C$40+1),0)+IF(AND(Projects!$G$41="Yes",15&gt;=Projects!$C$41,15&lt;Projects!$C$41+Projects!$D$41),Projects!$B$41*INDEX(Curves!$B$4:$AR$4,1,15-Projects!$C$41+1),0)+IF(AND(Projects!$G$42="Yes",15&gt;=Projects!$C$42,15&lt;Projects!$C$42+Projects!$D$42),Projects!$B$42*INDEX(Curves!$B$4:$AR$4,1,15-Projects!$C$42+1),0)+IF(AND(Projects!$G$43="Yes",15&gt;=Projects!$C$43,15&lt;Projects!$C$43+Projects!$D$43),Projects!$B$43*INDEX(Curves!$B$4:$AR$4,1,15-Projects!$C$43+1),0)+IF(AND(Projects!$G$44="Yes",15&gt;=Projects!$C$44,15&lt;Projects!$C$44+Projects!$D$44),Projects!$B$44*INDEX(Curves!$B$4:$AR$4,1,15-Projects!$C$44+1),0)+IF(AND(Projects!$G$45="Yes",15&gt;=Projects!$C$45,15&lt;Projects!$C$45+Projects!$D$45),Projects!$B$45*INDEX(Curves!$B$4:$AR$4,1,15-Projects!$C$45+1),0)+IF(AND(Projects!$G$46="Yes",15&gt;=Projects!$C$46,15&lt;Projects!$C$46+Projects!$D$46),Projects!$B$46*INDEX(Curves!$B$4:$AR$4,1,15-Projects!$C$46+1),0)</f>
        <v/>
      </c>
      <c r="U96" s="688">
        <f>IF(AND(Projects!$G$17="Yes",16&gt;=Projects!$C$17,16&lt;Projects!$C$17+Projects!$D$17),Projects!$B$17*INDEX(Curves!$B$4:$AR$4,1,16-Projects!$C$17+1),0)+IF(AND(Projects!$G$18="Yes",16&gt;=Projects!$C$18,16&lt;Projects!$C$18+Projects!$D$18),Projects!$B$18*INDEX(Curves!$B$4:$AR$4,1,16-Projects!$C$18+1),0)+IF(AND(Projects!$G$19="Yes",16&gt;=Projects!$C$19,16&lt;Projects!$C$19+Projects!$D$19),Projects!$B$19*INDEX(Curves!$B$4:$AR$4,1,16-Projects!$C$19+1),0)+IF(AND(Projects!$G$20="Yes",16&gt;=Projects!$C$20,16&lt;Projects!$C$20+Projects!$D$20),Projects!$B$20*INDEX(Curves!$B$4:$AR$4,1,16-Projects!$C$20+1),0)+IF(AND(Projects!$G$21="Yes",16&gt;=Projects!$C$21,16&lt;Projects!$C$21+Projects!$D$21),Projects!$B$21*INDEX(Curves!$B$4:$AR$4,1,16-Projects!$C$21+1),0)+IF(AND(Projects!$G$22="Yes",16&gt;=Projects!$C$22,16&lt;Projects!$C$22+Projects!$D$22),Projects!$B$22*INDEX(Curves!$B$4:$AR$4,1,16-Projects!$C$22+1),0)+IF(AND(Projects!$G$23="Yes",16&gt;=Projects!$C$23,16&lt;Projects!$C$23+Projects!$D$23),Projects!$B$23*INDEX(Curves!$B$4:$AR$4,1,16-Projects!$C$23+1),0)+IF(AND(Projects!$G$24="Yes",16&gt;=Projects!$C$24,16&lt;Projects!$C$24+Projects!$D$24),Projects!$B$24*INDEX(Curves!$B$4:$AR$4,1,16-Projects!$C$24+1),0)+IF(AND(Projects!$G$25="Yes",16&gt;=Projects!$C$25,16&lt;Projects!$C$25+Projects!$D$25),Projects!$B$25*INDEX(Curves!$B$4:$AR$4,1,16-Projects!$C$25+1),0)+IF(AND(Projects!$G$26="Yes",16&gt;=Projects!$C$26,16&lt;Projects!$C$26+Projects!$D$26),Projects!$B$26*INDEX(Curves!$B$4:$AR$4,1,16-Projects!$C$26+1),0)+IF(AND(Projects!$G$27="Yes",16&gt;=Projects!$C$27,16&lt;Projects!$C$27+Projects!$D$27),Projects!$B$27*INDEX(Curves!$B$4:$AR$4,1,16-Projects!$C$27+1),0)+IF(AND(Projects!$G$28="Yes",16&gt;=Projects!$C$28,16&lt;Projects!$C$28+Projects!$D$28),Projects!$B$28*INDEX(Curves!$B$4:$AR$4,1,16-Projects!$C$28+1),0)+IF(AND(Projects!$G$29="Yes",16&gt;=Projects!$C$29,16&lt;Projects!$C$29+Projects!$D$29),Projects!$B$29*INDEX(Curves!$B$4:$AR$4,1,16-Projects!$C$29+1),0)+IF(AND(Projects!$G$30="Yes",16&gt;=Projects!$C$30,16&lt;Projects!$C$30+Projects!$D$30),Projects!$B$30*INDEX(Curves!$B$4:$AR$4,1,16-Projects!$C$30+1),0)+IF(AND(Projects!$G$31="Yes",16&gt;=Projects!$C$31,16&lt;Projects!$C$31+Projects!$D$31),Projects!$B$31*INDEX(Curves!$B$4:$AR$4,1,16-Projects!$C$31+1),0)+IF(AND(Projects!$G$32="Yes",16&gt;=Projects!$C$32,16&lt;Projects!$C$32+Projects!$D$32),Projects!$B$32*INDEX(Curves!$B$4:$AR$4,1,16-Projects!$C$32+1),0)+IF(AND(Projects!$G$33="Yes",16&gt;=Projects!$C$33,16&lt;Projects!$C$33+Projects!$D$33),Projects!$B$33*INDEX(Curves!$B$4:$AR$4,1,16-Projects!$C$33+1),0)+IF(AND(Projects!$G$34="Yes",16&gt;=Projects!$C$34,16&lt;Projects!$C$34+Projects!$D$34),Projects!$B$34*INDEX(Curves!$B$4:$AR$4,1,16-Projects!$C$34+1),0)+IF(AND(Projects!$G$35="Yes",16&gt;=Projects!$C$35,16&lt;Projects!$C$35+Projects!$D$35),Projects!$B$35*INDEX(Curves!$B$4:$AR$4,1,16-Projects!$C$35+1),0)+IF(AND(Projects!$G$36="Yes",16&gt;=Projects!$C$36,16&lt;Projects!$C$36+Projects!$D$36),Projects!$B$36*INDEX(Curves!$B$4:$AR$4,1,16-Projects!$C$36+1),0)+IF(AND(Projects!$G$37="Yes",16&gt;=Projects!$C$37,16&lt;Projects!$C$37+Projects!$D$37),Projects!$B$37*INDEX(Curves!$B$4:$AR$4,1,16-Projects!$C$37+1),0)+IF(AND(Projects!$G$38="Yes",16&gt;=Projects!$C$38,16&lt;Projects!$C$38+Projects!$D$38),Projects!$B$38*INDEX(Curves!$B$4:$AR$4,1,16-Projects!$C$38+1),0)+IF(AND(Projects!$G$39="Yes",16&gt;=Projects!$C$39,16&lt;Projects!$C$39+Projects!$D$39),Projects!$B$39*INDEX(Curves!$B$4:$AR$4,1,16-Projects!$C$39+1),0)+IF(AND(Projects!$G$40="Yes",16&gt;=Projects!$C$40,16&lt;Projects!$C$40+Projects!$D$40),Projects!$B$40*INDEX(Curves!$B$4:$AR$4,1,16-Projects!$C$40+1),0)+IF(AND(Projects!$G$41="Yes",16&gt;=Projects!$C$41,16&lt;Projects!$C$41+Projects!$D$41),Projects!$B$41*INDEX(Curves!$B$4:$AR$4,1,16-Projects!$C$41+1),0)+IF(AND(Projects!$G$42="Yes",16&gt;=Projects!$C$42,16&lt;Projects!$C$42+Projects!$D$42),Projects!$B$42*INDEX(Curves!$B$4:$AR$4,1,16-Projects!$C$42+1),0)+IF(AND(Projects!$G$43="Yes",16&gt;=Projects!$C$43,16&lt;Projects!$C$43+Projects!$D$43),Projects!$B$43*INDEX(Curves!$B$4:$AR$4,1,16-Projects!$C$43+1),0)+IF(AND(Projects!$G$44="Yes",16&gt;=Projects!$C$44,16&lt;Projects!$C$44+Projects!$D$44),Projects!$B$44*INDEX(Curves!$B$4:$AR$4,1,16-Projects!$C$44+1),0)+IF(AND(Projects!$G$45="Yes",16&gt;=Projects!$C$45,16&lt;Projects!$C$45+Projects!$D$45),Projects!$B$45*INDEX(Curves!$B$4:$AR$4,1,16-Projects!$C$45+1),0)+IF(AND(Projects!$G$46="Yes",16&gt;=Projects!$C$46,16&lt;Projects!$C$46+Projects!$D$46),Projects!$B$46*INDEX(Curves!$B$4:$AR$4,1,16-Projects!$C$46+1),0)</f>
        <v/>
      </c>
      <c r="V96" s="688">
        <f>IF(AND(Projects!$G$17="Yes",17&gt;=Projects!$C$17,17&lt;Projects!$C$17+Projects!$D$17),Projects!$B$17*INDEX(Curves!$B$4:$AR$4,1,17-Projects!$C$17+1),0)+IF(AND(Projects!$G$18="Yes",17&gt;=Projects!$C$18,17&lt;Projects!$C$18+Projects!$D$18),Projects!$B$18*INDEX(Curves!$B$4:$AR$4,1,17-Projects!$C$18+1),0)+IF(AND(Projects!$G$19="Yes",17&gt;=Projects!$C$19,17&lt;Projects!$C$19+Projects!$D$19),Projects!$B$19*INDEX(Curves!$B$4:$AR$4,1,17-Projects!$C$19+1),0)+IF(AND(Projects!$G$20="Yes",17&gt;=Projects!$C$20,17&lt;Projects!$C$20+Projects!$D$20),Projects!$B$20*INDEX(Curves!$B$4:$AR$4,1,17-Projects!$C$20+1),0)+IF(AND(Projects!$G$21="Yes",17&gt;=Projects!$C$21,17&lt;Projects!$C$21+Projects!$D$21),Projects!$B$21*INDEX(Curves!$B$4:$AR$4,1,17-Projects!$C$21+1),0)+IF(AND(Projects!$G$22="Yes",17&gt;=Projects!$C$22,17&lt;Projects!$C$22+Projects!$D$22),Projects!$B$22*INDEX(Curves!$B$4:$AR$4,1,17-Projects!$C$22+1),0)+IF(AND(Projects!$G$23="Yes",17&gt;=Projects!$C$23,17&lt;Projects!$C$23+Projects!$D$23),Projects!$B$23*INDEX(Curves!$B$4:$AR$4,1,17-Projects!$C$23+1),0)+IF(AND(Projects!$G$24="Yes",17&gt;=Projects!$C$24,17&lt;Projects!$C$24+Projects!$D$24),Projects!$B$24*INDEX(Curves!$B$4:$AR$4,1,17-Projects!$C$24+1),0)+IF(AND(Projects!$G$25="Yes",17&gt;=Projects!$C$25,17&lt;Projects!$C$25+Projects!$D$25),Projects!$B$25*INDEX(Curves!$B$4:$AR$4,1,17-Projects!$C$25+1),0)+IF(AND(Projects!$G$26="Yes",17&gt;=Projects!$C$26,17&lt;Projects!$C$26+Projects!$D$26),Projects!$B$26*INDEX(Curves!$B$4:$AR$4,1,17-Projects!$C$26+1),0)+IF(AND(Projects!$G$27="Yes",17&gt;=Projects!$C$27,17&lt;Projects!$C$27+Projects!$D$27),Projects!$B$27*INDEX(Curves!$B$4:$AR$4,1,17-Projects!$C$27+1),0)+IF(AND(Projects!$G$28="Yes",17&gt;=Projects!$C$28,17&lt;Projects!$C$28+Projects!$D$28),Projects!$B$28*INDEX(Curves!$B$4:$AR$4,1,17-Projects!$C$28+1),0)+IF(AND(Projects!$G$29="Yes",17&gt;=Projects!$C$29,17&lt;Projects!$C$29+Projects!$D$29),Projects!$B$29*INDEX(Curves!$B$4:$AR$4,1,17-Projects!$C$29+1),0)+IF(AND(Projects!$G$30="Yes",17&gt;=Projects!$C$30,17&lt;Projects!$C$30+Projects!$D$30),Projects!$B$30*INDEX(Curves!$B$4:$AR$4,1,17-Projects!$C$30+1),0)+IF(AND(Projects!$G$31="Yes",17&gt;=Projects!$C$31,17&lt;Projects!$C$31+Projects!$D$31),Projects!$B$31*INDEX(Curves!$B$4:$AR$4,1,17-Projects!$C$31+1),0)+IF(AND(Projects!$G$32="Yes",17&gt;=Projects!$C$32,17&lt;Projects!$C$32+Projects!$D$32),Projects!$B$32*INDEX(Curves!$B$4:$AR$4,1,17-Projects!$C$32+1),0)+IF(AND(Projects!$G$33="Yes",17&gt;=Projects!$C$33,17&lt;Projects!$C$33+Projects!$D$33),Projects!$B$33*INDEX(Curves!$B$4:$AR$4,1,17-Projects!$C$33+1),0)+IF(AND(Projects!$G$34="Yes",17&gt;=Projects!$C$34,17&lt;Projects!$C$34+Projects!$D$34),Projects!$B$34*INDEX(Curves!$B$4:$AR$4,1,17-Projects!$C$34+1),0)+IF(AND(Projects!$G$35="Yes",17&gt;=Projects!$C$35,17&lt;Projects!$C$35+Projects!$D$35),Projects!$B$35*INDEX(Curves!$B$4:$AR$4,1,17-Projects!$C$35+1),0)+IF(AND(Projects!$G$36="Yes",17&gt;=Projects!$C$36,17&lt;Projects!$C$36+Projects!$D$36),Projects!$B$36*INDEX(Curves!$B$4:$AR$4,1,17-Projects!$C$36+1),0)+IF(AND(Projects!$G$37="Yes",17&gt;=Projects!$C$37,17&lt;Projects!$C$37+Projects!$D$37),Projects!$B$37*INDEX(Curves!$B$4:$AR$4,1,17-Projects!$C$37+1),0)+IF(AND(Projects!$G$38="Yes",17&gt;=Projects!$C$38,17&lt;Projects!$C$38+Projects!$D$38),Projects!$B$38*INDEX(Curves!$B$4:$AR$4,1,17-Projects!$C$38+1),0)+IF(AND(Projects!$G$39="Yes",17&gt;=Projects!$C$39,17&lt;Projects!$C$39+Projects!$D$39),Projects!$B$39*INDEX(Curves!$B$4:$AR$4,1,17-Projects!$C$39+1),0)+IF(AND(Projects!$G$40="Yes",17&gt;=Projects!$C$40,17&lt;Projects!$C$40+Projects!$D$40),Projects!$B$40*INDEX(Curves!$B$4:$AR$4,1,17-Projects!$C$40+1),0)+IF(AND(Projects!$G$41="Yes",17&gt;=Projects!$C$41,17&lt;Projects!$C$41+Projects!$D$41),Projects!$B$41*INDEX(Curves!$B$4:$AR$4,1,17-Projects!$C$41+1),0)+IF(AND(Projects!$G$42="Yes",17&gt;=Projects!$C$42,17&lt;Projects!$C$42+Projects!$D$42),Projects!$B$42*INDEX(Curves!$B$4:$AR$4,1,17-Projects!$C$42+1),0)+IF(AND(Projects!$G$43="Yes",17&gt;=Projects!$C$43,17&lt;Projects!$C$43+Projects!$D$43),Projects!$B$43*INDEX(Curves!$B$4:$AR$4,1,17-Projects!$C$43+1),0)+IF(AND(Projects!$G$44="Yes",17&gt;=Projects!$C$44,17&lt;Projects!$C$44+Projects!$D$44),Projects!$B$44*INDEX(Curves!$B$4:$AR$4,1,17-Projects!$C$44+1),0)+IF(AND(Projects!$G$45="Yes",17&gt;=Projects!$C$45,17&lt;Projects!$C$45+Projects!$D$45),Projects!$B$45*INDEX(Curves!$B$4:$AR$4,1,17-Projects!$C$45+1),0)+IF(AND(Projects!$G$46="Yes",17&gt;=Projects!$C$46,17&lt;Projects!$C$46+Projects!$D$46),Projects!$B$46*INDEX(Curves!$B$4:$AR$4,1,17-Projects!$C$46+1),0)</f>
        <v/>
      </c>
      <c r="W96" s="688">
        <f>IF(AND(Projects!$G$17="Yes",18&gt;=Projects!$C$17,18&lt;Projects!$C$17+Projects!$D$17),Projects!$B$17*INDEX(Curves!$B$4:$AR$4,1,18-Projects!$C$17+1),0)+IF(AND(Projects!$G$18="Yes",18&gt;=Projects!$C$18,18&lt;Projects!$C$18+Projects!$D$18),Projects!$B$18*INDEX(Curves!$B$4:$AR$4,1,18-Projects!$C$18+1),0)+IF(AND(Projects!$G$19="Yes",18&gt;=Projects!$C$19,18&lt;Projects!$C$19+Projects!$D$19),Projects!$B$19*INDEX(Curves!$B$4:$AR$4,1,18-Projects!$C$19+1),0)+IF(AND(Projects!$G$20="Yes",18&gt;=Projects!$C$20,18&lt;Projects!$C$20+Projects!$D$20),Projects!$B$20*INDEX(Curves!$B$4:$AR$4,1,18-Projects!$C$20+1),0)+IF(AND(Projects!$G$21="Yes",18&gt;=Projects!$C$21,18&lt;Projects!$C$21+Projects!$D$21),Projects!$B$21*INDEX(Curves!$B$4:$AR$4,1,18-Projects!$C$21+1),0)+IF(AND(Projects!$G$22="Yes",18&gt;=Projects!$C$22,18&lt;Projects!$C$22+Projects!$D$22),Projects!$B$22*INDEX(Curves!$B$4:$AR$4,1,18-Projects!$C$22+1),0)+IF(AND(Projects!$G$23="Yes",18&gt;=Projects!$C$23,18&lt;Projects!$C$23+Projects!$D$23),Projects!$B$23*INDEX(Curves!$B$4:$AR$4,1,18-Projects!$C$23+1),0)+IF(AND(Projects!$G$24="Yes",18&gt;=Projects!$C$24,18&lt;Projects!$C$24+Projects!$D$24),Projects!$B$24*INDEX(Curves!$B$4:$AR$4,1,18-Projects!$C$24+1),0)+IF(AND(Projects!$G$25="Yes",18&gt;=Projects!$C$25,18&lt;Projects!$C$25+Projects!$D$25),Projects!$B$25*INDEX(Curves!$B$4:$AR$4,1,18-Projects!$C$25+1),0)+IF(AND(Projects!$G$26="Yes",18&gt;=Projects!$C$26,18&lt;Projects!$C$26+Projects!$D$26),Projects!$B$26*INDEX(Curves!$B$4:$AR$4,1,18-Projects!$C$26+1),0)+IF(AND(Projects!$G$27="Yes",18&gt;=Projects!$C$27,18&lt;Projects!$C$27+Projects!$D$27),Projects!$B$27*INDEX(Curves!$B$4:$AR$4,1,18-Projects!$C$27+1),0)+IF(AND(Projects!$G$28="Yes",18&gt;=Projects!$C$28,18&lt;Projects!$C$28+Projects!$D$28),Projects!$B$28*INDEX(Curves!$B$4:$AR$4,1,18-Projects!$C$28+1),0)+IF(AND(Projects!$G$29="Yes",18&gt;=Projects!$C$29,18&lt;Projects!$C$29+Projects!$D$29),Projects!$B$29*INDEX(Curves!$B$4:$AR$4,1,18-Projects!$C$29+1),0)+IF(AND(Projects!$G$30="Yes",18&gt;=Projects!$C$30,18&lt;Projects!$C$30+Projects!$D$30),Projects!$B$30*INDEX(Curves!$B$4:$AR$4,1,18-Projects!$C$30+1),0)+IF(AND(Projects!$G$31="Yes",18&gt;=Projects!$C$31,18&lt;Projects!$C$31+Projects!$D$31),Projects!$B$31*INDEX(Curves!$B$4:$AR$4,1,18-Projects!$C$31+1),0)+IF(AND(Projects!$G$32="Yes",18&gt;=Projects!$C$32,18&lt;Projects!$C$32+Projects!$D$32),Projects!$B$32*INDEX(Curves!$B$4:$AR$4,1,18-Projects!$C$32+1),0)+IF(AND(Projects!$G$33="Yes",18&gt;=Projects!$C$33,18&lt;Projects!$C$33+Projects!$D$33),Projects!$B$33*INDEX(Curves!$B$4:$AR$4,1,18-Projects!$C$33+1),0)+IF(AND(Projects!$G$34="Yes",18&gt;=Projects!$C$34,18&lt;Projects!$C$34+Projects!$D$34),Projects!$B$34*INDEX(Curves!$B$4:$AR$4,1,18-Projects!$C$34+1),0)+IF(AND(Projects!$G$35="Yes",18&gt;=Projects!$C$35,18&lt;Projects!$C$35+Projects!$D$35),Projects!$B$35*INDEX(Curves!$B$4:$AR$4,1,18-Projects!$C$35+1),0)+IF(AND(Projects!$G$36="Yes",18&gt;=Projects!$C$36,18&lt;Projects!$C$36+Projects!$D$36),Projects!$B$36*INDEX(Curves!$B$4:$AR$4,1,18-Projects!$C$36+1),0)+IF(AND(Projects!$G$37="Yes",18&gt;=Projects!$C$37,18&lt;Projects!$C$37+Projects!$D$37),Projects!$B$37*INDEX(Curves!$B$4:$AR$4,1,18-Projects!$C$37+1),0)+IF(AND(Projects!$G$38="Yes",18&gt;=Projects!$C$38,18&lt;Projects!$C$38+Projects!$D$38),Projects!$B$38*INDEX(Curves!$B$4:$AR$4,1,18-Projects!$C$38+1),0)+IF(AND(Projects!$G$39="Yes",18&gt;=Projects!$C$39,18&lt;Projects!$C$39+Projects!$D$39),Projects!$B$39*INDEX(Curves!$B$4:$AR$4,1,18-Projects!$C$39+1),0)+IF(AND(Projects!$G$40="Yes",18&gt;=Projects!$C$40,18&lt;Projects!$C$40+Projects!$D$40),Projects!$B$40*INDEX(Curves!$B$4:$AR$4,1,18-Projects!$C$40+1),0)+IF(AND(Projects!$G$41="Yes",18&gt;=Projects!$C$41,18&lt;Projects!$C$41+Projects!$D$41),Projects!$B$41*INDEX(Curves!$B$4:$AR$4,1,18-Projects!$C$41+1),0)+IF(AND(Projects!$G$42="Yes",18&gt;=Projects!$C$42,18&lt;Projects!$C$42+Projects!$D$42),Projects!$B$42*INDEX(Curves!$B$4:$AR$4,1,18-Projects!$C$42+1),0)+IF(AND(Projects!$G$43="Yes",18&gt;=Projects!$C$43,18&lt;Projects!$C$43+Projects!$D$43),Projects!$B$43*INDEX(Curves!$B$4:$AR$4,1,18-Projects!$C$43+1),0)+IF(AND(Projects!$G$44="Yes",18&gt;=Projects!$C$44,18&lt;Projects!$C$44+Projects!$D$44),Projects!$B$44*INDEX(Curves!$B$4:$AR$4,1,18-Projects!$C$44+1),0)+IF(AND(Projects!$G$45="Yes",18&gt;=Projects!$C$45,18&lt;Projects!$C$45+Projects!$D$45),Projects!$B$45*INDEX(Curves!$B$4:$AR$4,1,18-Projects!$C$45+1),0)+IF(AND(Projects!$G$46="Yes",18&gt;=Projects!$C$46,18&lt;Projects!$C$46+Projects!$D$46),Projects!$B$46*INDEX(Curves!$B$4:$AR$4,1,18-Projects!$C$46+1),0)</f>
        <v/>
      </c>
      <c r="X96" s="688">
        <f>IF(AND(Projects!$G$17="Yes",19&gt;=Projects!$C$17,19&lt;Projects!$C$17+Projects!$D$17),Projects!$B$17*INDEX(Curves!$B$4:$AR$4,1,19-Projects!$C$17+1),0)+IF(AND(Projects!$G$18="Yes",19&gt;=Projects!$C$18,19&lt;Projects!$C$18+Projects!$D$18),Projects!$B$18*INDEX(Curves!$B$4:$AR$4,1,19-Projects!$C$18+1),0)+IF(AND(Projects!$G$19="Yes",19&gt;=Projects!$C$19,19&lt;Projects!$C$19+Projects!$D$19),Projects!$B$19*INDEX(Curves!$B$4:$AR$4,1,19-Projects!$C$19+1),0)+IF(AND(Projects!$G$20="Yes",19&gt;=Projects!$C$20,19&lt;Projects!$C$20+Projects!$D$20),Projects!$B$20*INDEX(Curves!$B$4:$AR$4,1,19-Projects!$C$20+1),0)+IF(AND(Projects!$G$21="Yes",19&gt;=Projects!$C$21,19&lt;Projects!$C$21+Projects!$D$21),Projects!$B$21*INDEX(Curves!$B$4:$AR$4,1,19-Projects!$C$21+1),0)+IF(AND(Projects!$G$22="Yes",19&gt;=Projects!$C$22,19&lt;Projects!$C$22+Projects!$D$22),Projects!$B$22*INDEX(Curves!$B$4:$AR$4,1,19-Projects!$C$22+1),0)+IF(AND(Projects!$G$23="Yes",19&gt;=Projects!$C$23,19&lt;Projects!$C$23+Projects!$D$23),Projects!$B$23*INDEX(Curves!$B$4:$AR$4,1,19-Projects!$C$23+1),0)+IF(AND(Projects!$G$24="Yes",19&gt;=Projects!$C$24,19&lt;Projects!$C$24+Projects!$D$24),Projects!$B$24*INDEX(Curves!$B$4:$AR$4,1,19-Projects!$C$24+1),0)+IF(AND(Projects!$G$25="Yes",19&gt;=Projects!$C$25,19&lt;Projects!$C$25+Projects!$D$25),Projects!$B$25*INDEX(Curves!$B$4:$AR$4,1,19-Projects!$C$25+1),0)+IF(AND(Projects!$G$26="Yes",19&gt;=Projects!$C$26,19&lt;Projects!$C$26+Projects!$D$26),Projects!$B$26*INDEX(Curves!$B$4:$AR$4,1,19-Projects!$C$26+1),0)+IF(AND(Projects!$G$27="Yes",19&gt;=Projects!$C$27,19&lt;Projects!$C$27+Projects!$D$27),Projects!$B$27*INDEX(Curves!$B$4:$AR$4,1,19-Projects!$C$27+1),0)+IF(AND(Projects!$G$28="Yes",19&gt;=Projects!$C$28,19&lt;Projects!$C$28+Projects!$D$28),Projects!$B$28*INDEX(Curves!$B$4:$AR$4,1,19-Projects!$C$28+1),0)+IF(AND(Projects!$G$29="Yes",19&gt;=Projects!$C$29,19&lt;Projects!$C$29+Projects!$D$29),Projects!$B$29*INDEX(Curves!$B$4:$AR$4,1,19-Projects!$C$29+1),0)+IF(AND(Projects!$G$30="Yes",19&gt;=Projects!$C$30,19&lt;Projects!$C$30+Projects!$D$30),Projects!$B$30*INDEX(Curves!$B$4:$AR$4,1,19-Projects!$C$30+1),0)+IF(AND(Projects!$G$31="Yes",19&gt;=Projects!$C$31,19&lt;Projects!$C$31+Projects!$D$31),Projects!$B$31*INDEX(Curves!$B$4:$AR$4,1,19-Projects!$C$31+1),0)+IF(AND(Projects!$G$32="Yes",19&gt;=Projects!$C$32,19&lt;Projects!$C$32+Projects!$D$32),Projects!$B$32*INDEX(Curves!$B$4:$AR$4,1,19-Projects!$C$32+1),0)+IF(AND(Projects!$G$33="Yes",19&gt;=Projects!$C$33,19&lt;Projects!$C$33+Projects!$D$33),Projects!$B$33*INDEX(Curves!$B$4:$AR$4,1,19-Projects!$C$33+1),0)+IF(AND(Projects!$G$34="Yes",19&gt;=Projects!$C$34,19&lt;Projects!$C$34+Projects!$D$34),Projects!$B$34*INDEX(Curves!$B$4:$AR$4,1,19-Projects!$C$34+1),0)+IF(AND(Projects!$G$35="Yes",19&gt;=Projects!$C$35,19&lt;Projects!$C$35+Projects!$D$35),Projects!$B$35*INDEX(Curves!$B$4:$AR$4,1,19-Projects!$C$35+1),0)+IF(AND(Projects!$G$36="Yes",19&gt;=Projects!$C$36,19&lt;Projects!$C$36+Projects!$D$36),Projects!$B$36*INDEX(Curves!$B$4:$AR$4,1,19-Projects!$C$36+1),0)+IF(AND(Projects!$G$37="Yes",19&gt;=Projects!$C$37,19&lt;Projects!$C$37+Projects!$D$37),Projects!$B$37*INDEX(Curves!$B$4:$AR$4,1,19-Projects!$C$37+1),0)+IF(AND(Projects!$G$38="Yes",19&gt;=Projects!$C$38,19&lt;Projects!$C$38+Projects!$D$38),Projects!$B$38*INDEX(Curves!$B$4:$AR$4,1,19-Projects!$C$38+1),0)+IF(AND(Projects!$G$39="Yes",19&gt;=Projects!$C$39,19&lt;Projects!$C$39+Projects!$D$39),Projects!$B$39*INDEX(Curves!$B$4:$AR$4,1,19-Projects!$C$39+1),0)+IF(AND(Projects!$G$40="Yes",19&gt;=Projects!$C$40,19&lt;Projects!$C$40+Projects!$D$40),Projects!$B$40*INDEX(Curves!$B$4:$AR$4,1,19-Projects!$C$40+1),0)+IF(AND(Projects!$G$41="Yes",19&gt;=Projects!$C$41,19&lt;Projects!$C$41+Projects!$D$41),Projects!$B$41*INDEX(Curves!$B$4:$AR$4,1,19-Projects!$C$41+1),0)+IF(AND(Projects!$G$42="Yes",19&gt;=Projects!$C$42,19&lt;Projects!$C$42+Projects!$D$42),Projects!$B$42*INDEX(Curves!$B$4:$AR$4,1,19-Projects!$C$42+1),0)+IF(AND(Projects!$G$43="Yes",19&gt;=Projects!$C$43,19&lt;Projects!$C$43+Projects!$D$43),Projects!$B$43*INDEX(Curves!$B$4:$AR$4,1,19-Projects!$C$43+1),0)+IF(AND(Projects!$G$44="Yes",19&gt;=Projects!$C$44,19&lt;Projects!$C$44+Projects!$D$44),Projects!$B$44*INDEX(Curves!$B$4:$AR$4,1,19-Projects!$C$44+1),0)+IF(AND(Projects!$G$45="Yes",19&gt;=Projects!$C$45,19&lt;Projects!$C$45+Projects!$D$45),Projects!$B$45*INDEX(Curves!$B$4:$AR$4,1,19-Projects!$C$45+1),0)+IF(AND(Projects!$G$46="Yes",19&gt;=Projects!$C$46,19&lt;Projects!$C$46+Projects!$D$46),Projects!$B$46*INDEX(Curves!$B$4:$AR$4,1,19-Projects!$C$46+1),0)</f>
        <v/>
      </c>
      <c r="Y96" s="688">
        <f>IF(AND(Projects!$G$17="Yes",20&gt;=Projects!$C$17,20&lt;Projects!$C$17+Projects!$D$17),Projects!$B$17*INDEX(Curves!$B$4:$AR$4,1,20-Projects!$C$17+1),0)+IF(AND(Projects!$G$18="Yes",20&gt;=Projects!$C$18,20&lt;Projects!$C$18+Projects!$D$18),Projects!$B$18*INDEX(Curves!$B$4:$AR$4,1,20-Projects!$C$18+1),0)+IF(AND(Projects!$G$19="Yes",20&gt;=Projects!$C$19,20&lt;Projects!$C$19+Projects!$D$19),Projects!$B$19*INDEX(Curves!$B$4:$AR$4,1,20-Projects!$C$19+1),0)+IF(AND(Projects!$G$20="Yes",20&gt;=Projects!$C$20,20&lt;Projects!$C$20+Projects!$D$20),Projects!$B$20*INDEX(Curves!$B$4:$AR$4,1,20-Projects!$C$20+1),0)+IF(AND(Projects!$G$21="Yes",20&gt;=Projects!$C$21,20&lt;Projects!$C$21+Projects!$D$21),Projects!$B$21*INDEX(Curves!$B$4:$AR$4,1,20-Projects!$C$21+1),0)+IF(AND(Projects!$G$22="Yes",20&gt;=Projects!$C$22,20&lt;Projects!$C$22+Projects!$D$22),Projects!$B$22*INDEX(Curves!$B$4:$AR$4,1,20-Projects!$C$22+1),0)+IF(AND(Projects!$G$23="Yes",20&gt;=Projects!$C$23,20&lt;Projects!$C$23+Projects!$D$23),Projects!$B$23*INDEX(Curves!$B$4:$AR$4,1,20-Projects!$C$23+1),0)+IF(AND(Projects!$G$24="Yes",20&gt;=Projects!$C$24,20&lt;Projects!$C$24+Projects!$D$24),Projects!$B$24*INDEX(Curves!$B$4:$AR$4,1,20-Projects!$C$24+1),0)+IF(AND(Projects!$G$25="Yes",20&gt;=Projects!$C$25,20&lt;Projects!$C$25+Projects!$D$25),Projects!$B$25*INDEX(Curves!$B$4:$AR$4,1,20-Projects!$C$25+1),0)+IF(AND(Projects!$G$26="Yes",20&gt;=Projects!$C$26,20&lt;Projects!$C$26+Projects!$D$26),Projects!$B$26*INDEX(Curves!$B$4:$AR$4,1,20-Projects!$C$26+1),0)+IF(AND(Projects!$G$27="Yes",20&gt;=Projects!$C$27,20&lt;Projects!$C$27+Projects!$D$27),Projects!$B$27*INDEX(Curves!$B$4:$AR$4,1,20-Projects!$C$27+1),0)+IF(AND(Projects!$G$28="Yes",20&gt;=Projects!$C$28,20&lt;Projects!$C$28+Projects!$D$28),Projects!$B$28*INDEX(Curves!$B$4:$AR$4,1,20-Projects!$C$28+1),0)+IF(AND(Projects!$G$29="Yes",20&gt;=Projects!$C$29,20&lt;Projects!$C$29+Projects!$D$29),Projects!$B$29*INDEX(Curves!$B$4:$AR$4,1,20-Projects!$C$29+1),0)+IF(AND(Projects!$G$30="Yes",20&gt;=Projects!$C$30,20&lt;Projects!$C$30+Projects!$D$30),Projects!$B$30*INDEX(Curves!$B$4:$AR$4,1,20-Projects!$C$30+1),0)+IF(AND(Projects!$G$31="Yes",20&gt;=Projects!$C$31,20&lt;Projects!$C$31+Projects!$D$31),Projects!$B$31*INDEX(Curves!$B$4:$AR$4,1,20-Projects!$C$31+1),0)+IF(AND(Projects!$G$32="Yes",20&gt;=Projects!$C$32,20&lt;Projects!$C$32+Projects!$D$32),Projects!$B$32*INDEX(Curves!$B$4:$AR$4,1,20-Projects!$C$32+1),0)+IF(AND(Projects!$G$33="Yes",20&gt;=Projects!$C$33,20&lt;Projects!$C$33+Projects!$D$33),Projects!$B$33*INDEX(Curves!$B$4:$AR$4,1,20-Projects!$C$33+1),0)+IF(AND(Projects!$G$34="Yes",20&gt;=Projects!$C$34,20&lt;Projects!$C$34+Projects!$D$34),Projects!$B$34*INDEX(Curves!$B$4:$AR$4,1,20-Projects!$C$34+1),0)+IF(AND(Projects!$G$35="Yes",20&gt;=Projects!$C$35,20&lt;Projects!$C$35+Projects!$D$35),Projects!$B$35*INDEX(Curves!$B$4:$AR$4,1,20-Projects!$C$35+1),0)+IF(AND(Projects!$G$36="Yes",20&gt;=Projects!$C$36,20&lt;Projects!$C$36+Projects!$D$36),Projects!$B$36*INDEX(Curves!$B$4:$AR$4,1,20-Projects!$C$36+1),0)+IF(AND(Projects!$G$37="Yes",20&gt;=Projects!$C$37,20&lt;Projects!$C$37+Projects!$D$37),Projects!$B$37*INDEX(Curves!$B$4:$AR$4,1,20-Projects!$C$37+1),0)+IF(AND(Projects!$G$38="Yes",20&gt;=Projects!$C$38,20&lt;Projects!$C$38+Projects!$D$38),Projects!$B$38*INDEX(Curves!$B$4:$AR$4,1,20-Projects!$C$38+1),0)+IF(AND(Projects!$G$39="Yes",20&gt;=Projects!$C$39,20&lt;Projects!$C$39+Projects!$D$39),Projects!$B$39*INDEX(Curves!$B$4:$AR$4,1,20-Projects!$C$39+1),0)+IF(AND(Projects!$G$40="Yes",20&gt;=Projects!$C$40,20&lt;Projects!$C$40+Projects!$D$40),Projects!$B$40*INDEX(Curves!$B$4:$AR$4,1,20-Projects!$C$40+1),0)+IF(AND(Projects!$G$41="Yes",20&gt;=Projects!$C$41,20&lt;Projects!$C$41+Projects!$D$41),Projects!$B$41*INDEX(Curves!$B$4:$AR$4,1,20-Projects!$C$41+1),0)+IF(AND(Projects!$G$42="Yes",20&gt;=Projects!$C$42,20&lt;Projects!$C$42+Projects!$D$42),Projects!$B$42*INDEX(Curves!$B$4:$AR$4,1,20-Projects!$C$42+1),0)+IF(AND(Projects!$G$43="Yes",20&gt;=Projects!$C$43,20&lt;Projects!$C$43+Projects!$D$43),Projects!$B$43*INDEX(Curves!$B$4:$AR$4,1,20-Projects!$C$43+1),0)+IF(AND(Projects!$G$44="Yes",20&gt;=Projects!$C$44,20&lt;Projects!$C$44+Projects!$D$44),Projects!$B$44*INDEX(Curves!$B$4:$AR$4,1,20-Projects!$C$44+1),0)+IF(AND(Projects!$G$45="Yes",20&gt;=Projects!$C$45,20&lt;Projects!$C$45+Projects!$D$45),Projects!$B$45*INDEX(Curves!$B$4:$AR$4,1,20-Projects!$C$45+1),0)+IF(AND(Projects!$G$46="Yes",20&gt;=Projects!$C$46,20&lt;Projects!$C$46+Projects!$D$46),Projects!$B$46*INDEX(Curves!$B$4:$AR$4,1,20-Projects!$C$46+1),0)</f>
        <v/>
      </c>
      <c r="Z96" s="688">
        <f>IF(AND(Projects!$G$17="Yes",21&gt;=Projects!$C$17,21&lt;Projects!$C$17+Projects!$D$17),Projects!$B$17*INDEX(Curves!$B$4:$AR$4,1,21-Projects!$C$17+1),0)+IF(AND(Projects!$G$18="Yes",21&gt;=Projects!$C$18,21&lt;Projects!$C$18+Projects!$D$18),Projects!$B$18*INDEX(Curves!$B$4:$AR$4,1,21-Projects!$C$18+1),0)+IF(AND(Projects!$G$19="Yes",21&gt;=Projects!$C$19,21&lt;Projects!$C$19+Projects!$D$19),Projects!$B$19*INDEX(Curves!$B$4:$AR$4,1,21-Projects!$C$19+1),0)+IF(AND(Projects!$G$20="Yes",21&gt;=Projects!$C$20,21&lt;Projects!$C$20+Projects!$D$20),Projects!$B$20*INDEX(Curves!$B$4:$AR$4,1,21-Projects!$C$20+1),0)+IF(AND(Projects!$G$21="Yes",21&gt;=Projects!$C$21,21&lt;Projects!$C$21+Projects!$D$21),Projects!$B$21*INDEX(Curves!$B$4:$AR$4,1,21-Projects!$C$21+1),0)+IF(AND(Projects!$G$22="Yes",21&gt;=Projects!$C$22,21&lt;Projects!$C$22+Projects!$D$22),Projects!$B$22*INDEX(Curves!$B$4:$AR$4,1,21-Projects!$C$22+1),0)+IF(AND(Projects!$G$23="Yes",21&gt;=Projects!$C$23,21&lt;Projects!$C$23+Projects!$D$23),Projects!$B$23*INDEX(Curves!$B$4:$AR$4,1,21-Projects!$C$23+1),0)+IF(AND(Projects!$G$24="Yes",21&gt;=Projects!$C$24,21&lt;Projects!$C$24+Projects!$D$24),Projects!$B$24*INDEX(Curves!$B$4:$AR$4,1,21-Projects!$C$24+1),0)+IF(AND(Projects!$G$25="Yes",21&gt;=Projects!$C$25,21&lt;Projects!$C$25+Projects!$D$25),Projects!$B$25*INDEX(Curves!$B$4:$AR$4,1,21-Projects!$C$25+1),0)+IF(AND(Projects!$G$26="Yes",21&gt;=Projects!$C$26,21&lt;Projects!$C$26+Projects!$D$26),Projects!$B$26*INDEX(Curves!$B$4:$AR$4,1,21-Projects!$C$26+1),0)+IF(AND(Projects!$G$27="Yes",21&gt;=Projects!$C$27,21&lt;Projects!$C$27+Projects!$D$27),Projects!$B$27*INDEX(Curves!$B$4:$AR$4,1,21-Projects!$C$27+1),0)+IF(AND(Projects!$G$28="Yes",21&gt;=Projects!$C$28,21&lt;Projects!$C$28+Projects!$D$28),Projects!$B$28*INDEX(Curves!$B$4:$AR$4,1,21-Projects!$C$28+1),0)+IF(AND(Projects!$G$29="Yes",21&gt;=Projects!$C$29,21&lt;Projects!$C$29+Projects!$D$29),Projects!$B$29*INDEX(Curves!$B$4:$AR$4,1,21-Projects!$C$29+1),0)+IF(AND(Projects!$G$30="Yes",21&gt;=Projects!$C$30,21&lt;Projects!$C$30+Projects!$D$30),Projects!$B$30*INDEX(Curves!$B$4:$AR$4,1,21-Projects!$C$30+1),0)+IF(AND(Projects!$G$31="Yes",21&gt;=Projects!$C$31,21&lt;Projects!$C$31+Projects!$D$31),Projects!$B$31*INDEX(Curves!$B$4:$AR$4,1,21-Projects!$C$31+1),0)+IF(AND(Projects!$G$32="Yes",21&gt;=Projects!$C$32,21&lt;Projects!$C$32+Projects!$D$32),Projects!$B$32*INDEX(Curves!$B$4:$AR$4,1,21-Projects!$C$32+1),0)+IF(AND(Projects!$G$33="Yes",21&gt;=Projects!$C$33,21&lt;Projects!$C$33+Projects!$D$33),Projects!$B$33*INDEX(Curves!$B$4:$AR$4,1,21-Projects!$C$33+1),0)+IF(AND(Projects!$G$34="Yes",21&gt;=Projects!$C$34,21&lt;Projects!$C$34+Projects!$D$34),Projects!$B$34*INDEX(Curves!$B$4:$AR$4,1,21-Projects!$C$34+1),0)+IF(AND(Projects!$G$35="Yes",21&gt;=Projects!$C$35,21&lt;Projects!$C$35+Projects!$D$35),Projects!$B$35*INDEX(Curves!$B$4:$AR$4,1,21-Projects!$C$35+1),0)+IF(AND(Projects!$G$36="Yes",21&gt;=Projects!$C$36,21&lt;Projects!$C$36+Projects!$D$36),Projects!$B$36*INDEX(Curves!$B$4:$AR$4,1,21-Projects!$C$36+1),0)+IF(AND(Projects!$G$37="Yes",21&gt;=Projects!$C$37,21&lt;Projects!$C$37+Projects!$D$37),Projects!$B$37*INDEX(Curves!$B$4:$AR$4,1,21-Projects!$C$37+1),0)+IF(AND(Projects!$G$38="Yes",21&gt;=Projects!$C$38,21&lt;Projects!$C$38+Projects!$D$38),Projects!$B$38*INDEX(Curves!$B$4:$AR$4,1,21-Projects!$C$38+1),0)+IF(AND(Projects!$G$39="Yes",21&gt;=Projects!$C$39,21&lt;Projects!$C$39+Projects!$D$39),Projects!$B$39*INDEX(Curves!$B$4:$AR$4,1,21-Projects!$C$39+1),0)+IF(AND(Projects!$G$40="Yes",21&gt;=Projects!$C$40,21&lt;Projects!$C$40+Projects!$D$40),Projects!$B$40*INDEX(Curves!$B$4:$AR$4,1,21-Projects!$C$40+1),0)+IF(AND(Projects!$G$41="Yes",21&gt;=Projects!$C$41,21&lt;Projects!$C$41+Projects!$D$41),Projects!$B$41*INDEX(Curves!$B$4:$AR$4,1,21-Projects!$C$41+1),0)+IF(AND(Projects!$G$42="Yes",21&gt;=Projects!$C$42,21&lt;Projects!$C$42+Projects!$D$42),Projects!$B$42*INDEX(Curves!$B$4:$AR$4,1,21-Projects!$C$42+1),0)+IF(AND(Projects!$G$43="Yes",21&gt;=Projects!$C$43,21&lt;Projects!$C$43+Projects!$D$43),Projects!$B$43*INDEX(Curves!$B$4:$AR$4,1,21-Projects!$C$43+1),0)+IF(AND(Projects!$G$44="Yes",21&gt;=Projects!$C$44,21&lt;Projects!$C$44+Projects!$D$44),Projects!$B$44*INDEX(Curves!$B$4:$AR$4,1,21-Projects!$C$44+1),0)+IF(AND(Projects!$G$45="Yes",21&gt;=Projects!$C$45,21&lt;Projects!$C$45+Projects!$D$45),Projects!$B$45*INDEX(Curves!$B$4:$AR$4,1,21-Projects!$C$45+1),0)+IF(AND(Projects!$G$46="Yes",21&gt;=Projects!$C$46,21&lt;Projects!$C$46+Projects!$D$46),Projects!$B$46*INDEX(Curves!$B$4:$AR$4,1,21-Projects!$C$46+1),0)</f>
        <v/>
      </c>
      <c r="AA96" s="688">
        <f>IF(AND(Projects!$G$17="Yes",22&gt;=Projects!$C$17,22&lt;Projects!$C$17+Projects!$D$17),Projects!$B$17*INDEX(Curves!$B$4:$AR$4,1,22-Projects!$C$17+1),0)+IF(AND(Projects!$G$18="Yes",22&gt;=Projects!$C$18,22&lt;Projects!$C$18+Projects!$D$18),Projects!$B$18*INDEX(Curves!$B$4:$AR$4,1,22-Projects!$C$18+1),0)+IF(AND(Projects!$G$19="Yes",22&gt;=Projects!$C$19,22&lt;Projects!$C$19+Projects!$D$19),Projects!$B$19*INDEX(Curves!$B$4:$AR$4,1,22-Projects!$C$19+1),0)+IF(AND(Projects!$G$20="Yes",22&gt;=Projects!$C$20,22&lt;Projects!$C$20+Projects!$D$20),Projects!$B$20*INDEX(Curves!$B$4:$AR$4,1,22-Projects!$C$20+1),0)+IF(AND(Projects!$G$21="Yes",22&gt;=Projects!$C$21,22&lt;Projects!$C$21+Projects!$D$21),Projects!$B$21*INDEX(Curves!$B$4:$AR$4,1,22-Projects!$C$21+1),0)+IF(AND(Projects!$G$22="Yes",22&gt;=Projects!$C$22,22&lt;Projects!$C$22+Projects!$D$22),Projects!$B$22*INDEX(Curves!$B$4:$AR$4,1,22-Projects!$C$22+1),0)+IF(AND(Projects!$G$23="Yes",22&gt;=Projects!$C$23,22&lt;Projects!$C$23+Projects!$D$23),Projects!$B$23*INDEX(Curves!$B$4:$AR$4,1,22-Projects!$C$23+1),0)+IF(AND(Projects!$G$24="Yes",22&gt;=Projects!$C$24,22&lt;Projects!$C$24+Projects!$D$24),Projects!$B$24*INDEX(Curves!$B$4:$AR$4,1,22-Projects!$C$24+1),0)+IF(AND(Projects!$G$25="Yes",22&gt;=Projects!$C$25,22&lt;Projects!$C$25+Projects!$D$25),Projects!$B$25*INDEX(Curves!$B$4:$AR$4,1,22-Projects!$C$25+1),0)+IF(AND(Projects!$G$26="Yes",22&gt;=Projects!$C$26,22&lt;Projects!$C$26+Projects!$D$26),Projects!$B$26*INDEX(Curves!$B$4:$AR$4,1,22-Projects!$C$26+1),0)+IF(AND(Projects!$G$27="Yes",22&gt;=Projects!$C$27,22&lt;Projects!$C$27+Projects!$D$27),Projects!$B$27*INDEX(Curves!$B$4:$AR$4,1,22-Projects!$C$27+1),0)+IF(AND(Projects!$G$28="Yes",22&gt;=Projects!$C$28,22&lt;Projects!$C$28+Projects!$D$28),Projects!$B$28*INDEX(Curves!$B$4:$AR$4,1,22-Projects!$C$28+1),0)+IF(AND(Projects!$G$29="Yes",22&gt;=Projects!$C$29,22&lt;Projects!$C$29+Projects!$D$29),Projects!$B$29*INDEX(Curves!$B$4:$AR$4,1,22-Projects!$C$29+1),0)+IF(AND(Projects!$G$30="Yes",22&gt;=Projects!$C$30,22&lt;Projects!$C$30+Projects!$D$30),Projects!$B$30*INDEX(Curves!$B$4:$AR$4,1,22-Projects!$C$30+1),0)+IF(AND(Projects!$G$31="Yes",22&gt;=Projects!$C$31,22&lt;Projects!$C$31+Projects!$D$31),Projects!$B$31*INDEX(Curves!$B$4:$AR$4,1,22-Projects!$C$31+1),0)+IF(AND(Projects!$G$32="Yes",22&gt;=Projects!$C$32,22&lt;Projects!$C$32+Projects!$D$32),Projects!$B$32*INDEX(Curves!$B$4:$AR$4,1,22-Projects!$C$32+1),0)+IF(AND(Projects!$G$33="Yes",22&gt;=Projects!$C$33,22&lt;Projects!$C$33+Projects!$D$33),Projects!$B$33*INDEX(Curves!$B$4:$AR$4,1,22-Projects!$C$33+1),0)+IF(AND(Projects!$G$34="Yes",22&gt;=Projects!$C$34,22&lt;Projects!$C$34+Projects!$D$34),Projects!$B$34*INDEX(Curves!$B$4:$AR$4,1,22-Projects!$C$34+1),0)+IF(AND(Projects!$G$35="Yes",22&gt;=Projects!$C$35,22&lt;Projects!$C$35+Projects!$D$35),Projects!$B$35*INDEX(Curves!$B$4:$AR$4,1,22-Projects!$C$35+1),0)+IF(AND(Projects!$G$36="Yes",22&gt;=Projects!$C$36,22&lt;Projects!$C$36+Projects!$D$36),Projects!$B$36*INDEX(Curves!$B$4:$AR$4,1,22-Projects!$C$36+1),0)+IF(AND(Projects!$G$37="Yes",22&gt;=Projects!$C$37,22&lt;Projects!$C$37+Projects!$D$37),Projects!$B$37*INDEX(Curves!$B$4:$AR$4,1,22-Projects!$C$37+1),0)+IF(AND(Projects!$G$38="Yes",22&gt;=Projects!$C$38,22&lt;Projects!$C$38+Projects!$D$38),Projects!$B$38*INDEX(Curves!$B$4:$AR$4,1,22-Projects!$C$38+1),0)+IF(AND(Projects!$G$39="Yes",22&gt;=Projects!$C$39,22&lt;Projects!$C$39+Projects!$D$39),Projects!$B$39*INDEX(Curves!$B$4:$AR$4,1,22-Projects!$C$39+1),0)+IF(AND(Projects!$G$40="Yes",22&gt;=Projects!$C$40,22&lt;Projects!$C$40+Projects!$D$40),Projects!$B$40*INDEX(Curves!$B$4:$AR$4,1,22-Projects!$C$40+1),0)+IF(AND(Projects!$G$41="Yes",22&gt;=Projects!$C$41,22&lt;Projects!$C$41+Projects!$D$41),Projects!$B$41*INDEX(Curves!$B$4:$AR$4,1,22-Projects!$C$41+1),0)+IF(AND(Projects!$G$42="Yes",22&gt;=Projects!$C$42,22&lt;Projects!$C$42+Projects!$D$42),Projects!$B$42*INDEX(Curves!$B$4:$AR$4,1,22-Projects!$C$42+1),0)+IF(AND(Projects!$G$43="Yes",22&gt;=Projects!$C$43,22&lt;Projects!$C$43+Projects!$D$43),Projects!$B$43*INDEX(Curves!$B$4:$AR$4,1,22-Projects!$C$43+1),0)+IF(AND(Projects!$G$44="Yes",22&gt;=Projects!$C$44,22&lt;Projects!$C$44+Projects!$D$44),Projects!$B$44*INDEX(Curves!$B$4:$AR$4,1,22-Projects!$C$44+1),0)+IF(AND(Projects!$G$45="Yes",22&gt;=Projects!$C$45,22&lt;Projects!$C$45+Projects!$D$45),Projects!$B$45*INDEX(Curves!$B$4:$AR$4,1,22-Projects!$C$45+1),0)+IF(AND(Projects!$G$46="Yes",22&gt;=Projects!$C$46,22&lt;Projects!$C$46+Projects!$D$46),Projects!$B$46*INDEX(Curves!$B$4:$AR$4,1,22-Projects!$C$46+1),0)</f>
        <v/>
      </c>
      <c r="AB96" s="688">
        <f>IF(AND(Projects!$G$17="Yes",23&gt;=Projects!$C$17,23&lt;Projects!$C$17+Projects!$D$17),Projects!$B$17*INDEX(Curves!$B$4:$AR$4,1,23-Projects!$C$17+1),0)+IF(AND(Projects!$G$18="Yes",23&gt;=Projects!$C$18,23&lt;Projects!$C$18+Projects!$D$18),Projects!$B$18*INDEX(Curves!$B$4:$AR$4,1,23-Projects!$C$18+1),0)+IF(AND(Projects!$G$19="Yes",23&gt;=Projects!$C$19,23&lt;Projects!$C$19+Projects!$D$19),Projects!$B$19*INDEX(Curves!$B$4:$AR$4,1,23-Projects!$C$19+1),0)+IF(AND(Projects!$G$20="Yes",23&gt;=Projects!$C$20,23&lt;Projects!$C$20+Projects!$D$20),Projects!$B$20*INDEX(Curves!$B$4:$AR$4,1,23-Projects!$C$20+1),0)+IF(AND(Projects!$G$21="Yes",23&gt;=Projects!$C$21,23&lt;Projects!$C$21+Projects!$D$21),Projects!$B$21*INDEX(Curves!$B$4:$AR$4,1,23-Projects!$C$21+1),0)+IF(AND(Projects!$G$22="Yes",23&gt;=Projects!$C$22,23&lt;Projects!$C$22+Projects!$D$22),Projects!$B$22*INDEX(Curves!$B$4:$AR$4,1,23-Projects!$C$22+1),0)+IF(AND(Projects!$G$23="Yes",23&gt;=Projects!$C$23,23&lt;Projects!$C$23+Projects!$D$23),Projects!$B$23*INDEX(Curves!$B$4:$AR$4,1,23-Projects!$C$23+1),0)+IF(AND(Projects!$G$24="Yes",23&gt;=Projects!$C$24,23&lt;Projects!$C$24+Projects!$D$24),Projects!$B$24*INDEX(Curves!$B$4:$AR$4,1,23-Projects!$C$24+1),0)+IF(AND(Projects!$G$25="Yes",23&gt;=Projects!$C$25,23&lt;Projects!$C$25+Projects!$D$25),Projects!$B$25*INDEX(Curves!$B$4:$AR$4,1,23-Projects!$C$25+1),0)+IF(AND(Projects!$G$26="Yes",23&gt;=Projects!$C$26,23&lt;Projects!$C$26+Projects!$D$26),Projects!$B$26*INDEX(Curves!$B$4:$AR$4,1,23-Projects!$C$26+1),0)+IF(AND(Projects!$G$27="Yes",23&gt;=Projects!$C$27,23&lt;Projects!$C$27+Projects!$D$27),Projects!$B$27*INDEX(Curves!$B$4:$AR$4,1,23-Projects!$C$27+1),0)+IF(AND(Projects!$G$28="Yes",23&gt;=Projects!$C$28,23&lt;Projects!$C$28+Projects!$D$28),Projects!$B$28*INDEX(Curves!$B$4:$AR$4,1,23-Projects!$C$28+1),0)+IF(AND(Projects!$G$29="Yes",23&gt;=Projects!$C$29,23&lt;Projects!$C$29+Projects!$D$29),Projects!$B$29*INDEX(Curves!$B$4:$AR$4,1,23-Projects!$C$29+1),0)+IF(AND(Projects!$G$30="Yes",23&gt;=Projects!$C$30,23&lt;Projects!$C$30+Projects!$D$30),Projects!$B$30*INDEX(Curves!$B$4:$AR$4,1,23-Projects!$C$30+1),0)+IF(AND(Projects!$G$31="Yes",23&gt;=Projects!$C$31,23&lt;Projects!$C$31+Projects!$D$31),Projects!$B$31*INDEX(Curves!$B$4:$AR$4,1,23-Projects!$C$31+1),0)+IF(AND(Projects!$G$32="Yes",23&gt;=Projects!$C$32,23&lt;Projects!$C$32+Projects!$D$32),Projects!$B$32*INDEX(Curves!$B$4:$AR$4,1,23-Projects!$C$32+1),0)+IF(AND(Projects!$G$33="Yes",23&gt;=Projects!$C$33,23&lt;Projects!$C$33+Projects!$D$33),Projects!$B$33*INDEX(Curves!$B$4:$AR$4,1,23-Projects!$C$33+1),0)+IF(AND(Projects!$G$34="Yes",23&gt;=Projects!$C$34,23&lt;Projects!$C$34+Projects!$D$34),Projects!$B$34*INDEX(Curves!$B$4:$AR$4,1,23-Projects!$C$34+1),0)+IF(AND(Projects!$G$35="Yes",23&gt;=Projects!$C$35,23&lt;Projects!$C$35+Projects!$D$35),Projects!$B$35*INDEX(Curves!$B$4:$AR$4,1,23-Projects!$C$35+1),0)+IF(AND(Projects!$G$36="Yes",23&gt;=Projects!$C$36,23&lt;Projects!$C$36+Projects!$D$36),Projects!$B$36*INDEX(Curves!$B$4:$AR$4,1,23-Projects!$C$36+1),0)+IF(AND(Projects!$G$37="Yes",23&gt;=Projects!$C$37,23&lt;Projects!$C$37+Projects!$D$37),Projects!$B$37*INDEX(Curves!$B$4:$AR$4,1,23-Projects!$C$37+1),0)+IF(AND(Projects!$G$38="Yes",23&gt;=Projects!$C$38,23&lt;Projects!$C$38+Projects!$D$38),Projects!$B$38*INDEX(Curves!$B$4:$AR$4,1,23-Projects!$C$38+1),0)+IF(AND(Projects!$G$39="Yes",23&gt;=Projects!$C$39,23&lt;Projects!$C$39+Projects!$D$39),Projects!$B$39*INDEX(Curves!$B$4:$AR$4,1,23-Projects!$C$39+1),0)+IF(AND(Projects!$G$40="Yes",23&gt;=Projects!$C$40,23&lt;Projects!$C$40+Projects!$D$40),Projects!$B$40*INDEX(Curves!$B$4:$AR$4,1,23-Projects!$C$40+1),0)+IF(AND(Projects!$G$41="Yes",23&gt;=Projects!$C$41,23&lt;Projects!$C$41+Projects!$D$41),Projects!$B$41*INDEX(Curves!$B$4:$AR$4,1,23-Projects!$C$41+1),0)+IF(AND(Projects!$G$42="Yes",23&gt;=Projects!$C$42,23&lt;Projects!$C$42+Projects!$D$42),Projects!$B$42*INDEX(Curves!$B$4:$AR$4,1,23-Projects!$C$42+1),0)+IF(AND(Projects!$G$43="Yes",23&gt;=Projects!$C$43,23&lt;Projects!$C$43+Projects!$D$43),Projects!$B$43*INDEX(Curves!$B$4:$AR$4,1,23-Projects!$C$43+1),0)+IF(AND(Projects!$G$44="Yes",23&gt;=Projects!$C$44,23&lt;Projects!$C$44+Projects!$D$44),Projects!$B$44*INDEX(Curves!$B$4:$AR$4,1,23-Projects!$C$44+1),0)+IF(AND(Projects!$G$45="Yes",23&gt;=Projects!$C$45,23&lt;Projects!$C$45+Projects!$D$45),Projects!$B$45*INDEX(Curves!$B$4:$AR$4,1,23-Projects!$C$45+1),0)+IF(AND(Projects!$G$46="Yes",23&gt;=Projects!$C$46,23&lt;Projects!$C$46+Projects!$D$46),Projects!$B$46*INDEX(Curves!$B$4:$AR$4,1,23-Projects!$C$46+1),0)</f>
        <v/>
      </c>
      <c r="AC96" s="688">
        <f>IF(AND(Projects!$G$17="Yes",24&gt;=Projects!$C$17,24&lt;Projects!$C$17+Projects!$D$17),Projects!$B$17*INDEX(Curves!$B$4:$AR$4,1,24-Projects!$C$17+1),0)+IF(AND(Projects!$G$18="Yes",24&gt;=Projects!$C$18,24&lt;Projects!$C$18+Projects!$D$18),Projects!$B$18*INDEX(Curves!$B$4:$AR$4,1,24-Projects!$C$18+1),0)+IF(AND(Projects!$G$19="Yes",24&gt;=Projects!$C$19,24&lt;Projects!$C$19+Projects!$D$19),Projects!$B$19*INDEX(Curves!$B$4:$AR$4,1,24-Projects!$C$19+1),0)+IF(AND(Projects!$G$20="Yes",24&gt;=Projects!$C$20,24&lt;Projects!$C$20+Projects!$D$20),Projects!$B$20*INDEX(Curves!$B$4:$AR$4,1,24-Projects!$C$20+1),0)+IF(AND(Projects!$G$21="Yes",24&gt;=Projects!$C$21,24&lt;Projects!$C$21+Projects!$D$21),Projects!$B$21*INDEX(Curves!$B$4:$AR$4,1,24-Projects!$C$21+1),0)+IF(AND(Projects!$G$22="Yes",24&gt;=Projects!$C$22,24&lt;Projects!$C$22+Projects!$D$22),Projects!$B$22*INDEX(Curves!$B$4:$AR$4,1,24-Projects!$C$22+1),0)+IF(AND(Projects!$G$23="Yes",24&gt;=Projects!$C$23,24&lt;Projects!$C$23+Projects!$D$23),Projects!$B$23*INDEX(Curves!$B$4:$AR$4,1,24-Projects!$C$23+1),0)+IF(AND(Projects!$G$24="Yes",24&gt;=Projects!$C$24,24&lt;Projects!$C$24+Projects!$D$24),Projects!$B$24*INDEX(Curves!$B$4:$AR$4,1,24-Projects!$C$24+1),0)+IF(AND(Projects!$G$25="Yes",24&gt;=Projects!$C$25,24&lt;Projects!$C$25+Projects!$D$25),Projects!$B$25*INDEX(Curves!$B$4:$AR$4,1,24-Projects!$C$25+1),0)+IF(AND(Projects!$G$26="Yes",24&gt;=Projects!$C$26,24&lt;Projects!$C$26+Projects!$D$26),Projects!$B$26*INDEX(Curves!$B$4:$AR$4,1,24-Projects!$C$26+1),0)+IF(AND(Projects!$G$27="Yes",24&gt;=Projects!$C$27,24&lt;Projects!$C$27+Projects!$D$27),Projects!$B$27*INDEX(Curves!$B$4:$AR$4,1,24-Projects!$C$27+1),0)+IF(AND(Projects!$G$28="Yes",24&gt;=Projects!$C$28,24&lt;Projects!$C$28+Projects!$D$28),Projects!$B$28*INDEX(Curves!$B$4:$AR$4,1,24-Projects!$C$28+1),0)+IF(AND(Projects!$G$29="Yes",24&gt;=Projects!$C$29,24&lt;Projects!$C$29+Projects!$D$29),Projects!$B$29*INDEX(Curves!$B$4:$AR$4,1,24-Projects!$C$29+1),0)+IF(AND(Projects!$G$30="Yes",24&gt;=Projects!$C$30,24&lt;Projects!$C$30+Projects!$D$30),Projects!$B$30*INDEX(Curves!$B$4:$AR$4,1,24-Projects!$C$30+1),0)+IF(AND(Projects!$G$31="Yes",24&gt;=Projects!$C$31,24&lt;Projects!$C$31+Projects!$D$31),Projects!$B$31*INDEX(Curves!$B$4:$AR$4,1,24-Projects!$C$31+1),0)+IF(AND(Projects!$G$32="Yes",24&gt;=Projects!$C$32,24&lt;Projects!$C$32+Projects!$D$32),Projects!$B$32*INDEX(Curves!$B$4:$AR$4,1,24-Projects!$C$32+1),0)+IF(AND(Projects!$G$33="Yes",24&gt;=Projects!$C$33,24&lt;Projects!$C$33+Projects!$D$33),Projects!$B$33*INDEX(Curves!$B$4:$AR$4,1,24-Projects!$C$33+1),0)+IF(AND(Projects!$G$34="Yes",24&gt;=Projects!$C$34,24&lt;Projects!$C$34+Projects!$D$34),Projects!$B$34*INDEX(Curves!$B$4:$AR$4,1,24-Projects!$C$34+1),0)+IF(AND(Projects!$G$35="Yes",24&gt;=Projects!$C$35,24&lt;Projects!$C$35+Projects!$D$35),Projects!$B$35*INDEX(Curves!$B$4:$AR$4,1,24-Projects!$C$35+1),0)+IF(AND(Projects!$G$36="Yes",24&gt;=Projects!$C$36,24&lt;Projects!$C$36+Projects!$D$36),Projects!$B$36*INDEX(Curves!$B$4:$AR$4,1,24-Projects!$C$36+1),0)+IF(AND(Projects!$G$37="Yes",24&gt;=Projects!$C$37,24&lt;Projects!$C$37+Projects!$D$37),Projects!$B$37*INDEX(Curves!$B$4:$AR$4,1,24-Projects!$C$37+1),0)+IF(AND(Projects!$G$38="Yes",24&gt;=Projects!$C$38,24&lt;Projects!$C$38+Projects!$D$38),Projects!$B$38*INDEX(Curves!$B$4:$AR$4,1,24-Projects!$C$38+1),0)+IF(AND(Projects!$G$39="Yes",24&gt;=Projects!$C$39,24&lt;Projects!$C$39+Projects!$D$39),Projects!$B$39*INDEX(Curves!$B$4:$AR$4,1,24-Projects!$C$39+1),0)+IF(AND(Projects!$G$40="Yes",24&gt;=Projects!$C$40,24&lt;Projects!$C$40+Projects!$D$40),Projects!$B$40*INDEX(Curves!$B$4:$AR$4,1,24-Projects!$C$40+1),0)+IF(AND(Projects!$G$41="Yes",24&gt;=Projects!$C$41,24&lt;Projects!$C$41+Projects!$D$41),Projects!$B$41*INDEX(Curves!$B$4:$AR$4,1,24-Projects!$C$41+1),0)+IF(AND(Projects!$G$42="Yes",24&gt;=Projects!$C$42,24&lt;Projects!$C$42+Projects!$D$42),Projects!$B$42*INDEX(Curves!$B$4:$AR$4,1,24-Projects!$C$42+1),0)+IF(AND(Projects!$G$43="Yes",24&gt;=Projects!$C$43,24&lt;Projects!$C$43+Projects!$D$43),Projects!$B$43*INDEX(Curves!$B$4:$AR$4,1,24-Projects!$C$43+1),0)+IF(AND(Projects!$G$44="Yes",24&gt;=Projects!$C$44,24&lt;Projects!$C$44+Projects!$D$44),Projects!$B$44*INDEX(Curves!$B$4:$AR$4,1,24-Projects!$C$44+1),0)+IF(AND(Projects!$G$45="Yes",24&gt;=Projects!$C$45,24&lt;Projects!$C$45+Projects!$D$45),Projects!$B$45*INDEX(Curves!$B$4:$AR$4,1,24-Projects!$C$45+1),0)+IF(AND(Projects!$G$46="Yes",24&gt;=Projects!$C$46,24&lt;Projects!$C$46+Projects!$D$46),Projects!$B$46*INDEX(Curves!$B$4:$AR$4,1,24-Projects!$C$46+1),0)</f>
        <v/>
      </c>
      <c r="AD96" s="688">
        <f>IF(AND(Projects!$G$17="Yes",25&gt;=Projects!$C$17,25&lt;Projects!$C$17+Projects!$D$17),Projects!$B$17*INDEX(Curves!$B$4:$AR$4,1,25-Projects!$C$17+1),0)+IF(AND(Projects!$G$18="Yes",25&gt;=Projects!$C$18,25&lt;Projects!$C$18+Projects!$D$18),Projects!$B$18*INDEX(Curves!$B$4:$AR$4,1,25-Projects!$C$18+1),0)+IF(AND(Projects!$G$19="Yes",25&gt;=Projects!$C$19,25&lt;Projects!$C$19+Projects!$D$19),Projects!$B$19*INDEX(Curves!$B$4:$AR$4,1,25-Projects!$C$19+1),0)+IF(AND(Projects!$G$20="Yes",25&gt;=Projects!$C$20,25&lt;Projects!$C$20+Projects!$D$20),Projects!$B$20*INDEX(Curves!$B$4:$AR$4,1,25-Projects!$C$20+1),0)+IF(AND(Projects!$G$21="Yes",25&gt;=Projects!$C$21,25&lt;Projects!$C$21+Projects!$D$21),Projects!$B$21*INDEX(Curves!$B$4:$AR$4,1,25-Projects!$C$21+1),0)+IF(AND(Projects!$G$22="Yes",25&gt;=Projects!$C$22,25&lt;Projects!$C$22+Projects!$D$22),Projects!$B$22*INDEX(Curves!$B$4:$AR$4,1,25-Projects!$C$22+1),0)+IF(AND(Projects!$G$23="Yes",25&gt;=Projects!$C$23,25&lt;Projects!$C$23+Projects!$D$23),Projects!$B$23*INDEX(Curves!$B$4:$AR$4,1,25-Projects!$C$23+1),0)+IF(AND(Projects!$G$24="Yes",25&gt;=Projects!$C$24,25&lt;Projects!$C$24+Projects!$D$24),Projects!$B$24*INDEX(Curves!$B$4:$AR$4,1,25-Projects!$C$24+1),0)+IF(AND(Projects!$G$25="Yes",25&gt;=Projects!$C$25,25&lt;Projects!$C$25+Projects!$D$25),Projects!$B$25*INDEX(Curves!$B$4:$AR$4,1,25-Projects!$C$25+1),0)+IF(AND(Projects!$G$26="Yes",25&gt;=Projects!$C$26,25&lt;Projects!$C$26+Projects!$D$26),Projects!$B$26*INDEX(Curves!$B$4:$AR$4,1,25-Projects!$C$26+1),0)+IF(AND(Projects!$G$27="Yes",25&gt;=Projects!$C$27,25&lt;Projects!$C$27+Projects!$D$27),Projects!$B$27*INDEX(Curves!$B$4:$AR$4,1,25-Projects!$C$27+1),0)+IF(AND(Projects!$G$28="Yes",25&gt;=Projects!$C$28,25&lt;Projects!$C$28+Projects!$D$28),Projects!$B$28*INDEX(Curves!$B$4:$AR$4,1,25-Projects!$C$28+1),0)+IF(AND(Projects!$G$29="Yes",25&gt;=Projects!$C$29,25&lt;Projects!$C$29+Projects!$D$29),Projects!$B$29*INDEX(Curves!$B$4:$AR$4,1,25-Projects!$C$29+1),0)+IF(AND(Projects!$G$30="Yes",25&gt;=Projects!$C$30,25&lt;Projects!$C$30+Projects!$D$30),Projects!$B$30*INDEX(Curves!$B$4:$AR$4,1,25-Projects!$C$30+1),0)+IF(AND(Projects!$G$31="Yes",25&gt;=Projects!$C$31,25&lt;Projects!$C$31+Projects!$D$31),Projects!$B$31*INDEX(Curves!$B$4:$AR$4,1,25-Projects!$C$31+1),0)+IF(AND(Projects!$G$32="Yes",25&gt;=Projects!$C$32,25&lt;Projects!$C$32+Projects!$D$32),Projects!$B$32*INDEX(Curves!$B$4:$AR$4,1,25-Projects!$C$32+1),0)+IF(AND(Projects!$G$33="Yes",25&gt;=Projects!$C$33,25&lt;Projects!$C$33+Projects!$D$33),Projects!$B$33*INDEX(Curves!$B$4:$AR$4,1,25-Projects!$C$33+1),0)+IF(AND(Projects!$G$34="Yes",25&gt;=Projects!$C$34,25&lt;Projects!$C$34+Projects!$D$34),Projects!$B$34*INDEX(Curves!$B$4:$AR$4,1,25-Projects!$C$34+1),0)+IF(AND(Projects!$G$35="Yes",25&gt;=Projects!$C$35,25&lt;Projects!$C$35+Projects!$D$35),Projects!$B$35*INDEX(Curves!$B$4:$AR$4,1,25-Projects!$C$35+1),0)+IF(AND(Projects!$G$36="Yes",25&gt;=Projects!$C$36,25&lt;Projects!$C$36+Projects!$D$36),Projects!$B$36*INDEX(Curves!$B$4:$AR$4,1,25-Projects!$C$36+1),0)+IF(AND(Projects!$G$37="Yes",25&gt;=Projects!$C$37,25&lt;Projects!$C$37+Projects!$D$37),Projects!$B$37*INDEX(Curves!$B$4:$AR$4,1,25-Projects!$C$37+1),0)+IF(AND(Projects!$G$38="Yes",25&gt;=Projects!$C$38,25&lt;Projects!$C$38+Projects!$D$38),Projects!$B$38*INDEX(Curves!$B$4:$AR$4,1,25-Projects!$C$38+1),0)+IF(AND(Projects!$G$39="Yes",25&gt;=Projects!$C$39,25&lt;Projects!$C$39+Projects!$D$39),Projects!$B$39*INDEX(Curves!$B$4:$AR$4,1,25-Projects!$C$39+1),0)+IF(AND(Projects!$G$40="Yes",25&gt;=Projects!$C$40,25&lt;Projects!$C$40+Projects!$D$40),Projects!$B$40*INDEX(Curves!$B$4:$AR$4,1,25-Projects!$C$40+1),0)+IF(AND(Projects!$G$41="Yes",25&gt;=Projects!$C$41,25&lt;Projects!$C$41+Projects!$D$41),Projects!$B$41*INDEX(Curves!$B$4:$AR$4,1,25-Projects!$C$41+1),0)+IF(AND(Projects!$G$42="Yes",25&gt;=Projects!$C$42,25&lt;Projects!$C$42+Projects!$D$42),Projects!$B$42*INDEX(Curves!$B$4:$AR$4,1,25-Projects!$C$42+1),0)+IF(AND(Projects!$G$43="Yes",25&gt;=Projects!$C$43,25&lt;Projects!$C$43+Projects!$D$43),Projects!$B$43*INDEX(Curves!$B$4:$AR$4,1,25-Projects!$C$43+1),0)+IF(AND(Projects!$G$44="Yes",25&gt;=Projects!$C$44,25&lt;Projects!$C$44+Projects!$D$44),Projects!$B$44*INDEX(Curves!$B$4:$AR$4,1,25-Projects!$C$44+1),0)+IF(AND(Projects!$G$45="Yes",25&gt;=Projects!$C$45,25&lt;Projects!$C$45+Projects!$D$45),Projects!$B$45*INDEX(Curves!$B$4:$AR$4,1,25-Projects!$C$45+1),0)+IF(AND(Projects!$G$46="Yes",25&gt;=Projects!$C$46,25&lt;Projects!$C$46+Projects!$D$46),Projects!$B$46*INDEX(Curves!$B$4:$AR$4,1,25-Projects!$C$46+1),0)</f>
        <v/>
      </c>
      <c r="AE96" s="688">
        <f>IF(AND(Projects!$G$17="Yes",26&gt;=Projects!$C$17,26&lt;Projects!$C$17+Projects!$D$17),Projects!$B$17*INDEX(Curves!$B$4:$AR$4,1,26-Projects!$C$17+1),0)+IF(AND(Projects!$G$18="Yes",26&gt;=Projects!$C$18,26&lt;Projects!$C$18+Projects!$D$18),Projects!$B$18*INDEX(Curves!$B$4:$AR$4,1,26-Projects!$C$18+1),0)+IF(AND(Projects!$G$19="Yes",26&gt;=Projects!$C$19,26&lt;Projects!$C$19+Projects!$D$19),Projects!$B$19*INDEX(Curves!$B$4:$AR$4,1,26-Projects!$C$19+1),0)+IF(AND(Projects!$G$20="Yes",26&gt;=Projects!$C$20,26&lt;Projects!$C$20+Projects!$D$20),Projects!$B$20*INDEX(Curves!$B$4:$AR$4,1,26-Projects!$C$20+1),0)+IF(AND(Projects!$G$21="Yes",26&gt;=Projects!$C$21,26&lt;Projects!$C$21+Projects!$D$21),Projects!$B$21*INDEX(Curves!$B$4:$AR$4,1,26-Projects!$C$21+1),0)+IF(AND(Projects!$G$22="Yes",26&gt;=Projects!$C$22,26&lt;Projects!$C$22+Projects!$D$22),Projects!$B$22*INDEX(Curves!$B$4:$AR$4,1,26-Projects!$C$22+1),0)+IF(AND(Projects!$G$23="Yes",26&gt;=Projects!$C$23,26&lt;Projects!$C$23+Projects!$D$23),Projects!$B$23*INDEX(Curves!$B$4:$AR$4,1,26-Projects!$C$23+1),0)+IF(AND(Projects!$G$24="Yes",26&gt;=Projects!$C$24,26&lt;Projects!$C$24+Projects!$D$24),Projects!$B$24*INDEX(Curves!$B$4:$AR$4,1,26-Projects!$C$24+1),0)+IF(AND(Projects!$G$25="Yes",26&gt;=Projects!$C$25,26&lt;Projects!$C$25+Projects!$D$25),Projects!$B$25*INDEX(Curves!$B$4:$AR$4,1,26-Projects!$C$25+1),0)+IF(AND(Projects!$G$26="Yes",26&gt;=Projects!$C$26,26&lt;Projects!$C$26+Projects!$D$26),Projects!$B$26*INDEX(Curves!$B$4:$AR$4,1,26-Projects!$C$26+1),0)+IF(AND(Projects!$G$27="Yes",26&gt;=Projects!$C$27,26&lt;Projects!$C$27+Projects!$D$27),Projects!$B$27*INDEX(Curves!$B$4:$AR$4,1,26-Projects!$C$27+1),0)+IF(AND(Projects!$G$28="Yes",26&gt;=Projects!$C$28,26&lt;Projects!$C$28+Projects!$D$28),Projects!$B$28*INDEX(Curves!$B$4:$AR$4,1,26-Projects!$C$28+1),0)+IF(AND(Projects!$G$29="Yes",26&gt;=Projects!$C$29,26&lt;Projects!$C$29+Projects!$D$29),Projects!$B$29*INDEX(Curves!$B$4:$AR$4,1,26-Projects!$C$29+1),0)+IF(AND(Projects!$G$30="Yes",26&gt;=Projects!$C$30,26&lt;Projects!$C$30+Projects!$D$30),Projects!$B$30*INDEX(Curves!$B$4:$AR$4,1,26-Projects!$C$30+1),0)+IF(AND(Projects!$G$31="Yes",26&gt;=Projects!$C$31,26&lt;Projects!$C$31+Projects!$D$31),Projects!$B$31*INDEX(Curves!$B$4:$AR$4,1,26-Projects!$C$31+1),0)+IF(AND(Projects!$G$32="Yes",26&gt;=Projects!$C$32,26&lt;Projects!$C$32+Projects!$D$32),Projects!$B$32*INDEX(Curves!$B$4:$AR$4,1,26-Projects!$C$32+1),0)+IF(AND(Projects!$G$33="Yes",26&gt;=Projects!$C$33,26&lt;Projects!$C$33+Projects!$D$33),Projects!$B$33*INDEX(Curves!$B$4:$AR$4,1,26-Projects!$C$33+1),0)+IF(AND(Projects!$G$34="Yes",26&gt;=Projects!$C$34,26&lt;Projects!$C$34+Projects!$D$34),Projects!$B$34*INDEX(Curves!$B$4:$AR$4,1,26-Projects!$C$34+1),0)+IF(AND(Projects!$G$35="Yes",26&gt;=Projects!$C$35,26&lt;Projects!$C$35+Projects!$D$35),Projects!$B$35*INDEX(Curves!$B$4:$AR$4,1,26-Projects!$C$35+1),0)+IF(AND(Projects!$G$36="Yes",26&gt;=Projects!$C$36,26&lt;Projects!$C$36+Projects!$D$36),Projects!$B$36*INDEX(Curves!$B$4:$AR$4,1,26-Projects!$C$36+1),0)+IF(AND(Projects!$G$37="Yes",26&gt;=Projects!$C$37,26&lt;Projects!$C$37+Projects!$D$37),Projects!$B$37*INDEX(Curves!$B$4:$AR$4,1,26-Projects!$C$37+1),0)+IF(AND(Projects!$G$38="Yes",26&gt;=Projects!$C$38,26&lt;Projects!$C$38+Projects!$D$38),Projects!$B$38*INDEX(Curves!$B$4:$AR$4,1,26-Projects!$C$38+1),0)+IF(AND(Projects!$G$39="Yes",26&gt;=Projects!$C$39,26&lt;Projects!$C$39+Projects!$D$39),Projects!$B$39*INDEX(Curves!$B$4:$AR$4,1,26-Projects!$C$39+1),0)+IF(AND(Projects!$G$40="Yes",26&gt;=Projects!$C$40,26&lt;Projects!$C$40+Projects!$D$40),Projects!$B$40*INDEX(Curves!$B$4:$AR$4,1,26-Projects!$C$40+1),0)+IF(AND(Projects!$G$41="Yes",26&gt;=Projects!$C$41,26&lt;Projects!$C$41+Projects!$D$41),Projects!$B$41*INDEX(Curves!$B$4:$AR$4,1,26-Projects!$C$41+1),0)+IF(AND(Projects!$G$42="Yes",26&gt;=Projects!$C$42,26&lt;Projects!$C$42+Projects!$D$42),Projects!$B$42*INDEX(Curves!$B$4:$AR$4,1,26-Projects!$C$42+1),0)+IF(AND(Projects!$G$43="Yes",26&gt;=Projects!$C$43,26&lt;Projects!$C$43+Projects!$D$43),Projects!$B$43*INDEX(Curves!$B$4:$AR$4,1,26-Projects!$C$43+1),0)+IF(AND(Projects!$G$44="Yes",26&gt;=Projects!$C$44,26&lt;Projects!$C$44+Projects!$D$44),Projects!$B$44*INDEX(Curves!$B$4:$AR$4,1,26-Projects!$C$44+1),0)+IF(AND(Projects!$G$45="Yes",26&gt;=Projects!$C$45,26&lt;Projects!$C$45+Projects!$D$45),Projects!$B$45*INDEX(Curves!$B$4:$AR$4,1,26-Projects!$C$45+1),0)+IF(AND(Projects!$G$46="Yes",26&gt;=Projects!$C$46,26&lt;Projects!$C$46+Projects!$D$46),Projects!$B$46*INDEX(Curves!$B$4:$AR$4,1,26-Projects!$C$46+1),0)</f>
        <v/>
      </c>
      <c r="AF96" s="688">
        <f>IF(AND(Projects!$G$17="Yes",27&gt;=Projects!$C$17,27&lt;Projects!$C$17+Projects!$D$17),Projects!$B$17*INDEX(Curves!$B$4:$AR$4,1,27-Projects!$C$17+1),0)+IF(AND(Projects!$G$18="Yes",27&gt;=Projects!$C$18,27&lt;Projects!$C$18+Projects!$D$18),Projects!$B$18*INDEX(Curves!$B$4:$AR$4,1,27-Projects!$C$18+1),0)+IF(AND(Projects!$G$19="Yes",27&gt;=Projects!$C$19,27&lt;Projects!$C$19+Projects!$D$19),Projects!$B$19*INDEX(Curves!$B$4:$AR$4,1,27-Projects!$C$19+1),0)+IF(AND(Projects!$G$20="Yes",27&gt;=Projects!$C$20,27&lt;Projects!$C$20+Projects!$D$20),Projects!$B$20*INDEX(Curves!$B$4:$AR$4,1,27-Projects!$C$20+1),0)+IF(AND(Projects!$G$21="Yes",27&gt;=Projects!$C$21,27&lt;Projects!$C$21+Projects!$D$21),Projects!$B$21*INDEX(Curves!$B$4:$AR$4,1,27-Projects!$C$21+1),0)+IF(AND(Projects!$G$22="Yes",27&gt;=Projects!$C$22,27&lt;Projects!$C$22+Projects!$D$22),Projects!$B$22*INDEX(Curves!$B$4:$AR$4,1,27-Projects!$C$22+1),0)+IF(AND(Projects!$G$23="Yes",27&gt;=Projects!$C$23,27&lt;Projects!$C$23+Projects!$D$23),Projects!$B$23*INDEX(Curves!$B$4:$AR$4,1,27-Projects!$C$23+1),0)+IF(AND(Projects!$G$24="Yes",27&gt;=Projects!$C$24,27&lt;Projects!$C$24+Projects!$D$24),Projects!$B$24*INDEX(Curves!$B$4:$AR$4,1,27-Projects!$C$24+1),0)+IF(AND(Projects!$G$25="Yes",27&gt;=Projects!$C$25,27&lt;Projects!$C$25+Projects!$D$25),Projects!$B$25*INDEX(Curves!$B$4:$AR$4,1,27-Projects!$C$25+1),0)+IF(AND(Projects!$G$26="Yes",27&gt;=Projects!$C$26,27&lt;Projects!$C$26+Projects!$D$26),Projects!$B$26*INDEX(Curves!$B$4:$AR$4,1,27-Projects!$C$26+1),0)+IF(AND(Projects!$G$27="Yes",27&gt;=Projects!$C$27,27&lt;Projects!$C$27+Projects!$D$27),Projects!$B$27*INDEX(Curves!$B$4:$AR$4,1,27-Projects!$C$27+1),0)+IF(AND(Projects!$G$28="Yes",27&gt;=Projects!$C$28,27&lt;Projects!$C$28+Projects!$D$28),Projects!$B$28*INDEX(Curves!$B$4:$AR$4,1,27-Projects!$C$28+1),0)+IF(AND(Projects!$G$29="Yes",27&gt;=Projects!$C$29,27&lt;Projects!$C$29+Projects!$D$29),Projects!$B$29*INDEX(Curves!$B$4:$AR$4,1,27-Projects!$C$29+1),0)+IF(AND(Projects!$G$30="Yes",27&gt;=Projects!$C$30,27&lt;Projects!$C$30+Projects!$D$30),Projects!$B$30*INDEX(Curves!$B$4:$AR$4,1,27-Projects!$C$30+1),0)+IF(AND(Projects!$G$31="Yes",27&gt;=Projects!$C$31,27&lt;Projects!$C$31+Projects!$D$31),Projects!$B$31*INDEX(Curves!$B$4:$AR$4,1,27-Projects!$C$31+1),0)+IF(AND(Projects!$G$32="Yes",27&gt;=Projects!$C$32,27&lt;Projects!$C$32+Projects!$D$32),Projects!$B$32*INDEX(Curves!$B$4:$AR$4,1,27-Projects!$C$32+1),0)+IF(AND(Projects!$G$33="Yes",27&gt;=Projects!$C$33,27&lt;Projects!$C$33+Projects!$D$33),Projects!$B$33*INDEX(Curves!$B$4:$AR$4,1,27-Projects!$C$33+1),0)+IF(AND(Projects!$G$34="Yes",27&gt;=Projects!$C$34,27&lt;Projects!$C$34+Projects!$D$34),Projects!$B$34*INDEX(Curves!$B$4:$AR$4,1,27-Projects!$C$34+1),0)+IF(AND(Projects!$G$35="Yes",27&gt;=Projects!$C$35,27&lt;Projects!$C$35+Projects!$D$35),Projects!$B$35*INDEX(Curves!$B$4:$AR$4,1,27-Projects!$C$35+1),0)+IF(AND(Projects!$G$36="Yes",27&gt;=Projects!$C$36,27&lt;Projects!$C$36+Projects!$D$36),Projects!$B$36*INDEX(Curves!$B$4:$AR$4,1,27-Projects!$C$36+1),0)+IF(AND(Projects!$G$37="Yes",27&gt;=Projects!$C$37,27&lt;Projects!$C$37+Projects!$D$37),Projects!$B$37*INDEX(Curves!$B$4:$AR$4,1,27-Projects!$C$37+1),0)+IF(AND(Projects!$G$38="Yes",27&gt;=Projects!$C$38,27&lt;Projects!$C$38+Projects!$D$38),Projects!$B$38*INDEX(Curves!$B$4:$AR$4,1,27-Projects!$C$38+1),0)+IF(AND(Projects!$G$39="Yes",27&gt;=Projects!$C$39,27&lt;Projects!$C$39+Projects!$D$39),Projects!$B$39*INDEX(Curves!$B$4:$AR$4,1,27-Projects!$C$39+1),0)+IF(AND(Projects!$G$40="Yes",27&gt;=Projects!$C$40,27&lt;Projects!$C$40+Projects!$D$40),Projects!$B$40*INDEX(Curves!$B$4:$AR$4,1,27-Projects!$C$40+1),0)+IF(AND(Projects!$G$41="Yes",27&gt;=Projects!$C$41,27&lt;Projects!$C$41+Projects!$D$41),Projects!$B$41*INDEX(Curves!$B$4:$AR$4,1,27-Projects!$C$41+1),0)+IF(AND(Projects!$G$42="Yes",27&gt;=Projects!$C$42,27&lt;Projects!$C$42+Projects!$D$42),Projects!$B$42*INDEX(Curves!$B$4:$AR$4,1,27-Projects!$C$42+1),0)+IF(AND(Projects!$G$43="Yes",27&gt;=Projects!$C$43,27&lt;Projects!$C$43+Projects!$D$43),Projects!$B$43*INDEX(Curves!$B$4:$AR$4,1,27-Projects!$C$43+1),0)+IF(AND(Projects!$G$44="Yes",27&gt;=Projects!$C$44,27&lt;Projects!$C$44+Projects!$D$44),Projects!$B$44*INDEX(Curves!$B$4:$AR$4,1,27-Projects!$C$44+1),0)+IF(AND(Projects!$G$45="Yes",27&gt;=Projects!$C$45,27&lt;Projects!$C$45+Projects!$D$45),Projects!$B$45*INDEX(Curves!$B$4:$AR$4,1,27-Projects!$C$45+1),0)+IF(AND(Projects!$G$46="Yes",27&gt;=Projects!$C$46,27&lt;Projects!$C$46+Projects!$D$46),Projects!$B$46*INDEX(Curves!$B$4:$AR$4,1,27-Projects!$C$46+1),0)</f>
        <v/>
      </c>
      <c r="AG96" s="688">
        <f>IF(AND(Projects!$G$17="Yes",28&gt;=Projects!$C$17,28&lt;Projects!$C$17+Projects!$D$17),Projects!$B$17*INDEX(Curves!$B$4:$AR$4,1,28-Projects!$C$17+1),0)+IF(AND(Projects!$G$18="Yes",28&gt;=Projects!$C$18,28&lt;Projects!$C$18+Projects!$D$18),Projects!$B$18*INDEX(Curves!$B$4:$AR$4,1,28-Projects!$C$18+1),0)+IF(AND(Projects!$G$19="Yes",28&gt;=Projects!$C$19,28&lt;Projects!$C$19+Projects!$D$19),Projects!$B$19*INDEX(Curves!$B$4:$AR$4,1,28-Projects!$C$19+1),0)+IF(AND(Projects!$G$20="Yes",28&gt;=Projects!$C$20,28&lt;Projects!$C$20+Projects!$D$20),Projects!$B$20*INDEX(Curves!$B$4:$AR$4,1,28-Projects!$C$20+1),0)+IF(AND(Projects!$G$21="Yes",28&gt;=Projects!$C$21,28&lt;Projects!$C$21+Projects!$D$21),Projects!$B$21*INDEX(Curves!$B$4:$AR$4,1,28-Projects!$C$21+1),0)+IF(AND(Projects!$G$22="Yes",28&gt;=Projects!$C$22,28&lt;Projects!$C$22+Projects!$D$22),Projects!$B$22*INDEX(Curves!$B$4:$AR$4,1,28-Projects!$C$22+1),0)+IF(AND(Projects!$G$23="Yes",28&gt;=Projects!$C$23,28&lt;Projects!$C$23+Projects!$D$23),Projects!$B$23*INDEX(Curves!$B$4:$AR$4,1,28-Projects!$C$23+1),0)+IF(AND(Projects!$G$24="Yes",28&gt;=Projects!$C$24,28&lt;Projects!$C$24+Projects!$D$24),Projects!$B$24*INDEX(Curves!$B$4:$AR$4,1,28-Projects!$C$24+1),0)+IF(AND(Projects!$G$25="Yes",28&gt;=Projects!$C$25,28&lt;Projects!$C$25+Projects!$D$25),Projects!$B$25*INDEX(Curves!$B$4:$AR$4,1,28-Projects!$C$25+1),0)+IF(AND(Projects!$G$26="Yes",28&gt;=Projects!$C$26,28&lt;Projects!$C$26+Projects!$D$26),Projects!$B$26*INDEX(Curves!$B$4:$AR$4,1,28-Projects!$C$26+1),0)+IF(AND(Projects!$G$27="Yes",28&gt;=Projects!$C$27,28&lt;Projects!$C$27+Projects!$D$27),Projects!$B$27*INDEX(Curves!$B$4:$AR$4,1,28-Projects!$C$27+1),0)+IF(AND(Projects!$G$28="Yes",28&gt;=Projects!$C$28,28&lt;Projects!$C$28+Projects!$D$28),Projects!$B$28*INDEX(Curves!$B$4:$AR$4,1,28-Projects!$C$28+1),0)+IF(AND(Projects!$G$29="Yes",28&gt;=Projects!$C$29,28&lt;Projects!$C$29+Projects!$D$29),Projects!$B$29*INDEX(Curves!$B$4:$AR$4,1,28-Projects!$C$29+1),0)+IF(AND(Projects!$G$30="Yes",28&gt;=Projects!$C$30,28&lt;Projects!$C$30+Projects!$D$30),Projects!$B$30*INDEX(Curves!$B$4:$AR$4,1,28-Projects!$C$30+1),0)+IF(AND(Projects!$G$31="Yes",28&gt;=Projects!$C$31,28&lt;Projects!$C$31+Projects!$D$31),Projects!$B$31*INDEX(Curves!$B$4:$AR$4,1,28-Projects!$C$31+1),0)+IF(AND(Projects!$G$32="Yes",28&gt;=Projects!$C$32,28&lt;Projects!$C$32+Projects!$D$32),Projects!$B$32*INDEX(Curves!$B$4:$AR$4,1,28-Projects!$C$32+1),0)+IF(AND(Projects!$G$33="Yes",28&gt;=Projects!$C$33,28&lt;Projects!$C$33+Projects!$D$33),Projects!$B$33*INDEX(Curves!$B$4:$AR$4,1,28-Projects!$C$33+1),0)+IF(AND(Projects!$G$34="Yes",28&gt;=Projects!$C$34,28&lt;Projects!$C$34+Projects!$D$34),Projects!$B$34*INDEX(Curves!$B$4:$AR$4,1,28-Projects!$C$34+1),0)+IF(AND(Projects!$G$35="Yes",28&gt;=Projects!$C$35,28&lt;Projects!$C$35+Projects!$D$35),Projects!$B$35*INDEX(Curves!$B$4:$AR$4,1,28-Projects!$C$35+1),0)+IF(AND(Projects!$G$36="Yes",28&gt;=Projects!$C$36,28&lt;Projects!$C$36+Projects!$D$36),Projects!$B$36*INDEX(Curves!$B$4:$AR$4,1,28-Projects!$C$36+1),0)+IF(AND(Projects!$G$37="Yes",28&gt;=Projects!$C$37,28&lt;Projects!$C$37+Projects!$D$37),Projects!$B$37*INDEX(Curves!$B$4:$AR$4,1,28-Projects!$C$37+1),0)+IF(AND(Projects!$G$38="Yes",28&gt;=Projects!$C$38,28&lt;Projects!$C$38+Projects!$D$38),Projects!$B$38*INDEX(Curves!$B$4:$AR$4,1,28-Projects!$C$38+1),0)+IF(AND(Projects!$G$39="Yes",28&gt;=Projects!$C$39,28&lt;Projects!$C$39+Projects!$D$39),Projects!$B$39*INDEX(Curves!$B$4:$AR$4,1,28-Projects!$C$39+1),0)+IF(AND(Projects!$G$40="Yes",28&gt;=Projects!$C$40,28&lt;Projects!$C$40+Projects!$D$40),Projects!$B$40*INDEX(Curves!$B$4:$AR$4,1,28-Projects!$C$40+1),0)+IF(AND(Projects!$G$41="Yes",28&gt;=Projects!$C$41,28&lt;Projects!$C$41+Projects!$D$41),Projects!$B$41*INDEX(Curves!$B$4:$AR$4,1,28-Projects!$C$41+1),0)+IF(AND(Projects!$G$42="Yes",28&gt;=Projects!$C$42,28&lt;Projects!$C$42+Projects!$D$42),Projects!$B$42*INDEX(Curves!$B$4:$AR$4,1,28-Projects!$C$42+1),0)+IF(AND(Projects!$G$43="Yes",28&gt;=Projects!$C$43,28&lt;Projects!$C$43+Projects!$D$43),Projects!$B$43*INDEX(Curves!$B$4:$AR$4,1,28-Projects!$C$43+1),0)+IF(AND(Projects!$G$44="Yes",28&gt;=Projects!$C$44,28&lt;Projects!$C$44+Projects!$D$44),Projects!$B$44*INDEX(Curves!$B$4:$AR$4,1,28-Projects!$C$44+1),0)+IF(AND(Projects!$G$45="Yes",28&gt;=Projects!$C$45,28&lt;Projects!$C$45+Projects!$D$45),Projects!$B$45*INDEX(Curves!$B$4:$AR$4,1,28-Projects!$C$45+1),0)+IF(AND(Projects!$G$46="Yes",28&gt;=Projects!$C$46,28&lt;Projects!$C$46+Projects!$D$46),Projects!$B$46*INDEX(Curves!$B$4:$AR$4,1,28-Projects!$C$46+1),0)</f>
        <v/>
      </c>
      <c r="AH96" s="688">
        <f>IF(AND(Projects!$G$17="Yes",29&gt;=Projects!$C$17,29&lt;Projects!$C$17+Projects!$D$17),Projects!$B$17*INDEX(Curves!$B$4:$AR$4,1,29-Projects!$C$17+1),0)+IF(AND(Projects!$G$18="Yes",29&gt;=Projects!$C$18,29&lt;Projects!$C$18+Projects!$D$18),Projects!$B$18*INDEX(Curves!$B$4:$AR$4,1,29-Projects!$C$18+1),0)+IF(AND(Projects!$G$19="Yes",29&gt;=Projects!$C$19,29&lt;Projects!$C$19+Projects!$D$19),Projects!$B$19*INDEX(Curves!$B$4:$AR$4,1,29-Projects!$C$19+1),0)+IF(AND(Projects!$G$20="Yes",29&gt;=Projects!$C$20,29&lt;Projects!$C$20+Projects!$D$20),Projects!$B$20*INDEX(Curves!$B$4:$AR$4,1,29-Projects!$C$20+1),0)+IF(AND(Projects!$G$21="Yes",29&gt;=Projects!$C$21,29&lt;Projects!$C$21+Projects!$D$21),Projects!$B$21*INDEX(Curves!$B$4:$AR$4,1,29-Projects!$C$21+1),0)+IF(AND(Projects!$G$22="Yes",29&gt;=Projects!$C$22,29&lt;Projects!$C$22+Projects!$D$22),Projects!$B$22*INDEX(Curves!$B$4:$AR$4,1,29-Projects!$C$22+1),0)+IF(AND(Projects!$G$23="Yes",29&gt;=Projects!$C$23,29&lt;Projects!$C$23+Projects!$D$23),Projects!$B$23*INDEX(Curves!$B$4:$AR$4,1,29-Projects!$C$23+1),0)+IF(AND(Projects!$G$24="Yes",29&gt;=Projects!$C$24,29&lt;Projects!$C$24+Projects!$D$24),Projects!$B$24*INDEX(Curves!$B$4:$AR$4,1,29-Projects!$C$24+1),0)+IF(AND(Projects!$G$25="Yes",29&gt;=Projects!$C$25,29&lt;Projects!$C$25+Projects!$D$25),Projects!$B$25*INDEX(Curves!$B$4:$AR$4,1,29-Projects!$C$25+1),0)+IF(AND(Projects!$G$26="Yes",29&gt;=Projects!$C$26,29&lt;Projects!$C$26+Projects!$D$26),Projects!$B$26*INDEX(Curves!$B$4:$AR$4,1,29-Projects!$C$26+1),0)+IF(AND(Projects!$G$27="Yes",29&gt;=Projects!$C$27,29&lt;Projects!$C$27+Projects!$D$27),Projects!$B$27*INDEX(Curves!$B$4:$AR$4,1,29-Projects!$C$27+1),0)+IF(AND(Projects!$G$28="Yes",29&gt;=Projects!$C$28,29&lt;Projects!$C$28+Projects!$D$28),Projects!$B$28*INDEX(Curves!$B$4:$AR$4,1,29-Projects!$C$28+1),0)+IF(AND(Projects!$G$29="Yes",29&gt;=Projects!$C$29,29&lt;Projects!$C$29+Projects!$D$29),Projects!$B$29*INDEX(Curves!$B$4:$AR$4,1,29-Projects!$C$29+1),0)+IF(AND(Projects!$G$30="Yes",29&gt;=Projects!$C$30,29&lt;Projects!$C$30+Projects!$D$30),Projects!$B$30*INDEX(Curves!$B$4:$AR$4,1,29-Projects!$C$30+1),0)+IF(AND(Projects!$G$31="Yes",29&gt;=Projects!$C$31,29&lt;Projects!$C$31+Projects!$D$31),Projects!$B$31*INDEX(Curves!$B$4:$AR$4,1,29-Projects!$C$31+1),0)+IF(AND(Projects!$G$32="Yes",29&gt;=Projects!$C$32,29&lt;Projects!$C$32+Projects!$D$32),Projects!$B$32*INDEX(Curves!$B$4:$AR$4,1,29-Projects!$C$32+1),0)+IF(AND(Projects!$G$33="Yes",29&gt;=Projects!$C$33,29&lt;Projects!$C$33+Projects!$D$33),Projects!$B$33*INDEX(Curves!$B$4:$AR$4,1,29-Projects!$C$33+1),0)+IF(AND(Projects!$G$34="Yes",29&gt;=Projects!$C$34,29&lt;Projects!$C$34+Projects!$D$34),Projects!$B$34*INDEX(Curves!$B$4:$AR$4,1,29-Projects!$C$34+1),0)+IF(AND(Projects!$G$35="Yes",29&gt;=Projects!$C$35,29&lt;Projects!$C$35+Projects!$D$35),Projects!$B$35*INDEX(Curves!$B$4:$AR$4,1,29-Projects!$C$35+1),0)+IF(AND(Projects!$G$36="Yes",29&gt;=Projects!$C$36,29&lt;Projects!$C$36+Projects!$D$36),Projects!$B$36*INDEX(Curves!$B$4:$AR$4,1,29-Projects!$C$36+1),0)+IF(AND(Projects!$G$37="Yes",29&gt;=Projects!$C$37,29&lt;Projects!$C$37+Projects!$D$37),Projects!$B$37*INDEX(Curves!$B$4:$AR$4,1,29-Projects!$C$37+1),0)+IF(AND(Projects!$G$38="Yes",29&gt;=Projects!$C$38,29&lt;Projects!$C$38+Projects!$D$38),Projects!$B$38*INDEX(Curves!$B$4:$AR$4,1,29-Projects!$C$38+1),0)+IF(AND(Projects!$G$39="Yes",29&gt;=Projects!$C$39,29&lt;Projects!$C$39+Projects!$D$39),Projects!$B$39*INDEX(Curves!$B$4:$AR$4,1,29-Projects!$C$39+1),0)+IF(AND(Projects!$G$40="Yes",29&gt;=Projects!$C$40,29&lt;Projects!$C$40+Projects!$D$40),Projects!$B$40*INDEX(Curves!$B$4:$AR$4,1,29-Projects!$C$40+1),0)+IF(AND(Projects!$G$41="Yes",29&gt;=Projects!$C$41,29&lt;Projects!$C$41+Projects!$D$41),Projects!$B$41*INDEX(Curves!$B$4:$AR$4,1,29-Projects!$C$41+1),0)+IF(AND(Projects!$G$42="Yes",29&gt;=Projects!$C$42,29&lt;Projects!$C$42+Projects!$D$42),Projects!$B$42*INDEX(Curves!$B$4:$AR$4,1,29-Projects!$C$42+1),0)+IF(AND(Projects!$G$43="Yes",29&gt;=Projects!$C$43,29&lt;Projects!$C$43+Projects!$D$43),Projects!$B$43*INDEX(Curves!$B$4:$AR$4,1,29-Projects!$C$43+1),0)+IF(AND(Projects!$G$44="Yes",29&gt;=Projects!$C$44,29&lt;Projects!$C$44+Projects!$D$44),Projects!$B$44*INDEX(Curves!$B$4:$AR$4,1,29-Projects!$C$44+1),0)+IF(AND(Projects!$G$45="Yes",29&gt;=Projects!$C$45,29&lt;Projects!$C$45+Projects!$D$45),Projects!$B$45*INDEX(Curves!$B$4:$AR$4,1,29-Projects!$C$45+1),0)+IF(AND(Projects!$G$46="Yes",29&gt;=Projects!$C$46,29&lt;Projects!$C$46+Projects!$D$46),Projects!$B$46*INDEX(Curves!$B$4:$AR$4,1,29-Projects!$C$46+1),0)</f>
        <v/>
      </c>
      <c r="AI96" s="688">
        <f>IF(AND(Projects!$G$17="Yes",30&gt;=Projects!$C$17,30&lt;Projects!$C$17+Projects!$D$17),Projects!$B$17*INDEX(Curves!$B$4:$AR$4,1,30-Projects!$C$17+1),0)+IF(AND(Projects!$G$18="Yes",30&gt;=Projects!$C$18,30&lt;Projects!$C$18+Projects!$D$18),Projects!$B$18*INDEX(Curves!$B$4:$AR$4,1,30-Projects!$C$18+1),0)+IF(AND(Projects!$G$19="Yes",30&gt;=Projects!$C$19,30&lt;Projects!$C$19+Projects!$D$19),Projects!$B$19*INDEX(Curves!$B$4:$AR$4,1,30-Projects!$C$19+1),0)+IF(AND(Projects!$G$20="Yes",30&gt;=Projects!$C$20,30&lt;Projects!$C$20+Projects!$D$20),Projects!$B$20*INDEX(Curves!$B$4:$AR$4,1,30-Projects!$C$20+1),0)+IF(AND(Projects!$G$21="Yes",30&gt;=Projects!$C$21,30&lt;Projects!$C$21+Projects!$D$21),Projects!$B$21*INDEX(Curves!$B$4:$AR$4,1,30-Projects!$C$21+1),0)+IF(AND(Projects!$G$22="Yes",30&gt;=Projects!$C$22,30&lt;Projects!$C$22+Projects!$D$22),Projects!$B$22*INDEX(Curves!$B$4:$AR$4,1,30-Projects!$C$22+1),0)+IF(AND(Projects!$G$23="Yes",30&gt;=Projects!$C$23,30&lt;Projects!$C$23+Projects!$D$23),Projects!$B$23*INDEX(Curves!$B$4:$AR$4,1,30-Projects!$C$23+1),0)+IF(AND(Projects!$G$24="Yes",30&gt;=Projects!$C$24,30&lt;Projects!$C$24+Projects!$D$24),Projects!$B$24*INDEX(Curves!$B$4:$AR$4,1,30-Projects!$C$24+1),0)+IF(AND(Projects!$G$25="Yes",30&gt;=Projects!$C$25,30&lt;Projects!$C$25+Projects!$D$25),Projects!$B$25*INDEX(Curves!$B$4:$AR$4,1,30-Projects!$C$25+1),0)+IF(AND(Projects!$G$26="Yes",30&gt;=Projects!$C$26,30&lt;Projects!$C$26+Projects!$D$26),Projects!$B$26*INDEX(Curves!$B$4:$AR$4,1,30-Projects!$C$26+1),0)+IF(AND(Projects!$G$27="Yes",30&gt;=Projects!$C$27,30&lt;Projects!$C$27+Projects!$D$27),Projects!$B$27*INDEX(Curves!$B$4:$AR$4,1,30-Projects!$C$27+1),0)+IF(AND(Projects!$G$28="Yes",30&gt;=Projects!$C$28,30&lt;Projects!$C$28+Projects!$D$28),Projects!$B$28*INDEX(Curves!$B$4:$AR$4,1,30-Projects!$C$28+1),0)+IF(AND(Projects!$G$29="Yes",30&gt;=Projects!$C$29,30&lt;Projects!$C$29+Projects!$D$29),Projects!$B$29*INDEX(Curves!$B$4:$AR$4,1,30-Projects!$C$29+1),0)+IF(AND(Projects!$G$30="Yes",30&gt;=Projects!$C$30,30&lt;Projects!$C$30+Projects!$D$30),Projects!$B$30*INDEX(Curves!$B$4:$AR$4,1,30-Projects!$C$30+1),0)+IF(AND(Projects!$G$31="Yes",30&gt;=Projects!$C$31,30&lt;Projects!$C$31+Projects!$D$31),Projects!$B$31*INDEX(Curves!$B$4:$AR$4,1,30-Projects!$C$31+1),0)+IF(AND(Projects!$G$32="Yes",30&gt;=Projects!$C$32,30&lt;Projects!$C$32+Projects!$D$32),Projects!$B$32*INDEX(Curves!$B$4:$AR$4,1,30-Projects!$C$32+1),0)+IF(AND(Projects!$G$33="Yes",30&gt;=Projects!$C$33,30&lt;Projects!$C$33+Projects!$D$33),Projects!$B$33*INDEX(Curves!$B$4:$AR$4,1,30-Projects!$C$33+1),0)+IF(AND(Projects!$G$34="Yes",30&gt;=Projects!$C$34,30&lt;Projects!$C$34+Projects!$D$34),Projects!$B$34*INDEX(Curves!$B$4:$AR$4,1,30-Projects!$C$34+1),0)+IF(AND(Projects!$G$35="Yes",30&gt;=Projects!$C$35,30&lt;Projects!$C$35+Projects!$D$35),Projects!$B$35*INDEX(Curves!$B$4:$AR$4,1,30-Projects!$C$35+1),0)+IF(AND(Projects!$G$36="Yes",30&gt;=Projects!$C$36,30&lt;Projects!$C$36+Projects!$D$36),Projects!$B$36*INDEX(Curves!$B$4:$AR$4,1,30-Projects!$C$36+1),0)+IF(AND(Projects!$G$37="Yes",30&gt;=Projects!$C$37,30&lt;Projects!$C$37+Projects!$D$37),Projects!$B$37*INDEX(Curves!$B$4:$AR$4,1,30-Projects!$C$37+1),0)+IF(AND(Projects!$G$38="Yes",30&gt;=Projects!$C$38,30&lt;Projects!$C$38+Projects!$D$38),Projects!$B$38*INDEX(Curves!$B$4:$AR$4,1,30-Projects!$C$38+1),0)+IF(AND(Projects!$G$39="Yes",30&gt;=Projects!$C$39,30&lt;Projects!$C$39+Projects!$D$39),Projects!$B$39*INDEX(Curves!$B$4:$AR$4,1,30-Projects!$C$39+1),0)+IF(AND(Projects!$G$40="Yes",30&gt;=Projects!$C$40,30&lt;Projects!$C$40+Projects!$D$40),Projects!$B$40*INDEX(Curves!$B$4:$AR$4,1,30-Projects!$C$40+1),0)+IF(AND(Projects!$G$41="Yes",30&gt;=Projects!$C$41,30&lt;Projects!$C$41+Projects!$D$41),Projects!$B$41*INDEX(Curves!$B$4:$AR$4,1,30-Projects!$C$41+1),0)+IF(AND(Projects!$G$42="Yes",30&gt;=Projects!$C$42,30&lt;Projects!$C$42+Projects!$D$42),Projects!$B$42*INDEX(Curves!$B$4:$AR$4,1,30-Projects!$C$42+1),0)+IF(AND(Projects!$G$43="Yes",30&gt;=Projects!$C$43,30&lt;Projects!$C$43+Projects!$D$43),Projects!$B$43*INDEX(Curves!$B$4:$AR$4,1,30-Projects!$C$43+1),0)+IF(AND(Projects!$G$44="Yes",30&gt;=Projects!$C$44,30&lt;Projects!$C$44+Projects!$D$44),Projects!$B$44*INDEX(Curves!$B$4:$AR$4,1,30-Projects!$C$44+1),0)+IF(AND(Projects!$G$45="Yes",30&gt;=Projects!$C$45,30&lt;Projects!$C$45+Projects!$D$45),Projects!$B$45*INDEX(Curves!$B$4:$AR$4,1,30-Projects!$C$45+1),0)+IF(AND(Projects!$G$46="Yes",30&gt;=Projects!$C$46,30&lt;Projects!$C$46+Projects!$D$46),Projects!$B$46*INDEX(Curves!$B$4:$AR$4,1,30-Projects!$C$46+1),0)</f>
        <v/>
      </c>
      <c r="AJ96" s="688">
        <f>IF(AND(Projects!$G$17="Yes",31&gt;=Projects!$C$17,31&lt;Projects!$C$17+Projects!$D$17),Projects!$B$17*INDEX(Curves!$B$4:$AR$4,1,31-Projects!$C$17+1),0)+IF(AND(Projects!$G$18="Yes",31&gt;=Projects!$C$18,31&lt;Projects!$C$18+Projects!$D$18),Projects!$B$18*INDEX(Curves!$B$4:$AR$4,1,31-Projects!$C$18+1),0)+IF(AND(Projects!$G$19="Yes",31&gt;=Projects!$C$19,31&lt;Projects!$C$19+Projects!$D$19),Projects!$B$19*INDEX(Curves!$B$4:$AR$4,1,31-Projects!$C$19+1),0)+IF(AND(Projects!$G$20="Yes",31&gt;=Projects!$C$20,31&lt;Projects!$C$20+Projects!$D$20),Projects!$B$20*INDEX(Curves!$B$4:$AR$4,1,31-Projects!$C$20+1),0)+IF(AND(Projects!$G$21="Yes",31&gt;=Projects!$C$21,31&lt;Projects!$C$21+Projects!$D$21),Projects!$B$21*INDEX(Curves!$B$4:$AR$4,1,31-Projects!$C$21+1),0)+IF(AND(Projects!$G$22="Yes",31&gt;=Projects!$C$22,31&lt;Projects!$C$22+Projects!$D$22),Projects!$B$22*INDEX(Curves!$B$4:$AR$4,1,31-Projects!$C$22+1),0)+IF(AND(Projects!$G$23="Yes",31&gt;=Projects!$C$23,31&lt;Projects!$C$23+Projects!$D$23),Projects!$B$23*INDEX(Curves!$B$4:$AR$4,1,31-Projects!$C$23+1),0)+IF(AND(Projects!$G$24="Yes",31&gt;=Projects!$C$24,31&lt;Projects!$C$24+Projects!$D$24),Projects!$B$24*INDEX(Curves!$B$4:$AR$4,1,31-Projects!$C$24+1),0)+IF(AND(Projects!$G$25="Yes",31&gt;=Projects!$C$25,31&lt;Projects!$C$25+Projects!$D$25),Projects!$B$25*INDEX(Curves!$B$4:$AR$4,1,31-Projects!$C$25+1),0)+IF(AND(Projects!$G$26="Yes",31&gt;=Projects!$C$26,31&lt;Projects!$C$26+Projects!$D$26),Projects!$B$26*INDEX(Curves!$B$4:$AR$4,1,31-Projects!$C$26+1),0)+IF(AND(Projects!$G$27="Yes",31&gt;=Projects!$C$27,31&lt;Projects!$C$27+Projects!$D$27),Projects!$B$27*INDEX(Curves!$B$4:$AR$4,1,31-Projects!$C$27+1),0)+IF(AND(Projects!$G$28="Yes",31&gt;=Projects!$C$28,31&lt;Projects!$C$28+Projects!$D$28),Projects!$B$28*INDEX(Curves!$B$4:$AR$4,1,31-Projects!$C$28+1),0)+IF(AND(Projects!$G$29="Yes",31&gt;=Projects!$C$29,31&lt;Projects!$C$29+Projects!$D$29),Projects!$B$29*INDEX(Curves!$B$4:$AR$4,1,31-Projects!$C$29+1),0)+IF(AND(Projects!$G$30="Yes",31&gt;=Projects!$C$30,31&lt;Projects!$C$30+Projects!$D$30),Projects!$B$30*INDEX(Curves!$B$4:$AR$4,1,31-Projects!$C$30+1),0)+IF(AND(Projects!$G$31="Yes",31&gt;=Projects!$C$31,31&lt;Projects!$C$31+Projects!$D$31),Projects!$B$31*INDEX(Curves!$B$4:$AR$4,1,31-Projects!$C$31+1),0)+IF(AND(Projects!$G$32="Yes",31&gt;=Projects!$C$32,31&lt;Projects!$C$32+Projects!$D$32),Projects!$B$32*INDEX(Curves!$B$4:$AR$4,1,31-Projects!$C$32+1),0)+IF(AND(Projects!$G$33="Yes",31&gt;=Projects!$C$33,31&lt;Projects!$C$33+Projects!$D$33),Projects!$B$33*INDEX(Curves!$B$4:$AR$4,1,31-Projects!$C$33+1),0)+IF(AND(Projects!$G$34="Yes",31&gt;=Projects!$C$34,31&lt;Projects!$C$34+Projects!$D$34),Projects!$B$34*INDEX(Curves!$B$4:$AR$4,1,31-Projects!$C$34+1),0)+IF(AND(Projects!$G$35="Yes",31&gt;=Projects!$C$35,31&lt;Projects!$C$35+Projects!$D$35),Projects!$B$35*INDEX(Curves!$B$4:$AR$4,1,31-Projects!$C$35+1),0)+IF(AND(Projects!$G$36="Yes",31&gt;=Projects!$C$36,31&lt;Projects!$C$36+Projects!$D$36),Projects!$B$36*INDEX(Curves!$B$4:$AR$4,1,31-Projects!$C$36+1),0)+IF(AND(Projects!$G$37="Yes",31&gt;=Projects!$C$37,31&lt;Projects!$C$37+Projects!$D$37),Projects!$B$37*INDEX(Curves!$B$4:$AR$4,1,31-Projects!$C$37+1),0)+IF(AND(Projects!$G$38="Yes",31&gt;=Projects!$C$38,31&lt;Projects!$C$38+Projects!$D$38),Projects!$B$38*INDEX(Curves!$B$4:$AR$4,1,31-Projects!$C$38+1),0)+IF(AND(Projects!$G$39="Yes",31&gt;=Projects!$C$39,31&lt;Projects!$C$39+Projects!$D$39),Projects!$B$39*INDEX(Curves!$B$4:$AR$4,1,31-Projects!$C$39+1),0)+IF(AND(Projects!$G$40="Yes",31&gt;=Projects!$C$40,31&lt;Projects!$C$40+Projects!$D$40),Projects!$B$40*INDEX(Curves!$B$4:$AR$4,1,31-Projects!$C$40+1),0)+IF(AND(Projects!$G$41="Yes",31&gt;=Projects!$C$41,31&lt;Projects!$C$41+Projects!$D$41),Projects!$B$41*INDEX(Curves!$B$4:$AR$4,1,31-Projects!$C$41+1),0)+IF(AND(Projects!$G$42="Yes",31&gt;=Projects!$C$42,31&lt;Projects!$C$42+Projects!$D$42),Projects!$B$42*INDEX(Curves!$B$4:$AR$4,1,31-Projects!$C$42+1),0)+IF(AND(Projects!$G$43="Yes",31&gt;=Projects!$C$43,31&lt;Projects!$C$43+Projects!$D$43),Projects!$B$43*INDEX(Curves!$B$4:$AR$4,1,31-Projects!$C$43+1),0)+IF(AND(Projects!$G$44="Yes",31&gt;=Projects!$C$44,31&lt;Projects!$C$44+Projects!$D$44),Projects!$B$44*INDEX(Curves!$B$4:$AR$4,1,31-Projects!$C$44+1),0)+IF(AND(Projects!$G$45="Yes",31&gt;=Projects!$C$45,31&lt;Projects!$C$45+Projects!$D$45),Projects!$B$45*INDEX(Curves!$B$4:$AR$4,1,31-Projects!$C$45+1),0)+IF(AND(Projects!$G$46="Yes",31&gt;=Projects!$C$46,31&lt;Projects!$C$46+Projects!$D$46),Projects!$B$46*INDEX(Curves!$B$4:$AR$4,1,31-Projects!$C$46+1),0)</f>
        <v/>
      </c>
      <c r="AK96" s="688">
        <f>IF(AND(Projects!$G$17="Yes",32&gt;=Projects!$C$17,32&lt;Projects!$C$17+Projects!$D$17),Projects!$B$17*INDEX(Curves!$B$4:$AR$4,1,32-Projects!$C$17+1),0)+IF(AND(Projects!$G$18="Yes",32&gt;=Projects!$C$18,32&lt;Projects!$C$18+Projects!$D$18),Projects!$B$18*INDEX(Curves!$B$4:$AR$4,1,32-Projects!$C$18+1),0)+IF(AND(Projects!$G$19="Yes",32&gt;=Projects!$C$19,32&lt;Projects!$C$19+Projects!$D$19),Projects!$B$19*INDEX(Curves!$B$4:$AR$4,1,32-Projects!$C$19+1),0)+IF(AND(Projects!$G$20="Yes",32&gt;=Projects!$C$20,32&lt;Projects!$C$20+Projects!$D$20),Projects!$B$20*INDEX(Curves!$B$4:$AR$4,1,32-Projects!$C$20+1),0)+IF(AND(Projects!$G$21="Yes",32&gt;=Projects!$C$21,32&lt;Projects!$C$21+Projects!$D$21),Projects!$B$21*INDEX(Curves!$B$4:$AR$4,1,32-Projects!$C$21+1),0)+IF(AND(Projects!$G$22="Yes",32&gt;=Projects!$C$22,32&lt;Projects!$C$22+Projects!$D$22),Projects!$B$22*INDEX(Curves!$B$4:$AR$4,1,32-Projects!$C$22+1),0)+IF(AND(Projects!$G$23="Yes",32&gt;=Projects!$C$23,32&lt;Projects!$C$23+Projects!$D$23),Projects!$B$23*INDEX(Curves!$B$4:$AR$4,1,32-Projects!$C$23+1),0)+IF(AND(Projects!$G$24="Yes",32&gt;=Projects!$C$24,32&lt;Projects!$C$24+Projects!$D$24),Projects!$B$24*INDEX(Curves!$B$4:$AR$4,1,32-Projects!$C$24+1),0)+IF(AND(Projects!$G$25="Yes",32&gt;=Projects!$C$25,32&lt;Projects!$C$25+Projects!$D$25),Projects!$B$25*INDEX(Curves!$B$4:$AR$4,1,32-Projects!$C$25+1),0)+IF(AND(Projects!$G$26="Yes",32&gt;=Projects!$C$26,32&lt;Projects!$C$26+Projects!$D$26),Projects!$B$26*INDEX(Curves!$B$4:$AR$4,1,32-Projects!$C$26+1),0)+IF(AND(Projects!$G$27="Yes",32&gt;=Projects!$C$27,32&lt;Projects!$C$27+Projects!$D$27),Projects!$B$27*INDEX(Curves!$B$4:$AR$4,1,32-Projects!$C$27+1),0)+IF(AND(Projects!$G$28="Yes",32&gt;=Projects!$C$28,32&lt;Projects!$C$28+Projects!$D$28),Projects!$B$28*INDEX(Curves!$B$4:$AR$4,1,32-Projects!$C$28+1),0)+IF(AND(Projects!$G$29="Yes",32&gt;=Projects!$C$29,32&lt;Projects!$C$29+Projects!$D$29),Projects!$B$29*INDEX(Curves!$B$4:$AR$4,1,32-Projects!$C$29+1),0)+IF(AND(Projects!$G$30="Yes",32&gt;=Projects!$C$30,32&lt;Projects!$C$30+Projects!$D$30),Projects!$B$30*INDEX(Curves!$B$4:$AR$4,1,32-Projects!$C$30+1),0)+IF(AND(Projects!$G$31="Yes",32&gt;=Projects!$C$31,32&lt;Projects!$C$31+Projects!$D$31),Projects!$B$31*INDEX(Curves!$B$4:$AR$4,1,32-Projects!$C$31+1),0)+IF(AND(Projects!$G$32="Yes",32&gt;=Projects!$C$32,32&lt;Projects!$C$32+Projects!$D$32),Projects!$B$32*INDEX(Curves!$B$4:$AR$4,1,32-Projects!$C$32+1),0)+IF(AND(Projects!$G$33="Yes",32&gt;=Projects!$C$33,32&lt;Projects!$C$33+Projects!$D$33),Projects!$B$33*INDEX(Curves!$B$4:$AR$4,1,32-Projects!$C$33+1),0)+IF(AND(Projects!$G$34="Yes",32&gt;=Projects!$C$34,32&lt;Projects!$C$34+Projects!$D$34),Projects!$B$34*INDEX(Curves!$B$4:$AR$4,1,32-Projects!$C$34+1),0)+IF(AND(Projects!$G$35="Yes",32&gt;=Projects!$C$35,32&lt;Projects!$C$35+Projects!$D$35),Projects!$B$35*INDEX(Curves!$B$4:$AR$4,1,32-Projects!$C$35+1),0)+IF(AND(Projects!$G$36="Yes",32&gt;=Projects!$C$36,32&lt;Projects!$C$36+Projects!$D$36),Projects!$B$36*INDEX(Curves!$B$4:$AR$4,1,32-Projects!$C$36+1),0)+IF(AND(Projects!$G$37="Yes",32&gt;=Projects!$C$37,32&lt;Projects!$C$37+Projects!$D$37),Projects!$B$37*INDEX(Curves!$B$4:$AR$4,1,32-Projects!$C$37+1),0)+IF(AND(Projects!$G$38="Yes",32&gt;=Projects!$C$38,32&lt;Projects!$C$38+Projects!$D$38),Projects!$B$38*INDEX(Curves!$B$4:$AR$4,1,32-Projects!$C$38+1),0)+IF(AND(Projects!$G$39="Yes",32&gt;=Projects!$C$39,32&lt;Projects!$C$39+Projects!$D$39),Projects!$B$39*INDEX(Curves!$B$4:$AR$4,1,32-Projects!$C$39+1),0)+IF(AND(Projects!$G$40="Yes",32&gt;=Projects!$C$40,32&lt;Projects!$C$40+Projects!$D$40),Projects!$B$40*INDEX(Curves!$B$4:$AR$4,1,32-Projects!$C$40+1),0)+IF(AND(Projects!$G$41="Yes",32&gt;=Projects!$C$41,32&lt;Projects!$C$41+Projects!$D$41),Projects!$B$41*INDEX(Curves!$B$4:$AR$4,1,32-Projects!$C$41+1),0)+IF(AND(Projects!$G$42="Yes",32&gt;=Projects!$C$42,32&lt;Projects!$C$42+Projects!$D$42),Projects!$B$42*INDEX(Curves!$B$4:$AR$4,1,32-Projects!$C$42+1),0)+IF(AND(Projects!$G$43="Yes",32&gt;=Projects!$C$43,32&lt;Projects!$C$43+Projects!$D$43),Projects!$B$43*INDEX(Curves!$B$4:$AR$4,1,32-Projects!$C$43+1),0)+IF(AND(Projects!$G$44="Yes",32&gt;=Projects!$C$44,32&lt;Projects!$C$44+Projects!$D$44),Projects!$B$44*INDEX(Curves!$B$4:$AR$4,1,32-Projects!$C$44+1),0)+IF(AND(Projects!$G$45="Yes",32&gt;=Projects!$C$45,32&lt;Projects!$C$45+Projects!$D$45),Projects!$B$45*INDEX(Curves!$B$4:$AR$4,1,32-Projects!$C$45+1),0)+IF(AND(Projects!$G$46="Yes",32&gt;=Projects!$C$46,32&lt;Projects!$C$46+Projects!$D$46),Projects!$B$46*INDEX(Curves!$B$4:$AR$4,1,32-Projects!$C$46+1),0)</f>
        <v/>
      </c>
      <c r="AL96" s="688">
        <f>IF(AND(Projects!$G$17="Yes",33&gt;=Projects!$C$17,33&lt;Projects!$C$17+Projects!$D$17),Projects!$B$17*INDEX(Curves!$B$4:$AR$4,1,33-Projects!$C$17+1),0)+IF(AND(Projects!$G$18="Yes",33&gt;=Projects!$C$18,33&lt;Projects!$C$18+Projects!$D$18),Projects!$B$18*INDEX(Curves!$B$4:$AR$4,1,33-Projects!$C$18+1),0)+IF(AND(Projects!$G$19="Yes",33&gt;=Projects!$C$19,33&lt;Projects!$C$19+Projects!$D$19),Projects!$B$19*INDEX(Curves!$B$4:$AR$4,1,33-Projects!$C$19+1),0)+IF(AND(Projects!$G$20="Yes",33&gt;=Projects!$C$20,33&lt;Projects!$C$20+Projects!$D$20),Projects!$B$20*INDEX(Curves!$B$4:$AR$4,1,33-Projects!$C$20+1),0)+IF(AND(Projects!$G$21="Yes",33&gt;=Projects!$C$21,33&lt;Projects!$C$21+Projects!$D$21),Projects!$B$21*INDEX(Curves!$B$4:$AR$4,1,33-Projects!$C$21+1),0)+IF(AND(Projects!$G$22="Yes",33&gt;=Projects!$C$22,33&lt;Projects!$C$22+Projects!$D$22),Projects!$B$22*INDEX(Curves!$B$4:$AR$4,1,33-Projects!$C$22+1),0)+IF(AND(Projects!$G$23="Yes",33&gt;=Projects!$C$23,33&lt;Projects!$C$23+Projects!$D$23),Projects!$B$23*INDEX(Curves!$B$4:$AR$4,1,33-Projects!$C$23+1),0)+IF(AND(Projects!$G$24="Yes",33&gt;=Projects!$C$24,33&lt;Projects!$C$24+Projects!$D$24),Projects!$B$24*INDEX(Curves!$B$4:$AR$4,1,33-Projects!$C$24+1),0)+IF(AND(Projects!$G$25="Yes",33&gt;=Projects!$C$25,33&lt;Projects!$C$25+Projects!$D$25),Projects!$B$25*INDEX(Curves!$B$4:$AR$4,1,33-Projects!$C$25+1),0)+IF(AND(Projects!$G$26="Yes",33&gt;=Projects!$C$26,33&lt;Projects!$C$26+Projects!$D$26),Projects!$B$26*INDEX(Curves!$B$4:$AR$4,1,33-Projects!$C$26+1),0)+IF(AND(Projects!$G$27="Yes",33&gt;=Projects!$C$27,33&lt;Projects!$C$27+Projects!$D$27),Projects!$B$27*INDEX(Curves!$B$4:$AR$4,1,33-Projects!$C$27+1),0)+IF(AND(Projects!$G$28="Yes",33&gt;=Projects!$C$28,33&lt;Projects!$C$28+Projects!$D$28),Projects!$B$28*INDEX(Curves!$B$4:$AR$4,1,33-Projects!$C$28+1),0)+IF(AND(Projects!$G$29="Yes",33&gt;=Projects!$C$29,33&lt;Projects!$C$29+Projects!$D$29),Projects!$B$29*INDEX(Curves!$B$4:$AR$4,1,33-Projects!$C$29+1),0)+IF(AND(Projects!$G$30="Yes",33&gt;=Projects!$C$30,33&lt;Projects!$C$30+Projects!$D$30),Projects!$B$30*INDEX(Curves!$B$4:$AR$4,1,33-Projects!$C$30+1),0)+IF(AND(Projects!$G$31="Yes",33&gt;=Projects!$C$31,33&lt;Projects!$C$31+Projects!$D$31),Projects!$B$31*INDEX(Curves!$B$4:$AR$4,1,33-Projects!$C$31+1),0)+IF(AND(Projects!$G$32="Yes",33&gt;=Projects!$C$32,33&lt;Projects!$C$32+Projects!$D$32),Projects!$B$32*INDEX(Curves!$B$4:$AR$4,1,33-Projects!$C$32+1),0)+IF(AND(Projects!$G$33="Yes",33&gt;=Projects!$C$33,33&lt;Projects!$C$33+Projects!$D$33),Projects!$B$33*INDEX(Curves!$B$4:$AR$4,1,33-Projects!$C$33+1),0)+IF(AND(Projects!$G$34="Yes",33&gt;=Projects!$C$34,33&lt;Projects!$C$34+Projects!$D$34),Projects!$B$34*INDEX(Curves!$B$4:$AR$4,1,33-Projects!$C$34+1),0)+IF(AND(Projects!$G$35="Yes",33&gt;=Projects!$C$35,33&lt;Projects!$C$35+Projects!$D$35),Projects!$B$35*INDEX(Curves!$B$4:$AR$4,1,33-Projects!$C$35+1),0)+IF(AND(Projects!$G$36="Yes",33&gt;=Projects!$C$36,33&lt;Projects!$C$36+Projects!$D$36),Projects!$B$36*INDEX(Curves!$B$4:$AR$4,1,33-Projects!$C$36+1),0)+IF(AND(Projects!$G$37="Yes",33&gt;=Projects!$C$37,33&lt;Projects!$C$37+Projects!$D$37),Projects!$B$37*INDEX(Curves!$B$4:$AR$4,1,33-Projects!$C$37+1),0)+IF(AND(Projects!$G$38="Yes",33&gt;=Projects!$C$38,33&lt;Projects!$C$38+Projects!$D$38),Projects!$B$38*INDEX(Curves!$B$4:$AR$4,1,33-Projects!$C$38+1),0)+IF(AND(Projects!$G$39="Yes",33&gt;=Projects!$C$39,33&lt;Projects!$C$39+Projects!$D$39),Projects!$B$39*INDEX(Curves!$B$4:$AR$4,1,33-Projects!$C$39+1),0)+IF(AND(Projects!$G$40="Yes",33&gt;=Projects!$C$40,33&lt;Projects!$C$40+Projects!$D$40),Projects!$B$40*INDEX(Curves!$B$4:$AR$4,1,33-Projects!$C$40+1),0)+IF(AND(Projects!$G$41="Yes",33&gt;=Projects!$C$41,33&lt;Projects!$C$41+Projects!$D$41),Projects!$B$41*INDEX(Curves!$B$4:$AR$4,1,33-Projects!$C$41+1),0)+IF(AND(Projects!$G$42="Yes",33&gt;=Projects!$C$42,33&lt;Projects!$C$42+Projects!$D$42),Projects!$B$42*INDEX(Curves!$B$4:$AR$4,1,33-Projects!$C$42+1),0)+IF(AND(Projects!$G$43="Yes",33&gt;=Projects!$C$43,33&lt;Projects!$C$43+Projects!$D$43),Projects!$B$43*INDEX(Curves!$B$4:$AR$4,1,33-Projects!$C$43+1),0)+IF(AND(Projects!$G$44="Yes",33&gt;=Projects!$C$44,33&lt;Projects!$C$44+Projects!$D$44),Projects!$B$44*INDEX(Curves!$B$4:$AR$4,1,33-Projects!$C$44+1),0)+IF(AND(Projects!$G$45="Yes",33&gt;=Projects!$C$45,33&lt;Projects!$C$45+Projects!$D$45),Projects!$B$45*INDEX(Curves!$B$4:$AR$4,1,33-Projects!$C$45+1),0)+IF(AND(Projects!$G$46="Yes",33&gt;=Projects!$C$46,33&lt;Projects!$C$46+Projects!$D$46),Projects!$B$46*INDEX(Curves!$B$4:$AR$4,1,33-Projects!$C$46+1),0)</f>
        <v/>
      </c>
      <c r="AM96" s="688">
        <f>IF(AND(Projects!$G$17="Yes",34&gt;=Projects!$C$17,34&lt;Projects!$C$17+Projects!$D$17),Projects!$B$17*INDEX(Curves!$B$4:$AR$4,1,34-Projects!$C$17+1),0)+IF(AND(Projects!$G$18="Yes",34&gt;=Projects!$C$18,34&lt;Projects!$C$18+Projects!$D$18),Projects!$B$18*INDEX(Curves!$B$4:$AR$4,1,34-Projects!$C$18+1),0)+IF(AND(Projects!$G$19="Yes",34&gt;=Projects!$C$19,34&lt;Projects!$C$19+Projects!$D$19),Projects!$B$19*INDEX(Curves!$B$4:$AR$4,1,34-Projects!$C$19+1),0)+IF(AND(Projects!$G$20="Yes",34&gt;=Projects!$C$20,34&lt;Projects!$C$20+Projects!$D$20),Projects!$B$20*INDEX(Curves!$B$4:$AR$4,1,34-Projects!$C$20+1),0)+IF(AND(Projects!$G$21="Yes",34&gt;=Projects!$C$21,34&lt;Projects!$C$21+Projects!$D$21),Projects!$B$21*INDEX(Curves!$B$4:$AR$4,1,34-Projects!$C$21+1),0)+IF(AND(Projects!$G$22="Yes",34&gt;=Projects!$C$22,34&lt;Projects!$C$22+Projects!$D$22),Projects!$B$22*INDEX(Curves!$B$4:$AR$4,1,34-Projects!$C$22+1),0)+IF(AND(Projects!$G$23="Yes",34&gt;=Projects!$C$23,34&lt;Projects!$C$23+Projects!$D$23),Projects!$B$23*INDEX(Curves!$B$4:$AR$4,1,34-Projects!$C$23+1),0)+IF(AND(Projects!$G$24="Yes",34&gt;=Projects!$C$24,34&lt;Projects!$C$24+Projects!$D$24),Projects!$B$24*INDEX(Curves!$B$4:$AR$4,1,34-Projects!$C$24+1),0)+IF(AND(Projects!$G$25="Yes",34&gt;=Projects!$C$25,34&lt;Projects!$C$25+Projects!$D$25),Projects!$B$25*INDEX(Curves!$B$4:$AR$4,1,34-Projects!$C$25+1),0)+IF(AND(Projects!$G$26="Yes",34&gt;=Projects!$C$26,34&lt;Projects!$C$26+Projects!$D$26),Projects!$B$26*INDEX(Curves!$B$4:$AR$4,1,34-Projects!$C$26+1),0)+IF(AND(Projects!$G$27="Yes",34&gt;=Projects!$C$27,34&lt;Projects!$C$27+Projects!$D$27),Projects!$B$27*INDEX(Curves!$B$4:$AR$4,1,34-Projects!$C$27+1),0)+IF(AND(Projects!$G$28="Yes",34&gt;=Projects!$C$28,34&lt;Projects!$C$28+Projects!$D$28),Projects!$B$28*INDEX(Curves!$B$4:$AR$4,1,34-Projects!$C$28+1),0)+IF(AND(Projects!$G$29="Yes",34&gt;=Projects!$C$29,34&lt;Projects!$C$29+Projects!$D$29),Projects!$B$29*INDEX(Curves!$B$4:$AR$4,1,34-Projects!$C$29+1),0)+IF(AND(Projects!$G$30="Yes",34&gt;=Projects!$C$30,34&lt;Projects!$C$30+Projects!$D$30),Projects!$B$30*INDEX(Curves!$B$4:$AR$4,1,34-Projects!$C$30+1),0)+IF(AND(Projects!$G$31="Yes",34&gt;=Projects!$C$31,34&lt;Projects!$C$31+Projects!$D$31),Projects!$B$31*INDEX(Curves!$B$4:$AR$4,1,34-Projects!$C$31+1),0)+IF(AND(Projects!$G$32="Yes",34&gt;=Projects!$C$32,34&lt;Projects!$C$32+Projects!$D$32),Projects!$B$32*INDEX(Curves!$B$4:$AR$4,1,34-Projects!$C$32+1),0)+IF(AND(Projects!$G$33="Yes",34&gt;=Projects!$C$33,34&lt;Projects!$C$33+Projects!$D$33),Projects!$B$33*INDEX(Curves!$B$4:$AR$4,1,34-Projects!$C$33+1),0)+IF(AND(Projects!$G$34="Yes",34&gt;=Projects!$C$34,34&lt;Projects!$C$34+Projects!$D$34),Projects!$B$34*INDEX(Curves!$B$4:$AR$4,1,34-Projects!$C$34+1),0)+IF(AND(Projects!$G$35="Yes",34&gt;=Projects!$C$35,34&lt;Projects!$C$35+Projects!$D$35),Projects!$B$35*INDEX(Curves!$B$4:$AR$4,1,34-Projects!$C$35+1),0)+IF(AND(Projects!$G$36="Yes",34&gt;=Projects!$C$36,34&lt;Projects!$C$36+Projects!$D$36),Projects!$B$36*INDEX(Curves!$B$4:$AR$4,1,34-Projects!$C$36+1),0)+IF(AND(Projects!$G$37="Yes",34&gt;=Projects!$C$37,34&lt;Projects!$C$37+Projects!$D$37),Projects!$B$37*INDEX(Curves!$B$4:$AR$4,1,34-Projects!$C$37+1),0)+IF(AND(Projects!$G$38="Yes",34&gt;=Projects!$C$38,34&lt;Projects!$C$38+Projects!$D$38),Projects!$B$38*INDEX(Curves!$B$4:$AR$4,1,34-Projects!$C$38+1),0)+IF(AND(Projects!$G$39="Yes",34&gt;=Projects!$C$39,34&lt;Projects!$C$39+Projects!$D$39),Projects!$B$39*INDEX(Curves!$B$4:$AR$4,1,34-Projects!$C$39+1),0)+IF(AND(Projects!$G$40="Yes",34&gt;=Projects!$C$40,34&lt;Projects!$C$40+Projects!$D$40),Projects!$B$40*INDEX(Curves!$B$4:$AR$4,1,34-Projects!$C$40+1),0)+IF(AND(Projects!$G$41="Yes",34&gt;=Projects!$C$41,34&lt;Projects!$C$41+Projects!$D$41),Projects!$B$41*INDEX(Curves!$B$4:$AR$4,1,34-Projects!$C$41+1),0)+IF(AND(Projects!$G$42="Yes",34&gt;=Projects!$C$42,34&lt;Projects!$C$42+Projects!$D$42),Projects!$B$42*INDEX(Curves!$B$4:$AR$4,1,34-Projects!$C$42+1),0)+IF(AND(Projects!$G$43="Yes",34&gt;=Projects!$C$43,34&lt;Projects!$C$43+Projects!$D$43),Projects!$B$43*INDEX(Curves!$B$4:$AR$4,1,34-Projects!$C$43+1),0)+IF(AND(Projects!$G$44="Yes",34&gt;=Projects!$C$44,34&lt;Projects!$C$44+Projects!$D$44),Projects!$B$44*INDEX(Curves!$B$4:$AR$4,1,34-Projects!$C$44+1),0)+IF(AND(Projects!$G$45="Yes",34&gt;=Projects!$C$45,34&lt;Projects!$C$45+Projects!$D$45),Projects!$B$45*INDEX(Curves!$B$4:$AR$4,1,34-Projects!$C$45+1),0)+IF(AND(Projects!$G$46="Yes",34&gt;=Projects!$C$46,34&lt;Projects!$C$46+Projects!$D$46),Projects!$B$46*INDEX(Curves!$B$4:$AR$4,1,34-Projects!$C$46+1),0)</f>
        <v/>
      </c>
      <c r="AN96" s="688">
        <f>IF(AND(Projects!$G$17="Yes",35&gt;=Projects!$C$17,35&lt;Projects!$C$17+Projects!$D$17),Projects!$B$17*INDEX(Curves!$B$4:$AR$4,1,35-Projects!$C$17+1),0)+IF(AND(Projects!$G$18="Yes",35&gt;=Projects!$C$18,35&lt;Projects!$C$18+Projects!$D$18),Projects!$B$18*INDEX(Curves!$B$4:$AR$4,1,35-Projects!$C$18+1),0)+IF(AND(Projects!$G$19="Yes",35&gt;=Projects!$C$19,35&lt;Projects!$C$19+Projects!$D$19),Projects!$B$19*INDEX(Curves!$B$4:$AR$4,1,35-Projects!$C$19+1),0)+IF(AND(Projects!$G$20="Yes",35&gt;=Projects!$C$20,35&lt;Projects!$C$20+Projects!$D$20),Projects!$B$20*INDEX(Curves!$B$4:$AR$4,1,35-Projects!$C$20+1),0)+IF(AND(Projects!$G$21="Yes",35&gt;=Projects!$C$21,35&lt;Projects!$C$21+Projects!$D$21),Projects!$B$21*INDEX(Curves!$B$4:$AR$4,1,35-Projects!$C$21+1),0)+IF(AND(Projects!$G$22="Yes",35&gt;=Projects!$C$22,35&lt;Projects!$C$22+Projects!$D$22),Projects!$B$22*INDEX(Curves!$B$4:$AR$4,1,35-Projects!$C$22+1),0)+IF(AND(Projects!$G$23="Yes",35&gt;=Projects!$C$23,35&lt;Projects!$C$23+Projects!$D$23),Projects!$B$23*INDEX(Curves!$B$4:$AR$4,1,35-Projects!$C$23+1),0)+IF(AND(Projects!$G$24="Yes",35&gt;=Projects!$C$24,35&lt;Projects!$C$24+Projects!$D$24),Projects!$B$24*INDEX(Curves!$B$4:$AR$4,1,35-Projects!$C$24+1),0)+IF(AND(Projects!$G$25="Yes",35&gt;=Projects!$C$25,35&lt;Projects!$C$25+Projects!$D$25),Projects!$B$25*INDEX(Curves!$B$4:$AR$4,1,35-Projects!$C$25+1),0)+IF(AND(Projects!$G$26="Yes",35&gt;=Projects!$C$26,35&lt;Projects!$C$26+Projects!$D$26),Projects!$B$26*INDEX(Curves!$B$4:$AR$4,1,35-Projects!$C$26+1),0)+IF(AND(Projects!$G$27="Yes",35&gt;=Projects!$C$27,35&lt;Projects!$C$27+Projects!$D$27),Projects!$B$27*INDEX(Curves!$B$4:$AR$4,1,35-Projects!$C$27+1),0)+IF(AND(Projects!$G$28="Yes",35&gt;=Projects!$C$28,35&lt;Projects!$C$28+Projects!$D$28),Projects!$B$28*INDEX(Curves!$B$4:$AR$4,1,35-Projects!$C$28+1),0)+IF(AND(Projects!$G$29="Yes",35&gt;=Projects!$C$29,35&lt;Projects!$C$29+Projects!$D$29),Projects!$B$29*INDEX(Curves!$B$4:$AR$4,1,35-Projects!$C$29+1),0)+IF(AND(Projects!$G$30="Yes",35&gt;=Projects!$C$30,35&lt;Projects!$C$30+Projects!$D$30),Projects!$B$30*INDEX(Curves!$B$4:$AR$4,1,35-Projects!$C$30+1),0)+IF(AND(Projects!$G$31="Yes",35&gt;=Projects!$C$31,35&lt;Projects!$C$31+Projects!$D$31),Projects!$B$31*INDEX(Curves!$B$4:$AR$4,1,35-Projects!$C$31+1),0)+IF(AND(Projects!$G$32="Yes",35&gt;=Projects!$C$32,35&lt;Projects!$C$32+Projects!$D$32),Projects!$B$32*INDEX(Curves!$B$4:$AR$4,1,35-Projects!$C$32+1),0)+IF(AND(Projects!$G$33="Yes",35&gt;=Projects!$C$33,35&lt;Projects!$C$33+Projects!$D$33),Projects!$B$33*INDEX(Curves!$B$4:$AR$4,1,35-Projects!$C$33+1),0)+IF(AND(Projects!$G$34="Yes",35&gt;=Projects!$C$34,35&lt;Projects!$C$34+Projects!$D$34),Projects!$B$34*INDEX(Curves!$B$4:$AR$4,1,35-Projects!$C$34+1),0)+IF(AND(Projects!$G$35="Yes",35&gt;=Projects!$C$35,35&lt;Projects!$C$35+Projects!$D$35),Projects!$B$35*INDEX(Curves!$B$4:$AR$4,1,35-Projects!$C$35+1),0)+IF(AND(Projects!$G$36="Yes",35&gt;=Projects!$C$36,35&lt;Projects!$C$36+Projects!$D$36),Projects!$B$36*INDEX(Curves!$B$4:$AR$4,1,35-Projects!$C$36+1),0)+IF(AND(Projects!$G$37="Yes",35&gt;=Projects!$C$37,35&lt;Projects!$C$37+Projects!$D$37),Projects!$B$37*INDEX(Curves!$B$4:$AR$4,1,35-Projects!$C$37+1),0)+IF(AND(Projects!$G$38="Yes",35&gt;=Projects!$C$38,35&lt;Projects!$C$38+Projects!$D$38),Projects!$B$38*INDEX(Curves!$B$4:$AR$4,1,35-Projects!$C$38+1),0)+IF(AND(Projects!$G$39="Yes",35&gt;=Projects!$C$39,35&lt;Projects!$C$39+Projects!$D$39),Projects!$B$39*INDEX(Curves!$B$4:$AR$4,1,35-Projects!$C$39+1),0)+IF(AND(Projects!$G$40="Yes",35&gt;=Projects!$C$40,35&lt;Projects!$C$40+Projects!$D$40),Projects!$B$40*INDEX(Curves!$B$4:$AR$4,1,35-Projects!$C$40+1),0)+IF(AND(Projects!$G$41="Yes",35&gt;=Projects!$C$41,35&lt;Projects!$C$41+Projects!$D$41),Projects!$B$41*INDEX(Curves!$B$4:$AR$4,1,35-Projects!$C$41+1),0)+IF(AND(Projects!$G$42="Yes",35&gt;=Projects!$C$42,35&lt;Projects!$C$42+Projects!$D$42),Projects!$B$42*INDEX(Curves!$B$4:$AR$4,1,35-Projects!$C$42+1),0)+IF(AND(Projects!$G$43="Yes",35&gt;=Projects!$C$43,35&lt;Projects!$C$43+Projects!$D$43),Projects!$B$43*INDEX(Curves!$B$4:$AR$4,1,35-Projects!$C$43+1),0)+IF(AND(Projects!$G$44="Yes",35&gt;=Projects!$C$44,35&lt;Projects!$C$44+Projects!$D$44),Projects!$B$44*INDEX(Curves!$B$4:$AR$4,1,35-Projects!$C$44+1),0)+IF(AND(Projects!$G$45="Yes",35&gt;=Projects!$C$45,35&lt;Projects!$C$45+Projects!$D$45),Projects!$B$45*INDEX(Curves!$B$4:$AR$4,1,35-Projects!$C$45+1),0)+IF(AND(Projects!$G$46="Yes",35&gt;=Projects!$C$46,35&lt;Projects!$C$46+Projects!$D$46),Projects!$B$46*INDEX(Curves!$B$4:$AR$4,1,35-Projects!$C$46+1),0)</f>
        <v/>
      </c>
      <c r="AO96" s="688">
        <f>IF(AND(Projects!$G$17="Yes",36&gt;=Projects!$C$17,36&lt;Projects!$C$17+Projects!$D$17),Projects!$B$17*INDEX(Curves!$B$4:$AR$4,1,36-Projects!$C$17+1),0)+IF(AND(Projects!$G$18="Yes",36&gt;=Projects!$C$18,36&lt;Projects!$C$18+Projects!$D$18),Projects!$B$18*INDEX(Curves!$B$4:$AR$4,1,36-Projects!$C$18+1),0)+IF(AND(Projects!$G$19="Yes",36&gt;=Projects!$C$19,36&lt;Projects!$C$19+Projects!$D$19),Projects!$B$19*INDEX(Curves!$B$4:$AR$4,1,36-Projects!$C$19+1),0)+IF(AND(Projects!$G$20="Yes",36&gt;=Projects!$C$20,36&lt;Projects!$C$20+Projects!$D$20),Projects!$B$20*INDEX(Curves!$B$4:$AR$4,1,36-Projects!$C$20+1),0)+IF(AND(Projects!$G$21="Yes",36&gt;=Projects!$C$21,36&lt;Projects!$C$21+Projects!$D$21),Projects!$B$21*INDEX(Curves!$B$4:$AR$4,1,36-Projects!$C$21+1),0)+IF(AND(Projects!$G$22="Yes",36&gt;=Projects!$C$22,36&lt;Projects!$C$22+Projects!$D$22),Projects!$B$22*INDEX(Curves!$B$4:$AR$4,1,36-Projects!$C$22+1),0)+IF(AND(Projects!$G$23="Yes",36&gt;=Projects!$C$23,36&lt;Projects!$C$23+Projects!$D$23),Projects!$B$23*INDEX(Curves!$B$4:$AR$4,1,36-Projects!$C$23+1),0)+IF(AND(Projects!$G$24="Yes",36&gt;=Projects!$C$24,36&lt;Projects!$C$24+Projects!$D$24),Projects!$B$24*INDEX(Curves!$B$4:$AR$4,1,36-Projects!$C$24+1),0)+IF(AND(Projects!$G$25="Yes",36&gt;=Projects!$C$25,36&lt;Projects!$C$25+Projects!$D$25),Projects!$B$25*INDEX(Curves!$B$4:$AR$4,1,36-Projects!$C$25+1),0)+IF(AND(Projects!$G$26="Yes",36&gt;=Projects!$C$26,36&lt;Projects!$C$26+Projects!$D$26),Projects!$B$26*INDEX(Curves!$B$4:$AR$4,1,36-Projects!$C$26+1),0)+IF(AND(Projects!$G$27="Yes",36&gt;=Projects!$C$27,36&lt;Projects!$C$27+Projects!$D$27),Projects!$B$27*INDEX(Curves!$B$4:$AR$4,1,36-Projects!$C$27+1),0)+IF(AND(Projects!$G$28="Yes",36&gt;=Projects!$C$28,36&lt;Projects!$C$28+Projects!$D$28),Projects!$B$28*INDEX(Curves!$B$4:$AR$4,1,36-Projects!$C$28+1),0)+IF(AND(Projects!$G$29="Yes",36&gt;=Projects!$C$29,36&lt;Projects!$C$29+Projects!$D$29),Projects!$B$29*INDEX(Curves!$B$4:$AR$4,1,36-Projects!$C$29+1),0)+IF(AND(Projects!$G$30="Yes",36&gt;=Projects!$C$30,36&lt;Projects!$C$30+Projects!$D$30),Projects!$B$30*INDEX(Curves!$B$4:$AR$4,1,36-Projects!$C$30+1),0)+IF(AND(Projects!$G$31="Yes",36&gt;=Projects!$C$31,36&lt;Projects!$C$31+Projects!$D$31),Projects!$B$31*INDEX(Curves!$B$4:$AR$4,1,36-Projects!$C$31+1),0)+IF(AND(Projects!$G$32="Yes",36&gt;=Projects!$C$32,36&lt;Projects!$C$32+Projects!$D$32),Projects!$B$32*INDEX(Curves!$B$4:$AR$4,1,36-Projects!$C$32+1),0)+IF(AND(Projects!$G$33="Yes",36&gt;=Projects!$C$33,36&lt;Projects!$C$33+Projects!$D$33),Projects!$B$33*INDEX(Curves!$B$4:$AR$4,1,36-Projects!$C$33+1),0)+IF(AND(Projects!$G$34="Yes",36&gt;=Projects!$C$34,36&lt;Projects!$C$34+Projects!$D$34),Projects!$B$34*INDEX(Curves!$B$4:$AR$4,1,36-Projects!$C$34+1),0)+IF(AND(Projects!$G$35="Yes",36&gt;=Projects!$C$35,36&lt;Projects!$C$35+Projects!$D$35),Projects!$B$35*INDEX(Curves!$B$4:$AR$4,1,36-Projects!$C$35+1),0)+IF(AND(Projects!$G$36="Yes",36&gt;=Projects!$C$36,36&lt;Projects!$C$36+Projects!$D$36),Projects!$B$36*INDEX(Curves!$B$4:$AR$4,1,36-Projects!$C$36+1),0)+IF(AND(Projects!$G$37="Yes",36&gt;=Projects!$C$37,36&lt;Projects!$C$37+Projects!$D$37),Projects!$B$37*INDEX(Curves!$B$4:$AR$4,1,36-Projects!$C$37+1),0)+IF(AND(Projects!$G$38="Yes",36&gt;=Projects!$C$38,36&lt;Projects!$C$38+Projects!$D$38),Projects!$B$38*INDEX(Curves!$B$4:$AR$4,1,36-Projects!$C$38+1),0)+IF(AND(Projects!$G$39="Yes",36&gt;=Projects!$C$39,36&lt;Projects!$C$39+Projects!$D$39),Projects!$B$39*INDEX(Curves!$B$4:$AR$4,1,36-Projects!$C$39+1),0)+IF(AND(Projects!$G$40="Yes",36&gt;=Projects!$C$40,36&lt;Projects!$C$40+Projects!$D$40),Projects!$B$40*INDEX(Curves!$B$4:$AR$4,1,36-Projects!$C$40+1),0)+IF(AND(Projects!$G$41="Yes",36&gt;=Projects!$C$41,36&lt;Projects!$C$41+Projects!$D$41),Projects!$B$41*INDEX(Curves!$B$4:$AR$4,1,36-Projects!$C$41+1),0)+IF(AND(Projects!$G$42="Yes",36&gt;=Projects!$C$42,36&lt;Projects!$C$42+Projects!$D$42),Projects!$B$42*INDEX(Curves!$B$4:$AR$4,1,36-Projects!$C$42+1),0)+IF(AND(Projects!$G$43="Yes",36&gt;=Projects!$C$43,36&lt;Projects!$C$43+Projects!$D$43),Projects!$B$43*INDEX(Curves!$B$4:$AR$4,1,36-Projects!$C$43+1),0)+IF(AND(Projects!$G$44="Yes",36&gt;=Projects!$C$44,36&lt;Projects!$C$44+Projects!$D$44),Projects!$B$44*INDEX(Curves!$B$4:$AR$4,1,36-Projects!$C$44+1),0)+IF(AND(Projects!$G$45="Yes",36&gt;=Projects!$C$45,36&lt;Projects!$C$45+Projects!$D$45),Projects!$B$45*INDEX(Curves!$B$4:$AR$4,1,36-Projects!$C$45+1),0)+IF(AND(Projects!$G$46="Yes",36&gt;=Projects!$C$46,36&lt;Projects!$C$46+Projects!$D$46),Projects!$B$46*INDEX(Curves!$B$4:$AR$4,1,36-Projects!$C$46+1),0)</f>
        <v/>
      </c>
      <c r="AP96" s="688">
        <f>IF(AND(Projects!$G$17="Yes",37&gt;=Projects!$C$17,37&lt;Projects!$C$17+Projects!$D$17),Projects!$B$17*INDEX(Curves!$B$4:$AR$4,1,37-Projects!$C$17+1),0)+IF(AND(Projects!$G$18="Yes",37&gt;=Projects!$C$18,37&lt;Projects!$C$18+Projects!$D$18),Projects!$B$18*INDEX(Curves!$B$4:$AR$4,1,37-Projects!$C$18+1),0)+IF(AND(Projects!$G$19="Yes",37&gt;=Projects!$C$19,37&lt;Projects!$C$19+Projects!$D$19),Projects!$B$19*INDEX(Curves!$B$4:$AR$4,1,37-Projects!$C$19+1),0)+IF(AND(Projects!$G$20="Yes",37&gt;=Projects!$C$20,37&lt;Projects!$C$20+Projects!$D$20),Projects!$B$20*INDEX(Curves!$B$4:$AR$4,1,37-Projects!$C$20+1),0)+IF(AND(Projects!$G$21="Yes",37&gt;=Projects!$C$21,37&lt;Projects!$C$21+Projects!$D$21),Projects!$B$21*INDEX(Curves!$B$4:$AR$4,1,37-Projects!$C$21+1),0)+IF(AND(Projects!$G$22="Yes",37&gt;=Projects!$C$22,37&lt;Projects!$C$22+Projects!$D$22),Projects!$B$22*INDEX(Curves!$B$4:$AR$4,1,37-Projects!$C$22+1),0)+IF(AND(Projects!$G$23="Yes",37&gt;=Projects!$C$23,37&lt;Projects!$C$23+Projects!$D$23),Projects!$B$23*INDEX(Curves!$B$4:$AR$4,1,37-Projects!$C$23+1),0)+IF(AND(Projects!$G$24="Yes",37&gt;=Projects!$C$24,37&lt;Projects!$C$24+Projects!$D$24),Projects!$B$24*INDEX(Curves!$B$4:$AR$4,1,37-Projects!$C$24+1),0)+IF(AND(Projects!$G$25="Yes",37&gt;=Projects!$C$25,37&lt;Projects!$C$25+Projects!$D$25),Projects!$B$25*INDEX(Curves!$B$4:$AR$4,1,37-Projects!$C$25+1),0)+IF(AND(Projects!$G$26="Yes",37&gt;=Projects!$C$26,37&lt;Projects!$C$26+Projects!$D$26),Projects!$B$26*INDEX(Curves!$B$4:$AR$4,1,37-Projects!$C$26+1),0)+IF(AND(Projects!$G$27="Yes",37&gt;=Projects!$C$27,37&lt;Projects!$C$27+Projects!$D$27),Projects!$B$27*INDEX(Curves!$B$4:$AR$4,1,37-Projects!$C$27+1),0)+IF(AND(Projects!$G$28="Yes",37&gt;=Projects!$C$28,37&lt;Projects!$C$28+Projects!$D$28),Projects!$B$28*INDEX(Curves!$B$4:$AR$4,1,37-Projects!$C$28+1),0)+IF(AND(Projects!$G$29="Yes",37&gt;=Projects!$C$29,37&lt;Projects!$C$29+Projects!$D$29),Projects!$B$29*INDEX(Curves!$B$4:$AR$4,1,37-Projects!$C$29+1),0)+IF(AND(Projects!$G$30="Yes",37&gt;=Projects!$C$30,37&lt;Projects!$C$30+Projects!$D$30),Projects!$B$30*INDEX(Curves!$B$4:$AR$4,1,37-Projects!$C$30+1),0)+IF(AND(Projects!$G$31="Yes",37&gt;=Projects!$C$31,37&lt;Projects!$C$31+Projects!$D$31),Projects!$B$31*INDEX(Curves!$B$4:$AR$4,1,37-Projects!$C$31+1),0)+IF(AND(Projects!$G$32="Yes",37&gt;=Projects!$C$32,37&lt;Projects!$C$32+Projects!$D$32),Projects!$B$32*INDEX(Curves!$B$4:$AR$4,1,37-Projects!$C$32+1),0)+IF(AND(Projects!$G$33="Yes",37&gt;=Projects!$C$33,37&lt;Projects!$C$33+Projects!$D$33),Projects!$B$33*INDEX(Curves!$B$4:$AR$4,1,37-Projects!$C$33+1),0)+IF(AND(Projects!$G$34="Yes",37&gt;=Projects!$C$34,37&lt;Projects!$C$34+Projects!$D$34),Projects!$B$34*INDEX(Curves!$B$4:$AR$4,1,37-Projects!$C$34+1),0)+IF(AND(Projects!$G$35="Yes",37&gt;=Projects!$C$35,37&lt;Projects!$C$35+Projects!$D$35),Projects!$B$35*INDEX(Curves!$B$4:$AR$4,1,37-Projects!$C$35+1),0)+IF(AND(Projects!$G$36="Yes",37&gt;=Projects!$C$36,37&lt;Projects!$C$36+Projects!$D$36),Projects!$B$36*INDEX(Curves!$B$4:$AR$4,1,37-Projects!$C$36+1),0)+IF(AND(Projects!$G$37="Yes",37&gt;=Projects!$C$37,37&lt;Projects!$C$37+Projects!$D$37),Projects!$B$37*INDEX(Curves!$B$4:$AR$4,1,37-Projects!$C$37+1),0)+IF(AND(Projects!$G$38="Yes",37&gt;=Projects!$C$38,37&lt;Projects!$C$38+Projects!$D$38),Projects!$B$38*INDEX(Curves!$B$4:$AR$4,1,37-Projects!$C$38+1),0)+IF(AND(Projects!$G$39="Yes",37&gt;=Projects!$C$39,37&lt;Projects!$C$39+Projects!$D$39),Projects!$B$39*INDEX(Curves!$B$4:$AR$4,1,37-Projects!$C$39+1),0)+IF(AND(Projects!$G$40="Yes",37&gt;=Projects!$C$40,37&lt;Projects!$C$40+Projects!$D$40),Projects!$B$40*INDEX(Curves!$B$4:$AR$4,1,37-Projects!$C$40+1),0)+IF(AND(Projects!$G$41="Yes",37&gt;=Projects!$C$41,37&lt;Projects!$C$41+Projects!$D$41),Projects!$B$41*INDEX(Curves!$B$4:$AR$4,1,37-Projects!$C$41+1),0)+IF(AND(Projects!$G$42="Yes",37&gt;=Projects!$C$42,37&lt;Projects!$C$42+Projects!$D$42),Projects!$B$42*INDEX(Curves!$B$4:$AR$4,1,37-Projects!$C$42+1),0)+IF(AND(Projects!$G$43="Yes",37&gt;=Projects!$C$43,37&lt;Projects!$C$43+Projects!$D$43),Projects!$B$43*INDEX(Curves!$B$4:$AR$4,1,37-Projects!$C$43+1),0)+IF(AND(Projects!$G$44="Yes",37&gt;=Projects!$C$44,37&lt;Projects!$C$44+Projects!$D$44),Projects!$B$44*INDEX(Curves!$B$4:$AR$4,1,37-Projects!$C$44+1),0)+IF(AND(Projects!$G$45="Yes",37&gt;=Projects!$C$45,37&lt;Projects!$C$45+Projects!$D$45),Projects!$B$45*INDEX(Curves!$B$4:$AR$4,1,37-Projects!$C$45+1),0)+IF(AND(Projects!$G$46="Yes",37&gt;=Projects!$C$46,37&lt;Projects!$C$46+Projects!$D$46),Projects!$B$46*INDEX(Curves!$B$4:$AR$4,1,37-Projects!$C$46+1),0)</f>
        <v/>
      </c>
      <c r="AQ96" s="688">
        <f>IF(AND(Projects!$G$17="Yes",38&gt;=Projects!$C$17,38&lt;Projects!$C$17+Projects!$D$17),Projects!$B$17*INDEX(Curves!$B$4:$AR$4,1,38-Projects!$C$17+1),0)+IF(AND(Projects!$G$18="Yes",38&gt;=Projects!$C$18,38&lt;Projects!$C$18+Projects!$D$18),Projects!$B$18*INDEX(Curves!$B$4:$AR$4,1,38-Projects!$C$18+1),0)+IF(AND(Projects!$G$19="Yes",38&gt;=Projects!$C$19,38&lt;Projects!$C$19+Projects!$D$19),Projects!$B$19*INDEX(Curves!$B$4:$AR$4,1,38-Projects!$C$19+1),0)+IF(AND(Projects!$G$20="Yes",38&gt;=Projects!$C$20,38&lt;Projects!$C$20+Projects!$D$20),Projects!$B$20*INDEX(Curves!$B$4:$AR$4,1,38-Projects!$C$20+1),0)+IF(AND(Projects!$G$21="Yes",38&gt;=Projects!$C$21,38&lt;Projects!$C$21+Projects!$D$21),Projects!$B$21*INDEX(Curves!$B$4:$AR$4,1,38-Projects!$C$21+1),0)+IF(AND(Projects!$G$22="Yes",38&gt;=Projects!$C$22,38&lt;Projects!$C$22+Projects!$D$22),Projects!$B$22*INDEX(Curves!$B$4:$AR$4,1,38-Projects!$C$22+1),0)+IF(AND(Projects!$G$23="Yes",38&gt;=Projects!$C$23,38&lt;Projects!$C$23+Projects!$D$23),Projects!$B$23*INDEX(Curves!$B$4:$AR$4,1,38-Projects!$C$23+1),0)+IF(AND(Projects!$G$24="Yes",38&gt;=Projects!$C$24,38&lt;Projects!$C$24+Projects!$D$24),Projects!$B$24*INDEX(Curves!$B$4:$AR$4,1,38-Projects!$C$24+1),0)+IF(AND(Projects!$G$25="Yes",38&gt;=Projects!$C$25,38&lt;Projects!$C$25+Projects!$D$25),Projects!$B$25*INDEX(Curves!$B$4:$AR$4,1,38-Projects!$C$25+1),0)+IF(AND(Projects!$G$26="Yes",38&gt;=Projects!$C$26,38&lt;Projects!$C$26+Projects!$D$26),Projects!$B$26*INDEX(Curves!$B$4:$AR$4,1,38-Projects!$C$26+1),0)+IF(AND(Projects!$G$27="Yes",38&gt;=Projects!$C$27,38&lt;Projects!$C$27+Projects!$D$27),Projects!$B$27*INDEX(Curves!$B$4:$AR$4,1,38-Projects!$C$27+1),0)+IF(AND(Projects!$G$28="Yes",38&gt;=Projects!$C$28,38&lt;Projects!$C$28+Projects!$D$28),Projects!$B$28*INDEX(Curves!$B$4:$AR$4,1,38-Projects!$C$28+1),0)+IF(AND(Projects!$G$29="Yes",38&gt;=Projects!$C$29,38&lt;Projects!$C$29+Projects!$D$29),Projects!$B$29*INDEX(Curves!$B$4:$AR$4,1,38-Projects!$C$29+1),0)+IF(AND(Projects!$G$30="Yes",38&gt;=Projects!$C$30,38&lt;Projects!$C$30+Projects!$D$30),Projects!$B$30*INDEX(Curves!$B$4:$AR$4,1,38-Projects!$C$30+1),0)+IF(AND(Projects!$G$31="Yes",38&gt;=Projects!$C$31,38&lt;Projects!$C$31+Projects!$D$31),Projects!$B$31*INDEX(Curves!$B$4:$AR$4,1,38-Projects!$C$31+1),0)+IF(AND(Projects!$G$32="Yes",38&gt;=Projects!$C$32,38&lt;Projects!$C$32+Projects!$D$32),Projects!$B$32*INDEX(Curves!$B$4:$AR$4,1,38-Projects!$C$32+1),0)+IF(AND(Projects!$G$33="Yes",38&gt;=Projects!$C$33,38&lt;Projects!$C$33+Projects!$D$33),Projects!$B$33*INDEX(Curves!$B$4:$AR$4,1,38-Projects!$C$33+1),0)+IF(AND(Projects!$G$34="Yes",38&gt;=Projects!$C$34,38&lt;Projects!$C$34+Projects!$D$34),Projects!$B$34*INDEX(Curves!$B$4:$AR$4,1,38-Projects!$C$34+1),0)+IF(AND(Projects!$G$35="Yes",38&gt;=Projects!$C$35,38&lt;Projects!$C$35+Projects!$D$35),Projects!$B$35*INDEX(Curves!$B$4:$AR$4,1,38-Projects!$C$35+1),0)+IF(AND(Projects!$G$36="Yes",38&gt;=Projects!$C$36,38&lt;Projects!$C$36+Projects!$D$36),Projects!$B$36*INDEX(Curves!$B$4:$AR$4,1,38-Projects!$C$36+1),0)+IF(AND(Projects!$G$37="Yes",38&gt;=Projects!$C$37,38&lt;Projects!$C$37+Projects!$D$37),Projects!$B$37*INDEX(Curves!$B$4:$AR$4,1,38-Projects!$C$37+1),0)+IF(AND(Projects!$G$38="Yes",38&gt;=Projects!$C$38,38&lt;Projects!$C$38+Projects!$D$38),Projects!$B$38*INDEX(Curves!$B$4:$AR$4,1,38-Projects!$C$38+1),0)+IF(AND(Projects!$G$39="Yes",38&gt;=Projects!$C$39,38&lt;Projects!$C$39+Projects!$D$39),Projects!$B$39*INDEX(Curves!$B$4:$AR$4,1,38-Projects!$C$39+1),0)+IF(AND(Projects!$G$40="Yes",38&gt;=Projects!$C$40,38&lt;Projects!$C$40+Projects!$D$40),Projects!$B$40*INDEX(Curves!$B$4:$AR$4,1,38-Projects!$C$40+1),0)+IF(AND(Projects!$G$41="Yes",38&gt;=Projects!$C$41,38&lt;Projects!$C$41+Projects!$D$41),Projects!$B$41*INDEX(Curves!$B$4:$AR$4,1,38-Projects!$C$41+1),0)+IF(AND(Projects!$G$42="Yes",38&gt;=Projects!$C$42,38&lt;Projects!$C$42+Projects!$D$42),Projects!$B$42*INDEX(Curves!$B$4:$AR$4,1,38-Projects!$C$42+1),0)+IF(AND(Projects!$G$43="Yes",38&gt;=Projects!$C$43,38&lt;Projects!$C$43+Projects!$D$43),Projects!$B$43*INDEX(Curves!$B$4:$AR$4,1,38-Projects!$C$43+1),0)+IF(AND(Projects!$G$44="Yes",38&gt;=Projects!$C$44,38&lt;Projects!$C$44+Projects!$D$44),Projects!$B$44*INDEX(Curves!$B$4:$AR$4,1,38-Projects!$C$44+1),0)+IF(AND(Projects!$G$45="Yes",38&gt;=Projects!$C$45,38&lt;Projects!$C$45+Projects!$D$45),Projects!$B$45*INDEX(Curves!$B$4:$AR$4,1,38-Projects!$C$45+1),0)+IF(AND(Projects!$G$46="Yes",38&gt;=Projects!$C$46,38&lt;Projects!$C$46+Projects!$D$46),Projects!$B$46*INDEX(Curves!$B$4:$AR$4,1,38-Projects!$C$46+1),0)</f>
        <v/>
      </c>
      <c r="AR96" s="688">
        <f>IF(AND(Projects!$G$17="Yes",39&gt;=Projects!$C$17,39&lt;Projects!$C$17+Projects!$D$17),Projects!$B$17*INDEX(Curves!$B$4:$AR$4,1,39-Projects!$C$17+1),0)+IF(AND(Projects!$G$18="Yes",39&gt;=Projects!$C$18,39&lt;Projects!$C$18+Projects!$D$18),Projects!$B$18*INDEX(Curves!$B$4:$AR$4,1,39-Projects!$C$18+1),0)+IF(AND(Projects!$G$19="Yes",39&gt;=Projects!$C$19,39&lt;Projects!$C$19+Projects!$D$19),Projects!$B$19*INDEX(Curves!$B$4:$AR$4,1,39-Projects!$C$19+1),0)+IF(AND(Projects!$G$20="Yes",39&gt;=Projects!$C$20,39&lt;Projects!$C$20+Projects!$D$20),Projects!$B$20*INDEX(Curves!$B$4:$AR$4,1,39-Projects!$C$20+1),0)+IF(AND(Projects!$G$21="Yes",39&gt;=Projects!$C$21,39&lt;Projects!$C$21+Projects!$D$21),Projects!$B$21*INDEX(Curves!$B$4:$AR$4,1,39-Projects!$C$21+1),0)+IF(AND(Projects!$G$22="Yes",39&gt;=Projects!$C$22,39&lt;Projects!$C$22+Projects!$D$22),Projects!$B$22*INDEX(Curves!$B$4:$AR$4,1,39-Projects!$C$22+1),0)+IF(AND(Projects!$G$23="Yes",39&gt;=Projects!$C$23,39&lt;Projects!$C$23+Projects!$D$23),Projects!$B$23*INDEX(Curves!$B$4:$AR$4,1,39-Projects!$C$23+1),0)+IF(AND(Projects!$G$24="Yes",39&gt;=Projects!$C$24,39&lt;Projects!$C$24+Projects!$D$24),Projects!$B$24*INDEX(Curves!$B$4:$AR$4,1,39-Projects!$C$24+1),0)+IF(AND(Projects!$G$25="Yes",39&gt;=Projects!$C$25,39&lt;Projects!$C$25+Projects!$D$25),Projects!$B$25*INDEX(Curves!$B$4:$AR$4,1,39-Projects!$C$25+1),0)+IF(AND(Projects!$G$26="Yes",39&gt;=Projects!$C$26,39&lt;Projects!$C$26+Projects!$D$26),Projects!$B$26*INDEX(Curves!$B$4:$AR$4,1,39-Projects!$C$26+1),0)+IF(AND(Projects!$G$27="Yes",39&gt;=Projects!$C$27,39&lt;Projects!$C$27+Projects!$D$27),Projects!$B$27*INDEX(Curves!$B$4:$AR$4,1,39-Projects!$C$27+1),0)+IF(AND(Projects!$G$28="Yes",39&gt;=Projects!$C$28,39&lt;Projects!$C$28+Projects!$D$28),Projects!$B$28*INDEX(Curves!$B$4:$AR$4,1,39-Projects!$C$28+1),0)+IF(AND(Projects!$G$29="Yes",39&gt;=Projects!$C$29,39&lt;Projects!$C$29+Projects!$D$29),Projects!$B$29*INDEX(Curves!$B$4:$AR$4,1,39-Projects!$C$29+1),0)+IF(AND(Projects!$G$30="Yes",39&gt;=Projects!$C$30,39&lt;Projects!$C$30+Projects!$D$30),Projects!$B$30*INDEX(Curves!$B$4:$AR$4,1,39-Projects!$C$30+1),0)+IF(AND(Projects!$G$31="Yes",39&gt;=Projects!$C$31,39&lt;Projects!$C$31+Projects!$D$31),Projects!$B$31*INDEX(Curves!$B$4:$AR$4,1,39-Projects!$C$31+1),0)+IF(AND(Projects!$G$32="Yes",39&gt;=Projects!$C$32,39&lt;Projects!$C$32+Projects!$D$32),Projects!$B$32*INDEX(Curves!$B$4:$AR$4,1,39-Projects!$C$32+1),0)+IF(AND(Projects!$G$33="Yes",39&gt;=Projects!$C$33,39&lt;Projects!$C$33+Projects!$D$33),Projects!$B$33*INDEX(Curves!$B$4:$AR$4,1,39-Projects!$C$33+1),0)+IF(AND(Projects!$G$34="Yes",39&gt;=Projects!$C$34,39&lt;Projects!$C$34+Projects!$D$34),Projects!$B$34*INDEX(Curves!$B$4:$AR$4,1,39-Projects!$C$34+1),0)+IF(AND(Projects!$G$35="Yes",39&gt;=Projects!$C$35,39&lt;Projects!$C$35+Projects!$D$35),Projects!$B$35*INDEX(Curves!$B$4:$AR$4,1,39-Projects!$C$35+1),0)+IF(AND(Projects!$G$36="Yes",39&gt;=Projects!$C$36,39&lt;Projects!$C$36+Projects!$D$36),Projects!$B$36*INDEX(Curves!$B$4:$AR$4,1,39-Projects!$C$36+1),0)+IF(AND(Projects!$G$37="Yes",39&gt;=Projects!$C$37,39&lt;Projects!$C$37+Projects!$D$37),Projects!$B$37*INDEX(Curves!$B$4:$AR$4,1,39-Projects!$C$37+1),0)+IF(AND(Projects!$G$38="Yes",39&gt;=Projects!$C$38,39&lt;Projects!$C$38+Projects!$D$38),Projects!$B$38*INDEX(Curves!$B$4:$AR$4,1,39-Projects!$C$38+1),0)+IF(AND(Projects!$G$39="Yes",39&gt;=Projects!$C$39,39&lt;Projects!$C$39+Projects!$D$39),Projects!$B$39*INDEX(Curves!$B$4:$AR$4,1,39-Projects!$C$39+1),0)+IF(AND(Projects!$G$40="Yes",39&gt;=Projects!$C$40,39&lt;Projects!$C$40+Projects!$D$40),Projects!$B$40*INDEX(Curves!$B$4:$AR$4,1,39-Projects!$C$40+1),0)+IF(AND(Projects!$G$41="Yes",39&gt;=Projects!$C$41,39&lt;Projects!$C$41+Projects!$D$41),Projects!$B$41*INDEX(Curves!$B$4:$AR$4,1,39-Projects!$C$41+1),0)+IF(AND(Projects!$G$42="Yes",39&gt;=Projects!$C$42,39&lt;Projects!$C$42+Projects!$D$42),Projects!$B$42*INDEX(Curves!$B$4:$AR$4,1,39-Projects!$C$42+1),0)+IF(AND(Projects!$G$43="Yes",39&gt;=Projects!$C$43,39&lt;Projects!$C$43+Projects!$D$43),Projects!$B$43*INDEX(Curves!$B$4:$AR$4,1,39-Projects!$C$43+1),0)+IF(AND(Projects!$G$44="Yes",39&gt;=Projects!$C$44,39&lt;Projects!$C$44+Projects!$D$44),Projects!$B$44*INDEX(Curves!$B$4:$AR$4,1,39-Projects!$C$44+1),0)+IF(AND(Projects!$G$45="Yes",39&gt;=Projects!$C$45,39&lt;Projects!$C$45+Projects!$D$45),Projects!$B$45*INDEX(Curves!$B$4:$AR$4,1,39-Projects!$C$45+1),0)+IF(AND(Projects!$G$46="Yes",39&gt;=Projects!$C$46,39&lt;Projects!$C$46+Projects!$D$46),Projects!$B$46*INDEX(Curves!$B$4:$AR$4,1,39-Projects!$C$46+1),0)</f>
        <v/>
      </c>
      <c r="AS96" s="688">
        <f>IF(AND(Projects!$G$17="Yes",40&gt;=Projects!$C$17,40&lt;Projects!$C$17+Projects!$D$17),Projects!$B$17*INDEX(Curves!$B$4:$AR$4,1,40-Projects!$C$17+1),0)+IF(AND(Projects!$G$18="Yes",40&gt;=Projects!$C$18,40&lt;Projects!$C$18+Projects!$D$18),Projects!$B$18*INDEX(Curves!$B$4:$AR$4,1,40-Projects!$C$18+1),0)+IF(AND(Projects!$G$19="Yes",40&gt;=Projects!$C$19,40&lt;Projects!$C$19+Projects!$D$19),Projects!$B$19*INDEX(Curves!$B$4:$AR$4,1,40-Projects!$C$19+1),0)+IF(AND(Projects!$G$20="Yes",40&gt;=Projects!$C$20,40&lt;Projects!$C$20+Projects!$D$20),Projects!$B$20*INDEX(Curves!$B$4:$AR$4,1,40-Projects!$C$20+1),0)+IF(AND(Projects!$G$21="Yes",40&gt;=Projects!$C$21,40&lt;Projects!$C$21+Projects!$D$21),Projects!$B$21*INDEX(Curves!$B$4:$AR$4,1,40-Projects!$C$21+1),0)+IF(AND(Projects!$G$22="Yes",40&gt;=Projects!$C$22,40&lt;Projects!$C$22+Projects!$D$22),Projects!$B$22*INDEX(Curves!$B$4:$AR$4,1,40-Projects!$C$22+1),0)+IF(AND(Projects!$G$23="Yes",40&gt;=Projects!$C$23,40&lt;Projects!$C$23+Projects!$D$23),Projects!$B$23*INDEX(Curves!$B$4:$AR$4,1,40-Projects!$C$23+1),0)+IF(AND(Projects!$G$24="Yes",40&gt;=Projects!$C$24,40&lt;Projects!$C$24+Projects!$D$24),Projects!$B$24*INDEX(Curves!$B$4:$AR$4,1,40-Projects!$C$24+1),0)+IF(AND(Projects!$G$25="Yes",40&gt;=Projects!$C$25,40&lt;Projects!$C$25+Projects!$D$25),Projects!$B$25*INDEX(Curves!$B$4:$AR$4,1,40-Projects!$C$25+1),0)+IF(AND(Projects!$G$26="Yes",40&gt;=Projects!$C$26,40&lt;Projects!$C$26+Projects!$D$26),Projects!$B$26*INDEX(Curves!$B$4:$AR$4,1,40-Projects!$C$26+1),0)+IF(AND(Projects!$G$27="Yes",40&gt;=Projects!$C$27,40&lt;Projects!$C$27+Projects!$D$27),Projects!$B$27*INDEX(Curves!$B$4:$AR$4,1,40-Projects!$C$27+1),0)+IF(AND(Projects!$G$28="Yes",40&gt;=Projects!$C$28,40&lt;Projects!$C$28+Projects!$D$28),Projects!$B$28*INDEX(Curves!$B$4:$AR$4,1,40-Projects!$C$28+1),0)+IF(AND(Projects!$G$29="Yes",40&gt;=Projects!$C$29,40&lt;Projects!$C$29+Projects!$D$29),Projects!$B$29*INDEX(Curves!$B$4:$AR$4,1,40-Projects!$C$29+1),0)+IF(AND(Projects!$G$30="Yes",40&gt;=Projects!$C$30,40&lt;Projects!$C$30+Projects!$D$30),Projects!$B$30*INDEX(Curves!$B$4:$AR$4,1,40-Projects!$C$30+1),0)+IF(AND(Projects!$G$31="Yes",40&gt;=Projects!$C$31,40&lt;Projects!$C$31+Projects!$D$31),Projects!$B$31*INDEX(Curves!$B$4:$AR$4,1,40-Projects!$C$31+1),0)+IF(AND(Projects!$G$32="Yes",40&gt;=Projects!$C$32,40&lt;Projects!$C$32+Projects!$D$32),Projects!$B$32*INDEX(Curves!$B$4:$AR$4,1,40-Projects!$C$32+1),0)+IF(AND(Projects!$G$33="Yes",40&gt;=Projects!$C$33,40&lt;Projects!$C$33+Projects!$D$33),Projects!$B$33*INDEX(Curves!$B$4:$AR$4,1,40-Projects!$C$33+1),0)+IF(AND(Projects!$G$34="Yes",40&gt;=Projects!$C$34,40&lt;Projects!$C$34+Projects!$D$34),Projects!$B$34*INDEX(Curves!$B$4:$AR$4,1,40-Projects!$C$34+1),0)+IF(AND(Projects!$G$35="Yes",40&gt;=Projects!$C$35,40&lt;Projects!$C$35+Projects!$D$35),Projects!$B$35*INDEX(Curves!$B$4:$AR$4,1,40-Projects!$C$35+1),0)+IF(AND(Projects!$G$36="Yes",40&gt;=Projects!$C$36,40&lt;Projects!$C$36+Projects!$D$36),Projects!$B$36*INDEX(Curves!$B$4:$AR$4,1,40-Projects!$C$36+1),0)+IF(AND(Projects!$G$37="Yes",40&gt;=Projects!$C$37,40&lt;Projects!$C$37+Projects!$D$37),Projects!$B$37*INDEX(Curves!$B$4:$AR$4,1,40-Projects!$C$37+1),0)+IF(AND(Projects!$G$38="Yes",40&gt;=Projects!$C$38,40&lt;Projects!$C$38+Projects!$D$38),Projects!$B$38*INDEX(Curves!$B$4:$AR$4,1,40-Projects!$C$38+1),0)+IF(AND(Projects!$G$39="Yes",40&gt;=Projects!$C$39,40&lt;Projects!$C$39+Projects!$D$39),Projects!$B$39*INDEX(Curves!$B$4:$AR$4,1,40-Projects!$C$39+1),0)+IF(AND(Projects!$G$40="Yes",40&gt;=Projects!$C$40,40&lt;Projects!$C$40+Projects!$D$40),Projects!$B$40*INDEX(Curves!$B$4:$AR$4,1,40-Projects!$C$40+1),0)+IF(AND(Projects!$G$41="Yes",40&gt;=Projects!$C$41,40&lt;Projects!$C$41+Projects!$D$41),Projects!$B$41*INDEX(Curves!$B$4:$AR$4,1,40-Projects!$C$41+1),0)+IF(AND(Projects!$G$42="Yes",40&gt;=Projects!$C$42,40&lt;Projects!$C$42+Projects!$D$42),Projects!$B$42*INDEX(Curves!$B$4:$AR$4,1,40-Projects!$C$42+1),0)+IF(AND(Projects!$G$43="Yes",40&gt;=Projects!$C$43,40&lt;Projects!$C$43+Projects!$D$43),Projects!$B$43*INDEX(Curves!$B$4:$AR$4,1,40-Projects!$C$43+1),0)+IF(AND(Projects!$G$44="Yes",40&gt;=Projects!$C$44,40&lt;Projects!$C$44+Projects!$D$44),Projects!$B$44*INDEX(Curves!$B$4:$AR$4,1,40-Projects!$C$44+1),0)+IF(AND(Projects!$G$45="Yes",40&gt;=Projects!$C$45,40&lt;Projects!$C$45+Projects!$D$45),Projects!$B$45*INDEX(Curves!$B$4:$AR$4,1,40-Projects!$C$45+1),0)+IF(AND(Projects!$G$46="Yes",40&gt;=Projects!$C$46,40&lt;Projects!$C$46+Projects!$D$46),Projects!$B$46*INDEX(Curves!$B$4:$AR$4,1,40-Projects!$C$46+1),0)</f>
        <v/>
      </c>
      <c r="AT96" s="688">
        <f>IF(AND(Projects!$G$17="Yes",41&gt;=Projects!$C$17,41&lt;Projects!$C$17+Projects!$D$17),Projects!$B$17*INDEX(Curves!$B$4:$AR$4,1,41-Projects!$C$17+1),0)+IF(AND(Projects!$G$18="Yes",41&gt;=Projects!$C$18,41&lt;Projects!$C$18+Projects!$D$18),Projects!$B$18*INDEX(Curves!$B$4:$AR$4,1,41-Projects!$C$18+1),0)+IF(AND(Projects!$G$19="Yes",41&gt;=Projects!$C$19,41&lt;Projects!$C$19+Projects!$D$19),Projects!$B$19*INDEX(Curves!$B$4:$AR$4,1,41-Projects!$C$19+1),0)+IF(AND(Projects!$G$20="Yes",41&gt;=Projects!$C$20,41&lt;Projects!$C$20+Projects!$D$20),Projects!$B$20*INDEX(Curves!$B$4:$AR$4,1,41-Projects!$C$20+1),0)+IF(AND(Projects!$G$21="Yes",41&gt;=Projects!$C$21,41&lt;Projects!$C$21+Projects!$D$21),Projects!$B$21*INDEX(Curves!$B$4:$AR$4,1,41-Projects!$C$21+1),0)+IF(AND(Projects!$G$22="Yes",41&gt;=Projects!$C$22,41&lt;Projects!$C$22+Projects!$D$22),Projects!$B$22*INDEX(Curves!$B$4:$AR$4,1,41-Projects!$C$22+1),0)+IF(AND(Projects!$G$23="Yes",41&gt;=Projects!$C$23,41&lt;Projects!$C$23+Projects!$D$23),Projects!$B$23*INDEX(Curves!$B$4:$AR$4,1,41-Projects!$C$23+1),0)+IF(AND(Projects!$G$24="Yes",41&gt;=Projects!$C$24,41&lt;Projects!$C$24+Projects!$D$24),Projects!$B$24*INDEX(Curves!$B$4:$AR$4,1,41-Projects!$C$24+1),0)+IF(AND(Projects!$G$25="Yes",41&gt;=Projects!$C$25,41&lt;Projects!$C$25+Projects!$D$25),Projects!$B$25*INDEX(Curves!$B$4:$AR$4,1,41-Projects!$C$25+1),0)+IF(AND(Projects!$G$26="Yes",41&gt;=Projects!$C$26,41&lt;Projects!$C$26+Projects!$D$26),Projects!$B$26*INDEX(Curves!$B$4:$AR$4,1,41-Projects!$C$26+1),0)+IF(AND(Projects!$G$27="Yes",41&gt;=Projects!$C$27,41&lt;Projects!$C$27+Projects!$D$27),Projects!$B$27*INDEX(Curves!$B$4:$AR$4,1,41-Projects!$C$27+1),0)+IF(AND(Projects!$G$28="Yes",41&gt;=Projects!$C$28,41&lt;Projects!$C$28+Projects!$D$28),Projects!$B$28*INDEX(Curves!$B$4:$AR$4,1,41-Projects!$C$28+1),0)+IF(AND(Projects!$G$29="Yes",41&gt;=Projects!$C$29,41&lt;Projects!$C$29+Projects!$D$29),Projects!$B$29*INDEX(Curves!$B$4:$AR$4,1,41-Projects!$C$29+1),0)+IF(AND(Projects!$G$30="Yes",41&gt;=Projects!$C$30,41&lt;Projects!$C$30+Projects!$D$30),Projects!$B$30*INDEX(Curves!$B$4:$AR$4,1,41-Projects!$C$30+1),0)+IF(AND(Projects!$G$31="Yes",41&gt;=Projects!$C$31,41&lt;Projects!$C$31+Projects!$D$31),Projects!$B$31*INDEX(Curves!$B$4:$AR$4,1,41-Projects!$C$31+1),0)+IF(AND(Projects!$G$32="Yes",41&gt;=Projects!$C$32,41&lt;Projects!$C$32+Projects!$D$32),Projects!$B$32*INDEX(Curves!$B$4:$AR$4,1,41-Projects!$C$32+1),0)+IF(AND(Projects!$G$33="Yes",41&gt;=Projects!$C$33,41&lt;Projects!$C$33+Projects!$D$33),Projects!$B$33*INDEX(Curves!$B$4:$AR$4,1,41-Projects!$C$33+1),0)+IF(AND(Projects!$G$34="Yes",41&gt;=Projects!$C$34,41&lt;Projects!$C$34+Projects!$D$34),Projects!$B$34*INDEX(Curves!$B$4:$AR$4,1,41-Projects!$C$34+1),0)+IF(AND(Projects!$G$35="Yes",41&gt;=Projects!$C$35,41&lt;Projects!$C$35+Projects!$D$35),Projects!$B$35*INDEX(Curves!$B$4:$AR$4,1,41-Projects!$C$35+1),0)+IF(AND(Projects!$G$36="Yes",41&gt;=Projects!$C$36,41&lt;Projects!$C$36+Projects!$D$36),Projects!$B$36*INDEX(Curves!$B$4:$AR$4,1,41-Projects!$C$36+1),0)+IF(AND(Projects!$G$37="Yes",41&gt;=Projects!$C$37,41&lt;Projects!$C$37+Projects!$D$37),Projects!$B$37*INDEX(Curves!$B$4:$AR$4,1,41-Projects!$C$37+1),0)+IF(AND(Projects!$G$38="Yes",41&gt;=Projects!$C$38,41&lt;Projects!$C$38+Projects!$D$38),Projects!$B$38*INDEX(Curves!$B$4:$AR$4,1,41-Projects!$C$38+1),0)+IF(AND(Projects!$G$39="Yes",41&gt;=Projects!$C$39,41&lt;Projects!$C$39+Projects!$D$39),Projects!$B$39*INDEX(Curves!$B$4:$AR$4,1,41-Projects!$C$39+1),0)+IF(AND(Projects!$G$40="Yes",41&gt;=Projects!$C$40,41&lt;Projects!$C$40+Projects!$D$40),Projects!$B$40*INDEX(Curves!$B$4:$AR$4,1,41-Projects!$C$40+1),0)+IF(AND(Projects!$G$41="Yes",41&gt;=Projects!$C$41,41&lt;Projects!$C$41+Projects!$D$41),Projects!$B$41*INDEX(Curves!$B$4:$AR$4,1,41-Projects!$C$41+1),0)+IF(AND(Projects!$G$42="Yes",41&gt;=Projects!$C$42,41&lt;Projects!$C$42+Projects!$D$42),Projects!$B$42*INDEX(Curves!$B$4:$AR$4,1,41-Projects!$C$42+1),0)+IF(AND(Projects!$G$43="Yes",41&gt;=Projects!$C$43,41&lt;Projects!$C$43+Projects!$D$43),Projects!$B$43*INDEX(Curves!$B$4:$AR$4,1,41-Projects!$C$43+1),0)+IF(AND(Projects!$G$44="Yes",41&gt;=Projects!$C$44,41&lt;Projects!$C$44+Projects!$D$44),Projects!$B$44*INDEX(Curves!$B$4:$AR$4,1,41-Projects!$C$44+1),0)+IF(AND(Projects!$G$45="Yes",41&gt;=Projects!$C$45,41&lt;Projects!$C$45+Projects!$D$45),Projects!$B$45*INDEX(Curves!$B$4:$AR$4,1,41-Projects!$C$45+1),0)+IF(AND(Projects!$G$46="Yes",41&gt;=Projects!$C$46,41&lt;Projects!$C$46+Projects!$D$46),Projects!$B$46*INDEX(Curves!$B$4:$AR$4,1,41-Projects!$C$46+1),0)</f>
        <v/>
      </c>
      <c r="AU96" s="688">
        <f>IF(AND(Projects!$G$17="Yes",42&gt;=Projects!$C$17,42&lt;Projects!$C$17+Projects!$D$17),Projects!$B$17*INDEX(Curves!$B$4:$AR$4,1,42-Projects!$C$17+1),0)+IF(AND(Projects!$G$18="Yes",42&gt;=Projects!$C$18,42&lt;Projects!$C$18+Projects!$D$18),Projects!$B$18*INDEX(Curves!$B$4:$AR$4,1,42-Projects!$C$18+1),0)+IF(AND(Projects!$G$19="Yes",42&gt;=Projects!$C$19,42&lt;Projects!$C$19+Projects!$D$19),Projects!$B$19*INDEX(Curves!$B$4:$AR$4,1,42-Projects!$C$19+1),0)+IF(AND(Projects!$G$20="Yes",42&gt;=Projects!$C$20,42&lt;Projects!$C$20+Projects!$D$20),Projects!$B$20*INDEX(Curves!$B$4:$AR$4,1,42-Projects!$C$20+1),0)+IF(AND(Projects!$G$21="Yes",42&gt;=Projects!$C$21,42&lt;Projects!$C$21+Projects!$D$21),Projects!$B$21*INDEX(Curves!$B$4:$AR$4,1,42-Projects!$C$21+1),0)+IF(AND(Projects!$G$22="Yes",42&gt;=Projects!$C$22,42&lt;Projects!$C$22+Projects!$D$22),Projects!$B$22*INDEX(Curves!$B$4:$AR$4,1,42-Projects!$C$22+1),0)+IF(AND(Projects!$G$23="Yes",42&gt;=Projects!$C$23,42&lt;Projects!$C$23+Projects!$D$23),Projects!$B$23*INDEX(Curves!$B$4:$AR$4,1,42-Projects!$C$23+1),0)+IF(AND(Projects!$G$24="Yes",42&gt;=Projects!$C$24,42&lt;Projects!$C$24+Projects!$D$24),Projects!$B$24*INDEX(Curves!$B$4:$AR$4,1,42-Projects!$C$24+1),0)+IF(AND(Projects!$G$25="Yes",42&gt;=Projects!$C$25,42&lt;Projects!$C$25+Projects!$D$25),Projects!$B$25*INDEX(Curves!$B$4:$AR$4,1,42-Projects!$C$25+1),0)+IF(AND(Projects!$G$26="Yes",42&gt;=Projects!$C$26,42&lt;Projects!$C$26+Projects!$D$26),Projects!$B$26*INDEX(Curves!$B$4:$AR$4,1,42-Projects!$C$26+1),0)+IF(AND(Projects!$G$27="Yes",42&gt;=Projects!$C$27,42&lt;Projects!$C$27+Projects!$D$27),Projects!$B$27*INDEX(Curves!$B$4:$AR$4,1,42-Projects!$C$27+1),0)+IF(AND(Projects!$G$28="Yes",42&gt;=Projects!$C$28,42&lt;Projects!$C$28+Projects!$D$28),Projects!$B$28*INDEX(Curves!$B$4:$AR$4,1,42-Projects!$C$28+1),0)+IF(AND(Projects!$G$29="Yes",42&gt;=Projects!$C$29,42&lt;Projects!$C$29+Projects!$D$29),Projects!$B$29*INDEX(Curves!$B$4:$AR$4,1,42-Projects!$C$29+1),0)+IF(AND(Projects!$G$30="Yes",42&gt;=Projects!$C$30,42&lt;Projects!$C$30+Projects!$D$30),Projects!$B$30*INDEX(Curves!$B$4:$AR$4,1,42-Projects!$C$30+1),0)+IF(AND(Projects!$G$31="Yes",42&gt;=Projects!$C$31,42&lt;Projects!$C$31+Projects!$D$31),Projects!$B$31*INDEX(Curves!$B$4:$AR$4,1,42-Projects!$C$31+1),0)+IF(AND(Projects!$G$32="Yes",42&gt;=Projects!$C$32,42&lt;Projects!$C$32+Projects!$D$32),Projects!$B$32*INDEX(Curves!$B$4:$AR$4,1,42-Projects!$C$32+1),0)+IF(AND(Projects!$G$33="Yes",42&gt;=Projects!$C$33,42&lt;Projects!$C$33+Projects!$D$33),Projects!$B$33*INDEX(Curves!$B$4:$AR$4,1,42-Projects!$C$33+1),0)+IF(AND(Projects!$G$34="Yes",42&gt;=Projects!$C$34,42&lt;Projects!$C$34+Projects!$D$34),Projects!$B$34*INDEX(Curves!$B$4:$AR$4,1,42-Projects!$C$34+1),0)+IF(AND(Projects!$G$35="Yes",42&gt;=Projects!$C$35,42&lt;Projects!$C$35+Projects!$D$35),Projects!$B$35*INDEX(Curves!$B$4:$AR$4,1,42-Projects!$C$35+1),0)+IF(AND(Projects!$G$36="Yes",42&gt;=Projects!$C$36,42&lt;Projects!$C$36+Projects!$D$36),Projects!$B$36*INDEX(Curves!$B$4:$AR$4,1,42-Projects!$C$36+1),0)+IF(AND(Projects!$G$37="Yes",42&gt;=Projects!$C$37,42&lt;Projects!$C$37+Projects!$D$37),Projects!$B$37*INDEX(Curves!$B$4:$AR$4,1,42-Projects!$C$37+1),0)+IF(AND(Projects!$G$38="Yes",42&gt;=Projects!$C$38,42&lt;Projects!$C$38+Projects!$D$38),Projects!$B$38*INDEX(Curves!$B$4:$AR$4,1,42-Projects!$C$38+1),0)+IF(AND(Projects!$G$39="Yes",42&gt;=Projects!$C$39,42&lt;Projects!$C$39+Projects!$D$39),Projects!$B$39*INDEX(Curves!$B$4:$AR$4,1,42-Projects!$C$39+1),0)+IF(AND(Projects!$G$40="Yes",42&gt;=Projects!$C$40,42&lt;Projects!$C$40+Projects!$D$40),Projects!$B$40*INDEX(Curves!$B$4:$AR$4,1,42-Projects!$C$40+1),0)+IF(AND(Projects!$G$41="Yes",42&gt;=Projects!$C$41,42&lt;Projects!$C$41+Projects!$D$41),Projects!$B$41*INDEX(Curves!$B$4:$AR$4,1,42-Projects!$C$41+1),0)+IF(AND(Projects!$G$42="Yes",42&gt;=Projects!$C$42,42&lt;Projects!$C$42+Projects!$D$42),Projects!$B$42*INDEX(Curves!$B$4:$AR$4,1,42-Projects!$C$42+1),0)+IF(AND(Projects!$G$43="Yes",42&gt;=Projects!$C$43,42&lt;Projects!$C$43+Projects!$D$43),Projects!$B$43*INDEX(Curves!$B$4:$AR$4,1,42-Projects!$C$43+1),0)+IF(AND(Projects!$G$44="Yes",42&gt;=Projects!$C$44,42&lt;Projects!$C$44+Projects!$D$44),Projects!$B$44*INDEX(Curves!$B$4:$AR$4,1,42-Projects!$C$44+1),0)+IF(AND(Projects!$G$45="Yes",42&gt;=Projects!$C$45,42&lt;Projects!$C$45+Projects!$D$45),Projects!$B$45*INDEX(Curves!$B$4:$AR$4,1,42-Projects!$C$45+1),0)+IF(AND(Projects!$G$46="Yes",42&gt;=Projects!$C$46,42&lt;Projects!$C$46+Projects!$D$46),Projects!$B$46*INDEX(Curves!$B$4:$AR$4,1,42-Projects!$C$46+1),0)</f>
        <v/>
      </c>
      <c r="AV96" s="688">
        <f>IF(AND(Projects!$G$17="Yes",43&gt;=Projects!$C$17,43&lt;Projects!$C$17+Projects!$D$17),Projects!$B$17*INDEX(Curves!$B$4:$AR$4,1,43-Projects!$C$17+1),0)+IF(AND(Projects!$G$18="Yes",43&gt;=Projects!$C$18,43&lt;Projects!$C$18+Projects!$D$18),Projects!$B$18*INDEX(Curves!$B$4:$AR$4,1,43-Projects!$C$18+1),0)+IF(AND(Projects!$G$19="Yes",43&gt;=Projects!$C$19,43&lt;Projects!$C$19+Projects!$D$19),Projects!$B$19*INDEX(Curves!$B$4:$AR$4,1,43-Projects!$C$19+1),0)+IF(AND(Projects!$G$20="Yes",43&gt;=Projects!$C$20,43&lt;Projects!$C$20+Projects!$D$20),Projects!$B$20*INDEX(Curves!$B$4:$AR$4,1,43-Projects!$C$20+1),0)+IF(AND(Projects!$G$21="Yes",43&gt;=Projects!$C$21,43&lt;Projects!$C$21+Projects!$D$21),Projects!$B$21*INDEX(Curves!$B$4:$AR$4,1,43-Projects!$C$21+1),0)+IF(AND(Projects!$G$22="Yes",43&gt;=Projects!$C$22,43&lt;Projects!$C$22+Projects!$D$22),Projects!$B$22*INDEX(Curves!$B$4:$AR$4,1,43-Projects!$C$22+1),0)+IF(AND(Projects!$G$23="Yes",43&gt;=Projects!$C$23,43&lt;Projects!$C$23+Projects!$D$23),Projects!$B$23*INDEX(Curves!$B$4:$AR$4,1,43-Projects!$C$23+1),0)+IF(AND(Projects!$G$24="Yes",43&gt;=Projects!$C$24,43&lt;Projects!$C$24+Projects!$D$24),Projects!$B$24*INDEX(Curves!$B$4:$AR$4,1,43-Projects!$C$24+1),0)+IF(AND(Projects!$G$25="Yes",43&gt;=Projects!$C$25,43&lt;Projects!$C$25+Projects!$D$25),Projects!$B$25*INDEX(Curves!$B$4:$AR$4,1,43-Projects!$C$25+1),0)+IF(AND(Projects!$G$26="Yes",43&gt;=Projects!$C$26,43&lt;Projects!$C$26+Projects!$D$26),Projects!$B$26*INDEX(Curves!$B$4:$AR$4,1,43-Projects!$C$26+1),0)+IF(AND(Projects!$G$27="Yes",43&gt;=Projects!$C$27,43&lt;Projects!$C$27+Projects!$D$27),Projects!$B$27*INDEX(Curves!$B$4:$AR$4,1,43-Projects!$C$27+1),0)+IF(AND(Projects!$G$28="Yes",43&gt;=Projects!$C$28,43&lt;Projects!$C$28+Projects!$D$28),Projects!$B$28*INDEX(Curves!$B$4:$AR$4,1,43-Projects!$C$28+1),0)+IF(AND(Projects!$G$29="Yes",43&gt;=Projects!$C$29,43&lt;Projects!$C$29+Projects!$D$29),Projects!$B$29*INDEX(Curves!$B$4:$AR$4,1,43-Projects!$C$29+1),0)+IF(AND(Projects!$G$30="Yes",43&gt;=Projects!$C$30,43&lt;Projects!$C$30+Projects!$D$30),Projects!$B$30*INDEX(Curves!$B$4:$AR$4,1,43-Projects!$C$30+1),0)+IF(AND(Projects!$G$31="Yes",43&gt;=Projects!$C$31,43&lt;Projects!$C$31+Projects!$D$31),Projects!$B$31*INDEX(Curves!$B$4:$AR$4,1,43-Projects!$C$31+1),0)+IF(AND(Projects!$G$32="Yes",43&gt;=Projects!$C$32,43&lt;Projects!$C$32+Projects!$D$32),Projects!$B$32*INDEX(Curves!$B$4:$AR$4,1,43-Projects!$C$32+1),0)+IF(AND(Projects!$G$33="Yes",43&gt;=Projects!$C$33,43&lt;Projects!$C$33+Projects!$D$33),Projects!$B$33*INDEX(Curves!$B$4:$AR$4,1,43-Projects!$C$33+1),0)+IF(AND(Projects!$G$34="Yes",43&gt;=Projects!$C$34,43&lt;Projects!$C$34+Projects!$D$34),Projects!$B$34*INDEX(Curves!$B$4:$AR$4,1,43-Projects!$C$34+1),0)+IF(AND(Projects!$G$35="Yes",43&gt;=Projects!$C$35,43&lt;Projects!$C$35+Projects!$D$35),Projects!$B$35*INDEX(Curves!$B$4:$AR$4,1,43-Projects!$C$35+1),0)+IF(AND(Projects!$G$36="Yes",43&gt;=Projects!$C$36,43&lt;Projects!$C$36+Projects!$D$36),Projects!$B$36*INDEX(Curves!$B$4:$AR$4,1,43-Projects!$C$36+1),0)+IF(AND(Projects!$G$37="Yes",43&gt;=Projects!$C$37,43&lt;Projects!$C$37+Projects!$D$37),Projects!$B$37*INDEX(Curves!$B$4:$AR$4,1,43-Projects!$C$37+1),0)+IF(AND(Projects!$G$38="Yes",43&gt;=Projects!$C$38,43&lt;Projects!$C$38+Projects!$D$38),Projects!$B$38*INDEX(Curves!$B$4:$AR$4,1,43-Projects!$C$38+1),0)+IF(AND(Projects!$G$39="Yes",43&gt;=Projects!$C$39,43&lt;Projects!$C$39+Projects!$D$39),Projects!$B$39*INDEX(Curves!$B$4:$AR$4,1,43-Projects!$C$39+1),0)+IF(AND(Projects!$G$40="Yes",43&gt;=Projects!$C$40,43&lt;Projects!$C$40+Projects!$D$40),Projects!$B$40*INDEX(Curves!$B$4:$AR$4,1,43-Projects!$C$40+1),0)+IF(AND(Projects!$G$41="Yes",43&gt;=Projects!$C$41,43&lt;Projects!$C$41+Projects!$D$41),Projects!$B$41*INDEX(Curves!$B$4:$AR$4,1,43-Projects!$C$41+1),0)+IF(AND(Projects!$G$42="Yes",43&gt;=Projects!$C$42,43&lt;Projects!$C$42+Projects!$D$42),Projects!$B$42*INDEX(Curves!$B$4:$AR$4,1,43-Projects!$C$42+1),0)+IF(AND(Projects!$G$43="Yes",43&gt;=Projects!$C$43,43&lt;Projects!$C$43+Projects!$D$43),Projects!$B$43*INDEX(Curves!$B$4:$AR$4,1,43-Projects!$C$43+1),0)+IF(AND(Projects!$G$44="Yes",43&gt;=Projects!$C$44,43&lt;Projects!$C$44+Projects!$D$44),Projects!$B$44*INDEX(Curves!$B$4:$AR$4,1,43-Projects!$C$44+1),0)+IF(AND(Projects!$G$45="Yes",43&gt;=Projects!$C$45,43&lt;Projects!$C$45+Projects!$D$45),Projects!$B$45*INDEX(Curves!$B$4:$AR$4,1,43-Projects!$C$45+1),0)+IF(AND(Projects!$G$46="Yes",43&gt;=Projects!$C$46,43&lt;Projects!$C$46+Projects!$D$46),Projects!$B$46*INDEX(Curves!$B$4:$AR$4,1,43-Projects!$C$46+1),0)</f>
        <v/>
      </c>
      <c r="AW96" s="688">
        <f>IF(AND(Projects!$G$17="Yes",44&gt;=Projects!$C$17,44&lt;Projects!$C$17+Projects!$D$17),Projects!$B$17*INDEX(Curves!$B$4:$AR$4,1,44-Projects!$C$17+1),0)+IF(AND(Projects!$G$18="Yes",44&gt;=Projects!$C$18,44&lt;Projects!$C$18+Projects!$D$18),Projects!$B$18*INDEX(Curves!$B$4:$AR$4,1,44-Projects!$C$18+1),0)+IF(AND(Projects!$G$19="Yes",44&gt;=Projects!$C$19,44&lt;Projects!$C$19+Projects!$D$19),Projects!$B$19*INDEX(Curves!$B$4:$AR$4,1,44-Projects!$C$19+1),0)+IF(AND(Projects!$G$20="Yes",44&gt;=Projects!$C$20,44&lt;Projects!$C$20+Projects!$D$20),Projects!$B$20*INDEX(Curves!$B$4:$AR$4,1,44-Projects!$C$20+1),0)+IF(AND(Projects!$G$21="Yes",44&gt;=Projects!$C$21,44&lt;Projects!$C$21+Projects!$D$21),Projects!$B$21*INDEX(Curves!$B$4:$AR$4,1,44-Projects!$C$21+1),0)+IF(AND(Projects!$G$22="Yes",44&gt;=Projects!$C$22,44&lt;Projects!$C$22+Projects!$D$22),Projects!$B$22*INDEX(Curves!$B$4:$AR$4,1,44-Projects!$C$22+1),0)+IF(AND(Projects!$G$23="Yes",44&gt;=Projects!$C$23,44&lt;Projects!$C$23+Projects!$D$23),Projects!$B$23*INDEX(Curves!$B$4:$AR$4,1,44-Projects!$C$23+1),0)+IF(AND(Projects!$G$24="Yes",44&gt;=Projects!$C$24,44&lt;Projects!$C$24+Projects!$D$24),Projects!$B$24*INDEX(Curves!$B$4:$AR$4,1,44-Projects!$C$24+1),0)+IF(AND(Projects!$G$25="Yes",44&gt;=Projects!$C$25,44&lt;Projects!$C$25+Projects!$D$25),Projects!$B$25*INDEX(Curves!$B$4:$AR$4,1,44-Projects!$C$25+1),0)+IF(AND(Projects!$G$26="Yes",44&gt;=Projects!$C$26,44&lt;Projects!$C$26+Projects!$D$26),Projects!$B$26*INDEX(Curves!$B$4:$AR$4,1,44-Projects!$C$26+1),0)+IF(AND(Projects!$G$27="Yes",44&gt;=Projects!$C$27,44&lt;Projects!$C$27+Projects!$D$27),Projects!$B$27*INDEX(Curves!$B$4:$AR$4,1,44-Projects!$C$27+1),0)+IF(AND(Projects!$G$28="Yes",44&gt;=Projects!$C$28,44&lt;Projects!$C$28+Projects!$D$28),Projects!$B$28*INDEX(Curves!$B$4:$AR$4,1,44-Projects!$C$28+1),0)+IF(AND(Projects!$G$29="Yes",44&gt;=Projects!$C$29,44&lt;Projects!$C$29+Projects!$D$29),Projects!$B$29*INDEX(Curves!$B$4:$AR$4,1,44-Projects!$C$29+1),0)+IF(AND(Projects!$G$30="Yes",44&gt;=Projects!$C$30,44&lt;Projects!$C$30+Projects!$D$30),Projects!$B$30*INDEX(Curves!$B$4:$AR$4,1,44-Projects!$C$30+1),0)+IF(AND(Projects!$G$31="Yes",44&gt;=Projects!$C$31,44&lt;Projects!$C$31+Projects!$D$31),Projects!$B$31*INDEX(Curves!$B$4:$AR$4,1,44-Projects!$C$31+1),0)+IF(AND(Projects!$G$32="Yes",44&gt;=Projects!$C$32,44&lt;Projects!$C$32+Projects!$D$32),Projects!$B$32*INDEX(Curves!$B$4:$AR$4,1,44-Projects!$C$32+1),0)+IF(AND(Projects!$G$33="Yes",44&gt;=Projects!$C$33,44&lt;Projects!$C$33+Projects!$D$33),Projects!$B$33*INDEX(Curves!$B$4:$AR$4,1,44-Projects!$C$33+1),0)+IF(AND(Projects!$G$34="Yes",44&gt;=Projects!$C$34,44&lt;Projects!$C$34+Projects!$D$34),Projects!$B$34*INDEX(Curves!$B$4:$AR$4,1,44-Projects!$C$34+1),0)+IF(AND(Projects!$G$35="Yes",44&gt;=Projects!$C$35,44&lt;Projects!$C$35+Projects!$D$35),Projects!$B$35*INDEX(Curves!$B$4:$AR$4,1,44-Projects!$C$35+1),0)+IF(AND(Projects!$G$36="Yes",44&gt;=Projects!$C$36,44&lt;Projects!$C$36+Projects!$D$36),Projects!$B$36*INDEX(Curves!$B$4:$AR$4,1,44-Projects!$C$36+1),0)+IF(AND(Projects!$G$37="Yes",44&gt;=Projects!$C$37,44&lt;Projects!$C$37+Projects!$D$37),Projects!$B$37*INDEX(Curves!$B$4:$AR$4,1,44-Projects!$C$37+1),0)+IF(AND(Projects!$G$38="Yes",44&gt;=Projects!$C$38,44&lt;Projects!$C$38+Projects!$D$38),Projects!$B$38*INDEX(Curves!$B$4:$AR$4,1,44-Projects!$C$38+1),0)+IF(AND(Projects!$G$39="Yes",44&gt;=Projects!$C$39,44&lt;Projects!$C$39+Projects!$D$39),Projects!$B$39*INDEX(Curves!$B$4:$AR$4,1,44-Projects!$C$39+1),0)+IF(AND(Projects!$G$40="Yes",44&gt;=Projects!$C$40,44&lt;Projects!$C$40+Projects!$D$40),Projects!$B$40*INDEX(Curves!$B$4:$AR$4,1,44-Projects!$C$40+1),0)+IF(AND(Projects!$G$41="Yes",44&gt;=Projects!$C$41,44&lt;Projects!$C$41+Projects!$D$41),Projects!$B$41*INDEX(Curves!$B$4:$AR$4,1,44-Projects!$C$41+1),0)+IF(AND(Projects!$G$42="Yes",44&gt;=Projects!$C$42,44&lt;Projects!$C$42+Projects!$D$42),Projects!$B$42*INDEX(Curves!$B$4:$AR$4,1,44-Projects!$C$42+1),0)+IF(AND(Projects!$G$43="Yes",44&gt;=Projects!$C$43,44&lt;Projects!$C$43+Projects!$D$43),Projects!$B$43*INDEX(Curves!$B$4:$AR$4,1,44-Projects!$C$43+1),0)+IF(AND(Projects!$G$44="Yes",44&gt;=Projects!$C$44,44&lt;Projects!$C$44+Projects!$D$44),Projects!$B$44*INDEX(Curves!$B$4:$AR$4,1,44-Projects!$C$44+1),0)+IF(AND(Projects!$G$45="Yes",44&gt;=Projects!$C$45,44&lt;Projects!$C$45+Projects!$D$45),Projects!$B$45*INDEX(Curves!$B$4:$AR$4,1,44-Projects!$C$45+1),0)+IF(AND(Projects!$G$46="Yes",44&gt;=Projects!$C$46,44&lt;Projects!$C$46+Projects!$D$46),Projects!$B$46*INDEX(Curves!$B$4:$AR$4,1,44-Projects!$C$46+1),0)</f>
        <v/>
      </c>
      <c r="AX96" s="688">
        <f>IF(AND(Projects!$G$17="Yes",45&gt;=Projects!$C$17,45&lt;Projects!$C$17+Projects!$D$17),Projects!$B$17*INDEX(Curves!$B$4:$AR$4,1,45-Projects!$C$17+1),0)+IF(AND(Projects!$G$18="Yes",45&gt;=Projects!$C$18,45&lt;Projects!$C$18+Projects!$D$18),Projects!$B$18*INDEX(Curves!$B$4:$AR$4,1,45-Projects!$C$18+1),0)+IF(AND(Projects!$G$19="Yes",45&gt;=Projects!$C$19,45&lt;Projects!$C$19+Projects!$D$19),Projects!$B$19*INDEX(Curves!$B$4:$AR$4,1,45-Projects!$C$19+1),0)+IF(AND(Projects!$G$20="Yes",45&gt;=Projects!$C$20,45&lt;Projects!$C$20+Projects!$D$20),Projects!$B$20*INDEX(Curves!$B$4:$AR$4,1,45-Projects!$C$20+1),0)+IF(AND(Projects!$G$21="Yes",45&gt;=Projects!$C$21,45&lt;Projects!$C$21+Projects!$D$21),Projects!$B$21*INDEX(Curves!$B$4:$AR$4,1,45-Projects!$C$21+1),0)+IF(AND(Projects!$G$22="Yes",45&gt;=Projects!$C$22,45&lt;Projects!$C$22+Projects!$D$22),Projects!$B$22*INDEX(Curves!$B$4:$AR$4,1,45-Projects!$C$22+1),0)+IF(AND(Projects!$G$23="Yes",45&gt;=Projects!$C$23,45&lt;Projects!$C$23+Projects!$D$23),Projects!$B$23*INDEX(Curves!$B$4:$AR$4,1,45-Projects!$C$23+1),0)+IF(AND(Projects!$G$24="Yes",45&gt;=Projects!$C$24,45&lt;Projects!$C$24+Projects!$D$24),Projects!$B$24*INDEX(Curves!$B$4:$AR$4,1,45-Projects!$C$24+1),0)+IF(AND(Projects!$G$25="Yes",45&gt;=Projects!$C$25,45&lt;Projects!$C$25+Projects!$D$25),Projects!$B$25*INDEX(Curves!$B$4:$AR$4,1,45-Projects!$C$25+1),0)+IF(AND(Projects!$G$26="Yes",45&gt;=Projects!$C$26,45&lt;Projects!$C$26+Projects!$D$26),Projects!$B$26*INDEX(Curves!$B$4:$AR$4,1,45-Projects!$C$26+1),0)+IF(AND(Projects!$G$27="Yes",45&gt;=Projects!$C$27,45&lt;Projects!$C$27+Projects!$D$27),Projects!$B$27*INDEX(Curves!$B$4:$AR$4,1,45-Projects!$C$27+1),0)+IF(AND(Projects!$G$28="Yes",45&gt;=Projects!$C$28,45&lt;Projects!$C$28+Projects!$D$28),Projects!$B$28*INDEX(Curves!$B$4:$AR$4,1,45-Projects!$C$28+1),0)+IF(AND(Projects!$G$29="Yes",45&gt;=Projects!$C$29,45&lt;Projects!$C$29+Projects!$D$29),Projects!$B$29*INDEX(Curves!$B$4:$AR$4,1,45-Projects!$C$29+1),0)+IF(AND(Projects!$G$30="Yes",45&gt;=Projects!$C$30,45&lt;Projects!$C$30+Projects!$D$30),Projects!$B$30*INDEX(Curves!$B$4:$AR$4,1,45-Projects!$C$30+1),0)+IF(AND(Projects!$G$31="Yes",45&gt;=Projects!$C$31,45&lt;Projects!$C$31+Projects!$D$31),Projects!$B$31*INDEX(Curves!$B$4:$AR$4,1,45-Projects!$C$31+1),0)+IF(AND(Projects!$G$32="Yes",45&gt;=Projects!$C$32,45&lt;Projects!$C$32+Projects!$D$32),Projects!$B$32*INDEX(Curves!$B$4:$AR$4,1,45-Projects!$C$32+1),0)+IF(AND(Projects!$G$33="Yes",45&gt;=Projects!$C$33,45&lt;Projects!$C$33+Projects!$D$33),Projects!$B$33*INDEX(Curves!$B$4:$AR$4,1,45-Projects!$C$33+1),0)+IF(AND(Projects!$G$34="Yes",45&gt;=Projects!$C$34,45&lt;Projects!$C$34+Projects!$D$34),Projects!$B$34*INDEX(Curves!$B$4:$AR$4,1,45-Projects!$C$34+1),0)+IF(AND(Projects!$G$35="Yes",45&gt;=Projects!$C$35,45&lt;Projects!$C$35+Projects!$D$35),Projects!$B$35*INDEX(Curves!$B$4:$AR$4,1,45-Projects!$C$35+1),0)+IF(AND(Projects!$G$36="Yes",45&gt;=Projects!$C$36,45&lt;Projects!$C$36+Projects!$D$36),Projects!$B$36*INDEX(Curves!$B$4:$AR$4,1,45-Projects!$C$36+1),0)+IF(AND(Projects!$G$37="Yes",45&gt;=Projects!$C$37,45&lt;Projects!$C$37+Projects!$D$37),Projects!$B$37*INDEX(Curves!$B$4:$AR$4,1,45-Projects!$C$37+1),0)+IF(AND(Projects!$G$38="Yes",45&gt;=Projects!$C$38,45&lt;Projects!$C$38+Projects!$D$38),Projects!$B$38*INDEX(Curves!$B$4:$AR$4,1,45-Projects!$C$38+1),0)+IF(AND(Projects!$G$39="Yes",45&gt;=Projects!$C$39,45&lt;Projects!$C$39+Projects!$D$39),Projects!$B$39*INDEX(Curves!$B$4:$AR$4,1,45-Projects!$C$39+1),0)+IF(AND(Projects!$G$40="Yes",45&gt;=Projects!$C$40,45&lt;Projects!$C$40+Projects!$D$40),Projects!$B$40*INDEX(Curves!$B$4:$AR$4,1,45-Projects!$C$40+1),0)+IF(AND(Projects!$G$41="Yes",45&gt;=Projects!$C$41,45&lt;Projects!$C$41+Projects!$D$41),Projects!$B$41*INDEX(Curves!$B$4:$AR$4,1,45-Projects!$C$41+1),0)+IF(AND(Projects!$G$42="Yes",45&gt;=Projects!$C$42,45&lt;Projects!$C$42+Projects!$D$42),Projects!$B$42*INDEX(Curves!$B$4:$AR$4,1,45-Projects!$C$42+1),0)+IF(AND(Projects!$G$43="Yes",45&gt;=Projects!$C$43,45&lt;Projects!$C$43+Projects!$D$43),Projects!$B$43*INDEX(Curves!$B$4:$AR$4,1,45-Projects!$C$43+1),0)+IF(AND(Projects!$G$44="Yes",45&gt;=Projects!$C$44,45&lt;Projects!$C$44+Projects!$D$44),Projects!$B$44*INDEX(Curves!$B$4:$AR$4,1,45-Projects!$C$44+1),0)+IF(AND(Projects!$G$45="Yes",45&gt;=Projects!$C$45,45&lt;Projects!$C$45+Projects!$D$45),Projects!$B$45*INDEX(Curves!$B$4:$AR$4,1,45-Projects!$C$45+1),0)+IF(AND(Projects!$G$46="Yes",45&gt;=Projects!$C$46,45&lt;Projects!$C$46+Projects!$D$46),Projects!$B$46*INDEX(Curves!$B$4:$AR$4,1,45-Projects!$C$46+1),0)</f>
        <v/>
      </c>
      <c r="AY96" s="688">
        <f>IF(AND(Projects!$G$17="Yes",46&gt;=Projects!$C$17,46&lt;Projects!$C$17+Projects!$D$17),Projects!$B$17*INDEX(Curves!$B$4:$AR$4,1,46-Projects!$C$17+1),0)+IF(AND(Projects!$G$18="Yes",46&gt;=Projects!$C$18,46&lt;Projects!$C$18+Projects!$D$18),Projects!$B$18*INDEX(Curves!$B$4:$AR$4,1,46-Projects!$C$18+1),0)+IF(AND(Projects!$G$19="Yes",46&gt;=Projects!$C$19,46&lt;Projects!$C$19+Projects!$D$19),Projects!$B$19*INDEX(Curves!$B$4:$AR$4,1,46-Projects!$C$19+1),0)+IF(AND(Projects!$G$20="Yes",46&gt;=Projects!$C$20,46&lt;Projects!$C$20+Projects!$D$20),Projects!$B$20*INDEX(Curves!$B$4:$AR$4,1,46-Projects!$C$20+1),0)+IF(AND(Projects!$G$21="Yes",46&gt;=Projects!$C$21,46&lt;Projects!$C$21+Projects!$D$21),Projects!$B$21*INDEX(Curves!$B$4:$AR$4,1,46-Projects!$C$21+1),0)+IF(AND(Projects!$G$22="Yes",46&gt;=Projects!$C$22,46&lt;Projects!$C$22+Projects!$D$22),Projects!$B$22*INDEX(Curves!$B$4:$AR$4,1,46-Projects!$C$22+1),0)+IF(AND(Projects!$G$23="Yes",46&gt;=Projects!$C$23,46&lt;Projects!$C$23+Projects!$D$23),Projects!$B$23*INDEX(Curves!$B$4:$AR$4,1,46-Projects!$C$23+1),0)+IF(AND(Projects!$G$24="Yes",46&gt;=Projects!$C$24,46&lt;Projects!$C$24+Projects!$D$24),Projects!$B$24*INDEX(Curves!$B$4:$AR$4,1,46-Projects!$C$24+1),0)+IF(AND(Projects!$G$25="Yes",46&gt;=Projects!$C$25,46&lt;Projects!$C$25+Projects!$D$25),Projects!$B$25*INDEX(Curves!$B$4:$AR$4,1,46-Projects!$C$25+1),0)+IF(AND(Projects!$G$26="Yes",46&gt;=Projects!$C$26,46&lt;Projects!$C$26+Projects!$D$26),Projects!$B$26*INDEX(Curves!$B$4:$AR$4,1,46-Projects!$C$26+1),0)+IF(AND(Projects!$G$27="Yes",46&gt;=Projects!$C$27,46&lt;Projects!$C$27+Projects!$D$27),Projects!$B$27*INDEX(Curves!$B$4:$AR$4,1,46-Projects!$C$27+1),0)+IF(AND(Projects!$G$28="Yes",46&gt;=Projects!$C$28,46&lt;Projects!$C$28+Projects!$D$28),Projects!$B$28*INDEX(Curves!$B$4:$AR$4,1,46-Projects!$C$28+1),0)+IF(AND(Projects!$G$29="Yes",46&gt;=Projects!$C$29,46&lt;Projects!$C$29+Projects!$D$29),Projects!$B$29*INDEX(Curves!$B$4:$AR$4,1,46-Projects!$C$29+1),0)+IF(AND(Projects!$G$30="Yes",46&gt;=Projects!$C$30,46&lt;Projects!$C$30+Projects!$D$30),Projects!$B$30*INDEX(Curves!$B$4:$AR$4,1,46-Projects!$C$30+1),0)+IF(AND(Projects!$G$31="Yes",46&gt;=Projects!$C$31,46&lt;Projects!$C$31+Projects!$D$31),Projects!$B$31*INDEX(Curves!$B$4:$AR$4,1,46-Projects!$C$31+1),0)+IF(AND(Projects!$G$32="Yes",46&gt;=Projects!$C$32,46&lt;Projects!$C$32+Projects!$D$32),Projects!$B$32*INDEX(Curves!$B$4:$AR$4,1,46-Projects!$C$32+1),0)+IF(AND(Projects!$G$33="Yes",46&gt;=Projects!$C$33,46&lt;Projects!$C$33+Projects!$D$33),Projects!$B$33*INDEX(Curves!$B$4:$AR$4,1,46-Projects!$C$33+1),0)+IF(AND(Projects!$G$34="Yes",46&gt;=Projects!$C$34,46&lt;Projects!$C$34+Projects!$D$34),Projects!$B$34*INDEX(Curves!$B$4:$AR$4,1,46-Projects!$C$34+1),0)+IF(AND(Projects!$G$35="Yes",46&gt;=Projects!$C$35,46&lt;Projects!$C$35+Projects!$D$35),Projects!$B$35*INDEX(Curves!$B$4:$AR$4,1,46-Projects!$C$35+1),0)+IF(AND(Projects!$G$36="Yes",46&gt;=Projects!$C$36,46&lt;Projects!$C$36+Projects!$D$36),Projects!$B$36*INDEX(Curves!$B$4:$AR$4,1,46-Projects!$C$36+1),0)+IF(AND(Projects!$G$37="Yes",46&gt;=Projects!$C$37,46&lt;Projects!$C$37+Projects!$D$37),Projects!$B$37*INDEX(Curves!$B$4:$AR$4,1,46-Projects!$C$37+1),0)+IF(AND(Projects!$G$38="Yes",46&gt;=Projects!$C$38,46&lt;Projects!$C$38+Projects!$D$38),Projects!$B$38*INDEX(Curves!$B$4:$AR$4,1,46-Projects!$C$38+1),0)+IF(AND(Projects!$G$39="Yes",46&gt;=Projects!$C$39,46&lt;Projects!$C$39+Projects!$D$39),Projects!$B$39*INDEX(Curves!$B$4:$AR$4,1,46-Projects!$C$39+1),0)+IF(AND(Projects!$G$40="Yes",46&gt;=Projects!$C$40,46&lt;Projects!$C$40+Projects!$D$40),Projects!$B$40*INDEX(Curves!$B$4:$AR$4,1,46-Projects!$C$40+1),0)+IF(AND(Projects!$G$41="Yes",46&gt;=Projects!$C$41,46&lt;Projects!$C$41+Projects!$D$41),Projects!$B$41*INDEX(Curves!$B$4:$AR$4,1,46-Projects!$C$41+1),0)+IF(AND(Projects!$G$42="Yes",46&gt;=Projects!$C$42,46&lt;Projects!$C$42+Projects!$D$42),Projects!$B$42*INDEX(Curves!$B$4:$AR$4,1,46-Projects!$C$42+1),0)+IF(AND(Projects!$G$43="Yes",46&gt;=Projects!$C$43,46&lt;Projects!$C$43+Projects!$D$43),Projects!$B$43*INDEX(Curves!$B$4:$AR$4,1,46-Projects!$C$43+1),0)+IF(AND(Projects!$G$44="Yes",46&gt;=Projects!$C$44,46&lt;Projects!$C$44+Projects!$D$44),Projects!$B$44*INDEX(Curves!$B$4:$AR$4,1,46-Projects!$C$44+1),0)+IF(AND(Projects!$G$45="Yes",46&gt;=Projects!$C$45,46&lt;Projects!$C$45+Projects!$D$45),Projects!$B$45*INDEX(Curves!$B$4:$AR$4,1,46-Projects!$C$45+1),0)+IF(AND(Projects!$G$46="Yes",46&gt;=Projects!$C$46,46&lt;Projects!$C$46+Projects!$D$46),Projects!$B$46*INDEX(Curves!$B$4:$AR$4,1,46-Projects!$C$46+1),0)</f>
        <v/>
      </c>
      <c r="AZ96" s="688">
        <f>IF(AND(Projects!$G$17="Yes",47&gt;=Projects!$C$17,47&lt;Projects!$C$17+Projects!$D$17),Projects!$B$17*INDEX(Curves!$B$4:$AR$4,1,47-Projects!$C$17+1),0)+IF(AND(Projects!$G$18="Yes",47&gt;=Projects!$C$18,47&lt;Projects!$C$18+Projects!$D$18),Projects!$B$18*INDEX(Curves!$B$4:$AR$4,1,47-Projects!$C$18+1),0)+IF(AND(Projects!$G$19="Yes",47&gt;=Projects!$C$19,47&lt;Projects!$C$19+Projects!$D$19),Projects!$B$19*INDEX(Curves!$B$4:$AR$4,1,47-Projects!$C$19+1),0)+IF(AND(Projects!$G$20="Yes",47&gt;=Projects!$C$20,47&lt;Projects!$C$20+Projects!$D$20),Projects!$B$20*INDEX(Curves!$B$4:$AR$4,1,47-Projects!$C$20+1),0)+IF(AND(Projects!$G$21="Yes",47&gt;=Projects!$C$21,47&lt;Projects!$C$21+Projects!$D$21),Projects!$B$21*INDEX(Curves!$B$4:$AR$4,1,47-Projects!$C$21+1),0)+IF(AND(Projects!$G$22="Yes",47&gt;=Projects!$C$22,47&lt;Projects!$C$22+Projects!$D$22),Projects!$B$22*INDEX(Curves!$B$4:$AR$4,1,47-Projects!$C$22+1),0)+IF(AND(Projects!$G$23="Yes",47&gt;=Projects!$C$23,47&lt;Projects!$C$23+Projects!$D$23),Projects!$B$23*INDEX(Curves!$B$4:$AR$4,1,47-Projects!$C$23+1),0)+IF(AND(Projects!$G$24="Yes",47&gt;=Projects!$C$24,47&lt;Projects!$C$24+Projects!$D$24),Projects!$B$24*INDEX(Curves!$B$4:$AR$4,1,47-Projects!$C$24+1),0)+IF(AND(Projects!$G$25="Yes",47&gt;=Projects!$C$25,47&lt;Projects!$C$25+Projects!$D$25),Projects!$B$25*INDEX(Curves!$B$4:$AR$4,1,47-Projects!$C$25+1),0)+IF(AND(Projects!$G$26="Yes",47&gt;=Projects!$C$26,47&lt;Projects!$C$26+Projects!$D$26),Projects!$B$26*INDEX(Curves!$B$4:$AR$4,1,47-Projects!$C$26+1),0)+IF(AND(Projects!$G$27="Yes",47&gt;=Projects!$C$27,47&lt;Projects!$C$27+Projects!$D$27),Projects!$B$27*INDEX(Curves!$B$4:$AR$4,1,47-Projects!$C$27+1),0)+IF(AND(Projects!$G$28="Yes",47&gt;=Projects!$C$28,47&lt;Projects!$C$28+Projects!$D$28),Projects!$B$28*INDEX(Curves!$B$4:$AR$4,1,47-Projects!$C$28+1),0)+IF(AND(Projects!$G$29="Yes",47&gt;=Projects!$C$29,47&lt;Projects!$C$29+Projects!$D$29),Projects!$B$29*INDEX(Curves!$B$4:$AR$4,1,47-Projects!$C$29+1),0)+IF(AND(Projects!$G$30="Yes",47&gt;=Projects!$C$30,47&lt;Projects!$C$30+Projects!$D$30),Projects!$B$30*INDEX(Curves!$B$4:$AR$4,1,47-Projects!$C$30+1),0)+IF(AND(Projects!$G$31="Yes",47&gt;=Projects!$C$31,47&lt;Projects!$C$31+Projects!$D$31),Projects!$B$31*INDEX(Curves!$B$4:$AR$4,1,47-Projects!$C$31+1),0)+IF(AND(Projects!$G$32="Yes",47&gt;=Projects!$C$32,47&lt;Projects!$C$32+Projects!$D$32),Projects!$B$32*INDEX(Curves!$B$4:$AR$4,1,47-Projects!$C$32+1),0)+IF(AND(Projects!$G$33="Yes",47&gt;=Projects!$C$33,47&lt;Projects!$C$33+Projects!$D$33),Projects!$B$33*INDEX(Curves!$B$4:$AR$4,1,47-Projects!$C$33+1),0)+IF(AND(Projects!$G$34="Yes",47&gt;=Projects!$C$34,47&lt;Projects!$C$34+Projects!$D$34),Projects!$B$34*INDEX(Curves!$B$4:$AR$4,1,47-Projects!$C$34+1),0)+IF(AND(Projects!$G$35="Yes",47&gt;=Projects!$C$35,47&lt;Projects!$C$35+Projects!$D$35),Projects!$B$35*INDEX(Curves!$B$4:$AR$4,1,47-Projects!$C$35+1),0)+IF(AND(Projects!$G$36="Yes",47&gt;=Projects!$C$36,47&lt;Projects!$C$36+Projects!$D$36),Projects!$B$36*INDEX(Curves!$B$4:$AR$4,1,47-Projects!$C$36+1),0)+IF(AND(Projects!$G$37="Yes",47&gt;=Projects!$C$37,47&lt;Projects!$C$37+Projects!$D$37),Projects!$B$37*INDEX(Curves!$B$4:$AR$4,1,47-Projects!$C$37+1),0)+IF(AND(Projects!$G$38="Yes",47&gt;=Projects!$C$38,47&lt;Projects!$C$38+Projects!$D$38),Projects!$B$38*INDEX(Curves!$B$4:$AR$4,1,47-Projects!$C$38+1),0)+IF(AND(Projects!$G$39="Yes",47&gt;=Projects!$C$39,47&lt;Projects!$C$39+Projects!$D$39),Projects!$B$39*INDEX(Curves!$B$4:$AR$4,1,47-Projects!$C$39+1),0)+IF(AND(Projects!$G$40="Yes",47&gt;=Projects!$C$40,47&lt;Projects!$C$40+Projects!$D$40),Projects!$B$40*INDEX(Curves!$B$4:$AR$4,1,47-Projects!$C$40+1),0)+IF(AND(Projects!$G$41="Yes",47&gt;=Projects!$C$41,47&lt;Projects!$C$41+Projects!$D$41),Projects!$B$41*INDEX(Curves!$B$4:$AR$4,1,47-Projects!$C$41+1),0)+IF(AND(Projects!$G$42="Yes",47&gt;=Projects!$C$42,47&lt;Projects!$C$42+Projects!$D$42),Projects!$B$42*INDEX(Curves!$B$4:$AR$4,1,47-Projects!$C$42+1),0)+IF(AND(Projects!$G$43="Yes",47&gt;=Projects!$C$43,47&lt;Projects!$C$43+Projects!$D$43),Projects!$B$43*INDEX(Curves!$B$4:$AR$4,1,47-Projects!$C$43+1),0)+IF(AND(Projects!$G$44="Yes",47&gt;=Projects!$C$44,47&lt;Projects!$C$44+Projects!$D$44),Projects!$B$44*INDEX(Curves!$B$4:$AR$4,1,47-Projects!$C$44+1),0)+IF(AND(Projects!$G$45="Yes",47&gt;=Projects!$C$45,47&lt;Projects!$C$45+Projects!$D$45),Projects!$B$45*INDEX(Curves!$B$4:$AR$4,1,47-Projects!$C$45+1),0)+IF(AND(Projects!$G$46="Yes",47&gt;=Projects!$C$46,47&lt;Projects!$C$46+Projects!$D$46),Projects!$B$46*INDEX(Curves!$B$4:$AR$4,1,47-Projects!$C$46+1),0)</f>
        <v/>
      </c>
      <c r="BA96" s="688">
        <f>IF(AND(Projects!$G$17="Yes",48&gt;=Projects!$C$17,48&lt;Projects!$C$17+Projects!$D$17),Projects!$B$17*INDEX(Curves!$B$4:$AR$4,1,48-Projects!$C$17+1),0)+IF(AND(Projects!$G$18="Yes",48&gt;=Projects!$C$18,48&lt;Projects!$C$18+Projects!$D$18),Projects!$B$18*INDEX(Curves!$B$4:$AR$4,1,48-Projects!$C$18+1),0)+IF(AND(Projects!$G$19="Yes",48&gt;=Projects!$C$19,48&lt;Projects!$C$19+Projects!$D$19),Projects!$B$19*INDEX(Curves!$B$4:$AR$4,1,48-Projects!$C$19+1),0)+IF(AND(Projects!$G$20="Yes",48&gt;=Projects!$C$20,48&lt;Projects!$C$20+Projects!$D$20),Projects!$B$20*INDEX(Curves!$B$4:$AR$4,1,48-Projects!$C$20+1),0)+IF(AND(Projects!$G$21="Yes",48&gt;=Projects!$C$21,48&lt;Projects!$C$21+Projects!$D$21),Projects!$B$21*INDEX(Curves!$B$4:$AR$4,1,48-Projects!$C$21+1),0)+IF(AND(Projects!$G$22="Yes",48&gt;=Projects!$C$22,48&lt;Projects!$C$22+Projects!$D$22),Projects!$B$22*INDEX(Curves!$B$4:$AR$4,1,48-Projects!$C$22+1),0)+IF(AND(Projects!$G$23="Yes",48&gt;=Projects!$C$23,48&lt;Projects!$C$23+Projects!$D$23),Projects!$B$23*INDEX(Curves!$B$4:$AR$4,1,48-Projects!$C$23+1),0)+IF(AND(Projects!$G$24="Yes",48&gt;=Projects!$C$24,48&lt;Projects!$C$24+Projects!$D$24),Projects!$B$24*INDEX(Curves!$B$4:$AR$4,1,48-Projects!$C$24+1),0)+IF(AND(Projects!$G$25="Yes",48&gt;=Projects!$C$25,48&lt;Projects!$C$25+Projects!$D$25),Projects!$B$25*INDEX(Curves!$B$4:$AR$4,1,48-Projects!$C$25+1),0)+IF(AND(Projects!$G$26="Yes",48&gt;=Projects!$C$26,48&lt;Projects!$C$26+Projects!$D$26),Projects!$B$26*INDEX(Curves!$B$4:$AR$4,1,48-Projects!$C$26+1),0)+IF(AND(Projects!$G$27="Yes",48&gt;=Projects!$C$27,48&lt;Projects!$C$27+Projects!$D$27),Projects!$B$27*INDEX(Curves!$B$4:$AR$4,1,48-Projects!$C$27+1),0)+IF(AND(Projects!$G$28="Yes",48&gt;=Projects!$C$28,48&lt;Projects!$C$28+Projects!$D$28),Projects!$B$28*INDEX(Curves!$B$4:$AR$4,1,48-Projects!$C$28+1),0)+IF(AND(Projects!$G$29="Yes",48&gt;=Projects!$C$29,48&lt;Projects!$C$29+Projects!$D$29),Projects!$B$29*INDEX(Curves!$B$4:$AR$4,1,48-Projects!$C$29+1),0)+IF(AND(Projects!$G$30="Yes",48&gt;=Projects!$C$30,48&lt;Projects!$C$30+Projects!$D$30),Projects!$B$30*INDEX(Curves!$B$4:$AR$4,1,48-Projects!$C$30+1),0)+IF(AND(Projects!$G$31="Yes",48&gt;=Projects!$C$31,48&lt;Projects!$C$31+Projects!$D$31),Projects!$B$31*INDEX(Curves!$B$4:$AR$4,1,48-Projects!$C$31+1),0)+IF(AND(Projects!$G$32="Yes",48&gt;=Projects!$C$32,48&lt;Projects!$C$32+Projects!$D$32),Projects!$B$32*INDEX(Curves!$B$4:$AR$4,1,48-Projects!$C$32+1),0)+IF(AND(Projects!$G$33="Yes",48&gt;=Projects!$C$33,48&lt;Projects!$C$33+Projects!$D$33),Projects!$B$33*INDEX(Curves!$B$4:$AR$4,1,48-Projects!$C$33+1),0)+IF(AND(Projects!$G$34="Yes",48&gt;=Projects!$C$34,48&lt;Projects!$C$34+Projects!$D$34),Projects!$B$34*INDEX(Curves!$B$4:$AR$4,1,48-Projects!$C$34+1),0)+IF(AND(Projects!$G$35="Yes",48&gt;=Projects!$C$35,48&lt;Projects!$C$35+Projects!$D$35),Projects!$B$35*INDEX(Curves!$B$4:$AR$4,1,48-Projects!$C$35+1),0)+IF(AND(Projects!$G$36="Yes",48&gt;=Projects!$C$36,48&lt;Projects!$C$36+Projects!$D$36),Projects!$B$36*INDEX(Curves!$B$4:$AR$4,1,48-Projects!$C$36+1),0)+IF(AND(Projects!$G$37="Yes",48&gt;=Projects!$C$37,48&lt;Projects!$C$37+Projects!$D$37),Projects!$B$37*INDEX(Curves!$B$4:$AR$4,1,48-Projects!$C$37+1),0)+IF(AND(Projects!$G$38="Yes",48&gt;=Projects!$C$38,48&lt;Projects!$C$38+Projects!$D$38),Projects!$B$38*INDEX(Curves!$B$4:$AR$4,1,48-Projects!$C$38+1),0)+IF(AND(Projects!$G$39="Yes",48&gt;=Projects!$C$39,48&lt;Projects!$C$39+Projects!$D$39),Projects!$B$39*INDEX(Curves!$B$4:$AR$4,1,48-Projects!$C$39+1),0)+IF(AND(Projects!$G$40="Yes",48&gt;=Projects!$C$40,48&lt;Projects!$C$40+Projects!$D$40),Projects!$B$40*INDEX(Curves!$B$4:$AR$4,1,48-Projects!$C$40+1),0)+IF(AND(Projects!$G$41="Yes",48&gt;=Projects!$C$41,48&lt;Projects!$C$41+Projects!$D$41),Projects!$B$41*INDEX(Curves!$B$4:$AR$4,1,48-Projects!$C$41+1),0)+IF(AND(Projects!$G$42="Yes",48&gt;=Projects!$C$42,48&lt;Projects!$C$42+Projects!$D$42),Projects!$B$42*INDEX(Curves!$B$4:$AR$4,1,48-Projects!$C$42+1),0)+IF(AND(Projects!$G$43="Yes",48&gt;=Projects!$C$43,48&lt;Projects!$C$43+Projects!$D$43),Projects!$B$43*INDEX(Curves!$B$4:$AR$4,1,48-Projects!$C$43+1),0)+IF(AND(Projects!$G$44="Yes",48&gt;=Projects!$C$44,48&lt;Projects!$C$44+Projects!$D$44),Projects!$B$44*INDEX(Curves!$B$4:$AR$4,1,48-Projects!$C$44+1),0)+IF(AND(Projects!$G$45="Yes",48&gt;=Projects!$C$45,48&lt;Projects!$C$45+Projects!$D$45),Projects!$B$45*INDEX(Curves!$B$4:$AR$4,1,48-Projects!$C$45+1),0)+IF(AND(Projects!$G$46="Yes",48&gt;=Projects!$C$46,48&lt;Projects!$C$46+Projects!$D$46),Projects!$B$46*INDEX(Curves!$B$4:$AR$4,1,48-Projects!$C$46+1),0)</f>
        <v/>
      </c>
      <c r="BB96" s="688">
        <f>IF(AND(Projects!$G$17="Yes",49&gt;=Projects!$C$17,49&lt;Projects!$C$17+Projects!$D$17),Projects!$B$17*INDEX(Curves!$B$4:$AR$4,1,49-Projects!$C$17+1),0)+IF(AND(Projects!$G$18="Yes",49&gt;=Projects!$C$18,49&lt;Projects!$C$18+Projects!$D$18),Projects!$B$18*INDEX(Curves!$B$4:$AR$4,1,49-Projects!$C$18+1),0)+IF(AND(Projects!$G$19="Yes",49&gt;=Projects!$C$19,49&lt;Projects!$C$19+Projects!$D$19),Projects!$B$19*INDEX(Curves!$B$4:$AR$4,1,49-Projects!$C$19+1),0)+IF(AND(Projects!$G$20="Yes",49&gt;=Projects!$C$20,49&lt;Projects!$C$20+Projects!$D$20),Projects!$B$20*INDEX(Curves!$B$4:$AR$4,1,49-Projects!$C$20+1),0)+IF(AND(Projects!$G$21="Yes",49&gt;=Projects!$C$21,49&lt;Projects!$C$21+Projects!$D$21),Projects!$B$21*INDEX(Curves!$B$4:$AR$4,1,49-Projects!$C$21+1),0)+IF(AND(Projects!$G$22="Yes",49&gt;=Projects!$C$22,49&lt;Projects!$C$22+Projects!$D$22),Projects!$B$22*INDEX(Curves!$B$4:$AR$4,1,49-Projects!$C$22+1),0)+IF(AND(Projects!$G$23="Yes",49&gt;=Projects!$C$23,49&lt;Projects!$C$23+Projects!$D$23),Projects!$B$23*INDEX(Curves!$B$4:$AR$4,1,49-Projects!$C$23+1),0)+IF(AND(Projects!$G$24="Yes",49&gt;=Projects!$C$24,49&lt;Projects!$C$24+Projects!$D$24),Projects!$B$24*INDEX(Curves!$B$4:$AR$4,1,49-Projects!$C$24+1),0)+IF(AND(Projects!$G$25="Yes",49&gt;=Projects!$C$25,49&lt;Projects!$C$25+Projects!$D$25),Projects!$B$25*INDEX(Curves!$B$4:$AR$4,1,49-Projects!$C$25+1),0)+IF(AND(Projects!$G$26="Yes",49&gt;=Projects!$C$26,49&lt;Projects!$C$26+Projects!$D$26),Projects!$B$26*INDEX(Curves!$B$4:$AR$4,1,49-Projects!$C$26+1),0)+IF(AND(Projects!$G$27="Yes",49&gt;=Projects!$C$27,49&lt;Projects!$C$27+Projects!$D$27),Projects!$B$27*INDEX(Curves!$B$4:$AR$4,1,49-Projects!$C$27+1),0)+IF(AND(Projects!$G$28="Yes",49&gt;=Projects!$C$28,49&lt;Projects!$C$28+Projects!$D$28),Projects!$B$28*INDEX(Curves!$B$4:$AR$4,1,49-Projects!$C$28+1),0)+IF(AND(Projects!$G$29="Yes",49&gt;=Projects!$C$29,49&lt;Projects!$C$29+Projects!$D$29),Projects!$B$29*INDEX(Curves!$B$4:$AR$4,1,49-Projects!$C$29+1),0)+IF(AND(Projects!$G$30="Yes",49&gt;=Projects!$C$30,49&lt;Projects!$C$30+Projects!$D$30),Projects!$B$30*INDEX(Curves!$B$4:$AR$4,1,49-Projects!$C$30+1),0)+IF(AND(Projects!$G$31="Yes",49&gt;=Projects!$C$31,49&lt;Projects!$C$31+Projects!$D$31),Projects!$B$31*INDEX(Curves!$B$4:$AR$4,1,49-Projects!$C$31+1),0)+IF(AND(Projects!$G$32="Yes",49&gt;=Projects!$C$32,49&lt;Projects!$C$32+Projects!$D$32),Projects!$B$32*INDEX(Curves!$B$4:$AR$4,1,49-Projects!$C$32+1),0)+IF(AND(Projects!$G$33="Yes",49&gt;=Projects!$C$33,49&lt;Projects!$C$33+Projects!$D$33),Projects!$B$33*INDEX(Curves!$B$4:$AR$4,1,49-Projects!$C$33+1),0)+IF(AND(Projects!$G$34="Yes",49&gt;=Projects!$C$34,49&lt;Projects!$C$34+Projects!$D$34),Projects!$B$34*INDEX(Curves!$B$4:$AR$4,1,49-Projects!$C$34+1),0)+IF(AND(Projects!$G$35="Yes",49&gt;=Projects!$C$35,49&lt;Projects!$C$35+Projects!$D$35),Projects!$B$35*INDEX(Curves!$B$4:$AR$4,1,49-Projects!$C$35+1),0)+IF(AND(Projects!$G$36="Yes",49&gt;=Projects!$C$36,49&lt;Projects!$C$36+Projects!$D$36),Projects!$B$36*INDEX(Curves!$B$4:$AR$4,1,49-Projects!$C$36+1),0)+IF(AND(Projects!$G$37="Yes",49&gt;=Projects!$C$37,49&lt;Projects!$C$37+Projects!$D$37),Projects!$B$37*INDEX(Curves!$B$4:$AR$4,1,49-Projects!$C$37+1),0)+IF(AND(Projects!$G$38="Yes",49&gt;=Projects!$C$38,49&lt;Projects!$C$38+Projects!$D$38),Projects!$B$38*INDEX(Curves!$B$4:$AR$4,1,49-Projects!$C$38+1),0)+IF(AND(Projects!$G$39="Yes",49&gt;=Projects!$C$39,49&lt;Projects!$C$39+Projects!$D$39),Projects!$B$39*INDEX(Curves!$B$4:$AR$4,1,49-Projects!$C$39+1),0)+IF(AND(Projects!$G$40="Yes",49&gt;=Projects!$C$40,49&lt;Projects!$C$40+Projects!$D$40),Projects!$B$40*INDEX(Curves!$B$4:$AR$4,1,49-Projects!$C$40+1),0)+IF(AND(Projects!$G$41="Yes",49&gt;=Projects!$C$41,49&lt;Projects!$C$41+Projects!$D$41),Projects!$B$41*INDEX(Curves!$B$4:$AR$4,1,49-Projects!$C$41+1),0)+IF(AND(Projects!$G$42="Yes",49&gt;=Projects!$C$42,49&lt;Projects!$C$42+Projects!$D$42),Projects!$B$42*INDEX(Curves!$B$4:$AR$4,1,49-Projects!$C$42+1),0)+IF(AND(Projects!$G$43="Yes",49&gt;=Projects!$C$43,49&lt;Projects!$C$43+Projects!$D$43),Projects!$B$43*INDEX(Curves!$B$4:$AR$4,1,49-Projects!$C$43+1),0)+IF(AND(Projects!$G$44="Yes",49&gt;=Projects!$C$44,49&lt;Projects!$C$44+Projects!$D$44),Projects!$B$44*INDEX(Curves!$B$4:$AR$4,1,49-Projects!$C$44+1),0)+IF(AND(Projects!$G$45="Yes",49&gt;=Projects!$C$45,49&lt;Projects!$C$45+Projects!$D$45),Projects!$B$45*INDEX(Curves!$B$4:$AR$4,1,49-Projects!$C$45+1),0)+IF(AND(Projects!$G$46="Yes",49&gt;=Projects!$C$46,49&lt;Projects!$C$46+Projects!$D$46),Projects!$B$46*INDEX(Curves!$B$4:$AR$4,1,49-Projects!$C$46+1),0)</f>
        <v/>
      </c>
      <c r="BC96" s="688">
        <f>IF(AND(Projects!$G$17="Yes",50&gt;=Projects!$C$17,50&lt;Projects!$C$17+Projects!$D$17),Projects!$B$17*INDEX(Curves!$B$4:$AR$4,1,50-Projects!$C$17+1),0)+IF(AND(Projects!$G$18="Yes",50&gt;=Projects!$C$18,50&lt;Projects!$C$18+Projects!$D$18),Projects!$B$18*INDEX(Curves!$B$4:$AR$4,1,50-Projects!$C$18+1),0)+IF(AND(Projects!$G$19="Yes",50&gt;=Projects!$C$19,50&lt;Projects!$C$19+Projects!$D$19),Projects!$B$19*INDEX(Curves!$B$4:$AR$4,1,50-Projects!$C$19+1),0)+IF(AND(Projects!$G$20="Yes",50&gt;=Projects!$C$20,50&lt;Projects!$C$20+Projects!$D$20),Projects!$B$20*INDEX(Curves!$B$4:$AR$4,1,50-Projects!$C$20+1),0)+IF(AND(Projects!$G$21="Yes",50&gt;=Projects!$C$21,50&lt;Projects!$C$21+Projects!$D$21),Projects!$B$21*INDEX(Curves!$B$4:$AR$4,1,50-Projects!$C$21+1),0)+IF(AND(Projects!$G$22="Yes",50&gt;=Projects!$C$22,50&lt;Projects!$C$22+Projects!$D$22),Projects!$B$22*INDEX(Curves!$B$4:$AR$4,1,50-Projects!$C$22+1),0)+IF(AND(Projects!$G$23="Yes",50&gt;=Projects!$C$23,50&lt;Projects!$C$23+Projects!$D$23),Projects!$B$23*INDEX(Curves!$B$4:$AR$4,1,50-Projects!$C$23+1),0)+IF(AND(Projects!$G$24="Yes",50&gt;=Projects!$C$24,50&lt;Projects!$C$24+Projects!$D$24),Projects!$B$24*INDEX(Curves!$B$4:$AR$4,1,50-Projects!$C$24+1),0)+IF(AND(Projects!$G$25="Yes",50&gt;=Projects!$C$25,50&lt;Projects!$C$25+Projects!$D$25),Projects!$B$25*INDEX(Curves!$B$4:$AR$4,1,50-Projects!$C$25+1),0)+IF(AND(Projects!$G$26="Yes",50&gt;=Projects!$C$26,50&lt;Projects!$C$26+Projects!$D$26),Projects!$B$26*INDEX(Curves!$B$4:$AR$4,1,50-Projects!$C$26+1),0)+IF(AND(Projects!$G$27="Yes",50&gt;=Projects!$C$27,50&lt;Projects!$C$27+Projects!$D$27),Projects!$B$27*INDEX(Curves!$B$4:$AR$4,1,50-Projects!$C$27+1),0)+IF(AND(Projects!$G$28="Yes",50&gt;=Projects!$C$28,50&lt;Projects!$C$28+Projects!$D$28),Projects!$B$28*INDEX(Curves!$B$4:$AR$4,1,50-Projects!$C$28+1),0)+IF(AND(Projects!$G$29="Yes",50&gt;=Projects!$C$29,50&lt;Projects!$C$29+Projects!$D$29),Projects!$B$29*INDEX(Curves!$B$4:$AR$4,1,50-Projects!$C$29+1),0)+IF(AND(Projects!$G$30="Yes",50&gt;=Projects!$C$30,50&lt;Projects!$C$30+Projects!$D$30),Projects!$B$30*INDEX(Curves!$B$4:$AR$4,1,50-Projects!$C$30+1),0)+IF(AND(Projects!$G$31="Yes",50&gt;=Projects!$C$31,50&lt;Projects!$C$31+Projects!$D$31),Projects!$B$31*INDEX(Curves!$B$4:$AR$4,1,50-Projects!$C$31+1),0)+IF(AND(Projects!$G$32="Yes",50&gt;=Projects!$C$32,50&lt;Projects!$C$32+Projects!$D$32),Projects!$B$32*INDEX(Curves!$B$4:$AR$4,1,50-Projects!$C$32+1),0)+IF(AND(Projects!$G$33="Yes",50&gt;=Projects!$C$33,50&lt;Projects!$C$33+Projects!$D$33),Projects!$B$33*INDEX(Curves!$B$4:$AR$4,1,50-Projects!$C$33+1),0)+IF(AND(Projects!$G$34="Yes",50&gt;=Projects!$C$34,50&lt;Projects!$C$34+Projects!$D$34),Projects!$B$34*INDEX(Curves!$B$4:$AR$4,1,50-Projects!$C$34+1),0)+IF(AND(Projects!$G$35="Yes",50&gt;=Projects!$C$35,50&lt;Projects!$C$35+Projects!$D$35),Projects!$B$35*INDEX(Curves!$B$4:$AR$4,1,50-Projects!$C$35+1),0)+IF(AND(Projects!$G$36="Yes",50&gt;=Projects!$C$36,50&lt;Projects!$C$36+Projects!$D$36),Projects!$B$36*INDEX(Curves!$B$4:$AR$4,1,50-Projects!$C$36+1),0)+IF(AND(Projects!$G$37="Yes",50&gt;=Projects!$C$37,50&lt;Projects!$C$37+Projects!$D$37),Projects!$B$37*INDEX(Curves!$B$4:$AR$4,1,50-Projects!$C$37+1),0)+IF(AND(Projects!$G$38="Yes",50&gt;=Projects!$C$38,50&lt;Projects!$C$38+Projects!$D$38),Projects!$B$38*INDEX(Curves!$B$4:$AR$4,1,50-Projects!$C$38+1),0)+IF(AND(Projects!$G$39="Yes",50&gt;=Projects!$C$39,50&lt;Projects!$C$39+Projects!$D$39),Projects!$B$39*INDEX(Curves!$B$4:$AR$4,1,50-Projects!$C$39+1),0)+IF(AND(Projects!$G$40="Yes",50&gt;=Projects!$C$40,50&lt;Projects!$C$40+Projects!$D$40),Projects!$B$40*INDEX(Curves!$B$4:$AR$4,1,50-Projects!$C$40+1),0)+IF(AND(Projects!$G$41="Yes",50&gt;=Projects!$C$41,50&lt;Projects!$C$41+Projects!$D$41),Projects!$B$41*INDEX(Curves!$B$4:$AR$4,1,50-Projects!$C$41+1),0)+IF(AND(Projects!$G$42="Yes",50&gt;=Projects!$C$42,50&lt;Projects!$C$42+Projects!$D$42),Projects!$B$42*INDEX(Curves!$B$4:$AR$4,1,50-Projects!$C$42+1),0)+IF(AND(Projects!$G$43="Yes",50&gt;=Projects!$C$43,50&lt;Projects!$C$43+Projects!$D$43),Projects!$B$43*INDEX(Curves!$B$4:$AR$4,1,50-Projects!$C$43+1),0)+IF(AND(Projects!$G$44="Yes",50&gt;=Projects!$C$44,50&lt;Projects!$C$44+Projects!$D$44),Projects!$B$44*INDEX(Curves!$B$4:$AR$4,1,50-Projects!$C$44+1),0)+IF(AND(Projects!$G$45="Yes",50&gt;=Projects!$C$45,50&lt;Projects!$C$45+Projects!$D$45),Projects!$B$45*INDEX(Curves!$B$4:$AR$4,1,50-Projects!$C$45+1),0)+IF(AND(Projects!$G$46="Yes",50&gt;=Projects!$C$46,50&lt;Projects!$C$46+Projects!$D$46),Projects!$B$46*INDEX(Curves!$B$4:$AR$4,1,50-Projects!$C$46+1),0)</f>
        <v/>
      </c>
      <c r="BD96" s="688">
        <f>IF(AND(Projects!$G$17="Yes",51&gt;=Projects!$C$17,51&lt;Projects!$C$17+Projects!$D$17),Projects!$B$17*INDEX(Curves!$B$4:$AR$4,1,51-Projects!$C$17+1),0)+IF(AND(Projects!$G$18="Yes",51&gt;=Projects!$C$18,51&lt;Projects!$C$18+Projects!$D$18),Projects!$B$18*INDEX(Curves!$B$4:$AR$4,1,51-Projects!$C$18+1),0)+IF(AND(Projects!$G$19="Yes",51&gt;=Projects!$C$19,51&lt;Projects!$C$19+Projects!$D$19),Projects!$B$19*INDEX(Curves!$B$4:$AR$4,1,51-Projects!$C$19+1),0)+IF(AND(Projects!$G$20="Yes",51&gt;=Projects!$C$20,51&lt;Projects!$C$20+Projects!$D$20),Projects!$B$20*INDEX(Curves!$B$4:$AR$4,1,51-Projects!$C$20+1),0)+IF(AND(Projects!$G$21="Yes",51&gt;=Projects!$C$21,51&lt;Projects!$C$21+Projects!$D$21),Projects!$B$21*INDEX(Curves!$B$4:$AR$4,1,51-Projects!$C$21+1),0)+IF(AND(Projects!$G$22="Yes",51&gt;=Projects!$C$22,51&lt;Projects!$C$22+Projects!$D$22),Projects!$B$22*INDEX(Curves!$B$4:$AR$4,1,51-Projects!$C$22+1),0)+IF(AND(Projects!$G$23="Yes",51&gt;=Projects!$C$23,51&lt;Projects!$C$23+Projects!$D$23),Projects!$B$23*INDEX(Curves!$B$4:$AR$4,1,51-Projects!$C$23+1),0)+IF(AND(Projects!$G$24="Yes",51&gt;=Projects!$C$24,51&lt;Projects!$C$24+Projects!$D$24),Projects!$B$24*INDEX(Curves!$B$4:$AR$4,1,51-Projects!$C$24+1),0)+IF(AND(Projects!$G$25="Yes",51&gt;=Projects!$C$25,51&lt;Projects!$C$25+Projects!$D$25),Projects!$B$25*INDEX(Curves!$B$4:$AR$4,1,51-Projects!$C$25+1),0)+IF(AND(Projects!$G$26="Yes",51&gt;=Projects!$C$26,51&lt;Projects!$C$26+Projects!$D$26),Projects!$B$26*INDEX(Curves!$B$4:$AR$4,1,51-Projects!$C$26+1),0)+IF(AND(Projects!$G$27="Yes",51&gt;=Projects!$C$27,51&lt;Projects!$C$27+Projects!$D$27),Projects!$B$27*INDEX(Curves!$B$4:$AR$4,1,51-Projects!$C$27+1),0)+IF(AND(Projects!$G$28="Yes",51&gt;=Projects!$C$28,51&lt;Projects!$C$28+Projects!$D$28),Projects!$B$28*INDEX(Curves!$B$4:$AR$4,1,51-Projects!$C$28+1),0)+IF(AND(Projects!$G$29="Yes",51&gt;=Projects!$C$29,51&lt;Projects!$C$29+Projects!$D$29),Projects!$B$29*INDEX(Curves!$B$4:$AR$4,1,51-Projects!$C$29+1),0)+IF(AND(Projects!$G$30="Yes",51&gt;=Projects!$C$30,51&lt;Projects!$C$30+Projects!$D$30),Projects!$B$30*INDEX(Curves!$B$4:$AR$4,1,51-Projects!$C$30+1),0)+IF(AND(Projects!$G$31="Yes",51&gt;=Projects!$C$31,51&lt;Projects!$C$31+Projects!$D$31),Projects!$B$31*INDEX(Curves!$B$4:$AR$4,1,51-Projects!$C$31+1),0)+IF(AND(Projects!$G$32="Yes",51&gt;=Projects!$C$32,51&lt;Projects!$C$32+Projects!$D$32),Projects!$B$32*INDEX(Curves!$B$4:$AR$4,1,51-Projects!$C$32+1),0)+IF(AND(Projects!$G$33="Yes",51&gt;=Projects!$C$33,51&lt;Projects!$C$33+Projects!$D$33),Projects!$B$33*INDEX(Curves!$B$4:$AR$4,1,51-Projects!$C$33+1),0)+IF(AND(Projects!$G$34="Yes",51&gt;=Projects!$C$34,51&lt;Projects!$C$34+Projects!$D$34),Projects!$B$34*INDEX(Curves!$B$4:$AR$4,1,51-Projects!$C$34+1),0)+IF(AND(Projects!$G$35="Yes",51&gt;=Projects!$C$35,51&lt;Projects!$C$35+Projects!$D$35),Projects!$B$35*INDEX(Curves!$B$4:$AR$4,1,51-Projects!$C$35+1),0)+IF(AND(Projects!$G$36="Yes",51&gt;=Projects!$C$36,51&lt;Projects!$C$36+Projects!$D$36),Projects!$B$36*INDEX(Curves!$B$4:$AR$4,1,51-Projects!$C$36+1),0)+IF(AND(Projects!$G$37="Yes",51&gt;=Projects!$C$37,51&lt;Projects!$C$37+Projects!$D$37),Projects!$B$37*INDEX(Curves!$B$4:$AR$4,1,51-Projects!$C$37+1),0)+IF(AND(Projects!$G$38="Yes",51&gt;=Projects!$C$38,51&lt;Projects!$C$38+Projects!$D$38),Projects!$B$38*INDEX(Curves!$B$4:$AR$4,1,51-Projects!$C$38+1),0)+IF(AND(Projects!$G$39="Yes",51&gt;=Projects!$C$39,51&lt;Projects!$C$39+Projects!$D$39),Projects!$B$39*INDEX(Curves!$B$4:$AR$4,1,51-Projects!$C$39+1),0)+IF(AND(Projects!$G$40="Yes",51&gt;=Projects!$C$40,51&lt;Projects!$C$40+Projects!$D$40),Projects!$B$40*INDEX(Curves!$B$4:$AR$4,1,51-Projects!$C$40+1),0)+IF(AND(Projects!$G$41="Yes",51&gt;=Projects!$C$41,51&lt;Projects!$C$41+Projects!$D$41),Projects!$B$41*INDEX(Curves!$B$4:$AR$4,1,51-Projects!$C$41+1),0)+IF(AND(Projects!$G$42="Yes",51&gt;=Projects!$C$42,51&lt;Projects!$C$42+Projects!$D$42),Projects!$B$42*INDEX(Curves!$B$4:$AR$4,1,51-Projects!$C$42+1),0)+IF(AND(Projects!$G$43="Yes",51&gt;=Projects!$C$43,51&lt;Projects!$C$43+Projects!$D$43),Projects!$B$43*INDEX(Curves!$B$4:$AR$4,1,51-Projects!$C$43+1),0)+IF(AND(Projects!$G$44="Yes",51&gt;=Projects!$C$44,51&lt;Projects!$C$44+Projects!$D$44),Projects!$B$44*INDEX(Curves!$B$4:$AR$4,1,51-Projects!$C$44+1),0)+IF(AND(Projects!$G$45="Yes",51&gt;=Projects!$C$45,51&lt;Projects!$C$45+Projects!$D$45),Projects!$B$45*INDEX(Curves!$B$4:$AR$4,1,51-Projects!$C$45+1),0)+IF(AND(Projects!$G$46="Yes",51&gt;=Projects!$C$46,51&lt;Projects!$C$46+Projects!$D$46),Projects!$B$46*INDEX(Curves!$B$4:$AR$4,1,51-Projects!$C$46+1),0)</f>
        <v/>
      </c>
      <c r="BE96" s="688">
        <f>IF(AND(Projects!$G$17="Yes",52&gt;=Projects!$C$17,52&lt;Projects!$C$17+Projects!$D$17),Projects!$B$17*INDEX(Curves!$B$4:$AR$4,1,52-Projects!$C$17+1),0)+IF(AND(Projects!$G$18="Yes",52&gt;=Projects!$C$18,52&lt;Projects!$C$18+Projects!$D$18),Projects!$B$18*INDEX(Curves!$B$4:$AR$4,1,52-Projects!$C$18+1),0)+IF(AND(Projects!$G$19="Yes",52&gt;=Projects!$C$19,52&lt;Projects!$C$19+Projects!$D$19),Projects!$B$19*INDEX(Curves!$B$4:$AR$4,1,52-Projects!$C$19+1),0)+IF(AND(Projects!$G$20="Yes",52&gt;=Projects!$C$20,52&lt;Projects!$C$20+Projects!$D$20),Projects!$B$20*INDEX(Curves!$B$4:$AR$4,1,52-Projects!$C$20+1),0)+IF(AND(Projects!$G$21="Yes",52&gt;=Projects!$C$21,52&lt;Projects!$C$21+Projects!$D$21),Projects!$B$21*INDEX(Curves!$B$4:$AR$4,1,52-Projects!$C$21+1),0)+IF(AND(Projects!$G$22="Yes",52&gt;=Projects!$C$22,52&lt;Projects!$C$22+Projects!$D$22),Projects!$B$22*INDEX(Curves!$B$4:$AR$4,1,52-Projects!$C$22+1),0)+IF(AND(Projects!$G$23="Yes",52&gt;=Projects!$C$23,52&lt;Projects!$C$23+Projects!$D$23),Projects!$B$23*INDEX(Curves!$B$4:$AR$4,1,52-Projects!$C$23+1),0)+IF(AND(Projects!$G$24="Yes",52&gt;=Projects!$C$24,52&lt;Projects!$C$24+Projects!$D$24),Projects!$B$24*INDEX(Curves!$B$4:$AR$4,1,52-Projects!$C$24+1),0)+IF(AND(Projects!$G$25="Yes",52&gt;=Projects!$C$25,52&lt;Projects!$C$25+Projects!$D$25),Projects!$B$25*INDEX(Curves!$B$4:$AR$4,1,52-Projects!$C$25+1),0)+IF(AND(Projects!$G$26="Yes",52&gt;=Projects!$C$26,52&lt;Projects!$C$26+Projects!$D$26),Projects!$B$26*INDEX(Curves!$B$4:$AR$4,1,52-Projects!$C$26+1),0)+IF(AND(Projects!$G$27="Yes",52&gt;=Projects!$C$27,52&lt;Projects!$C$27+Projects!$D$27),Projects!$B$27*INDEX(Curves!$B$4:$AR$4,1,52-Projects!$C$27+1),0)+IF(AND(Projects!$G$28="Yes",52&gt;=Projects!$C$28,52&lt;Projects!$C$28+Projects!$D$28),Projects!$B$28*INDEX(Curves!$B$4:$AR$4,1,52-Projects!$C$28+1),0)+IF(AND(Projects!$G$29="Yes",52&gt;=Projects!$C$29,52&lt;Projects!$C$29+Projects!$D$29),Projects!$B$29*INDEX(Curves!$B$4:$AR$4,1,52-Projects!$C$29+1),0)+IF(AND(Projects!$G$30="Yes",52&gt;=Projects!$C$30,52&lt;Projects!$C$30+Projects!$D$30),Projects!$B$30*INDEX(Curves!$B$4:$AR$4,1,52-Projects!$C$30+1),0)+IF(AND(Projects!$G$31="Yes",52&gt;=Projects!$C$31,52&lt;Projects!$C$31+Projects!$D$31),Projects!$B$31*INDEX(Curves!$B$4:$AR$4,1,52-Projects!$C$31+1),0)+IF(AND(Projects!$G$32="Yes",52&gt;=Projects!$C$32,52&lt;Projects!$C$32+Projects!$D$32),Projects!$B$32*INDEX(Curves!$B$4:$AR$4,1,52-Projects!$C$32+1),0)+IF(AND(Projects!$G$33="Yes",52&gt;=Projects!$C$33,52&lt;Projects!$C$33+Projects!$D$33),Projects!$B$33*INDEX(Curves!$B$4:$AR$4,1,52-Projects!$C$33+1),0)+IF(AND(Projects!$G$34="Yes",52&gt;=Projects!$C$34,52&lt;Projects!$C$34+Projects!$D$34),Projects!$B$34*INDEX(Curves!$B$4:$AR$4,1,52-Projects!$C$34+1),0)+IF(AND(Projects!$G$35="Yes",52&gt;=Projects!$C$35,52&lt;Projects!$C$35+Projects!$D$35),Projects!$B$35*INDEX(Curves!$B$4:$AR$4,1,52-Projects!$C$35+1),0)+IF(AND(Projects!$G$36="Yes",52&gt;=Projects!$C$36,52&lt;Projects!$C$36+Projects!$D$36),Projects!$B$36*INDEX(Curves!$B$4:$AR$4,1,52-Projects!$C$36+1),0)+IF(AND(Projects!$G$37="Yes",52&gt;=Projects!$C$37,52&lt;Projects!$C$37+Projects!$D$37),Projects!$B$37*INDEX(Curves!$B$4:$AR$4,1,52-Projects!$C$37+1),0)+IF(AND(Projects!$G$38="Yes",52&gt;=Projects!$C$38,52&lt;Projects!$C$38+Projects!$D$38),Projects!$B$38*INDEX(Curves!$B$4:$AR$4,1,52-Projects!$C$38+1),0)+IF(AND(Projects!$G$39="Yes",52&gt;=Projects!$C$39,52&lt;Projects!$C$39+Projects!$D$39),Projects!$B$39*INDEX(Curves!$B$4:$AR$4,1,52-Projects!$C$39+1),0)+IF(AND(Projects!$G$40="Yes",52&gt;=Projects!$C$40,52&lt;Projects!$C$40+Projects!$D$40),Projects!$B$40*INDEX(Curves!$B$4:$AR$4,1,52-Projects!$C$40+1),0)+IF(AND(Projects!$G$41="Yes",52&gt;=Projects!$C$41,52&lt;Projects!$C$41+Projects!$D$41),Projects!$B$41*INDEX(Curves!$B$4:$AR$4,1,52-Projects!$C$41+1),0)+IF(AND(Projects!$G$42="Yes",52&gt;=Projects!$C$42,52&lt;Projects!$C$42+Projects!$D$42),Projects!$B$42*INDEX(Curves!$B$4:$AR$4,1,52-Projects!$C$42+1),0)+IF(AND(Projects!$G$43="Yes",52&gt;=Projects!$C$43,52&lt;Projects!$C$43+Projects!$D$43),Projects!$B$43*INDEX(Curves!$B$4:$AR$4,1,52-Projects!$C$43+1),0)+IF(AND(Projects!$G$44="Yes",52&gt;=Projects!$C$44,52&lt;Projects!$C$44+Projects!$D$44),Projects!$B$44*INDEX(Curves!$B$4:$AR$4,1,52-Projects!$C$44+1),0)+IF(AND(Projects!$G$45="Yes",52&gt;=Projects!$C$45,52&lt;Projects!$C$45+Projects!$D$45),Projects!$B$45*INDEX(Curves!$B$4:$AR$4,1,52-Projects!$C$45+1),0)+IF(AND(Projects!$G$46="Yes",52&gt;=Projects!$C$46,52&lt;Projects!$C$46+Projects!$D$46),Projects!$B$46*INDEX(Curves!$B$4:$AR$4,1,52-Projects!$C$46+1),0)</f>
        <v/>
      </c>
      <c r="BF96" s="688">
        <f>IF(AND(Projects!$G$17="Yes",53&gt;=Projects!$C$17,53&lt;Projects!$C$17+Projects!$D$17),Projects!$B$17*INDEX(Curves!$B$4:$AR$4,1,53-Projects!$C$17+1),0)+IF(AND(Projects!$G$18="Yes",53&gt;=Projects!$C$18,53&lt;Projects!$C$18+Projects!$D$18),Projects!$B$18*INDEX(Curves!$B$4:$AR$4,1,53-Projects!$C$18+1),0)+IF(AND(Projects!$G$19="Yes",53&gt;=Projects!$C$19,53&lt;Projects!$C$19+Projects!$D$19),Projects!$B$19*INDEX(Curves!$B$4:$AR$4,1,53-Projects!$C$19+1),0)+IF(AND(Projects!$G$20="Yes",53&gt;=Projects!$C$20,53&lt;Projects!$C$20+Projects!$D$20),Projects!$B$20*INDEX(Curves!$B$4:$AR$4,1,53-Projects!$C$20+1),0)+IF(AND(Projects!$G$21="Yes",53&gt;=Projects!$C$21,53&lt;Projects!$C$21+Projects!$D$21),Projects!$B$21*INDEX(Curves!$B$4:$AR$4,1,53-Projects!$C$21+1),0)+IF(AND(Projects!$G$22="Yes",53&gt;=Projects!$C$22,53&lt;Projects!$C$22+Projects!$D$22),Projects!$B$22*INDEX(Curves!$B$4:$AR$4,1,53-Projects!$C$22+1),0)+IF(AND(Projects!$G$23="Yes",53&gt;=Projects!$C$23,53&lt;Projects!$C$23+Projects!$D$23),Projects!$B$23*INDEX(Curves!$B$4:$AR$4,1,53-Projects!$C$23+1),0)+IF(AND(Projects!$G$24="Yes",53&gt;=Projects!$C$24,53&lt;Projects!$C$24+Projects!$D$24),Projects!$B$24*INDEX(Curves!$B$4:$AR$4,1,53-Projects!$C$24+1),0)+IF(AND(Projects!$G$25="Yes",53&gt;=Projects!$C$25,53&lt;Projects!$C$25+Projects!$D$25),Projects!$B$25*INDEX(Curves!$B$4:$AR$4,1,53-Projects!$C$25+1),0)+IF(AND(Projects!$G$26="Yes",53&gt;=Projects!$C$26,53&lt;Projects!$C$26+Projects!$D$26),Projects!$B$26*INDEX(Curves!$B$4:$AR$4,1,53-Projects!$C$26+1),0)+IF(AND(Projects!$G$27="Yes",53&gt;=Projects!$C$27,53&lt;Projects!$C$27+Projects!$D$27),Projects!$B$27*INDEX(Curves!$B$4:$AR$4,1,53-Projects!$C$27+1),0)+IF(AND(Projects!$G$28="Yes",53&gt;=Projects!$C$28,53&lt;Projects!$C$28+Projects!$D$28),Projects!$B$28*INDEX(Curves!$B$4:$AR$4,1,53-Projects!$C$28+1),0)+IF(AND(Projects!$G$29="Yes",53&gt;=Projects!$C$29,53&lt;Projects!$C$29+Projects!$D$29),Projects!$B$29*INDEX(Curves!$B$4:$AR$4,1,53-Projects!$C$29+1),0)+IF(AND(Projects!$G$30="Yes",53&gt;=Projects!$C$30,53&lt;Projects!$C$30+Projects!$D$30),Projects!$B$30*INDEX(Curves!$B$4:$AR$4,1,53-Projects!$C$30+1),0)+IF(AND(Projects!$G$31="Yes",53&gt;=Projects!$C$31,53&lt;Projects!$C$31+Projects!$D$31),Projects!$B$31*INDEX(Curves!$B$4:$AR$4,1,53-Projects!$C$31+1),0)+IF(AND(Projects!$G$32="Yes",53&gt;=Projects!$C$32,53&lt;Projects!$C$32+Projects!$D$32),Projects!$B$32*INDEX(Curves!$B$4:$AR$4,1,53-Projects!$C$32+1),0)+IF(AND(Projects!$G$33="Yes",53&gt;=Projects!$C$33,53&lt;Projects!$C$33+Projects!$D$33),Projects!$B$33*INDEX(Curves!$B$4:$AR$4,1,53-Projects!$C$33+1),0)+IF(AND(Projects!$G$34="Yes",53&gt;=Projects!$C$34,53&lt;Projects!$C$34+Projects!$D$34),Projects!$B$34*INDEX(Curves!$B$4:$AR$4,1,53-Projects!$C$34+1),0)+IF(AND(Projects!$G$35="Yes",53&gt;=Projects!$C$35,53&lt;Projects!$C$35+Projects!$D$35),Projects!$B$35*INDEX(Curves!$B$4:$AR$4,1,53-Projects!$C$35+1),0)+IF(AND(Projects!$G$36="Yes",53&gt;=Projects!$C$36,53&lt;Projects!$C$36+Projects!$D$36),Projects!$B$36*INDEX(Curves!$B$4:$AR$4,1,53-Projects!$C$36+1),0)+IF(AND(Projects!$G$37="Yes",53&gt;=Projects!$C$37,53&lt;Projects!$C$37+Projects!$D$37),Projects!$B$37*INDEX(Curves!$B$4:$AR$4,1,53-Projects!$C$37+1),0)+IF(AND(Projects!$G$38="Yes",53&gt;=Projects!$C$38,53&lt;Projects!$C$38+Projects!$D$38),Projects!$B$38*INDEX(Curves!$B$4:$AR$4,1,53-Projects!$C$38+1),0)+IF(AND(Projects!$G$39="Yes",53&gt;=Projects!$C$39,53&lt;Projects!$C$39+Projects!$D$39),Projects!$B$39*INDEX(Curves!$B$4:$AR$4,1,53-Projects!$C$39+1),0)+IF(AND(Projects!$G$40="Yes",53&gt;=Projects!$C$40,53&lt;Projects!$C$40+Projects!$D$40),Projects!$B$40*INDEX(Curves!$B$4:$AR$4,1,53-Projects!$C$40+1),0)+IF(AND(Projects!$G$41="Yes",53&gt;=Projects!$C$41,53&lt;Projects!$C$41+Projects!$D$41),Projects!$B$41*INDEX(Curves!$B$4:$AR$4,1,53-Projects!$C$41+1),0)+IF(AND(Projects!$G$42="Yes",53&gt;=Projects!$C$42,53&lt;Projects!$C$42+Projects!$D$42),Projects!$B$42*INDEX(Curves!$B$4:$AR$4,1,53-Projects!$C$42+1),0)+IF(AND(Projects!$G$43="Yes",53&gt;=Projects!$C$43,53&lt;Projects!$C$43+Projects!$D$43),Projects!$B$43*INDEX(Curves!$B$4:$AR$4,1,53-Projects!$C$43+1),0)+IF(AND(Projects!$G$44="Yes",53&gt;=Projects!$C$44,53&lt;Projects!$C$44+Projects!$D$44),Projects!$B$44*INDEX(Curves!$B$4:$AR$4,1,53-Projects!$C$44+1),0)+IF(AND(Projects!$G$45="Yes",53&gt;=Projects!$C$45,53&lt;Projects!$C$45+Projects!$D$45),Projects!$B$45*INDEX(Curves!$B$4:$AR$4,1,53-Projects!$C$45+1),0)+IF(AND(Projects!$G$46="Yes",53&gt;=Projects!$C$46,53&lt;Projects!$C$46+Projects!$D$46),Projects!$B$46*INDEX(Curves!$B$4:$AR$4,1,53-Projects!$C$46+1),0)</f>
        <v/>
      </c>
      <c r="BG96" s="688">
        <f>IF(AND(Projects!$G$17="Yes",54&gt;=Projects!$C$17,54&lt;Projects!$C$17+Projects!$D$17),Projects!$B$17*INDEX(Curves!$B$4:$AR$4,1,54-Projects!$C$17+1),0)+IF(AND(Projects!$G$18="Yes",54&gt;=Projects!$C$18,54&lt;Projects!$C$18+Projects!$D$18),Projects!$B$18*INDEX(Curves!$B$4:$AR$4,1,54-Projects!$C$18+1),0)+IF(AND(Projects!$G$19="Yes",54&gt;=Projects!$C$19,54&lt;Projects!$C$19+Projects!$D$19),Projects!$B$19*INDEX(Curves!$B$4:$AR$4,1,54-Projects!$C$19+1),0)+IF(AND(Projects!$G$20="Yes",54&gt;=Projects!$C$20,54&lt;Projects!$C$20+Projects!$D$20),Projects!$B$20*INDEX(Curves!$B$4:$AR$4,1,54-Projects!$C$20+1),0)+IF(AND(Projects!$G$21="Yes",54&gt;=Projects!$C$21,54&lt;Projects!$C$21+Projects!$D$21),Projects!$B$21*INDEX(Curves!$B$4:$AR$4,1,54-Projects!$C$21+1),0)+IF(AND(Projects!$G$22="Yes",54&gt;=Projects!$C$22,54&lt;Projects!$C$22+Projects!$D$22),Projects!$B$22*INDEX(Curves!$B$4:$AR$4,1,54-Projects!$C$22+1),0)+IF(AND(Projects!$G$23="Yes",54&gt;=Projects!$C$23,54&lt;Projects!$C$23+Projects!$D$23),Projects!$B$23*INDEX(Curves!$B$4:$AR$4,1,54-Projects!$C$23+1),0)+IF(AND(Projects!$G$24="Yes",54&gt;=Projects!$C$24,54&lt;Projects!$C$24+Projects!$D$24),Projects!$B$24*INDEX(Curves!$B$4:$AR$4,1,54-Projects!$C$24+1),0)+IF(AND(Projects!$G$25="Yes",54&gt;=Projects!$C$25,54&lt;Projects!$C$25+Projects!$D$25),Projects!$B$25*INDEX(Curves!$B$4:$AR$4,1,54-Projects!$C$25+1),0)+IF(AND(Projects!$G$26="Yes",54&gt;=Projects!$C$26,54&lt;Projects!$C$26+Projects!$D$26),Projects!$B$26*INDEX(Curves!$B$4:$AR$4,1,54-Projects!$C$26+1),0)+IF(AND(Projects!$G$27="Yes",54&gt;=Projects!$C$27,54&lt;Projects!$C$27+Projects!$D$27),Projects!$B$27*INDEX(Curves!$B$4:$AR$4,1,54-Projects!$C$27+1),0)+IF(AND(Projects!$G$28="Yes",54&gt;=Projects!$C$28,54&lt;Projects!$C$28+Projects!$D$28),Projects!$B$28*INDEX(Curves!$B$4:$AR$4,1,54-Projects!$C$28+1),0)+IF(AND(Projects!$G$29="Yes",54&gt;=Projects!$C$29,54&lt;Projects!$C$29+Projects!$D$29),Projects!$B$29*INDEX(Curves!$B$4:$AR$4,1,54-Projects!$C$29+1),0)+IF(AND(Projects!$G$30="Yes",54&gt;=Projects!$C$30,54&lt;Projects!$C$30+Projects!$D$30),Projects!$B$30*INDEX(Curves!$B$4:$AR$4,1,54-Projects!$C$30+1),0)+IF(AND(Projects!$G$31="Yes",54&gt;=Projects!$C$31,54&lt;Projects!$C$31+Projects!$D$31),Projects!$B$31*INDEX(Curves!$B$4:$AR$4,1,54-Projects!$C$31+1),0)+IF(AND(Projects!$G$32="Yes",54&gt;=Projects!$C$32,54&lt;Projects!$C$32+Projects!$D$32),Projects!$B$32*INDEX(Curves!$B$4:$AR$4,1,54-Projects!$C$32+1),0)+IF(AND(Projects!$G$33="Yes",54&gt;=Projects!$C$33,54&lt;Projects!$C$33+Projects!$D$33),Projects!$B$33*INDEX(Curves!$B$4:$AR$4,1,54-Projects!$C$33+1),0)+IF(AND(Projects!$G$34="Yes",54&gt;=Projects!$C$34,54&lt;Projects!$C$34+Projects!$D$34),Projects!$B$34*INDEX(Curves!$B$4:$AR$4,1,54-Projects!$C$34+1),0)+IF(AND(Projects!$G$35="Yes",54&gt;=Projects!$C$35,54&lt;Projects!$C$35+Projects!$D$35),Projects!$B$35*INDEX(Curves!$B$4:$AR$4,1,54-Projects!$C$35+1),0)+IF(AND(Projects!$G$36="Yes",54&gt;=Projects!$C$36,54&lt;Projects!$C$36+Projects!$D$36),Projects!$B$36*INDEX(Curves!$B$4:$AR$4,1,54-Projects!$C$36+1),0)+IF(AND(Projects!$G$37="Yes",54&gt;=Projects!$C$37,54&lt;Projects!$C$37+Projects!$D$37),Projects!$B$37*INDEX(Curves!$B$4:$AR$4,1,54-Projects!$C$37+1),0)+IF(AND(Projects!$G$38="Yes",54&gt;=Projects!$C$38,54&lt;Projects!$C$38+Projects!$D$38),Projects!$B$38*INDEX(Curves!$B$4:$AR$4,1,54-Projects!$C$38+1),0)+IF(AND(Projects!$G$39="Yes",54&gt;=Projects!$C$39,54&lt;Projects!$C$39+Projects!$D$39),Projects!$B$39*INDEX(Curves!$B$4:$AR$4,1,54-Projects!$C$39+1),0)+IF(AND(Projects!$G$40="Yes",54&gt;=Projects!$C$40,54&lt;Projects!$C$40+Projects!$D$40),Projects!$B$40*INDEX(Curves!$B$4:$AR$4,1,54-Projects!$C$40+1),0)+IF(AND(Projects!$G$41="Yes",54&gt;=Projects!$C$41,54&lt;Projects!$C$41+Projects!$D$41),Projects!$B$41*INDEX(Curves!$B$4:$AR$4,1,54-Projects!$C$41+1),0)+IF(AND(Projects!$G$42="Yes",54&gt;=Projects!$C$42,54&lt;Projects!$C$42+Projects!$D$42),Projects!$B$42*INDEX(Curves!$B$4:$AR$4,1,54-Projects!$C$42+1),0)+IF(AND(Projects!$G$43="Yes",54&gt;=Projects!$C$43,54&lt;Projects!$C$43+Projects!$D$43),Projects!$B$43*INDEX(Curves!$B$4:$AR$4,1,54-Projects!$C$43+1),0)+IF(AND(Projects!$G$44="Yes",54&gt;=Projects!$C$44,54&lt;Projects!$C$44+Projects!$D$44),Projects!$B$44*INDEX(Curves!$B$4:$AR$4,1,54-Projects!$C$44+1),0)+IF(AND(Projects!$G$45="Yes",54&gt;=Projects!$C$45,54&lt;Projects!$C$45+Projects!$D$45),Projects!$B$45*INDEX(Curves!$B$4:$AR$4,1,54-Projects!$C$45+1),0)+IF(AND(Projects!$G$46="Yes",54&gt;=Projects!$C$46,54&lt;Projects!$C$46+Projects!$D$46),Projects!$B$46*INDEX(Curves!$B$4:$AR$4,1,54-Projects!$C$46+1),0)</f>
        <v/>
      </c>
      <c r="BH96" s="688">
        <f>IF(AND(Projects!$G$17="Yes",55&gt;=Projects!$C$17,55&lt;Projects!$C$17+Projects!$D$17),Projects!$B$17*INDEX(Curves!$B$4:$AR$4,1,55-Projects!$C$17+1),0)+IF(AND(Projects!$G$18="Yes",55&gt;=Projects!$C$18,55&lt;Projects!$C$18+Projects!$D$18),Projects!$B$18*INDEX(Curves!$B$4:$AR$4,1,55-Projects!$C$18+1),0)+IF(AND(Projects!$G$19="Yes",55&gt;=Projects!$C$19,55&lt;Projects!$C$19+Projects!$D$19),Projects!$B$19*INDEX(Curves!$B$4:$AR$4,1,55-Projects!$C$19+1),0)+IF(AND(Projects!$G$20="Yes",55&gt;=Projects!$C$20,55&lt;Projects!$C$20+Projects!$D$20),Projects!$B$20*INDEX(Curves!$B$4:$AR$4,1,55-Projects!$C$20+1),0)+IF(AND(Projects!$G$21="Yes",55&gt;=Projects!$C$21,55&lt;Projects!$C$21+Projects!$D$21),Projects!$B$21*INDEX(Curves!$B$4:$AR$4,1,55-Projects!$C$21+1),0)+IF(AND(Projects!$G$22="Yes",55&gt;=Projects!$C$22,55&lt;Projects!$C$22+Projects!$D$22),Projects!$B$22*INDEX(Curves!$B$4:$AR$4,1,55-Projects!$C$22+1),0)+IF(AND(Projects!$G$23="Yes",55&gt;=Projects!$C$23,55&lt;Projects!$C$23+Projects!$D$23),Projects!$B$23*INDEX(Curves!$B$4:$AR$4,1,55-Projects!$C$23+1),0)+IF(AND(Projects!$G$24="Yes",55&gt;=Projects!$C$24,55&lt;Projects!$C$24+Projects!$D$24),Projects!$B$24*INDEX(Curves!$B$4:$AR$4,1,55-Projects!$C$24+1),0)+IF(AND(Projects!$G$25="Yes",55&gt;=Projects!$C$25,55&lt;Projects!$C$25+Projects!$D$25),Projects!$B$25*INDEX(Curves!$B$4:$AR$4,1,55-Projects!$C$25+1),0)+IF(AND(Projects!$G$26="Yes",55&gt;=Projects!$C$26,55&lt;Projects!$C$26+Projects!$D$26),Projects!$B$26*INDEX(Curves!$B$4:$AR$4,1,55-Projects!$C$26+1),0)+IF(AND(Projects!$G$27="Yes",55&gt;=Projects!$C$27,55&lt;Projects!$C$27+Projects!$D$27),Projects!$B$27*INDEX(Curves!$B$4:$AR$4,1,55-Projects!$C$27+1),0)+IF(AND(Projects!$G$28="Yes",55&gt;=Projects!$C$28,55&lt;Projects!$C$28+Projects!$D$28),Projects!$B$28*INDEX(Curves!$B$4:$AR$4,1,55-Projects!$C$28+1),0)+IF(AND(Projects!$G$29="Yes",55&gt;=Projects!$C$29,55&lt;Projects!$C$29+Projects!$D$29),Projects!$B$29*INDEX(Curves!$B$4:$AR$4,1,55-Projects!$C$29+1),0)+IF(AND(Projects!$G$30="Yes",55&gt;=Projects!$C$30,55&lt;Projects!$C$30+Projects!$D$30),Projects!$B$30*INDEX(Curves!$B$4:$AR$4,1,55-Projects!$C$30+1),0)+IF(AND(Projects!$G$31="Yes",55&gt;=Projects!$C$31,55&lt;Projects!$C$31+Projects!$D$31),Projects!$B$31*INDEX(Curves!$B$4:$AR$4,1,55-Projects!$C$31+1),0)+IF(AND(Projects!$G$32="Yes",55&gt;=Projects!$C$32,55&lt;Projects!$C$32+Projects!$D$32),Projects!$B$32*INDEX(Curves!$B$4:$AR$4,1,55-Projects!$C$32+1),0)+IF(AND(Projects!$G$33="Yes",55&gt;=Projects!$C$33,55&lt;Projects!$C$33+Projects!$D$33),Projects!$B$33*INDEX(Curves!$B$4:$AR$4,1,55-Projects!$C$33+1),0)+IF(AND(Projects!$G$34="Yes",55&gt;=Projects!$C$34,55&lt;Projects!$C$34+Projects!$D$34),Projects!$B$34*INDEX(Curves!$B$4:$AR$4,1,55-Projects!$C$34+1),0)+IF(AND(Projects!$G$35="Yes",55&gt;=Projects!$C$35,55&lt;Projects!$C$35+Projects!$D$35),Projects!$B$35*INDEX(Curves!$B$4:$AR$4,1,55-Projects!$C$35+1),0)+IF(AND(Projects!$G$36="Yes",55&gt;=Projects!$C$36,55&lt;Projects!$C$36+Projects!$D$36),Projects!$B$36*INDEX(Curves!$B$4:$AR$4,1,55-Projects!$C$36+1),0)+IF(AND(Projects!$G$37="Yes",55&gt;=Projects!$C$37,55&lt;Projects!$C$37+Projects!$D$37),Projects!$B$37*INDEX(Curves!$B$4:$AR$4,1,55-Projects!$C$37+1),0)+IF(AND(Projects!$G$38="Yes",55&gt;=Projects!$C$38,55&lt;Projects!$C$38+Projects!$D$38),Projects!$B$38*INDEX(Curves!$B$4:$AR$4,1,55-Projects!$C$38+1),0)+IF(AND(Projects!$G$39="Yes",55&gt;=Projects!$C$39,55&lt;Projects!$C$39+Projects!$D$39),Projects!$B$39*INDEX(Curves!$B$4:$AR$4,1,55-Projects!$C$39+1),0)+IF(AND(Projects!$G$40="Yes",55&gt;=Projects!$C$40,55&lt;Projects!$C$40+Projects!$D$40),Projects!$B$40*INDEX(Curves!$B$4:$AR$4,1,55-Projects!$C$40+1),0)+IF(AND(Projects!$G$41="Yes",55&gt;=Projects!$C$41,55&lt;Projects!$C$41+Projects!$D$41),Projects!$B$41*INDEX(Curves!$B$4:$AR$4,1,55-Projects!$C$41+1),0)+IF(AND(Projects!$G$42="Yes",55&gt;=Projects!$C$42,55&lt;Projects!$C$42+Projects!$D$42),Projects!$B$42*INDEX(Curves!$B$4:$AR$4,1,55-Projects!$C$42+1),0)+IF(AND(Projects!$G$43="Yes",55&gt;=Projects!$C$43,55&lt;Projects!$C$43+Projects!$D$43),Projects!$B$43*INDEX(Curves!$B$4:$AR$4,1,55-Projects!$C$43+1),0)+IF(AND(Projects!$G$44="Yes",55&gt;=Projects!$C$44,55&lt;Projects!$C$44+Projects!$D$44),Projects!$B$44*INDEX(Curves!$B$4:$AR$4,1,55-Projects!$C$44+1),0)+IF(AND(Projects!$G$45="Yes",55&gt;=Projects!$C$45,55&lt;Projects!$C$45+Projects!$D$45),Projects!$B$45*INDEX(Curves!$B$4:$AR$4,1,55-Projects!$C$45+1),0)+IF(AND(Projects!$G$46="Yes",55&gt;=Projects!$C$46,55&lt;Projects!$C$46+Projects!$D$46),Projects!$B$46*INDEX(Curves!$B$4:$AR$4,1,55-Projects!$C$46+1),0)</f>
        <v/>
      </c>
      <c r="BI96" s="688">
        <f>IF(AND(Projects!$G$17="Yes",56&gt;=Projects!$C$17,56&lt;Projects!$C$17+Projects!$D$17),Projects!$B$17*INDEX(Curves!$B$4:$AR$4,1,56-Projects!$C$17+1),0)+IF(AND(Projects!$G$18="Yes",56&gt;=Projects!$C$18,56&lt;Projects!$C$18+Projects!$D$18),Projects!$B$18*INDEX(Curves!$B$4:$AR$4,1,56-Projects!$C$18+1),0)+IF(AND(Projects!$G$19="Yes",56&gt;=Projects!$C$19,56&lt;Projects!$C$19+Projects!$D$19),Projects!$B$19*INDEX(Curves!$B$4:$AR$4,1,56-Projects!$C$19+1),0)+IF(AND(Projects!$G$20="Yes",56&gt;=Projects!$C$20,56&lt;Projects!$C$20+Projects!$D$20),Projects!$B$20*INDEX(Curves!$B$4:$AR$4,1,56-Projects!$C$20+1),0)+IF(AND(Projects!$G$21="Yes",56&gt;=Projects!$C$21,56&lt;Projects!$C$21+Projects!$D$21),Projects!$B$21*INDEX(Curves!$B$4:$AR$4,1,56-Projects!$C$21+1),0)+IF(AND(Projects!$G$22="Yes",56&gt;=Projects!$C$22,56&lt;Projects!$C$22+Projects!$D$22),Projects!$B$22*INDEX(Curves!$B$4:$AR$4,1,56-Projects!$C$22+1),0)+IF(AND(Projects!$G$23="Yes",56&gt;=Projects!$C$23,56&lt;Projects!$C$23+Projects!$D$23),Projects!$B$23*INDEX(Curves!$B$4:$AR$4,1,56-Projects!$C$23+1),0)+IF(AND(Projects!$G$24="Yes",56&gt;=Projects!$C$24,56&lt;Projects!$C$24+Projects!$D$24),Projects!$B$24*INDEX(Curves!$B$4:$AR$4,1,56-Projects!$C$24+1),0)+IF(AND(Projects!$G$25="Yes",56&gt;=Projects!$C$25,56&lt;Projects!$C$25+Projects!$D$25),Projects!$B$25*INDEX(Curves!$B$4:$AR$4,1,56-Projects!$C$25+1),0)+IF(AND(Projects!$G$26="Yes",56&gt;=Projects!$C$26,56&lt;Projects!$C$26+Projects!$D$26),Projects!$B$26*INDEX(Curves!$B$4:$AR$4,1,56-Projects!$C$26+1),0)+IF(AND(Projects!$G$27="Yes",56&gt;=Projects!$C$27,56&lt;Projects!$C$27+Projects!$D$27),Projects!$B$27*INDEX(Curves!$B$4:$AR$4,1,56-Projects!$C$27+1),0)+IF(AND(Projects!$G$28="Yes",56&gt;=Projects!$C$28,56&lt;Projects!$C$28+Projects!$D$28),Projects!$B$28*INDEX(Curves!$B$4:$AR$4,1,56-Projects!$C$28+1),0)+IF(AND(Projects!$G$29="Yes",56&gt;=Projects!$C$29,56&lt;Projects!$C$29+Projects!$D$29),Projects!$B$29*INDEX(Curves!$B$4:$AR$4,1,56-Projects!$C$29+1),0)+IF(AND(Projects!$G$30="Yes",56&gt;=Projects!$C$30,56&lt;Projects!$C$30+Projects!$D$30),Projects!$B$30*INDEX(Curves!$B$4:$AR$4,1,56-Projects!$C$30+1),0)+IF(AND(Projects!$G$31="Yes",56&gt;=Projects!$C$31,56&lt;Projects!$C$31+Projects!$D$31),Projects!$B$31*INDEX(Curves!$B$4:$AR$4,1,56-Projects!$C$31+1),0)+IF(AND(Projects!$G$32="Yes",56&gt;=Projects!$C$32,56&lt;Projects!$C$32+Projects!$D$32),Projects!$B$32*INDEX(Curves!$B$4:$AR$4,1,56-Projects!$C$32+1),0)+IF(AND(Projects!$G$33="Yes",56&gt;=Projects!$C$33,56&lt;Projects!$C$33+Projects!$D$33),Projects!$B$33*INDEX(Curves!$B$4:$AR$4,1,56-Projects!$C$33+1),0)+IF(AND(Projects!$G$34="Yes",56&gt;=Projects!$C$34,56&lt;Projects!$C$34+Projects!$D$34),Projects!$B$34*INDEX(Curves!$B$4:$AR$4,1,56-Projects!$C$34+1),0)+IF(AND(Projects!$G$35="Yes",56&gt;=Projects!$C$35,56&lt;Projects!$C$35+Projects!$D$35),Projects!$B$35*INDEX(Curves!$B$4:$AR$4,1,56-Projects!$C$35+1),0)+IF(AND(Projects!$G$36="Yes",56&gt;=Projects!$C$36,56&lt;Projects!$C$36+Projects!$D$36),Projects!$B$36*INDEX(Curves!$B$4:$AR$4,1,56-Projects!$C$36+1),0)+IF(AND(Projects!$G$37="Yes",56&gt;=Projects!$C$37,56&lt;Projects!$C$37+Projects!$D$37),Projects!$B$37*INDEX(Curves!$B$4:$AR$4,1,56-Projects!$C$37+1),0)+IF(AND(Projects!$G$38="Yes",56&gt;=Projects!$C$38,56&lt;Projects!$C$38+Projects!$D$38),Projects!$B$38*INDEX(Curves!$B$4:$AR$4,1,56-Projects!$C$38+1),0)+IF(AND(Projects!$G$39="Yes",56&gt;=Projects!$C$39,56&lt;Projects!$C$39+Projects!$D$39),Projects!$B$39*INDEX(Curves!$B$4:$AR$4,1,56-Projects!$C$39+1),0)+IF(AND(Projects!$G$40="Yes",56&gt;=Projects!$C$40,56&lt;Projects!$C$40+Projects!$D$40),Projects!$B$40*INDEX(Curves!$B$4:$AR$4,1,56-Projects!$C$40+1),0)+IF(AND(Projects!$G$41="Yes",56&gt;=Projects!$C$41,56&lt;Projects!$C$41+Projects!$D$41),Projects!$B$41*INDEX(Curves!$B$4:$AR$4,1,56-Projects!$C$41+1),0)+IF(AND(Projects!$G$42="Yes",56&gt;=Projects!$C$42,56&lt;Projects!$C$42+Projects!$D$42),Projects!$B$42*INDEX(Curves!$B$4:$AR$4,1,56-Projects!$C$42+1),0)+IF(AND(Projects!$G$43="Yes",56&gt;=Projects!$C$43,56&lt;Projects!$C$43+Projects!$D$43),Projects!$B$43*INDEX(Curves!$B$4:$AR$4,1,56-Projects!$C$43+1),0)+IF(AND(Projects!$G$44="Yes",56&gt;=Projects!$C$44,56&lt;Projects!$C$44+Projects!$D$44),Projects!$B$44*INDEX(Curves!$B$4:$AR$4,1,56-Projects!$C$44+1),0)+IF(AND(Projects!$G$45="Yes",56&gt;=Projects!$C$45,56&lt;Projects!$C$45+Projects!$D$45),Projects!$B$45*INDEX(Curves!$B$4:$AR$4,1,56-Projects!$C$45+1),0)+IF(AND(Projects!$G$46="Yes",56&gt;=Projects!$C$46,56&lt;Projects!$C$46+Projects!$D$46),Projects!$B$46*INDEX(Curves!$B$4:$AR$4,1,56-Projects!$C$46+1),0)</f>
        <v/>
      </c>
      <c r="BJ96" s="688">
        <f>IF(AND(Projects!$G$17="Yes",57&gt;=Projects!$C$17,57&lt;Projects!$C$17+Projects!$D$17),Projects!$B$17*INDEX(Curves!$B$4:$AR$4,1,57-Projects!$C$17+1),0)+IF(AND(Projects!$G$18="Yes",57&gt;=Projects!$C$18,57&lt;Projects!$C$18+Projects!$D$18),Projects!$B$18*INDEX(Curves!$B$4:$AR$4,1,57-Projects!$C$18+1),0)+IF(AND(Projects!$G$19="Yes",57&gt;=Projects!$C$19,57&lt;Projects!$C$19+Projects!$D$19),Projects!$B$19*INDEX(Curves!$B$4:$AR$4,1,57-Projects!$C$19+1),0)+IF(AND(Projects!$G$20="Yes",57&gt;=Projects!$C$20,57&lt;Projects!$C$20+Projects!$D$20),Projects!$B$20*INDEX(Curves!$B$4:$AR$4,1,57-Projects!$C$20+1),0)+IF(AND(Projects!$G$21="Yes",57&gt;=Projects!$C$21,57&lt;Projects!$C$21+Projects!$D$21),Projects!$B$21*INDEX(Curves!$B$4:$AR$4,1,57-Projects!$C$21+1),0)+IF(AND(Projects!$G$22="Yes",57&gt;=Projects!$C$22,57&lt;Projects!$C$22+Projects!$D$22),Projects!$B$22*INDEX(Curves!$B$4:$AR$4,1,57-Projects!$C$22+1),0)+IF(AND(Projects!$G$23="Yes",57&gt;=Projects!$C$23,57&lt;Projects!$C$23+Projects!$D$23),Projects!$B$23*INDEX(Curves!$B$4:$AR$4,1,57-Projects!$C$23+1),0)+IF(AND(Projects!$G$24="Yes",57&gt;=Projects!$C$24,57&lt;Projects!$C$24+Projects!$D$24),Projects!$B$24*INDEX(Curves!$B$4:$AR$4,1,57-Projects!$C$24+1),0)+IF(AND(Projects!$G$25="Yes",57&gt;=Projects!$C$25,57&lt;Projects!$C$25+Projects!$D$25),Projects!$B$25*INDEX(Curves!$B$4:$AR$4,1,57-Projects!$C$25+1),0)+IF(AND(Projects!$G$26="Yes",57&gt;=Projects!$C$26,57&lt;Projects!$C$26+Projects!$D$26),Projects!$B$26*INDEX(Curves!$B$4:$AR$4,1,57-Projects!$C$26+1),0)+IF(AND(Projects!$G$27="Yes",57&gt;=Projects!$C$27,57&lt;Projects!$C$27+Projects!$D$27),Projects!$B$27*INDEX(Curves!$B$4:$AR$4,1,57-Projects!$C$27+1),0)+IF(AND(Projects!$G$28="Yes",57&gt;=Projects!$C$28,57&lt;Projects!$C$28+Projects!$D$28),Projects!$B$28*INDEX(Curves!$B$4:$AR$4,1,57-Projects!$C$28+1),0)+IF(AND(Projects!$G$29="Yes",57&gt;=Projects!$C$29,57&lt;Projects!$C$29+Projects!$D$29),Projects!$B$29*INDEX(Curves!$B$4:$AR$4,1,57-Projects!$C$29+1),0)+IF(AND(Projects!$G$30="Yes",57&gt;=Projects!$C$30,57&lt;Projects!$C$30+Projects!$D$30),Projects!$B$30*INDEX(Curves!$B$4:$AR$4,1,57-Projects!$C$30+1),0)+IF(AND(Projects!$G$31="Yes",57&gt;=Projects!$C$31,57&lt;Projects!$C$31+Projects!$D$31),Projects!$B$31*INDEX(Curves!$B$4:$AR$4,1,57-Projects!$C$31+1),0)+IF(AND(Projects!$G$32="Yes",57&gt;=Projects!$C$32,57&lt;Projects!$C$32+Projects!$D$32),Projects!$B$32*INDEX(Curves!$B$4:$AR$4,1,57-Projects!$C$32+1),0)+IF(AND(Projects!$G$33="Yes",57&gt;=Projects!$C$33,57&lt;Projects!$C$33+Projects!$D$33),Projects!$B$33*INDEX(Curves!$B$4:$AR$4,1,57-Projects!$C$33+1),0)+IF(AND(Projects!$G$34="Yes",57&gt;=Projects!$C$34,57&lt;Projects!$C$34+Projects!$D$34),Projects!$B$34*INDEX(Curves!$B$4:$AR$4,1,57-Projects!$C$34+1),0)+IF(AND(Projects!$G$35="Yes",57&gt;=Projects!$C$35,57&lt;Projects!$C$35+Projects!$D$35),Projects!$B$35*INDEX(Curves!$B$4:$AR$4,1,57-Projects!$C$35+1),0)+IF(AND(Projects!$G$36="Yes",57&gt;=Projects!$C$36,57&lt;Projects!$C$36+Projects!$D$36),Projects!$B$36*INDEX(Curves!$B$4:$AR$4,1,57-Projects!$C$36+1),0)+IF(AND(Projects!$G$37="Yes",57&gt;=Projects!$C$37,57&lt;Projects!$C$37+Projects!$D$37),Projects!$B$37*INDEX(Curves!$B$4:$AR$4,1,57-Projects!$C$37+1),0)+IF(AND(Projects!$G$38="Yes",57&gt;=Projects!$C$38,57&lt;Projects!$C$38+Projects!$D$38),Projects!$B$38*INDEX(Curves!$B$4:$AR$4,1,57-Projects!$C$38+1),0)+IF(AND(Projects!$G$39="Yes",57&gt;=Projects!$C$39,57&lt;Projects!$C$39+Projects!$D$39),Projects!$B$39*INDEX(Curves!$B$4:$AR$4,1,57-Projects!$C$39+1),0)+IF(AND(Projects!$G$40="Yes",57&gt;=Projects!$C$40,57&lt;Projects!$C$40+Projects!$D$40),Projects!$B$40*INDEX(Curves!$B$4:$AR$4,1,57-Projects!$C$40+1),0)+IF(AND(Projects!$G$41="Yes",57&gt;=Projects!$C$41,57&lt;Projects!$C$41+Projects!$D$41),Projects!$B$41*INDEX(Curves!$B$4:$AR$4,1,57-Projects!$C$41+1),0)+IF(AND(Projects!$G$42="Yes",57&gt;=Projects!$C$42,57&lt;Projects!$C$42+Projects!$D$42),Projects!$B$42*INDEX(Curves!$B$4:$AR$4,1,57-Projects!$C$42+1),0)+IF(AND(Projects!$G$43="Yes",57&gt;=Projects!$C$43,57&lt;Projects!$C$43+Projects!$D$43),Projects!$B$43*INDEX(Curves!$B$4:$AR$4,1,57-Projects!$C$43+1),0)+IF(AND(Projects!$G$44="Yes",57&gt;=Projects!$C$44,57&lt;Projects!$C$44+Projects!$D$44),Projects!$B$44*INDEX(Curves!$B$4:$AR$4,1,57-Projects!$C$44+1),0)+IF(AND(Projects!$G$45="Yes",57&gt;=Projects!$C$45,57&lt;Projects!$C$45+Projects!$D$45),Projects!$B$45*INDEX(Curves!$B$4:$AR$4,1,57-Projects!$C$45+1),0)+IF(AND(Projects!$G$46="Yes",57&gt;=Projects!$C$46,57&lt;Projects!$C$46+Projects!$D$46),Projects!$B$46*INDEX(Curves!$B$4:$AR$4,1,57-Projects!$C$46+1),0)</f>
        <v/>
      </c>
      <c r="BK96" s="688">
        <f>IF(AND(Projects!$G$17="Yes",58&gt;=Projects!$C$17,58&lt;Projects!$C$17+Projects!$D$17),Projects!$B$17*INDEX(Curves!$B$4:$AR$4,1,58-Projects!$C$17+1),0)+IF(AND(Projects!$G$18="Yes",58&gt;=Projects!$C$18,58&lt;Projects!$C$18+Projects!$D$18),Projects!$B$18*INDEX(Curves!$B$4:$AR$4,1,58-Projects!$C$18+1),0)+IF(AND(Projects!$G$19="Yes",58&gt;=Projects!$C$19,58&lt;Projects!$C$19+Projects!$D$19),Projects!$B$19*INDEX(Curves!$B$4:$AR$4,1,58-Projects!$C$19+1),0)+IF(AND(Projects!$G$20="Yes",58&gt;=Projects!$C$20,58&lt;Projects!$C$20+Projects!$D$20),Projects!$B$20*INDEX(Curves!$B$4:$AR$4,1,58-Projects!$C$20+1),0)+IF(AND(Projects!$G$21="Yes",58&gt;=Projects!$C$21,58&lt;Projects!$C$21+Projects!$D$21),Projects!$B$21*INDEX(Curves!$B$4:$AR$4,1,58-Projects!$C$21+1),0)+IF(AND(Projects!$G$22="Yes",58&gt;=Projects!$C$22,58&lt;Projects!$C$22+Projects!$D$22),Projects!$B$22*INDEX(Curves!$B$4:$AR$4,1,58-Projects!$C$22+1),0)+IF(AND(Projects!$G$23="Yes",58&gt;=Projects!$C$23,58&lt;Projects!$C$23+Projects!$D$23),Projects!$B$23*INDEX(Curves!$B$4:$AR$4,1,58-Projects!$C$23+1),0)+IF(AND(Projects!$G$24="Yes",58&gt;=Projects!$C$24,58&lt;Projects!$C$24+Projects!$D$24),Projects!$B$24*INDEX(Curves!$B$4:$AR$4,1,58-Projects!$C$24+1),0)+IF(AND(Projects!$G$25="Yes",58&gt;=Projects!$C$25,58&lt;Projects!$C$25+Projects!$D$25),Projects!$B$25*INDEX(Curves!$B$4:$AR$4,1,58-Projects!$C$25+1),0)+IF(AND(Projects!$G$26="Yes",58&gt;=Projects!$C$26,58&lt;Projects!$C$26+Projects!$D$26),Projects!$B$26*INDEX(Curves!$B$4:$AR$4,1,58-Projects!$C$26+1),0)+IF(AND(Projects!$G$27="Yes",58&gt;=Projects!$C$27,58&lt;Projects!$C$27+Projects!$D$27),Projects!$B$27*INDEX(Curves!$B$4:$AR$4,1,58-Projects!$C$27+1),0)+IF(AND(Projects!$G$28="Yes",58&gt;=Projects!$C$28,58&lt;Projects!$C$28+Projects!$D$28),Projects!$B$28*INDEX(Curves!$B$4:$AR$4,1,58-Projects!$C$28+1),0)+IF(AND(Projects!$G$29="Yes",58&gt;=Projects!$C$29,58&lt;Projects!$C$29+Projects!$D$29),Projects!$B$29*INDEX(Curves!$B$4:$AR$4,1,58-Projects!$C$29+1),0)+IF(AND(Projects!$G$30="Yes",58&gt;=Projects!$C$30,58&lt;Projects!$C$30+Projects!$D$30),Projects!$B$30*INDEX(Curves!$B$4:$AR$4,1,58-Projects!$C$30+1),0)+IF(AND(Projects!$G$31="Yes",58&gt;=Projects!$C$31,58&lt;Projects!$C$31+Projects!$D$31),Projects!$B$31*INDEX(Curves!$B$4:$AR$4,1,58-Projects!$C$31+1),0)+IF(AND(Projects!$G$32="Yes",58&gt;=Projects!$C$32,58&lt;Projects!$C$32+Projects!$D$32),Projects!$B$32*INDEX(Curves!$B$4:$AR$4,1,58-Projects!$C$32+1),0)+IF(AND(Projects!$G$33="Yes",58&gt;=Projects!$C$33,58&lt;Projects!$C$33+Projects!$D$33),Projects!$B$33*INDEX(Curves!$B$4:$AR$4,1,58-Projects!$C$33+1),0)+IF(AND(Projects!$G$34="Yes",58&gt;=Projects!$C$34,58&lt;Projects!$C$34+Projects!$D$34),Projects!$B$34*INDEX(Curves!$B$4:$AR$4,1,58-Projects!$C$34+1),0)+IF(AND(Projects!$G$35="Yes",58&gt;=Projects!$C$35,58&lt;Projects!$C$35+Projects!$D$35),Projects!$B$35*INDEX(Curves!$B$4:$AR$4,1,58-Projects!$C$35+1),0)+IF(AND(Projects!$G$36="Yes",58&gt;=Projects!$C$36,58&lt;Projects!$C$36+Projects!$D$36),Projects!$B$36*INDEX(Curves!$B$4:$AR$4,1,58-Projects!$C$36+1),0)+IF(AND(Projects!$G$37="Yes",58&gt;=Projects!$C$37,58&lt;Projects!$C$37+Projects!$D$37),Projects!$B$37*INDEX(Curves!$B$4:$AR$4,1,58-Projects!$C$37+1),0)+IF(AND(Projects!$G$38="Yes",58&gt;=Projects!$C$38,58&lt;Projects!$C$38+Projects!$D$38),Projects!$B$38*INDEX(Curves!$B$4:$AR$4,1,58-Projects!$C$38+1),0)+IF(AND(Projects!$G$39="Yes",58&gt;=Projects!$C$39,58&lt;Projects!$C$39+Projects!$D$39),Projects!$B$39*INDEX(Curves!$B$4:$AR$4,1,58-Projects!$C$39+1),0)+IF(AND(Projects!$G$40="Yes",58&gt;=Projects!$C$40,58&lt;Projects!$C$40+Projects!$D$40),Projects!$B$40*INDEX(Curves!$B$4:$AR$4,1,58-Projects!$C$40+1),0)+IF(AND(Projects!$G$41="Yes",58&gt;=Projects!$C$41,58&lt;Projects!$C$41+Projects!$D$41),Projects!$B$41*INDEX(Curves!$B$4:$AR$4,1,58-Projects!$C$41+1),0)+IF(AND(Projects!$G$42="Yes",58&gt;=Projects!$C$42,58&lt;Projects!$C$42+Projects!$D$42),Projects!$B$42*INDEX(Curves!$B$4:$AR$4,1,58-Projects!$C$42+1),0)+IF(AND(Projects!$G$43="Yes",58&gt;=Projects!$C$43,58&lt;Projects!$C$43+Projects!$D$43),Projects!$B$43*INDEX(Curves!$B$4:$AR$4,1,58-Projects!$C$43+1),0)+IF(AND(Projects!$G$44="Yes",58&gt;=Projects!$C$44,58&lt;Projects!$C$44+Projects!$D$44),Projects!$B$44*INDEX(Curves!$B$4:$AR$4,1,58-Projects!$C$44+1),0)+IF(AND(Projects!$G$45="Yes",58&gt;=Projects!$C$45,58&lt;Projects!$C$45+Projects!$D$45),Projects!$B$45*INDEX(Curves!$B$4:$AR$4,1,58-Projects!$C$45+1),0)+IF(AND(Projects!$G$46="Yes",58&gt;=Projects!$C$46,58&lt;Projects!$C$46+Projects!$D$46),Projects!$B$46*INDEX(Curves!$B$4:$AR$4,1,58-Projects!$C$46+1),0)</f>
        <v/>
      </c>
      <c r="BL96" s="688">
        <f>IF(AND(Projects!$G$17="Yes",59&gt;=Projects!$C$17,59&lt;Projects!$C$17+Projects!$D$17),Projects!$B$17*INDEX(Curves!$B$4:$AR$4,1,59-Projects!$C$17+1),0)+IF(AND(Projects!$G$18="Yes",59&gt;=Projects!$C$18,59&lt;Projects!$C$18+Projects!$D$18),Projects!$B$18*INDEX(Curves!$B$4:$AR$4,1,59-Projects!$C$18+1),0)+IF(AND(Projects!$G$19="Yes",59&gt;=Projects!$C$19,59&lt;Projects!$C$19+Projects!$D$19),Projects!$B$19*INDEX(Curves!$B$4:$AR$4,1,59-Projects!$C$19+1),0)+IF(AND(Projects!$G$20="Yes",59&gt;=Projects!$C$20,59&lt;Projects!$C$20+Projects!$D$20),Projects!$B$20*INDEX(Curves!$B$4:$AR$4,1,59-Projects!$C$20+1),0)+IF(AND(Projects!$G$21="Yes",59&gt;=Projects!$C$21,59&lt;Projects!$C$21+Projects!$D$21),Projects!$B$21*INDEX(Curves!$B$4:$AR$4,1,59-Projects!$C$21+1),0)+IF(AND(Projects!$G$22="Yes",59&gt;=Projects!$C$22,59&lt;Projects!$C$22+Projects!$D$22),Projects!$B$22*INDEX(Curves!$B$4:$AR$4,1,59-Projects!$C$22+1),0)+IF(AND(Projects!$G$23="Yes",59&gt;=Projects!$C$23,59&lt;Projects!$C$23+Projects!$D$23),Projects!$B$23*INDEX(Curves!$B$4:$AR$4,1,59-Projects!$C$23+1),0)+IF(AND(Projects!$G$24="Yes",59&gt;=Projects!$C$24,59&lt;Projects!$C$24+Projects!$D$24),Projects!$B$24*INDEX(Curves!$B$4:$AR$4,1,59-Projects!$C$24+1),0)+IF(AND(Projects!$G$25="Yes",59&gt;=Projects!$C$25,59&lt;Projects!$C$25+Projects!$D$25),Projects!$B$25*INDEX(Curves!$B$4:$AR$4,1,59-Projects!$C$25+1),0)+IF(AND(Projects!$G$26="Yes",59&gt;=Projects!$C$26,59&lt;Projects!$C$26+Projects!$D$26),Projects!$B$26*INDEX(Curves!$B$4:$AR$4,1,59-Projects!$C$26+1),0)+IF(AND(Projects!$G$27="Yes",59&gt;=Projects!$C$27,59&lt;Projects!$C$27+Projects!$D$27),Projects!$B$27*INDEX(Curves!$B$4:$AR$4,1,59-Projects!$C$27+1),0)+IF(AND(Projects!$G$28="Yes",59&gt;=Projects!$C$28,59&lt;Projects!$C$28+Projects!$D$28),Projects!$B$28*INDEX(Curves!$B$4:$AR$4,1,59-Projects!$C$28+1),0)+IF(AND(Projects!$G$29="Yes",59&gt;=Projects!$C$29,59&lt;Projects!$C$29+Projects!$D$29),Projects!$B$29*INDEX(Curves!$B$4:$AR$4,1,59-Projects!$C$29+1),0)+IF(AND(Projects!$G$30="Yes",59&gt;=Projects!$C$30,59&lt;Projects!$C$30+Projects!$D$30),Projects!$B$30*INDEX(Curves!$B$4:$AR$4,1,59-Projects!$C$30+1),0)+IF(AND(Projects!$G$31="Yes",59&gt;=Projects!$C$31,59&lt;Projects!$C$31+Projects!$D$31),Projects!$B$31*INDEX(Curves!$B$4:$AR$4,1,59-Projects!$C$31+1),0)+IF(AND(Projects!$G$32="Yes",59&gt;=Projects!$C$32,59&lt;Projects!$C$32+Projects!$D$32),Projects!$B$32*INDEX(Curves!$B$4:$AR$4,1,59-Projects!$C$32+1),0)+IF(AND(Projects!$G$33="Yes",59&gt;=Projects!$C$33,59&lt;Projects!$C$33+Projects!$D$33),Projects!$B$33*INDEX(Curves!$B$4:$AR$4,1,59-Projects!$C$33+1),0)+IF(AND(Projects!$G$34="Yes",59&gt;=Projects!$C$34,59&lt;Projects!$C$34+Projects!$D$34),Projects!$B$34*INDEX(Curves!$B$4:$AR$4,1,59-Projects!$C$34+1),0)+IF(AND(Projects!$G$35="Yes",59&gt;=Projects!$C$35,59&lt;Projects!$C$35+Projects!$D$35),Projects!$B$35*INDEX(Curves!$B$4:$AR$4,1,59-Projects!$C$35+1),0)+IF(AND(Projects!$G$36="Yes",59&gt;=Projects!$C$36,59&lt;Projects!$C$36+Projects!$D$36),Projects!$B$36*INDEX(Curves!$B$4:$AR$4,1,59-Projects!$C$36+1),0)+IF(AND(Projects!$G$37="Yes",59&gt;=Projects!$C$37,59&lt;Projects!$C$37+Projects!$D$37),Projects!$B$37*INDEX(Curves!$B$4:$AR$4,1,59-Projects!$C$37+1),0)+IF(AND(Projects!$G$38="Yes",59&gt;=Projects!$C$38,59&lt;Projects!$C$38+Projects!$D$38),Projects!$B$38*INDEX(Curves!$B$4:$AR$4,1,59-Projects!$C$38+1),0)+IF(AND(Projects!$G$39="Yes",59&gt;=Projects!$C$39,59&lt;Projects!$C$39+Projects!$D$39),Projects!$B$39*INDEX(Curves!$B$4:$AR$4,1,59-Projects!$C$39+1),0)+IF(AND(Projects!$G$40="Yes",59&gt;=Projects!$C$40,59&lt;Projects!$C$40+Projects!$D$40),Projects!$B$40*INDEX(Curves!$B$4:$AR$4,1,59-Projects!$C$40+1),0)+IF(AND(Projects!$G$41="Yes",59&gt;=Projects!$C$41,59&lt;Projects!$C$41+Projects!$D$41),Projects!$B$41*INDEX(Curves!$B$4:$AR$4,1,59-Projects!$C$41+1),0)+IF(AND(Projects!$G$42="Yes",59&gt;=Projects!$C$42,59&lt;Projects!$C$42+Projects!$D$42),Projects!$B$42*INDEX(Curves!$B$4:$AR$4,1,59-Projects!$C$42+1),0)+IF(AND(Projects!$G$43="Yes",59&gt;=Projects!$C$43,59&lt;Projects!$C$43+Projects!$D$43),Projects!$B$43*INDEX(Curves!$B$4:$AR$4,1,59-Projects!$C$43+1),0)+IF(AND(Projects!$G$44="Yes",59&gt;=Projects!$C$44,59&lt;Projects!$C$44+Projects!$D$44),Projects!$B$44*INDEX(Curves!$B$4:$AR$4,1,59-Projects!$C$44+1),0)+IF(AND(Projects!$G$45="Yes",59&gt;=Projects!$C$45,59&lt;Projects!$C$45+Projects!$D$45),Projects!$B$45*INDEX(Curves!$B$4:$AR$4,1,59-Projects!$C$45+1),0)+IF(AND(Projects!$G$46="Yes",59&gt;=Projects!$C$46,59&lt;Projects!$C$46+Projects!$D$46),Projects!$B$46*INDEX(Curves!$B$4:$AR$4,1,59-Projects!$C$46+1),0)</f>
        <v/>
      </c>
      <c r="BM96" s="688">
        <f>IF(AND(Projects!$G$17="Yes",60&gt;=Projects!$C$17,60&lt;Projects!$C$17+Projects!$D$17),Projects!$B$17*INDEX(Curves!$B$4:$AR$4,1,60-Projects!$C$17+1),0)+IF(AND(Projects!$G$18="Yes",60&gt;=Projects!$C$18,60&lt;Projects!$C$18+Projects!$D$18),Projects!$B$18*INDEX(Curves!$B$4:$AR$4,1,60-Projects!$C$18+1),0)+IF(AND(Projects!$G$19="Yes",60&gt;=Projects!$C$19,60&lt;Projects!$C$19+Projects!$D$19),Projects!$B$19*INDEX(Curves!$B$4:$AR$4,1,60-Projects!$C$19+1),0)+IF(AND(Projects!$G$20="Yes",60&gt;=Projects!$C$20,60&lt;Projects!$C$20+Projects!$D$20),Projects!$B$20*INDEX(Curves!$B$4:$AR$4,1,60-Projects!$C$20+1),0)+IF(AND(Projects!$G$21="Yes",60&gt;=Projects!$C$21,60&lt;Projects!$C$21+Projects!$D$21),Projects!$B$21*INDEX(Curves!$B$4:$AR$4,1,60-Projects!$C$21+1),0)+IF(AND(Projects!$G$22="Yes",60&gt;=Projects!$C$22,60&lt;Projects!$C$22+Projects!$D$22),Projects!$B$22*INDEX(Curves!$B$4:$AR$4,1,60-Projects!$C$22+1),0)+IF(AND(Projects!$G$23="Yes",60&gt;=Projects!$C$23,60&lt;Projects!$C$23+Projects!$D$23),Projects!$B$23*INDEX(Curves!$B$4:$AR$4,1,60-Projects!$C$23+1),0)+IF(AND(Projects!$G$24="Yes",60&gt;=Projects!$C$24,60&lt;Projects!$C$24+Projects!$D$24),Projects!$B$24*INDEX(Curves!$B$4:$AR$4,1,60-Projects!$C$24+1),0)+IF(AND(Projects!$G$25="Yes",60&gt;=Projects!$C$25,60&lt;Projects!$C$25+Projects!$D$25),Projects!$B$25*INDEX(Curves!$B$4:$AR$4,1,60-Projects!$C$25+1),0)+IF(AND(Projects!$G$26="Yes",60&gt;=Projects!$C$26,60&lt;Projects!$C$26+Projects!$D$26),Projects!$B$26*INDEX(Curves!$B$4:$AR$4,1,60-Projects!$C$26+1),0)+IF(AND(Projects!$G$27="Yes",60&gt;=Projects!$C$27,60&lt;Projects!$C$27+Projects!$D$27),Projects!$B$27*INDEX(Curves!$B$4:$AR$4,1,60-Projects!$C$27+1),0)+IF(AND(Projects!$G$28="Yes",60&gt;=Projects!$C$28,60&lt;Projects!$C$28+Projects!$D$28),Projects!$B$28*INDEX(Curves!$B$4:$AR$4,1,60-Projects!$C$28+1),0)+IF(AND(Projects!$G$29="Yes",60&gt;=Projects!$C$29,60&lt;Projects!$C$29+Projects!$D$29),Projects!$B$29*INDEX(Curves!$B$4:$AR$4,1,60-Projects!$C$29+1),0)+IF(AND(Projects!$G$30="Yes",60&gt;=Projects!$C$30,60&lt;Projects!$C$30+Projects!$D$30),Projects!$B$30*INDEX(Curves!$B$4:$AR$4,1,60-Projects!$C$30+1),0)+IF(AND(Projects!$G$31="Yes",60&gt;=Projects!$C$31,60&lt;Projects!$C$31+Projects!$D$31),Projects!$B$31*INDEX(Curves!$B$4:$AR$4,1,60-Projects!$C$31+1),0)+IF(AND(Projects!$G$32="Yes",60&gt;=Projects!$C$32,60&lt;Projects!$C$32+Projects!$D$32),Projects!$B$32*INDEX(Curves!$B$4:$AR$4,1,60-Projects!$C$32+1),0)+IF(AND(Projects!$G$33="Yes",60&gt;=Projects!$C$33,60&lt;Projects!$C$33+Projects!$D$33),Projects!$B$33*INDEX(Curves!$B$4:$AR$4,1,60-Projects!$C$33+1),0)+IF(AND(Projects!$G$34="Yes",60&gt;=Projects!$C$34,60&lt;Projects!$C$34+Projects!$D$34),Projects!$B$34*INDEX(Curves!$B$4:$AR$4,1,60-Projects!$C$34+1),0)+IF(AND(Projects!$G$35="Yes",60&gt;=Projects!$C$35,60&lt;Projects!$C$35+Projects!$D$35),Projects!$B$35*INDEX(Curves!$B$4:$AR$4,1,60-Projects!$C$35+1),0)+IF(AND(Projects!$G$36="Yes",60&gt;=Projects!$C$36,60&lt;Projects!$C$36+Projects!$D$36),Projects!$B$36*INDEX(Curves!$B$4:$AR$4,1,60-Projects!$C$36+1),0)+IF(AND(Projects!$G$37="Yes",60&gt;=Projects!$C$37,60&lt;Projects!$C$37+Projects!$D$37),Projects!$B$37*INDEX(Curves!$B$4:$AR$4,1,60-Projects!$C$37+1),0)+IF(AND(Projects!$G$38="Yes",60&gt;=Projects!$C$38,60&lt;Projects!$C$38+Projects!$D$38),Projects!$B$38*INDEX(Curves!$B$4:$AR$4,1,60-Projects!$C$38+1),0)+IF(AND(Projects!$G$39="Yes",60&gt;=Projects!$C$39,60&lt;Projects!$C$39+Projects!$D$39),Projects!$B$39*INDEX(Curves!$B$4:$AR$4,1,60-Projects!$C$39+1),0)+IF(AND(Projects!$G$40="Yes",60&gt;=Projects!$C$40,60&lt;Projects!$C$40+Projects!$D$40),Projects!$B$40*INDEX(Curves!$B$4:$AR$4,1,60-Projects!$C$40+1),0)+IF(AND(Projects!$G$41="Yes",60&gt;=Projects!$C$41,60&lt;Projects!$C$41+Projects!$D$41),Projects!$B$41*INDEX(Curves!$B$4:$AR$4,1,60-Projects!$C$41+1),0)+IF(AND(Projects!$G$42="Yes",60&gt;=Projects!$C$42,60&lt;Projects!$C$42+Projects!$D$42),Projects!$B$42*INDEX(Curves!$B$4:$AR$4,1,60-Projects!$C$42+1),0)+IF(AND(Projects!$G$43="Yes",60&gt;=Projects!$C$43,60&lt;Projects!$C$43+Projects!$D$43),Projects!$B$43*INDEX(Curves!$B$4:$AR$4,1,60-Projects!$C$43+1),0)+IF(AND(Projects!$G$44="Yes",60&gt;=Projects!$C$44,60&lt;Projects!$C$44+Projects!$D$44),Projects!$B$44*INDEX(Curves!$B$4:$AR$4,1,60-Projects!$C$44+1),0)+IF(AND(Projects!$G$45="Yes",60&gt;=Projects!$C$45,60&lt;Projects!$C$45+Projects!$D$45),Projects!$B$45*INDEX(Curves!$B$4:$AR$4,1,60-Projects!$C$45+1),0)+IF(AND(Projects!$G$46="Yes",60&gt;=Projects!$C$46,60&lt;Projects!$C$46+Projects!$D$46),Projects!$B$46*INDEX(Curves!$B$4:$AR$4,1,60-Projects!$C$46+1),0)</f>
        <v/>
      </c>
      <c r="BN96" s="688">
        <f>IF(AND(Projects!$G$17="Yes",61&gt;=Projects!$C$17,61&lt;Projects!$C$17+Projects!$D$17),Projects!$B$17*INDEX(Curves!$B$4:$AR$4,1,61-Projects!$C$17+1),0)+IF(AND(Projects!$G$18="Yes",61&gt;=Projects!$C$18,61&lt;Projects!$C$18+Projects!$D$18),Projects!$B$18*INDEX(Curves!$B$4:$AR$4,1,61-Projects!$C$18+1),0)+IF(AND(Projects!$G$19="Yes",61&gt;=Projects!$C$19,61&lt;Projects!$C$19+Projects!$D$19),Projects!$B$19*INDEX(Curves!$B$4:$AR$4,1,61-Projects!$C$19+1),0)+IF(AND(Projects!$G$20="Yes",61&gt;=Projects!$C$20,61&lt;Projects!$C$20+Projects!$D$20),Projects!$B$20*INDEX(Curves!$B$4:$AR$4,1,61-Projects!$C$20+1),0)+IF(AND(Projects!$G$21="Yes",61&gt;=Projects!$C$21,61&lt;Projects!$C$21+Projects!$D$21),Projects!$B$21*INDEX(Curves!$B$4:$AR$4,1,61-Projects!$C$21+1),0)+IF(AND(Projects!$G$22="Yes",61&gt;=Projects!$C$22,61&lt;Projects!$C$22+Projects!$D$22),Projects!$B$22*INDEX(Curves!$B$4:$AR$4,1,61-Projects!$C$22+1),0)+IF(AND(Projects!$G$23="Yes",61&gt;=Projects!$C$23,61&lt;Projects!$C$23+Projects!$D$23),Projects!$B$23*INDEX(Curves!$B$4:$AR$4,1,61-Projects!$C$23+1),0)+IF(AND(Projects!$G$24="Yes",61&gt;=Projects!$C$24,61&lt;Projects!$C$24+Projects!$D$24),Projects!$B$24*INDEX(Curves!$B$4:$AR$4,1,61-Projects!$C$24+1),0)+IF(AND(Projects!$G$25="Yes",61&gt;=Projects!$C$25,61&lt;Projects!$C$25+Projects!$D$25),Projects!$B$25*INDEX(Curves!$B$4:$AR$4,1,61-Projects!$C$25+1),0)+IF(AND(Projects!$G$26="Yes",61&gt;=Projects!$C$26,61&lt;Projects!$C$26+Projects!$D$26),Projects!$B$26*INDEX(Curves!$B$4:$AR$4,1,61-Projects!$C$26+1),0)+IF(AND(Projects!$G$27="Yes",61&gt;=Projects!$C$27,61&lt;Projects!$C$27+Projects!$D$27),Projects!$B$27*INDEX(Curves!$B$4:$AR$4,1,61-Projects!$C$27+1),0)+IF(AND(Projects!$G$28="Yes",61&gt;=Projects!$C$28,61&lt;Projects!$C$28+Projects!$D$28),Projects!$B$28*INDEX(Curves!$B$4:$AR$4,1,61-Projects!$C$28+1),0)+IF(AND(Projects!$G$29="Yes",61&gt;=Projects!$C$29,61&lt;Projects!$C$29+Projects!$D$29),Projects!$B$29*INDEX(Curves!$B$4:$AR$4,1,61-Projects!$C$29+1),0)+IF(AND(Projects!$G$30="Yes",61&gt;=Projects!$C$30,61&lt;Projects!$C$30+Projects!$D$30),Projects!$B$30*INDEX(Curves!$B$4:$AR$4,1,61-Projects!$C$30+1),0)+IF(AND(Projects!$G$31="Yes",61&gt;=Projects!$C$31,61&lt;Projects!$C$31+Projects!$D$31),Projects!$B$31*INDEX(Curves!$B$4:$AR$4,1,61-Projects!$C$31+1),0)+IF(AND(Projects!$G$32="Yes",61&gt;=Projects!$C$32,61&lt;Projects!$C$32+Projects!$D$32),Projects!$B$32*INDEX(Curves!$B$4:$AR$4,1,61-Projects!$C$32+1),0)+IF(AND(Projects!$G$33="Yes",61&gt;=Projects!$C$33,61&lt;Projects!$C$33+Projects!$D$33),Projects!$B$33*INDEX(Curves!$B$4:$AR$4,1,61-Projects!$C$33+1),0)+IF(AND(Projects!$G$34="Yes",61&gt;=Projects!$C$34,61&lt;Projects!$C$34+Projects!$D$34),Projects!$B$34*INDEX(Curves!$B$4:$AR$4,1,61-Projects!$C$34+1),0)+IF(AND(Projects!$G$35="Yes",61&gt;=Projects!$C$35,61&lt;Projects!$C$35+Projects!$D$35),Projects!$B$35*INDEX(Curves!$B$4:$AR$4,1,61-Projects!$C$35+1),0)+IF(AND(Projects!$G$36="Yes",61&gt;=Projects!$C$36,61&lt;Projects!$C$36+Projects!$D$36),Projects!$B$36*INDEX(Curves!$B$4:$AR$4,1,61-Projects!$C$36+1),0)+IF(AND(Projects!$G$37="Yes",61&gt;=Projects!$C$37,61&lt;Projects!$C$37+Projects!$D$37),Projects!$B$37*INDEX(Curves!$B$4:$AR$4,1,61-Projects!$C$37+1),0)+IF(AND(Projects!$G$38="Yes",61&gt;=Projects!$C$38,61&lt;Projects!$C$38+Projects!$D$38),Projects!$B$38*INDEX(Curves!$B$4:$AR$4,1,61-Projects!$C$38+1),0)+IF(AND(Projects!$G$39="Yes",61&gt;=Projects!$C$39,61&lt;Projects!$C$39+Projects!$D$39),Projects!$B$39*INDEX(Curves!$B$4:$AR$4,1,61-Projects!$C$39+1),0)+IF(AND(Projects!$G$40="Yes",61&gt;=Projects!$C$40,61&lt;Projects!$C$40+Projects!$D$40),Projects!$B$40*INDEX(Curves!$B$4:$AR$4,1,61-Projects!$C$40+1),0)+IF(AND(Projects!$G$41="Yes",61&gt;=Projects!$C$41,61&lt;Projects!$C$41+Projects!$D$41),Projects!$B$41*INDEX(Curves!$B$4:$AR$4,1,61-Projects!$C$41+1),0)+IF(AND(Projects!$G$42="Yes",61&gt;=Projects!$C$42,61&lt;Projects!$C$42+Projects!$D$42),Projects!$B$42*INDEX(Curves!$B$4:$AR$4,1,61-Projects!$C$42+1),0)+IF(AND(Projects!$G$43="Yes",61&gt;=Projects!$C$43,61&lt;Projects!$C$43+Projects!$D$43),Projects!$B$43*INDEX(Curves!$B$4:$AR$4,1,61-Projects!$C$43+1),0)+IF(AND(Projects!$G$44="Yes",61&gt;=Projects!$C$44,61&lt;Projects!$C$44+Projects!$D$44),Projects!$B$44*INDEX(Curves!$B$4:$AR$4,1,61-Projects!$C$44+1),0)+IF(AND(Projects!$G$45="Yes",61&gt;=Projects!$C$45,61&lt;Projects!$C$45+Projects!$D$45),Projects!$B$45*INDEX(Curves!$B$4:$AR$4,1,61-Projects!$C$45+1),0)+IF(AND(Projects!$G$46="Yes",61&gt;=Projects!$C$46,61&lt;Projects!$C$46+Projects!$D$46),Projects!$B$46*INDEX(Curves!$B$4:$AR$4,1,61-Projects!$C$46+1),0)</f>
        <v/>
      </c>
      <c r="BO96" s="688">
        <f>IF(AND(Projects!$G$17="Yes",62&gt;=Projects!$C$17,62&lt;Projects!$C$17+Projects!$D$17),Projects!$B$17*INDEX(Curves!$B$4:$AR$4,1,62-Projects!$C$17+1),0)+IF(AND(Projects!$G$18="Yes",62&gt;=Projects!$C$18,62&lt;Projects!$C$18+Projects!$D$18),Projects!$B$18*INDEX(Curves!$B$4:$AR$4,1,62-Projects!$C$18+1),0)+IF(AND(Projects!$G$19="Yes",62&gt;=Projects!$C$19,62&lt;Projects!$C$19+Projects!$D$19),Projects!$B$19*INDEX(Curves!$B$4:$AR$4,1,62-Projects!$C$19+1),0)+IF(AND(Projects!$G$20="Yes",62&gt;=Projects!$C$20,62&lt;Projects!$C$20+Projects!$D$20),Projects!$B$20*INDEX(Curves!$B$4:$AR$4,1,62-Projects!$C$20+1),0)+IF(AND(Projects!$G$21="Yes",62&gt;=Projects!$C$21,62&lt;Projects!$C$21+Projects!$D$21),Projects!$B$21*INDEX(Curves!$B$4:$AR$4,1,62-Projects!$C$21+1),0)+IF(AND(Projects!$G$22="Yes",62&gt;=Projects!$C$22,62&lt;Projects!$C$22+Projects!$D$22),Projects!$B$22*INDEX(Curves!$B$4:$AR$4,1,62-Projects!$C$22+1),0)+IF(AND(Projects!$G$23="Yes",62&gt;=Projects!$C$23,62&lt;Projects!$C$23+Projects!$D$23),Projects!$B$23*INDEX(Curves!$B$4:$AR$4,1,62-Projects!$C$23+1),0)+IF(AND(Projects!$G$24="Yes",62&gt;=Projects!$C$24,62&lt;Projects!$C$24+Projects!$D$24),Projects!$B$24*INDEX(Curves!$B$4:$AR$4,1,62-Projects!$C$24+1),0)+IF(AND(Projects!$G$25="Yes",62&gt;=Projects!$C$25,62&lt;Projects!$C$25+Projects!$D$25),Projects!$B$25*INDEX(Curves!$B$4:$AR$4,1,62-Projects!$C$25+1),0)+IF(AND(Projects!$G$26="Yes",62&gt;=Projects!$C$26,62&lt;Projects!$C$26+Projects!$D$26),Projects!$B$26*INDEX(Curves!$B$4:$AR$4,1,62-Projects!$C$26+1),0)+IF(AND(Projects!$G$27="Yes",62&gt;=Projects!$C$27,62&lt;Projects!$C$27+Projects!$D$27),Projects!$B$27*INDEX(Curves!$B$4:$AR$4,1,62-Projects!$C$27+1),0)+IF(AND(Projects!$G$28="Yes",62&gt;=Projects!$C$28,62&lt;Projects!$C$28+Projects!$D$28),Projects!$B$28*INDEX(Curves!$B$4:$AR$4,1,62-Projects!$C$28+1),0)+IF(AND(Projects!$G$29="Yes",62&gt;=Projects!$C$29,62&lt;Projects!$C$29+Projects!$D$29),Projects!$B$29*INDEX(Curves!$B$4:$AR$4,1,62-Projects!$C$29+1),0)+IF(AND(Projects!$G$30="Yes",62&gt;=Projects!$C$30,62&lt;Projects!$C$30+Projects!$D$30),Projects!$B$30*INDEX(Curves!$B$4:$AR$4,1,62-Projects!$C$30+1),0)+IF(AND(Projects!$G$31="Yes",62&gt;=Projects!$C$31,62&lt;Projects!$C$31+Projects!$D$31),Projects!$B$31*INDEX(Curves!$B$4:$AR$4,1,62-Projects!$C$31+1),0)+IF(AND(Projects!$G$32="Yes",62&gt;=Projects!$C$32,62&lt;Projects!$C$32+Projects!$D$32),Projects!$B$32*INDEX(Curves!$B$4:$AR$4,1,62-Projects!$C$32+1),0)+IF(AND(Projects!$G$33="Yes",62&gt;=Projects!$C$33,62&lt;Projects!$C$33+Projects!$D$33),Projects!$B$33*INDEX(Curves!$B$4:$AR$4,1,62-Projects!$C$33+1),0)+IF(AND(Projects!$G$34="Yes",62&gt;=Projects!$C$34,62&lt;Projects!$C$34+Projects!$D$34),Projects!$B$34*INDEX(Curves!$B$4:$AR$4,1,62-Projects!$C$34+1),0)+IF(AND(Projects!$G$35="Yes",62&gt;=Projects!$C$35,62&lt;Projects!$C$35+Projects!$D$35),Projects!$B$35*INDEX(Curves!$B$4:$AR$4,1,62-Projects!$C$35+1),0)+IF(AND(Projects!$G$36="Yes",62&gt;=Projects!$C$36,62&lt;Projects!$C$36+Projects!$D$36),Projects!$B$36*INDEX(Curves!$B$4:$AR$4,1,62-Projects!$C$36+1),0)+IF(AND(Projects!$G$37="Yes",62&gt;=Projects!$C$37,62&lt;Projects!$C$37+Projects!$D$37),Projects!$B$37*INDEX(Curves!$B$4:$AR$4,1,62-Projects!$C$37+1),0)+IF(AND(Projects!$G$38="Yes",62&gt;=Projects!$C$38,62&lt;Projects!$C$38+Projects!$D$38),Projects!$B$38*INDEX(Curves!$B$4:$AR$4,1,62-Projects!$C$38+1),0)+IF(AND(Projects!$G$39="Yes",62&gt;=Projects!$C$39,62&lt;Projects!$C$39+Projects!$D$39),Projects!$B$39*INDEX(Curves!$B$4:$AR$4,1,62-Projects!$C$39+1),0)+IF(AND(Projects!$G$40="Yes",62&gt;=Projects!$C$40,62&lt;Projects!$C$40+Projects!$D$40),Projects!$B$40*INDEX(Curves!$B$4:$AR$4,1,62-Projects!$C$40+1),0)+IF(AND(Projects!$G$41="Yes",62&gt;=Projects!$C$41,62&lt;Projects!$C$41+Projects!$D$41),Projects!$B$41*INDEX(Curves!$B$4:$AR$4,1,62-Projects!$C$41+1),0)+IF(AND(Projects!$G$42="Yes",62&gt;=Projects!$C$42,62&lt;Projects!$C$42+Projects!$D$42),Projects!$B$42*INDEX(Curves!$B$4:$AR$4,1,62-Projects!$C$42+1),0)+IF(AND(Projects!$G$43="Yes",62&gt;=Projects!$C$43,62&lt;Projects!$C$43+Projects!$D$43),Projects!$B$43*INDEX(Curves!$B$4:$AR$4,1,62-Projects!$C$43+1),0)+IF(AND(Projects!$G$44="Yes",62&gt;=Projects!$C$44,62&lt;Projects!$C$44+Projects!$D$44),Projects!$B$44*INDEX(Curves!$B$4:$AR$4,1,62-Projects!$C$44+1),0)+IF(AND(Projects!$G$45="Yes",62&gt;=Projects!$C$45,62&lt;Projects!$C$45+Projects!$D$45),Projects!$B$45*INDEX(Curves!$B$4:$AR$4,1,62-Projects!$C$45+1),0)+IF(AND(Projects!$G$46="Yes",62&gt;=Projects!$C$46,62&lt;Projects!$C$46+Projects!$D$46),Projects!$B$46*INDEX(Curves!$B$4:$AR$4,1,62-Projects!$C$46+1),0)</f>
        <v/>
      </c>
      <c r="BP96" s="688">
        <f>IF(AND(Projects!$G$17="Yes",63&gt;=Projects!$C$17,63&lt;Projects!$C$17+Projects!$D$17),Projects!$B$17*INDEX(Curves!$B$4:$AR$4,1,63-Projects!$C$17+1),0)+IF(AND(Projects!$G$18="Yes",63&gt;=Projects!$C$18,63&lt;Projects!$C$18+Projects!$D$18),Projects!$B$18*INDEX(Curves!$B$4:$AR$4,1,63-Projects!$C$18+1),0)+IF(AND(Projects!$G$19="Yes",63&gt;=Projects!$C$19,63&lt;Projects!$C$19+Projects!$D$19),Projects!$B$19*INDEX(Curves!$B$4:$AR$4,1,63-Projects!$C$19+1),0)+IF(AND(Projects!$G$20="Yes",63&gt;=Projects!$C$20,63&lt;Projects!$C$20+Projects!$D$20),Projects!$B$20*INDEX(Curves!$B$4:$AR$4,1,63-Projects!$C$20+1),0)+IF(AND(Projects!$G$21="Yes",63&gt;=Projects!$C$21,63&lt;Projects!$C$21+Projects!$D$21),Projects!$B$21*INDEX(Curves!$B$4:$AR$4,1,63-Projects!$C$21+1),0)+IF(AND(Projects!$G$22="Yes",63&gt;=Projects!$C$22,63&lt;Projects!$C$22+Projects!$D$22),Projects!$B$22*INDEX(Curves!$B$4:$AR$4,1,63-Projects!$C$22+1),0)+IF(AND(Projects!$G$23="Yes",63&gt;=Projects!$C$23,63&lt;Projects!$C$23+Projects!$D$23),Projects!$B$23*INDEX(Curves!$B$4:$AR$4,1,63-Projects!$C$23+1),0)+IF(AND(Projects!$G$24="Yes",63&gt;=Projects!$C$24,63&lt;Projects!$C$24+Projects!$D$24),Projects!$B$24*INDEX(Curves!$B$4:$AR$4,1,63-Projects!$C$24+1),0)+IF(AND(Projects!$G$25="Yes",63&gt;=Projects!$C$25,63&lt;Projects!$C$25+Projects!$D$25),Projects!$B$25*INDEX(Curves!$B$4:$AR$4,1,63-Projects!$C$25+1),0)+IF(AND(Projects!$G$26="Yes",63&gt;=Projects!$C$26,63&lt;Projects!$C$26+Projects!$D$26),Projects!$B$26*INDEX(Curves!$B$4:$AR$4,1,63-Projects!$C$26+1),0)+IF(AND(Projects!$G$27="Yes",63&gt;=Projects!$C$27,63&lt;Projects!$C$27+Projects!$D$27),Projects!$B$27*INDEX(Curves!$B$4:$AR$4,1,63-Projects!$C$27+1),0)+IF(AND(Projects!$G$28="Yes",63&gt;=Projects!$C$28,63&lt;Projects!$C$28+Projects!$D$28),Projects!$B$28*INDEX(Curves!$B$4:$AR$4,1,63-Projects!$C$28+1),0)+IF(AND(Projects!$G$29="Yes",63&gt;=Projects!$C$29,63&lt;Projects!$C$29+Projects!$D$29),Projects!$B$29*INDEX(Curves!$B$4:$AR$4,1,63-Projects!$C$29+1),0)+IF(AND(Projects!$G$30="Yes",63&gt;=Projects!$C$30,63&lt;Projects!$C$30+Projects!$D$30),Projects!$B$30*INDEX(Curves!$B$4:$AR$4,1,63-Projects!$C$30+1),0)+IF(AND(Projects!$G$31="Yes",63&gt;=Projects!$C$31,63&lt;Projects!$C$31+Projects!$D$31),Projects!$B$31*INDEX(Curves!$B$4:$AR$4,1,63-Projects!$C$31+1),0)+IF(AND(Projects!$G$32="Yes",63&gt;=Projects!$C$32,63&lt;Projects!$C$32+Projects!$D$32),Projects!$B$32*INDEX(Curves!$B$4:$AR$4,1,63-Projects!$C$32+1),0)+IF(AND(Projects!$G$33="Yes",63&gt;=Projects!$C$33,63&lt;Projects!$C$33+Projects!$D$33),Projects!$B$33*INDEX(Curves!$B$4:$AR$4,1,63-Projects!$C$33+1),0)+IF(AND(Projects!$G$34="Yes",63&gt;=Projects!$C$34,63&lt;Projects!$C$34+Projects!$D$34),Projects!$B$34*INDEX(Curves!$B$4:$AR$4,1,63-Projects!$C$34+1),0)+IF(AND(Projects!$G$35="Yes",63&gt;=Projects!$C$35,63&lt;Projects!$C$35+Projects!$D$35),Projects!$B$35*INDEX(Curves!$B$4:$AR$4,1,63-Projects!$C$35+1),0)+IF(AND(Projects!$G$36="Yes",63&gt;=Projects!$C$36,63&lt;Projects!$C$36+Projects!$D$36),Projects!$B$36*INDEX(Curves!$B$4:$AR$4,1,63-Projects!$C$36+1),0)+IF(AND(Projects!$G$37="Yes",63&gt;=Projects!$C$37,63&lt;Projects!$C$37+Projects!$D$37),Projects!$B$37*INDEX(Curves!$B$4:$AR$4,1,63-Projects!$C$37+1),0)+IF(AND(Projects!$G$38="Yes",63&gt;=Projects!$C$38,63&lt;Projects!$C$38+Projects!$D$38),Projects!$B$38*INDEX(Curves!$B$4:$AR$4,1,63-Projects!$C$38+1),0)+IF(AND(Projects!$G$39="Yes",63&gt;=Projects!$C$39,63&lt;Projects!$C$39+Projects!$D$39),Projects!$B$39*INDEX(Curves!$B$4:$AR$4,1,63-Projects!$C$39+1),0)+IF(AND(Projects!$G$40="Yes",63&gt;=Projects!$C$40,63&lt;Projects!$C$40+Projects!$D$40),Projects!$B$40*INDEX(Curves!$B$4:$AR$4,1,63-Projects!$C$40+1),0)+IF(AND(Projects!$G$41="Yes",63&gt;=Projects!$C$41,63&lt;Projects!$C$41+Projects!$D$41),Projects!$B$41*INDEX(Curves!$B$4:$AR$4,1,63-Projects!$C$41+1),0)+IF(AND(Projects!$G$42="Yes",63&gt;=Projects!$C$42,63&lt;Projects!$C$42+Projects!$D$42),Projects!$B$42*INDEX(Curves!$B$4:$AR$4,1,63-Projects!$C$42+1),0)+IF(AND(Projects!$G$43="Yes",63&gt;=Projects!$C$43,63&lt;Projects!$C$43+Projects!$D$43),Projects!$B$43*INDEX(Curves!$B$4:$AR$4,1,63-Projects!$C$43+1),0)+IF(AND(Projects!$G$44="Yes",63&gt;=Projects!$C$44,63&lt;Projects!$C$44+Projects!$D$44),Projects!$B$44*INDEX(Curves!$B$4:$AR$4,1,63-Projects!$C$44+1),0)+IF(AND(Projects!$G$45="Yes",63&gt;=Projects!$C$45,63&lt;Projects!$C$45+Projects!$D$45),Projects!$B$45*INDEX(Curves!$B$4:$AR$4,1,63-Projects!$C$45+1),0)+IF(AND(Projects!$G$46="Yes",63&gt;=Projects!$C$46,63&lt;Projects!$C$46+Projects!$D$46),Projects!$B$46*INDEX(Curves!$B$4:$AR$4,1,63-Projects!$C$46+1),0)</f>
        <v/>
      </c>
      <c r="BQ96" s="688">
        <f>IF(AND(Projects!$G$17="Yes",64&gt;=Projects!$C$17,64&lt;Projects!$C$17+Projects!$D$17),Projects!$B$17*INDEX(Curves!$B$4:$AR$4,1,64-Projects!$C$17+1),0)+IF(AND(Projects!$G$18="Yes",64&gt;=Projects!$C$18,64&lt;Projects!$C$18+Projects!$D$18),Projects!$B$18*INDEX(Curves!$B$4:$AR$4,1,64-Projects!$C$18+1),0)+IF(AND(Projects!$G$19="Yes",64&gt;=Projects!$C$19,64&lt;Projects!$C$19+Projects!$D$19),Projects!$B$19*INDEX(Curves!$B$4:$AR$4,1,64-Projects!$C$19+1),0)+IF(AND(Projects!$G$20="Yes",64&gt;=Projects!$C$20,64&lt;Projects!$C$20+Projects!$D$20),Projects!$B$20*INDEX(Curves!$B$4:$AR$4,1,64-Projects!$C$20+1),0)+IF(AND(Projects!$G$21="Yes",64&gt;=Projects!$C$21,64&lt;Projects!$C$21+Projects!$D$21),Projects!$B$21*INDEX(Curves!$B$4:$AR$4,1,64-Projects!$C$21+1),0)+IF(AND(Projects!$G$22="Yes",64&gt;=Projects!$C$22,64&lt;Projects!$C$22+Projects!$D$22),Projects!$B$22*INDEX(Curves!$B$4:$AR$4,1,64-Projects!$C$22+1),0)+IF(AND(Projects!$G$23="Yes",64&gt;=Projects!$C$23,64&lt;Projects!$C$23+Projects!$D$23),Projects!$B$23*INDEX(Curves!$B$4:$AR$4,1,64-Projects!$C$23+1),0)+IF(AND(Projects!$G$24="Yes",64&gt;=Projects!$C$24,64&lt;Projects!$C$24+Projects!$D$24),Projects!$B$24*INDEX(Curves!$B$4:$AR$4,1,64-Projects!$C$24+1),0)+IF(AND(Projects!$G$25="Yes",64&gt;=Projects!$C$25,64&lt;Projects!$C$25+Projects!$D$25),Projects!$B$25*INDEX(Curves!$B$4:$AR$4,1,64-Projects!$C$25+1),0)+IF(AND(Projects!$G$26="Yes",64&gt;=Projects!$C$26,64&lt;Projects!$C$26+Projects!$D$26),Projects!$B$26*INDEX(Curves!$B$4:$AR$4,1,64-Projects!$C$26+1),0)+IF(AND(Projects!$G$27="Yes",64&gt;=Projects!$C$27,64&lt;Projects!$C$27+Projects!$D$27),Projects!$B$27*INDEX(Curves!$B$4:$AR$4,1,64-Projects!$C$27+1),0)+IF(AND(Projects!$G$28="Yes",64&gt;=Projects!$C$28,64&lt;Projects!$C$28+Projects!$D$28),Projects!$B$28*INDEX(Curves!$B$4:$AR$4,1,64-Projects!$C$28+1),0)+IF(AND(Projects!$G$29="Yes",64&gt;=Projects!$C$29,64&lt;Projects!$C$29+Projects!$D$29),Projects!$B$29*INDEX(Curves!$B$4:$AR$4,1,64-Projects!$C$29+1),0)+IF(AND(Projects!$G$30="Yes",64&gt;=Projects!$C$30,64&lt;Projects!$C$30+Projects!$D$30),Projects!$B$30*INDEX(Curves!$B$4:$AR$4,1,64-Projects!$C$30+1),0)+IF(AND(Projects!$G$31="Yes",64&gt;=Projects!$C$31,64&lt;Projects!$C$31+Projects!$D$31),Projects!$B$31*INDEX(Curves!$B$4:$AR$4,1,64-Projects!$C$31+1),0)+IF(AND(Projects!$G$32="Yes",64&gt;=Projects!$C$32,64&lt;Projects!$C$32+Projects!$D$32),Projects!$B$32*INDEX(Curves!$B$4:$AR$4,1,64-Projects!$C$32+1),0)+IF(AND(Projects!$G$33="Yes",64&gt;=Projects!$C$33,64&lt;Projects!$C$33+Projects!$D$33),Projects!$B$33*INDEX(Curves!$B$4:$AR$4,1,64-Projects!$C$33+1),0)+IF(AND(Projects!$G$34="Yes",64&gt;=Projects!$C$34,64&lt;Projects!$C$34+Projects!$D$34),Projects!$B$34*INDEX(Curves!$B$4:$AR$4,1,64-Projects!$C$34+1),0)+IF(AND(Projects!$G$35="Yes",64&gt;=Projects!$C$35,64&lt;Projects!$C$35+Projects!$D$35),Projects!$B$35*INDEX(Curves!$B$4:$AR$4,1,64-Projects!$C$35+1),0)+IF(AND(Projects!$G$36="Yes",64&gt;=Projects!$C$36,64&lt;Projects!$C$36+Projects!$D$36),Projects!$B$36*INDEX(Curves!$B$4:$AR$4,1,64-Projects!$C$36+1),0)+IF(AND(Projects!$G$37="Yes",64&gt;=Projects!$C$37,64&lt;Projects!$C$37+Projects!$D$37),Projects!$B$37*INDEX(Curves!$B$4:$AR$4,1,64-Projects!$C$37+1),0)+IF(AND(Projects!$G$38="Yes",64&gt;=Projects!$C$38,64&lt;Projects!$C$38+Projects!$D$38),Projects!$B$38*INDEX(Curves!$B$4:$AR$4,1,64-Projects!$C$38+1),0)+IF(AND(Projects!$G$39="Yes",64&gt;=Projects!$C$39,64&lt;Projects!$C$39+Projects!$D$39),Projects!$B$39*INDEX(Curves!$B$4:$AR$4,1,64-Projects!$C$39+1),0)+IF(AND(Projects!$G$40="Yes",64&gt;=Projects!$C$40,64&lt;Projects!$C$40+Projects!$D$40),Projects!$B$40*INDEX(Curves!$B$4:$AR$4,1,64-Projects!$C$40+1),0)+IF(AND(Projects!$G$41="Yes",64&gt;=Projects!$C$41,64&lt;Projects!$C$41+Projects!$D$41),Projects!$B$41*INDEX(Curves!$B$4:$AR$4,1,64-Projects!$C$41+1),0)+IF(AND(Projects!$G$42="Yes",64&gt;=Projects!$C$42,64&lt;Projects!$C$42+Projects!$D$42),Projects!$B$42*INDEX(Curves!$B$4:$AR$4,1,64-Projects!$C$42+1),0)+IF(AND(Projects!$G$43="Yes",64&gt;=Projects!$C$43,64&lt;Projects!$C$43+Projects!$D$43),Projects!$B$43*INDEX(Curves!$B$4:$AR$4,1,64-Projects!$C$43+1),0)+IF(AND(Projects!$G$44="Yes",64&gt;=Projects!$C$44,64&lt;Projects!$C$44+Projects!$D$44),Projects!$B$44*INDEX(Curves!$B$4:$AR$4,1,64-Projects!$C$44+1),0)+IF(AND(Projects!$G$45="Yes",64&gt;=Projects!$C$45,64&lt;Projects!$C$45+Projects!$D$45),Projects!$B$45*INDEX(Curves!$B$4:$AR$4,1,64-Projects!$C$45+1),0)+IF(AND(Projects!$G$46="Yes",64&gt;=Projects!$C$46,64&lt;Projects!$C$46+Projects!$D$46),Projects!$B$46*INDEX(Curves!$B$4:$AR$4,1,64-Projects!$C$46+1),0)</f>
        <v/>
      </c>
      <c r="BR96" s="688">
        <f>IF(AND(Projects!$G$17="Yes",65&gt;=Projects!$C$17,65&lt;Projects!$C$17+Projects!$D$17),Projects!$B$17*INDEX(Curves!$B$4:$AR$4,1,65-Projects!$C$17+1),0)+IF(AND(Projects!$G$18="Yes",65&gt;=Projects!$C$18,65&lt;Projects!$C$18+Projects!$D$18),Projects!$B$18*INDEX(Curves!$B$4:$AR$4,1,65-Projects!$C$18+1),0)+IF(AND(Projects!$G$19="Yes",65&gt;=Projects!$C$19,65&lt;Projects!$C$19+Projects!$D$19),Projects!$B$19*INDEX(Curves!$B$4:$AR$4,1,65-Projects!$C$19+1),0)+IF(AND(Projects!$G$20="Yes",65&gt;=Projects!$C$20,65&lt;Projects!$C$20+Projects!$D$20),Projects!$B$20*INDEX(Curves!$B$4:$AR$4,1,65-Projects!$C$20+1),0)+IF(AND(Projects!$G$21="Yes",65&gt;=Projects!$C$21,65&lt;Projects!$C$21+Projects!$D$21),Projects!$B$21*INDEX(Curves!$B$4:$AR$4,1,65-Projects!$C$21+1),0)+IF(AND(Projects!$G$22="Yes",65&gt;=Projects!$C$22,65&lt;Projects!$C$22+Projects!$D$22),Projects!$B$22*INDEX(Curves!$B$4:$AR$4,1,65-Projects!$C$22+1),0)+IF(AND(Projects!$G$23="Yes",65&gt;=Projects!$C$23,65&lt;Projects!$C$23+Projects!$D$23),Projects!$B$23*INDEX(Curves!$B$4:$AR$4,1,65-Projects!$C$23+1),0)+IF(AND(Projects!$G$24="Yes",65&gt;=Projects!$C$24,65&lt;Projects!$C$24+Projects!$D$24),Projects!$B$24*INDEX(Curves!$B$4:$AR$4,1,65-Projects!$C$24+1),0)+IF(AND(Projects!$G$25="Yes",65&gt;=Projects!$C$25,65&lt;Projects!$C$25+Projects!$D$25),Projects!$B$25*INDEX(Curves!$B$4:$AR$4,1,65-Projects!$C$25+1),0)+IF(AND(Projects!$G$26="Yes",65&gt;=Projects!$C$26,65&lt;Projects!$C$26+Projects!$D$26),Projects!$B$26*INDEX(Curves!$B$4:$AR$4,1,65-Projects!$C$26+1),0)+IF(AND(Projects!$G$27="Yes",65&gt;=Projects!$C$27,65&lt;Projects!$C$27+Projects!$D$27),Projects!$B$27*INDEX(Curves!$B$4:$AR$4,1,65-Projects!$C$27+1),0)+IF(AND(Projects!$G$28="Yes",65&gt;=Projects!$C$28,65&lt;Projects!$C$28+Projects!$D$28),Projects!$B$28*INDEX(Curves!$B$4:$AR$4,1,65-Projects!$C$28+1),0)+IF(AND(Projects!$G$29="Yes",65&gt;=Projects!$C$29,65&lt;Projects!$C$29+Projects!$D$29),Projects!$B$29*INDEX(Curves!$B$4:$AR$4,1,65-Projects!$C$29+1),0)+IF(AND(Projects!$G$30="Yes",65&gt;=Projects!$C$30,65&lt;Projects!$C$30+Projects!$D$30),Projects!$B$30*INDEX(Curves!$B$4:$AR$4,1,65-Projects!$C$30+1),0)+IF(AND(Projects!$G$31="Yes",65&gt;=Projects!$C$31,65&lt;Projects!$C$31+Projects!$D$31),Projects!$B$31*INDEX(Curves!$B$4:$AR$4,1,65-Projects!$C$31+1),0)+IF(AND(Projects!$G$32="Yes",65&gt;=Projects!$C$32,65&lt;Projects!$C$32+Projects!$D$32),Projects!$B$32*INDEX(Curves!$B$4:$AR$4,1,65-Projects!$C$32+1),0)+IF(AND(Projects!$G$33="Yes",65&gt;=Projects!$C$33,65&lt;Projects!$C$33+Projects!$D$33),Projects!$B$33*INDEX(Curves!$B$4:$AR$4,1,65-Projects!$C$33+1),0)+IF(AND(Projects!$G$34="Yes",65&gt;=Projects!$C$34,65&lt;Projects!$C$34+Projects!$D$34),Projects!$B$34*INDEX(Curves!$B$4:$AR$4,1,65-Projects!$C$34+1),0)+IF(AND(Projects!$G$35="Yes",65&gt;=Projects!$C$35,65&lt;Projects!$C$35+Projects!$D$35),Projects!$B$35*INDEX(Curves!$B$4:$AR$4,1,65-Projects!$C$35+1),0)+IF(AND(Projects!$G$36="Yes",65&gt;=Projects!$C$36,65&lt;Projects!$C$36+Projects!$D$36),Projects!$B$36*INDEX(Curves!$B$4:$AR$4,1,65-Projects!$C$36+1),0)+IF(AND(Projects!$G$37="Yes",65&gt;=Projects!$C$37,65&lt;Projects!$C$37+Projects!$D$37),Projects!$B$37*INDEX(Curves!$B$4:$AR$4,1,65-Projects!$C$37+1),0)+IF(AND(Projects!$G$38="Yes",65&gt;=Projects!$C$38,65&lt;Projects!$C$38+Projects!$D$38),Projects!$B$38*INDEX(Curves!$B$4:$AR$4,1,65-Projects!$C$38+1),0)+IF(AND(Projects!$G$39="Yes",65&gt;=Projects!$C$39,65&lt;Projects!$C$39+Projects!$D$39),Projects!$B$39*INDEX(Curves!$B$4:$AR$4,1,65-Projects!$C$39+1),0)+IF(AND(Projects!$G$40="Yes",65&gt;=Projects!$C$40,65&lt;Projects!$C$40+Projects!$D$40),Projects!$B$40*INDEX(Curves!$B$4:$AR$4,1,65-Projects!$C$40+1),0)+IF(AND(Projects!$G$41="Yes",65&gt;=Projects!$C$41,65&lt;Projects!$C$41+Projects!$D$41),Projects!$B$41*INDEX(Curves!$B$4:$AR$4,1,65-Projects!$C$41+1),0)+IF(AND(Projects!$G$42="Yes",65&gt;=Projects!$C$42,65&lt;Projects!$C$42+Projects!$D$42),Projects!$B$42*INDEX(Curves!$B$4:$AR$4,1,65-Projects!$C$42+1),0)+IF(AND(Projects!$G$43="Yes",65&gt;=Projects!$C$43,65&lt;Projects!$C$43+Projects!$D$43),Projects!$B$43*INDEX(Curves!$B$4:$AR$4,1,65-Projects!$C$43+1),0)+IF(AND(Projects!$G$44="Yes",65&gt;=Projects!$C$44,65&lt;Projects!$C$44+Projects!$D$44),Projects!$B$44*INDEX(Curves!$B$4:$AR$4,1,65-Projects!$C$44+1),0)+IF(AND(Projects!$G$45="Yes",65&gt;=Projects!$C$45,65&lt;Projects!$C$45+Projects!$D$45),Projects!$B$45*INDEX(Curves!$B$4:$AR$4,1,65-Projects!$C$45+1),0)+IF(AND(Projects!$G$46="Yes",65&gt;=Projects!$C$46,65&lt;Projects!$C$46+Projects!$D$46),Projects!$B$46*INDEX(Curves!$B$4:$AR$4,1,65-Projects!$C$46+1),0)</f>
        <v/>
      </c>
      <c r="BS96" s="688">
        <f>IF(AND(Projects!$G$17="Yes",66&gt;=Projects!$C$17,66&lt;Projects!$C$17+Projects!$D$17),Projects!$B$17*INDEX(Curves!$B$4:$AR$4,1,66-Projects!$C$17+1),0)+IF(AND(Projects!$G$18="Yes",66&gt;=Projects!$C$18,66&lt;Projects!$C$18+Projects!$D$18),Projects!$B$18*INDEX(Curves!$B$4:$AR$4,1,66-Projects!$C$18+1),0)+IF(AND(Projects!$G$19="Yes",66&gt;=Projects!$C$19,66&lt;Projects!$C$19+Projects!$D$19),Projects!$B$19*INDEX(Curves!$B$4:$AR$4,1,66-Projects!$C$19+1),0)+IF(AND(Projects!$G$20="Yes",66&gt;=Projects!$C$20,66&lt;Projects!$C$20+Projects!$D$20),Projects!$B$20*INDEX(Curves!$B$4:$AR$4,1,66-Projects!$C$20+1),0)+IF(AND(Projects!$G$21="Yes",66&gt;=Projects!$C$21,66&lt;Projects!$C$21+Projects!$D$21),Projects!$B$21*INDEX(Curves!$B$4:$AR$4,1,66-Projects!$C$21+1),0)+IF(AND(Projects!$G$22="Yes",66&gt;=Projects!$C$22,66&lt;Projects!$C$22+Projects!$D$22),Projects!$B$22*INDEX(Curves!$B$4:$AR$4,1,66-Projects!$C$22+1),0)+IF(AND(Projects!$G$23="Yes",66&gt;=Projects!$C$23,66&lt;Projects!$C$23+Projects!$D$23),Projects!$B$23*INDEX(Curves!$B$4:$AR$4,1,66-Projects!$C$23+1),0)+IF(AND(Projects!$G$24="Yes",66&gt;=Projects!$C$24,66&lt;Projects!$C$24+Projects!$D$24),Projects!$B$24*INDEX(Curves!$B$4:$AR$4,1,66-Projects!$C$24+1),0)+IF(AND(Projects!$G$25="Yes",66&gt;=Projects!$C$25,66&lt;Projects!$C$25+Projects!$D$25),Projects!$B$25*INDEX(Curves!$B$4:$AR$4,1,66-Projects!$C$25+1),0)+IF(AND(Projects!$G$26="Yes",66&gt;=Projects!$C$26,66&lt;Projects!$C$26+Projects!$D$26),Projects!$B$26*INDEX(Curves!$B$4:$AR$4,1,66-Projects!$C$26+1),0)+IF(AND(Projects!$G$27="Yes",66&gt;=Projects!$C$27,66&lt;Projects!$C$27+Projects!$D$27),Projects!$B$27*INDEX(Curves!$B$4:$AR$4,1,66-Projects!$C$27+1),0)+IF(AND(Projects!$G$28="Yes",66&gt;=Projects!$C$28,66&lt;Projects!$C$28+Projects!$D$28),Projects!$B$28*INDEX(Curves!$B$4:$AR$4,1,66-Projects!$C$28+1),0)+IF(AND(Projects!$G$29="Yes",66&gt;=Projects!$C$29,66&lt;Projects!$C$29+Projects!$D$29),Projects!$B$29*INDEX(Curves!$B$4:$AR$4,1,66-Projects!$C$29+1),0)+IF(AND(Projects!$G$30="Yes",66&gt;=Projects!$C$30,66&lt;Projects!$C$30+Projects!$D$30),Projects!$B$30*INDEX(Curves!$B$4:$AR$4,1,66-Projects!$C$30+1),0)+IF(AND(Projects!$G$31="Yes",66&gt;=Projects!$C$31,66&lt;Projects!$C$31+Projects!$D$31),Projects!$B$31*INDEX(Curves!$B$4:$AR$4,1,66-Projects!$C$31+1),0)+IF(AND(Projects!$G$32="Yes",66&gt;=Projects!$C$32,66&lt;Projects!$C$32+Projects!$D$32),Projects!$B$32*INDEX(Curves!$B$4:$AR$4,1,66-Projects!$C$32+1),0)+IF(AND(Projects!$G$33="Yes",66&gt;=Projects!$C$33,66&lt;Projects!$C$33+Projects!$D$33),Projects!$B$33*INDEX(Curves!$B$4:$AR$4,1,66-Projects!$C$33+1),0)+IF(AND(Projects!$G$34="Yes",66&gt;=Projects!$C$34,66&lt;Projects!$C$34+Projects!$D$34),Projects!$B$34*INDEX(Curves!$B$4:$AR$4,1,66-Projects!$C$34+1),0)+IF(AND(Projects!$G$35="Yes",66&gt;=Projects!$C$35,66&lt;Projects!$C$35+Projects!$D$35),Projects!$B$35*INDEX(Curves!$B$4:$AR$4,1,66-Projects!$C$35+1),0)+IF(AND(Projects!$G$36="Yes",66&gt;=Projects!$C$36,66&lt;Projects!$C$36+Projects!$D$36),Projects!$B$36*INDEX(Curves!$B$4:$AR$4,1,66-Projects!$C$36+1),0)+IF(AND(Projects!$G$37="Yes",66&gt;=Projects!$C$37,66&lt;Projects!$C$37+Projects!$D$37),Projects!$B$37*INDEX(Curves!$B$4:$AR$4,1,66-Projects!$C$37+1),0)+IF(AND(Projects!$G$38="Yes",66&gt;=Projects!$C$38,66&lt;Projects!$C$38+Projects!$D$38),Projects!$B$38*INDEX(Curves!$B$4:$AR$4,1,66-Projects!$C$38+1),0)+IF(AND(Projects!$G$39="Yes",66&gt;=Projects!$C$39,66&lt;Projects!$C$39+Projects!$D$39),Projects!$B$39*INDEX(Curves!$B$4:$AR$4,1,66-Projects!$C$39+1),0)+IF(AND(Projects!$G$40="Yes",66&gt;=Projects!$C$40,66&lt;Projects!$C$40+Projects!$D$40),Projects!$B$40*INDEX(Curves!$B$4:$AR$4,1,66-Projects!$C$40+1),0)+IF(AND(Projects!$G$41="Yes",66&gt;=Projects!$C$41,66&lt;Projects!$C$41+Projects!$D$41),Projects!$B$41*INDEX(Curves!$B$4:$AR$4,1,66-Projects!$C$41+1),0)+IF(AND(Projects!$G$42="Yes",66&gt;=Projects!$C$42,66&lt;Projects!$C$42+Projects!$D$42),Projects!$B$42*INDEX(Curves!$B$4:$AR$4,1,66-Projects!$C$42+1),0)+IF(AND(Projects!$G$43="Yes",66&gt;=Projects!$C$43,66&lt;Projects!$C$43+Projects!$D$43),Projects!$B$43*INDEX(Curves!$B$4:$AR$4,1,66-Projects!$C$43+1),0)+IF(AND(Projects!$G$44="Yes",66&gt;=Projects!$C$44,66&lt;Projects!$C$44+Projects!$D$44),Projects!$B$44*INDEX(Curves!$B$4:$AR$4,1,66-Projects!$C$44+1),0)+IF(AND(Projects!$G$45="Yes",66&gt;=Projects!$C$45,66&lt;Projects!$C$45+Projects!$D$45),Projects!$B$45*INDEX(Curves!$B$4:$AR$4,1,66-Projects!$C$45+1),0)+IF(AND(Projects!$G$46="Yes",66&gt;=Projects!$C$46,66&lt;Projects!$C$46+Projects!$D$46),Projects!$B$46*INDEX(Curves!$B$4:$AR$4,1,66-Projects!$C$46+1),0)</f>
        <v/>
      </c>
      <c r="BT96" s="688">
        <f>IF(AND(Projects!$G$17="Yes",67&gt;=Projects!$C$17,67&lt;Projects!$C$17+Projects!$D$17),Projects!$B$17*INDEX(Curves!$B$4:$AR$4,1,67-Projects!$C$17+1),0)+IF(AND(Projects!$G$18="Yes",67&gt;=Projects!$C$18,67&lt;Projects!$C$18+Projects!$D$18),Projects!$B$18*INDEX(Curves!$B$4:$AR$4,1,67-Projects!$C$18+1),0)+IF(AND(Projects!$G$19="Yes",67&gt;=Projects!$C$19,67&lt;Projects!$C$19+Projects!$D$19),Projects!$B$19*INDEX(Curves!$B$4:$AR$4,1,67-Projects!$C$19+1),0)+IF(AND(Projects!$G$20="Yes",67&gt;=Projects!$C$20,67&lt;Projects!$C$20+Projects!$D$20),Projects!$B$20*INDEX(Curves!$B$4:$AR$4,1,67-Projects!$C$20+1),0)+IF(AND(Projects!$G$21="Yes",67&gt;=Projects!$C$21,67&lt;Projects!$C$21+Projects!$D$21),Projects!$B$21*INDEX(Curves!$B$4:$AR$4,1,67-Projects!$C$21+1),0)+IF(AND(Projects!$G$22="Yes",67&gt;=Projects!$C$22,67&lt;Projects!$C$22+Projects!$D$22),Projects!$B$22*INDEX(Curves!$B$4:$AR$4,1,67-Projects!$C$22+1),0)+IF(AND(Projects!$G$23="Yes",67&gt;=Projects!$C$23,67&lt;Projects!$C$23+Projects!$D$23),Projects!$B$23*INDEX(Curves!$B$4:$AR$4,1,67-Projects!$C$23+1),0)+IF(AND(Projects!$G$24="Yes",67&gt;=Projects!$C$24,67&lt;Projects!$C$24+Projects!$D$24),Projects!$B$24*INDEX(Curves!$B$4:$AR$4,1,67-Projects!$C$24+1),0)+IF(AND(Projects!$G$25="Yes",67&gt;=Projects!$C$25,67&lt;Projects!$C$25+Projects!$D$25),Projects!$B$25*INDEX(Curves!$B$4:$AR$4,1,67-Projects!$C$25+1),0)+IF(AND(Projects!$G$26="Yes",67&gt;=Projects!$C$26,67&lt;Projects!$C$26+Projects!$D$26),Projects!$B$26*INDEX(Curves!$B$4:$AR$4,1,67-Projects!$C$26+1),0)+IF(AND(Projects!$G$27="Yes",67&gt;=Projects!$C$27,67&lt;Projects!$C$27+Projects!$D$27),Projects!$B$27*INDEX(Curves!$B$4:$AR$4,1,67-Projects!$C$27+1),0)+IF(AND(Projects!$G$28="Yes",67&gt;=Projects!$C$28,67&lt;Projects!$C$28+Projects!$D$28),Projects!$B$28*INDEX(Curves!$B$4:$AR$4,1,67-Projects!$C$28+1),0)+IF(AND(Projects!$G$29="Yes",67&gt;=Projects!$C$29,67&lt;Projects!$C$29+Projects!$D$29),Projects!$B$29*INDEX(Curves!$B$4:$AR$4,1,67-Projects!$C$29+1),0)+IF(AND(Projects!$G$30="Yes",67&gt;=Projects!$C$30,67&lt;Projects!$C$30+Projects!$D$30),Projects!$B$30*INDEX(Curves!$B$4:$AR$4,1,67-Projects!$C$30+1),0)+IF(AND(Projects!$G$31="Yes",67&gt;=Projects!$C$31,67&lt;Projects!$C$31+Projects!$D$31),Projects!$B$31*INDEX(Curves!$B$4:$AR$4,1,67-Projects!$C$31+1),0)+IF(AND(Projects!$G$32="Yes",67&gt;=Projects!$C$32,67&lt;Projects!$C$32+Projects!$D$32),Projects!$B$32*INDEX(Curves!$B$4:$AR$4,1,67-Projects!$C$32+1),0)+IF(AND(Projects!$G$33="Yes",67&gt;=Projects!$C$33,67&lt;Projects!$C$33+Projects!$D$33),Projects!$B$33*INDEX(Curves!$B$4:$AR$4,1,67-Projects!$C$33+1),0)+IF(AND(Projects!$G$34="Yes",67&gt;=Projects!$C$34,67&lt;Projects!$C$34+Projects!$D$34),Projects!$B$34*INDEX(Curves!$B$4:$AR$4,1,67-Projects!$C$34+1),0)+IF(AND(Projects!$G$35="Yes",67&gt;=Projects!$C$35,67&lt;Projects!$C$35+Projects!$D$35),Projects!$B$35*INDEX(Curves!$B$4:$AR$4,1,67-Projects!$C$35+1),0)+IF(AND(Projects!$G$36="Yes",67&gt;=Projects!$C$36,67&lt;Projects!$C$36+Projects!$D$36),Projects!$B$36*INDEX(Curves!$B$4:$AR$4,1,67-Projects!$C$36+1),0)+IF(AND(Projects!$G$37="Yes",67&gt;=Projects!$C$37,67&lt;Projects!$C$37+Projects!$D$37),Projects!$B$37*INDEX(Curves!$B$4:$AR$4,1,67-Projects!$C$37+1),0)+IF(AND(Projects!$G$38="Yes",67&gt;=Projects!$C$38,67&lt;Projects!$C$38+Projects!$D$38),Projects!$B$38*INDEX(Curves!$B$4:$AR$4,1,67-Projects!$C$38+1),0)+IF(AND(Projects!$G$39="Yes",67&gt;=Projects!$C$39,67&lt;Projects!$C$39+Projects!$D$39),Projects!$B$39*INDEX(Curves!$B$4:$AR$4,1,67-Projects!$C$39+1),0)+IF(AND(Projects!$G$40="Yes",67&gt;=Projects!$C$40,67&lt;Projects!$C$40+Projects!$D$40),Projects!$B$40*INDEX(Curves!$B$4:$AR$4,1,67-Projects!$C$40+1),0)+IF(AND(Projects!$G$41="Yes",67&gt;=Projects!$C$41,67&lt;Projects!$C$41+Projects!$D$41),Projects!$B$41*INDEX(Curves!$B$4:$AR$4,1,67-Projects!$C$41+1),0)+IF(AND(Projects!$G$42="Yes",67&gt;=Projects!$C$42,67&lt;Projects!$C$42+Projects!$D$42),Projects!$B$42*INDEX(Curves!$B$4:$AR$4,1,67-Projects!$C$42+1),0)+IF(AND(Projects!$G$43="Yes",67&gt;=Projects!$C$43,67&lt;Projects!$C$43+Projects!$D$43),Projects!$B$43*INDEX(Curves!$B$4:$AR$4,1,67-Projects!$C$43+1),0)+IF(AND(Projects!$G$44="Yes",67&gt;=Projects!$C$44,67&lt;Projects!$C$44+Projects!$D$44),Projects!$B$44*INDEX(Curves!$B$4:$AR$4,1,67-Projects!$C$44+1),0)+IF(AND(Projects!$G$45="Yes",67&gt;=Projects!$C$45,67&lt;Projects!$C$45+Projects!$D$45),Projects!$B$45*INDEX(Curves!$B$4:$AR$4,1,67-Projects!$C$45+1),0)+IF(AND(Projects!$G$46="Yes",67&gt;=Projects!$C$46,67&lt;Projects!$C$46+Projects!$D$46),Projects!$B$46*INDEX(Curves!$B$4:$AR$4,1,67-Projects!$C$46+1),0)</f>
        <v/>
      </c>
      <c r="BU96" s="688">
        <f>IF(AND(Projects!$G$17="Yes",68&gt;=Projects!$C$17,68&lt;Projects!$C$17+Projects!$D$17),Projects!$B$17*INDEX(Curves!$B$4:$AR$4,1,68-Projects!$C$17+1),0)+IF(AND(Projects!$G$18="Yes",68&gt;=Projects!$C$18,68&lt;Projects!$C$18+Projects!$D$18),Projects!$B$18*INDEX(Curves!$B$4:$AR$4,1,68-Projects!$C$18+1),0)+IF(AND(Projects!$G$19="Yes",68&gt;=Projects!$C$19,68&lt;Projects!$C$19+Projects!$D$19),Projects!$B$19*INDEX(Curves!$B$4:$AR$4,1,68-Projects!$C$19+1),0)+IF(AND(Projects!$G$20="Yes",68&gt;=Projects!$C$20,68&lt;Projects!$C$20+Projects!$D$20),Projects!$B$20*INDEX(Curves!$B$4:$AR$4,1,68-Projects!$C$20+1),0)+IF(AND(Projects!$G$21="Yes",68&gt;=Projects!$C$21,68&lt;Projects!$C$21+Projects!$D$21),Projects!$B$21*INDEX(Curves!$B$4:$AR$4,1,68-Projects!$C$21+1),0)+IF(AND(Projects!$G$22="Yes",68&gt;=Projects!$C$22,68&lt;Projects!$C$22+Projects!$D$22),Projects!$B$22*INDEX(Curves!$B$4:$AR$4,1,68-Projects!$C$22+1),0)+IF(AND(Projects!$G$23="Yes",68&gt;=Projects!$C$23,68&lt;Projects!$C$23+Projects!$D$23),Projects!$B$23*INDEX(Curves!$B$4:$AR$4,1,68-Projects!$C$23+1),0)+IF(AND(Projects!$G$24="Yes",68&gt;=Projects!$C$24,68&lt;Projects!$C$24+Projects!$D$24),Projects!$B$24*INDEX(Curves!$B$4:$AR$4,1,68-Projects!$C$24+1),0)+IF(AND(Projects!$G$25="Yes",68&gt;=Projects!$C$25,68&lt;Projects!$C$25+Projects!$D$25),Projects!$B$25*INDEX(Curves!$B$4:$AR$4,1,68-Projects!$C$25+1),0)+IF(AND(Projects!$G$26="Yes",68&gt;=Projects!$C$26,68&lt;Projects!$C$26+Projects!$D$26),Projects!$B$26*INDEX(Curves!$B$4:$AR$4,1,68-Projects!$C$26+1),0)+IF(AND(Projects!$G$27="Yes",68&gt;=Projects!$C$27,68&lt;Projects!$C$27+Projects!$D$27),Projects!$B$27*INDEX(Curves!$B$4:$AR$4,1,68-Projects!$C$27+1),0)+IF(AND(Projects!$G$28="Yes",68&gt;=Projects!$C$28,68&lt;Projects!$C$28+Projects!$D$28),Projects!$B$28*INDEX(Curves!$B$4:$AR$4,1,68-Projects!$C$28+1),0)+IF(AND(Projects!$G$29="Yes",68&gt;=Projects!$C$29,68&lt;Projects!$C$29+Projects!$D$29),Projects!$B$29*INDEX(Curves!$B$4:$AR$4,1,68-Projects!$C$29+1),0)+IF(AND(Projects!$G$30="Yes",68&gt;=Projects!$C$30,68&lt;Projects!$C$30+Projects!$D$30),Projects!$B$30*INDEX(Curves!$B$4:$AR$4,1,68-Projects!$C$30+1),0)+IF(AND(Projects!$G$31="Yes",68&gt;=Projects!$C$31,68&lt;Projects!$C$31+Projects!$D$31),Projects!$B$31*INDEX(Curves!$B$4:$AR$4,1,68-Projects!$C$31+1),0)+IF(AND(Projects!$G$32="Yes",68&gt;=Projects!$C$32,68&lt;Projects!$C$32+Projects!$D$32),Projects!$B$32*INDEX(Curves!$B$4:$AR$4,1,68-Projects!$C$32+1),0)+IF(AND(Projects!$G$33="Yes",68&gt;=Projects!$C$33,68&lt;Projects!$C$33+Projects!$D$33),Projects!$B$33*INDEX(Curves!$B$4:$AR$4,1,68-Projects!$C$33+1),0)+IF(AND(Projects!$G$34="Yes",68&gt;=Projects!$C$34,68&lt;Projects!$C$34+Projects!$D$34),Projects!$B$34*INDEX(Curves!$B$4:$AR$4,1,68-Projects!$C$34+1),0)+IF(AND(Projects!$G$35="Yes",68&gt;=Projects!$C$35,68&lt;Projects!$C$35+Projects!$D$35),Projects!$B$35*INDEX(Curves!$B$4:$AR$4,1,68-Projects!$C$35+1),0)+IF(AND(Projects!$G$36="Yes",68&gt;=Projects!$C$36,68&lt;Projects!$C$36+Projects!$D$36),Projects!$B$36*INDEX(Curves!$B$4:$AR$4,1,68-Projects!$C$36+1),0)+IF(AND(Projects!$G$37="Yes",68&gt;=Projects!$C$37,68&lt;Projects!$C$37+Projects!$D$37),Projects!$B$37*INDEX(Curves!$B$4:$AR$4,1,68-Projects!$C$37+1),0)+IF(AND(Projects!$G$38="Yes",68&gt;=Projects!$C$38,68&lt;Projects!$C$38+Projects!$D$38),Projects!$B$38*INDEX(Curves!$B$4:$AR$4,1,68-Projects!$C$38+1),0)+IF(AND(Projects!$G$39="Yes",68&gt;=Projects!$C$39,68&lt;Projects!$C$39+Projects!$D$39),Projects!$B$39*INDEX(Curves!$B$4:$AR$4,1,68-Projects!$C$39+1),0)+IF(AND(Projects!$G$40="Yes",68&gt;=Projects!$C$40,68&lt;Projects!$C$40+Projects!$D$40),Projects!$B$40*INDEX(Curves!$B$4:$AR$4,1,68-Projects!$C$40+1),0)+IF(AND(Projects!$G$41="Yes",68&gt;=Projects!$C$41,68&lt;Projects!$C$41+Projects!$D$41),Projects!$B$41*INDEX(Curves!$B$4:$AR$4,1,68-Projects!$C$41+1),0)+IF(AND(Projects!$G$42="Yes",68&gt;=Projects!$C$42,68&lt;Projects!$C$42+Projects!$D$42),Projects!$B$42*INDEX(Curves!$B$4:$AR$4,1,68-Projects!$C$42+1),0)+IF(AND(Projects!$G$43="Yes",68&gt;=Projects!$C$43,68&lt;Projects!$C$43+Projects!$D$43),Projects!$B$43*INDEX(Curves!$B$4:$AR$4,1,68-Projects!$C$43+1),0)+IF(AND(Projects!$G$44="Yes",68&gt;=Projects!$C$44,68&lt;Projects!$C$44+Projects!$D$44),Projects!$B$44*INDEX(Curves!$B$4:$AR$4,1,68-Projects!$C$44+1),0)+IF(AND(Projects!$G$45="Yes",68&gt;=Projects!$C$45,68&lt;Projects!$C$45+Projects!$D$45),Projects!$B$45*INDEX(Curves!$B$4:$AR$4,1,68-Projects!$C$45+1),0)+IF(AND(Projects!$G$46="Yes",68&gt;=Projects!$C$46,68&lt;Projects!$C$46+Projects!$D$46),Projects!$B$46*INDEX(Curves!$B$4:$AR$4,1,68-Projects!$C$46+1),0)</f>
        <v/>
      </c>
      <c r="BV96" s="688">
        <f>IF(AND(Projects!$G$17="Yes",69&gt;=Projects!$C$17,69&lt;Projects!$C$17+Projects!$D$17),Projects!$B$17*INDEX(Curves!$B$4:$AR$4,1,69-Projects!$C$17+1),0)+IF(AND(Projects!$G$18="Yes",69&gt;=Projects!$C$18,69&lt;Projects!$C$18+Projects!$D$18),Projects!$B$18*INDEX(Curves!$B$4:$AR$4,1,69-Projects!$C$18+1),0)+IF(AND(Projects!$G$19="Yes",69&gt;=Projects!$C$19,69&lt;Projects!$C$19+Projects!$D$19),Projects!$B$19*INDEX(Curves!$B$4:$AR$4,1,69-Projects!$C$19+1),0)+IF(AND(Projects!$G$20="Yes",69&gt;=Projects!$C$20,69&lt;Projects!$C$20+Projects!$D$20),Projects!$B$20*INDEX(Curves!$B$4:$AR$4,1,69-Projects!$C$20+1),0)+IF(AND(Projects!$G$21="Yes",69&gt;=Projects!$C$21,69&lt;Projects!$C$21+Projects!$D$21),Projects!$B$21*INDEX(Curves!$B$4:$AR$4,1,69-Projects!$C$21+1),0)+IF(AND(Projects!$G$22="Yes",69&gt;=Projects!$C$22,69&lt;Projects!$C$22+Projects!$D$22),Projects!$B$22*INDEX(Curves!$B$4:$AR$4,1,69-Projects!$C$22+1),0)+IF(AND(Projects!$G$23="Yes",69&gt;=Projects!$C$23,69&lt;Projects!$C$23+Projects!$D$23),Projects!$B$23*INDEX(Curves!$B$4:$AR$4,1,69-Projects!$C$23+1),0)+IF(AND(Projects!$G$24="Yes",69&gt;=Projects!$C$24,69&lt;Projects!$C$24+Projects!$D$24),Projects!$B$24*INDEX(Curves!$B$4:$AR$4,1,69-Projects!$C$24+1),0)+IF(AND(Projects!$G$25="Yes",69&gt;=Projects!$C$25,69&lt;Projects!$C$25+Projects!$D$25),Projects!$B$25*INDEX(Curves!$B$4:$AR$4,1,69-Projects!$C$25+1),0)+IF(AND(Projects!$G$26="Yes",69&gt;=Projects!$C$26,69&lt;Projects!$C$26+Projects!$D$26),Projects!$B$26*INDEX(Curves!$B$4:$AR$4,1,69-Projects!$C$26+1),0)+IF(AND(Projects!$G$27="Yes",69&gt;=Projects!$C$27,69&lt;Projects!$C$27+Projects!$D$27),Projects!$B$27*INDEX(Curves!$B$4:$AR$4,1,69-Projects!$C$27+1),0)+IF(AND(Projects!$G$28="Yes",69&gt;=Projects!$C$28,69&lt;Projects!$C$28+Projects!$D$28),Projects!$B$28*INDEX(Curves!$B$4:$AR$4,1,69-Projects!$C$28+1),0)+IF(AND(Projects!$G$29="Yes",69&gt;=Projects!$C$29,69&lt;Projects!$C$29+Projects!$D$29),Projects!$B$29*INDEX(Curves!$B$4:$AR$4,1,69-Projects!$C$29+1),0)+IF(AND(Projects!$G$30="Yes",69&gt;=Projects!$C$30,69&lt;Projects!$C$30+Projects!$D$30),Projects!$B$30*INDEX(Curves!$B$4:$AR$4,1,69-Projects!$C$30+1),0)+IF(AND(Projects!$G$31="Yes",69&gt;=Projects!$C$31,69&lt;Projects!$C$31+Projects!$D$31),Projects!$B$31*INDEX(Curves!$B$4:$AR$4,1,69-Projects!$C$31+1),0)+IF(AND(Projects!$G$32="Yes",69&gt;=Projects!$C$32,69&lt;Projects!$C$32+Projects!$D$32),Projects!$B$32*INDEX(Curves!$B$4:$AR$4,1,69-Projects!$C$32+1),0)+IF(AND(Projects!$G$33="Yes",69&gt;=Projects!$C$33,69&lt;Projects!$C$33+Projects!$D$33),Projects!$B$33*INDEX(Curves!$B$4:$AR$4,1,69-Projects!$C$33+1),0)+IF(AND(Projects!$G$34="Yes",69&gt;=Projects!$C$34,69&lt;Projects!$C$34+Projects!$D$34),Projects!$B$34*INDEX(Curves!$B$4:$AR$4,1,69-Projects!$C$34+1),0)+IF(AND(Projects!$G$35="Yes",69&gt;=Projects!$C$35,69&lt;Projects!$C$35+Projects!$D$35),Projects!$B$35*INDEX(Curves!$B$4:$AR$4,1,69-Projects!$C$35+1),0)+IF(AND(Projects!$G$36="Yes",69&gt;=Projects!$C$36,69&lt;Projects!$C$36+Projects!$D$36),Projects!$B$36*INDEX(Curves!$B$4:$AR$4,1,69-Projects!$C$36+1),0)+IF(AND(Projects!$G$37="Yes",69&gt;=Projects!$C$37,69&lt;Projects!$C$37+Projects!$D$37),Projects!$B$37*INDEX(Curves!$B$4:$AR$4,1,69-Projects!$C$37+1),0)+IF(AND(Projects!$G$38="Yes",69&gt;=Projects!$C$38,69&lt;Projects!$C$38+Projects!$D$38),Projects!$B$38*INDEX(Curves!$B$4:$AR$4,1,69-Projects!$C$38+1),0)+IF(AND(Projects!$G$39="Yes",69&gt;=Projects!$C$39,69&lt;Projects!$C$39+Projects!$D$39),Projects!$B$39*INDEX(Curves!$B$4:$AR$4,1,69-Projects!$C$39+1),0)+IF(AND(Projects!$G$40="Yes",69&gt;=Projects!$C$40,69&lt;Projects!$C$40+Projects!$D$40),Projects!$B$40*INDEX(Curves!$B$4:$AR$4,1,69-Projects!$C$40+1),0)+IF(AND(Projects!$G$41="Yes",69&gt;=Projects!$C$41,69&lt;Projects!$C$41+Projects!$D$41),Projects!$B$41*INDEX(Curves!$B$4:$AR$4,1,69-Projects!$C$41+1),0)+IF(AND(Projects!$G$42="Yes",69&gt;=Projects!$C$42,69&lt;Projects!$C$42+Projects!$D$42),Projects!$B$42*INDEX(Curves!$B$4:$AR$4,1,69-Projects!$C$42+1),0)+IF(AND(Projects!$G$43="Yes",69&gt;=Projects!$C$43,69&lt;Projects!$C$43+Projects!$D$43),Projects!$B$43*INDEX(Curves!$B$4:$AR$4,1,69-Projects!$C$43+1),0)+IF(AND(Projects!$G$44="Yes",69&gt;=Projects!$C$44,69&lt;Projects!$C$44+Projects!$D$44),Projects!$B$44*INDEX(Curves!$B$4:$AR$4,1,69-Projects!$C$44+1),0)+IF(AND(Projects!$G$45="Yes",69&gt;=Projects!$C$45,69&lt;Projects!$C$45+Projects!$D$45),Projects!$B$45*INDEX(Curves!$B$4:$AR$4,1,69-Projects!$C$45+1),0)+IF(AND(Projects!$G$46="Yes",69&gt;=Projects!$C$46,69&lt;Projects!$C$46+Projects!$D$46),Projects!$B$46*INDEX(Curves!$B$4:$AR$4,1,69-Projects!$C$46+1),0)</f>
        <v/>
      </c>
      <c r="BW96" s="688">
        <f>IF(AND(Projects!$G$17="Yes",70&gt;=Projects!$C$17,70&lt;Projects!$C$17+Projects!$D$17),Projects!$B$17*INDEX(Curves!$B$4:$AR$4,1,70-Projects!$C$17+1),0)+IF(AND(Projects!$G$18="Yes",70&gt;=Projects!$C$18,70&lt;Projects!$C$18+Projects!$D$18),Projects!$B$18*INDEX(Curves!$B$4:$AR$4,1,70-Projects!$C$18+1),0)+IF(AND(Projects!$G$19="Yes",70&gt;=Projects!$C$19,70&lt;Projects!$C$19+Projects!$D$19),Projects!$B$19*INDEX(Curves!$B$4:$AR$4,1,70-Projects!$C$19+1),0)+IF(AND(Projects!$G$20="Yes",70&gt;=Projects!$C$20,70&lt;Projects!$C$20+Projects!$D$20),Projects!$B$20*INDEX(Curves!$B$4:$AR$4,1,70-Projects!$C$20+1),0)+IF(AND(Projects!$G$21="Yes",70&gt;=Projects!$C$21,70&lt;Projects!$C$21+Projects!$D$21),Projects!$B$21*INDEX(Curves!$B$4:$AR$4,1,70-Projects!$C$21+1),0)+IF(AND(Projects!$G$22="Yes",70&gt;=Projects!$C$22,70&lt;Projects!$C$22+Projects!$D$22),Projects!$B$22*INDEX(Curves!$B$4:$AR$4,1,70-Projects!$C$22+1),0)+IF(AND(Projects!$G$23="Yes",70&gt;=Projects!$C$23,70&lt;Projects!$C$23+Projects!$D$23),Projects!$B$23*INDEX(Curves!$B$4:$AR$4,1,70-Projects!$C$23+1),0)+IF(AND(Projects!$G$24="Yes",70&gt;=Projects!$C$24,70&lt;Projects!$C$24+Projects!$D$24),Projects!$B$24*INDEX(Curves!$B$4:$AR$4,1,70-Projects!$C$24+1),0)+IF(AND(Projects!$G$25="Yes",70&gt;=Projects!$C$25,70&lt;Projects!$C$25+Projects!$D$25),Projects!$B$25*INDEX(Curves!$B$4:$AR$4,1,70-Projects!$C$25+1),0)+IF(AND(Projects!$G$26="Yes",70&gt;=Projects!$C$26,70&lt;Projects!$C$26+Projects!$D$26),Projects!$B$26*INDEX(Curves!$B$4:$AR$4,1,70-Projects!$C$26+1),0)+IF(AND(Projects!$G$27="Yes",70&gt;=Projects!$C$27,70&lt;Projects!$C$27+Projects!$D$27),Projects!$B$27*INDEX(Curves!$B$4:$AR$4,1,70-Projects!$C$27+1),0)+IF(AND(Projects!$G$28="Yes",70&gt;=Projects!$C$28,70&lt;Projects!$C$28+Projects!$D$28),Projects!$B$28*INDEX(Curves!$B$4:$AR$4,1,70-Projects!$C$28+1),0)+IF(AND(Projects!$G$29="Yes",70&gt;=Projects!$C$29,70&lt;Projects!$C$29+Projects!$D$29),Projects!$B$29*INDEX(Curves!$B$4:$AR$4,1,70-Projects!$C$29+1),0)+IF(AND(Projects!$G$30="Yes",70&gt;=Projects!$C$30,70&lt;Projects!$C$30+Projects!$D$30),Projects!$B$30*INDEX(Curves!$B$4:$AR$4,1,70-Projects!$C$30+1),0)+IF(AND(Projects!$G$31="Yes",70&gt;=Projects!$C$31,70&lt;Projects!$C$31+Projects!$D$31),Projects!$B$31*INDEX(Curves!$B$4:$AR$4,1,70-Projects!$C$31+1),0)+IF(AND(Projects!$G$32="Yes",70&gt;=Projects!$C$32,70&lt;Projects!$C$32+Projects!$D$32),Projects!$B$32*INDEX(Curves!$B$4:$AR$4,1,70-Projects!$C$32+1),0)+IF(AND(Projects!$G$33="Yes",70&gt;=Projects!$C$33,70&lt;Projects!$C$33+Projects!$D$33),Projects!$B$33*INDEX(Curves!$B$4:$AR$4,1,70-Projects!$C$33+1),0)+IF(AND(Projects!$G$34="Yes",70&gt;=Projects!$C$34,70&lt;Projects!$C$34+Projects!$D$34),Projects!$B$34*INDEX(Curves!$B$4:$AR$4,1,70-Projects!$C$34+1),0)+IF(AND(Projects!$G$35="Yes",70&gt;=Projects!$C$35,70&lt;Projects!$C$35+Projects!$D$35),Projects!$B$35*INDEX(Curves!$B$4:$AR$4,1,70-Projects!$C$35+1),0)+IF(AND(Projects!$G$36="Yes",70&gt;=Projects!$C$36,70&lt;Projects!$C$36+Projects!$D$36),Projects!$B$36*INDEX(Curves!$B$4:$AR$4,1,70-Projects!$C$36+1),0)+IF(AND(Projects!$G$37="Yes",70&gt;=Projects!$C$37,70&lt;Projects!$C$37+Projects!$D$37),Projects!$B$37*INDEX(Curves!$B$4:$AR$4,1,70-Projects!$C$37+1),0)+IF(AND(Projects!$G$38="Yes",70&gt;=Projects!$C$38,70&lt;Projects!$C$38+Projects!$D$38),Projects!$B$38*INDEX(Curves!$B$4:$AR$4,1,70-Projects!$C$38+1),0)+IF(AND(Projects!$G$39="Yes",70&gt;=Projects!$C$39,70&lt;Projects!$C$39+Projects!$D$39),Projects!$B$39*INDEX(Curves!$B$4:$AR$4,1,70-Projects!$C$39+1),0)+IF(AND(Projects!$G$40="Yes",70&gt;=Projects!$C$40,70&lt;Projects!$C$40+Projects!$D$40),Projects!$B$40*INDEX(Curves!$B$4:$AR$4,1,70-Projects!$C$40+1),0)+IF(AND(Projects!$G$41="Yes",70&gt;=Projects!$C$41,70&lt;Projects!$C$41+Projects!$D$41),Projects!$B$41*INDEX(Curves!$B$4:$AR$4,1,70-Projects!$C$41+1),0)+IF(AND(Projects!$G$42="Yes",70&gt;=Projects!$C$42,70&lt;Projects!$C$42+Projects!$D$42),Projects!$B$42*INDEX(Curves!$B$4:$AR$4,1,70-Projects!$C$42+1),0)+IF(AND(Projects!$G$43="Yes",70&gt;=Projects!$C$43,70&lt;Projects!$C$43+Projects!$D$43),Projects!$B$43*INDEX(Curves!$B$4:$AR$4,1,70-Projects!$C$43+1),0)+IF(AND(Projects!$G$44="Yes",70&gt;=Projects!$C$44,70&lt;Projects!$C$44+Projects!$D$44),Projects!$B$44*INDEX(Curves!$B$4:$AR$4,1,70-Projects!$C$44+1),0)+IF(AND(Projects!$G$45="Yes",70&gt;=Projects!$C$45,70&lt;Projects!$C$45+Projects!$D$45),Projects!$B$45*INDEX(Curves!$B$4:$AR$4,1,70-Projects!$C$45+1),0)+IF(AND(Projects!$G$46="Yes",70&gt;=Projects!$C$46,70&lt;Projects!$C$46+Projects!$D$46),Projects!$B$46*INDEX(Curves!$B$4:$AR$4,1,70-Projects!$C$46+1),0)</f>
        <v/>
      </c>
      <c r="BX96" s="688">
        <f>IF(AND(Projects!$G$17="Yes",71&gt;=Projects!$C$17,71&lt;Projects!$C$17+Projects!$D$17),Projects!$B$17*INDEX(Curves!$B$4:$AR$4,1,71-Projects!$C$17+1),0)+IF(AND(Projects!$G$18="Yes",71&gt;=Projects!$C$18,71&lt;Projects!$C$18+Projects!$D$18),Projects!$B$18*INDEX(Curves!$B$4:$AR$4,1,71-Projects!$C$18+1),0)+IF(AND(Projects!$G$19="Yes",71&gt;=Projects!$C$19,71&lt;Projects!$C$19+Projects!$D$19),Projects!$B$19*INDEX(Curves!$B$4:$AR$4,1,71-Projects!$C$19+1),0)+IF(AND(Projects!$G$20="Yes",71&gt;=Projects!$C$20,71&lt;Projects!$C$20+Projects!$D$20),Projects!$B$20*INDEX(Curves!$B$4:$AR$4,1,71-Projects!$C$20+1),0)+IF(AND(Projects!$G$21="Yes",71&gt;=Projects!$C$21,71&lt;Projects!$C$21+Projects!$D$21),Projects!$B$21*INDEX(Curves!$B$4:$AR$4,1,71-Projects!$C$21+1),0)+IF(AND(Projects!$G$22="Yes",71&gt;=Projects!$C$22,71&lt;Projects!$C$22+Projects!$D$22),Projects!$B$22*INDEX(Curves!$B$4:$AR$4,1,71-Projects!$C$22+1),0)+IF(AND(Projects!$G$23="Yes",71&gt;=Projects!$C$23,71&lt;Projects!$C$23+Projects!$D$23),Projects!$B$23*INDEX(Curves!$B$4:$AR$4,1,71-Projects!$C$23+1),0)+IF(AND(Projects!$G$24="Yes",71&gt;=Projects!$C$24,71&lt;Projects!$C$24+Projects!$D$24),Projects!$B$24*INDEX(Curves!$B$4:$AR$4,1,71-Projects!$C$24+1),0)+IF(AND(Projects!$G$25="Yes",71&gt;=Projects!$C$25,71&lt;Projects!$C$25+Projects!$D$25),Projects!$B$25*INDEX(Curves!$B$4:$AR$4,1,71-Projects!$C$25+1),0)+IF(AND(Projects!$G$26="Yes",71&gt;=Projects!$C$26,71&lt;Projects!$C$26+Projects!$D$26),Projects!$B$26*INDEX(Curves!$B$4:$AR$4,1,71-Projects!$C$26+1),0)+IF(AND(Projects!$G$27="Yes",71&gt;=Projects!$C$27,71&lt;Projects!$C$27+Projects!$D$27),Projects!$B$27*INDEX(Curves!$B$4:$AR$4,1,71-Projects!$C$27+1),0)+IF(AND(Projects!$G$28="Yes",71&gt;=Projects!$C$28,71&lt;Projects!$C$28+Projects!$D$28),Projects!$B$28*INDEX(Curves!$B$4:$AR$4,1,71-Projects!$C$28+1),0)+IF(AND(Projects!$G$29="Yes",71&gt;=Projects!$C$29,71&lt;Projects!$C$29+Projects!$D$29),Projects!$B$29*INDEX(Curves!$B$4:$AR$4,1,71-Projects!$C$29+1),0)+IF(AND(Projects!$G$30="Yes",71&gt;=Projects!$C$30,71&lt;Projects!$C$30+Projects!$D$30),Projects!$B$30*INDEX(Curves!$B$4:$AR$4,1,71-Projects!$C$30+1),0)+IF(AND(Projects!$G$31="Yes",71&gt;=Projects!$C$31,71&lt;Projects!$C$31+Projects!$D$31),Projects!$B$31*INDEX(Curves!$B$4:$AR$4,1,71-Projects!$C$31+1),0)+IF(AND(Projects!$G$32="Yes",71&gt;=Projects!$C$32,71&lt;Projects!$C$32+Projects!$D$32),Projects!$B$32*INDEX(Curves!$B$4:$AR$4,1,71-Projects!$C$32+1),0)+IF(AND(Projects!$G$33="Yes",71&gt;=Projects!$C$33,71&lt;Projects!$C$33+Projects!$D$33),Projects!$B$33*INDEX(Curves!$B$4:$AR$4,1,71-Projects!$C$33+1),0)+IF(AND(Projects!$G$34="Yes",71&gt;=Projects!$C$34,71&lt;Projects!$C$34+Projects!$D$34),Projects!$B$34*INDEX(Curves!$B$4:$AR$4,1,71-Projects!$C$34+1),0)+IF(AND(Projects!$G$35="Yes",71&gt;=Projects!$C$35,71&lt;Projects!$C$35+Projects!$D$35),Projects!$B$35*INDEX(Curves!$B$4:$AR$4,1,71-Projects!$C$35+1),0)+IF(AND(Projects!$G$36="Yes",71&gt;=Projects!$C$36,71&lt;Projects!$C$36+Projects!$D$36),Projects!$B$36*INDEX(Curves!$B$4:$AR$4,1,71-Projects!$C$36+1),0)+IF(AND(Projects!$G$37="Yes",71&gt;=Projects!$C$37,71&lt;Projects!$C$37+Projects!$D$37),Projects!$B$37*INDEX(Curves!$B$4:$AR$4,1,71-Projects!$C$37+1),0)+IF(AND(Projects!$G$38="Yes",71&gt;=Projects!$C$38,71&lt;Projects!$C$38+Projects!$D$38),Projects!$B$38*INDEX(Curves!$B$4:$AR$4,1,71-Projects!$C$38+1),0)+IF(AND(Projects!$G$39="Yes",71&gt;=Projects!$C$39,71&lt;Projects!$C$39+Projects!$D$39),Projects!$B$39*INDEX(Curves!$B$4:$AR$4,1,71-Projects!$C$39+1),0)+IF(AND(Projects!$G$40="Yes",71&gt;=Projects!$C$40,71&lt;Projects!$C$40+Projects!$D$40),Projects!$B$40*INDEX(Curves!$B$4:$AR$4,1,71-Projects!$C$40+1),0)+IF(AND(Projects!$G$41="Yes",71&gt;=Projects!$C$41,71&lt;Projects!$C$41+Projects!$D$41),Projects!$B$41*INDEX(Curves!$B$4:$AR$4,1,71-Projects!$C$41+1),0)+IF(AND(Projects!$G$42="Yes",71&gt;=Projects!$C$42,71&lt;Projects!$C$42+Projects!$D$42),Projects!$B$42*INDEX(Curves!$B$4:$AR$4,1,71-Projects!$C$42+1),0)+IF(AND(Projects!$G$43="Yes",71&gt;=Projects!$C$43,71&lt;Projects!$C$43+Projects!$D$43),Projects!$B$43*INDEX(Curves!$B$4:$AR$4,1,71-Projects!$C$43+1),0)+IF(AND(Projects!$G$44="Yes",71&gt;=Projects!$C$44,71&lt;Projects!$C$44+Projects!$D$44),Projects!$B$44*INDEX(Curves!$B$4:$AR$4,1,71-Projects!$C$44+1),0)+IF(AND(Projects!$G$45="Yes",71&gt;=Projects!$C$45,71&lt;Projects!$C$45+Projects!$D$45),Projects!$B$45*INDEX(Curves!$B$4:$AR$4,1,71-Projects!$C$45+1),0)+IF(AND(Projects!$G$46="Yes",71&gt;=Projects!$C$46,71&lt;Projects!$C$46+Projects!$D$46),Projects!$B$46*INDEX(Curves!$B$4:$AR$4,1,71-Projects!$C$46+1),0)</f>
        <v/>
      </c>
      <c r="BY96" s="688">
        <f>IF(AND(Projects!$G$17="Yes",72&gt;=Projects!$C$17,72&lt;Projects!$C$17+Projects!$D$17),Projects!$B$17*INDEX(Curves!$B$4:$AR$4,1,72-Projects!$C$17+1),0)+IF(AND(Projects!$G$18="Yes",72&gt;=Projects!$C$18,72&lt;Projects!$C$18+Projects!$D$18),Projects!$B$18*INDEX(Curves!$B$4:$AR$4,1,72-Projects!$C$18+1),0)+IF(AND(Projects!$G$19="Yes",72&gt;=Projects!$C$19,72&lt;Projects!$C$19+Projects!$D$19),Projects!$B$19*INDEX(Curves!$B$4:$AR$4,1,72-Projects!$C$19+1),0)+IF(AND(Projects!$G$20="Yes",72&gt;=Projects!$C$20,72&lt;Projects!$C$20+Projects!$D$20),Projects!$B$20*INDEX(Curves!$B$4:$AR$4,1,72-Projects!$C$20+1),0)+IF(AND(Projects!$G$21="Yes",72&gt;=Projects!$C$21,72&lt;Projects!$C$21+Projects!$D$21),Projects!$B$21*INDEX(Curves!$B$4:$AR$4,1,72-Projects!$C$21+1),0)+IF(AND(Projects!$G$22="Yes",72&gt;=Projects!$C$22,72&lt;Projects!$C$22+Projects!$D$22),Projects!$B$22*INDEX(Curves!$B$4:$AR$4,1,72-Projects!$C$22+1),0)+IF(AND(Projects!$G$23="Yes",72&gt;=Projects!$C$23,72&lt;Projects!$C$23+Projects!$D$23),Projects!$B$23*INDEX(Curves!$B$4:$AR$4,1,72-Projects!$C$23+1),0)+IF(AND(Projects!$G$24="Yes",72&gt;=Projects!$C$24,72&lt;Projects!$C$24+Projects!$D$24),Projects!$B$24*INDEX(Curves!$B$4:$AR$4,1,72-Projects!$C$24+1),0)+IF(AND(Projects!$G$25="Yes",72&gt;=Projects!$C$25,72&lt;Projects!$C$25+Projects!$D$25),Projects!$B$25*INDEX(Curves!$B$4:$AR$4,1,72-Projects!$C$25+1),0)+IF(AND(Projects!$G$26="Yes",72&gt;=Projects!$C$26,72&lt;Projects!$C$26+Projects!$D$26),Projects!$B$26*INDEX(Curves!$B$4:$AR$4,1,72-Projects!$C$26+1),0)+IF(AND(Projects!$G$27="Yes",72&gt;=Projects!$C$27,72&lt;Projects!$C$27+Projects!$D$27),Projects!$B$27*INDEX(Curves!$B$4:$AR$4,1,72-Projects!$C$27+1),0)+IF(AND(Projects!$G$28="Yes",72&gt;=Projects!$C$28,72&lt;Projects!$C$28+Projects!$D$28),Projects!$B$28*INDEX(Curves!$B$4:$AR$4,1,72-Projects!$C$28+1),0)+IF(AND(Projects!$G$29="Yes",72&gt;=Projects!$C$29,72&lt;Projects!$C$29+Projects!$D$29),Projects!$B$29*INDEX(Curves!$B$4:$AR$4,1,72-Projects!$C$29+1),0)+IF(AND(Projects!$G$30="Yes",72&gt;=Projects!$C$30,72&lt;Projects!$C$30+Projects!$D$30),Projects!$B$30*INDEX(Curves!$B$4:$AR$4,1,72-Projects!$C$30+1),0)+IF(AND(Projects!$G$31="Yes",72&gt;=Projects!$C$31,72&lt;Projects!$C$31+Projects!$D$31),Projects!$B$31*INDEX(Curves!$B$4:$AR$4,1,72-Projects!$C$31+1),0)+IF(AND(Projects!$G$32="Yes",72&gt;=Projects!$C$32,72&lt;Projects!$C$32+Projects!$D$32),Projects!$B$32*INDEX(Curves!$B$4:$AR$4,1,72-Projects!$C$32+1),0)+IF(AND(Projects!$G$33="Yes",72&gt;=Projects!$C$33,72&lt;Projects!$C$33+Projects!$D$33),Projects!$B$33*INDEX(Curves!$B$4:$AR$4,1,72-Projects!$C$33+1),0)+IF(AND(Projects!$G$34="Yes",72&gt;=Projects!$C$34,72&lt;Projects!$C$34+Projects!$D$34),Projects!$B$34*INDEX(Curves!$B$4:$AR$4,1,72-Projects!$C$34+1),0)+IF(AND(Projects!$G$35="Yes",72&gt;=Projects!$C$35,72&lt;Projects!$C$35+Projects!$D$35),Projects!$B$35*INDEX(Curves!$B$4:$AR$4,1,72-Projects!$C$35+1),0)+IF(AND(Projects!$G$36="Yes",72&gt;=Projects!$C$36,72&lt;Projects!$C$36+Projects!$D$36),Projects!$B$36*INDEX(Curves!$B$4:$AR$4,1,72-Projects!$C$36+1),0)+IF(AND(Projects!$G$37="Yes",72&gt;=Projects!$C$37,72&lt;Projects!$C$37+Projects!$D$37),Projects!$B$37*INDEX(Curves!$B$4:$AR$4,1,72-Projects!$C$37+1),0)+IF(AND(Projects!$G$38="Yes",72&gt;=Projects!$C$38,72&lt;Projects!$C$38+Projects!$D$38),Projects!$B$38*INDEX(Curves!$B$4:$AR$4,1,72-Projects!$C$38+1),0)+IF(AND(Projects!$G$39="Yes",72&gt;=Projects!$C$39,72&lt;Projects!$C$39+Projects!$D$39),Projects!$B$39*INDEX(Curves!$B$4:$AR$4,1,72-Projects!$C$39+1),0)+IF(AND(Projects!$G$40="Yes",72&gt;=Projects!$C$40,72&lt;Projects!$C$40+Projects!$D$40),Projects!$B$40*INDEX(Curves!$B$4:$AR$4,1,72-Projects!$C$40+1),0)+IF(AND(Projects!$G$41="Yes",72&gt;=Projects!$C$41,72&lt;Projects!$C$41+Projects!$D$41),Projects!$B$41*INDEX(Curves!$B$4:$AR$4,1,72-Projects!$C$41+1),0)+IF(AND(Projects!$G$42="Yes",72&gt;=Projects!$C$42,72&lt;Projects!$C$42+Projects!$D$42),Projects!$B$42*INDEX(Curves!$B$4:$AR$4,1,72-Projects!$C$42+1),0)+IF(AND(Projects!$G$43="Yes",72&gt;=Projects!$C$43,72&lt;Projects!$C$43+Projects!$D$43),Projects!$B$43*INDEX(Curves!$B$4:$AR$4,1,72-Projects!$C$43+1),0)+IF(AND(Projects!$G$44="Yes",72&gt;=Projects!$C$44,72&lt;Projects!$C$44+Projects!$D$44),Projects!$B$44*INDEX(Curves!$B$4:$AR$4,1,72-Projects!$C$44+1),0)+IF(AND(Projects!$G$45="Yes",72&gt;=Projects!$C$45,72&lt;Projects!$C$45+Projects!$D$45),Projects!$B$45*INDEX(Curves!$B$4:$AR$4,1,72-Projects!$C$45+1),0)+IF(AND(Projects!$G$46="Yes",72&gt;=Projects!$C$46,72&lt;Projects!$C$46+Projects!$D$46),Projects!$B$46*INDEX(Curves!$B$4:$AR$4,1,72-Projects!$C$46+1),0)</f>
        <v/>
      </c>
      <c r="BZ96" s="688">
        <f>IF(AND(Projects!$G$17="Yes",73&gt;=Projects!$C$17,73&lt;Projects!$C$17+Projects!$D$17),Projects!$B$17*INDEX(Curves!$B$4:$AR$4,1,73-Projects!$C$17+1),0)+IF(AND(Projects!$G$18="Yes",73&gt;=Projects!$C$18,73&lt;Projects!$C$18+Projects!$D$18),Projects!$B$18*INDEX(Curves!$B$4:$AR$4,1,73-Projects!$C$18+1),0)+IF(AND(Projects!$G$19="Yes",73&gt;=Projects!$C$19,73&lt;Projects!$C$19+Projects!$D$19),Projects!$B$19*INDEX(Curves!$B$4:$AR$4,1,73-Projects!$C$19+1),0)+IF(AND(Projects!$G$20="Yes",73&gt;=Projects!$C$20,73&lt;Projects!$C$20+Projects!$D$20),Projects!$B$20*INDEX(Curves!$B$4:$AR$4,1,73-Projects!$C$20+1),0)+IF(AND(Projects!$G$21="Yes",73&gt;=Projects!$C$21,73&lt;Projects!$C$21+Projects!$D$21),Projects!$B$21*INDEX(Curves!$B$4:$AR$4,1,73-Projects!$C$21+1),0)+IF(AND(Projects!$G$22="Yes",73&gt;=Projects!$C$22,73&lt;Projects!$C$22+Projects!$D$22),Projects!$B$22*INDEX(Curves!$B$4:$AR$4,1,73-Projects!$C$22+1),0)+IF(AND(Projects!$G$23="Yes",73&gt;=Projects!$C$23,73&lt;Projects!$C$23+Projects!$D$23),Projects!$B$23*INDEX(Curves!$B$4:$AR$4,1,73-Projects!$C$23+1),0)+IF(AND(Projects!$G$24="Yes",73&gt;=Projects!$C$24,73&lt;Projects!$C$24+Projects!$D$24),Projects!$B$24*INDEX(Curves!$B$4:$AR$4,1,73-Projects!$C$24+1),0)+IF(AND(Projects!$G$25="Yes",73&gt;=Projects!$C$25,73&lt;Projects!$C$25+Projects!$D$25),Projects!$B$25*INDEX(Curves!$B$4:$AR$4,1,73-Projects!$C$25+1),0)+IF(AND(Projects!$G$26="Yes",73&gt;=Projects!$C$26,73&lt;Projects!$C$26+Projects!$D$26),Projects!$B$26*INDEX(Curves!$B$4:$AR$4,1,73-Projects!$C$26+1),0)+IF(AND(Projects!$G$27="Yes",73&gt;=Projects!$C$27,73&lt;Projects!$C$27+Projects!$D$27),Projects!$B$27*INDEX(Curves!$B$4:$AR$4,1,73-Projects!$C$27+1),0)+IF(AND(Projects!$G$28="Yes",73&gt;=Projects!$C$28,73&lt;Projects!$C$28+Projects!$D$28),Projects!$B$28*INDEX(Curves!$B$4:$AR$4,1,73-Projects!$C$28+1),0)+IF(AND(Projects!$G$29="Yes",73&gt;=Projects!$C$29,73&lt;Projects!$C$29+Projects!$D$29),Projects!$B$29*INDEX(Curves!$B$4:$AR$4,1,73-Projects!$C$29+1),0)+IF(AND(Projects!$G$30="Yes",73&gt;=Projects!$C$30,73&lt;Projects!$C$30+Projects!$D$30),Projects!$B$30*INDEX(Curves!$B$4:$AR$4,1,73-Projects!$C$30+1),0)+IF(AND(Projects!$G$31="Yes",73&gt;=Projects!$C$31,73&lt;Projects!$C$31+Projects!$D$31),Projects!$B$31*INDEX(Curves!$B$4:$AR$4,1,73-Projects!$C$31+1),0)+IF(AND(Projects!$G$32="Yes",73&gt;=Projects!$C$32,73&lt;Projects!$C$32+Projects!$D$32),Projects!$B$32*INDEX(Curves!$B$4:$AR$4,1,73-Projects!$C$32+1),0)+IF(AND(Projects!$G$33="Yes",73&gt;=Projects!$C$33,73&lt;Projects!$C$33+Projects!$D$33),Projects!$B$33*INDEX(Curves!$B$4:$AR$4,1,73-Projects!$C$33+1),0)+IF(AND(Projects!$G$34="Yes",73&gt;=Projects!$C$34,73&lt;Projects!$C$34+Projects!$D$34),Projects!$B$34*INDEX(Curves!$B$4:$AR$4,1,73-Projects!$C$34+1),0)+IF(AND(Projects!$G$35="Yes",73&gt;=Projects!$C$35,73&lt;Projects!$C$35+Projects!$D$35),Projects!$B$35*INDEX(Curves!$B$4:$AR$4,1,73-Projects!$C$35+1),0)+IF(AND(Projects!$G$36="Yes",73&gt;=Projects!$C$36,73&lt;Projects!$C$36+Projects!$D$36),Projects!$B$36*INDEX(Curves!$B$4:$AR$4,1,73-Projects!$C$36+1),0)+IF(AND(Projects!$G$37="Yes",73&gt;=Projects!$C$37,73&lt;Projects!$C$37+Projects!$D$37),Projects!$B$37*INDEX(Curves!$B$4:$AR$4,1,73-Projects!$C$37+1),0)+IF(AND(Projects!$G$38="Yes",73&gt;=Projects!$C$38,73&lt;Projects!$C$38+Projects!$D$38),Projects!$B$38*INDEX(Curves!$B$4:$AR$4,1,73-Projects!$C$38+1),0)+IF(AND(Projects!$G$39="Yes",73&gt;=Projects!$C$39,73&lt;Projects!$C$39+Projects!$D$39),Projects!$B$39*INDEX(Curves!$B$4:$AR$4,1,73-Projects!$C$39+1),0)+IF(AND(Projects!$G$40="Yes",73&gt;=Projects!$C$40,73&lt;Projects!$C$40+Projects!$D$40),Projects!$B$40*INDEX(Curves!$B$4:$AR$4,1,73-Projects!$C$40+1),0)+IF(AND(Projects!$G$41="Yes",73&gt;=Projects!$C$41,73&lt;Projects!$C$41+Projects!$D$41),Projects!$B$41*INDEX(Curves!$B$4:$AR$4,1,73-Projects!$C$41+1),0)+IF(AND(Projects!$G$42="Yes",73&gt;=Projects!$C$42,73&lt;Projects!$C$42+Projects!$D$42),Projects!$B$42*INDEX(Curves!$B$4:$AR$4,1,73-Projects!$C$42+1),0)+IF(AND(Projects!$G$43="Yes",73&gt;=Projects!$C$43,73&lt;Projects!$C$43+Projects!$D$43),Projects!$B$43*INDEX(Curves!$B$4:$AR$4,1,73-Projects!$C$43+1),0)+IF(AND(Projects!$G$44="Yes",73&gt;=Projects!$C$44,73&lt;Projects!$C$44+Projects!$D$44),Projects!$B$44*INDEX(Curves!$B$4:$AR$4,1,73-Projects!$C$44+1),0)+IF(AND(Projects!$G$45="Yes",73&gt;=Projects!$C$45,73&lt;Projects!$C$45+Projects!$D$45),Projects!$B$45*INDEX(Curves!$B$4:$AR$4,1,73-Projects!$C$45+1),0)+IF(AND(Projects!$G$46="Yes",73&gt;=Projects!$C$46,73&lt;Projects!$C$46+Projects!$D$46),Projects!$B$46*INDEX(Curves!$B$4:$AR$4,1,73-Projects!$C$46+1),0)</f>
        <v/>
      </c>
      <c r="CA96" s="688">
        <f>IF(AND(Projects!$G$17="Yes",74&gt;=Projects!$C$17,74&lt;Projects!$C$17+Projects!$D$17),Projects!$B$17*INDEX(Curves!$B$4:$AR$4,1,74-Projects!$C$17+1),0)+IF(AND(Projects!$G$18="Yes",74&gt;=Projects!$C$18,74&lt;Projects!$C$18+Projects!$D$18),Projects!$B$18*INDEX(Curves!$B$4:$AR$4,1,74-Projects!$C$18+1),0)+IF(AND(Projects!$G$19="Yes",74&gt;=Projects!$C$19,74&lt;Projects!$C$19+Projects!$D$19),Projects!$B$19*INDEX(Curves!$B$4:$AR$4,1,74-Projects!$C$19+1),0)+IF(AND(Projects!$G$20="Yes",74&gt;=Projects!$C$20,74&lt;Projects!$C$20+Projects!$D$20),Projects!$B$20*INDEX(Curves!$B$4:$AR$4,1,74-Projects!$C$20+1),0)+IF(AND(Projects!$G$21="Yes",74&gt;=Projects!$C$21,74&lt;Projects!$C$21+Projects!$D$21),Projects!$B$21*INDEX(Curves!$B$4:$AR$4,1,74-Projects!$C$21+1),0)+IF(AND(Projects!$G$22="Yes",74&gt;=Projects!$C$22,74&lt;Projects!$C$22+Projects!$D$22),Projects!$B$22*INDEX(Curves!$B$4:$AR$4,1,74-Projects!$C$22+1),0)+IF(AND(Projects!$G$23="Yes",74&gt;=Projects!$C$23,74&lt;Projects!$C$23+Projects!$D$23),Projects!$B$23*INDEX(Curves!$B$4:$AR$4,1,74-Projects!$C$23+1),0)+IF(AND(Projects!$G$24="Yes",74&gt;=Projects!$C$24,74&lt;Projects!$C$24+Projects!$D$24),Projects!$B$24*INDEX(Curves!$B$4:$AR$4,1,74-Projects!$C$24+1),0)+IF(AND(Projects!$G$25="Yes",74&gt;=Projects!$C$25,74&lt;Projects!$C$25+Projects!$D$25),Projects!$B$25*INDEX(Curves!$B$4:$AR$4,1,74-Projects!$C$25+1),0)+IF(AND(Projects!$G$26="Yes",74&gt;=Projects!$C$26,74&lt;Projects!$C$26+Projects!$D$26),Projects!$B$26*INDEX(Curves!$B$4:$AR$4,1,74-Projects!$C$26+1),0)+IF(AND(Projects!$G$27="Yes",74&gt;=Projects!$C$27,74&lt;Projects!$C$27+Projects!$D$27),Projects!$B$27*INDEX(Curves!$B$4:$AR$4,1,74-Projects!$C$27+1),0)+IF(AND(Projects!$G$28="Yes",74&gt;=Projects!$C$28,74&lt;Projects!$C$28+Projects!$D$28),Projects!$B$28*INDEX(Curves!$B$4:$AR$4,1,74-Projects!$C$28+1),0)+IF(AND(Projects!$G$29="Yes",74&gt;=Projects!$C$29,74&lt;Projects!$C$29+Projects!$D$29),Projects!$B$29*INDEX(Curves!$B$4:$AR$4,1,74-Projects!$C$29+1),0)+IF(AND(Projects!$G$30="Yes",74&gt;=Projects!$C$30,74&lt;Projects!$C$30+Projects!$D$30),Projects!$B$30*INDEX(Curves!$B$4:$AR$4,1,74-Projects!$C$30+1),0)+IF(AND(Projects!$G$31="Yes",74&gt;=Projects!$C$31,74&lt;Projects!$C$31+Projects!$D$31),Projects!$B$31*INDEX(Curves!$B$4:$AR$4,1,74-Projects!$C$31+1),0)+IF(AND(Projects!$G$32="Yes",74&gt;=Projects!$C$32,74&lt;Projects!$C$32+Projects!$D$32),Projects!$B$32*INDEX(Curves!$B$4:$AR$4,1,74-Projects!$C$32+1),0)+IF(AND(Projects!$G$33="Yes",74&gt;=Projects!$C$33,74&lt;Projects!$C$33+Projects!$D$33),Projects!$B$33*INDEX(Curves!$B$4:$AR$4,1,74-Projects!$C$33+1),0)+IF(AND(Projects!$G$34="Yes",74&gt;=Projects!$C$34,74&lt;Projects!$C$34+Projects!$D$34),Projects!$B$34*INDEX(Curves!$B$4:$AR$4,1,74-Projects!$C$34+1),0)+IF(AND(Projects!$G$35="Yes",74&gt;=Projects!$C$35,74&lt;Projects!$C$35+Projects!$D$35),Projects!$B$35*INDEX(Curves!$B$4:$AR$4,1,74-Projects!$C$35+1),0)+IF(AND(Projects!$G$36="Yes",74&gt;=Projects!$C$36,74&lt;Projects!$C$36+Projects!$D$36),Projects!$B$36*INDEX(Curves!$B$4:$AR$4,1,74-Projects!$C$36+1),0)+IF(AND(Projects!$G$37="Yes",74&gt;=Projects!$C$37,74&lt;Projects!$C$37+Projects!$D$37),Projects!$B$37*INDEX(Curves!$B$4:$AR$4,1,74-Projects!$C$37+1),0)+IF(AND(Projects!$G$38="Yes",74&gt;=Projects!$C$38,74&lt;Projects!$C$38+Projects!$D$38),Projects!$B$38*INDEX(Curves!$B$4:$AR$4,1,74-Projects!$C$38+1),0)+IF(AND(Projects!$G$39="Yes",74&gt;=Projects!$C$39,74&lt;Projects!$C$39+Projects!$D$39),Projects!$B$39*INDEX(Curves!$B$4:$AR$4,1,74-Projects!$C$39+1),0)+IF(AND(Projects!$G$40="Yes",74&gt;=Projects!$C$40,74&lt;Projects!$C$40+Projects!$D$40),Projects!$B$40*INDEX(Curves!$B$4:$AR$4,1,74-Projects!$C$40+1),0)+IF(AND(Projects!$G$41="Yes",74&gt;=Projects!$C$41,74&lt;Projects!$C$41+Projects!$D$41),Projects!$B$41*INDEX(Curves!$B$4:$AR$4,1,74-Projects!$C$41+1),0)+IF(AND(Projects!$G$42="Yes",74&gt;=Projects!$C$42,74&lt;Projects!$C$42+Projects!$D$42),Projects!$B$42*INDEX(Curves!$B$4:$AR$4,1,74-Projects!$C$42+1),0)+IF(AND(Projects!$G$43="Yes",74&gt;=Projects!$C$43,74&lt;Projects!$C$43+Projects!$D$43),Projects!$B$43*INDEX(Curves!$B$4:$AR$4,1,74-Projects!$C$43+1),0)+IF(AND(Projects!$G$44="Yes",74&gt;=Projects!$C$44,74&lt;Projects!$C$44+Projects!$D$44),Projects!$B$44*INDEX(Curves!$B$4:$AR$4,1,74-Projects!$C$44+1),0)+IF(AND(Projects!$G$45="Yes",74&gt;=Projects!$C$45,74&lt;Projects!$C$45+Projects!$D$45),Projects!$B$45*INDEX(Curves!$B$4:$AR$4,1,74-Projects!$C$45+1),0)+IF(AND(Projects!$G$46="Yes",74&gt;=Projects!$C$46,74&lt;Projects!$C$46+Projects!$D$46),Projects!$B$46*INDEX(Curves!$B$4:$AR$4,1,74-Projects!$C$46+1),0)</f>
        <v/>
      </c>
      <c r="CB96" s="688">
        <f>IF(AND(Projects!$G$17="Yes",75&gt;=Projects!$C$17,75&lt;Projects!$C$17+Projects!$D$17),Projects!$B$17*INDEX(Curves!$B$4:$AR$4,1,75-Projects!$C$17+1),0)+IF(AND(Projects!$G$18="Yes",75&gt;=Projects!$C$18,75&lt;Projects!$C$18+Projects!$D$18),Projects!$B$18*INDEX(Curves!$B$4:$AR$4,1,75-Projects!$C$18+1),0)+IF(AND(Projects!$G$19="Yes",75&gt;=Projects!$C$19,75&lt;Projects!$C$19+Projects!$D$19),Projects!$B$19*INDEX(Curves!$B$4:$AR$4,1,75-Projects!$C$19+1),0)+IF(AND(Projects!$G$20="Yes",75&gt;=Projects!$C$20,75&lt;Projects!$C$20+Projects!$D$20),Projects!$B$20*INDEX(Curves!$B$4:$AR$4,1,75-Projects!$C$20+1),0)+IF(AND(Projects!$G$21="Yes",75&gt;=Projects!$C$21,75&lt;Projects!$C$21+Projects!$D$21),Projects!$B$21*INDEX(Curves!$B$4:$AR$4,1,75-Projects!$C$21+1),0)+IF(AND(Projects!$G$22="Yes",75&gt;=Projects!$C$22,75&lt;Projects!$C$22+Projects!$D$22),Projects!$B$22*INDEX(Curves!$B$4:$AR$4,1,75-Projects!$C$22+1),0)+IF(AND(Projects!$G$23="Yes",75&gt;=Projects!$C$23,75&lt;Projects!$C$23+Projects!$D$23),Projects!$B$23*INDEX(Curves!$B$4:$AR$4,1,75-Projects!$C$23+1),0)+IF(AND(Projects!$G$24="Yes",75&gt;=Projects!$C$24,75&lt;Projects!$C$24+Projects!$D$24),Projects!$B$24*INDEX(Curves!$B$4:$AR$4,1,75-Projects!$C$24+1),0)+IF(AND(Projects!$G$25="Yes",75&gt;=Projects!$C$25,75&lt;Projects!$C$25+Projects!$D$25),Projects!$B$25*INDEX(Curves!$B$4:$AR$4,1,75-Projects!$C$25+1),0)+IF(AND(Projects!$G$26="Yes",75&gt;=Projects!$C$26,75&lt;Projects!$C$26+Projects!$D$26),Projects!$B$26*INDEX(Curves!$B$4:$AR$4,1,75-Projects!$C$26+1),0)+IF(AND(Projects!$G$27="Yes",75&gt;=Projects!$C$27,75&lt;Projects!$C$27+Projects!$D$27),Projects!$B$27*INDEX(Curves!$B$4:$AR$4,1,75-Projects!$C$27+1),0)+IF(AND(Projects!$G$28="Yes",75&gt;=Projects!$C$28,75&lt;Projects!$C$28+Projects!$D$28),Projects!$B$28*INDEX(Curves!$B$4:$AR$4,1,75-Projects!$C$28+1),0)+IF(AND(Projects!$G$29="Yes",75&gt;=Projects!$C$29,75&lt;Projects!$C$29+Projects!$D$29),Projects!$B$29*INDEX(Curves!$B$4:$AR$4,1,75-Projects!$C$29+1),0)+IF(AND(Projects!$G$30="Yes",75&gt;=Projects!$C$30,75&lt;Projects!$C$30+Projects!$D$30),Projects!$B$30*INDEX(Curves!$B$4:$AR$4,1,75-Projects!$C$30+1),0)+IF(AND(Projects!$G$31="Yes",75&gt;=Projects!$C$31,75&lt;Projects!$C$31+Projects!$D$31),Projects!$B$31*INDEX(Curves!$B$4:$AR$4,1,75-Projects!$C$31+1),0)+IF(AND(Projects!$G$32="Yes",75&gt;=Projects!$C$32,75&lt;Projects!$C$32+Projects!$D$32),Projects!$B$32*INDEX(Curves!$B$4:$AR$4,1,75-Projects!$C$32+1),0)+IF(AND(Projects!$G$33="Yes",75&gt;=Projects!$C$33,75&lt;Projects!$C$33+Projects!$D$33),Projects!$B$33*INDEX(Curves!$B$4:$AR$4,1,75-Projects!$C$33+1),0)+IF(AND(Projects!$G$34="Yes",75&gt;=Projects!$C$34,75&lt;Projects!$C$34+Projects!$D$34),Projects!$B$34*INDEX(Curves!$B$4:$AR$4,1,75-Projects!$C$34+1),0)+IF(AND(Projects!$G$35="Yes",75&gt;=Projects!$C$35,75&lt;Projects!$C$35+Projects!$D$35),Projects!$B$35*INDEX(Curves!$B$4:$AR$4,1,75-Projects!$C$35+1),0)+IF(AND(Projects!$G$36="Yes",75&gt;=Projects!$C$36,75&lt;Projects!$C$36+Projects!$D$36),Projects!$B$36*INDEX(Curves!$B$4:$AR$4,1,75-Projects!$C$36+1),0)+IF(AND(Projects!$G$37="Yes",75&gt;=Projects!$C$37,75&lt;Projects!$C$37+Projects!$D$37),Projects!$B$37*INDEX(Curves!$B$4:$AR$4,1,75-Projects!$C$37+1),0)+IF(AND(Projects!$G$38="Yes",75&gt;=Projects!$C$38,75&lt;Projects!$C$38+Projects!$D$38),Projects!$B$38*INDEX(Curves!$B$4:$AR$4,1,75-Projects!$C$38+1),0)+IF(AND(Projects!$G$39="Yes",75&gt;=Projects!$C$39,75&lt;Projects!$C$39+Projects!$D$39),Projects!$B$39*INDEX(Curves!$B$4:$AR$4,1,75-Projects!$C$39+1),0)+IF(AND(Projects!$G$40="Yes",75&gt;=Projects!$C$40,75&lt;Projects!$C$40+Projects!$D$40),Projects!$B$40*INDEX(Curves!$B$4:$AR$4,1,75-Projects!$C$40+1),0)+IF(AND(Projects!$G$41="Yes",75&gt;=Projects!$C$41,75&lt;Projects!$C$41+Projects!$D$41),Projects!$B$41*INDEX(Curves!$B$4:$AR$4,1,75-Projects!$C$41+1),0)+IF(AND(Projects!$G$42="Yes",75&gt;=Projects!$C$42,75&lt;Projects!$C$42+Projects!$D$42),Projects!$B$42*INDEX(Curves!$B$4:$AR$4,1,75-Projects!$C$42+1),0)+IF(AND(Projects!$G$43="Yes",75&gt;=Projects!$C$43,75&lt;Projects!$C$43+Projects!$D$43),Projects!$B$43*INDEX(Curves!$B$4:$AR$4,1,75-Projects!$C$43+1),0)+IF(AND(Projects!$G$44="Yes",75&gt;=Projects!$C$44,75&lt;Projects!$C$44+Projects!$D$44),Projects!$B$44*INDEX(Curves!$B$4:$AR$4,1,75-Projects!$C$44+1),0)+IF(AND(Projects!$G$45="Yes",75&gt;=Projects!$C$45,75&lt;Projects!$C$45+Projects!$D$45),Projects!$B$45*INDEX(Curves!$B$4:$AR$4,1,75-Projects!$C$45+1),0)+IF(AND(Projects!$G$46="Yes",75&gt;=Projects!$C$46,75&lt;Projects!$C$46+Projects!$D$46),Projects!$B$46*INDEX(Curves!$B$4:$AR$4,1,75-Projects!$C$46+1),0)</f>
        <v/>
      </c>
      <c r="CC96" s="688">
        <f>IF(AND(Projects!$G$17="Yes",76&gt;=Projects!$C$17,76&lt;Projects!$C$17+Projects!$D$17),Projects!$B$17*INDEX(Curves!$B$4:$AR$4,1,76-Projects!$C$17+1),0)+IF(AND(Projects!$G$18="Yes",76&gt;=Projects!$C$18,76&lt;Projects!$C$18+Projects!$D$18),Projects!$B$18*INDEX(Curves!$B$4:$AR$4,1,76-Projects!$C$18+1),0)+IF(AND(Projects!$G$19="Yes",76&gt;=Projects!$C$19,76&lt;Projects!$C$19+Projects!$D$19),Projects!$B$19*INDEX(Curves!$B$4:$AR$4,1,76-Projects!$C$19+1),0)+IF(AND(Projects!$G$20="Yes",76&gt;=Projects!$C$20,76&lt;Projects!$C$20+Projects!$D$20),Projects!$B$20*INDEX(Curves!$B$4:$AR$4,1,76-Projects!$C$20+1),0)+IF(AND(Projects!$G$21="Yes",76&gt;=Projects!$C$21,76&lt;Projects!$C$21+Projects!$D$21),Projects!$B$21*INDEX(Curves!$B$4:$AR$4,1,76-Projects!$C$21+1),0)+IF(AND(Projects!$G$22="Yes",76&gt;=Projects!$C$22,76&lt;Projects!$C$22+Projects!$D$22),Projects!$B$22*INDEX(Curves!$B$4:$AR$4,1,76-Projects!$C$22+1),0)+IF(AND(Projects!$G$23="Yes",76&gt;=Projects!$C$23,76&lt;Projects!$C$23+Projects!$D$23),Projects!$B$23*INDEX(Curves!$B$4:$AR$4,1,76-Projects!$C$23+1),0)+IF(AND(Projects!$G$24="Yes",76&gt;=Projects!$C$24,76&lt;Projects!$C$24+Projects!$D$24),Projects!$B$24*INDEX(Curves!$B$4:$AR$4,1,76-Projects!$C$24+1),0)+IF(AND(Projects!$G$25="Yes",76&gt;=Projects!$C$25,76&lt;Projects!$C$25+Projects!$D$25),Projects!$B$25*INDEX(Curves!$B$4:$AR$4,1,76-Projects!$C$25+1),0)+IF(AND(Projects!$G$26="Yes",76&gt;=Projects!$C$26,76&lt;Projects!$C$26+Projects!$D$26),Projects!$B$26*INDEX(Curves!$B$4:$AR$4,1,76-Projects!$C$26+1),0)+IF(AND(Projects!$G$27="Yes",76&gt;=Projects!$C$27,76&lt;Projects!$C$27+Projects!$D$27),Projects!$B$27*INDEX(Curves!$B$4:$AR$4,1,76-Projects!$C$27+1),0)+IF(AND(Projects!$G$28="Yes",76&gt;=Projects!$C$28,76&lt;Projects!$C$28+Projects!$D$28),Projects!$B$28*INDEX(Curves!$B$4:$AR$4,1,76-Projects!$C$28+1),0)+IF(AND(Projects!$G$29="Yes",76&gt;=Projects!$C$29,76&lt;Projects!$C$29+Projects!$D$29),Projects!$B$29*INDEX(Curves!$B$4:$AR$4,1,76-Projects!$C$29+1),0)+IF(AND(Projects!$G$30="Yes",76&gt;=Projects!$C$30,76&lt;Projects!$C$30+Projects!$D$30),Projects!$B$30*INDEX(Curves!$B$4:$AR$4,1,76-Projects!$C$30+1),0)+IF(AND(Projects!$G$31="Yes",76&gt;=Projects!$C$31,76&lt;Projects!$C$31+Projects!$D$31),Projects!$B$31*INDEX(Curves!$B$4:$AR$4,1,76-Projects!$C$31+1),0)+IF(AND(Projects!$G$32="Yes",76&gt;=Projects!$C$32,76&lt;Projects!$C$32+Projects!$D$32),Projects!$B$32*INDEX(Curves!$B$4:$AR$4,1,76-Projects!$C$32+1),0)+IF(AND(Projects!$G$33="Yes",76&gt;=Projects!$C$33,76&lt;Projects!$C$33+Projects!$D$33),Projects!$B$33*INDEX(Curves!$B$4:$AR$4,1,76-Projects!$C$33+1),0)+IF(AND(Projects!$G$34="Yes",76&gt;=Projects!$C$34,76&lt;Projects!$C$34+Projects!$D$34),Projects!$B$34*INDEX(Curves!$B$4:$AR$4,1,76-Projects!$C$34+1),0)+IF(AND(Projects!$G$35="Yes",76&gt;=Projects!$C$35,76&lt;Projects!$C$35+Projects!$D$35),Projects!$B$35*INDEX(Curves!$B$4:$AR$4,1,76-Projects!$C$35+1),0)+IF(AND(Projects!$G$36="Yes",76&gt;=Projects!$C$36,76&lt;Projects!$C$36+Projects!$D$36),Projects!$B$36*INDEX(Curves!$B$4:$AR$4,1,76-Projects!$C$36+1),0)+IF(AND(Projects!$G$37="Yes",76&gt;=Projects!$C$37,76&lt;Projects!$C$37+Projects!$D$37),Projects!$B$37*INDEX(Curves!$B$4:$AR$4,1,76-Projects!$C$37+1),0)+IF(AND(Projects!$G$38="Yes",76&gt;=Projects!$C$38,76&lt;Projects!$C$38+Projects!$D$38),Projects!$B$38*INDEX(Curves!$B$4:$AR$4,1,76-Projects!$C$38+1),0)+IF(AND(Projects!$G$39="Yes",76&gt;=Projects!$C$39,76&lt;Projects!$C$39+Projects!$D$39),Projects!$B$39*INDEX(Curves!$B$4:$AR$4,1,76-Projects!$C$39+1),0)+IF(AND(Projects!$G$40="Yes",76&gt;=Projects!$C$40,76&lt;Projects!$C$40+Projects!$D$40),Projects!$B$40*INDEX(Curves!$B$4:$AR$4,1,76-Projects!$C$40+1),0)+IF(AND(Projects!$G$41="Yes",76&gt;=Projects!$C$41,76&lt;Projects!$C$41+Projects!$D$41),Projects!$B$41*INDEX(Curves!$B$4:$AR$4,1,76-Projects!$C$41+1),0)+IF(AND(Projects!$G$42="Yes",76&gt;=Projects!$C$42,76&lt;Projects!$C$42+Projects!$D$42),Projects!$B$42*INDEX(Curves!$B$4:$AR$4,1,76-Projects!$C$42+1),0)+IF(AND(Projects!$G$43="Yes",76&gt;=Projects!$C$43,76&lt;Projects!$C$43+Projects!$D$43),Projects!$B$43*INDEX(Curves!$B$4:$AR$4,1,76-Projects!$C$43+1),0)+IF(AND(Projects!$G$44="Yes",76&gt;=Projects!$C$44,76&lt;Projects!$C$44+Projects!$D$44),Projects!$B$44*INDEX(Curves!$B$4:$AR$4,1,76-Projects!$C$44+1),0)+IF(AND(Projects!$G$45="Yes",76&gt;=Projects!$C$45,76&lt;Projects!$C$45+Projects!$D$45),Projects!$B$45*INDEX(Curves!$B$4:$AR$4,1,76-Projects!$C$45+1),0)+IF(AND(Projects!$G$46="Yes",76&gt;=Projects!$C$46,76&lt;Projects!$C$46+Projects!$D$46),Projects!$B$46*INDEX(Curves!$B$4:$AR$4,1,76-Projects!$C$46+1),0)</f>
        <v/>
      </c>
      <c r="CD96" s="688">
        <f>IF(AND(Projects!$G$17="Yes",77&gt;=Projects!$C$17,77&lt;Projects!$C$17+Projects!$D$17),Projects!$B$17*INDEX(Curves!$B$4:$AR$4,1,77-Projects!$C$17+1),0)+IF(AND(Projects!$G$18="Yes",77&gt;=Projects!$C$18,77&lt;Projects!$C$18+Projects!$D$18),Projects!$B$18*INDEX(Curves!$B$4:$AR$4,1,77-Projects!$C$18+1),0)+IF(AND(Projects!$G$19="Yes",77&gt;=Projects!$C$19,77&lt;Projects!$C$19+Projects!$D$19),Projects!$B$19*INDEX(Curves!$B$4:$AR$4,1,77-Projects!$C$19+1),0)+IF(AND(Projects!$G$20="Yes",77&gt;=Projects!$C$20,77&lt;Projects!$C$20+Projects!$D$20),Projects!$B$20*INDEX(Curves!$B$4:$AR$4,1,77-Projects!$C$20+1),0)+IF(AND(Projects!$G$21="Yes",77&gt;=Projects!$C$21,77&lt;Projects!$C$21+Projects!$D$21),Projects!$B$21*INDEX(Curves!$B$4:$AR$4,1,77-Projects!$C$21+1),0)+IF(AND(Projects!$G$22="Yes",77&gt;=Projects!$C$22,77&lt;Projects!$C$22+Projects!$D$22),Projects!$B$22*INDEX(Curves!$B$4:$AR$4,1,77-Projects!$C$22+1),0)+IF(AND(Projects!$G$23="Yes",77&gt;=Projects!$C$23,77&lt;Projects!$C$23+Projects!$D$23),Projects!$B$23*INDEX(Curves!$B$4:$AR$4,1,77-Projects!$C$23+1),0)+IF(AND(Projects!$G$24="Yes",77&gt;=Projects!$C$24,77&lt;Projects!$C$24+Projects!$D$24),Projects!$B$24*INDEX(Curves!$B$4:$AR$4,1,77-Projects!$C$24+1),0)+IF(AND(Projects!$G$25="Yes",77&gt;=Projects!$C$25,77&lt;Projects!$C$25+Projects!$D$25),Projects!$B$25*INDEX(Curves!$B$4:$AR$4,1,77-Projects!$C$25+1),0)+IF(AND(Projects!$G$26="Yes",77&gt;=Projects!$C$26,77&lt;Projects!$C$26+Projects!$D$26),Projects!$B$26*INDEX(Curves!$B$4:$AR$4,1,77-Projects!$C$26+1),0)+IF(AND(Projects!$G$27="Yes",77&gt;=Projects!$C$27,77&lt;Projects!$C$27+Projects!$D$27),Projects!$B$27*INDEX(Curves!$B$4:$AR$4,1,77-Projects!$C$27+1),0)+IF(AND(Projects!$G$28="Yes",77&gt;=Projects!$C$28,77&lt;Projects!$C$28+Projects!$D$28),Projects!$B$28*INDEX(Curves!$B$4:$AR$4,1,77-Projects!$C$28+1),0)+IF(AND(Projects!$G$29="Yes",77&gt;=Projects!$C$29,77&lt;Projects!$C$29+Projects!$D$29),Projects!$B$29*INDEX(Curves!$B$4:$AR$4,1,77-Projects!$C$29+1),0)+IF(AND(Projects!$G$30="Yes",77&gt;=Projects!$C$30,77&lt;Projects!$C$30+Projects!$D$30),Projects!$B$30*INDEX(Curves!$B$4:$AR$4,1,77-Projects!$C$30+1),0)+IF(AND(Projects!$G$31="Yes",77&gt;=Projects!$C$31,77&lt;Projects!$C$31+Projects!$D$31),Projects!$B$31*INDEX(Curves!$B$4:$AR$4,1,77-Projects!$C$31+1),0)+IF(AND(Projects!$G$32="Yes",77&gt;=Projects!$C$32,77&lt;Projects!$C$32+Projects!$D$32),Projects!$B$32*INDEX(Curves!$B$4:$AR$4,1,77-Projects!$C$32+1),0)+IF(AND(Projects!$G$33="Yes",77&gt;=Projects!$C$33,77&lt;Projects!$C$33+Projects!$D$33),Projects!$B$33*INDEX(Curves!$B$4:$AR$4,1,77-Projects!$C$33+1),0)+IF(AND(Projects!$G$34="Yes",77&gt;=Projects!$C$34,77&lt;Projects!$C$34+Projects!$D$34),Projects!$B$34*INDEX(Curves!$B$4:$AR$4,1,77-Projects!$C$34+1),0)+IF(AND(Projects!$G$35="Yes",77&gt;=Projects!$C$35,77&lt;Projects!$C$35+Projects!$D$35),Projects!$B$35*INDEX(Curves!$B$4:$AR$4,1,77-Projects!$C$35+1),0)+IF(AND(Projects!$G$36="Yes",77&gt;=Projects!$C$36,77&lt;Projects!$C$36+Projects!$D$36),Projects!$B$36*INDEX(Curves!$B$4:$AR$4,1,77-Projects!$C$36+1),0)+IF(AND(Projects!$G$37="Yes",77&gt;=Projects!$C$37,77&lt;Projects!$C$37+Projects!$D$37),Projects!$B$37*INDEX(Curves!$B$4:$AR$4,1,77-Projects!$C$37+1),0)+IF(AND(Projects!$G$38="Yes",77&gt;=Projects!$C$38,77&lt;Projects!$C$38+Projects!$D$38),Projects!$B$38*INDEX(Curves!$B$4:$AR$4,1,77-Projects!$C$38+1),0)+IF(AND(Projects!$G$39="Yes",77&gt;=Projects!$C$39,77&lt;Projects!$C$39+Projects!$D$39),Projects!$B$39*INDEX(Curves!$B$4:$AR$4,1,77-Projects!$C$39+1),0)+IF(AND(Projects!$G$40="Yes",77&gt;=Projects!$C$40,77&lt;Projects!$C$40+Projects!$D$40),Projects!$B$40*INDEX(Curves!$B$4:$AR$4,1,77-Projects!$C$40+1),0)+IF(AND(Projects!$G$41="Yes",77&gt;=Projects!$C$41,77&lt;Projects!$C$41+Projects!$D$41),Projects!$B$41*INDEX(Curves!$B$4:$AR$4,1,77-Projects!$C$41+1),0)+IF(AND(Projects!$G$42="Yes",77&gt;=Projects!$C$42,77&lt;Projects!$C$42+Projects!$D$42),Projects!$B$42*INDEX(Curves!$B$4:$AR$4,1,77-Projects!$C$42+1),0)+IF(AND(Projects!$G$43="Yes",77&gt;=Projects!$C$43,77&lt;Projects!$C$43+Projects!$D$43),Projects!$B$43*INDEX(Curves!$B$4:$AR$4,1,77-Projects!$C$43+1),0)+IF(AND(Projects!$G$44="Yes",77&gt;=Projects!$C$44,77&lt;Projects!$C$44+Projects!$D$44),Projects!$B$44*INDEX(Curves!$B$4:$AR$4,1,77-Projects!$C$44+1),0)+IF(AND(Projects!$G$45="Yes",77&gt;=Projects!$C$45,77&lt;Projects!$C$45+Projects!$D$45),Projects!$B$45*INDEX(Curves!$B$4:$AR$4,1,77-Projects!$C$45+1),0)+IF(AND(Projects!$G$46="Yes",77&gt;=Projects!$C$46,77&lt;Projects!$C$46+Projects!$D$46),Projects!$B$46*INDEX(Curves!$B$4:$AR$4,1,77-Projects!$C$46+1),0)</f>
        <v/>
      </c>
      <c r="CE96" s="688">
        <f>IF(AND(Projects!$G$17="Yes",78&gt;=Projects!$C$17,78&lt;Projects!$C$17+Projects!$D$17),Projects!$B$17*INDEX(Curves!$B$4:$AR$4,1,78-Projects!$C$17+1),0)+IF(AND(Projects!$G$18="Yes",78&gt;=Projects!$C$18,78&lt;Projects!$C$18+Projects!$D$18),Projects!$B$18*INDEX(Curves!$B$4:$AR$4,1,78-Projects!$C$18+1),0)+IF(AND(Projects!$G$19="Yes",78&gt;=Projects!$C$19,78&lt;Projects!$C$19+Projects!$D$19),Projects!$B$19*INDEX(Curves!$B$4:$AR$4,1,78-Projects!$C$19+1),0)+IF(AND(Projects!$G$20="Yes",78&gt;=Projects!$C$20,78&lt;Projects!$C$20+Projects!$D$20),Projects!$B$20*INDEX(Curves!$B$4:$AR$4,1,78-Projects!$C$20+1),0)+IF(AND(Projects!$G$21="Yes",78&gt;=Projects!$C$21,78&lt;Projects!$C$21+Projects!$D$21),Projects!$B$21*INDEX(Curves!$B$4:$AR$4,1,78-Projects!$C$21+1),0)+IF(AND(Projects!$G$22="Yes",78&gt;=Projects!$C$22,78&lt;Projects!$C$22+Projects!$D$22),Projects!$B$22*INDEX(Curves!$B$4:$AR$4,1,78-Projects!$C$22+1),0)+IF(AND(Projects!$G$23="Yes",78&gt;=Projects!$C$23,78&lt;Projects!$C$23+Projects!$D$23),Projects!$B$23*INDEX(Curves!$B$4:$AR$4,1,78-Projects!$C$23+1),0)+IF(AND(Projects!$G$24="Yes",78&gt;=Projects!$C$24,78&lt;Projects!$C$24+Projects!$D$24),Projects!$B$24*INDEX(Curves!$B$4:$AR$4,1,78-Projects!$C$24+1),0)+IF(AND(Projects!$G$25="Yes",78&gt;=Projects!$C$25,78&lt;Projects!$C$25+Projects!$D$25),Projects!$B$25*INDEX(Curves!$B$4:$AR$4,1,78-Projects!$C$25+1),0)+IF(AND(Projects!$G$26="Yes",78&gt;=Projects!$C$26,78&lt;Projects!$C$26+Projects!$D$26),Projects!$B$26*INDEX(Curves!$B$4:$AR$4,1,78-Projects!$C$26+1),0)+IF(AND(Projects!$G$27="Yes",78&gt;=Projects!$C$27,78&lt;Projects!$C$27+Projects!$D$27),Projects!$B$27*INDEX(Curves!$B$4:$AR$4,1,78-Projects!$C$27+1),0)+IF(AND(Projects!$G$28="Yes",78&gt;=Projects!$C$28,78&lt;Projects!$C$28+Projects!$D$28),Projects!$B$28*INDEX(Curves!$B$4:$AR$4,1,78-Projects!$C$28+1),0)+IF(AND(Projects!$G$29="Yes",78&gt;=Projects!$C$29,78&lt;Projects!$C$29+Projects!$D$29),Projects!$B$29*INDEX(Curves!$B$4:$AR$4,1,78-Projects!$C$29+1),0)+IF(AND(Projects!$G$30="Yes",78&gt;=Projects!$C$30,78&lt;Projects!$C$30+Projects!$D$30),Projects!$B$30*INDEX(Curves!$B$4:$AR$4,1,78-Projects!$C$30+1),0)+IF(AND(Projects!$G$31="Yes",78&gt;=Projects!$C$31,78&lt;Projects!$C$31+Projects!$D$31),Projects!$B$31*INDEX(Curves!$B$4:$AR$4,1,78-Projects!$C$31+1),0)+IF(AND(Projects!$G$32="Yes",78&gt;=Projects!$C$32,78&lt;Projects!$C$32+Projects!$D$32),Projects!$B$32*INDEX(Curves!$B$4:$AR$4,1,78-Projects!$C$32+1),0)+IF(AND(Projects!$G$33="Yes",78&gt;=Projects!$C$33,78&lt;Projects!$C$33+Projects!$D$33),Projects!$B$33*INDEX(Curves!$B$4:$AR$4,1,78-Projects!$C$33+1),0)+IF(AND(Projects!$G$34="Yes",78&gt;=Projects!$C$34,78&lt;Projects!$C$34+Projects!$D$34),Projects!$B$34*INDEX(Curves!$B$4:$AR$4,1,78-Projects!$C$34+1),0)+IF(AND(Projects!$G$35="Yes",78&gt;=Projects!$C$35,78&lt;Projects!$C$35+Projects!$D$35),Projects!$B$35*INDEX(Curves!$B$4:$AR$4,1,78-Projects!$C$35+1),0)+IF(AND(Projects!$G$36="Yes",78&gt;=Projects!$C$36,78&lt;Projects!$C$36+Projects!$D$36),Projects!$B$36*INDEX(Curves!$B$4:$AR$4,1,78-Projects!$C$36+1),0)+IF(AND(Projects!$G$37="Yes",78&gt;=Projects!$C$37,78&lt;Projects!$C$37+Projects!$D$37),Projects!$B$37*INDEX(Curves!$B$4:$AR$4,1,78-Projects!$C$37+1),0)+IF(AND(Projects!$G$38="Yes",78&gt;=Projects!$C$38,78&lt;Projects!$C$38+Projects!$D$38),Projects!$B$38*INDEX(Curves!$B$4:$AR$4,1,78-Projects!$C$38+1),0)+IF(AND(Projects!$G$39="Yes",78&gt;=Projects!$C$39,78&lt;Projects!$C$39+Projects!$D$39),Projects!$B$39*INDEX(Curves!$B$4:$AR$4,1,78-Projects!$C$39+1),0)+IF(AND(Projects!$G$40="Yes",78&gt;=Projects!$C$40,78&lt;Projects!$C$40+Projects!$D$40),Projects!$B$40*INDEX(Curves!$B$4:$AR$4,1,78-Projects!$C$40+1),0)+IF(AND(Projects!$G$41="Yes",78&gt;=Projects!$C$41,78&lt;Projects!$C$41+Projects!$D$41),Projects!$B$41*INDEX(Curves!$B$4:$AR$4,1,78-Projects!$C$41+1),0)+IF(AND(Projects!$G$42="Yes",78&gt;=Projects!$C$42,78&lt;Projects!$C$42+Projects!$D$42),Projects!$B$42*INDEX(Curves!$B$4:$AR$4,1,78-Projects!$C$42+1),0)+IF(AND(Projects!$G$43="Yes",78&gt;=Projects!$C$43,78&lt;Projects!$C$43+Projects!$D$43),Projects!$B$43*INDEX(Curves!$B$4:$AR$4,1,78-Projects!$C$43+1),0)+IF(AND(Projects!$G$44="Yes",78&gt;=Projects!$C$44,78&lt;Projects!$C$44+Projects!$D$44),Projects!$B$44*INDEX(Curves!$B$4:$AR$4,1,78-Projects!$C$44+1),0)+IF(AND(Projects!$G$45="Yes",78&gt;=Projects!$C$45,78&lt;Projects!$C$45+Projects!$D$45),Projects!$B$45*INDEX(Curves!$B$4:$AR$4,1,78-Projects!$C$45+1),0)+IF(AND(Projects!$G$46="Yes",78&gt;=Projects!$C$46,78&lt;Projects!$C$46+Projects!$D$46),Projects!$B$46*INDEX(Curves!$B$4:$AR$4,1,78-Projects!$C$46+1),0)</f>
        <v/>
      </c>
      <c r="CF96" s="688">
        <f>IF(AND(Projects!$G$17="Yes",79&gt;=Projects!$C$17,79&lt;Projects!$C$17+Projects!$D$17),Projects!$B$17*INDEX(Curves!$B$4:$AR$4,1,79-Projects!$C$17+1),0)+IF(AND(Projects!$G$18="Yes",79&gt;=Projects!$C$18,79&lt;Projects!$C$18+Projects!$D$18),Projects!$B$18*INDEX(Curves!$B$4:$AR$4,1,79-Projects!$C$18+1),0)+IF(AND(Projects!$G$19="Yes",79&gt;=Projects!$C$19,79&lt;Projects!$C$19+Projects!$D$19),Projects!$B$19*INDEX(Curves!$B$4:$AR$4,1,79-Projects!$C$19+1),0)+IF(AND(Projects!$G$20="Yes",79&gt;=Projects!$C$20,79&lt;Projects!$C$20+Projects!$D$20),Projects!$B$20*INDEX(Curves!$B$4:$AR$4,1,79-Projects!$C$20+1),0)+IF(AND(Projects!$G$21="Yes",79&gt;=Projects!$C$21,79&lt;Projects!$C$21+Projects!$D$21),Projects!$B$21*INDEX(Curves!$B$4:$AR$4,1,79-Projects!$C$21+1),0)+IF(AND(Projects!$G$22="Yes",79&gt;=Projects!$C$22,79&lt;Projects!$C$22+Projects!$D$22),Projects!$B$22*INDEX(Curves!$B$4:$AR$4,1,79-Projects!$C$22+1),0)+IF(AND(Projects!$G$23="Yes",79&gt;=Projects!$C$23,79&lt;Projects!$C$23+Projects!$D$23),Projects!$B$23*INDEX(Curves!$B$4:$AR$4,1,79-Projects!$C$23+1),0)+IF(AND(Projects!$G$24="Yes",79&gt;=Projects!$C$24,79&lt;Projects!$C$24+Projects!$D$24),Projects!$B$24*INDEX(Curves!$B$4:$AR$4,1,79-Projects!$C$24+1),0)+IF(AND(Projects!$G$25="Yes",79&gt;=Projects!$C$25,79&lt;Projects!$C$25+Projects!$D$25),Projects!$B$25*INDEX(Curves!$B$4:$AR$4,1,79-Projects!$C$25+1),0)+IF(AND(Projects!$G$26="Yes",79&gt;=Projects!$C$26,79&lt;Projects!$C$26+Projects!$D$26),Projects!$B$26*INDEX(Curves!$B$4:$AR$4,1,79-Projects!$C$26+1),0)+IF(AND(Projects!$G$27="Yes",79&gt;=Projects!$C$27,79&lt;Projects!$C$27+Projects!$D$27),Projects!$B$27*INDEX(Curves!$B$4:$AR$4,1,79-Projects!$C$27+1),0)+IF(AND(Projects!$G$28="Yes",79&gt;=Projects!$C$28,79&lt;Projects!$C$28+Projects!$D$28),Projects!$B$28*INDEX(Curves!$B$4:$AR$4,1,79-Projects!$C$28+1),0)+IF(AND(Projects!$G$29="Yes",79&gt;=Projects!$C$29,79&lt;Projects!$C$29+Projects!$D$29),Projects!$B$29*INDEX(Curves!$B$4:$AR$4,1,79-Projects!$C$29+1),0)+IF(AND(Projects!$G$30="Yes",79&gt;=Projects!$C$30,79&lt;Projects!$C$30+Projects!$D$30),Projects!$B$30*INDEX(Curves!$B$4:$AR$4,1,79-Projects!$C$30+1),0)+IF(AND(Projects!$G$31="Yes",79&gt;=Projects!$C$31,79&lt;Projects!$C$31+Projects!$D$31),Projects!$B$31*INDEX(Curves!$B$4:$AR$4,1,79-Projects!$C$31+1),0)+IF(AND(Projects!$G$32="Yes",79&gt;=Projects!$C$32,79&lt;Projects!$C$32+Projects!$D$32),Projects!$B$32*INDEX(Curves!$B$4:$AR$4,1,79-Projects!$C$32+1),0)+IF(AND(Projects!$G$33="Yes",79&gt;=Projects!$C$33,79&lt;Projects!$C$33+Projects!$D$33),Projects!$B$33*INDEX(Curves!$B$4:$AR$4,1,79-Projects!$C$33+1),0)+IF(AND(Projects!$G$34="Yes",79&gt;=Projects!$C$34,79&lt;Projects!$C$34+Projects!$D$34),Projects!$B$34*INDEX(Curves!$B$4:$AR$4,1,79-Projects!$C$34+1),0)+IF(AND(Projects!$G$35="Yes",79&gt;=Projects!$C$35,79&lt;Projects!$C$35+Projects!$D$35),Projects!$B$35*INDEX(Curves!$B$4:$AR$4,1,79-Projects!$C$35+1),0)+IF(AND(Projects!$G$36="Yes",79&gt;=Projects!$C$36,79&lt;Projects!$C$36+Projects!$D$36),Projects!$B$36*INDEX(Curves!$B$4:$AR$4,1,79-Projects!$C$36+1),0)+IF(AND(Projects!$G$37="Yes",79&gt;=Projects!$C$37,79&lt;Projects!$C$37+Projects!$D$37),Projects!$B$37*INDEX(Curves!$B$4:$AR$4,1,79-Projects!$C$37+1),0)+IF(AND(Projects!$G$38="Yes",79&gt;=Projects!$C$38,79&lt;Projects!$C$38+Projects!$D$38),Projects!$B$38*INDEX(Curves!$B$4:$AR$4,1,79-Projects!$C$38+1),0)+IF(AND(Projects!$G$39="Yes",79&gt;=Projects!$C$39,79&lt;Projects!$C$39+Projects!$D$39),Projects!$B$39*INDEX(Curves!$B$4:$AR$4,1,79-Projects!$C$39+1),0)+IF(AND(Projects!$G$40="Yes",79&gt;=Projects!$C$40,79&lt;Projects!$C$40+Projects!$D$40),Projects!$B$40*INDEX(Curves!$B$4:$AR$4,1,79-Projects!$C$40+1),0)+IF(AND(Projects!$G$41="Yes",79&gt;=Projects!$C$41,79&lt;Projects!$C$41+Projects!$D$41),Projects!$B$41*INDEX(Curves!$B$4:$AR$4,1,79-Projects!$C$41+1),0)+IF(AND(Projects!$G$42="Yes",79&gt;=Projects!$C$42,79&lt;Projects!$C$42+Projects!$D$42),Projects!$B$42*INDEX(Curves!$B$4:$AR$4,1,79-Projects!$C$42+1),0)+IF(AND(Projects!$G$43="Yes",79&gt;=Projects!$C$43,79&lt;Projects!$C$43+Projects!$D$43),Projects!$B$43*INDEX(Curves!$B$4:$AR$4,1,79-Projects!$C$43+1),0)+IF(AND(Projects!$G$44="Yes",79&gt;=Projects!$C$44,79&lt;Projects!$C$44+Projects!$D$44),Projects!$B$44*INDEX(Curves!$B$4:$AR$4,1,79-Projects!$C$44+1),0)+IF(AND(Projects!$G$45="Yes",79&gt;=Projects!$C$45,79&lt;Projects!$C$45+Projects!$D$45),Projects!$B$45*INDEX(Curves!$B$4:$AR$4,1,79-Projects!$C$45+1),0)+IF(AND(Projects!$G$46="Yes",79&gt;=Projects!$C$46,79&lt;Projects!$C$46+Projects!$D$46),Projects!$B$46*INDEX(Curves!$B$4:$AR$4,1,79-Projects!$C$46+1),0)</f>
        <v/>
      </c>
      <c r="CG96" s="688">
        <f>IF(AND(Projects!$G$17="Yes",80&gt;=Projects!$C$17,80&lt;Projects!$C$17+Projects!$D$17),Projects!$B$17*INDEX(Curves!$B$4:$AR$4,1,80-Projects!$C$17+1),0)+IF(AND(Projects!$G$18="Yes",80&gt;=Projects!$C$18,80&lt;Projects!$C$18+Projects!$D$18),Projects!$B$18*INDEX(Curves!$B$4:$AR$4,1,80-Projects!$C$18+1),0)+IF(AND(Projects!$G$19="Yes",80&gt;=Projects!$C$19,80&lt;Projects!$C$19+Projects!$D$19),Projects!$B$19*INDEX(Curves!$B$4:$AR$4,1,80-Projects!$C$19+1),0)+IF(AND(Projects!$G$20="Yes",80&gt;=Projects!$C$20,80&lt;Projects!$C$20+Projects!$D$20),Projects!$B$20*INDEX(Curves!$B$4:$AR$4,1,80-Projects!$C$20+1),0)+IF(AND(Projects!$G$21="Yes",80&gt;=Projects!$C$21,80&lt;Projects!$C$21+Projects!$D$21),Projects!$B$21*INDEX(Curves!$B$4:$AR$4,1,80-Projects!$C$21+1),0)+IF(AND(Projects!$G$22="Yes",80&gt;=Projects!$C$22,80&lt;Projects!$C$22+Projects!$D$22),Projects!$B$22*INDEX(Curves!$B$4:$AR$4,1,80-Projects!$C$22+1),0)+IF(AND(Projects!$G$23="Yes",80&gt;=Projects!$C$23,80&lt;Projects!$C$23+Projects!$D$23),Projects!$B$23*INDEX(Curves!$B$4:$AR$4,1,80-Projects!$C$23+1),0)+IF(AND(Projects!$G$24="Yes",80&gt;=Projects!$C$24,80&lt;Projects!$C$24+Projects!$D$24),Projects!$B$24*INDEX(Curves!$B$4:$AR$4,1,80-Projects!$C$24+1),0)+IF(AND(Projects!$G$25="Yes",80&gt;=Projects!$C$25,80&lt;Projects!$C$25+Projects!$D$25),Projects!$B$25*INDEX(Curves!$B$4:$AR$4,1,80-Projects!$C$25+1),0)+IF(AND(Projects!$G$26="Yes",80&gt;=Projects!$C$26,80&lt;Projects!$C$26+Projects!$D$26),Projects!$B$26*INDEX(Curves!$B$4:$AR$4,1,80-Projects!$C$26+1),0)+IF(AND(Projects!$G$27="Yes",80&gt;=Projects!$C$27,80&lt;Projects!$C$27+Projects!$D$27),Projects!$B$27*INDEX(Curves!$B$4:$AR$4,1,80-Projects!$C$27+1),0)+IF(AND(Projects!$G$28="Yes",80&gt;=Projects!$C$28,80&lt;Projects!$C$28+Projects!$D$28),Projects!$B$28*INDEX(Curves!$B$4:$AR$4,1,80-Projects!$C$28+1),0)+IF(AND(Projects!$G$29="Yes",80&gt;=Projects!$C$29,80&lt;Projects!$C$29+Projects!$D$29),Projects!$B$29*INDEX(Curves!$B$4:$AR$4,1,80-Projects!$C$29+1),0)+IF(AND(Projects!$G$30="Yes",80&gt;=Projects!$C$30,80&lt;Projects!$C$30+Projects!$D$30),Projects!$B$30*INDEX(Curves!$B$4:$AR$4,1,80-Projects!$C$30+1),0)+IF(AND(Projects!$G$31="Yes",80&gt;=Projects!$C$31,80&lt;Projects!$C$31+Projects!$D$31),Projects!$B$31*INDEX(Curves!$B$4:$AR$4,1,80-Projects!$C$31+1),0)+IF(AND(Projects!$G$32="Yes",80&gt;=Projects!$C$32,80&lt;Projects!$C$32+Projects!$D$32),Projects!$B$32*INDEX(Curves!$B$4:$AR$4,1,80-Projects!$C$32+1),0)+IF(AND(Projects!$G$33="Yes",80&gt;=Projects!$C$33,80&lt;Projects!$C$33+Projects!$D$33),Projects!$B$33*INDEX(Curves!$B$4:$AR$4,1,80-Projects!$C$33+1),0)+IF(AND(Projects!$G$34="Yes",80&gt;=Projects!$C$34,80&lt;Projects!$C$34+Projects!$D$34),Projects!$B$34*INDEX(Curves!$B$4:$AR$4,1,80-Projects!$C$34+1),0)+IF(AND(Projects!$G$35="Yes",80&gt;=Projects!$C$35,80&lt;Projects!$C$35+Projects!$D$35),Projects!$B$35*INDEX(Curves!$B$4:$AR$4,1,80-Projects!$C$35+1),0)+IF(AND(Projects!$G$36="Yes",80&gt;=Projects!$C$36,80&lt;Projects!$C$36+Projects!$D$36),Projects!$B$36*INDEX(Curves!$B$4:$AR$4,1,80-Projects!$C$36+1),0)+IF(AND(Projects!$G$37="Yes",80&gt;=Projects!$C$37,80&lt;Projects!$C$37+Projects!$D$37),Projects!$B$37*INDEX(Curves!$B$4:$AR$4,1,80-Projects!$C$37+1),0)+IF(AND(Projects!$G$38="Yes",80&gt;=Projects!$C$38,80&lt;Projects!$C$38+Projects!$D$38),Projects!$B$38*INDEX(Curves!$B$4:$AR$4,1,80-Projects!$C$38+1),0)+IF(AND(Projects!$G$39="Yes",80&gt;=Projects!$C$39,80&lt;Projects!$C$39+Projects!$D$39),Projects!$B$39*INDEX(Curves!$B$4:$AR$4,1,80-Projects!$C$39+1),0)+IF(AND(Projects!$G$40="Yes",80&gt;=Projects!$C$40,80&lt;Projects!$C$40+Projects!$D$40),Projects!$B$40*INDEX(Curves!$B$4:$AR$4,1,80-Projects!$C$40+1),0)+IF(AND(Projects!$G$41="Yes",80&gt;=Projects!$C$41,80&lt;Projects!$C$41+Projects!$D$41),Projects!$B$41*INDEX(Curves!$B$4:$AR$4,1,80-Projects!$C$41+1),0)+IF(AND(Projects!$G$42="Yes",80&gt;=Projects!$C$42,80&lt;Projects!$C$42+Projects!$D$42),Projects!$B$42*INDEX(Curves!$B$4:$AR$4,1,80-Projects!$C$42+1),0)+IF(AND(Projects!$G$43="Yes",80&gt;=Projects!$C$43,80&lt;Projects!$C$43+Projects!$D$43),Projects!$B$43*INDEX(Curves!$B$4:$AR$4,1,80-Projects!$C$43+1),0)+IF(AND(Projects!$G$44="Yes",80&gt;=Projects!$C$44,80&lt;Projects!$C$44+Projects!$D$44),Projects!$B$44*INDEX(Curves!$B$4:$AR$4,1,80-Projects!$C$44+1),0)+IF(AND(Projects!$G$45="Yes",80&gt;=Projects!$C$45,80&lt;Projects!$C$45+Projects!$D$45),Projects!$B$45*INDEX(Curves!$B$4:$AR$4,1,80-Projects!$C$45+1),0)+IF(AND(Projects!$G$46="Yes",80&gt;=Projects!$C$46,80&lt;Projects!$C$46+Projects!$D$46),Projects!$B$46*INDEX(Curves!$B$4:$AR$4,1,80-Projects!$C$46+1),0)</f>
        <v/>
      </c>
      <c r="CH96" s="688">
        <f>IF(AND(Projects!$G$17="Yes",81&gt;=Projects!$C$17,81&lt;Projects!$C$17+Projects!$D$17),Projects!$B$17*INDEX(Curves!$B$4:$AR$4,1,81-Projects!$C$17+1),0)+IF(AND(Projects!$G$18="Yes",81&gt;=Projects!$C$18,81&lt;Projects!$C$18+Projects!$D$18),Projects!$B$18*INDEX(Curves!$B$4:$AR$4,1,81-Projects!$C$18+1),0)+IF(AND(Projects!$G$19="Yes",81&gt;=Projects!$C$19,81&lt;Projects!$C$19+Projects!$D$19),Projects!$B$19*INDEX(Curves!$B$4:$AR$4,1,81-Projects!$C$19+1),0)+IF(AND(Projects!$G$20="Yes",81&gt;=Projects!$C$20,81&lt;Projects!$C$20+Projects!$D$20),Projects!$B$20*INDEX(Curves!$B$4:$AR$4,1,81-Projects!$C$20+1),0)+IF(AND(Projects!$G$21="Yes",81&gt;=Projects!$C$21,81&lt;Projects!$C$21+Projects!$D$21),Projects!$B$21*INDEX(Curves!$B$4:$AR$4,1,81-Projects!$C$21+1),0)+IF(AND(Projects!$G$22="Yes",81&gt;=Projects!$C$22,81&lt;Projects!$C$22+Projects!$D$22),Projects!$B$22*INDEX(Curves!$B$4:$AR$4,1,81-Projects!$C$22+1),0)+IF(AND(Projects!$G$23="Yes",81&gt;=Projects!$C$23,81&lt;Projects!$C$23+Projects!$D$23),Projects!$B$23*INDEX(Curves!$B$4:$AR$4,1,81-Projects!$C$23+1),0)+IF(AND(Projects!$G$24="Yes",81&gt;=Projects!$C$24,81&lt;Projects!$C$24+Projects!$D$24),Projects!$B$24*INDEX(Curves!$B$4:$AR$4,1,81-Projects!$C$24+1),0)+IF(AND(Projects!$G$25="Yes",81&gt;=Projects!$C$25,81&lt;Projects!$C$25+Projects!$D$25),Projects!$B$25*INDEX(Curves!$B$4:$AR$4,1,81-Projects!$C$25+1),0)+IF(AND(Projects!$G$26="Yes",81&gt;=Projects!$C$26,81&lt;Projects!$C$26+Projects!$D$26),Projects!$B$26*INDEX(Curves!$B$4:$AR$4,1,81-Projects!$C$26+1),0)+IF(AND(Projects!$G$27="Yes",81&gt;=Projects!$C$27,81&lt;Projects!$C$27+Projects!$D$27),Projects!$B$27*INDEX(Curves!$B$4:$AR$4,1,81-Projects!$C$27+1),0)+IF(AND(Projects!$G$28="Yes",81&gt;=Projects!$C$28,81&lt;Projects!$C$28+Projects!$D$28),Projects!$B$28*INDEX(Curves!$B$4:$AR$4,1,81-Projects!$C$28+1),0)+IF(AND(Projects!$G$29="Yes",81&gt;=Projects!$C$29,81&lt;Projects!$C$29+Projects!$D$29),Projects!$B$29*INDEX(Curves!$B$4:$AR$4,1,81-Projects!$C$29+1),0)+IF(AND(Projects!$G$30="Yes",81&gt;=Projects!$C$30,81&lt;Projects!$C$30+Projects!$D$30),Projects!$B$30*INDEX(Curves!$B$4:$AR$4,1,81-Projects!$C$30+1),0)+IF(AND(Projects!$G$31="Yes",81&gt;=Projects!$C$31,81&lt;Projects!$C$31+Projects!$D$31),Projects!$B$31*INDEX(Curves!$B$4:$AR$4,1,81-Projects!$C$31+1),0)+IF(AND(Projects!$G$32="Yes",81&gt;=Projects!$C$32,81&lt;Projects!$C$32+Projects!$D$32),Projects!$B$32*INDEX(Curves!$B$4:$AR$4,1,81-Projects!$C$32+1),0)+IF(AND(Projects!$G$33="Yes",81&gt;=Projects!$C$33,81&lt;Projects!$C$33+Projects!$D$33),Projects!$B$33*INDEX(Curves!$B$4:$AR$4,1,81-Projects!$C$33+1),0)+IF(AND(Projects!$G$34="Yes",81&gt;=Projects!$C$34,81&lt;Projects!$C$34+Projects!$D$34),Projects!$B$34*INDEX(Curves!$B$4:$AR$4,1,81-Projects!$C$34+1),0)+IF(AND(Projects!$G$35="Yes",81&gt;=Projects!$C$35,81&lt;Projects!$C$35+Projects!$D$35),Projects!$B$35*INDEX(Curves!$B$4:$AR$4,1,81-Projects!$C$35+1),0)+IF(AND(Projects!$G$36="Yes",81&gt;=Projects!$C$36,81&lt;Projects!$C$36+Projects!$D$36),Projects!$B$36*INDEX(Curves!$B$4:$AR$4,1,81-Projects!$C$36+1),0)+IF(AND(Projects!$G$37="Yes",81&gt;=Projects!$C$37,81&lt;Projects!$C$37+Projects!$D$37),Projects!$B$37*INDEX(Curves!$B$4:$AR$4,1,81-Projects!$C$37+1),0)+IF(AND(Projects!$G$38="Yes",81&gt;=Projects!$C$38,81&lt;Projects!$C$38+Projects!$D$38),Projects!$B$38*INDEX(Curves!$B$4:$AR$4,1,81-Projects!$C$38+1),0)+IF(AND(Projects!$G$39="Yes",81&gt;=Projects!$C$39,81&lt;Projects!$C$39+Projects!$D$39),Projects!$B$39*INDEX(Curves!$B$4:$AR$4,1,81-Projects!$C$39+1),0)+IF(AND(Projects!$G$40="Yes",81&gt;=Projects!$C$40,81&lt;Projects!$C$40+Projects!$D$40),Projects!$B$40*INDEX(Curves!$B$4:$AR$4,1,81-Projects!$C$40+1),0)+IF(AND(Projects!$G$41="Yes",81&gt;=Projects!$C$41,81&lt;Projects!$C$41+Projects!$D$41),Projects!$B$41*INDEX(Curves!$B$4:$AR$4,1,81-Projects!$C$41+1),0)+IF(AND(Projects!$G$42="Yes",81&gt;=Projects!$C$42,81&lt;Projects!$C$42+Projects!$D$42),Projects!$B$42*INDEX(Curves!$B$4:$AR$4,1,81-Projects!$C$42+1),0)+IF(AND(Projects!$G$43="Yes",81&gt;=Projects!$C$43,81&lt;Projects!$C$43+Projects!$D$43),Projects!$B$43*INDEX(Curves!$B$4:$AR$4,1,81-Projects!$C$43+1),0)+IF(AND(Projects!$G$44="Yes",81&gt;=Projects!$C$44,81&lt;Projects!$C$44+Projects!$D$44),Projects!$B$44*INDEX(Curves!$B$4:$AR$4,1,81-Projects!$C$44+1),0)+IF(AND(Projects!$G$45="Yes",81&gt;=Projects!$C$45,81&lt;Projects!$C$45+Projects!$D$45),Projects!$B$45*INDEX(Curves!$B$4:$AR$4,1,81-Projects!$C$45+1),0)+IF(AND(Projects!$G$46="Yes",81&gt;=Projects!$C$46,81&lt;Projects!$C$46+Projects!$D$46),Projects!$B$46*INDEX(Curves!$B$4:$AR$4,1,81-Projects!$C$46+1),0)</f>
        <v/>
      </c>
      <c r="CI96" s="688">
        <f>IF(AND(Projects!$G$17="Yes",82&gt;=Projects!$C$17,82&lt;Projects!$C$17+Projects!$D$17),Projects!$B$17*INDEX(Curves!$B$4:$AR$4,1,82-Projects!$C$17+1),0)+IF(AND(Projects!$G$18="Yes",82&gt;=Projects!$C$18,82&lt;Projects!$C$18+Projects!$D$18),Projects!$B$18*INDEX(Curves!$B$4:$AR$4,1,82-Projects!$C$18+1),0)+IF(AND(Projects!$G$19="Yes",82&gt;=Projects!$C$19,82&lt;Projects!$C$19+Projects!$D$19),Projects!$B$19*INDEX(Curves!$B$4:$AR$4,1,82-Projects!$C$19+1),0)+IF(AND(Projects!$G$20="Yes",82&gt;=Projects!$C$20,82&lt;Projects!$C$20+Projects!$D$20),Projects!$B$20*INDEX(Curves!$B$4:$AR$4,1,82-Projects!$C$20+1),0)+IF(AND(Projects!$G$21="Yes",82&gt;=Projects!$C$21,82&lt;Projects!$C$21+Projects!$D$21),Projects!$B$21*INDEX(Curves!$B$4:$AR$4,1,82-Projects!$C$21+1),0)+IF(AND(Projects!$G$22="Yes",82&gt;=Projects!$C$22,82&lt;Projects!$C$22+Projects!$D$22),Projects!$B$22*INDEX(Curves!$B$4:$AR$4,1,82-Projects!$C$22+1),0)+IF(AND(Projects!$G$23="Yes",82&gt;=Projects!$C$23,82&lt;Projects!$C$23+Projects!$D$23),Projects!$B$23*INDEX(Curves!$B$4:$AR$4,1,82-Projects!$C$23+1),0)+IF(AND(Projects!$G$24="Yes",82&gt;=Projects!$C$24,82&lt;Projects!$C$24+Projects!$D$24),Projects!$B$24*INDEX(Curves!$B$4:$AR$4,1,82-Projects!$C$24+1),0)+IF(AND(Projects!$G$25="Yes",82&gt;=Projects!$C$25,82&lt;Projects!$C$25+Projects!$D$25),Projects!$B$25*INDEX(Curves!$B$4:$AR$4,1,82-Projects!$C$25+1),0)+IF(AND(Projects!$G$26="Yes",82&gt;=Projects!$C$26,82&lt;Projects!$C$26+Projects!$D$26),Projects!$B$26*INDEX(Curves!$B$4:$AR$4,1,82-Projects!$C$26+1),0)+IF(AND(Projects!$G$27="Yes",82&gt;=Projects!$C$27,82&lt;Projects!$C$27+Projects!$D$27),Projects!$B$27*INDEX(Curves!$B$4:$AR$4,1,82-Projects!$C$27+1),0)+IF(AND(Projects!$G$28="Yes",82&gt;=Projects!$C$28,82&lt;Projects!$C$28+Projects!$D$28),Projects!$B$28*INDEX(Curves!$B$4:$AR$4,1,82-Projects!$C$28+1),0)+IF(AND(Projects!$G$29="Yes",82&gt;=Projects!$C$29,82&lt;Projects!$C$29+Projects!$D$29),Projects!$B$29*INDEX(Curves!$B$4:$AR$4,1,82-Projects!$C$29+1),0)+IF(AND(Projects!$G$30="Yes",82&gt;=Projects!$C$30,82&lt;Projects!$C$30+Projects!$D$30),Projects!$B$30*INDEX(Curves!$B$4:$AR$4,1,82-Projects!$C$30+1),0)+IF(AND(Projects!$G$31="Yes",82&gt;=Projects!$C$31,82&lt;Projects!$C$31+Projects!$D$31),Projects!$B$31*INDEX(Curves!$B$4:$AR$4,1,82-Projects!$C$31+1),0)+IF(AND(Projects!$G$32="Yes",82&gt;=Projects!$C$32,82&lt;Projects!$C$32+Projects!$D$32),Projects!$B$32*INDEX(Curves!$B$4:$AR$4,1,82-Projects!$C$32+1),0)+IF(AND(Projects!$G$33="Yes",82&gt;=Projects!$C$33,82&lt;Projects!$C$33+Projects!$D$33),Projects!$B$33*INDEX(Curves!$B$4:$AR$4,1,82-Projects!$C$33+1),0)+IF(AND(Projects!$G$34="Yes",82&gt;=Projects!$C$34,82&lt;Projects!$C$34+Projects!$D$34),Projects!$B$34*INDEX(Curves!$B$4:$AR$4,1,82-Projects!$C$34+1),0)+IF(AND(Projects!$G$35="Yes",82&gt;=Projects!$C$35,82&lt;Projects!$C$35+Projects!$D$35),Projects!$B$35*INDEX(Curves!$B$4:$AR$4,1,82-Projects!$C$35+1),0)+IF(AND(Projects!$G$36="Yes",82&gt;=Projects!$C$36,82&lt;Projects!$C$36+Projects!$D$36),Projects!$B$36*INDEX(Curves!$B$4:$AR$4,1,82-Projects!$C$36+1),0)+IF(AND(Projects!$G$37="Yes",82&gt;=Projects!$C$37,82&lt;Projects!$C$37+Projects!$D$37),Projects!$B$37*INDEX(Curves!$B$4:$AR$4,1,82-Projects!$C$37+1),0)+IF(AND(Projects!$G$38="Yes",82&gt;=Projects!$C$38,82&lt;Projects!$C$38+Projects!$D$38),Projects!$B$38*INDEX(Curves!$B$4:$AR$4,1,82-Projects!$C$38+1),0)+IF(AND(Projects!$G$39="Yes",82&gt;=Projects!$C$39,82&lt;Projects!$C$39+Projects!$D$39),Projects!$B$39*INDEX(Curves!$B$4:$AR$4,1,82-Projects!$C$39+1),0)+IF(AND(Projects!$G$40="Yes",82&gt;=Projects!$C$40,82&lt;Projects!$C$40+Projects!$D$40),Projects!$B$40*INDEX(Curves!$B$4:$AR$4,1,82-Projects!$C$40+1),0)+IF(AND(Projects!$G$41="Yes",82&gt;=Projects!$C$41,82&lt;Projects!$C$41+Projects!$D$41),Projects!$B$41*INDEX(Curves!$B$4:$AR$4,1,82-Projects!$C$41+1),0)+IF(AND(Projects!$G$42="Yes",82&gt;=Projects!$C$42,82&lt;Projects!$C$42+Projects!$D$42),Projects!$B$42*INDEX(Curves!$B$4:$AR$4,1,82-Projects!$C$42+1),0)+IF(AND(Projects!$G$43="Yes",82&gt;=Projects!$C$43,82&lt;Projects!$C$43+Projects!$D$43),Projects!$B$43*INDEX(Curves!$B$4:$AR$4,1,82-Projects!$C$43+1),0)+IF(AND(Projects!$G$44="Yes",82&gt;=Projects!$C$44,82&lt;Projects!$C$44+Projects!$D$44),Projects!$B$44*INDEX(Curves!$B$4:$AR$4,1,82-Projects!$C$44+1),0)+IF(AND(Projects!$G$45="Yes",82&gt;=Projects!$C$45,82&lt;Projects!$C$45+Projects!$D$45),Projects!$B$45*INDEX(Curves!$B$4:$AR$4,1,82-Projects!$C$45+1),0)+IF(AND(Projects!$G$46="Yes",82&gt;=Projects!$C$46,82&lt;Projects!$C$46+Projects!$D$46),Projects!$B$46*INDEX(Curves!$B$4:$AR$4,1,82-Projects!$C$46+1),0)</f>
        <v/>
      </c>
      <c r="CJ96" s="688">
        <f>IF(AND(Projects!$G$17="Yes",83&gt;=Projects!$C$17,83&lt;Projects!$C$17+Projects!$D$17),Projects!$B$17*INDEX(Curves!$B$4:$AR$4,1,83-Projects!$C$17+1),0)+IF(AND(Projects!$G$18="Yes",83&gt;=Projects!$C$18,83&lt;Projects!$C$18+Projects!$D$18),Projects!$B$18*INDEX(Curves!$B$4:$AR$4,1,83-Projects!$C$18+1),0)+IF(AND(Projects!$G$19="Yes",83&gt;=Projects!$C$19,83&lt;Projects!$C$19+Projects!$D$19),Projects!$B$19*INDEX(Curves!$B$4:$AR$4,1,83-Projects!$C$19+1),0)+IF(AND(Projects!$G$20="Yes",83&gt;=Projects!$C$20,83&lt;Projects!$C$20+Projects!$D$20),Projects!$B$20*INDEX(Curves!$B$4:$AR$4,1,83-Projects!$C$20+1),0)+IF(AND(Projects!$G$21="Yes",83&gt;=Projects!$C$21,83&lt;Projects!$C$21+Projects!$D$21),Projects!$B$21*INDEX(Curves!$B$4:$AR$4,1,83-Projects!$C$21+1),0)+IF(AND(Projects!$G$22="Yes",83&gt;=Projects!$C$22,83&lt;Projects!$C$22+Projects!$D$22),Projects!$B$22*INDEX(Curves!$B$4:$AR$4,1,83-Projects!$C$22+1),0)+IF(AND(Projects!$G$23="Yes",83&gt;=Projects!$C$23,83&lt;Projects!$C$23+Projects!$D$23),Projects!$B$23*INDEX(Curves!$B$4:$AR$4,1,83-Projects!$C$23+1),0)+IF(AND(Projects!$G$24="Yes",83&gt;=Projects!$C$24,83&lt;Projects!$C$24+Projects!$D$24),Projects!$B$24*INDEX(Curves!$B$4:$AR$4,1,83-Projects!$C$24+1),0)+IF(AND(Projects!$G$25="Yes",83&gt;=Projects!$C$25,83&lt;Projects!$C$25+Projects!$D$25),Projects!$B$25*INDEX(Curves!$B$4:$AR$4,1,83-Projects!$C$25+1),0)+IF(AND(Projects!$G$26="Yes",83&gt;=Projects!$C$26,83&lt;Projects!$C$26+Projects!$D$26),Projects!$B$26*INDEX(Curves!$B$4:$AR$4,1,83-Projects!$C$26+1),0)+IF(AND(Projects!$G$27="Yes",83&gt;=Projects!$C$27,83&lt;Projects!$C$27+Projects!$D$27),Projects!$B$27*INDEX(Curves!$B$4:$AR$4,1,83-Projects!$C$27+1),0)+IF(AND(Projects!$G$28="Yes",83&gt;=Projects!$C$28,83&lt;Projects!$C$28+Projects!$D$28),Projects!$B$28*INDEX(Curves!$B$4:$AR$4,1,83-Projects!$C$28+1),0)+IF(AND(Projects!$G$29="Yes",83&gt;=Projects!$C$29,83&lt;Projects!$C$29+Projects!$D$29),Projects!$B$29*INDEX(Curves!$B$4:$AR$4,1,83-Projects!$C$29+1),0)+IF(AND(Projects!$G$30="Yes",83&gt;=Projects!$C$30,83&lt;Projects!$C$30+Projects!$D$30),Projects!$B$30*INDEX(Curves!$B$4:$AR$4,1,83-Projects!$C$30+1),0)+IF(AND(Projects!$G$31="Yes",83&gt;=Projects!$C$31,83&lt;Projects!$C$31+Projects!$D$31),Projects!$B$31*INDEX(Curves!$B$4:$AR$4,1,83-Projects!$C$31+1),0)+IF(AND(Projects!$G$32="Yes",83&gt;=Projects!$C$32,83&lt;Projects!$C$32+Projects!$D$32),Projects!$B$32*INDEX(Curves!$B$4:$AR$4,1,83-Projects!$C$32+1),0)+IF(AND(Projects!$G$33="Yes",83&gt;=Projects!$C$33,83&lt;Projects!$C$33+Projects!$D$33),Projects!$B$33*INDEX(Curves!$B$4:$AR$4,1,83-Projects!$C$33+1),0)+IF(AND(Projects!$G$34="Yes",83&gt;=Projects!$C$34,83&lt;Projects!$C$34+Projects!$D$34),Projects!$B$34*INDEX(Curves!$B$4:$AR$4,1,83-Projects!$C$34+1),0)+IF(AND(Projects!$G$35="Yes",83&gt;=Projects!$C$35,83&lt;Projects!$C$35+Projects!$D$35),Projects!$B$35*INDEX(Curves!$B$4:$AR$4,1,83-Projects!$C$35+1),0)+IF(AND(Projects!$G$36="Yes",83&gt;=Projects!$C$36,83&lt;Projects!$C$36+Projects!$D$36),Projects!$B$36*INDEX(Curves!$B$4:$AR$4,1,83-Projects!$C$36+1),0)+IF(AND(Projects!$G$37="Yes",83&gt;=Projects!$C$37,83&lt;Projects!$C$37+Projects!$D$37),Projects!$B$37*INDEX(Curves!$B$4:$AR$4,1,83-Projects!$C$37+1),0)+IF(AND(Projects!$G$38="Yes",83&gt;=Projects!$C$38,83&lt;Projects!$C$38+Projects!$D$38),Projects!$B$38*INDEX(Curves!$B$4:$AR$4,1,83-Projects!$C$38+1),0)+IF(AND(Projects!$G$39="Yes",83&gt;=Projects!$C$39,83&lt;Projects!$C$39+Projects!$D$39),Projects!$B$39*INDEX(Curves!$B$4:$AR$4,1,83-Projects!$C$39+1),0)+IF(AND(Projects!$G$40="Yes",83&gt;=Projects!$C$40,83&lt;Projects!$C$40+Projects!$D$40),Projects!$B$40*INDEX(Curves!$B$4:$AR$4,1,83-Projects!$C$40+1),0)+IF(AND(Projects!$G$41="Yes",83&gt;=Projects!$C$41,83&lt;Projects!$C$41+Projects!$D$41),Projects!$B$41*INDEX(Curves!$B$4:$AR$4,1,83-Projects!$C$41+1),0)+IF(AND(Projects!$G$42="Yes",83&gt;=Projects!$C$42,83&lt;Projects!$C$42+Projects!$D$42),Projects!$B$42*INDEX(Curves!$B$4:$AR$4,1,83-Projects!$C$42+1),0)+IF(AND(Projects!$G$43="Yes",83&gt;=Projects!$C$43,83&lt;Projects!$C$43+Projects!$D$43),Projects!$B$43*INDEX(Curves!$B$4:$AR$4,1,83-Projects!$C$43+1),0)+IF(AND(Projects!$G$44="Yes",83&gt;=Projects!$C$44,83&lt;Projects!$C$44+Projects!$D$44),Projects!$B$44*INDEX(Curves!$B$4:$AR$4,1,83-Projects!$C$44+1),0)+IF(AND(Projects!$G$45="Yes",83&gt;=Projects!$C$45,83&lt;Projects!$C$45+Projects!$D$45),Projects!$B$45*INDEX(Curves!$B$4:$AR$4,1,83-Projects!$C$45+1),0)+IF(AND(Projects!$G$46="Yes",83&gt;=Projects!$C$46,83&lt;Projects!$C$46+Projects!$D$46),Projects!$B$46*INDEX(Curves!$B$4:$AR$4,1,83-Projects!$C$46+1),0)</f>
        <v/>
      </c>
      <c r="CK96" s="688">
        <f>IF(AND(Projects!$G$17="Yes",84&gt;=Projects!$C$17,84&lt;Projects!$C$17+Projects!$D$17),Projects!$B$17*INDEX(Curves!$B$4:$AR$4,1,84-Projects!$C$17+1),0)+IF(AND(Projects!$G$18="Yes",84&gt;=Projects!$C$18,84&lt;Projects!$C$18+Projects!$D$18),Projects!$B$18*INDEX(Curves!$B$4:$AR$4,1,84-Projects!$C$18+1),0)+IF(AND(Projects!$G$19="Yes",84&gt;=Projects!$C$19,84&lt;Projects!$C$19+Projects!$D$19),Projects!$B$19*INDEX(Curves!$B$4:$AR$4,1,84-Projects!$C$19+1),0)+IF(AND(Projects!$G$20="Yes",84&gt;=Projects!$C$20,84&lt;Projects!$C$20+Projects!$D$20),Projects!$B$20*INDEX(Curves!$B$4:$AR$4,1,84-Projects!$C$20+1),0)+IF(AND(Projects!$G$21="Yes",84&gt;=Projects!$C$21,84&lt;Projects!$C$21+Projects!$D$21),Projects!$B$21*INDEX(Curves!$B$4:$AR$4,1,84-Projects!$C$21+1),0)+IF(AND(Projects!$G$22="Yes",84&gt;=Projects!$C$22,84&lt;Projects!$C$22+Projects!$D$22),Projects!$B$22*INDEX(Curves!$B$4:$AR$4,1,84-Projects!$C$22+1),0)+IF(AND(Projects!$G$23="Yes",84&gt;=Projects!$C$23,84&lt;Projects!$C$23+Projects!$D$23),Projects!$B$23*INDEX(Curves!$B$4:$AR$4,1,84-Projects!$C$23+1),0)+IF(AND(Projects!$G$24="Yes",84&gt;=Projects!$C$24,84&lt;Projects!$C$24+Projects!$D$24),Projects!$B$24*INDEX(Curves!$B$4:$AR$4,1,84-Projects!$C$24+1),0)+IF(AND(Projects!$G$25="Yes",84&gt;=Projects!$C$25,84&lt;Projects!$C$25+Projects!$D$25),Projects!$B$25*INDEX(Curves!$B$4:$AR$4,1,84-Projects!$C$25+1),0)+IF(AND(Projects!$G$26="Yes",84&gt;=Projects!$C$26,84&lt;Projects!$C$26+Projects!$D$26),Projects!$B$26*INDEX(Curves!$B$4:$AR$4,1,84-Projects!$C$26+1),0)+IF(AND(Projects!$G$27="Yes",84&gt;=Projects!$C$27,84&lt;Projects!$C$27+Projects!$D$27),Projects!$B$27*INDEX(Curves!$B$4:$AR$4,1,84-Projects!$C$27+1),0)+IF(AND(Projects!$G$28="Yes",84&gt;=Projects!$C$28,84&lt;Projects!$C$28+Projects!$D$28),Projects!$B$28*INDEX(Curves!$B$4:$AR$4,1,84-Projects!$C$28+1),0)+IF(AND(Projects!$G$29="Yes",84&gt;=Projects!$C$29,84&lt;Projects!$C$29+Projects!$D$29),Projects!$B$29*INDEX(Curves!$B$4:$AR$4,1,84-Projects!$C$29+1),0)+IF(AND(Projects!$G$30="Yes",84&gt;=Projects!$C$30,84&lt;Projects!$C$30+Projects!$D$30),Projects!$B$30*INDEX(Curves!$B$4:$AR$4,1,84-Projects!$C$30+1),0)+IF(AND(Projects!$G$31="Yes",84&gt;=Projects!$C$31,84&lt;Projects!$C$31+Projects!$D$31),Projects!$B$31*INDEX(Curves!$B$4:$AR$4,1,84-Projects!$C$31+1),0)+IF(AND(Projects!$G$32="Yes",84&gt;=Projects!$C$32,84&lt;Projects!$C$32+Projects!$D$32),Projects!$B$32*INDEX(Curves!$B$4:$AR$4,1,84-Projects!$C$32+1),0)+IF(AND(Projects!$G$33="Yes",84&gt;=Projects!$C$33,84&lt;Projects!$C$33+Projects!$D$33),Projects!$B$33*INDEX(Curves!$B$4:$AR$4,1,84-Projects!$C$33+1),0)+IF(AND(Projects!$G$34="Yes",84&gt;=Projects!$C$34,84&lt;Projects!$C$34+Projects!$D$34),Projects!$B$34*INDEX(Curves!$B$4:$AR$4,1,84-Projects!$C$34+1),0)+IF(AND(Projects!$G$35="Yes",84&gt;=Projects!$C$35,84&lt;Projects!$C$35+Projects!$D$35),Projects!$B$35*INDEX(Curves!$B$4:$AR$4,1,84-Projects!$C$35+1),0)+IF(AND(Projects!$G$36="Yes",84&gt;=Projects!$C$36,84&lt;Projects!$C$36+Projects!$D$36),Projects!$B$36*INDEX(Curves!$B$4:$AR$4,1,84-Projects!$C$36+1),0)+IF(AND(Projects!$G$37="Yes",84&gt;=Projects!$C$37,84&lt;Projects!$C$37+Projects!$D$37),Projects!$B$37*INDEX(Curves!$B$4:$AR$4,1,84-Projects!$C$37+1),0)+IF(AND(Projects!$G$38="Yes",84&gt;=Projects!$C$38,84&lt;Projects!$C$38+Projects!$D$38),Projects!$B$38*INDEX(Curves!$B$4:$AR$4,1,84-Projects!$C$38+1),0)+IF(AND(Projects!$G$39="Yes",84&gt;=Projects!$C$39,84&lt;Projects!$C$39+Projects!$D$39),Projects!$B$39*INDEX(Curves!$B$4:$AR$4,1,84-Projects!$C$39+1),0)+IF(AND(Projects!$G$40="Yes",84&gt;=Projects!$C$40,84&lt;Projects!$C$40+Projects!$D$40),Projects!$B$40*INDEX(Curves!$B$4:$AR$4,1,84-Projects!$C$40+1),0)+IF(AND(Projects!$G$41="Yes",84&gt;=Projects!$C$41,84&lt;Projects!$C$41+Projects!$D$41),Projects!$B$41*INDEX(Curves!$B$4:$AR$4,1,84-Projects!$C$41+1),0)+IF(AND(Projects!$G$42="Yes",84&gt;=Projects!$C$42,84&lt;Projects!$C$42+Projects!$D$42),Projects!$B$42*INDEX(Curves!$B$4:$AR$4,1,84-Projects!$C$42+1),0)+IF(AND(Projects!$G$43="Yes",84&gt;=Projects!$C$43,84&lt;Projects!$C$43+Projects!$D$43),Projects!$B$43*INDEX(Curves!$B$4:$AR$4,1,84-Projects!$C$43+1),0)+IF(AND(Projects!$G$44="Yes",84&gt;=Projects!$C$44,84&lt;Projects!$C$44+Projects!$D$44),Projects!$B$44*INDEX(Curves!$B$4:$AR$4,1,84-Projects!$C$44+1),0)+IF(AND(Projects!$G$45="Yes",84&gt;=Projects!$C$45,84&lt;Projects!$C$45+Projects!$D$45),Projects!$B$45*INDEX(Curves!$B$4:$AR$4,1,84-Projects!$C$45+1),0)+IF(AND(Projects!$G$46="Yes",84&gt;=Projects!$C$46,84&lt;Projects!$C$46+Projects!$D$46),Projects!$B$46*INDEX(Curves!$B$4:$AR$4,1,84-Projects!$C$46+1),0)</f>
        <v/>
      </c>
      <c r="CL96" s="688">
        <f>IF(AND(Projects!$G$17="Yes",85&gt;=Projects!$C$17,85&lt;Projects!$C$17+Projects!$D$17),Projects!$B$17*INDEX(Curves!$B$4:$AR$4,1,85-Projects!$C$17+1),0)+IF(AND(Projects!$G$18="Yes",85&gt;=Projects!$C$18,85&lt;Projects!$C$18+Projects!$D$18),Projects!$B$18*INDEX(Curves!$B$4:$AR$4,1,85-Projects!$C$18+1),0)+IF(AND(Projects!$G$19="Yes",85&gt;=Projects!$C$19,85&lt;Projects!$C$19+Projects!$D$19),Projects!$B$19*INDEX(Curves!$B$4:$AR$4,1,85-Projects!$C$19+1),0)+IF(AND(Projects!$G$20="Yes",85&gt;=Projects!$C$20,85&lt;Projects!$C$20+Projects!$D$20),Projects!$B$20*INDEX(Curves!$B$4:$AR$4,1,85-Projects!$C$20+1),0)+IF(AND(Projects!$G$21="Yes",85&gt;=Projects!$C$21,85&lt;Projects!$C$21+Projects!$D$21),Projects!$B$21*INDEX(Curves!$B$4:$AR$4,1,85-Projects!$C$21+1),0)+IF(AND(Projects!$G$22="Yes",85&gt;=Projects!$C$22,85&lt;Projects!$C$22+Projects!$D$22),Projects!$B$22*INDEX(Curves!$B$4:$AR$4,1,85-Projects!$C$22+1),0)+IF(AND(Projects!$G$23="Yes",85&gt;=Projects!$C$23,85&lt;Projects!$C$23+Projects!$D$23),Projects!$B$23*INDEX(Curves!$B$4:$AR$4,1,85-Projects!$C$23+1),0)+IF(AND(Projects!$G$24="Yes",85&gt;=Projects!$C$24,85&lt;Projects!$C$24+Projects!$D$24),Projects!$B$24*INDEX(Curves!$B$4:$AR$4,1,85-Projects!$C$24+1),0)+IF(AND(Projects!$G$25="Yes",85&gt;=Projects!$C$25,85&lt;Projects!$C$25+Projects!$D$25),Projects!$B$25*INDEX(Curves!$B$4:$AR$4,1,85-Projects!$C$25+1),0)+IF(AND(Projects!$G$26="Yes",85&gt;=Projects!$C$26,85&lt;Projects!$C$26+Projects!$D$26),Projects!$B$26*INDEX(Curves!$B$4:$AR$4,1,85-Projects!$C$26+1),0)+IF(AND(Projects!$G$27="Yes",85&gt;=Projects!$C$27,85&lt;Projects!$C$27+Projects!$D$27),Projects!$B$27*INDEX(Curves!$B$4:$AR$4,1,85-Projects!$C$27+1),0)+IF(AND(Projects!$G$28="Yes",85&gt;=Projects!$C$28,85&lt;Projects!$C$28+Projects!$D$28),Projects!$B$28*INDEX(Curves!$B$4:$AR$4,1,85-Projects!$C$28+1),0)+IF(AND(Projects!$G$29="Yes",85&gt;=Projects!$C$29,85&lt;Projects!$C$29+Projects!$D$29),Projects!$B$29*INDEX(Curves!$B$4:$AR$4,1,85-Projects!$C$29+1),0)+IF(AND(Projects!$G$30="Yes",85&gt;=Projects!$C$30,85&lt;Projects!$C$30+Projects!$D$30),Projects!$B$30*INDEX(Curves!$B$4:$AR$4,1,85-Projects!$C$30+1),0)+IF(AND(Projects!$G$31="Yes",85&gt;=Projects!$C$31,85&lt;Projects!$C$31+Projects!$D$31),Projects!$B$31*INDEX(Curves!$B$4:$AR$4,1,85-Projects!$C$31+1),0)+IF(AND(Projects!$G$32="Yes",85&gt;=Projects!$C$32,85&lt;Projects!$C$32+Projects!$D$32),Projects!$B$32*INDEX(Curves!$B$4:$AR$4,1,85-Projects!$C$32+1),0)+IF(AND(Projects!$G$33="Yes",85&gt;=Projects!$C$33,85&lt;Projects!$C$33+Projects!$D$33),Projects!$B$33*INDEX(Curves!$B$4:$AR$4,1,85-Projects!$C$33+1),0)+IF(AND(Projects!$G$34="Yes",85&gt;=Projects!$C$34,85&lt;Projects!$C$34+Projects!$D$34),Projects!$B$34*INDEX(Curves!$B$4:$AR$4,1,85-Projects!$C$34+1),0)+IF(AND(Projects!$G$35="Yes",85&gt;=Projects!$C$35,85&lt;Projects!$C$35+Projects!$D$35),Projects!$B$35*INDEX(Curves!$B$4:$AR$4,1,85-Projects!$C$35+1),0)+IF(AND(Projects!$G$36="Yes",85&gt;=Projects!$C$36,85&lt;Projects!$C$36+Projects!$D$36),Projects!$B$36*INDEX(Curves!$B$4:$AR$4,1,85-Projects!$C$36+1),0)+IF(AND(Projects!$G$37="Yes",85&gt;=Projects!$C$37,85&lt;Projects!$C$37+Projects!$D$37),Projects!$B$37*INDEX(Curves!$B$4:$AR$4,1,85-Projects!$C$37+1),0)+IF(AND(Projects!$G$38="Yes",85&gt;=Projects!$C$38,85&lt;Projects!$C$38+Projects!$D$38),Projects!$B$38*INDEX(Curves!$B$4:$AR$4,1,85-Projects!$C$38+1),0)+IF(AND(Projects!$G$39="Yes",85&gt;=Projects!$C$39,85&lt;Projects!$C$39+Projects!$D$39),Projects!$B$39*INDEX(Curves!$B$4:$AR$4,1,85-Projects!$C$39+1),0)+IF(AND(Projects!$G$40="Yes",85&gt;=Projects!$C$40,85&lt;Projects!$C$40+Projects!$D$40),Projects!$B$40*INDEX(Curves!$B$4:$AR$4,1,85-Projects!$C$40+1),0)+IF(AND(Projects!$G$41="Yes",85&gt;=Projects!$C$41,85&lt;Projects!$C$41+Projects!$D$41),Projects!$B$41*INDEX(Curves!$B$4:$AR$4,1,85-Projects!$C$41+1),0)+IF(AND(Projects!$G$42="Yes",85&gt;=Projects!$C$42,85&lt;Projects!$C$42+Projects!$D$42),Projects!$B$42*INDEX(Curves!$B$4:$AR$4,1,85-Projects!$C$42+1),0)+IF(AND(Projects!$G$43="Yes",85&gt;=Projects!$C$43,85&lt;Projects!$C$43+Projects!$D$43),Projects!$B$43*INDEX(Curves!$B$4:$AR$4,1,85-Projects!$C$43+1),0)+IF(AND(Projects!$G$44="Yes",85&gt;=Projects!$C$44,85&lt;Projects!$C$44+Projects!$D$44),Projects!$B$44*INDEX(Curves!$B$4:$AR$4,1,85-Projects!$C$44+1),0)+IF(AND(Projects!$G$45="Yes",85&gt;=Projects!$C$45,85&lt;Projects!$C$45+Projects!$D$45),Projects!$B$45*INDEX(Curves!$B$4:$AR$4,1,85-Projects!$C$45+1),0)+IF(AND(Projects!$G$46="Yes",85&gt;=Projects!$C$46,85&lt;Projects!$C$46+Projects!$D$46),Projects!$B$46*INDEX(Curves!$B$4:$AR$4,1,85-Projects!$C$46+1),0)</f>
        <v/>
      </c>
      <c r="CM96" s="688">
        <f>IF(AND(Projects!$G$17="Yes",86&gt;=Projects!$C$17,86&lt;Projects!$C$17+Projects!$D$17),Projects!$B$17*INDEX(Curves!$B$4:$AR$4,1,86-Projects!$C$17+1),0)+IF(AND(Projects!$G$18="Yes",86&gt;=Projects!$C$18,86&lt;Projects!$C$18+Projects!$D$18),Projects!$B$18*INDEX(Curves!$B$4:$AR$4,1,86-Projects!$C$18+1),0)+IF(AND(Projects!$G$19="Yes",86&gt;=Projects!$C$19,86&lt;Projects!$C$19+Projects!$D$19),Projects!$B$19*INDEX(Curves!$B$4:$AR$4,1,86-Projects!$C$19+1),0)+IF(AND(Projects!$G$20="Yes",86&gt;=Projects!$C$20,86&lt;Projects!$C$20+Projects!$D$20),Projects!$B$20*INDEX(Curves!$B$4:$AR$4,1,86-Projects!$C$20+1),0)+IF(AND(Projects!$G$21="Yes",86&gt;=Projects!$C$21,86&lt;Projects!$C$21+Projects!$D$21),Projects!$B$21*INDEX(Curves!$B$4:$AR$4,1,86-Projects!$C$21+1),0)+IF(AND(Projects!$G$22="Yes",86&gt;=Projects!$C$22,86&lt;Projects!$C$22+Projects!$D$22),Projects!$B$22*INDEX(Curves!$B$4:$AR$4,1,86-Projects!$C$22+1),0)+IF(AND(Projects!$G$23="Yes",86&gt;=Projects!$C$23,86&lt;Projects!$C$23+Projects!$D$23),Projects!$B$23*INDEX(Curves!$B$4:$AR$4,1,86-Projects!$C$23+1),0)+IF(AND(Projects!$G$24="Yes",86&gt;=Projects!$C$24,86&lt;Projects!$C$24+Projects!$D$24),Projects!$B$24*INDEX(Curves!$B$4:$AR$4,1,86-Projects!$C$24+1),0)+IF(AND(Projects!$G$25="Yes",86&gt;=Projects!$C$25,86&lt;Projects!$C$25+Projects!$D$25),Projects!$B$25*INDEX(Curves!$B$4:$AR$4,1,86-Projects!$C$25+1),0)+IF(AND(Projects!$G$26="Yes",86&gt;=Projects!$C$26,86&lt;Projects!$C$26+Projects!$D$26),Projects!$B$26*INDEX(Curves!$B$4:$AR$4,1,86-Projects!$C$26+1),0)+IF(AND(Projects!$G$27="Yes",86&gt;=Projects!$C$27,86&lt;Projects!$C$27+Projects!$D$27),Projects!$B$27*INDEX(Curves!$B$4:$AR$4,1,86-Projects!$C$27+1),0)+IF(AND(Projects!$G$28="Yes",86&gt;=Projects!$C$28,86&lt;Projects!$C$28+Projects!$D$28),Projects!$B$28*INDEX(Curves!$B$4:$AR$4,1,86-Projects!$C$28+1),0)+IF(AND(Projects!$G$29="Yes",86&gt;=Projects!$C$29,86&lt;Projects!$C$29+Projects!$D$29),Projects!$B$29*INDEX(Curves!$B$4:$AR$4,1,86-Projects!$C$29+1),0)+IF(AND(Projects!$G$30="Yes",86&gt;=Projects!$C$30,86&lt;Projects!$C$30+Projects!$D$30),Projects!$B$30*INDEX(Curves!$B$4:$AR$4,1,86-Projects!$C$30+1),0)+IF(AND(Projects!$G$31="Yes",86&gt;=Projects!$C$31,86&lt;Projects!$C$31+Projects!$D$31),Projects!$B$31*INDEX(Curves!$B$4:$AR$4,1,86-Projects!$C$31+1),0)+IF(AND(Projects!$G$32="Yes",86&gt;=Projects!$C$32,86&lt;Projects!$C$32+Projects!$D$32),Projects!$B$32*INDEX(Curves!$B$4:$AR$4,1,86-Projects!$C$32+1),0)+IF(AND(Projects!$G$33="Yes",86&gt;=Projects!$C$33,86&lt;Projects!$C$33+Projects!$D$33),Projects!$B$33*INDEX(Curves!$B$4:$AR$4,1,86-Projects!$C$33+1),0)+IF(AND(Projects!$G$34="Yes",86&gt;=Projects!$C$34,86&lt;Projects!$C$34+Projects!$D$34),Projects!$B$34*INDEX(Curves!$B$4:$AR$4,1,86-Projects!$C$34+1),0)+IF(AND(Projects!$G$35="Yes",86&gt;=Projects!$C$35,86&lt;Projects!$C$35+Projects!$D$35),Projects!$B$35*INDEX(Curves!$B$4:$AR$4,1,86-Projects!$C$35+1),0)+IF(AND(Projects!$G$36="Yes",86&gt;=Projects!$C$36,86&lt;Projects!$C$36+Projects!$D$36),Projects!$B$36*INDEX(Curves!$B$4:$AR$4,1,86-Projects!$C$36+1),0)+IF(AND(Projects!$G$37="Yes",86&gt;=Projects!$C$37,86&lt;Projects!$C$37+Projects!$D$37),Projects!$B$37*INDEX(Curves!$B$4:$AR$4,1,86-Projects!$C$37+1),0)+IF(AND(Projects!$G$38="Yes",86&gt;=Projects!$C$38,86&lt;Projects!$C$38+Projects!$D$38),Projects!$B$38*INDEX(Curves!$B$4:$AR$4,1,86-Projects!$C$38+1),0)+IF(AND(Projects!$G$39="Yes",86&gt;=Projects!$C$39,86&lt;Projects!$C$39+Projects!$D$39),Projects!$B$39*INDEX(Curves!$B$4:$AR$4,1,86-Projects!$C$39+1),0)+IF(AND(Projects!$G$40="Yes",86&gt;=Projects!$C$40,86&lt;Projects!$C$40+Projects!$D$40),Projects!$B$40*INDEX(Curves!$B$4:$AR$4,1,86-Projects!$C$40+1),0)+IF(AND(Projects!$G$41="Yes",86&gt;=Projects!$C$41,86&lt;Projects!$C$41+Projects!$D$41),Projects!$B$41*INDEX(Curves!$B$4:$AR$4,1,86-Projects!$C$41+1),0)+IF(AND(Projects!$G$42="Yes",86&gt;=Projects!$C$42,86&lt;Projects!$C$42+Projects!$D$42),Projects!$B$42*INDEX(Curves!$B$4:$AR$4,1,86-Projects!$C$42+1),0)+IF(AND(Projects!$G$43="Yes",86&gt;=Projects!$C$43,86&lt;Projects!$C$43+Projects!$D$43),Projects!$B$43*INDEX(Curves!$B$4:$AR$4,1,86-Projects!$C$43+1),0)+IF(AND(Projects!$G$44="Yes",86&gt;=Projects!$C$44,86&lt;Projects!$C$44+Projects!$D$44),Projects!$B$44*INDEX(Curves!$B$4:$AR$4,1,86-Projects!$C$44+1),0)+IF(AND(Projects!$G$45="Yes",86&gt;=Projects!$C$45,86&lt;Projects!$C$45+Projects!$D$45),Projects!$B$45*INDEX(Curves!$B$4:$AR$4,1,86-Projects!$C$45+1),0)+IF(AND(Projects!$G$46="Yes",86&gt;=Projects!$C$46,86&lt;Projects!$C$46+Projects!$D$46),Projects!$B$46*INDEX(Curves!$B$4:$AR$4,1,86-Projects!$C$46+1),0)</f>
        <v/>
      </c>
      <c r="CN96" s="688">
        <f>IF(AND(Projects!$G$17="Yes",87&gt;=Projects!$C$17,87&lt;Projects!$C$17+Projects!$D$17),Projects!$B$17*INDEX(Curves!$B$4:$AR$4,1,87-Projects!$C$17+1),0)+IF(AND(Projects!$G$18="Yes",87&gt;=Projects!$C$18,87&lt;Projects!$C$18+Projects!$D$18),Projects!$B$18*INDEX(Curves!$B$4:$AR$4,1,87-Projects!$C$18+1),0)+IF(AND(Projects!$G$19="Yes",87&gt;=Projects!$C$19,87&lt;Projects!$C$19+Projects!$D$19),Projects!$B$19*INDEX(Curves!$B$4:$AR$4,1,87-Projects!$C$19+1),0)+IF(AND(Projects!$G$20="Yes",87&gt;=Projects!$C$20,87&lt;Projects!$C$20+Projects!$D$20),Projects!$B$20*INDEX(Curves!$B$4:$AR$4,1,87-Projects!$C$20+1),0)+IF(AND(Projects!$G$21="Yes",87&gt;=Projects!$C$21,87&lt;Projects!$C$21+Projects!$D$21),Projects!$B$21*INDEX(Curves!$B$4:$AR$4,1,87-Projects!$C$21+1),0)+IF(AND(Projects!$G$22="Yes",87&gt;=Projects!$C$22,87&lt;Projects!$C$22+Projects!$D$22),Projects!$B$22*INDEX(Curves!$B$4:$AR$4,1,87-Projects!$C$22+1),0)+IF(AND(Projects!$G$23="Yes",87&gt;=Projects!$C$23,87&lt;Projects!$C$23+Projects!$D$23),Projects!$B$23*INDEX(Curves!$B$4:$AR$4,1,87-Projects!$C$23+1),0)+IF(AND(Projects!$G$24="Yes",87&gt;=Projects!$C$24,87&lt;Projects!$C$24+Projects!$D$24),Projects!$B$24*INDEX(Curves!$B$4:$AR$4,1,87-Projects!$C$24+1),0)+IF(AND(Projects!$G$25="Yes",87&gt;=Projects!$C$25,87&lt;Projects!$C$25+Projects!$D$25),Projects!$B$25*INDEX(Curves!$B$4:$AR$4,1,87-Projects!$C$25+1),0)+IF(AND(Projects!$G$26="Yes",87&gt;=Projects!$C$26,87&lt;Projects!$C$26+Projects!$D$26),Projects!$B$26*INDEX(Curves!$B$4:$AR$4,1,87-Projects!$C$26+1),0)+IF(AND(Projects!$G$27="Yes",87&gt;=Projects!$C$27,87&lt;Projects!$C$27+Projects!$D$27),Projects!$B$27*INDEX(Curves!$B$4:$AR$4,1,87-Projects!$C$27+1),0)+IF(AND(Projects!$G$28="Yes",87&gt;=Projects!$C$28,87&lt;Projects!$C$28+Projects!$D$28),Projects!$B$28*INDEX(Curves!$B$4:$AR$4,1,87-Projects!$C$28+1),0)+IF(AND(Projects!$G$29="Yes",87&gt;=Projects!$C$29,87&lt;Projects!$C$29+Projects!$D$29),Projects!$B$29*INDEX(Curves!$B$4:$AR$4,1,87-Projects!$C$29+1),0)+IF(AND(Projects!$G$30="Yes",87&gt;=Projects!$C$30,87&lt;Projects!$C$30+Projects!$D$30),Projects!$B$30*INDEX(Curves!$B$4:$AR$4,1,87-Projects!$C$30+1),0)+IF(AND(Projects!$G$31="Yes",87&gt;=Projects!$C$31,87&lt;Projects!$C$31+Projects!$D$31),Projects!$B$31*INDEX(Curves!$B$4:$AR$4,1,87-Projects!$C$31+1),0)+IF(AND(Projects!$G$32="Yes",87&gt;=Projects!$C$32,87&lt;Projects!$C$32+Projects!$D$32),Projects!$B$32*INDEX(Curves!$B$4:$AR$4,1,87-Projects!$C$32+1),0)+IF(AND(Projects!$G$33="Yes",87&gt;=Projects!$C$33,87&lt;Projects!$C$33+Projects!$D$33),Projects!$B$33*INDEX(Curves!$B$4:$AR$4,1,87-Projects!$C$33+1),0)+IF(AND(Projects!$G$34="Yes",87&gt;=Projects!$C$34,87&lt;Projects!$C$34+Projects!$D$34),Projects!$B$34*INDEX(Curves!$B$4:$AR$4,1,87-Projects!$C$34+1),0)+IF(AND(Projects!$G$35="Yes",87&gt;=Projects!$C$35,87&lt;Projects!$C$35+Projects!$D$35),Projects!$B$35*INDEX(Curves!$B$4:$AR$4,1,87-Projects!$C$35+1),0)+IF(AND(Projects!$G$36="Yes",87&gt;=Projects!$C$36,87&lt;Projects!$C$36+Projects!$D$36),Projects!$B$36*INDEX(Curves!$B$4:$AR$4,1,87-Projects!$C$36+1),0)+IF(AND(Projects!$G$37="Yes",87&gt;=Projects!$C$37,87&lt;Projects!$C$37+Projects!$D$37),Projects!$B$37*INDEX(Curves!$B$4:$AR$4,1,87-Projects!$C$37+1),0)+IF(AND(Projects!$G$38="Yes",87&gt;=Projects!$C$38,87&lt;Projects!$C$38+Projects!$D$38),Projects!$B$38*INDEX(Curves!$B$4:$AR$4,1,87-Projects!$C$38+1),0)+IF(AND(Projects!$G$39="Yes",87&gt;=Projects!$C$39,87&lt;Projects!$C$39+Projects!$D$39),Projects!$B$39*INDEX(Curves!$B$4:$AR$4,1,87-Projects!$C$39+1),0)+IF(AND(Projects!$G$40="Yes",87&gt;=Projects!$C$40,87&lt;Projects!$C$40+Projects!$D$40),Projects!$B$40*INDEX(Curves!$B$4:$AR$4,1,87-Projects!$C$40+1),0)+IF(AND(Projects!$G$41="Yes",87&gt;=Projects!$C$41,87&lt;Projects!$C$41+Projects!$D$41),Projects!$B$41*INDEX(Curves!$B$4:$AR$4,1,87-Projects!$C$41+1),0)+IF(AND(Projects!$G$42="Yes",87&gt;=Projects!$C$42,87&lt;Projects!$C$42+Projects!$D$42),Projects!$B$42*INDEX(Curves!$B$4:$AR$4,1,87-Projects!$C$42+1),0)+IF(AND(Projects!$G$43="Yes",87&gt;=Projects!$C$43,87&lt;Projects!$C$43+Projects!$D$43),Projects!$B$43*INDEX(Curves!$B$4:$AR$4,1,87-Projects!$C$43+1),0)+IF(AND(Projects!$G$44="Yes",87&gt;=Projects!$C$44,87&lt;Projects!$C$44+Projects!$D$44),Projects!$B$44*INDEX(Curves!$B$4:$AR$4,1,87-Projects!$C$44+1),0)+IF(AND(Projects!$G$45="Yes",87&gt;=Projects!$C$45,87&lt;Projects!$C$45+Projects!$D$45),Projects!$B$45*INDEX(Curves!$B$4:$AR$4,1,87-Projects!$C$45+1),0)+IF(AND(Projects!$G$46="Yes",87&gt;=Projects!$C$46,87&lt;Projects!$C$46+Projects!$D$46),Projects!$B$46*INDEX(Curves!$B$4:$AR$4,1,87-Projects!$C$46+1),0)</f>
        <v/>
      </c>
      <c r="CO96" s="688">
        <f>IF(AND(Projects!$G$17="Yes",88&gt;=Projects!$C$17,88&lt;Projects!$C$17+Projects!$D$17),Projects!$B$17*INDEX(Curves!$B$4:$AR$4,1,88-Projects!$C$17+1),0)+IF(AND(Projects!$G$18="Yes",88&gt;=Projects!$C$18,88&lt;Projects!$C$18+Projects!$D$18),Projects!$B$18*INDEX(Curves!$B$4:$AR$4,1,88-Projects!$C$18+1),0)+IF(AND(Projects!$G$19="Yes",88&gt;=Projects!$C$19,88&lt;Projects!$C$19+Projects!$D$19),Projects!$B$19*INDEX(Curves!$B$4:$AR$4,1,88-Projects!$C$19+1),0)+IF(AND(Projects!$G$20="Yes",88&gt;=Projects!$C$20,88&lt;Projects!$C$20+Projects!$D$20),Projects!$B$20*INDEX(Curves!$B$4:$AR$4,1,88-Projects!$C$20+1),0)+IF(AND(Projects!$G$21="Yes",88&gt;=Projects!$C$21,88&lt;Projects!$C$21+Projects!$D$21),Projects!$B$21*INDEX(Curves!$B$4:$AR$4,1,88-Projects!$C$21+1),0)+IF(AND(Projects!$G$22="Yes",88&gt;=Projects!$C$22,88&lt;Projects!$C$22+Projects!$D$22),Projects!$B$22*INDEX(Curves!$B$4:$AR$4,1,88-Projects!$C$22+1),0)+IF(AND(Projects!$G$23="Yes",88&gt;=Projects!$C$23,88&lt;Projects!$C$23+Projects!$D$23),Projects!$B$23*INDEX(Curves!$B$4:$AR$4,1,88-Projects!$C$23+1),0)+IF(AND(Projects!$G$24="Yes",88&gt;=Projects!$C$24,88&lt;Projects!$C$24+Projects!$D$24),Projects!$B$24*INDEX(Curves!$B$4:$AR$4,1,88-Projects!$C$24+1),0)+IF(AND(Projects!$G$25="Yes",88&gt;=Projects!$C$25,88&lt;Projects!$C$25+Projects!$D$25),Projects!$B$25*INDEX(Curves!$B$4:$AR$4,1,88-Projects!$C$25+1),0)+IF(AND(Projects!$G$26="Yes",88&gt;=Projects!$C$26,88&lt;Projects!$C$26+Projects!$D$26),Projects!$B$26*INDEX(Curves!$B$4:$AR$4,1,88-Projects!$C$26+1),0)+IF(AND(Projects!$G$27="Yes",88&gt;=Projects!$C$27,88&lt;Projects!$C$27+Projects!$D$27),Projects!$B$27*INDEX(Curves!$B$4:$AR$4,1,88-Projects!$C$27+1),0)+IF(AND(Projects!$G$28="Yes",88&gt;=Projects!$C$28,88&lt;Projects!$C$28+Projects!$D$28),Projects!$B$28*INDEX(Curves!$B$4:$AR$4,1,88-Projects!$C$28+1),0)+IF(AND(Projects!$G$29="Yes",88&gt;=Projects!$C$29,88&lt;Projects!$C$29+Projects!$D$29),Projects!$B$29*INDEX(Curves!$B$4:$AR$4,1,88-Projects!$C$29+1),0)+IF(AND(Projects!$G$30="Yes",88&gt;=Projects!$C$30,88&lt;Projects!$C$30+Projects!$D$30),Projects!$B$30*INDEX(Curves!$B$4:$AR$4,1,88-Projects!$C$30+1),0)+IF(AND(Projects!$G$31="Yes",88&gt;=Projects!$C$31,88&lt;Projects!$C$31+Projects!$D$31),Projects!$B$31*INDEX(Curves!$B$4:$AR$4,1,88-Projects!$C$31+1),0)+IF(AND(Projects!$G$32="Yes",88&gt;=Projects!$C$32,88&lt;Projects!$C$32+Projects!$D$32),Projects!$B$32*INDEX(Curves!$B$4:$AR$4,1,88-Projects!$C$32+1),0)+IF(AND(Projects!$G$33="Yes",88&gt;=Projects!$C$33,88&lt;Projects!$C$33+Projects!$D$33),Projects!$B$33*INDEX(Curves!$B$4:$AR$4,1,88-Projects!$C$33+1),0)+IF(AND(Projects!$G$34="Yes",88&gt;=Projects!$C$34,88&lt;Projects!$C$34+Projects!$D$34),Projects!$B$34*INDEX(Curves!$B$4:$AR$4,1,88-Projects!$C$34+1),0)+IF(AND(Projects!$G$35="Yes",88&gt;=Projects!$C$35,88&lt;Projects!$C$35+Projects!$D$35),Projects!$B$35*INDEX(Curves!$B$4:$AR$4,1,88-Projects!$C$35+1),0)+IF(AND(Projects!$G$36="Yes",88&gt;=Projects!$C$36,88&lt;Projects!$C$36+Projects!$D$36),Projects!$B$36*INDEX(Curves!$B$4:$AR$4,1,88-Projects!$C$36+1),0)+IF(AND(Projects!$G$37="Yes",88&gt;=Projects!$C$37,88&lt;Projects!$C$37+Projects!$D$37),Projects!$B$37*INDEX(Curves!$B$4:$AR$4,1,88-Projects!$C$37+1),0)+IF(AND(Projects!$G$38="Yes",88&gt;=Projects!$C$38,88&lt;Projects!$C$38+Projects!$D$38),Projects!$B$38*INDEX(Curves!$B$4:$AR$4,1,88-Projects!$C$38+1),0)+IF(AND(Projects!$G$39="Yes",88&gt;=Projects!$C$39,88&lt;Projects!$C$39+Projects!$D$39),Projects!$B$39*INDEX(Curves!$B$4:$AR$4,1,88-Projects!$C$39+1),0)+IF(AND(Projects!$G$40="Yes",88&gt;=Projects!$C$40,88&lt;Projects!$C$40+Projects!$D$40),Projects!$B$40*INDEX(Curves!$B$4:$AR$4,1,88-Projects!$C$40+1),0)+IF(AND(Projects!$G$41="Yes",88&gt;=Projects!$C$41,88&lt;Projects!$C$41+Projects!$D$41),Projects!$B$41*INDEX(Curves!$B$4:$AR$4,1,88-Projects!$C$41+1),0)+IF(AND(Projects!$G$42="Yes",88&gt;=Projects!$C$42,88&lt;Projects!$C$42+Projects!$D$42),Projects!$B$42*INDEX(Curves!$B$4:$AR$4,1,88-Projects!$C$42+1),0)+IF(AND(Projects!$G$43="Yes",88&gt;=Projects!$C$43,88&lt;Projects!$C$43+Projects!$D$43),Projects!$B$43*INDEX(Curves!$B$4:$AR$4,1,88-Projects!$C$43+1),0)+IF(AND(Projects!$G$44="Yes",88&gt;=Projects!$C$44,88&lt;Projects!$C$44+Projects!$D$44),Projects!$B$44*INDEX(Curves!$B$4:$AR$4,1,88-Projects!$C$44+1),0)+IF(AND(Projects!$G$45="Yes",88&gt;=Projects!$C$45,88&lt;Projects!$C$45+Projects!$D$45),Projects!$B$45*INDEX(Curves!$B$4:$AR$4,1,88-Projects!$C$45+1),0)+IF(AND(Projects!$G$46="Yes",88&gt;=Projects!$C$46,88&lt;Projects!$C$46+Projects!$D$46),Projects!$B$46*INDEX(Curves!$B$4:$AR$4,1,88-Projects!$C$46+1),0)</f>
        <v/>
      </c>
      <c r="CP96" s="688">
        <f>IF(AND(Projects!$G$17="Yes",89&gt;=Projects!$C$17,89&lt;Projects!$C$17+Projects!$D$17),Projects!$B$17*INDEX(Curves!$B$4:$AR$4,1,89-Projects!$C$17+1),0)+IF(AND(Projects!$G$18="Yes",89&gt;=Projects!$C$18,89&lt;Projects!$C$18+Projects!$D$18),Projects!$B$18*INDEX(Curves!$B$4:$AR$4,1,89-Projects!$C$18+1),0)+IF(AND(Projects!$G$19="Yes",89&gt;=Projects!$C$19,89&lt;Projects!$C$19+Projects!$D$19),Projects!$B$19*INDEX(Curves!$B$4:$AR$4,1,89-Projects!$C$19+1),0)+IF(AND(Projects!$G$20="Yes",89&gt;=Projects!$C$20,89&lt;Projects!$C$20+Projects!$D$20),Projects!$B$20*INDEX(Curves!$B$4:$AR$4,1,89-Projects!$C$20+1),0)+IF(AND(Projects!$G$21="Yes",89&gt;=Projects!$C$21,89&lt;Projects!$C$21+Projects!$D$21),Projects!$B$21*INDEX(Curves!$B$4:$AR$4,1,89-Projects!$C$21+1),0)+IF(AND(Projects!$G$22="Yes",89&gt;=Projects!$C$22,89&lt;Projects!$C$22+Projects!$D$22),Projects!$B$22*INDEX(Curves!$B$4:$AR$4,1,89-Projects!$C$22+1),0)+IF(AND(Projects!$G$23="Yes",89&gt;=Projects!$C$23,89&lt;Projects!$C$23+Projects!$D$23),Projects!$B$23*INDEX(Curves!$B$4:$AR$4,1,89-Projects!$C$23+1),0)+IF(AND(Projects!$G$24="Yes",89&gt;=Projects!$C$24,89&lt;Projects!$C$24+Projects!$D$24),Projects!$B$24*INDEX(Curves!$B$4:$AR$4,1,89-Projects!$C$24+1),0)+IF(AND(Projects!$G$25="Yes",89&gt;=Projects!$C$25,89&lt;Projects!$C$25+Projects!$D$25),Projects!$B$25*INDEX(Curves!$B$4:$AR$4,1,89-Projects!$C$25+1),0)+IF(AND(Projects!$G$26="Yes",89&gt;=Projects!$C$26,89&lt;Projects!$C$26+Projects!$D$26),Projects!$B$26*INDEX(Curves!$B$4:$AR$4,1,89-Projects!$C$26+1),0)+IF(AND(Projects!$G$27="Yes",89&gt;=Projects!$C$27,89&lt;Projects!$C$27+Projects!$D$27),Projects!$B$27*INDEX(Curves!$B$4:$AR$4,1,89-Projects!$C$27+1),0)+IF(AND(Projects!$G$28="Yes",89&gt;=Projects!$C$28,89&lt;Projects!$C$28+Projects!$D$28),Projects!$B$28*INDEX(Curves!$B$4:$AR$4,1,89-Projects!$C$28+1),0)+IF(AND(Projects!$G$29="Yes",89&gt;=Projects!$C$29,89&lt;Projects!$C$29+Projects!$D$29),Projects!$B$29*INDEX(Curves!$B$4:$AR$4,1,89-Projects!$C$29+1),0)+IF(AND(Projects!$G$30="Yes",89&gt;=Projects!$C$30,89&lt;Projects!$C$30+Projects!$D$30),Projects!$B$30*INDEX(Curves!$B$4:$AR$4,1,89-Projects!$C$30+1),0)+IF(AND(Projects!$G$31="Yes",89&gt;=Projects!$C$31,89&lt;Projects!$C$31+Projects!$D$31),Projects!$B$31*INDEX(Curves!$B$4:$AR$4,1,89-Projects!$C$31+1),0)+IF(AND(Projects!$G$32="Yes",89&gt;=Projects!$C$32,89&lt;Projects!$C$32+Projects!$D$32),Projects!$B$32*INDEX(Curves!$B$4:$AR$4,1,89-Projects!$C$32+1),0)+IF(AND(Projects!$G$33="Yes",89&gt;=Projects!$C$33,89&lt;Projects!$C$33+Projects!$D$33),Projects!$B$33*INDEX(Curves!$B$4:$AR$4,1,89-Projects!$C$33+1),0)+IF(AND(Projects!$G$34="Yes",89&gt;=Projects!$C$34,89&lt;Projects!$C$34+Projects!$D$34),Projects!$B$34*INDEX(Curves!$B$4:$AR$4,1,89-Projects!$C$34+1),0)+IF(AND(Projects!$G$35="Yes",89&gt;=Projects!$C$35,89&lt;Projects!$C$35+Projects!$D$35),Projects!$B$35*INDEX(Curves!$B$4:$AR$4,1,89-Projects!$C$35+1),0)+IF(AND(Projects!$G$36="Yes",89&gt;=Projects!$C$36,89&lt;Projects!$C$36+Projects!$D$36),Projects!$B$36*INDEX(Curves!$B$4:$AR$4,1,89-Projects!$C$36+1),0)+IF(AND(Projects!$G$37="Yes",89&gt;=Projects!$C$37,89&lt;Projects!$C$37+Projects!$D$37),Projects!$B$37*INDEX(Curves!$B$4:$AR$4,1,89-Projects!$C$37+1),0)+IF(AND(Projects!$G$38="Yes",89&gt;=Projects!$C$38,89&lt;Projects!$C$38+Projects!$D$38),Projects!$B$38*INDEX(Curves!$B$4:$AR$4,1,89-Projects!$C$38+1),0)+IF(AND(Projects!$G$39="Yes",89&gt;=Projects!$C$39,89&lt;Projects!$C$39+Projects!$D$39),Projects!$B$39*INDEX(Curves!$B$4:$AR$4,1,89-Projects!$C$39+1),0)+IF(AND(Projects!$G$40="Yes",89&gt;=Projects!$C$40,89&lt;Projects!$C$40+Projects!$D$40),Projects!$B$40*INDEX(Curves!$B$4:$AR$4,1,89-Projects!$C$40+1),0)+IF(AND(Projects!$G$41="Yes",89&gt;=Projects!$C$41,89&lt;Projects!$C$41+Projects!$D$41),Projects!$B$41*INDEX(Curves!$B$4:$AR$4,1,89-Projects!$C$41+1),0)+IF(AND(Projects!$G$42="Yes",89&gt;=Projects!$C$42,89&lt;Projects!$C$42+Projects!$D$42),Projects!$B$42*INDEX(Curves!$B$4:$AR$4,1,89-Projects!$C$42+1),0)+IF(AND(Projects!$G$43="Yes",89&gt;=Projects!$C$43,89&lt;Projects!$C$43+Projects!$D$43),Projects!$B$43*INDEX(Curves!$B$4:$AR$4,1,89-Projects!$C$43+1),0)+IF(AND(Projects!$G$44="Yes",89&gt;=Projects!$C$44,89&lt;Projects!$C$44+Projects!$D$44),Projects!$B$44*INDEX(Curves!$B$4:$AR$4,1,89-Projects!$C$44+1),0)+IF(AND(Projects!$G$45="Yes",89&gt;=Projects!$C$45,89&lt;Projects!$C$45+Projects!$D$45),Projects!$B$45*INDEX(Curves!$B$4:$AR$4,1,89-Projects!$C$45+1),0)+IF(AND(Projects!$G$46="Yes",89&gt;=Projects!$C$46,89&lt;Projects!$C$46+Projects!$D$46),Projects!$B$46*INDEX(Curves!$B$4:$AR$4,1,89-Projects!$C$46+1),0)</f>
        <v/>
      </c>
      <c r="CQ96" s="688">
        <f>IF(AND(Projects!$G$17="Yes",90&gt;=Projects!$C$17,90&lt;Projects!$C$17+Projects!$D$17),Projects!$B$17*INDEX(Curves!$B$4:$AR$4,1,90-Projects!$C$17+1),0)+IF(AND(Projects!$G$18="Yes",90&gt;=Projects!$C$18,90&lt;Projects!$C$18+Projects!$D$18),Projects!$B$18*INDEX(Curves!$B$4:$AR$4,1,90-Projects!$C$18+1),0)+IF(AND(Projects!$G$19="Yes",90&gt;=Projects!$C$19,90&lt;Projects!$C$19+Projects!$D$19),Projects!$B$19*INDEX(Curves!$B$4:$AR$4,1,90-Projects!$C$19+1),0)+IF(AND(Projects!$G$20="Yes",90&gt;=Projects!$C$20,90&lt;Projects!$C$20+Projects!$D$20),Projects!$B$20*INDEX(Curves!$B$4:$AR$4,1,90-Projects!$C$20+1),0)+IF(AND(Projects!$G$21="Yes",90&gt;=Projects!$C$21,90&lt;Projects!$C$21+Projects!$D$21),Projects!$B$21*INDEX(Curves!$B$4:$AR$4,1,90-Projects!$C$21+1),0)+IF(AND(Projects!$G$22="Yes",90&gt;=Projects!$C$22,90&lt;Projects!$C$22+Projects!$D$22),Projects!$B$22*INDEX(Curves!$B$4:$AR$4,1,90-Projects!$C$22+1),0)+IF(AND(Projects!$G$23="Yes",90&gt;=Projects!$C$23,90&lt;Projects!$C$23+Projects!$D$23),Projects!$B$23*INDEX(Curves!$B$4:$AR$4,1,90-Projects!$C$23+1),0)+IF(AND(Projects!$G$24="Yes",90&gt;=Projects!$C$24,90&lt;Projects!$C$24+Projects!$D$24),Projects!$B$24*INDEX(Curves!$B$4:$AR$4,1,90-Projects!$C$24+1),0)+IF(AND(Projects!$G$25="Yes",90&gt;=Projects!$C$25,90&lt;Projects!$C$25+Projects!$D$25),Projects!$B$25*INDEX(Curves!$B$4:$AR$4,1,90-Projects!$C$25+1),0)+IF(AND(Projects!$G$26="Yes",90&gt;=Projects!$C$26,90&lt;Projects!$C$26+Projects!$D$26),Projects!$B$26*INDEX(Curves!$B$4:$AR$4,1,90-Projects!$C$26+1),0)+IF(AND(Projects!$G$27="Yes",90&gt;=Projects!$C$27,90&lt;Projects!$C$27+Projects!$D$27),Projects!$B$27*INDEX(Curves!$B$4:$AR$4,1,90-Projects!$C$27+1),0)+IF(AND(Projects!$G$28="Yes",90&gt;=Projects!$C$28,90&lt;Projects!$C$28+Projects!$D$28),Projects!$B$28*INDEX(Curves!$B$4:$AR$4,1,90-Projects!$C$28+1),0)+IF(AND(Projects!$G$29="Yes",90&gt;=Projects!$C$29,90&lt;Projects!$C$29+Projects!$D$29),Projects!$B$29*INDEX(Curves!$B$4:$AR$4,1,90-Projects!$C$29+1),0)+IF(AND(Projects!$G$30="Yes",90&gt;=Projects!$C$30,90&lt;Projects!$C$30+Projects!$D$30),Projects!$B$30*INDEX(Curves!$B$4:$AR$4,1,90-Projects!$C$30+1),0)+IF(AND(Projects!$G$31="Yes",90&gt;=Projects!$C$31,90&lt;Projects!$C$31+Projects!$D$31),Projects!$B$31*INDEX(Curves!$B$4:$AR$4,1,90-Projects!$C$31+1),0)+IF(AND(Projects!$G$32="Yes",90&gt;=Projects!$C$32,90&lt;Projects!$C$32+Projects!$D$32),Projects!$B$32*INDEX(Curves!$B$4:$AR$4,1,90-Projects!$C$32+1),0)+IF(AND(Projects!$G$33="Yes",90&gt;=Projects!$C$33,90&lt;Projects!$C$33+Projects!$D$33),Projects!$B$33*INDEX(Curves!$B$4:$AR$4,1,90-Projects!$C$33+1),0)+IF(AND(Projects!$G$34="Yes",90&gt;=Projects!$C$34,90&lt;Projects!$C$34+Projects!$D$34),Projects!$B$34*INDEX(Curves!$B$4:$AR$4,1,90-Projects!$C$34+1),0)+IF(AND(Projects!$G$35="Yes",90&gt;=Projects!$C$35,90&lt;Projects!$C$35+Projects!$D$35),Projects!$B$35*INDEX(Curves!$B$4:$AR$4,1,90-Projects!$C$35+1),0)+IF(AND(Projects!$G$36="Yes",90&gt;=Projects!$C$36,90&lt;Projects!$C$36+Projects!$D$36),Projects!$B$36*INDEX(Curves!$B$4:$AR$4,1,90-Projects!$C$36+1),0)+IF(AND(Projects!$G$37="Yes",90&gt;=Projects!$C$37,90&lt;Projects!$C$37+Projects!$D$37),Projects!$B$37*INDEX(Curves!$B$4:$AR$4,1,90-Projects!$C$37+1),0)+IF(AND(Projects!$G$38="Yes",90&gt;=Projects!$C$38,90&lt;Projects!$C$38+Projects!$D$38),Projects!$B$38*INDEX(Curves!$B$4:$AR$4,1,90-Projects!$C$38+1),0)+IF(AND(Projects!$G$39="Yes",90&gt;=Projects!$C$39,90&lt;Projects!$C$39+Projects!$D$39),Projects!$B$39*INDEX(Curves!$B$4:$AR$4,1,90-Projects!$C$39+1),0)+IF(AND(Projects!$G$40="Yes",90&gt;=Projects!$C$40,90&lt;Projects!$C$40+Projects!$D$40),Projects!$B$40*INDEX(Curves!$B$4:$AR$4,1,90-Projects!$C$40+1),0)+IF(AND(Projects!$G$41="Yes",90&gt;=Projects!$C$41,90&lt;Projects!$C$41+Projects!$D$41),Projects!$B$41*INDEX(Curves!$B$4:$AR$4,1,90-Projects!$C$41+1),0)+IF(AND(Projects!$G$42="Yes",90&gt;=Projects!$C$42,90&lt;Projects!$C$42+Projects!$D$42),Projects!$B$42*INDEX(Curves!$B$4:$AR$4,1,90-Projects!$C$42+1),0)+IF(AND(Projects!$G$43="Yes",90&gt;=Projects!$C$43,90&lt;Projects!$C$43+Projects!$D$43),Projects!$B$43*INDEX(Curves!$B$4:$AR$4,1,90-Projects!$C$43+1),0)+IF(AND(Projects!$G$44="Yes",90&gt;=Projects!$C$44,90&lt;Projects!$C$44+Projects!$D$44),Projects!$B$44*INDEX(Curves!$B$4:$AR$4,1,90-Projects!$C$44+1),0)+IF(AND(Projects!$G$45="Yes",90&gt;=Projects!$C$45,90&lt;Projects!$C$45+Projects!$D$45),Projects!$B$45*INDEX(Curves!$B$4:$AR$4,1,90-Projects!$C$45+1),0)+IF(AND(Projects!$G$46="Yes",90&gt;=Projects!$C$46,90&lt;Projects!$C$46+Projects!$D$46),Projects!$B$46*INDEX(Curves!$B$4:$AR$4,1,90-Projects!$C$46+1),0)</f>
        <v/>
      </c>
      <c r="CR96" s="688">
        <f>IF(AND(Projects!$G$17="Yes",91&gt;=Projects!$C$17,91&lt;Projects!$C$17+Projects!$D$17),Projects!$B$17*INDEX(Curves!$B$4:$AR$4,1,91-Projects!$C$17+1),0)+IF(AND(Projects!$G$18="Yes",91&gt;=Projects!$C$18,91&lt;Projects!$C$18+Projects!$D$18),Projects!$B$18*INDEX(Curves!$B$4:$AR$4,1,91-Projects!$C$18+1),0)+IF(AND(Projects!$G$19="Yes",91&gt;=Projects!$C$19,91&lt;Projects!$C$19+Projects!$D$19),Projects!$B$19*INDEX(Curves!$B$4:$AR$4,1,91-Projects!$C$19+1),0)+IF(AND(Projects!$G$20="Yes",91&gt;=Projects!$C$20,91&lt;Projects!$C$20+Projects!$D$20),Projects!$B$20*INDEX(Curves!$B$4:$AR$4,1,91-Projects!$C$20+1),0)+IF(AND(Projects!$G$21="Yes",91&gt;=Projects!$C$21,91&lt;Projects!$C$21+Projects!$D$21),Projects!$B$21*INDEX(Curves!$B$4:$AR$4,1,91-Projects!$C$21+1),0)+IF(AND(Projects!$G$22="Yes",91&gt;=Projects!$C$22,91&lt;Projects!$C$22+Projects!$D$22),Projects!$B$22*INDEX(Curves!$B$4:$AR$4,1,91-Projects!$C$22+1),0)+IF(AND(Projects!$G$23="Yes",91&gt;=Projects!$C$23,91&lt;Projects!$C$23+Projects!$D$23),Projects!$B$23*INDEX(Curves!$B$4:$AR$4,1,91-Projects!$C$23+1),0)+IF(AND(Projects!$G$24="Yes",91&gt;=Projects!$C$24,91&lt;Projects!$C$24+Projects!$D$24),Projects!$B$24*INDEX(Curves!$B$4:$AR$4,1,91-Projects!$C$24+1),0)+IF(AND(Projects!$G$25="Yes",91&gt;=Projects!$C$25,91&lt;Projects!$C$25+Projects!$D$25),Projects!$B$25*INDEX(Curves!$B$4:$AR$4,1,91-Projects!$C$25+1),0)+IF(AND(Projects!$G$26="Yes",91&gt;=Projects!$C$26,91&lt;Projects!$C$26+Projects!$D$26),Projects!$B$26*INDEX(Curves!$B$4:$AR$4,1,91-Projects!$C$26+1),0)+IF(AND(Projects!$G$27="Yes",91&gt;=Projects!$C$27,91&lt;Projects!$C$27+Projects!$D$27),Projects!$B$27*INDEX(Curves!$B$4:$AR$4,1,91-Projects!$C$27+1),0)+IF(AND(Projects!$G$28="Yes",91&gt;=Projects!$C$28,91&lt;Projects!$C$28+Projects!$D$28),Projects!$B$28*INDEX(Curves!$B$4:$AR$4,1,91-Projects!$C$28+1),0)+IF(AND(Projects!$G$29="Yes",91&gt;=Projects!$C$29,91&lt;Projects!$C$29+Projects!$D$29),Projects!$B$29*INDEX(Curves!$B$4:$AR$4,1,91-Projects!$C$29+1),0)+IF(AND(Projects!$G$30="Yes",91&gt;=Projects!$C$30,91&lt;Projects!$C$30+Projects!$D$30),Projects!$B$30*INDEX(Curves!$B$4:$AR$4,1,91-Projects!$C$30+1),0)+IF(AND(Projects!$G$31="Yes",91&gt;=Projects!$C$31,91&lt;Projects!$C$31+Projects!$D$31),Projects!$B$31*INDEX(Curves!$B$4:$AR$4,1,91-Projects!$C$31+1),0)+IF(AND(Projects!$G$32="Yes",91&gt;=Projects!$C$32,91&lt;Projects!$C$32+Projects!$D$32),Projects!$B$32*INDEX(Curves!$B$4:$AR$4,1,91-Projects!$C$32+1),0)+IF(AND(Projects!$G$33="Yes",91&gt;=Projects!$C$33,91&lt;Projects!$C$33+Projects!$D$33),Projects!$B$33*INDEX(Curves!$B$4:$AR$4,1,91-Projects!$C$33+1),0)+IF(AND(Projects!$G$34="Yes",91&gt;=Projects!$C$34,91&lt;Projects!$C$34+Projects!$D$34),Projects!$B$34*INDEX(Curves!$B$4:$AR$4,1,91-Projects!$C$34+1),0)+IF(AND(Projects!$G$35="Yes",91&gt;=Projects!$C$35,91&lt;Projects!$C$35+Projects!$D$35),Projects!$B$35*INDEX(Curves!$B$4:$AR$4,1,91-Projects!$C$35+1),0)+IF(AND(Projects!$G$36="Yes",91&gt;=Projects!$C$36,91&lt;Projects!$C$36+Projects!$D$36),Projects!$B$36*INDEX(Curves!$B$4:$AR$4,1,91-Projects!$C$36+1),0)+IF(AND(Projects!$G$37="Yes",91&gt;=Projects!$C$37,91&lt;Projects!$C$37+Projects!$D$37),Projects!$B$37*INDEX(Curves!$B$4:$AR$4,1,91-Projects!$C$37+1),0)+IF(AND(Projects!$G$38="Yes",91&gt;=Projects!$C$38,91&lt;Projects!$C$38+Projects!$D$38),Projects!$B$38*INDEX(Curves!$B$4:$AR$4,1,91-Projects!$C$38+1),0)+IF(AND(Projects!$G$39="Yes",91&gt;=Projects!$C$39,91&lt;Projects!$C$39+Projects!$D$39),Projects!$B$39*INDEX(Curves!$B$4:$AR$4,1,91-Projects!$C$39+1),0)+IF(AND(Projects!$G$40="Yes",91&gt;=Projects!$C$40,91&lt;Projects!$C$40+Projects!$D$40),Projects!$B$40*INDEX(Curves!$B$4:$AR$4,1,91-Projects!$C$40+1),0)+IF(AND(Projects!$G$41="Yes",91&gt;=Projects!$C$41,91&lt;Projects!$C$41+Projects!$D$41),Projects!$B$41*INDEX(Curves!$B$4:$AR$4,1,91-Projects!$C$41+1),0)+IF(AND(Projects!$G$42="Yes",91&gt;=Projects!$C$42,91&lt;Projects!$C$42+Projects!$D$42),Projects!$B$42*INDEX(Curves!$B$4:$AR$4,1,91-Projects!$C$42+1),0)+IF(AND(Projects!$G$43="Yes",91&gt;=Projects!$C$43,91&lt;Projects!$C$43+Projects!$D$43),Projects!$B$43*INDEX(Curves!$B$4:$AR$4,1,91-Projects!$C$43+1),0)+IF(AND(Projects!$G$44="Yes",91&gt;=Projects!$C$44,91&lt;Projects!$C$44+Projects!$D$44),Projects!$B$44*INDEX(Curves!$B$4:$AR$4,1,91-Projects!$C$44+1),0)+IF(AND(Projects!$G$45="Yes",91&gt;=Projects!$C$45,91&lt;Projects!$C$45+Projects!$D$45),Projects!$B$45*INDEX(Curves!$B$4:$AR$4,1,91-Projects!$C$45+1),0)+IF(AND(Projects!$G$46="Yes",91&gt;=Projects!$C$46,91&lt;Projects!$C$46+Projects!$D$46),Projects!$B$46*INDEX(Curves!$B$4:$AR$4,1,91-Projects!$C$46+1),0)</f>
        <v/>
      </c>
      <c r="CS96" s="688">
        <f>IF(AND(Projects!$G$17="Yes",92&gt;=Projects!$C$17,92&lt;Projects!$C$17+Projects!$D$17),Projects!$B$17*INDEX(Curves!$B$4:$AR$4,1,92-Projects!$C$17+1),0)+IF(AND(Projects!$G$18="Yes",92&gt;=Projects!$C$18,92&lt;Projects!$C$18+Projects!$D$18),Projects!$B$18*INDEX(Curves!$B$4:$AR$4,1,92-Projects!$C$18+1),0)+IF(AND(Projects!$G$19="Yes",92&gt;=Projects!$C$19,92&lt;Projects!$C$19+Projects!$D$19),Projects!$B$19*INDEX(Curves!$B$4:$AR$4,1,92-Projects!$C$19+1),0)+IF(AND(Projects!$G$20="Yes",92&gt;=Projects!$C$20,92&lt;Projects!$C$20+Projects!$D$20),Projects!$B$20*INDEX(Curves!$B$4:$AR$4,1,92-Projects!$C$20+1),0)+IF(AND(Projects!$G$21="Yes",92&gt;=Projects!$C$21,92&lt;Projects!$C$21+Projects!$D$21),Projects!$B$21*INDEX(Curves!$B$4:$AR$4,1,92-Projects!$C$21+1),0)+IF(AND(Projects!$G$22="Yes",92&gt;=Projects!$C$22,92&lt;Projects!$C$22+Projects!$D$22),Projects!$B$22*INDEX(Curves!$B$4:$AR$4,1,92-Projects!$C$22+1),0)+IF(AND(Projects!$G$23="Yes",92&gt;=Projects!$C$23,92&lt;Projects!$C$23+Projects!$D$23),Projects!$B$23*INDEX(Curves!$B$4:$AR$4,1,92-Projects!$C$23+1),0)+IF(AND(Projects!$G$24="Yes",92&gt;=Projects!$C$24,92&lt;Projects!$C$24+Projects!$D$24),Projects!$B$24*INDEX(Curves!$B$4:$AR$4,1,92-Projects!$C$24+1),0)+IF(AND(Projects!$G$25="Yes",92&gt;=Projects!$C$25,92&lt;Projects!$C$25+Projects!$D$25),Projects!$B$25*INDEX(Curves!$B$4:$AR$4,1,92-Projects!$C$25+1),0)+IF(AND(Projects!$G$26="Yes",92&gt;=Projects!$C$26,92&lt;Projects!$C$26+Projects!$D$26),Projects!$B$26*INDEX(Curves!$B$4:$AR$4,1,92-Projects!$C$26+1),0)+IF(AND(Projects!$G$27="Yes",92&gt;=Projects!$C$27,92&lt;Projects!$C$27+Projects!$D$27),Projects!$B$27*INDEX(Curves!$B$4:$AR$4,1,92-Projects!$C$27+1),0)+IF(AND(Projects!$G$28="Yes",92&gt;=Projects!$C$28,92&lt;Projects!$C$28+Projects!$D$28),Projects!$B$28*INDEX(Curves!$B$4:$AR$4,1,92-Projects!$C$28+1),0)+IF(AND(Projects!$G$29="Yes",92&gt;=Projects!$C$29,92&lt;Projects!$C$29+Projects!$D$29),Projects!$B$29*INDEX(Curves!$B$4:$AR$4,1,92-Projects!$C$29+1),0)+IF(AND(Projects!$G$30="Yes",92&gt;=Projects!$C$30,92&lt;Projects!$C$30+Projects!$D$30),Projects!$B$30*INDEX(Curves!$B$4:$AR$4,1,92-Projects!$C$30+1),0)+IF(AND(Projects!$G$31="Yes",92&gt;=Projects!$C$31,92&lt;Projects!$C$31+Projects!$D$31),Projects!$B$31*INDEX(Curves!$B$4:$AR$4,1,92-Projects!$C$31+1),0)+IF(AND(Projects!$G$32="Yes",92&gt;=Projects!$C$32,92&lt;Projects!$C$32+Projects!$D$32),Projects!$B$32*INDEX(Curves!$B$4:$AR$4,1,92-Projects!$C$32+1),0)+IF(AND(Projects!$G$33="Yes",92&gt;=Projects!$C$33,92&lt;Projects!$C$33+Projects!$D$33),Projects!$B$33*INDEX(Curves!$B$4:$AR$4,1,92-Projects!$C$33+1),0)+IF(AND(Projects!$G$34="Yes",92&gt;=Projects!$C$34,92&lt;Projects!$C$34+Projects!$D$34),Projects!$B$34*INDEX(Curves!$B$4:$AR$4,1,92-Projects!$C$34+1),0)+IF(AND(Projects!$G$35="Yes",92&gt;=Projects!$C$35,92&lt;Projects!$C$35+Projects!$D$35),Projects!$B$35*INDEX(Curves!$B$4:$AR$4,1,92-Projects!$C$35+1),0)+IF(AND(Projects!$G$36="Yes",92&gt;=Projects!$C$36,92&lt;Projects!$C$36+Projects!$D$36),Projects!$B$36*INDEX(Curves!$B$4:$AR$4,1,92-Projects!$C$36+1),0)+IF(AND(Projects!$G$37="Yes",92&gt;=Projects!$C$37,92&lt;Projects!$C$37+Projects!$D$37),Projects!$B$37*INDEX(Curves!$B$4:$AR$4,1,92-Projects!$C$37+1),0)+IF(AND(Projects!$G$38="Yes",92&gt;=Projects!$C$38,92&lt;Projects!$C$38+Projects!$D$38),Projects!$B$38*INDEX(Curves!$B$4:$AR$4,1,92-Projects!$C$38+1),0)+IF(AND(Projects!$G$39="Yes",92&gt;=Projects!$C$39,92&lt;Projects!$C$39+Projects!$D$39),Projects!$B$39*INDEX(Curves!$B$4:$AR$4,1,92-Projects!$C$39+1),0)+IF(AND(Projects!$G$40="Yes",92&gt;=Projects!$C$40,92&lt;Projects!$C$40+Projects!$D$40),Projects!$B$40*INDEX(Curves!$B$4:$AR$4,1,92-Projects!$C$40+1),0)+IF(AND(Projects!$G$41="Yes",92&gt;=Projects!$C$41,92&lt;Projects!$C$41+Projects!$D$41),Projects!$B$41*INDEX(Curves!$B$4:$AR$4,1,92-Projects!$C$41+1),0)+IF(AND(Projects!$G$42="Yes",92&gt;=Projects!$C$42,92&lt;Projects!$C$42+Projects!$D$42),Projects!$B$42*INDEX(Curves!$B$4:$AR$4,1,92-Projects!$C$42+1),0)+IF(AND(Projects!$G$43="Yes",92&gt;=Projects!$C$43,92&lt;Projects!$C$43+Projects!$D$43),Projects!$B$43*INDEX(Curves!$B$4:$AR$4,1,92-Projects!$C$43+1),0)+IF(AND(Projects!$G$44="Yes",92&gt;=Projects!$C$44,92&lt;Projects!$C$44+Projects!$D$44),Projects!$B$44*INDEX(Curves!$B$4:$AR$4,1,92-Projects!$C$44+1),0)+IF(AND(Projects!$G$45="Yes",92&gt;=Projects!$C$45,92&lt;Projects!$C$45+Projects!$D$45),Projects!$B$45*INDEX(Curves!$B$4:$AR$4,1,92-Projects!$C$45+1),0)+IF(AND(Projects!$G$46="Yes",92&gt;=Projects!$C$46,92&lt;Projects!$C$46+Projects!$D$46),Projects!$B$46*INDEX(Curves!$B$4:$AR$4,1,92-Projects!$C$46+1),0)</f>
        <v/>
      </c>
      <c r="CT96" s="688">
        <f>IF(AND(Projects!$G$17="Yes",93&gt;=Projects!$C$17,93&lt;Projects!$C$17+Projects!$D$17),Projects!$B$17*INDEX(Curves!$B$4:$AR$4,1,93-Projects!$C$17+1),0)+IF(AND(Projects!$G$18="Yes",93&gt;=Projects!$C$18,93&lt;Projects!$C$18+Projects!$D$18),Projects!$B$18*INDEX(Curves!$B$4:$AR$4,1,93-Projects!$C$18+1),0)+IF(AND(Projects!$G$19="Yes",93&gt;=Projects!$C$19,93&lt;Projects!$C$19+Projects!$D$19),Projects!$B$19*INDEX(Curves!$B$4:$AR$4,1,93-Projects!$C$19+1),0)+IF(AND(Projects!$G$20="Yes",93&gt;=Projects!$C$20,93&lt;Projects!$C$20+Projects!$D$20),Projects!$B$20*INDEX(Curves!$B$4:$AR$4,1,93-Projects!$C$20+1),0)+IF(AND(Projects!$G$21="Yes",93&gt;=Projects!$C$21,93&lt;Projects!$C$21+Projects!$D$21),Projects!$B$21*INDEX(Curves!$B$4:$AR$4,1,93-Projects!$C$21+1),0)+IF(AND(Projects!$G$22="Yes",93&gt;=Projects!$C$22,93&lt;Projects!$C$22+Projects!$D$22),Projects!$B$22*INDEX(Curves!$B$4:$AR$4,1,93-Projects!$C$22+1),0)+IF(AND(Projects!$G$23="Yes",93&gt;=Projects!$C$23,93&lt;Projects!$C$23+Projects!$D$23),Projects!$B$23*INDEX(Curves!$B$4:$AR$4,1,93-Projects!$C$23+1),0)+IF(AND(Projects!$G$24="Yes",93&gt;=Projects!$C$24,93&lt;Projects!$C$24+Projects!$D$24),Projects!$B$24*INDEX(Curves!$B$4:$AR$4,1,93-Projects!$C$24+1),0)+IF(AND(Projects!$G$25="Yes",93&gt;=Projects!$C$25,93&lt;Projects!$C$25+Projects!$D$25),Projects!$B$25*INDEX(Curves!$B$4:$AR$4,1,93-Projects!$C$25+1),0)+IF(AND(Projects!$G$26="Yes",93&gt;=Projects!$C$26,93&lt;Projects!$C$26+Projects!$D$26),Projects!$B$26*INDEX(Curves!$B$4:$AR$4,1,93-Projects!$C$26+1),0)+IF(AND(Projects!$G$27="Yes",93&gt;=Projects!$C$27,93&lt;Projects!$C$27+Projects!$D$27),Projects!$B$27*INDEX(Curves!$B$4:$AR$4,1,93-Projects!$C$27+1),0)+IF(AND(Projects!$G$28="Yes",93&gt;=Projects!$C$28,93&lt;Projects!$C$28+Projects!$D$28),Projects!$B$28*INDEX(Curves!$B$4:$AR$4,1,93-Projects!$C$28+1),0)+IF(AND(Projects!$G$29="Yes",93&gt;=Projects!$C$29,93&lt;Projects!$C$29+Projects!$D$29),Projects!$B$29*INDEX(Curves!$B$4:$AR$4,1,93-Projects!$C$29+1),0)+IF(AND(Projects!$G$30="Yes",93&gt;=Projects!$C$30,93&lt;Projects!$C$30+Projects!$D$30),Projects!$B$30*INDEX(Curves!$B$4:$AR$4,1,93-Projects!$C$30+1),0)+IF(AND(Projects!$G$31="Yes",93&gt;=Projects!$C$31,93&lt;Projects!$C$31+Projects!$D$31),Projects!$B$31*INDEX(Curves!$B$4:$AR$4,1,93-Projects!$C$31+1),0)+IF(AND(Projects!$G$32="Yes",93&gt;=Projects!$C$32,93&lt;Projects!$C$32+Projects!$D$32),Projects!$B$32*INDEX(Curves!$B$4:$AR$4,1,93-Projects!$C$32+1),0)+IF(AND(Projects!$G$33="Yes",93&gt;=Projects!$C$33,93&lt;Projects!$C$33+Projects!$D$33),Projects!$B$33*INDEX(Curves!$B$4:$AR$4,1,93-Projects!$C$33+1),0)+IF(AND(Projects!$G$34="Yes",93&gt;=Projects!$C$34,93&lt;Projects!$C$34+Projects!$D$34),Projects!$B$34*INDEX(Curves!$B$4:$AR$4,1,93-Projects!$C$34+1),0)+IF(AND(Projects!$G$35="Yes",93&gt;=Projects!$C$35,93&lt;Projects!$C$35+Projects!$D$35),Projects!$B$35*INDEX(Curves!$B$4:$AR$4,1,93-Projects!$C$35+1),0)+IF(AND(Projects!$G$36="Yes",93&gt;=Projects!$C$36,93&lt;Projects!$C$36+Projects!$D$36),Projects!$B$36*INDEX(Curves!$B$4:$AR$4,1,93-Projects!$C$36+1),0)+IF(AND(Projects!$G$37="Yes",93&gt;=Projects!$C$37,93&lt;Projects!$C$37+Projects!$D$37),Projects!$B$37*INDEX(Curves!$B$4:$AR$4,1,93-Projects!$C$37+1),0)+IF(AND(Projects!$G$38="Yes",93&gt;=Projects!$C$38,93&lt;Projects!$C$38+Projects!$D$38),Projects!$B$38*INDEX(Curves!$B$4:$AR$4,1,93-Projects!$C$38+1),0)+IF(AND(Projects!$G$39="Yes",93&gt;=Projects!$C$39,93&lt;Projects!$C$39+Projects!$D$39),Projects!$B$39*INDEX(Curves!$B$4:$AR$4,1,93-Projects!$C$39+1),0)+IF(AND(Projects!$G$40="Yes",93&gt;=Projects!$C$40,93&lt;Projects!$C$40+Projects!$D$40),Projects!$B$40*INDEX(Curves!$B$4:$AR$4,1,93-Projects!$C$40+1),0)+IF(AND(Projects!$G$41="Yes",93&gt;=Projects!$C$41,93&lt;Projects!$C$41+Projects!$D$41),Projects!$B$41*INDEX(Curves!$B$4:$AR$4,1,93-Projects!$C$41+1),0)+IF(AND(Projects!$G$42="Yes",93&gt;=Projects!$C$42,93&lt;Projects!$C$42+Projects!$D$42),Projects!$B$42*INDEX(Curves!$B$4:$AR$4,1,93-Projects!$C$42+1),0)+IF(AND(Projects!$G$43="Yes",93&gt;=Projects!$C$43,93&lt;Projects!$C$43+Projects!$D$43),Projects!$B$43*INDEX(Curves!$B$4:$AR$4,1,93-Projects!$C$43+1),0)+IF(AND(Projects!$G$44="Yes",93&gt;=Projects!$C$44,93&lt;Projects!$C$44+Projects!$D$44),Projects!$B$44*INDEX(Curves!$B$4:$AR$4,1,93-Projects!$C$44+1),0)+IF(AND(Projects!$G$45="Yes",93&gt;=Projects!$C$45,93&lt;Projects!$C$45+Projects!$D$45),Projects!$B$45*INDEX(Curves!$B$4:$AR$4,1,93-Projects!$C$45+1),0)+IF(AND(Projects!$G$46="Yes",93&gt;=Projects!$C$46,93&lt;Projects!$C$46+Projects!$D$46),Projects!$B$46*INDEX(Curves!$B$4:$AR$4,1,93-Projects!$C$46+1),0)</f>
        <v/>
      </c>
      <c r="CU96" s="688">
        <f>IF(AND(Projects!$G$17="Yes",94&gt;=Projects!$C$17,94&lt;Projects!$C$17+Projects!$D$17),Projects!$B$17*INDEX(Curves!$B$4:$AR$4,1,94-Projects!$C$17+1),0)+IF(AND(Projects!$G$18="Yes",94&gt;=Projects!$C$18,94&lt;Projects!$C$18+Projects!$D$18),Projects!$B$18*INDEX(Curves!$B$4:$AR$4,1,94-Projects!$C$18+1),0)+IF(AND(Projects!$G$19="Yes",94&gt;=Projects!$C$19,94&lt;Projects!$C$19+Projects!$D$19),Projects!$B$19*INDEX(Curves!$B$4:$AR$4,1,94-Projects!$C$19+1),0)+IF(AND(Projects!$G$20="Yes",94&gt;=Projects!$C$20,94&lt;Projects!$C$20+Projects!$D$20),Projects!$B$20*INDEX(Curves!$B$4:$AR$4,1,94-Projects!$C$20+1),0)+IF(AND(Projects!$G$21="Yes",94&gt;=Projects!$C$21,94&lt;Projects!$C$21+Projects!$D$21),Projects!$B$21*INDEX(Curves!$B$4:$AR$4,1,94-Projects!$C$21+1),0)+IF(AND(Projects!$G$22="Yes",94&gt;=Projects!$C$22,94&lt;Projects!$C$22+Projects!$D$22),Projects!$B$22*INDEX(Curves!$B$4:$AR$4,1,94-Projects!$C$22+1),0)+IF(AND(Projects!$G$23="Yes",94&gt;=Projects!$C$23,94&lt;Projects!$C$23+Projects!$D$23),Projects!$B$23*INDEX(Curves!$B$4:$AR$4,1,94-Projects!$C$23+1),0)+IF(AND(Projects!$G$24="Yes",94&gt;=Projects!$C$24,94&lt;Projects!$C$24+Projects!$D$24),Projects!$B$24*INDEX(Curves!$B$4:$AR$4,1,94-Projects!$C$24+1),0)+IF(AND(Projects!$G$25="Yes",94&gt;=Projects!$C$25,94&lt;Projects!$C$25+Projects!$D$25),Projects!$B$25*INDEX(Curves!$B$4:$AR$4,1,94-Projects!$C$25+1),0)+IF(AND(Projects!$G$26="Yes",94&gt;=Projects!$C$26,94&lt;Projects!$C$26+Projects!$D$26),Projects!$B$26*INDEX(Curves!$B$4:$AR$4,1,94-Projects!$C$26+1),0)+IF(AND(Projects!$G$27="Yes",94&gt;=Projects!$C$27,94&lt;Projects!$C$27+Projects!$D$27),Projects!$B$27*INDEX(Curves!$B$4:$AR$4,1,94-Projects!$C$27+1),0)+IF(AND(Projects!$G$28="Yes",94&gt;=Projects!$C$28,94&lt;Projects!$C$28+Projects!$D$28),Projects!$B$28*INDEX(Curves!$B$4:$AR$4,1,94-Projects!$C$28+1),0)+IF(AND(Projects!$G$29="Yes",94&gt;=Projects!$C$29,94&lt;Projects!$C$29+Projects!$D$29),Projects!$B$29*INDEX(Curves!$B$4:$AR$4,1,94-Projects!$C$29+1),0)+IF(AND(Projects!$G$30="Yes",94&gt;=Projects!$C$30,94&lt;Projects!$C$30+Projects!$D$30),Projects!$B$30*INDEX(Curves!$B$4:$AR$4,1,94-Projects!$C$30+1),0)+IF(AND(Projects!$G$31="Yes",94&gt;=Projects!$C$31,94&lt;Projects!$C$31+Projects!$D$31),Projects!$B$31*INDEX(Curves!$B$4:$AR$4,1,94-Projects!$C$31+1),0)+IF(AND(Projects!$G$32="Yes",94&gt;=Projects!$C$32,94&lt;Projects!$C$32+Projects!$D$32),Projects!$B$32*INDEX(Curves!$B$4:$AR$4,1,94-Projects!$C$32+1),0)+IF(AND(Projects!$G$33="Yes",94&gt;=Projects!$C$33,94&lt;Projects!$C$33+Projects!$D$33),Projects!$B$33*INDEX(Curves!$B$4:$AR$4,1,94-Projects!$C$33+1),0)+IF(AND(Projects!$G$34="Yes",94&gt;=Projects!$C$34,94&lt;Projects!$C$34+Projects!$D$34),Projects!$B$34*INDEX(Curves!$B$4:$AR$4,1,94-Projects!$C$34+1),0)+IF(AND(Projects!$G$35="Yes",94&gt;=Projects!$C$35,94&lt;Projects!$C$35+Projects!$D$35),Projects!$B$35*INDEX(Curves!$B$4:$AR$4,1,94-Projects!$C$35+1),0)+IF(AND(Projects!$G$36="Yes",94&gt;=Projects!$C$36,94&lt;Projects!$C$36+Projects!$D$36),Projects!$B$36*INDEX(Curves!$B$4:$AR$4,1,94-Projects!$C$36+1),0)+IF(AND(Projects!$G$37="Yes",94&gt;=Projects!$C$37,94&lt;Projects!$C$37+Projects!$D$37),Projects!$B$37*INDEX(Curves!$B$4:$AR$4,1,94-Projects!$C$37+1),0)+IF(AND(Projects!$G$38="Yes",94&gt;=Projects!$C$38,94&lt;Projects!$C$38+Projects!$D$38),Projects!$B$38*INDEX(Curves!$B$4:$AR$4,1,94-Projects!$C$38+1),0)+IF(AND(Projects!$G$39="Yes",94&gt;=Projects!$C$39,94&lt;Projects!$C$39+Projects!$D$39),Projects!$B$39*INDEX(Curves!$B$4:$AR$4,1,94-Projects!$C$39+1),0)+IF(AND(Projects!$G$40="Yes",94&gt;=Projects!$C$40,94&lt;Projects!$C$40+Projects!$D$40),Projects!$B$40*INDEX(Curves!$B$4:$AR$4,1,94-Projects!$C$40+1),0)+IF(AND(Projects!$G$41="Yes",94&gt;=Projects!$C$41,94&lt;Projects!$C$41+Projects!$D$41),Projects!$B$41*INDEX(Curves!$B$4:$AR$4,1,94-Projects!$C$41+1),0)+IF(AND(Projects!$G$42="Yes",94&gt;=Projects!$C$42,94&lt;Projects!$C$42+Projects!$D$42),Projects!$B$42*INDEX(Curves!$B$4:$AR$4,1,94-Projects!$C$42+1),0)+IF(AND(Projects!$G$43="Yes",94&gt;=Projects!$C$43,94&lt;Projects!$C$43+Projects!$D$43),Projects!$B$43*INDEX(Curves!$B$4:$AR$4,1,94-Projects!$C$43+1),0)+IF(AND(Projects!$G$44="Yes",94&gt;=Projects!$C$44,94&lt;Projects!$C$44+Projects!$D$44),Projects!$B$44*INDEX(Curves!$B$4:$AR$4,1,94-Projects!$C$44+1),0)+IF(AND(Projects!$G$45="Yes",94&gt;=Projects!$C$45,94&lt;Projects!$C$45+Projects!$D$45),Projects!$B$45*INDEX(Curves!$B$4:$AR$4,1,94-Projects!$C$45+1),0)+IF(AND(Projects!$G$46="Yes",94&gt;=Projects!$C$46,94&lt;Projects!$C$46+Projects!$D$46),Projects!$B$46*INDEX(Curves!$B$4:$AR$4,1,94-Projects!$C$46+1),0)</f>
        <v/>
      </c>
      <c r="CV96" s="688">
        <f>IF(AND(Projects!$G$17="Yes",95&gt;=Projects!$C$17,95&lt;Projects!$C$17+Projects!$D$17),Projects!$B$17*INDEX(Curves!$B$4:$AR$4,1,95-Projects!$C$17+1),0)+IF(AND(Projects!$G$18="Yes",95&gt;=Projects!$C$18,95&lt;Projects!$C$18+Projects!$D$18),Projects!$B$18*INDEX(Curves!$B$4:$AR$4,1,95-Projects!$C$18+1),0)+IF(AND(Projects!$G$19="Yes",95&gt;=Projects!$C$19,95&lt;Projects!$C$19+Projects!$D$19),Projects!$B$19*INDEX(Curves!$B$4:$AR$4,1,95-Projects!$C$19+1),0)+IF(AND(Projects!$G$20="Yes",95&gt;=Projects!$C$20,95&lt;Projects!$C$20+Projects!$D$20),Projects!$B$20*INDEX(Curves!$B$4:$AR$4,1,95-Projects!$C$20+1),0)+IF(AND(Projects!$G$21="Yes",95&gt;=Projects!$C$21,95&lt;Projects!$C$21+Projects!$D$21),Projects!$B$21*INDEX(Curves!$B$4:$AR$4,1,95-Projects!$C$21+1),0)+IF(AND(Projects!$G$22="Yes",95&gt;=Projects!$C$22,95&lt;Projects!$C$22+Projects!$D$22),Projects!$B$22*INDEX(Curves!$B$4:$AR$4,1,95-Projects!$C$22+1),0)+IF(AND(Projects!$G$23="Yes",95&gt;=Projects!$C$23,95&lt;Projects!$C$23+Projects!$D$23),Projects!$B$23*INDEX(Curves!$B$4:$AR$4,1,95-Projects!$C$23+1),0)+IF(AND(Projects!$G$24="Yes",95&gt;=Projects!$C$24,95&lt;Projects!$C$24+Projects!$D$24),Projects!$B$24*INDEX(Curves!$B$4:$AR$4,1,95-Projects!$C$24+1),0)+IF(AND(Projects!$G$25="Yes",95&gt;=Projects!$C$25,95&lt;Projects!$C$25+Projects!$D$25),Projects!$B$25*INDEX(Curves!$B$4:$AR$4,1,95-Projects!$C$25+1),0)+IF(AND(Projects!$G$26="Yes",95&gt;=Projects!$C$26,95&lt;Projects!$C$26+Projects!$D$26),Projects!$B$26*INDEX(Curves!$B$4:$AR$4,1,95-Projects!$C$26+1),0)+IF(AND(Projects!$G$27="Yes",95&gt;=Projects!$C$27,95&lt;Projects!$C$27+Projects!$D$27),Projects!$B$27*INDEX(Curves!$B$4:$AR$4,1,95-Projects!$C$27+1),0)+IF(AND(Projects!$G$28="Yes",95&gt;=Projects!$C$28,95&lt;Projects!$C$28+Projects!$D$28),Projects!$B$28*INDEX(Curves!$B$4:$AR$4,1,95-Projects!$C$28+1),0)+IF(AND(Projects!$G$29="Yes",95&gt;=Projects!$C$29,95&lt;Projects!$C$29+Projects!$D$29),Projects!$B$29*INDEX(Curves!$B$4:$AR$4,1,95-Projects!$C$29+1),0)+IF(AND(Projects!$G$30="Yes",95&gt;=Projects!$C$30,95&lt;Projects!$C$30+Projects!$D$30),Projects!$B$30*INDEX(Curves!$B$4:$AR$4,1,95-Projects!$C$30+1),0)+IF(AND(Projects!$G$31="Yes",95&gt;=Projects!$C$31,95&lt;Projects!$C$31+Projects!$D$31),Projects!$B$31*INDEX(Curves!$B$4:$AR$4,1,95-Projects!$C$31+1),0)+IF(AND(Projects!$G$32="Yes",95&gt;=Projects!$C$32,95&lt;Projects!$C$32+Projects!$D$32),Projects!$B$32*INDEX(Curves!$B$4:$AR$4,1,95-Projects!$C$32+1),0)+IF(AND(Projects!$G$33="Yes",95&gt;=Projects!$C$33,95&lt;Projects!$C$33+Projects!$D$33),Projects!$B$33*INDEX(Curves!$B$4:$AR$4,1,95-Projects!$C$33+1),0)+IF(AND(Projects!$G$34="Yes",95&gt;=Projects!$C$34,95&lt;Projects!$C$34+Projects!$D$34),Projects!$B$34*INDEX(Curves!$B$4:$AR$4,1,95-Projects!$C$34+1),0)+IF(AND(Projects!$G$35="Yes",95&gt;=Projects!$C$35,95&lt;Projects!$C$35+Projects!$D$35),Projects!$B$35*INDEX(Curves!$B$4:$AR$4,1,95-Projects!$C$35+1),0)+IF(AND(Projects!$G$36="Yes",95&gt;=Projects!$C$36,95&lt;Projects!$C$36+Projects!$D$36),Projects!$B$36*INDEX(Curves!$B$4:$AR$4,1,95-Projects!$C$36+1),0)+IF(AND(Projects!$G$37="Yes",95&gt;=Projects!$C$37,95&lt;Projects!$C$37+Projects!$D$37),Projects!$B$37*INDEX(Curves!$B$4:$AR$4,1,95-Projects!$C$37+1),0)+IF(AND(Projects!$G$38="Yes",95&gt;=Projects!$C$38,95&lt;Projects!$C$38+Projects!$D$38),Projects!$B$38*INDEX(Curves!$B$4:$AR$4,1,95-Projects!$C$38+1),0)+IF(AND(Projects!$G$39="Yes",95&gt;=Projects!$C$39,95&lt;Projects!$C$39+Projects!$D$39),Projects!$B$39*INDEX(Curves!$B$4:$AR$4,1,95-Projects!$C$39+1),0)+IF(AND(Projects!$G$40="Yes",95&gt;=Projects!$C$40,95&lt;Projects!$C$40+Projects!$D$40),Projects!$B$40*INDEX(Curves!$B$4:$AR$4,1,95-Projects!$C$40+1),0)+IF(AND(Projects!$G$41="Yes",95&gt;=Projects!$C$41,95&lt;Projects!$C$41+Projects!$D$41),Projects!$B$41*INDEX(Curves!$B$4:$AR$4,1,95-Projects!$C$41+1),0)+IF(AND(Projects!$G$42="Yes",95&gt;=Projects!$C$42,95&lt;Projects!$C$42+Projects!$D$42),Projects!$B$42*INDEX(Curves!$B$4:$AR$4,1,95-Projects!$C$42+1),0)+IF(AND(Projects!$G$43="Yes",95&gt;=Projects!$C$43,95&lt;Projects!$C$43+Projects!$D$43),Projects!$B$43*INDEX(Curves!$B$4:$AR$4,1,95-Projects!$C$43+1),0)+IF(AND(Projects!$G$44="Yes",95&gt;=Projects!$C$44,95&lt;Projects!$C$44+Projects!$D$44),Projects!$B$44*INDEX(Curves!$B$4:$AR$4,1,95-Projects!$C$44+1),0)+IF(AND(Projects!$G$45="Yes",95&gt;=Projects!$C$45,95&lt;Projects!$C$45+Projects!$D$45),Projects!$B$45*INDEX(Curves!$B$4:$AR$4,1,95-Projects!$C$45+1),0)+IF(AND(Projects!$G$46="Yes",95&gt;=Projects!$C$46,95&lt;Projects!$C$46+Projects!$D$46),Projects!$B$46*INDEX(Curves!$B$4:$AR$4,1,95-Projects!$C$46+1),0)</f>
        <v/>
      </c>
      <c r="CW96" s="688">
        <f>IF(AND(Projects!$G$17="Yes",96&gt;=Projects!$C$17,96&lt;Projects!$C$17+Projects!$D$17),Projects!$B$17*INDEX(Curves!$B$4:$AR$4,1,96-Projects!$C$17+1),0)+IF(AND(Projects!$G$18="Yes",96&gt;=Projects!$C$18,96&lt;Projects!$C$18+Projects!$D$18),Projects!$B$18*INDEX(Curves!$B$4:$AR$4,1,96-Projects!$C$18+1),0)+IF(AND(Projects!$G$19="Yes",96&gt;=Projects!$C$19,96&lt;Projects!$C$19+Projects!$D$19),Projects!$B$19*INDEX(Curves!$B$4:$AR$4,1,96-Projects!$C$19+1),0)+IF(AND(Projects!$G$20="Yes",96&gt;=Projects!$C$20,96&lt;Projects!$C$20+Projects!$D$20),Projects!$B$20*INDEX(Curves!$B$4:$AR$4,1,96-Projects!$C$20+1),0)+IF(AND(Projects!$G$21="Yes",96&gt;=Projects!$C$21,96&lt;Projects!$C$21+Projects!$D$21),Projects!$B$21*INDEX(Curves!$B$4:$AR$4,1,96-Projects!$C$21+1),0)+IF(AND(Projects!$G$22="Yes",96&gt;=Projects!$C$22,96&lt;Projects!$C$22+Projects!$D$22),Projects!$B$22*INDEX(Curves!$B$4:$AR$4,1,96-Projects!$C$22+1),0)+IF(AND(Projects!$G$23="Yes",96&gt;=Projects!$C$23,96&lt;Projects!$C$23+Projects!$D$23),Projects!$B$23*INDEX(Curves!$B$4:$AR$4,1,96-Projects!$C$23+1),0)+IF(AND(Projects!$G$24="Yes",96&gt;=Projects!$C$24,96&lt;Projects!$C$24+Projects!$D$24),Projects!$B$24*INDEX(Curves!$B$4:$AR$4,1,96-Projects!$C$24+1),0)+IF(AND(Projects!$G$25="Yes",96&gt;=Projects!$C$25,96&lt;Projects!$C$25+Projects!$D$25),Projects!$B$25*INDEX(Curves!$B$4:$AR$4,1,96-Projects!$C$25+1),0)+IF(AND(Projects!$G$26="Yes",96&gt;=Projects!$C$26,96&lt;Projects!$C$26+Projects!$D$26),Projects!$B$26*INDEX(Curves!$B$4:$AR$4,1,96-Projects!$C$26+1),0)+IF(AND(Projects!$G$27="Yes",96&gt;=Projects!$C$27,96&lt;Projects!$C$27+Projects!$D$27),Projects!$B$27*INDEX(Curves!$B$4:$AR$4,1,96-Projects!$C$27+1),0)+IF(AND(Projects!$G$28="Yes",96&gt;=Projects!$C$28,96&lt;Projects!$C$28+Projects!$D$28),Projects!$B$28*INDEX(Curves!$B$4:$AR$4,1,96-Projects!$C$28+1),0)+IF(AND(Projects!$G$29="Yes",96&gt;=Projects!$C$29,96&lt;Projects!$C$29+Projects!$D$29),Projects!$B$29*INDEX(Curves!$B$4:$AR$4,1,96-Projects!$C$29+1),0)+IF(AND(Projects!$G$30="Yes",96&gt;=Projects!$C$30,96&lt;Projects!$C$30+Projects!$D$30),Projects!$B$30*INDEX(Curves!$B$4:$AR$4,1,96-Projects!$C$30+1),0)+IF(AND(Projects!$G$31="Yes",96&gt;=Projects!$C$31,96&lt;Projects!$C$31+Projects!$D$31),Projects!$B$31*INDEX(Curves!$B$4:$AR$4,1,96-Projects!$C$31+1),0)+IF(AND(Projects!$G$32="Yes",96&gt;=Projects!$C$32,96&lt;Projects!$C$32+Projects!$D$32),Projects!$B$32*INDEX(Curves!$B$4:$AR$4,1,96-Projects!$C$32+1),0)+IF(AND(Projects!$G$33="Yes",96&gt;=Projects!$C$33,96&lt;Projects!$C$33+Projects!$D$33),Projects!$B$33*INDEX(Curves!$B$4:$AR$4,1,96-Projects!$C$33+1),0)+IF(AND(Projects!$G$34="Yes",96&gt;=Projects!$C$34,96&lt;Projects!$C$34+Projects!$D$34),Projects!$B$34*INDEX(Curves!$B$4:$AR$4,1,96-Projects!$C$34+1),0)+IF(AND(Projects!$G$35="Yes",96&gt;=Projects!$C$35,96&lt;Projects!$C$35+Projects!$D$35),Projects!$B$35*INDEX(Curves!$B$4:$AR$4,1,96-Projects!$C$35+1),0)+IF(AND(Projects!$G$36="Yes",96&gt;=Projects!$C$36,96&lt;Projects!$C$36+Projects!$D$36),Projects!$B$36*INDEX(Curves!$B$4:$AR$4,1,96-Projects!$C$36+1),0)+IF(AND(Projects!$G$37="Yes",96&gt;=Projects!$C$37,96&lt;Projects!$C$37+Projects!$D$37),Projects!$B$37*INDEX(Curves!$B$4:$AR$4,1,96-Projects!$C$37+1),0)+IF(AND(Projects!$G$38="Yes",96&gt;=Projects!$C$38,96&lt;Projects!$C$38+Projects!$D$38),Projects!$B$38*INDEX(Curves!$B$4:$AR$4,1,96-Projects!$C$38+1),0)+IF(AND(Projects!$G$39="Yes",96&gt;=Projects!$C$39,96&lt;Projects!$C$39+Projects!$D$39),Projects!$B$39*INDEX(Curves!$B$4:$AR$4,1,96-Projects!$C$39+1),0)+IF(AND(Projects!$G$40="Yes",96&gt;=Projects!$C$40,96&lt;Projects!$C$40+Projects!$D$40),Projects!$B$40*INDEX(Curves!$B$4:$AR$4,1,96-Projects!$C$40+1),0)+IF(AND(Projects!$G$41="Yes",96&gt;=Projects!$C$41,96&lt;Projects!$C$41+Projects!$D$41),Projects!$B$41*INDEX(Curves!$B$4:$AR$4,1,96-Projects!$C$41+1),0)+IF(AND(Projects!$G$42="Yes",96&gt;=Projects!$C$42,96&lt;Projects!$C$42+Projects!$D$42),Projects!$B$42*INDEX(Curves!$B$4:$AR$4,1,96-Projects!$C$42+1),0)+IF(AND(Projects!$G$43="Yes",96&gt;=Projects!$C$43,96&lt;Projects!$C$43+Projects!$D$43),Projects!$B$43*INDEX(Curves!$B$4:$AR$4,1,96-Projects!$C$43+1),0)+IF(AND(Projects!$G$44="Yes",96&gt;=Projects!$C$44,96&lt;Projects!$C$44+Projects!$D$44),Projects!$B$44*INDEX(Curves!$B$4:$AR$4,1,96-Projects!$C$44+1),0)+IF(AND(Projects!$G$45="Yes",96&gt;=Projects!$C$45,96&lt;Projects!$C$45+Projects!$D$45),Projects!$B$45*INDEX(Curves!$B$4:$AR$4,1,96-Projects!$C$45+1),0)+IF(AND(Projects!$G$46="Yes",96&gt;=Projects!$C$46,96&lt;Projects!$C$46+Projects!$D$46),Projects!$B$46*INDEX(Curves!$B$4:$AR$4,1,96-Projects!$C$46+1),0)</f>
        <v/>
      </c>
      <c r="CX96" s="688">
        <f>IF(AND(Projects!$G$17="Yes",97&gt;=Projects!$C$17,97&lt;Projects!$C$17+Projects!$D$17),Projects!$B$17*INDEX(Curves!$B$4:$AR$4,1,97-Projects!$C$17+1),0)+IF(AND(Projects!$G$18="Yes",97&gt;=Projects!$C$18,97&lt;Projects!$C$18+Projects!$D$18),Projects!$B$18*INDEX(Curves!$B$4:$AR$4,1,97-Projects!$C$18+1),0)+IF(AND(Projects!$G$19="Yes",97&gt;=Projects!$C$19,97&lt;Projects!$C$19+Projects!$D$19),Projects!$B$19*INDEX(Curves!$B$4:$AR$4,1,97-Projects!$C$19+1),0)+IF(AND(Projects!$G$20="Yes",97&gt;=Projects!$C$20,97&lt;Projects!$C$20+Projects!$D$20),Projects!$B$20*INDEX(Curves!$B$4:$AR$4,1,97-Projects!$C$20+1),0)+IF(AND(Projects!$G$21="Yes",97&gt;=Projects!$C$21,97&lt;Projects!$C$21+Projects!$D$21),Projects!$B$21*INDEX(Curves!$B$4:$AR$4,1,97-Projects!$C$21+1),0)+IF(AND(Projects!$G$22="Yes",97&gt;=Projects!$C$22,97&lt;Projects!$C$22+Projects!$D$22),Projects!$B$22*INDEX(Curves!$B$4:$AR$4,1,97-Projects!$C$22+1),0)+IF(AND(Projects!$G$23="Yes",97&gt;=Projects!$C$23,97&lt;Projects!$C$23+Projects!$D$23),Projects!$B$23*INDEX(Curves!$B$4:$AR$4,1,97-Projects!$C$23+1),0)+IF(AND(Projects!$G$24="Yes",97&gt;=Projects!$C$24,97&lt;Projects!$C$24+Projects!$D$24),Projects!$B$24*INDEX(Curves!$B$4:$AR$4,1,97-Projects!$C$24+1),0)+IF(AND(Projects!$G$25="Yes",97&gt;=Projects!$C$25,97&lt;Projects!$C$25+Projects!$D$25),Projects!$B$25*INDEX(Curves!$B$4:$AR$4,1,97-Projects!$C$25+1),0)+IF(AND(Projects!$G$26="Yes",97&gt;=Projects!$C$26,97&lt;Projects!$C$26+Projects!$D$26),Projects!$B$26*INDEX(Curves!$B$4:$AR$4,1,97-Projects!$C$26+1),0)+IF(AND(Projects!$G$27="Yes",97&gt;=Projects!$C$27,97&lt;Projects!$C$27+Projects!$D$27),Projects!$B$27*INDEX(Curves!$B$4:$AR$4,1,97-Projects!$C$27+1),0)+IF(AND(Projects!$G$28="Yes",97&gt;=Projects!$C$28,97&lt;Projects!$C$28+Projects!$D$28),Projects!$B$28*INDEX(Curves!$B$4:$AR$4,1,97-Projects!$C$28+1),0)+IF(AND(Projects!$G$29="Yes",97&gt;=Projects!$C$29,97&lt;Projects!$C$29+Projects!$D$29),Projects!$B$29*INDEX(Curves!$B$4:$AR$4,1,97-Projects!$C$29+1),0)+IF(AND(Projects!$G$30="Yes",97&gt;=Projects!$C$30,97&lt;Projects!$C$30+Projects!$D$30),Projects!$B$30*INDEX(Curves!$B$4:$AR$4,1,97-Projects!$C$30+1),0)+IF(AND(Projects!$G$31="Yes",97&gt;=Projects!$C$31,97&lt;Projects!$C$31+Projects!$D$31),Projects!$B$31*INDEX(Curves!$B$4:$AR$4,1,97-Projects!$C$31+1),0)+IF(AND(Projects!$G$32="Yes",97&gt;=Projects!$C$32,97&lt;Projects!$C$32+Projects!$D$32),Projects!$B$32*INDEX(Curves!$B$4:$AR$4,1,97-Projects!$C$32+1),0)+IF(AND(Projects!$G$33="Yes",97&gt;=Projects!$C$33,97&lt;Projects!$C$33+Projects!$D$33),Projects!$B$33*INDEX(Curves!$B$4:$AR$4,1,97-Projects!$C$33+1),0)+IF(AND(Projects!$G$34="Yes",97&gt;=Projects!$C$34,97&lt;Projects!$C$34+Projects!$D$34),Projects!$B$34*INDEX(Curves!$B$4:$AR$4,1,97-Projects!$C$34+1),0)+IF(AND(Projects!$G$35="Yes",97&gt;=Projects!$C$35,97&lt;Projects!$C$35+Projects!$D$35),Projects!$B$35*INDEX(Curves!$B$4:$AR$4,1,97-Projects!$C$35+1),0)+IF(AND(Projects!$G$36="Yes",97&gt;=Projects!$C$36,97&lt;Projects!$C$36+Projects!$D$36),Projects!$B$36*INDEX(Curves!$B$4:$AR$4,1,97-Projects!$C$36+1),0)+IF(AND(Projects!$G$37="Yes",97&gt;=Projects!$C$37,97&lt;Projects!$C$37+Projects!$D$37),Projects!$B$37*INDEX(Curves!$B$4:$AR$4,1,97-Projects!$C$37+1),0)+IF(AND(Projects!$G$38="Yes",97&gt;=Projects!$C$38,97&lt;Projects!$C$38+Projects!$D$38),Projects!$B$38*INDEX(Curves!$B$4:$AR$4,1,97-Projects!$C$38+1),0)+IF(AND(Projects!$G$39="Yes",97&gt;=Projects!$C$39,97&lt;Projects!$C$39+Projects!$D$39),Projects!$B$39*INDEX(Curves!$B$4:$AR$4,1,97-Projects!$C$39+1),0)+IF(AND(Projects!$G$40="Yes",97&gt;=Projects!$C$40,97&lt;Projects!$C$40+Projects!$D$40),Projects!$B$40*INDEX(Curves!$B$4:$AR$4,1,97-Projects!$C$40+1),0)+IF(AND(Projects!$G$41="Yes",97&gt;=Projects!$C$41,97&lt;Projects!$C$41+Projects!$D$41),Projects!$B$41*INDEX(Curves!$B$4:$AR$4,1,97-Projects!$C$41+1),0)+IF(AND(Projects!$G$42="Yes",97&gt;=Projects!$C$42,97&lt;Projects!$C$42+Projects!$D$42),Projects!$B$42*INDEX(Curves!$B$4:$AR$4,1,97-Projects!$C$42+1),0)+IF(AND(Projects!$G$43="Yes",97&gt;=Projects!$C$43,97&lt;Projects!$C$43+Projects!$D$43),Projects!$B$43*INDEX(Curves!$B$4:$AR$4,1,97-Projects!$C$43+1),0)+IF(AND(Projects!$G$44="Yes",97&gt;=Projects!$C$44,97&lt;Projects!$C$44+Projects!$D$44),Projects!$B$44*INDEX(Curves!$B$4:$AR$4,1,97-Projects!$C$44+1),0)+IF(AND(Projects!$G$45="Yes",97&gt;=Projects!$C$45,97&lt;Projects!$C$45+Projects!$D$45),Projects!$B$45*INDEX(Curves!$B$4:$AR$4,1,97-Projects!$C$45+1),0)+IF(AND(Projects!$G$46="Yes",97&gt;=Projects!$C$46,97&lt;Projects!$C$46+Projects!$D$46),Projects!$B$46*INDEX(Curves!$B$4:$AR$4,1,97-Projects!$C$46+1),0)</f>
        <v/>
      </c>
      <c r="CY96" s="688">
        <f>IF(AND(Projects!$G$17="Yes",98&gt;=Projects!$C$17,98&lt;Projects!$C$17+Projects!$D$17),Projects!$B$17*INDEX(Curves!$B$4:$AR$4,1,98-Projects!$C$17+1),0)+IF(AND(Projects!$G$18="Yes",98&gt;=Projects!$C$18,98&lt;Projects!$C$18+Projects!$D$18),Projects!$B$18*INDEX(Curves!$B$4:$AR$4,1,98-Projects!$C$18+1),0)+IF(AND(Projects!$G$19="Yes",98&gt;=Projects!$C$19,98&lt;Projects!$C$19+Projects!$D$19),Projects!$B$19*INDEX(Curves!$B$4:$AR$4,1,98-Projects!$C$19+1),0)+IF(AND(Projects!$G$20="Yes",98&gt;=Projects!$C$20,98&lt;Projects!$C$20+Projects!$D$20),Projects!$B$20*INDEX(Curves!$B$4:$AR$4,1,98-Projects!$C$20+1),0)+IF(AND(Projects!$G$21="Yes",98&gt;=Projects!$C$21,98&lt;Projects!$C$21+Projects!$D$21),Projects!$B$21*INDEX(Curves!$B$4:$AR$4,1,98-Projects!$C$21+1),0)+IF(AND(Projects!$G$22="Yes",98&gt;=Projects!$C$22,98&lt;Projects!$C$22+Projects!$D$22),Projects!$B$22*INDEX(Curves!$B$4:$AR$4,1,98-Projects!$C$22+1),0)+IF(AND(Projects!$G$23="Yes",98&gt;=Projects!$C$23,98&lt;Projects!$C$23+Projects!$D$23),Projects!$B$23*INDEX(Curves!$B$4:$AR$4,1,98-Projects!$C$23+1),0)+IF(AND(Projects!$G$24="Yes",98&gt;=Projects!$C$24,98&lt;Projects!$C$24+Projects!$D$24),Projects!$B$24*INDEX(Curves!$B$4:$AR$4,1,98-Projects!$C$24+1),0)+IF(AND(Projects!$G$25="Yes",98&gt;=Projects!$C$25,98&lt;Projects!$C$25+Projects!$D$25),Projects!$B$25*INDEX(Curves!$B$4:$AR$4,1,98-Projects!$C$25+1),0)+IF(AND(Projects!$G$26="Yes",98&gt;=Projects!$C$26,98&lt;Projects!$C$26+Projects!$D$26),Projects!$B$26*INDEX(Curves!$B$4:$AR$4,1,98-Projects!$C$26+1),0)+IF(AND(Projects!$G$27="Yes",98&gt;=Projects!$C$27,98&lt;Projects!$C$27+Projects!$D$27),Projects!$B$27*INDEX(Curves!$B$4:$AR$4,1,98-Projects!$C$27+1),0)+IF(AND(Projects!$G$28="Yes",98&gt;=Projects!$C$28,98&lt;Projects!$C$28+Projects!$D$28),Projects!$B$28*INDEX(Curves!$B$4:$AR$4,1,98-Projects!$C$28+1),0)+IF(AND(Projects!$G$29="Yes",98&gt;=Projects!$C$29,98&lt;Projects!$C$29+Projects!$D$29),Projects!$B$29*INDEX(Curves!$B$4:$AR$4,1,98-Projects!$C$29+1),0)+IF(AND(Projects!$G$30="Yes",98&gt;=Projects!$C$30,98&lt;Projects!$C$30+Projects!$D$30),Projects!$B$30*INDEX(Curves!$B$4:$AR$4,1,98-Projects!$C$30+1),0)+IF(AND(Projects!$G$31="Yes",98&gt;=Projects!$C$31,98&lt;Projects!$C$31+Projects!$D$31),Projects!$B$31*INDEX(Curves!$B$4:$AR$4,1,98-Projects!$C$31+1),0)+IF(AND(Projects!$G$32="Yes",98&gt;=Projects!$C$32,98&lt;Projects!$C$32+Projects!$D$32),Projects!$B$32*INDEX(Curves!$B$4:$AR$4,1,98-Projects!$C$32+1),0)+IF(AND(Projects!$G$33="Yes",98&gt;=Projects!$C$33,98&lt;Projects!$C$33+Projects!$D$33),Projects!$B$33*INDEX(Curves!$B$4:$AR$4,1,98-Projects!$C$33+1),0)+IF(AND(Projects!$G$34="Yes",98&gt;=Projects!$C$34,98&lt;Projects!$C$34+Projects!$D$34),Projects!$B$34*INDEX(Curves!$B$4:$AR$4,1,98-Projects!$C$34+1),0)+IF(AND(Projects!$G$35="Yes",98&gt;=Projects!$C$35,98&lt;Projects!$C$35+Projects!$D$35),Projects!$B$35*INDEX(Curves!$B$4:$AR$4,1,98-Projects!$C$35+1),0)+IF(AND(Projects!$G$36="Yes",98&gt;=Projects!$C$36,98&lt;Projects!$C$36+Projects!$D$36),Projects!$B$36*INDEX(Curves!$B$4:$AR$4,1,98-Projects!$C$36+1),0)+IF(AND(Projects!$G$37="Yes",98&gt;=Projects!$C$37,98&lt;Projects!$C$37+Projects!$D$37),Projects!$B$37*INDEX(Curves!$B$4:$AR$4,1,98-Projects!$C$37+1),0)+IF(AND(Projects!$G$38="Yes",98&gt;=Projects!$C$38,98&lt;Projects!$C$38+Projects!$D$38),Projects!$B$38*INDEX(Curves!$B$4:$AR$4,1,98-Projects!$C$38+1),0)+IF(AND(Projects!$G$39="Yes",98&gt;=Projects!$C$39,98&lt;Projects!$C$39+Projects!$D$39),Projects!$B$39*INDEX(Curves!$B$4:$AR$4,1,98-Projects!$C$39+1),0)+IF(AND(Projects!$G$40="Yes",98&gt;=Projects!$C$40,98&lt;Projects!$C$40+Projects!$D$40),Projects!$B$40*INDEX(Curves!$B$4:$AR$4,1,98-Projects!$C$40+1),0)+IF(AND(Projects!$G$41="Yes",98&gt;=Projects!$C$41,98&lt;Projects!$C$41+Projects!$D$41),Projects!$B$41*INDEX(Curves!$B$4:$AR$4,1,98-Projects!$C$41+1),0)+IF(AND(Projects!$G$42="Yes",98&gt;=Projects!$C$42,98&lt;Projects!$C$42+Projects!$D$42),Projects!$B$42*INDEX(Curves!$B$4:$AR$4,1,98-Projects!$C$42+1),0)+IF(AND(Projects!$G$43="Yes",98&gt;=Projects!$C$43,98&lt;Projects!$C$43+Projects!$D$43),Projects!$B$43*INDEX(Curves!$B$4:$AR$4,1,98-Projects!$C$43+1),0)+IF(AND(Projects!$G$44="Yes",98&gt;=Projects!$C$44,98&lt;Projects!$C$44+Projects!$D$44),Projects!$B$44*INDEX(Curves!$B$4:$AR$4,1,98-Projects!$C$44+1),0)+IF(AND(Projects!$G$45="Yes",98&gt;=Projects!$C$45,98&lt;Projects!$C$45+Projects!$D$45),Projects!$B$45*INDEX(Curves!$B$4:$AR$4,1,98-Projects!$C$45+1),0)+IF(AND(Projects!$G$46="Yes",98&gt;=Projects!$C$46,98&lt;Projects!$C$46+Projects!$D$46),Projects!$B$46*INDEX(Curves!$B$4:$AR$4,1,98-Projects!$C$46+1),0)</f>
        <v/>
      </c>
      <c r="CZ96" s="688">
        <f>IF(AND(Projects!$G$17="Yes",99&gt;=Projects!$C$17,99&lt;Projects!$C$17+Projects!$D$17),Projects!$B$17*INDEX(Curves!$B$4:$AR$4,1,99-Projects!$C$17+1),0)+IF(AND(Projects!$G$18="Yes",99&gt;=Projects!$C$18,99&lt;Projects!$C$18+Projects!$D$18),Projects!$B$18*INDEX(Curves!$B$4:$AR$4,1,99-Projects!$C$18+1),0)+IF(AND(Projects!$G$19="Yes",99&gt;=Projects!$C$19,99&lt;Projects!$C$19+Projects!$D$19),Projects!$B$19*INDEX(Curves!$B$4:$AR$4,1,99-Projects!$C$19+1),0)+IF(AND(Projects!$G$20="Yes",99&gt;=Projects!$C$20,99&lt;Projects!$C$20+Projects!$D$20),Projects!$B$20*INDEX(Curves!$B$4:$AR$4,1,99-Projects!$C$20+1),0)+IF(AND(Projects!$G$21="Yes",99&gt;=Projects!$C$21,99&lt;Projects!$C$21+Projects!$D$21),Projects!$B$21*INDEX(Curves!$B$4:$AR$4,1,99-Projects!$C$21+1),0)+IF(AND(Projects!$G$22="Yes",99&gt;=Projects!$C$22,99&lt;Projects!$C$22+Projects!$D$22),Projects!$B$22*INDEX(Curves!$B$4:$AR$4,1,99-Projects!$C$22+1),0)+IF(AND(Projects!$G$23="Yes",99&gt;=Projects!$C$23,99&lt;Projects!$C$23+Projects!$D$23),Projects!$B$23*INDEX(Curves!$B$4:$AR$4,1,99-Projects!$C$23+1),0)+IF(AND(Projects!$G$24="Yes",99&gt;=Projects!$C$24,99&lt;Projects!$C$24+Projects!$D$24),Projects!$B$24*INDEX(Curves!$B$4:$AR$4,1,99-Projects!$C$24+1),0)+IF(AND(Projects!$G$25="Yes",99&gt;=Projects!$C$25,99&lt;Projects!$C$25+Projects!$D$25),Projects!$B$25*INDEX(Curves!$B$4:$AR$4,1,99-Projects!$C$25+1),0)+IF(AND(Projects!$G$26="Yes",99&gt;=Projects!$C$26,99&lt;Projects!$C$26+Projects!$D$26),Projects!$B$26*INDEX(Curves!$B$4:$AR$4,1,99-Projects!$C$26+1),0)+IF(AND(Projects!$G$27="Yes",99&gt;=Projects!$C$27,99&lt;Projects!$C$27+Projects!$D$27),Projects!$B$27*INDEX(Curves!$B$4:$AR$4,1,99-Projects!$C$27+1),0)+IF(AND(Projects!$G$28="Yes",99&gt;=Projects!$C$28,99&lt;Projects!$C$28+Projects!$D$28),Projects!$B$28*INDEX(Curves!$B$4:$AR$4,1,99-Projects!$C$28+1),0)+IF(AND(Projects!$G$29="Yes",99&gt;=Projects!$C$29,99&lt;Projects!$C$29+Projects!$D$29),Projects!$B$29*INDEX(Curves!$B$4:$AR$4,1,99-Projects!$C$29+1),0)+IF(AND(Projects!$G$30="Yes",99&gt;=Projects!$C$30,99&lt;Projects!$C$30+Projects!$D$30),Projects!$B$30*INDEX(Curves!$B$4:$AR$4,1,99-Projects!$C$30+1),0)+IF(AND(Projects!$G$31="Yes",99&gt;=Projects!$C$31,99&lt;Projects!$C$31+Projects!$D$31),Projects!$B$31*INDEX(Curves!$B$4:$AR$4,1,99-Projects!$C$31+1),0)+IF(AND(Projects!$G$32="Yes",99&gt;=Projects!$C$32,99&lt;Projects!$C$32+Projects!$D$32),Projects!$B$32*INDEX(Curves!$B$4:$AR$4,1,99-Projects!$C$32+1),0)+IF(AND(Projects!$G$33="Yes",99&gt;=Projects!$C$33,99&lt;Projects!$C$33+Projects!$D$33),Projects!$B$33*INDEX(Curves!$B$4:$AR$4,1,99-Projects!$C$33+1),0)+IF(AND(Projects!$G$34="Yes",99&gt;=Projects!$C$34,99&lt;Projects!$C$34+Projects!$D$34),Projects!$B$34*INDEX(Curves!$B$4:$AR$4,1,99-Projects!$C$34+1),0)+IF(AND(Projects!$G$35="Yes",99&gt;=Projects!$C$35,99&lt;Projects!$C$35+Projects!$D$35),Projects!$B$35*INDEX(Curves!$B$4:$AR$4,1,99-Projects!$C$35+1),0)+IF(AND(Projects!$G$36="Yes",99&gt;=Projects!$C$36,99&lt;Projects!$C$36+Projects!$D$36),Projects!$B$36*INDEX(Curves!$B$4:$AR$4,1,99-Projects!$C$36+1),0)+IF(AND(Projects!$G$37="Yes",99&gt;=Projects!$C$37,99&lt;Projects!$C$37+Projects!$D$37),Projects!$B$37*INDEX(Curves!$B$4:$AR$4,1,99-Projects!$C$37+1),0)+IF(AND(Projects!$G$38="Yes",99&gt;=Projects!$C$38,99&lt;Projects!$C$38+Projects!$D$38),Projects!$B$38*INDEX(Curves!$B$4:$AR$4,1,99-Projects!$C$38+1),0)+IF(AND(Projects!$G$39="Yes",99&gt;=Projects!$C$39,99&lt;Projects!$C$39+Projects!$D$39),Projects!$B$39*INDEX(Curves!$B$4:$AR$4,1,99-Projects!$C$39+1),0)+IF(AND(Projects!$G$40="Yes",99&gt;=Projects!$C$40,99&lt;Projects!$C$40+Projects!$D$40),Projects!$B$40*INDEX(Curves!$B$4:$AR$4,1,99-Projects!$C$40+1),0)+IF(AND(Projects!$G$41="Yes",99&gt;=Projects!$C$41,99&lt;Projects!$C$41+Projects!$D$41),Projects!$B$41*INDEX(Curves!$B$4:$AR$4,1,99-Projects!$C$41+1),0)+IF(AND(Projects!$G$42="Yes",99&gt;=Projects!$C$42,99&lt;Projects!$C$42+Projects!$D$42),Projects!$B$42*INDEX(Curves!$B$4:$AR$4,1,99-Projects!$C$42+1),0)+IF(AND(Projects!$G$43="Yes",99&gt;=Projects!$C$43,99&lt;Projects!$C$43+Projects!$D$43),Projects!$B$43*INDEX(Curves!$B$4:$AR$4,1,99-Projects!$C$43+1),0)+IF(AND(Projects!$G$44="Yes",99&gt;=Projects!$C$44,99&lt;Projects!$C$44+Projects!$D$44),Projects!$B$44*INDEX(Curves!$B$4:$AR$4,1,99-Projects!$C$44+1),0)+IF(AND(Projects!$G$45="Yes",99&gt;=Projects!$C$45,99&lt;Projects!$C$45+Projects!$D$45),Projects!$B$45*INDEX(Curves!$B$4:$AR$4,1,99-Projects!$C$45+1),0)+IF(AND(Projects!$G$46="Yes",99&gt;=Projects!$C$46,99&lt;Projects!$C$46+Projects!$D$46),Projects!$B$46*INDEX(Curves!$B$4:$AR$4,1,99-Projects!$C$46+1),0)</f>
        <v/>
      </c>
      <c r="DA96" s="688">
        <f>IF(AND(Projects!$G$17="Yes",100&gt;=Projects!$C$17,100&lt;Projects!$C$17+Projects!$D$17),Projects!$B$17*INDEX(Curves!$B$4:$AR$4,1,100-Projects!$C$17+1),0)+IF(AND(Projects!$G$18="Yes",100&gt;=Projects!$C$18,100&lt;Projects!$C$18+Projects!$D$18),Projects!$B$18*INDEX(Curves!$B$4:$AR$4,1,100-Projects!$C$18+1),0)+IF(AND(Projects!$G$19="Yes",100&gt;=Projects!$C$19,100&lt;Projects!$C$19+Projects!$D$19),Projects!$B$19*INDEX(Curves!$B$4:$AR$4,1,100-Projects!$C$19+1),0)+IF(AND(Projects!$G$20="Yes",100&gt;=Projects!$C$20,100&lt;Projects!$C$20+Projects!$D$20),Projects!$B$20*INDEX(Curves!$B$4:$AR$4,1,100-Projects!$C$20+1),0)+IF(AND(Projects!$G$21="Yes",100&gt;=Projects!$C$21,100&lt;Projects!$C$21+Projects!$D$21),Projects!$B$21*INDEX(Curves!$B$4:$AR$4,1,100-Projects!$C$21+1),0)+IF(AND(Projects!$G$22="Yes",100&gt;=Projects!$C$22,100&lt;Projects!$C$22+Projects!$D$22),Projects!$B$22*INDEX(Curves!$B$4:$AR$4,1,100-Projects!$C$22+1),0)+IF(AND(Projects!$G$23="Yes",100&gt;=Projects!$C$23,100&lt;Projects!$C$23+Projects!$D$23),Projects!$B$23*INDEX(Curves!$B$4:$AR$4,1,100-Projects!$C$23+1),0)+IF(AND(Projects!$G$24="Yes",100&gt;=Projects!$C$24,100&lt;Projects!$C$24+Projects!$D$24),Projects!$B$24*INDEX(Curves!$B$4:$AR$4,1,100-Projects!$C$24+1),0)+IF(AND(Projects!$G$25="Yes",100&gt;=Projects!$C$25,100&lt;Projects!$C$25+Projects!$D$25),Projects!$B$25*INDEX(Curves!$B$4:$AR$4,1,100-Projects!$C$25+1),0)+IF(AND(Projects!$G$26="Yes",100&gt;=Projects!$C$26,100&lt;Projects!$C$26+Projects!$D$26),Projects!$B$26*INDEX(Curves!$B$4:$AR$4,1,100-Projects!$C$26+1),0)+IF(AND(Projects!$G$27="Yes",100&gt;=Projects!$C$27,100&lt;Projects!$C$27+Projects!$D$27),Projects!$B$27*INDEX(Curves!$B$4:$AR$4,1,100-Projects!$C$27+1),0)+IF(AND(Projects!$G$28="Yes",100&gt;=Projects!$C$28,100&lt;Projects!$C$28+Projects!$D$28),Projects!$B$28*INDEX(Curves!$B$4:$AR$4,1,100-Projects!$C$28+1),0)+IF(AND(Projects!$G$29="Yes",100&gt;=Projects!$C$29,100&lt;Projects!$C$29+Projects!$D$29),Projects!$B$29*INDEX(Curves!$B$4:$AR$4,1,100-Projects!$C$29+1),0)+IF(AND(Projects!$G$30="Yes",100&gt;=Projects!$C$30,100&lt;Projects!$C$30+Projects!$D$30),Projects!$B$30*INDEX(Curves!$B$4:$AR$4,1,100-Projects!$C$30+1),0)+IF(AND(Projects!$G$31="Yes",100&gt;=Projects!$C$31,100&lt;Projects!$C$31+Projects!$D$31),Projects!$B$31*INDEX(Curves!$B$4:$AR$4,1,100-Projects!$C$31+1),0)+IF(AND(Projects!$G$32="Yes",100&gt;=Projects!$C$32,100&lt;Projects!$C$32+Projects!$D$32),Projects!$B$32*INDEX(Curves!$B$4:$AR$4,1,100-Projects!$C$32+1),0)+IF(AND(Projects!$G$33="Yes",100&gt;=Projects!$C$33,100&lt;Projects!$C$33+Projects!$D$33),Projects!$B$33*INDEX(Curves!$B$4:$AR$4,1,100-Projects!$C$33+1),0)+IF(AND(Projects!$G$34="Yes",100&gt;=Projects!$C$34,100&lt;Projects!$C$34+Projects!$D$34),Projects!$B$34*INDEX(Curves!$B$4:$AR$4,1,100-Projects!$C$34+1),0)+IF(AND(Projects!$G$35="Yes",100&gt;=Projects!$C$35,100&lt;Projects!$C$35+Projects!$D$35),Projects!$B$35*INDEX(Curves!$B$4:$AR$4,1,100-Projects!$C$35+1),0)+IF(AND(Projects!$G$36="Yes",100&gt;=Projects!$C$36,100&lt;Projects!$C$36+Projects!$D$36),Projects!$B$36*INDEX(Curves!$B$4:$AR$4,1,100-Projects!$C$36+1),0)+IF(AND(Projects!$G$37="Yes",100&gt;=Projects!$C$37,100&lt;Projects!$C$37+Projects!$D$37),Projects!$B$37*INDEX(Curves!$B$4:$AR$4,1,100-Projects!$C$37+1),0)+IF(AND(Projects!$G$38="Yes",100&gt;=Projects!$C$38,100&lt;Projects!$C$38+Projects!$D$38),Projects!$B$38*INDEX(Curves!$B$4:$AR$4,1,100-Projects!$C$38+1),0)+IF(AND(Projects!$G$39="Yes",100&gt;=Projects!$C$39,100&lt;Projects!$C$39+Projects!$D$39),Projects!$B$39*INDEX(Curves!$B$4:$AR$4,1,100-Projects!$C$39+1),0)+IF(AND(Projects!$G$40="Yes",100&gt;=Projects!$C$40,100&lt;Projects!$C$40+Projects!$D$40),Projects!$B$40*INDEX(Curves!$B$4:$AR$4,1,100-Projects!$C$40+1),0)+IF(AND(Projects!$G$41="Yes",100&gt;=Projects!$C$41,100&lt;Projects!$C$41+Projects!$D$41),Projects!$B$41*INDEX(Curves!$B$4:$AR$4,1,100-Projects!$C$41+1),0)+IF(AND(Projects!$G$42="Yes",100&gt;=Projects!$C$42,100&lt;Projects!$C$42+Projects!$D$42),Projects!$B$42*INDEX(Curves!$B$4:$AR$4,1,100-Projects!$C$42+1),0)+IF(AND(Projects!$G$43="Yes",100&gt;=Projects!$C$43,100&lt;Projects!$C$43+Projects!$D$43),Projects!$B$43*INDEX(Curves!$B$4:$AR$4,1,100-Projects!$C$43+1),0)+IF(AND(Projects!$G$44="Yes",100&gt;=Projects!$C$44,100&lt;Projects!$C$44+Projects!$D$44),Projects!$B$44*INDEX(Curves!$B$4:$AR$4,1,100-Projects!$C$44+1),0)+IF(AND(Projects!$G$45="Yes",100&gt;=Projects!$C$45,100&lt;Projects!$C$45+Projects!$D$45),Projects!$B$45*INDEX(Curves!$B$4:$AR$4,1,100-Projects!$C$45+1),0)+IF(AND(Projects!$G$46="Yes",100&gt;=Projects!$C$46,100&lt;Projects!$C$46+Projects!$D$46),Projects!$B$46*INDEX(Curves!$B$4:$AR$4,1,100-Projects!$C$46+1),0)</f>
        <v/>
      </c>
      <c r="DB96" s="688">
        <f>IF(AND(Projects!$G$17="Yes",101&gt;=Projects!$C$17,101&lt;Projects!$C$17+Projects!$D$17),Projects!$B$17*INDEX(Curves!$B$4:$AR$4,1,101-Projects!$C$17+1),0)+IF(AND(Projects!$G$18="Yes",101&gt;=Projects!$C$18,101&lt;Projects!$C$18+Projects!$D$18),Projects!$B$18*INDEX(Curves!$B$4:$AR$4,1,101-Projects!$C$18+1),0)+IF(AND(Projects!$G$19="Yes",101&gt;=Projects!$C$19,101&lt;Projects!$C$19+Projects!$D$19),Projects!$B$19*INDEX(Curves!$B$4:$AR$4,1,101-Projects!$C$19+1),0)+IF(AND(Projects!$G$20="Yes",101&gt;=Projects!$C$20,101&lt;Projects!$C$20+Projects!$D$20),Projects!$B$20*INDEX(Curves!$B$4:$AR$4,1,101-Projects!$C$20+1),0)+IF(AND(Projects!$G$21="Yes",101&gt;=Projects!$C$21,101&lt;Projects!$C$21+Projects!$D$21),Projects!$B$21*INDEX(Curves!$B$4:$AR$4,1,101-Projects!$C$21+1),0)+IF(AND(Projects!$G$22="Yes",101&gt;=Projects!$C$22,101&lt;Projects!$C$22+Projects!$D$22),Projects!$B$22*INDEX(Curves!$B$4:$AR$4,1,101-Projects!$C$22+1),0)+IF(AND(Projects!$G$23="Yes",101&gt;=Projects!$C$23,101&lt;Projects!$C$23+Projects!$D$23),Projects!$B$23*INDEX(Curves!$B$4:$AR$4,1,101-Projects!$C$23+1),0)+IF(AND(Projects!$G$24="Yes",101&gt;=Projects!$C$24,101&lt;Projects!$C$24+Projects!$D$24),Projects!$B$24*INDEX(Curves!$B$4:$AR$4,1,101-Projects!$C$24+1),0)+IF(AND(Projects!$G$25="Yes",101&gt;=Projects!$C$25,101&lt;Projects!$C$25+Projects!$D$25),Projects!$B$25*INDEX(Curves!$B$4:$AR$4,1,101-Projects!$C$25+1),0)+IF(AND(Projects!$G$26="Yes",101&gt;=Projects!$C$26,101&lt;Projects!$C$26+Projects!$D$26),Projects!$B$26*INDEX(Curves!$B$4:$AR$4,1,101-Projects!$C$26+1),0)+IF(AND(Projects!$G$27="Yes",101&gt;=Projects!$C$27,101&lt;Projects!$C$27+Projects!$D$27),Projects!$B$27*INDEX(Curves!$B$4:$AR$4,1,101-Projects!$C$27+1),0)+IF(AND(Projects!$G$28="Yes",101&gt;=Projects!$C$28,101&lt;Projects!$C$28+Projects!$D$28),Projects!$B$28*INDEX(Curves!$B$4:$AR$4,1,101-Projects!$C$28+1),0)+IF(AND(Projects!$G$29="Yes",101&gt;=Projects!$C$29,101&lt;Projects!$C$29+Projects!$D$29),Projects!$B$29*INDEX(Curves!$B$4:$AR$4,1,101-Projects!$C$29+1),0)+IF(AND(Projects!$G$30="Yes",101&gt;=Projects!$C$30,101&lt;Projects!$C$30+Projects!$D$30),Projects!$B$30*INDEX(Curves!$B$4:$AR$4,1,101-Projects!$C$30+1),0)+IF(AND(Projects!$G$31="Yes",101&gt;=Projects!$C$31,101&lt;Projects!$C$31+Projects!$D$31),Projects!$B$31*INDEX(Curves!$B$4:$AR$4,1,101-Projects!$C$31+1),0)+IF(AND(Projects!$G$32="Yes",101&gt;=Projects!$C$32,101&lt;Projects!$C$32+Projects!$D$32),Projects!$B$32*INDEX(Curves!$B$4:$AR$4,1,101-Projects!$C$32+1),0)+IF(AND(Projects!$G$33="Yes",101&gt;=Projects!$C$33,101&lt;Projects!$C$33+Projects!$D$33),Projects!$B$33*INDEX(Curves!$B$4:$AR$4,1,101-Projects!$C$33+1),0)+IF(AND(Projects!$G$34="Yes",101&gt;=Projects!$C$34,101&lt;Projects!$C$34+Projects!$D$34),Projects!$B$34*INDEX(Curves!$B$4:$AR$4,1,101-Projects!$C$34+1),0)+IF(AND(Projects!$G$35="Yes",101&gt;=Projects!$C$35,101&lt;Projects!$C$35+Projects!$D$35),Projects!$B$35*INDEX(Curves!$B$4:$AR$4,1,101-Projects!$C$35+1),0)+IF(AND(Projects!$G$36="Yes",101&gt;=Projects!$C$36,101&lt;Projects!$C$36+Projects!$D$36),Projects!$B$36*INDEX(Curves!$B$4:$AR$4,1,101-Projects!$C$36+1),0)+IF(AND(Projects!$G$37="Yes",101&gt;=Projects!$C$37,101&lt;Projects!$C$37+Projects!$D$37),Projects!$B$37*INDEX(Curves!$B$4:$AR$4,1,101-Projects!$C$37+1),0)+IF(AND(Projects!$G$38="Yes",101&gt;=Projects!$C$38,101&lt;Projects!$C$38+Projects!$D$38),Projects!$B$38*INDEX(Curves!$B$4:$AR$4,1,101-Projects!$C$38+1),0)+IF(AND(Projects!$G$39="Yes",101&gt;=Projects!$C$39,101&lt;Projects!$C$39+Projects!$D$39),Projects!$B$39*INDEX(Curves!$B$4:$AR$4,1,101-Projects!$C$39+1),0)+IF(AND(Projects!$G$40="Yes",101&gt;=Projects!$C$40,101&lt;Projects!$C$40+Projects!$D$40),Projects!$B$40*INDEX(Curves!$B$4:$AR$4,1,101-Projects!$C$40+1),0)+IF(AND(Projects!$G$41="Yes",101&gt;=Projects!$C$41,101&lt;Projects!$C$41+Projects!$D$41),Projects!$B$41*INDEX(Curves!$B$4:$AR$4,1,101-Projects!$C$41+1),0)+IF(AND(Projects!$G$42="Yes",101&gt;=Projects!$C$42,101&lt;Projects!$C$42+Projects!$D$42),Projects!$B$42*INDEX(Curves!$B$4:$AR$4,1,101-Projects!$C$42+1),0)+IF(AND(Projects!$G$43="Yes",101&gt;=Projects!$C$43,101&lt;Projects!$C$43+Projects!$D$43),Projects!$B$43*INDEX(Curves!$B$4:$AR$4,1,101-Projects!$C$43+1),0)+IF(AND(Projects!$G$44="Yes",101&gt;=Projects!$C$44,101&lt;Projects!$C$44+Projects!$D$44),Projects!$B$44*INDEX(Curves!$B$4:$AR$4,1,101-Projects!$C$44+1),0)+IF(AND(Projects!$G$45="Yes",101&gt;=Projects!$C$45,101&lt;Projects!$C$45+Projects!$D$45),Projects!$B$45*INDEX(Curves!$B$4:$AR$4,1,101-Projects!$C$45+1),0)+IF(AND(Projects!$G$46="Yes",101&gt;=Projects!$C$46,101&lt;Projects!$C$46+Projects!$D$46),Projects!$B$46*INDEX(Curves!$B$4:$AR$4,1,101-Projects!$C$46+1),0)</f>
        <v/>
      </c>
      <c r="DC96" s="688">
        <f>IF(AND(Projects!$G$17="Yes",102&gt;=Projects!$C$17,102&lt;Projects!$C$17+Projects!$D$17),Projects!$B$17*INDEX(Curves!$B$4:$AR$4,1,102-Projects!$C$17+1),0)+IF(AND(Projects!$G$18="Yes",102&gt;=Projects!$C$18,102&lt;Projects!$C$18+Projects!$D$18),Projects!$B$18*INDEX(Curves!$B$4:$AR$4,1,102-Projects!$C$18+1),0)+IF(AND(Projects!$G$19="Yes",102&gt;=Projects!$C$19,102&lt;Projects!$C$19+Projects!$D$19),Projects!$B$19*INDEX(Curves!$B$4:$AR$4,1,102-Projects!$C$19+1),0)+IF(AND(Projects!$G$20="Yes",102&gt;=Projects!$C$20,102&lt;Projects!$C$20+Projects!$D$20),Projects!$B$20*INDEX(Curves!$B$4:$AR$4,1,102-Projects!$C$20+1),0)+IF(AND(Projects!$G$21="Yes",102&gt;=Projects!$C$21,102&lt;Projects!$C$21+Projects!$D$21),Projects!$B$21*INDEX(Curves!$B$4:$AR$4,1,102-Projects!$C$21+1),0)+IF(AND(Projects!$G$22="Yes",102&gt;=Projects!$C$22,102&lt;Projects!$C$22+Projects!$D$22),Projects!$B$22*INDEX(Curves!$B$4:$AR$4,1,102-Projects!$C$22+1),0)+IF(AND(Projects!$G$23="Yes",102&gt;=Projects!$C$23,102&lt;Projects!$C$23+Projects!$D$23),Projects!$B$23*INDEX(Curves!$B$4:$AR$4,1,102-Projects!$C$23+1),0)+IF(AND(Projects!$G$24="Yes",102&gt;=Projects!$C$24,102&lt;Projects!$C$24+Projects!$D$24),Projects!$B$24*INDEX(Curves!$B$4:$AR$4,1,102-Projects!$C$24+1),0)+IF(AND(Projects!$G$25="Yes",102&gt;=Projects!$C$25,102&lt;Projects!$C$25+Projects!$D$25),Projects!$B$25*INDEX(Curves!$B$4:$AR$4,1,102-Projects!$C$25+1),0)+IF(AND(Projects!$G$26="Yes",102&gt;=Projects!$C$26,102&lt;Projects!$C$26+Projects!$D$26),Projects!$B$26*INDEX(Curves!$B$4:$AR$4,1,102-Projects!$C$26+1),0)+IF(AND(Projects!$G$27="Yes",102&gt;=Projects!$C$27,102&lt;Projects!$C$27+Projects!$D$27),Projects!$B$27*INDEX(Curves!$B$4:$AR$4,1,102-Projects!$C$27+1),0)+IF(AND(Projects!$G$28="Yes",102&gt;=Projects!$C$28,102&lt;Projects!$C$28+Projects!$D$28),Projects!$B$28*INDEX(Curves!$B$4:$AR$4,1,102-Projects!$C$28+1),0)+IF(AND(Projects!$G$29="Yes",102&gt;=Projects!$C$29,102&lt;Projects!$C$29+Projects!$D$29),Projects!$B$29*INDEX(Curves!$B$4:$AR$4,1,102-Projects!$C$29+1),0)+IF(AND(Projects!$G$30="Yes",102&gt;=Projects!$C$30,102&lt;Projects!$C$30+Projects!$D$30),Projects!$B$30*INDEX(Curves!$B$4:$AR$4,1,102-Projects!$C$30+1),0)+IF(AND(Projects!$G$31="Yes",102&gt;=Projects!$C$31,102&lt;Projects!$C$31+Projects!$D$31),Projects!$B$31*INDEX(Curves!$B$4:$AR$4,1,102-Projects!$C$31+1),0)+IF(AND(Projects!$G$32="Yes",102&gt;=Projects!$C$32,102&lt;Projects!$C$32+Projects!$D$32),Projects!$B$32*INDEX(Curves!$B$4:$AR$4,1,102-Projects!$C$32+1),0)+IF(AND(Projects!$G$33="Yes",102&gt;=Projects!$C$33,102&lt;Projects!$C$33+Projects!$D$33),Projects!$B$33*INDEX(Curves!$B$4:$AR$4,1,102-Projects!$C$33+1),0)+IF(AND(Projects!$G$34="Yes",102&gt;=Projects!$C$34,102&lt;Projects!$C$34+Projects!$D$34),Projects!$B$34*INDEX(Curves!$B$4:$AR$4,1,102-Projects!$C$34+1),0)+IF(AND(Projects!$G$35="Yes",102&gt;=Projects!$C$35,102&lt;Projects!$C$35+Projects!$D$35),Projects!$B$35*INDEX(Curves!$B$4:$AR$4,1,102-Projects!$C$35+1),0)+IF(AND(Projects!$G$36="Yes",102&gt;=Projects!$C$36,102&lt;Projects!$C$36+Projects!$D$36),Projects!$B$36*INDEX(Curves!$B$4:$AR$4,1,102-Projects!$C$36+1),0)+IF(AND(Projects!$G$37="Yes",102&gt;=Projects!$C$37,102&lt;Projects!$C$37+Projects!$D$37),Projects!$B$37*INDEX(Curves!$B$4:$AR$4,1,102-Projects!$C$37+1),0)+IF(AND(Projects!$G$38="Yes",102&gt;=Projects!$C$38,102&lt;Projects!$C$38+Projects!$D$38),Projects!$B$38*INDEX(Curves!$B$4:$AR$4,1,102-Projects!$C$38+1),0)+IF(AND(Projects!$G$39="Yes",102&gt;=Projects!$C$39,102&lt;Projects!$C$39+Projects!$D$39),Projects!$B$39*INDEX(Curves!$B$4:$AR$4,1,102-Projects!$C$39+1),0)+IF(AND(Projects!$G$40="Yes",102&gt;=Projects!$C$40,102&lt;Projects!$C$40+Projects!$D$40),Projects!$B$40*INDEX(Curves!$B$4:$AR$4,1,102-Projects!$C$40+1),0)+IF(AND(Projects!$G$41="Yes",102&gt;=Projects!$C$41,102&lt;Projects!$C$41+Projects!$D$41),Projects!$B$41*INDEX(Curves!$B$4:$AR$4,1,102-Projects!$C$41+1),0)+IF(AND(Projects!$G$42="Yes",102&gt;=Projects!$C$42,102&lt;Projects!$C$42+Projects!$D$42),Projects!$B$42*INDEX(Curves!$B$4:$AR$4,1,102-Projects!$C$42+1),0)+IF(AND(Projects!$G$43="Yes",102&gt;=Projects!$C$43,102&lt;Projects!$C$43+Projects!$D$43),Projects!$B$43*INDEX(Curves!$B$4:$AR$4,1,102-Projects!$C$43+1),0)+IF(AND(Projects!$G$44="Yes",102&gt;=Projects!$C$44,102&lt;Projects!$C$44+Projects!$D$44),Projects!$B$44*INDEX(Curves!$B$4:$AR$4,1,102-Projects!$C$44+1),0)+IF(AND(Projects!$G$45="Yes",102&gt;=Projects!$C$45,102&lt;Projects!$C$45+Projects!$D$45),Projects!$B$45*INDEX(Curves!$B$4:$AR$4,1,102-Projects!$C$45+1),0)+IF(AND(Projects!$G$46="Yes",102&gt;=Projects!$C$46,102&lt;Projects!$C$46+Projects!$D$46),Projects!$B$46*INDEX(Curves!$B$4:$AR$4,1,102-Projects!$C$46+1),0)</f>
        <v/>
      </c>
      <c r="DD96" s="688">
        <f>IF(AND(Projects!$G$17="Yes",103&gt;=Projects!$C$17,103&lt;Projects!$C$17+Projects!$D$17),Projects!$B$17*INDEX(Curves!$B$4:$AR$4,1,103-Projects!$C$17+1),0)+IF(AND(Projects!$G$18="Yes",103&gt;=Projects!$C$18,103&lt;Projects!$C$18+Projects!$D$18),Projects!$B$18*INDEX(Curves!$B$4:$AR$4,1,103-Projects!$C$18+1),0)+IF(AND(Projects!$G$19="Yes",103&gt;=Projects!$C$19,103&lt;Projects!$C$19+Projects!$D$19),Projects!$B$19*INDEX(Curves!$B$4:$AR$4,1,103-Projects!$C$19+1),0)+IF(AND(Projects!$G$20="Yes",103&gt;=Projects!$C$20,103&lt;Projects!$C$20+Projects!$D$20),Projects!$B$20*INDEX(Curves!$B$4:$AR$4,1,103-Projects!$C$20+1),0)+IF(AND(Projects!$G$21="Yes",103&gt;=Projects!$C$21,103&lt;Projects!$C$21+Projects!$D$21),Projects!$B$21*INDEX(Curves!$B$4:$AR$4,1,103-Projects!$C$21+1),0)+IF(AND(Projects!$G$22="Yes",103&gt;=Projects!$C$22,103&lt;Projects!$C$22+Projects!$D$22),Projects!$B$22*INDEX(Curves!$B$4:$AR$4,1,103-Projects!$C$22+1),0)+IF(AND(Projects!$G$23="Yes",103&gt;=Projects!$C$23,103&lt;Projects!$C$23+Projects!$D$23),Projects!$B$23*INDEX(Curves!$B$4:$AR$4,1,103-Projects!$C$23+1),0)+IF(AND(Projects!$G$24="Yes",103&gt;=Projects!$C$24,103&lt;Projects!$C$24+Projects!$D$24),Projects!$B$24*INDEX(Curves!$B$4:$AR$4,1,103-Projects!$C$24+1),0)+IF(AND(Projects!$G$25="Yes",103&gt;=Projects!$C$25,103&lt;Projects!$C$25+Projects!$D$25),Projects!$B$25*INDEX(Curves!$B$4:$AR$4,1,103-Projects!$C$25+1),0)+IF(AND(Projects!$G$26="Yes",103&gt;=Projects!$C$26,103&lt;Projects!$C$26+Projects!$D$26),Projects!$B$26*INDEX(Curves!$B$4:$AR$4,1,103-Projects!$C$26+1),0)+IF(AND(Projects!$G$27="Yes",103&gt;=Projects!$C$27,103&lt;Projects!$C$27+Projects!$D$27),Projects!$B$27*INDEX(Curves!$B$4:$AR$4,1,103-Projects!$C$27+1),0)+IF(AND(Projects!$G$28="Yes",103&gt;=Projects!$C$28,103&lt;Projects!$C$28+Projects!$D$28),Projects!$B$28*INDEX(Curves!$B$4:$AR$4,1,103-Projects!$C$28+1),0)+IF(AND(Projects!$G$29="Yes",103&gt;=Projects!$C$29,103&lt;Projects!$C$29+Projects!$D$29),Projects!$B$29*INDEX(Curves!$B$4:$AR$4,1,103-Projects!$C$29+1),0)+IF(AND(Projects!$G$30="Yes",103&gt;=Projects!$C$30,103&lt;Projects!$C$30+Projects!$D$30),Projects!$B$30*INDEX(Curves!$B$4:$AR$4,1,103-Projects!$C$30+1),0)+IF(AND(Projects!$G$31="Yes",103&gt;=Projects!$C$31,103&lt;Projects!$C$31+Projects!$D$31),Projects!$B$31*INDEX(Curves!$B$4:$AR$4,1,103-Projects!$C$31+1),0)+IF(AND(Projects!$G$32="Yes",103&gt;=Projects!$C$32,103&lt;Projects!$C$32+Projects!$D$32),Projects!$B$32*INDEX(Curves!$B$4:$AR$4,1,103-Projects!$C$32+1),0)+IF(AND(Projects!$G$33="Yes",103&gt;=Projects!$C$33,103&lt;Projects!$C$33+Projects!$D$33),Projects!$B$33*INDEX(Curves!$B$4:$AR$4,1,103-Projects!$C$33+1),0)+IF(AND(Projects!$G$34="Yes",103&gt;=Projects!$C$34,103&lt;Projects!$C$34+Projects!$D$34),Projects!$B$34*INDEX(Curves!$B$4:$AR$4,1,103-Projects!$C$34+1),0)+IF(AND(Projects!$G$35="Yes",103&gt;=Projects!$C$35,103&lt;Projects!$C$35+Projects!$D$35),Projects!$B$35*INDEX(Curves!$B$4:$AR$4,1,103-Projects!$C$35+1),0)+IF(AND(Projects!$G$36="Yes",103&gt;=Projects!$C$36,103&lt;Projects!$C$36+Projects!$D$36),Projects!$B$36*INDEX(Curves!$B$4:$AR$4,1,103-Projects!$C$36+1),0)+IF(AND(Projects!$G$37="Yes",103&gt;=Projects!$C$37,103&lt;Projects!$C$37+Projects!$D$37),Projects!$B$37*INDEX(Curves!$B$4:$AR$4,1,103-Projects!$C$37+1),0)+IF(AND(Projects!$G$38="Yes",103&gt;=Projects!$C$38,103&lt;Projects!$C$38+Projects!$D$38),Projects!$B$38*INDEX(Curves!$B$4:$AR$4,1,103-Projects!$C$38+1),0)+IF(AND(Projects!$G$39="Yes",103&gt;=Projects!$C$39,103&lt;Projects!$C$39+Projects!$D$39),Projects!$B$39*INDEX(Curves!$B$4:$AR$4,1,103-Projects!$C$39+1),0)+IF(AND(Projects!$G$40="Yes",103&gt;=Projects!$C$40,103&lt;Projects!$C$40+Projects!$D$40),Projects!$B$40*INDEX(Curves!$B$4:$AR$4,1,103-Projects!$C$40+1),0)+IF(AND(Projects!$G$41="Yes",103&gt;=Projects!$C$41,103&lt;Projects!$C$41+Projects!$D$41),Projects!$B$41*INDEX(Curves!$B$4:$AR$4,1,103-Projects!$C$41+1),0)+IF(AND(Projects!$G$42="Yes",103&gt;=Projects!$C$42,103&lt;Projects!$C$42+Projects!$D$42),Projects!$B$42*INDEX(Curves!$B$4:$AR$4,1,103-Projects!$C$42+1),0)+IF(AND(Projects!$G$43="Yes",103&gt;=Projects!$C$43,103&lt;Projects!$C$43+Projects!$D$43),Projects!$B$43*INDEX(Curves!$B$4:$AR$4,1,103-Projects!$C$43+1),0)+IF(AND(Projects!$G$44="Yes",103&gt;=Projects!$C$44,103&lt;Projects!$C$44+Projects!$D$44),Projects!$B$44*INDEX(Curves!$B$4:$AR$4,1,103-Projects!$C$44+1),0)+IF(AND(Projects!$G$45="Yes",103&gt;=Projects!$C$45,103&lt;Projects!$C$45+Projects!$D$45),Projects!$B$45*INDEX(Curves!$B$4:$AR$4,1,103-Projects!$C$45+1),0)+IF(AND(Projects!$G$46="Yes",103&gt;=Projects!$C$46,103&lt;Projects!$C$46+Projects!$D$46),Projects!$B$46*INDEX(Curves!$B$4:$AR$4,1,103-Projects!$C$46+1),0)</f>
        <v/>
      </c>
      <c r="DE96" s="688">
        <f>IF(AND(Projects!$G$17="Yes",104&gt;=Projects!$C$17,104&lt;Projects!$C$17+Projects!$D$17),Projects!$B$17*INDEX(Curves!$B$4:$AR$4,1,104-Projects!$C$17+1),0)+IF(AND(Projects!$G$18="Yes",104&gt;=Projects!$C$18,104&lt;Projects!$C$18+Projects!$D$18),Projects!$B$18*INDEX(Curves!$B$4:$AR$4,1,104-Projects!$C$18+1),0)+IF(AND(Projects!$G$19="Yes",104&gt;=Projects!$C$19,104&lt;Projects!$C$19+Projects!$D$19),Projects!$B$19*INDEX(Curves!$B$4:$AR$4,1,104-Projects!$C$19+1),0)+IF(AND(Projects!$G$20="Yes",104&gt;=Projects!$C$20,104&lt;Projects!$C$20+Projects!$D$20),Projects!$B$20*INDEX(Curves!$B$4:$AR$4,1,104-Projects!$C$20+1),0)+IF(AND(Projects!$G$21="Yes",104&gt;=Projects!$C$21,104&lt;Projects!$C$21+Projects!$D$21),Projects!$B$21*INDEX(Curves!$B$4:$AR$4,1,104-Projects!$C$21+1),0)+IF(AND(Projects!$G$22="Yes",104&gt;=Projects!$C$22,104&lt;Projects!$C$22+Projects!$D$22),Projects!$B$22*INDEX(Curves!$B$4:$AR$4,1,104-Projects!$C$22+1),0)+IF(AND(Projects!$G$23="Yes",104&gt;=Projects!$C$23,104&lt;Projects!$C$23+Projects!$D$23),Projects!$B$23*INDEX(Curves!$B$4:$AR$4,1,104-Projects!$C$23+1),0)+IF(AND(Projects!$G$24="Yes",104&gt;=Projects!$C$24,104&lt;Projects!$C$24+Projects!$D$24),Projects!$B$24*INDEX(Curves!$B$4:$AR$4,1,104-Projects!$C$24+1),0)+IF(AND(Projects!$G$25="Yes",104&gt;=Projects!$C$25,104&lt;Projects!$C$25+Projects!$D$25),Projects!$B$25*INDEX(Curves!$B$4:$AR$4,1,104-Projects!$C$25+1),0)+IF(AND(Projects!$G$26="Yes",104&gt;=Projects!$C$26,104&lt;Projects!$C$26+Projects!$D$26),Projects!$B$26*INDEX(Curves!$B$4:$AR$4,1,104-Projects!$C$26+1),0)+IF(AND(Projects!$G$27="Yes",104&gt;=Projects!$C$27,104&lt;Projects!$C$27+Projects!$D$27),Projects!$B$27*INDEX(Curves!$B$4:$AR$4,1,104-Projects!$C$27+1),0)+IF(AND(Projects!$G$28="Yes",104&gt;=Projects!$C$28,104&lt;Projects!$C$28+Projects!$D$28),Projects!$B$28*INDEX(Curves!$B$4:$AR$4,1,104-Projects!$C$28+1),0)+IF(AND(Projects!$G$29="Yes",104&gt;=Projects!$C$29,104&lt;Projects!$C$29+Projects!$D$29),Projects!$B$29*INDEX(Curves!$B$4:$AR$4,1,104-Projects!$C$29+1),0)+IF(AND(Projects!$G$30="Yes",104&gt;=Projects!$C$30,104&lt;Projects!$C$30+Projects!$D$30),Projects!$B$30*INDEX(Curves!$B$4:$AR$4,1,104-Projects!$C$30+1),0)+IF(AND(Projects!$G$31="Yes",104&gt;=Projects!$C$31,104&lt;Projects!$C$31+Projects!$D$31),Projects!$B$31*INDEX(Curves!$B$4:$AR$4,1,104-Projects!$C$31+1),0)+IF(AND(Projects!$G$32="Yes",104&gt;=Projects!$C$32,104&lt;Projects!$C$32+Projects!$D$32),Projects!$B$32*INDEX(Curves!$B$4:$AR$4,1,104-Projects!$C$32+1),0)+IF(AND(Projects!$G$33="Yes",104&gt;=Projects!$C$33,104&lt;Projects!$C$33+Projects!$D$33),Projects!$B$33*INDEX(Curves!$B$4:$AR$4,1,104-Projects!$C$33+1),0)+IF(AND(Projects!$G$34="Yes",104&gt;=Projects!$C$34,104&lt;Projects!$C$34+Projects!$D$34),Projects!$B$34*INDEX(Curves!$B$4:$AR$4,1,104-Projects!$C$34+1),0)+IF(AND(Projects!$G$35="Yes",104&gt;=Projects!$C$35,104&lt;Projects!$C$35+Projects!$D$35),Projects!$B$35*INDEX(Curves!$B$4:$AR$4,1,104-Projects!$C$35+1),0)+IF(AND(Projects!$G$36="Yes",104&gt;=Projects!$C$36,104&lt;Projects!$C$36+Projects!$D$36),Projects!$B$36*INDEX(Curves!$B$4:$AR$4,1,104-Projects!$C$36+1),0)+IF(AND(Projects!$G$37="Yes",104&gt;=Projects!$C$37,104&lt;Projects!$C$37+Projects!$D$37),Projects!$B$37*INDEX(Curves!$B$4:$AR$4,1,104-Projects!$C$37+1),0)+IF(AND(Projects!$G$38="Yes",104&gt;=Projects!$C$38,104&lt;Projects!$C$38+Projects!$D$38),Projects!$B$38*INDEX(Curves!$B$4:$AR$4,1,104-Projects!$C$38+1),0)+IF(AND(Projects!$G$39="Yes",104&gt;=Projects!$C$39,104&lt;Projects!$C$39+Projects!$D$39),Projects!$B$39*INDEX(Curves!$B$4:$AR$4,1,104-Projects!$C$39+1),0)+IF(AND(Projects!$G$40="Yes",104&gt;=Projects!$C$40,104&lt;Projects!$C$40+Projects!$D$40),Projects!$B$40*INDEX(Curves!$B$4:$AR$4,1,104-Projects!$C$40+1),0)+IF(AND(Projects!$G$41="Yes",104&gt;=Projects!$C$41,104&lt;Projects!$C$41+Projects!$D$41),Projects!$B$41*INDEX(Curves!$B$4:$AR$4,1,104-Projects!$C$41+1),0)+IF(AND(Projects!$G$42="Yes",104&gt;=Projects!$C$42,104&lt;Projects!$C$42+Projects!$D$42),Projects!$B$42*INDEX(Curves!$B$4:$AR$4,1,104-Projects!$C$42+1),0)+IF(AND(Projects!$G$43="Yes",104&gt;=Projects!$C$43,104&lt;Projects!$C$43+Projects!$D$43),Projects!$B$43*INDEX(Curves!$B$4:$AR$4,1,104-Projects!$C$43+1),0)+IF(AND(Projects!$G$44="Yes",104&gt;=Projects!$C$44,104&lt;Projects!$C$44+Projects!$D$44),Projects!$B$44*INDEX(Curves!$B$4:$AR$4,1,104-Projects!$C$44+1),0)+IF(AND(Projects!$G$45="Yes",104&gt;=Projects!$C$45,104&lt;Projects!$C$45+Projects!$D$45),Projects!$B$45*INDEX(Curves!$B$4:$AR$4,1,104-Projects!$C$45+1),0)+IF(AND(Projects!$G$46="Yes",104&gt;=Projects!$C$46,104&lt;Projects!$C$46+Projects!$D$46),Projects!$B$46*INDEX(Curves!$B$4:$AR$4,1,104-Projects!$C$46+1),0)</f>
        <v/>
      </c>
      <c r="DF96" s="688">
        <f>IF(AND(Projects!$G$17="Yes",105&gt;=Projects!$C$17,105&lt;Projects!$C$17+Projects!$D$17),Projects!$B$17*INDEX(Curves!$B$4:$AR$4,1,105-Projects!$C$17+1),0)+IF(AND(Projects!$G$18="Yes",105&gt;=Projects!$C$18,105&lt;Projects!$C$18+Projects!$D$18),Projects!$B$18*INDEX(Curves!$B$4:$AR$4,1,105-Projects!$C$18+1),0)+IF(AND(Projects!$G$19="Yes",105&gt;=Projects!$C$19,105&lt;Projects!$C$19+Projects!$D$19),Projects!$B$19*INDEX(Curves!$B$4:$AR$4,1,105-Projects!$C$19+1),0)+IF(AND(Projects!$G$20="Yes",105&gt;=Projects!$C$20,105&lt;Projects!$C$20+Projects!$D$20),Projects!$B$20*INDEX(Curves!$B$4:$AR$4,1,105-Projects!$C$20+1),0)+IF(AND(Projects!$G$21="Yes",105&gt;=Projects!$C$21,105&lt;Projects!$C$21+Projects!$D$21),Projects!$B$21*INDEX(Curves!$B$4:$AR$4,1,105-Projects!$C$21+1),0)+IF(AND(Projects!$G$22="Yes",105&gt;=Projects!$C$22,105&lt;Projects!$C$22+Projects!$D$22),Projects!$B$22*INDEX(Curves!$B$4:$AR$4,1,105-Projects!$C$22+1),0)+IF(AND(Projects!$G$23="Yes",105&gt;=Projects!$C$23,105&lt;Projects!$C$23+Projects!$D$23),Projects!$B$23*INDEX(Curves!$B$4:$AR$4,1,105-Projects!$C$23+1),0)+IF(AND(Projects!$G$24="Yes",105&gt;=Projects!$C$24,105&lt;Projects!$C$24+Projects!$D$24),Projects!$B$24*INDEX(Curves!$B$4:$AR$4,1,105-Projects!$C$24+1),0)+IF(AND(Projects!$G$25="Yes",105&gt;=Projects!$C$25,105&lt;Projects!$C$25+Projects!$D$25),Projects!$B$25*INDEX(Curves!$B$4:$AR$4,1,105-Projects!$C$25+1),0)+IF(AND(Projects!$G$26="Yes",105&gt;=Projects!$C$26,105&lt;Projects!$C$26+Projects!$D$26),Projects!$B$26*INDEX(Curves!$B$4:$AR$4,1,105-Projects!$C$26+1),0)+IF(AND(Projects!$G$27="Yes",105&gt;=Projects!$C$27,105&lt;Projects!$C$27+Projects!$D$27),Projects!$B$27*INDEX(Curves!$B$4:$AR$4,1,105-Projects!$C$27+1),0)+IF(AND(Projects!$G$28="Yes",105&gt;=Projects!$C$28,105&lt;Projects!$C$28+Projects!$D$28),Projects!$B$28*INDEX(Curves!$B$4:$AR$4,1,105-Projects!$C$28+1),0)+IF(AND(Projects!$G$29="Yes",105&gt;=Projects!$C$29,105&lt;Projects!$C$29+Projects!$D$29),Projects!$B$29*INDEX(Curves!$B$4:$AR$4,1,105-Projects!$C$29+1),0)+IF(AND(Projects!$G$30="Yes",105&gt;=Projects!$C$30,105&lt;Projects!$C$30+Projects!$D$30),Projects!$B$30*INDEX(Curves!$B$4:$AR$4,1,105-Projects!$C$30+1),0)+IF(AND(Projects!$G$31="Yes",105&gt;=Projects!$C$31,105&lt;Projects!$C$31+Projects!$D$31),Projects!$B$31*INDEX(Curves!$B$4:$AR$4,1,105-Projects!$C$31+1),0)+IF(AND(Projects!$G$32="Yes",105&gt;=Projects!$C$32,105&lt;Projects!$C$32+Projects!$D$32),Projects!$B$32*INDEX(Curves!$B$4:$AR$4,1,105-Projects!$C$32+1),0)+IF(AND(Projects!$G$33="Yes",105&gt;=Projects!$C$33,105&lt;Projects!$C$33+Projects!$D$33),Projects!$B$33*INDEX(Curves!$B$4:$AR$4,1,105-Projects!$C$33+1),0)+IF(AND(Projects!$G$34="Yes",105&gt;=Projects!$C$34,105&lt;Projects!$C$34+Projects!$D$34),Projects!$B$34*INDEX(Curves!$B$4:$AR$4,1,105-Projects!$C$34+1),0)+IF(AND(Projects!$G$35="Yes",105&gt;=Projects!$C$35,105&lt;Projects!$C$35+Projects!$D$35),Projects!$B$35*INDEX(Curves!$B$4:$AR$4,1,105-Projects!$C$35+1),0)+IF(AND(Projects!$G$36="Yes",105&gt;=Projects!$C$36,105&lt;Projects!$C$36+Projects!$D$36),Projects!$B$36*INDEX(Curves!$B$4:$AR$4,1,105-Projects!$C$36+1),0)+IF(AND(Projects!$G$37="Yes",105&gt;=Projects!$C$37,105&lt;Projects!$C$37+Projects!$D$37),Projects!$B$37*INDEX(Curves!$B$4:$AR$4,1,105-Projects!$C$37+1),0)+IF(AND(Projects!$G$38="Yes",105&gt;=Projects!$C$38,105&lt;Projects!$C$38+Projects!$D$38),Projects!$B$38*INDEX(Curves!$B$4:$AR$4,1,105-Projects!$C$38+1),0)+IF(AND(Projects!$G$39="Yes",105&gt;=Projects!$C$39,105&lt;Projects!$C$39+Projects!$D$39),Projects!$B$39*INDEX(Curves!$B$4:$AR$4,1,105-Projects!$C$39+1),0)+IF(AND(Projects!$G$40="Yes",105&gt;=Projects!$C$40,105&lt;Projects!$C$40+Projects!$D$40),Projects!$B$40*INDEX(Curves!$B$4:$AR$4,1,105-Projects!$C$40+1),0)+IF(AND(Projects!$G$41="Yes",105&gt;=Projects!$C$41,105&lt;Projects!$C$41+Projects!$D$41),Projects!$B$41*INDEX(Curves!$B$4:$AR$4,1,105-Projects!$C$41+1),0)+IF(AND(Projects!$G$42="Yes",105&gt;=Projects!$C$42,105&lt;Projects!$C$42+Projects!$D$42),Projects!$B$42*INDEX(Curves!$B$4:$AR$4,1,105-Projects!$C$42+1),0)+IF(AND(Projects!$G$43="Yes",105&gt;=Projects!$C$43,105&lt;Projects!$C$43+Projects!$D$43),Projects!$B$43*INDEX(Curves!$B$4:$AR$4,1,105-Projects!$C$43+1),0)+IF(AND(Projects!$G$44="Yes",105&gt;=Projects!$C$44,105&lt;Projects!$C$44+Projects!$D$44),Projects!$B$44*INDEX(Curves!$B$4:$AR$4,1,105-Projects!$C$44+1),0)+IF(AND(Projects!$G$45="Yes",105&gt;=Projects!$C$45,105&lt;Projects!$C$45+Projects!$D$45),Projects!$B$45*INDEX(Curves!$B$4:$AR$4,1,105-Projects!$C$45+1),0)+IF(AND(Projects!$G$46="Yes",105&gt;=Projects!$C$46,105&lt;Projects!$C$46+Projects!$D$46),Projects!$B$46*INDEX(Curves!$B$4:$AR$4,1,105-Projects!$C$46+1),0)</f>
        <v/>
      </c>
    </row>
    <row r="97" ht="15" customFormat="1" customHeight="1" s="380">
      <c r="A97" s="452" t="inlineStr">
        <is>
          <t>BD Revenue — CB + fees (memo)</t>
        </is>
      </c>
      <c r="C97" s="688">
        <f>C96+SUMPRODUCT((Projects!$G$17:$G$46="Yes")*(-2&gt;=Projects!$C$17:$C$46)*(-2&lt;Projects!$C$17:$C$46+Projects!$D$17:$D$46)*Projects!$B$17:$B$46*Assumptions!$B$10/Projects!$D$17:$D$46*0.95)+SUMPRODUCT((Projects!$G$17:$G$46="Yes")*(-2=Projects!$C$17:$C$46+Projects!$D$17:$D$46-1)*Projects!$B$17:$B$46*Assumptions!$B$10*0.05)+SUMPRODUCT((Projects!$G$17:$G$46="Yes")*(-2&gt;=Projects!$C$17:$C$46)*(-2&lt;Projects!$C$17:$C$46+Projects!$D$17:$D$46)*Projects!$B$17:$B$46*Assumptions!$B$11/Projects!$D$17:$D$46*0.95)+SUMPRODUCT((Projects!$G$17:$G$46="Yes")*(-2=Projects!$C$17:$C$46+Projects!$D$17:$D$46-1)*Projects!$B$17:$B$46*Assumptions!$B$11*0.05)+SUMPRODUCT((Projects!$G$17:$G$46="Yes")*(-2&gt;=Projects!$C$17:$C$46)*(-2&lt;Projects!$C$17:$C$46+Projects!$D$17:$D$46)*Projects!$B$17:$B$46*Assumptions!$B$12/Projects!$D$17:$D$46*0.95)+SUMPRODUCT((Projects!$G$17:$G$46="Yes")*(-2=Projects!$C$17:$C$46+Projects!$D$17:$D$46-1)*Projects!$B$17:$B$46*Assumptions!$B$12*0.05)</f>
        <v/>
      </c>
      <c r="D97" s="688">
        <f>D96+SUMPRODUCT((Projects!$G$17:$G$46="Yes")*(-1&gt;=Projects!$C$17:$C$46)*(-1&lt;Projects!$C$17:$C$46+Projects!$D$17:$D$46)*Projects!$B$17:$B$46*Assumptions!$B$10/Projects!$D$17:$D$46*0.95)+SUMPRODUCT((Projects!$G$17:$G$46="Yes")*(-1=Projects!$C$17:$C$46+Projects!$D$17:$D$46-1)*Projects!$B$17:$B$46*Assumptions!$B$10*0.05)+SUMPRODUCT((Projects!$G$17:$G$46="Yes")*(-1&gt;=Projects!$C$17:$C$46)*(-1&lt;Projects!$C$17:$C$46+Projects!$D$17:$D$46)*Projects!$B$17:$B$46*Assumptions!$B$11/Projects!$D$17:$D$46*0.95)+SUMPRODUCT((Projects!$G$17:$G$46="Yes")*(-1=Projects!$C$17:$C$46+Projects!$D$17:$D$46-1)*Projects!$B$17:$B$46*Assumptions!$B$11*0.05)+SUMPRODUCT((Projects!$G$17:$G$46="Yes")*(-1&gt;=Projects!$C$17:$C$46)*(-1&lt;Projects!$C$17:$C$46+Projects!$D$17:$D$46)*Projects!$B$17:$B$46*Assumptions!$B$12/Projects!$D$17:$D$46*0.95)+SUMPRODUCT((Projects!$G$17:$G$46="Yes")*(-1=Projects!$C$17:$C$46+Projects!$D$17:$D$46-1)*Projects!$B$17:$B$46*Assumptions!$B$12*0.05)</f>
        <v/>
      </c>
      <c r="E97" s="688">
        <f>E96+SUMPRODUCT((Projects!$G$17:$G$46="Yes")*(0&gt;=Projects!$C$17:$C$46)*(0&lt;Projects!$C$17:$C$46+Projects!$D$17:$D$46)*Projects!$B$17:$B$46*Assumptions!$B$10/Projects!$D$17:$D$46*0.95)+SUMPRODUCT((Projects!$G$17:$G$46="Yes")*(0=Projects!$C$17:$C$46+Projects!$D$17:$D$46-1)*Projects!$B$17:$B$46*Assumptions!$B$10*0.05)+SUMPRODUCT((Projects!$G$17:$G$46="Yes")*(0&gt;=Projects!$C$17:$C$46)*(0&lt;Projects!$C$17:$C$46+Projects!$D$17:$D$46)*Projects!$B$17:$B$46*Assumptions!$B$11/Projects!$D$17:$D$46*0.95)+SUMPRODUCT((Projects!$G$17:$G$46="Yes")*(0=Projects!$C$17:$C$46+Projects!$D$17:$D$46-1)*Projects!$B$17:$B$46*Assumptions!$B$11*0.05)+SUMPRODUCT((Projects!$G$17:$G$46="Yes")*(0&gt;=Projects!$C$17:$C$46)*(0&lt;Projects!$C$17:$C$46+Projects!$D$17:$D$46)*Projects!$B$17:$B$46*Assumptions!$B$12/Projects!$D$17:$D$46*0.95)+SUMPRODUCT((Projects!$G$17:$G$46="Yes")*(0=Projects!$C$17:$C$46+Projects!$D$17:$D$46-1)*Projects!$B$17:$B$46*Assumptions!$B$12*0.05)</f>
        <v/>
      </c>
      <c r="F97" s="688">
        <f>F96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</f>
        <v/>
      </c>
      <c r="G97" s="688">
        <f>G96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</f>
        <v/>
      </c>
      <c r="H97" s="688">
        <f>H96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</f>
        <v/>
      </c>
      <c r="I97" s="688">
        <f>I96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</f>
        <v/>
      </c>
      <c r="J97" s="688">
        <f>J96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</f>
        <v/>
      </c>
      <c r="K97" s="688">
        <f>K96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</f>
        <v/>
      </c>
      <c r="L97" s="688">
        <f>L96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</f>
        <v/>
      </c>
      <c r="M97" s="688">
        <f>M96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</f>
        <v/>
      </c>
      <c r="N97" s="688">
        <f>N96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</f>
        <v/>
      </c>
      <c r="O97" s="688">
        <f>O96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</f>
        <v/>
      </c>
      <c r="P97" s="688">
        <f>P96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</f>
        <v/>
      </c>
      <c r="Q97" s="688">
        <f>Q96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</f>
        <v/>
      </c>
      <c r="R97" s="688">
        <f>R96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</f>
        <v/>
      </c>
      <c r="S97" s="688">
        <f>S96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</f>
        <v/>
      </c>
      <c r="T97" s="688">
        <f>T96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</f>
        <v/>
      </c>
      <c r="U97" s="688">
        <f>U96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</f>
        <v/>
      </c>
      <c r="V97" s="688">
        <f>V96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</f>
        <v/>
      </c>
      <c r="W97" s="688">
        <f>W96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</f>
        <v/>
      </c>
      <c r="X97" s="688">
        <f>X96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</f>
        <v/>
      </c>
      <c r="Y97" s="688">
        <f>Y96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</f>
        <v/>
      </c>
      <c r="Z97" s="688">
        <f>Z96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</f>
        <v/>
      </c>
      <c r="AA97" s="688">
        <f>AA96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</f>
        <v/>
      </c>
      <c r="AB97" s="688">
        <f>AB96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</f>
        <v/>
      </c>
      <c r="AC97" s="688">
        <f>AC96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</f>
        <v/>
      </c>
      <c r="AD97" s="688">
        <f>AD96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</f>
        <v/>
      </c>
      <c r="AE97" s="688">
        <f>AE96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</f>
        <v/>
      </c>
      <c r="AF97" s="688">
        <f>AF96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</f>
        <v/>
      </c>
      <c r="AG97" s="688">
        <f>AG96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</f>
        <v/>
      </c>
      <c r="AH97" s="688">
        <f>AH96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</f>
        <v/>
      </c>
      <c r="AI97" s="688">
        <f>AI96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</f>
        <v/>
      </c>
      <c r="AJ97" s="688">
        <f>AJ96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</f>
        <v/>
      </c>
      <c r="AK97" s="688">
        <f>AK96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</f>
        <v/>
      </c>
      <c r="AL97" s="688">
        <f>AL96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</f>
        <v/>
      </c>
      <c r="AM97" s="688">
        <f>AM96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</f>
        <v/>
      </c>
      <c r="AN97" s="688">
        <f>AN96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</f>
        <v/>
      </c>
      <c r="AO97" s="688">
        <f>AO96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</f>
        <v/>
      </c>
      <c r="AP97" s="688">
        <f>AP96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</f>
        <v/>
      </c>
      <c r="AQ97" s="688">
        <f>AQ96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</f>
        <v/>
      </c>
      <c r="AR97" s="688">
        <f>AR96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</f>
        <v/>
      </c>
      <c r="AS97" s="688">
        <f>AS96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</f>
        <v/>
      </c>
      <c r="AT97" s="688">
        <f>AT96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</f>
        <v/>
      </c>
      <c r="AU97" s="688">
        <f>AU96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</f>
        <v/>
      </c>
      <c r="AV97" s="688">
        <f>AV96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</f>
        <v/>
      </c>
      <c r="AW97" s="688">
        <f>AW96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</f>
        <v/>
      </c>
      <c r="AX97" s="688">
        <f>AX96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</f>
        <v/>
      </c>
      <c r="AY97" s="688">
        <f>AY96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</f>
        <v/>
      </c>
      <c r="AZ97" s="688">
        <f>AZ96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</f>
        <v/>
      </c>
      <c r="BA97" s="688">
        <f>BA96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</f>
        <v/>
      </c>
      <c r="BB97" s="688">
        <f>BB96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</f>
        <v/>
      </c>
      <c r="BC97" s="688">
        <f>BC96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</f>
        <v/>
      </c>
      <c r="BD97" s="688">
        <f>BD96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</f>
        <v/>
      </c>
      <c r="BE97" s="688">
        <f>BE96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</f>
        <v/>
      </c>
      <c r="BF97" s="688">
        <f>BF96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</f>
        <v/>
      </c>
      <c r="BG97" s="688">
        <f>BG96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</f>
        <v/>
      </c>
      <c r="BH97" s="688">
        <f>BH96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</f>
        <v/>
      </c>
      <c r="BI97" s="688">
        <f>BI96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</f>
        <v/>
      </c>
      <c r="BJ97" s="688">
        <f>BJ96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</f>
        <v/>
      </c>
      <c r="BK97" s="688">
        <f>BK96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</f>
        <v/>
      </c>
      <c r="BL97" s="688">
        <f>BL96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</f>
        <v/>
      </c>
      <c r="BM97" s="688">
        <f>BM96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</f>
        <v/>
      </c>
      <c r="BN97" s="688">
        <f>BN96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</f>
        <v/>
      </c>
      <c r="BO97" s="688">
        <f>BO96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</f>
        <v/>
      </c>
      <c r="BP97" s="688">
        <f>BP96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</f>
        <v/>
      </c>
      <c r="BQ97" s="688">
        <f>BQ96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</f>
        <v/>
      </c>
      <c r="BR97" s="688">
        <f>BR96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</f>
        <v/>
      </c>
      <c r="BS97" s="688">
        <f>BS96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</f>
        <v/>
      </c>
      <c r="BT97" s="688">
        <f>BT96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</f>
        <v/>
      </c>
      <c r="BU97" s="688">
        <f>BU96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</f>
        <v/>
      </c>
      <c r="BV97" s="688">
        <f>BV96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</f>
        <v/>
      </c>
      <c r="BW97" s="688">
        <f>BW96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</f>
        <v/>
      </c>
      <c r="BX97" s="688">
        <f>BX96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</f>
        <v/>
      </c>
      <c r="BY97" s="688">
        <f>BY96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</f>
        <v/>
      </c>
      <c r="BZ97" s="688">
        <f>BZ96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</f>
        <v/>
      </c>
      <c r="CA97" s="688">
        <f>CA96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</f>
        <v/>
      </c>
      <c r="CB97" s="688">
        <f>CB96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</f>
        <v/>
      </c>
      <c r="CC97" s="688">
        <f>CC96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</f>
        <v/>
      </c>
      <c r="CD97" s="688">
        <f>CD96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</f>
        <v/>
      </c>
      <c r="CE97" s="688">
        <f>CE96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</f>
        <v/>
      </c>
      <c r="CF97" s="688">
        <f>CF96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</f>
        <v/>
      </c>
      <c r="CG97" s="688">
        <f>CG96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</f>
        <v/>
      </c>
      <c r="CH97" s="688">
        <f>CH96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</f>
        <v/>
      </c>
      <c r="CI97" s="688">
        <f>CI96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</f>
        <v/>
      </c>
      <c r="CJ97" s="688">
        <f>CJ96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</f>
        <v/>
      </c>
      <c r="CK97" s="688">
        <f>CK96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</f>
        <v/>
      </c>
      <c r="CL97" s="688">
        <f>CL96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</f>
        <v/>
      </c>
      <c r="CM97" s="688">
        <f>CM96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</f>
        <v/>
      </c>
      <c r="CN97" s="688">
        <f>CN96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</f>
        <v/>
      </c>
      <c r="CO97" s="688">
        <f>CO96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</f>
        <v/>
      </c>
      <c r="CP97" s="688">
        <f>CP96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</f>
        <v/>
      </c>
      <c r="CQ97" s="688">
        <f>CQ96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</f>
        <v/>
      </c>
      <c r="CR97" s="688">
        <f>CR96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</f>
        <v/>
      </c>
      <c r="CS97" s="688">
        <f>CS96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</f>
        <v/>
      </c>
      <c r="CT97" s="688">
        <f>CT96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</f>
        <v/>
      </c>
      <c r="CU97" s="688">
        <f>CU96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</f>
        <v/>
      </c>
      <c r="CV97" s="688">
        <f>CV96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</f>
        <v/>
      </c>
      <c r="CW97" s="688">
        <f>CW96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</f>
        <v/>
      </c>
      <c r="CX97" s="688">
        <f>CX96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</f>
        <v/>
      </c>
      <c r="CY97" s="688">
        <f>CY96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</f>
        <v/>
      </c>
      <c r="CZ97" s="688">
        <f>CZ96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</f>
        <v/>
      </c>
      <c r="DA97" s="688">
        <f>DA96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</f>
        <v/>
      </c>
      <c r="DB97" s="688">
        <f>DB96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</f>
        <v/>
      </c>
      <c r="DC97" s="688">
        <f>DC96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</f>
        <v/>
      </c>
      <c r="DD97" s="688">
        <f>DD96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</f>
        <v/>
      </c>
      <c r="DE97" s="688">
        <f>DE96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</f>
        <v/>
      </c>
      <c r="DF97" s="688">
        <f>DF96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</f>
        <v/>
      </c>
    </row>
    <row r="98" ht="15" customFormat="1" customHeight="1" s="380">
      <c r="A98" s="452" t="inlineStr">
        <is>
          <t>BD Share of fees (memo) = BD fees / GP excl. bonding</t>
        </is>
      </c>
      <c r="C98" s="689">
        <f>IFERROR((C97-C96)/(Model!B109-(Model!B105+Model!B106)),0)</f>
        <v/>
      </c>
      <c r="D98" s="689">
        <f>IFERROR((D97-D96)/(Model!C109-(Model!C105+Model!C106)),0)</f>
        <v/>
      </c>
      <c r="E98" s="689">
        <f>IFERROR((E97-E96)/(Model!D109-(Model!D105+Model!D106)),0)</f>
        <v/>
      </c>
      <c r="F98" s="689">
        <f>IFERROR((F97-F96)/(Model!E109-(Model!E105+Model!E106)),0)</f>
        <v/>
      </c>
      <c r="G98" s="689">
        <f>IFERROR((G97-G96)/(Model!F109-(Model!F105+Model!F106)),0)</f>
        <v/>
      </c>
      <c r="H98" s="689">
        <f>IFERROR((H97-H96)/(Model!G109-(Model!G105+Model!G106)),0)</f>
        <v/>
      </c>
      <c r="I98" s="689">
        <f>IFERROR((I97-I96)/(Model!H109-(Model!H105+Model!H106)),0)</f>
        <v/>
      </c>
      <c r="J98" s="689">
        <f>IFERROR((J97-J96)/(Model!I109-(Model!I105+Model!I106)),0)</f>
        <v/>
      </c>
      <c r="K98" s="689">
        <f>IFERROR((K97-K96)/(Model!J109-(Model!J105+Model!J106)),0)</f>
        <v/>
      </c>
      <c r="L98" s="689">
        <f>IFERROR((L97-L96)/(Model!K109-(Model!K105+Model!K106)),0)</f>
        <v/>
      </c>
      <c r="M98" s="689">
        <f>IFERROR((M97-M96)/(Model!L109-(Model!L105+Model!L106)),0)</f>
        <v/>
      </c>
      <c r="N98" s="689">
        <f>IFERROR((N97-N96)/(Model!M109-(Model!M105+Model!M106)),0)</f>
        <v/>
      </c>
      <c r="O98" s="689">
        <f>IFERROR((O97-O96)/(Model!N109-(Model!N105+Model!N106)),0)</f>
        <v/>
      </c>
      <c r="P98" s="689">
        <f>IFERROR((P97-P96)/(Model!O109-(Model!O105+Model!O106)),0)</f>
        <v/>
      </c>
      <c r="Q98" s="689">
        <f>IFERROR((Q97-Q96)/(Model!P109-(Model!P105+Model!P106)),0)</f>
        <v/>
      </c>
      <c r="R98" s="689">
        <f>IFERROR((R97-R96)/(Model!Q109-(Model!Q105+Model!Q106)),0)</f>
        <v/>
      </c>
      <c r="S98" s="689">
        <f>IFERROR((S97-S96)/(Model!R109-(Model!R105+Model!R106)),0)</f>
        <v/>
      </c>
      <c r="T98" s="689">
        <f>IFERROR((T97-T96)/(Model!S109-(Model!S105+Model!S106)),0)</f>
        <v/>
      </c>
      <c r="U98" s="689">
        <f>IFERROR((U97-U96)/(Model!T109-(Model!T105+Model!T106)),0)</f>
        <v/>
      </c>
      <c r="V98" s="689">
        <f>IFERROR((V97-V96)/(Model!U109-(Model!U105+Model!U106)),0)</f>
        <v/>
      </c>
      <c r="W98" s="689">
        <f>IFERROR((W97-W96)/(Model!V109-(Model!V105+Model!V106)),0)</f>
        <v/>
      </c>
      <c r="X98" s="689">
        <f>IFERROR((X97-X96)/(Model!W109-(Model!W105+Model!W106)),0)</f>
        <v/>
      </c>
      <c r="Y98" s="689">
        <f>IFERROR((Y97-Y96)/(Model!X109-(Model!X105+Model!X106)),0)</f>
        <v/>
      </c>
      <c r="Z98" s="689">
        <f>IFERROR((Z97-Z96)/(Model!Y109-(Model!Y105+Model!Y106)),0)</f>
        <v/>
      </c>
      <c r="AA98" s="689">
        <f>IFERROR((AA97-AA96)/(Model!Z109-(Model!Z105+Model!Z106)),0)</f>
        <v/>
      </c>
      <c r="AB98" s="689">
        <f>IFERROR((AB97-AB96)/(Model!AA109-(Model!AA105+Model!AA106)),0)</f>
        <v/>
      </c>
      <c r="AC98" s="689">
        <f>IFERROR((AC97-AC96)/(Model!AB109-(Model!AB105+Model!AB106)),0)</f>
        <v/>
      </c>
      <c r="AD98" s="689">
        <f>IFERROR((AD97-AD96)/(Model!AC109-(Model!AC105+Model!AC106)),0)</f>
        <v/>
      </c>
      <c r="AE98" s="689">
        <f>IFERROR((AE97-AE96)/(Model!AD109-(Model!AD105+Model!AD106)),0)</f>
        <v/>
      </c>
      <c r="AF98" s="689">
        <f>IFERROR((AF97-AF96)/(Model!AE109-(Model!AE105+Model!AE106)),0)</f>
        <v/>
      </c>
      <c r="AG98" s="689">
        <f>IFERROR((AG97-AG96)/(Model!AF109-(Model!AF105+Model!AF106)),0)</f>
        <v/>
      </c>
      <c r="AH98" s="689">
        <f>IFERROR((AH97-AH96)/(Model!AG109-(Model!AG105+Model!AG106)),0)</f>
        <v/>
      </c>
      <c r="AI98" s="689">
        <f>IFERROR((AI97-AI96)/(Model!AH109-(Model!AH105+Model!AH106)),0)</f>
        <v/>
      </c>
      <c r="AJ98" s="689">
        <f>IFERROR((AJ97-AJ96)/(Model!AI109-(Model!AI105+Model!AI106)),0)</f>
        <v/>
      </c>
      <c r="AK98" s="689">
        <f>IFERROR((AK97-AK96)/(Model!AJ109-(Model!AJ105+Model!AJ106)),0)</f>
        <v/>
      </c>
      <c r="AL98" s="689">
        <f>IFERROR((AL97-AL96)/(Model!AK109-(Model!AK105+Model!AK106)),0)</f>
        <v/>
      </c>
      <c r="AM98" s="689">
        <f>IFERROR((AM97-AM96)/(Model!AL109-(Model!AL105+Model!AL106)),0)</f>
        <v/>
      </c>
      <c r="AN98" s="689">
        <f>IFERROR((AN97-AN96)/(Model!AM109-(Model!AM105+Model!AM106)),0)</f>
        <v/>
      </c>
      <c r="AO98" s="689">
        <f>IFERROR((AO97-AO96)/(Model!AN109-(Model!AN105+Model!AN106)),0)</f>
        <v/>
      </c>
      <c r="AP98" s="689">
        <f>IFERROR((AP97-AP96)/(Model!AO109-(Model!AO105+Model!AO106)),0)</f>
        <v/>
      </c>
      <c r="AQ98" s="689">
        <f>IFERROR((AQ97-AQ96)/(Model!AP109-(Model!AP105+Model!AP106)),0)</f>
        <v/>
      </c>
      <c r="AR98" s="689">
        <f>IFERROR((AR97-AR96)/(Model!AQ109-(Model!AQ105+Model!AQ106)),0)</f>
        <v/>
      </c>
      <c r="AS98" s="689">
        <f>IFERROR((AS97-AS96)/(Model!AR109-(Model!AR105+Model!AR106)),0)</f>
        <v/>
      </c>
      <c r="AT98" s="689">
        <f>IFERROR((AT97-AT96)/(Model!AS109-(Model!AS105+Model!AS106)),0)</f>
        <v/>
      </c>
      <c r="AU98" s="689">
        <f>IFERROR((AU97-AU96)/(Model!AT109-(Model!AT105+Model!AT106)),0)</f>
        <v/>
      </c>
      <c r="AV98" s="689">
        <f>IFERROR((AV97-AV96)/(Model!AU109-(Model!AU105+Model!AU106)),0)</f>
        <v/>
      </c>
      <c r="AW98" s="689">
        <f>IFERROR((AW97-AW96)/(Model!AV109-(Model!AV105+Model!AV106)),0)</f>
        <v/>
      </c>
      <c r="AX98" s="689">
        <f>IFERROR((AX97-AX96)/(Model!AW109-(Model!AW105+Model!AW106)),0)</f>
        <v/>
      </c>
      <c r="AY98" s="689">
        <f>IFERROR((AY97-AY96)/(Model!AX109-(Model!AX105+Model!AX106)),0)</f>
        <v/>
      </c>
      <c r="AZ98" s="689">
        <f>IFERROR((AZ97-AZ96)/(Model!AY109-(Model!AY105+Model!AY106)),0)</f>
        <v/>
      </c>
      <c r="BA98" s="689">
        <f>IFERROR((BA97-BA96)/(Model!AZ109-(Model!AZ105+Model!AZ106)),0)</f>
        <v/>
      </c>
      <c r="BB98" s="689">
        <f>IFERROR((BB97-BB96)/(Model!BA109-(Model!BA105+Model!BA106)),0)</f>
        <v/>
      </c>
      <c r="BC98" s="689">
        <f>IFERROR((BC97-BC96)/(Model!BB109-(Model!BB105+Model!BB106)),0)</f>
        <v/>
      </c>
      <c r="BD98" s="689">
        <f>IFERROR((BD97-BD96)/(Model!BC109-(Model!BC105+Model!BC106)),0)</f>
        <v/>
      </c>
      <c r="BE98" s="689">
        <f>IFERROR((BE97-BE96)/(Model!BD109-(Model!BD105+Model!BD106)),0)</f>
        <v/>
      </c>
      <c r="BF98" s="689">
        <f>IFERROR((BF97-BF96)/(Model!BE109-(Model!BE105+Model!BE106)),0)</f>
        <v/>
      </c>
      <c r="BG98" s="689">
        <f>IFERROR((BG97-BG96)/(Model!BF109-(Model!BF105+Model!BF106)),0)</f>
        <v/>
      </c>
      <c r="BH98" s="689">
        <f>IFERROR((BH97-BH96)/(Model!BG109-(Model!BG105+Model!BG106)),0)</f>
        <v/>
      </c>
      <c r="BI98" s="689">
        <f>IFERROR((BI97-BI96)/(Model!BH109-(Model!BH105+Model!BH106)),0)</f>
        <v/>
      </c>
      <c r="BJ98" s="689">
        <f>IFERROR((BJ97-BJ96)/(Model!BI109-(Model!BI105+Model!BI106)),0)</f>
        <v/>
      </c>
      <c r="BK98" s="689">
        <f>IFERROR((BK97-BK96)/(Model!BJ109-(Model!BJ105+Model!BJ106)),0)</f>
        <v/>
      </c>
      <c r="BL98" s="689">
        <f>IFERROR((BL97-BL96)/(Model!BK109-(Model!BK105+Model!BK106)),0)</f>
        <v/>
      </c>
      <c r="BM98" s="689">
        <f>IFERROR((BM97-BM96)/(Model!BL109-(Model!BL105+Model!BL106)),0)</f>
        <v/>
      </c>
      <c r="BN98" s="689">
        <f>IFERROR((BN97-BN96)/(Model!BM109-(Model!BM105+Model!BM106)),0)</f>
        <v/>
      </c>
      <c r="BO98" s="689">
        <f>IFERROR((BO97-BO96)/(Model!BN109-(Model!BN105+Model!BN106)),0)</f>
        <v/>
      </c>
      <c r="BP98" s="689">
        <f>IFERROR((BP97-BP96)/(Model!BO109-(Model!BO105+Model!BO106)),0)</f>
        <v/>
      </c>
      <c r="BQ98" s="689">
        <f>IFERROR((BQ97-BQ96)/(Model!BP109-(Model!BP105+Model!BP106)),0)</f>
        <v/>
      </c>
      <c r="BR98" s="689">
        <f>IFERROR((BR97-BR96)/(Model!BQ109-(Model!BQ105+Model!BQ106)),0)</f>
        <v/>
      </c>
      <c r="BS98" s="689">
        <f>IFERROR((BS97-BS96)/(Model!BR109-(Model!BR105+Model!BR106)),0)</f>
        <v/>
      </c>
      <c r="BT98" s="689">
        <f>IFERROR((BT97-BT96)/(Model!BS109-(Model!BS105+Model!BS106)),0)</f>
        <v/>
      </c>
      <c r="BU98" s="689">
        <f>IFERROR((BU97-BU96)/(Model!BT109-(Model!BT105+Model!BT106)),0)</f>
        <v/>
      </c>
      <c r="BV98" s="689">
        <f>IFERROR((BV97-BV96)/(Model!BU109-(Model!BU105+Model!BU106)),0)</f>
        <v/>
      </c>
      <c r="BW98" s="689">
        <f>IFERROR((BW97-BW96)/(Model!BV109-(Model!BV105+Model!BV106)),0)</f>
        <v/>
      </c>
      <c r="BX98" s="689">
        <f>IFERROR((BX97-BX96)/(Model!BW109-(Model!BW105+Model!BW106)),0)</f>
        <v/>
      </c>
      <c r="BY98" s="689">
        <f>IFERROR((BY97-BY96)/(Model!BX109-(Model!BX105+Model!BX106)),0)</f>
        <v/>
      </c>
      <c r="BZ98" s="689">
        <f>IFERROR((BZ97-BZ96)/(Model!BY109-(Model!BY105+Model!BY106)),0)</f>
        <v/>
      </c>
      <c r="CA98" s="689">
        <f>IFERROR((CA97-CA96)/(Model!BZ109-(Model!BZ105+Model!BZ106)),0)</f>
        <v/>
      </c>
      <c r="CB98" s="689">
        <f>IFERROR((CB97-CB96)/(Model!CA109-(Model!CA105+Model!CA106)),0)</f>
        <v/>
      </c>
      <c r="CC98" s="689">
        <f>IFERROR((CC97-CC96)/(Model!CB109-(Model!CB105+Model!CB106)),0)</f>
        <v/>
      </c>
      <c r="CD98" s="689">
        <f>IFERROR((CD97-CD96)/(Model!CC109-(Model!CC105+Model!CC106)),0)</f>
        <v/>
      </c>
      <c r="CE98" s="689">
        <f>IFERROR((CE97-CE96)/(Model!CD109-(Model!CD105+Model!CD106)),0)</f>
        <v/>
      </c>
      <c r="CF98" s="689">
        <f>IFERROR((CF97-CF96)/(Model!CE109-(Model!CE105+Model!CE106)),0)</f>
        <v/>
      </c>
      <c r="CG98" s="689">
        <f>IFERROR((CG97-CG96)/(Model!CF109-(Model!CF105+Model!CF106)),0)</f>
        <v/>
      </c>
      <c r="CH98" s="689">
        <f>IFERROR((CH97-CH96)/(Model!CG109-(Model!CG105+Model!CG106)),0)</f>
        <v/>
      </c>
      <c r="CI98" s="689">
        <f>IFERROR((CI97-CI96)/(Model!CH109-(Model!CH105+Model!CH106)),0)</f>
        <v/>
      </c>
      <c r="CJ98" s="689">
        <f>IFERROR((CJ97-CJ96)/(Model!CI109-(Model!CI105+Model!CI106)),0)</f>
        <v/>
      </c>
      <c r="CK98" s="689">
        <f>IFERROR((CK97-CK96)/(Model!CJ109-(Model!CJ105+Model!CJ106)),0)</f>
        <v/>
      </c>
      <c r="CL98" s="689">
        <f>IFERROR((CL97-CL96)/(Model!CK109-(Model!CK105+Model!CK106)),0)</f>
        <v/>
      </c>
      <c r="CM98" s="689">
        <f>IFERROR((CM97-CM96)/(Model!CL109-(Model!CL105+Model!CL106)),0)</f>
        <v/>
      </c>
      <c r="CN98" s="689">
        <f>IFERROR((CN97-CN96)/(Model!CM109-(Model!CM105+Model!CM106)),0)</f>
        <v/>
      </c>
      <c r="CO98" s="689">
        <f>IFERROR((CO97-CO96)/(Model!CN109-(Model!CN105+Model!CN106)),0)</f>
        <v/>
      </c>
      <c r="CP98" s="689">
        <f>IFERROR((CP97-CP96)/(Model!CO109-(Model!CO105+Model!CO106)),0)</f>
        <v/>
      </c>
      <c r="CQ98" s="689">
        <f>IFERROR((CQ97-CQ96)/(Model!CP109-(Model!CP105+Model!CP106)),0)</f>
        <v/>
      </c>
      <c r="CR98" s="689">
        <f>IFERROR((CR97-CR96)/(Model!CQ109-(Model!CQ105+Model!CQ106)),0)</f>
        <v/>
      </c>
      <c r="CS98" s="689">
        <f>IFERROR((CS97-CS96)/(Model!CR109-(Model!CR105+Model!CR106)),0)</f>
        <v/>
      </c>
      <c r="CT98" s="689">
        <f>IFERROR((CT97-CT96)/(Model!CS109-(Model!CS105+Model!CS106)),0)</f>
        <v/>
      </c>
      <c r="CU98" s="689">
        <f>IFERROR((CU97-CU96)/(Model!CT109-(Model!CT105+Model!CT106)),0)</f>
        <v/>
      </c>
      <c r="CV98" s="689">
        <f>IFERROR((CV97-CV96)/(Model!CU109-(Model!CU105+Model!CU106)),0)</f>
        <v/>
      </c>
      <c r="CW98" s="689">
        <f>IFERROR((CW97-CW96)/(Model!CV109-(Model!CV105+Model!CV106)),0)</f>
        <v/>
      </c>
      <c r="CX98" s="689">
        <f>IFERROR((CX97-CX96)/(Model!CW109-(Model!CW105+Model!CW106)),0)</f>
        <v/>
      </c>
      <c r="CY98" s="689">
        <f>IFERROR((CY97-CY96)/(Model!CX109-(Model!CX105+Model!CX106)),0)</f>
        <v/>
      </c>
      <c r="CZ98" s="689">
        <f>IFERROR((CZ97-CZ96)/(Model!CY109-(Model!CY105+Model!CY106)),0)</f>
        <v/>
      </c>
      <c r="DA98" s="689">
        <f>IFERROR((DA97-DA96)/(Model!CZ109-(Model!CZ105+Model!CZ106)),0)</f>
        <v/>
      </c>
      <c r="DB98" s="689">
        <f>IFERROR((DB97-DB96)/(Model!DA109-(Model!DA105+Model!DA106)),0)</f>
        <v/>
      </c>
      <c r="DC98" s="689">
        <f>IFERROR((DC97-DC96)/(Model!DB109-(Model!DB105+Model!DB106)),0)</f>
        <v/>
      </c>
      <c r="DD98" s="689">
        <f>IFERROR((DD97-DD96)/(Model!DC109-(Model!DC105+Model!DC106)),0)</f>
        <v/>
      </c>
      <c r="DE98" s="689">
        <f>IFERROR((DE97-DE96)/(Model!DD109-(Model!DD105+Model!DD106)),0)</f>
        <v/>
      </c>
      <c r="DF98" s="689">
        <f>IFERROR((DF97-DF96)/(Model!DE109-(Model!DE105+Model!DE106)),0)</f>
        <v/>
      </c>
    </row>
    <row r="99" ht="15" customFormat="1" customHeight="1" s="380">
      <c r="A99" s="452" t="inlineStr">
        <is>
          <t>GC Gross Profit (memo) = GP excl. bonding + SUM(R23:R53) + State Tax(55)</t>
        </is>
      </c>
      <c r="B99" s="687">
        <f>SUM(Actuals!C17:N17)</f>
        <v/>
      </c>
      <c r="C99" s="688">
        <f>Model!B109+SUM(Model!B113:B143)+Model!B145-(Model!B105+Model!B106)</f>
        <v/>
      </c>
      <c r="D99" s="688">
        <f>Model!C109+SUM(Model!C113:C143)+Model!C145-(Model!C105+Model!C106)</f>
        <v/>
      </c>
      <c r="E99" s="688">
        <f>Model!D109+SUM(Model!D113:D143)+Model!D145-(Model!D105+Model!D106)</f>
        <v/>
      </c>
      <c r="F99" s="688">
        <f>Model!E109+SUM(Model!E113:E143)+Model!E145-(Model!E105+Model!E106)</f>
        <v/>
      </c>
      <c r="G99" s="688">
        <f>Model!F109+SUM(Model!F113:F143)+Model!F145-(Model!F105+Model!F106)</f>
        <v/>
      </c>
      <c r="H99" s="688">
        <f>Model!G109+SUM(Model!G113:G143)+Model!G145-(Model!G105+Model!G106)</f>
        <v/>
      </c>
      <c r="I99" s="688">
        <f>Model!H109+SUM(Model!H113:H143)+Model!H145-(Model!H105+Model!H106)</f>
        <v/>
      </c>
      <c r="J99" s="688">
        <f>Model!I109+SUM(Model!I113:I143)+Model!I145-(Model!I105+Model!I106)</f>
        <v/>
      </c>
      <c r="K99" s="688">
        <f>Model!J109+SUM(Model!J113:J143)+Model!J145-(Model!J105+Model!J106)</f>
        <v/>
      </c>
      <c r="L99" s="688">
        <f>Model!K109+SUM(Model!K113:K143)+Model!K145-(Model!K105+Model!K106)</f>
        <v/>
      </c>
      <c r="M99" s="688">
        <f>Model!L109+SUM(Model!L113:L143)+Model!L145-(Model!L105+Model!L106)</f>
        <v/>
      </c>
      <c r="N99" s="688">
        <f>Model!M109+SUM(Model!M113:M143)+Model!M145-(Model!M105+Model!M106)</f>
        <v/>
      </c>
      <c r="O99" s="688">
        <f>Model!N109+SUM(Model!N113:N143)+Model!N145-(Model!N105+Model!N106)</f>
        <v/>
      </c>
      <c r="P99" s="688">
        <f>Model!O109+SUM(Model!O113:O143)+Model!O145-(Model!O105+Model!O106)</f>
        <v/>
      </c>
      <c r="Q99" s="688">
        <f>Model!P109+SUM(Model!P113:P143)+Model!P145-(Model!P105+Model!P106)</f>
        <v/>
      </c>
      <c r="R99" s="688">
        <f>Model!Q109+SUM(Model!Q113:Q143)+Model!Q145-(Model!Q105+Model!Q106)</f>
        <v/>
      </c>
      <c r="S99" s="688">
        <f>Model!R109+SUM(Model!R113:R143)+Model!R145-(Model!R105+Model!R106)</f>
        <v/>
      </c>
      <c r="T99" s="688">
        <f>Model!S109+SUM(Model!S113:S143)+Model!S145-(Model!S105+Model!S106)</f>
        <v/>
      </c>
      <c r="U99" s="688">
        <f>Model!T109+SUM(Model!T113:T143)+Model!T145-(Model!T105+Model!T106)</f>
        <v/>
      </c>
      <c r="V99" s="688">
        <f>Model!U109+SUM(Model!U113:U143)+Model!U145-(Model!U105+Model!U106)</f>
        <v/>
      </c>
      <c r="W99" s="688">
        <f>Model!V109+SUM(Model!V113:V143)+Model!V145-(Model!V105+Model!V106)</f>
        <v/>
      </c>
      <c r="X99" s="688">
        <f>Model!W109+SUM(Model!W113:W143)+Model!W145-(Model!W105+Model!W106)</f>
        <v/>
      </c>
      <c r="Y99" s="688">
        <f>Model!X109+SUM(Model!X113:X143)+Model!X145-(Model!X105+Model!X106)</f>
        <v/>
      </c>
      <c r="Z99" s="688">
        <f>Model!Y109+SUM(Model!Y113:Y143)+Model!Y145-(Model!Y105+Model!Y106)</f>
        <v/>
      </c>
      <c r="AA99" s="688">
        <f>Model!Z109+SUM(Model!Z113:Z143)+Model!Z145-(Model!Z105+Model!Z106)</f>
        <v/>
      </c>
      <c r="AB99" s="688">
        <f>Model!AA109+SUM(Model!AA113:AA143)+Model!AA145-(Model!AA105+Model!AA106)</f>
        <v/>
      </c>
      <c r="AC99" s="688">
        <f>Model!AB109+SUM(Model!AB113:AB143)+Model!AB145-(Model!AB105+Model!AB106)</f>
        <v/>
      </c>
      <c r="AD99" s="688">
        <f>Model!AC109+SUM(Model!AC113:AC143)+Model!AC145-(Model!AC105+Model!AC106)</f>
        <v/>
      </c>
      <c r="AE99" s="688">
        <f>Model!AD109+SUM(Model!AD113:AD143)+Model!AD145-(Model!AD105+Model!AD106)</f>
        <v/>
      </c>
      <c r="AF99" s="688">
        <f>Model!AE109+SUM(Model!AE113:AE143)+Model!AE145-(Model!AE105+Model!AE106)</f>
        <v/>
      </c>
      <c r="AG99" s="688">
        <f>Model!AF109+SUM(Model!AF113:AF143)+Model!AF145-(Model!AF105+Model!AF106)</f>
        <v/>
      </c>
      <c r="AH99" s="688">
        <f>Model!AG109+SUM(Model!AG113:AG143)+Model!AG145-(Model!AG105+Model!AG106)</f>
        <v/>
      </c>
      <c r="AI99" s="688">
        <f>Model!AH109+SUM(Model!AH113:AH143)+Model!AH145-(Model!AH105+Model!AH106)</f>
        <v/>
      </c>
      <c r="AJ99" s="688">
        <f>Model!AI109+SUM(Model!AI113:AI143)+Model!AI145-(Model!AI105+Model!AI106)</f>
        <v/>
      </c>
      <c r="AK99" s="688">
        <f>Model!AJ109+SUM(Model!AJ113:AJ143)+Model!AJ145-(Model!AJ105+Model!AJ106)</f>
        <v/>
      </c>
      <c r="AL99" s="688">
        <f>Model!AK109+SUM(Model!AK113:AK143)+Model!AK145-(Model!AK105+Model!AK106)</f>
        <v/>
      </c>
      <c r="AM99" s="688">
        <f>Model!AL109+SUM(Model!AL113:AL143)+Model!AL145-(Model!AL105+Model!AL106)</f>
        <v/>
      </c>
      <c r="AN99" s="688">
        <f>Model!AM109+SUM(Model!AM113:AM143)+Model!AM145-(Model!AM105+Model!AM106)</f>
        <v/>
      </c>
      <c r="AO99" s="688">
        <f>Model!AN109+SUM(Model!AN113:AN143)+Model!AN145-(Model!AN105+Model!AN106)</f>
        <v/>
      </c>
      <c r="AP99" s="688">
        <f>Model!AO109+SUM(Model!AO113:AO143)+Model!AO145-(Model!AO105+Model!AO106)</f>
        <v/>
      </c>
      <c r="AQ99" s="688">
        <f>Model!AP109+SUM(Model!AP113:AP143)+Model!AP145-(Model!AP105+Model!AP106)</f>
        <v/>
      </c>
      <c r="AR99" s="688">
        <f>Model!AQ109+SUM(Model!AQ113:AQ143)+Model!AQ145-(Model!AQ105+Model!AQ106)</f>
        <v/>
      </c>
      <c r="AS99" s="688">
        <f>Model!AR109+SUM(Model!AR113:AR143)+Model!AR145-(Model!AR105+Model!AR106)</f>
        <v/>
      </c>
      <c r="AT99" s="688">
        <f>Model!AS109+SUM(Model!AS113:AS143)+Model!AS145-(Model!AS105+Model!AS106)</f>
        <v/>
      </c>
      <c r="AU99" s="688">
        <f>Model!AT109+SUM(Model!AT113:AT143)+Model!AT145-(Model!AT105+Model!AT106)</f>
        <v/>
      </c>
      <c r="AV99" s="688">
        <f>Model!AU109+SUM(Model!AU113:AU143)+Model!AU145-(Model!AU105+Model!AU106)</f>
        <v/>
      </c>
      <c r="AW99" s="688">
        <f>Model!AV109+SUM(Model!AV113:AV143)+Model!AV145-(Model!AV105+Model!AV106)</f>
        <v/>
      </c>
      <c r="AX99" s="688">
        <f>Model!AW109+SUM(Model!AW113:AW143)+Model!AW145-(Model!AW105+Model!AW106)</f>
        <v/>
      </c>
      <c r="AY99" s="688">
        <f>Model!AX109+SUM(Model!AX113:AX143)+Model!AX145-(Model!AX105+Model!AX106)</f>
        <v/>
      </c>
      <c r="AZ99" s="688">
        <f>Model!AY109+SUM(Model!AY113:AY143)+Model!AY145-(Model!AY105+Model!AY106)</f>
        <v/>
      </c>
      <c r="BA99" s="688">
        <f>Model!AZ109+SUM(Model!AZ113:AZ143)+Model!AZ145-(Model!AZ105+Model!AZ106)</f>
        <v/>
      </c>
      <c r="BB99" s="688">
        <f>Model!BA109+SUM(Model!BA113:BA143)+Model!BA145-(Model!BA105+Model!BA106)</f>
        <v/>
      </c>
      <c r="BC99" s="688">
        <f>Model!BB109+SUM(Model!BB113:BB143)+Model!BB145-(Model!BB105+Model!BB106)</f>
        <v/>
      </c>
      <c r="BD99" s="688">
        <f>Model!BC109+SUM(Model!BC113:BC143)+Model!BC145-(Model!BC105+Model!BC106)</f>
        <v/>
      </c>
      <c r="BE99" s="688">
        <f>Model!BD109+SUM(Model!BD113:BD143)+Model!BD145-(Model!BD105+Model!BD106)</f>
        <v/>
      </c>
      <c r="BF99" s="688">
        <f>Model!BE109+SUM(Model!BE113:BE143)+Model!BE145-(Model!BE105+Model!BE106)</f>
        <v/>
      </c>
      <c r="BG99" s="688">
        <f>Model!BF109+SUM(Model!BF113:BF143)+Model!BF145-(Model!BF105+Model!BF106)</f>
        <v/>
      </c>
      <c r="BH99" s="688">
        <f>Model!BG109+SUM(Model!BG113:BG143)+Model!BG145-(Model!BG105+Model!BG106)</f>
        <v/>
      </c>
      <c r="BI99" s="688">
        <f>Model!BH109+SUM(Model!BH113:BH143)+Model!BH145-(Model!BH105+Model!BH106)</f>
        <v/>
      </c>
      <c r="BJ99" s="688">
        <f>Model!BI109+SUM(Model!BI113:BI143)+Model!BI145-(Model!BI105+Model!BI106)</f>
        <v/>
      </c>
      <c r="BK99" s="688">
        <f>Model!BJ109+SUM(Model!BJ113:BJ143)+Model!BJ145-(Model!BJ105+Model!BJ106)</f>
        <v/>
      </c>
      <c r="BL99" s="688">
        <f>Model!BK109+SUM(Model!BK113:BK143)+Model!BK145-(Model!BK105+Model!BK106)</f>
        <v/>
      </c>
      <c r="BM99" s="688">
        <f>Model!BL109+SUM(Model!BL113:BL143)+Model!BL145-(Model!BL105+Model!BL106)</f>
        <v/>
      </c>
      <c r="BN99" s="688">
        <f>Model!BM109+SUM(Model!BM113:BM143)+Model!BM145-(Model!BM105+Model!BM106)</f>
        <v/>
      </c>
      <c r="BO99" s="688">
        <f>Model!BN109+SUM(Model!BN113:BN143)+Model!BN145-(Model!BN105+Model!BN106)</f>
        <v/>
      </c>
      <c r="BP99" s="688">
        <f>Model!BO109+SUM(Model!BO113:BO143)+Model!BO145-(Model!BO105+Model!BO106)</f>
        <v/>
      </c>
      <c r="BQ99" s="688">
        <f>Model!BP109+SUM(Model!BP113:BP143)+Model!BP145-(Model!BP105+Model!BP106)</f>
        <v/>
      </c>
      <c r="BR99" s="688">
        <f>Model!BQ109+SUM(Model!BQ113:BQ143)+Model!BQ145-(Model!BQ105+Model!BQ106)</f>
        <v/>
      </c>
      <c r="BS99" s="688">
        <f>Model!BR109+SUM(Model!BR113:BR143)+Model!BR145-(Model!BR105+Model!BR106)</f>
        <v/>
      </c>
      <c r="BT99" s="688">
        <f>Model!BS109+SUM(Model!BS113:BS143)+Model!BS145-(Model!BS105+Model!BS106)</f>
        <v/>
      </c>
      <c r="BU99" s="688">
        <f>Model!BT109+SUM(Model!BT113:BT143)+Model!BT145-(Model!BT105+Model!BT106)</f>
        <v/>
      </c>
      <c r="BV99" s="688">
        <f>Model!BU109+SUM(Model!BU113:BU143)+Model!BU145-(Model!BU105+Model!BU106)</f>
        <v/>
      </c>
      <c r="BW99" s="688">
        <f>Model!BV109+SUM(Model!BV113:BV143)+Model!BV145-(Model!BV105+Model!BV106)</f>
        <v/>
      </c>
      <c r="BX99" s="688">
        <f>Model!BW109+SUM(Model!BW113:BW143)+Model!BW145-(Model!BW105+Model!BW106)</f>
        <v/>
      </c>
      <c r="BY99" s="688">
        <f>Model!BX109+SUM(Model!BX113:BX143)+Model!BX145-(Model!BX105+Model!BX106)</f>
        <v/>
      </c>
      <c r="BZ99" s="688">
        <f>Model!BY109+SUM(Model!BY113:BY143)+Model!BY145-(Model!BY105+Model!BY106)</f>
        <v/>
      </c>
      <c r="CA99" s="688">
        <f>Model!BZ109+SUM(Model!BZ113:BZ143)+Model!BZ145-(Model!BZ105+Model!BZ106)</f>
        <v/>
      </c>
      <c r="CB99" s="688">
        <f>Model!CA109+SUM(Model!CA113:CA143)+Model!CA145-(Model!CA105+Model!CA106)</f>
        <v/>
      </c>
      <c r="CC99" s="688">
        <f>Model!CB109+SUM(Model!CB113:CB143)+Model!CB145-(Model!CB105+Model!CB106)</f>
        <v/>
      </c>
      <c r="CD99" s="688">
        <f>Model!CC109+SUM(Model!CC113:CC143)+Model!CC145-(Model!CC105+Model!CC106)</f>
        <v/>
      </c>
      <c r="CE99" s="688">
        <f>Model!CD109+SUM(Model!CD113:CD143)+Model!CD145-(Model!CD105+Model!CD106)</f>
        <v/>
      </c>
      <c r="CF99" s="688">
        <f>Model!CE109+SUM(Model!CE113:CE143)+Model!CE145-(Model!CE105+Model!CE106)</f>
        <v/>
      </c>
      <c r="CG99" s="688">
        <f>Model!CF109+SUM(Model!CF113:CF143)+Model!CF145-(Model!CF105+Model!CF106)</f>
        <v/>
      </c>
      <c r="CH99" s="688">
        <f>Model!CG109+SUM(Model!CG113:CG143)+Model!CG145-(Model!CG105+Model!CG106)</f>
        <v/>
      </c>
      <c r="CI99" s="688">
        <f>Model!CH109+SUM(Model!CH113:CH143)+Model!CH145-(Model!CH105+Model!CH106)</f>
        <v/>
      </c>
      <c r="CJ99" s="688">
        <f>Model!CI109+SUM(Model!CI113:CI143)+Model!CI145-(Model!CI105+Model!CI106)</f>
        <v/>
      </c>
      <c r="CK99" s="688">
        <f>Model!CJ109+SUM(Model!CJ113:CJ143)+Model!CJ145-(Model!CJ105+Model!CJ106)</f>
        <v/>
      </c>
      <c r="CL99" s="688">
        <f>Model!CK109+SUM(Model!CK113:CK143)+Model!CK145-(Model!CK105+Model!CK106)</f>
        <v/>
      </c>
      <c r="CM99" s="688">
        <f>Model!CL109+SUM(Model!CL113:CL143)+Model!CL145-(Model!CL105+Model!CL106)</f>
        <v/>
      </c>
      <c r="CN99" s="688">
        <f>Model!CM109+SUM(Model!CM113:CM143)+Model!CM145-(Model!CM105+Model!CM106)</f>
        <v/>
      </c>
      <c r="CO99" s="688">
        <f>Model!CN109+SUM(Model!CN113:CN143)+Model!CN145-(Model!CN105+Model!CN106)</f>
        <v/>
      </c>
      <c r="CP99" s="688">
        <f>Model!CO109+SUM(Model!CO113:CO143)+Model!CO145-(Model!CO105+Model!CO106)</f>
        <v/>
      </c>
      <c r="CQ99" s="688">
        <f>Model!CP109+SUM(Model!CP113:CP143)+Model!CP145-(Model!CP105+Model!CP106)</f>
        <v/>
      </c>
      <c r="CR99" s="688">
        <f>Model!CQ109+SUM(Model!CQ113:CQ143)+Model!CQ145-(Model!CQ105+Model!CQ106)</f>
        <v/>
      </c>
      <c r="CS99" s="688">
        <f>Model!CR109+SUM(Model!CR113:CR143)+Model!CR145-(Model!CR105+Model!CR106)</f>
        <v/>
      </c>
      <c r="CT99" s="688">
        <f>Model!CS109+SUM(Model!CS113:CS143)+Model!CS145-(Model!CS105+Model!CS106)</f>
        <v/>
      </c>
      <c r="CU99" s="688">
        <f>Model!CT109+SUM(Model!CT113:CT143)+Model!CT145-(Model!CT105+Model!CT106)</f>
        <v/>
      </c>
      <c r="CV99" s="688">
        <f>Model!CU109+SUM(Model!CU113:CU143)+Model!CU145-(Model!CU105+Model!CU106)</f>
        <v/>
      </c>
      <c r="CW99" s="688">
        <f>Model!CV109+SUM(Model!CV113:CV143)+Model!CV145-(Model!CV105+Model!CV106)</f>
        <v/>
      </c>
      <c r="CX99" s="688">
        <f>Model!CW109+SUM(Model!CW113:CW143)+Model!CW145-(Model!CW105+Model!CW106)</f>
        <v/>
      </c>
      <c r="CY99" s="688">
        <f>Model!CX109+SUM(Model!CX113:CX143)+Model!CX145-(Model!CX105+Model!CX106)</f>
        <v/>
      </c>
      <c r="CZ99" s="688">
        <f>Model!CY109+SUM(Model!CY113:CY143)+Model!CY145-(Model!CY105+Model!CY106)</f>
        <v/>
      </c>
      <c r="DA99" s="688">
        <f>Model!CZ109+SUM(Model!CZ113:CZ143)+Model!CZ145-(Model!CZ105+Model!CZ106)</f>
        <v/>
      </c>
      <c r="DB99" s="688">
        <f>Model!DA109+SUM(Model!DA113:DA143)+Model!DA145-(Model!DA105+Model!DA106)</f>
        <v/>
      </c>
      <c r="DC99" s="688">
        <f>Model!DB109+SUM(Model!DB113:DB143)+Model!DB145-(Model!DB105+Model!DB106)</f>
        <v/>
      </c>
      <c r="DD99" s="688">
        <f>Model!DC109+SUM(Model!DC113:DC143)+Model!DC145-(Model!DC105+Model!DC106)</f>
        <v/>
      </c>
      <c r="DE99" s="688">
        <f>Model!DD109+SUM(Model!DD113:DD143)+Model!DD145-(Model!DD105+Model!DD106)</f>
        <v/>
      </c>
      <c r="DF99" s="688">
        <f>Model!DE109+SUM(Model!DE113:DE143)+Model!DE145-(Model!DE105+Model!DE106)</f>
        <v/>
      </c>
    </row>
    <row r="100" ht="15" customFormat="1" customHeight="1" s="380">
      <c r="A100" s="452" t="inlineStr">
        <is>
          <t>BD Allocated GP (memo)</t>
        </is>
      </c>
      <c r="B100" s="687">
        <f>SUM(Actuals!C55:N55)</f>
        <v/>
      </c>
      <c r="C100" s="690">
        <f>C98*C99</f>
        <v/>
      </c>
      <c r="D100" s="690">
        <f>D98*D99</f>
        <v/>
      </c>
      <c r="E100" s="690">
        <f>E98*E99</f>
        <v/>
      </c>
      <c r="F100" s="690">
        <f>F98*F99</f>
        <v/>
      </c>
      <c r="G100" s="690">
        <f>G98*G99</f>
        <v/>
      </c>
      <c r="H100" s="690">
        <f>H98*H99</f>
        <v/>
      </c>
      <c r="I100" s="690">
        <f>I98*I99</f>
        <v/>
      </c>
      <c r="J100" s="690">
        <f>J98*J99</f>
        <v/>
      </c>
      <c r="K100" s="690">
        <f>K98*K99</f>
        <v/>
      </c>
      <c r="L100" s="690">
        <f>L98*L99</f>
        <v/>
      </c>
      <c r="M100" s="690">
        <f>M98*M99</f>
        <v/>
      </c>
      <c r="N100" s="690">
        <f>N98*N99</f>
        <v/>
      </c>
      <c r="O100" s="690">
        <f>O98*O99</f>
        <v/>
      </c>
      <c r="P100" s="690">
        <f>P98*P99</f>
        <v/>
      </c>
      <c r="Q100" s="690">
        <f>Q98*Q99</f>
        <v/>
      </c>
      <c r="R100" s="690">
        <f>R98*R99</f>
        <v/>
      </c>
      <c r="S100" s="690">
        <f>S98*S99</f>
        <v/>
      </c>
      <c r="T100" s="690">
        <f>T98*T99</f>
        <v/>
      </c>
      <c r="U100" s="690">
        <f>U98*U99</f>
        <v/>
      </c>
      <c r="V100" s="690">
        <f>V98*V99</f>
        <v/>
      </c>
      <c r="W100" s="690">
        <f>W98*W99</f>
        <v/>
      </c>
      <c r="X100" s="690">
        <f>X98*X99</f>
        <v/>
      </c>
      <c r="Y100" s="690">
        <f>Y98*Y99</f>
        <v/>
      </c>
      <c r="Z100" s="690">
        <f>Z98*Z99</f>
        <v/>
      </c>
      <c r="AA100" s="690">
        <f>AA98*AA99</f>
        <v/>
      </c>
      <c r="AB100" s="690">
        <f>AB98*AB99</f>
        <v/>
      </c>
      <c r="AC100" s="690">
        <f>AC98*AC99</f>
        <v/>
      </c>
      <c r="AD100" s="690">
        <f>AD98*AD99</f>
        <v/>
      </c>
      <c r="AE100" s="690">
        <f>AE98*AE99</f>
        <v/>
      </c>
      <c r="AF100" s="690">
        <f>AF98*AF99</f>
        <v/>
      </c>
      <c r="AG100" s="690">
        <f>AG98*AG99</f>
        <v/>
      </c>
      <c r="AH100" s="690">
        <f>AH98*AH99</f>
        <v/>
      </c>
      <c r="AI100" s="690">
        <f>AI98*AI99</f>
        <v/>
      </c>
      <c r="AJ100" s="690">
        <f>AJ98*AJ99</f>
        <v/>
      </c>
      <c r="AK100" s="690">
        <f>AK98*AK99</f>
        <v/>
      </c>
      <c r="AL100" s="690">
        <f>AL98*AL99</f>
        <v/>
      </c>
      <c r="AM100" s="690">
        <f>AM98*AM99</f>
        <v/>
      </c>
      <c r="AN100" s="690">
        <f>AN98*AN99</f>
        <v/>
      </c>
      <c r="AO100" s="690">
        <f>AO98*AO99</f>
        <v/>
      </c>
      <c r="AP100" s="690">
        <f>AP98*AP99</f>
        <v/>
      </c>
      <c r="AQ100" s="690">
        <f>AQ98*AQ99</f>
        <v/>
      </c>
      <c r="AR100" s="690">
        <f>AR98*AR99</f>
        <v/>
      </c>
      <c r="AS100" s="690">
        <f>AS98*AS99</f>
        <v/>
      </c>
      <c r="AT100" s="690">
        <f>AT98*AT99</f>
        <v/>
      </c>
      <c r="AU100" s="690">
        <f>AU98*AU99</f>
        <v/>
      </c>
      <c r="AV100" s="690">
        <f>AV98*AV99</f>
        <v/>
      </c>
      <c r="AW100" s="690">
        <f>AW98*AW99</f>
        <v/>
      </c>
      <c r="AX100" s="690">
        <f>AX98*AX99</f>
        <v/>
      </c>
      <c r="AY100" s="690">
        <f>AY98*AY99</f>
        <v/>
      </c>
      <c r="AZ100" s="690">
        <f>AZ98*AZ99</f>
        <v/>
      </c>
      <c r="BA100" s="690">
        <f>BA98*BA99</f>
        <v/>
      </c>
      <c r="BB100" s="690">
        <f>BB98*BB99</f>
        <v/>
      </c>
      <c r="BC100" s="690">
        <f>BC98*BC99</f>
        <v/>
      </c>
      <c r="BD100" s="690">
        <f>BD98*BD99</f>
        <v/>
      </c>
      <c r="BE100" s="690">
        <f>BE98*BE99</f>
        <v/>
      </c>
      <c r="BF100" s="690">
        <f>BF98*BF99</f>
        <v/>
      </c>
      <c r="BG100" s="690">
        <f>BG98*BG99</f>
        <v/>
      </c>
      <c r="BH100" s="690">
        <f>BH98*BH99</f>
        <v/>
      </c>
      <c r="BI100" s="690">
        <f>BI98*BI99</f>
        <v/>
      </c>
      <c r="BJ100" s="690">
        <f>BJ98*BJ99</f>
        <v/>
      </c>
      <c r="BK100" s="690">
        <f>BK98*BK99</f>
        <v/>
      </c>
      <c r="BL100" s="690">
        <f>BL98*BL99</f>
        <v/>
      </c>
      <c r="BM100" s="690">
        <f>BM98*BM99</f>
        <v/>
      </c>
      <c r="BN100" s="690">
        <f>BN98*BN99</f>
        <v/>
      </c>
      <c r="BO100" s="690">
        <f>BO98*BO99</f>
        <v/>
      </c>
      <c r="BP100" s="690">
        <f>BP98*BP99</f>
        <v/>
      </c>
      <c r="BQ100" s="690">
        <f>BQ98*BQ99</f>
        <v/>
      </c>
      <c r="BR100" s="690">
        <f>BR98*BR99</f>
        <v/>
      </c>
      <c r="BS100" s="690">
        <f>BS98*BS99</f>
        <v/>
      </c>
      <c r="BT100" s="690">
        <f>BT98*BT99</f>
        <v/>
      </c>
      <c r="BU100" s="690">
        <f>BU98*BU99</f>
        <v/>
      </c>
      <c r="BV100" s="690">
        <f>BV98*BV99</f>
        <v/>
      </c>
      <c r="BW100" s="690">
        <f>BW98*BW99</f>
        <v/>
      </c>
      <c r="BX100" s="690">
        <f>BX98*BX99</f>
        <v/>
      </c>
      <c r="BY100" s="690">
        <f>BY98*BY99</f>
        <v/>
      </c>
      <c r="BZ100" s="690">
        <f>BZ98*BZ99</f>
        <v/>
      </c>
      <c r="CA100" s="690">
        <f>CA98*CA99</f>
        <v/>
      </c>
      <c r="CB100" s="690">
        <f>CB98*CB99</f>
        <v/>
      </c>
      <c r="CC100" s="690">
        <f>CC98*CC99</f>
        <v/>
      </c>
      <c r="CD100" s="690">
        <f>CD98*CD99</f>
        <v/>
      </c>
      <c r="CE100" s="690">
        <f>CE98*CE99</f>
        <v/>
      </c>
      <c r="CF100" s="690">
        <f>CF98*CF99</f>
        <v/>
      </c>
      <c r="CG100" s="690">
        <f>CG98*CG99</f>
        <v/>
      </c>
      <c r="CH100" s="690">
        <f>CH98*CH99</f>
        <v/>
      </c>
      <c r="CI100" s="690">
        <f>CI98*CI99</f>
        <v/>
      </c>
      <c r="CJ100" s="690">
        <f>CJ98*CJ99</f>
        <v/>
      </c>
      <c r="CK100" s="690">
        <f>CK98*CK99</f>
        <v/>
      </c>
      <c r="CL100" s="690">
        <f>CL98*CL99</f>
        <v/>
      </c>
      <c r="CM100" s="690">
        <f>CM98*CM99</f>
        <v/>
      </c>
      <c r="CN100" s="690">
        <f>CN98*CN99</f>
        <v/>
      </c>
      <c r="CO100" s="690">
        <f>CO98*CO99</f>
        <v/>
      </c>
      <c r="CP100" s="690">
        <f>CP98*CP99</f>
        <v/>
      </c>
      <c r="CQ100" s="690">
        <f>CQ98*CQ99</f>
        <v/>
      </c>
      <c r="CR100" s="690">
        <f>CR98*CR99</f>
        <v/>
      </c>
      <c r="CS100" s="690">
        <f>CS98*CS99</f>
        <v/>
      </c>
      <c r="CT100" s="690">
        <f>CT98*CT99</f>
        <v/>
      </c>
      <c r="CU100" s="690">
        <f>CU98*CU99</f>
        <v/>
      </c>
      <c r="CV100" s="690">
        <f>CV98*CV99</f>
        <v/>
      </c>
      <c r="CW100" s="690">
        <f>CW98*CW99</f>
        <v/>
      </c>
      <c r="CX100" s="690">
        <f>CX98*CX99</f>
        <v/>
      </c>
      <c r="CY100" s="690">
        <f>CY98*CY99</f>
        <v/>
      </c>
      <c r="CZ100" s="690">
        <f>CZ98*CZ99</f>
        <v/>
      </c>
      <c r="DA100" s="690">
        <f>DA98*DA99</f>
        <v/>
      </c>
      <c r="DB100" s="690">
        <f>DB98*DB99</f>
        <v/>
      </c>
      <c r="DC100" s="690">
        <f>DC98*DC99</f>
        <v/>
      </c>
      <c r="DD100" s="690">
        <f>DD98*DD99</f>
        <v/>
      </c>
      <c r="DE100" s="690">
        <f>DE98*DE99</f>
        <v/>
      </c>
      <c r="DF100" s="690">
        <f>DF98*DF99</f>
        <v/>
      </c>
    </row>
    <row r="101" ht="15" customFormat="1" customHeight="1" s="380">
      <c r="A101" s="452" t="inlineStr">
        <is>
          <t>HVN BD Construction Billing (memo)</t>
        </is>
      </c>
      <c r="C101" s="691">
        <f>IF(AND(Projects!$G$17="Yes",Projects!$M$17="Yes",-2&gt;=Projects!$C$17,-2&lt;Projects!$C$17+Projects!$D$17),Projects!$B$17*INDEX(Curves!$B$4:$AR$4,1,-2-Projects!$C$17+1),0)+IF(AND(Projects!$G$18="Yes",Projects!$M$18="Yes",-2&gt;=Projects!$C$18,-2&lt;Projects!$C$18+Projects!$D$18),Projects!$B$18*INDEX(Curves!$B$4:$AR$4,1,-2-Projects!$C$18+1),0)+IF(AND(Projects!$G$19="Yes",Projects!$M$19="Yes",-2&gt;=Projects!$C$19,-2&lt;Projects!$C$19+Projects!$D$19),Projects!$B$19*INDEX(Curves!$B$4:$AR$4,1,-2-Projects!$C$19+1),0)+IF(AND(Projects!$G$20="Yes",Projects!$M$20="Yes",-2&gt;=Projects!$C$20,-2&lt;Projects!$C$20+Projects!$D$20),Projects!$B$20*INDEX(Curves!$B$4:$AR$4,1,-2-Projects!$C$20+1),0)+IF(AND(Projects!$G$21="Yes",Projects!$M$21="Yes",-2&gt;=Projects!$C$21,-2&lt;Projects!$C$21+Projects!$D$21),Projects!$B$21*INDEX(Curves!$B$4:$AR$4,1,-2-Projects!$C$21+1),0)+IF(AND(Projects!$G$22="Yes",Projects!$M$22="Yes",-2&gt;=Projects!$C$22,-2&lt;Projects!$C$22+Projects!$D$22),Projects!$B$22*INDEX(Curves!$B$4:$AR$4,1,-2-Projects!$C$22+1),0)+IF(AND(Projects!$G$23="Yes",Projects!$M$23="Yes",-2&gt;=Projects!$C$23,-2&lt;Projects!$C$23+Projects!$D$23),Projects!$B$23*INDEX(Curves!$B$4:$AR$4,1,-2-Projects!$C$23+1),0)+IF(AND(Projects!$G$24="Yes",Projects!$M$24="Yes",-2&gt;=Projects!$C$24,-2&lt;Projects!$C$24+Projects!$D$24),Projects!$B$24*INDEX(Curves!$B$4:$AR$4,1,-2-Projects!$C$24+1),0)+IF(AND(Projects!$G$25="Yes",Projects!$M$25="Yes",-2&gt;=Projects!$C$25,-2&lt;Projects!$C$25+Projects!$D$25),Projects!$B$25*INDEX(Curves!$B$4:$AR$4,1,-2-Projects!$C$25+1),0)+IF(AND(Projects!$G$26="Yes",Projects!$M$26="Yes",-2&gt;=Projects!$C$26,-2&lt;Projects!$C$26+Projects!$D$26),Projects!$B$26*INDEX(Curves!$B$4:$AR$4,1,-2-Projects!$C$26+1),0)+IF(AND(Projects!$G$27="Yes",Projects!$M$27="Yes",-2&gt;=Projects!$C$27,-2&lt;Projects!$C$27+Projects!$D$27),Projects!$B$27*INDEX(Curves!$B$4:$AR$4,1,-2-Projects!$C$27+1),0)+IF(AND(Projects!$G$28="Yes",Projects!$M$28="Yes",-2&gt;=Projects!$C$28,-2&lt;Projects!$C$28+Projects!$D$28),Projects!$B$28*INDEX(Curves!$B$4:$AR$4,1,-2-Projects!$C$28+1),0)+IF(AND(Projects!$G$29="Yes",Projects!$M$29="Yes",-2&gt;=Projects!$C$29,-2&lt;Projects!$C$29+Projects!$D$29),Projects!$B$29*INDEX(Curves!$B$4:$AR$4,1,-2-Projects!$C$29+1),0)+IF(AND(Projects!$G$30="Yes",Projects!$M$30="Yes",-2&gt;=Projects!$C$30,-2&lt;Projects!$C$30+Projects!$D$30),Projects!$B$30*INDEX(Curves!$B$4:$AR$4,1,-2-Projects!$C$30+1),0)+IF(AND(Projects!$G$31="Yes",Projects!$M$31="Yes",-2&gt;=Projects!$C$31,-2&lt;Projects!$C$31+Projects!$D$31),Projects!$B$31*INDEX(Curves!$B$4:$AR$4,1,-2-Projects!$C$31+1),0)+IF(AND(Projects!$G$32="Yes",Projects!$M$32="Yes",-2&gt;=Projects!$C$32,-2&lt;Projects!$C$32+Projects!$D$32),Projects!$B$32*INDEX(Curves!$B$4:$AR$4,1,-2-Projects!$C$32+1),0)+IF(AND(Projects!$G$33="Yes",Projects!$M$33="Yes",-2&gt;=Projects!$C$33,-2&lt;Projects!$C$33+Projects!$D$33),Projects!$B$33*INDEX(Curves!$B$4:$AR$4,1,-2-Projects!$C$33+1),0)+IF(AND(Projects!$G$34="Yes",Projects!$M$34="Yes",-2&gt;=Projects!$C$34,-2&lt;Projects!$C$34+Projects!$D$34),Projects!$B$34*INDEX(Curves!$B$4:$AR$4,1,-2-Projects!$C$34+1),0)+IF(AND(Projects!$G$35="Yes",Projects!$M$35="Yes",-2&gt;=Projects!$C$35,-2&lt;Projects!$C$35+Projects!$D$35),Projects!$B$35*INDEX(Curves!$B$4:$AR$4,1,-2-Projects!$C$35+1),0)+IF(AND(Projects!$G$36="Yes",Projects!$M$36="Yes",-2&gt;=Projects!$C$36,-2&lt;Projects!$C$36+Projects!$D$36),Projects!$B$36*INDEX(Curves!$B$4:$AR$4,1,-2-Projects!$C$36+1),0)+IF(AND(Projects!$G$37="Yes",Projects!$M$37="Yes",-2&gt;=Projects!$C$37,-2&lt;Projects!$C$37+Projects!$D$37),Projects!$B$37*INDEX(Curves!$B$4:$AR$4,1,-2-Projects!$C$37+1),0)+IF(AND(Projects!$G$38="Yes",Projects!$M$38="Yes",-2&gt;=Projects!$C$38,-2&lt;Projects!$C$38+Projects!$D$38),Projects!$B$38*INDEX(Curves!$B$4:$AR$4,1,-2-Projects!$C$38+1),0)+IF(AND(Projects!$G$39="Yes",Projects!$M$39="Yes",-2&gt;=Projects!$C$39,-2&lt;Projects!$C$39+Projects!$D$39),Projects!$B$39*INDEX(Curves!$B$4:$AR$4,1,-2-Projects!$C$39+1),0)+IF(AND(Projects!$G$40="Yes",Projects!$M$40="Yes",-2&gt;=Projects!$C$40,-2&lt;Projects!$C$40+Projects!$D$40),Projects!$B$40*INDEX(Curves!$B$4:$AR$4,1,-2-Projects!$C$40+1),0)+IF(AND(Projects!$G$41="Yes",Projects!$M$41="Yes",-2&gt;=Projects!$C$41,-2&lt;Projects!$C$41+Projects!$D$41),Projects!$B$41*INDEX(Curves!$B$4:$AR$4,1,-2-Projects!$C$41+1),0)+IF(AND(Projects!$G$42="Yes",Projects!$M$42="Yes",-2&gt;=Projects!$C$42,-2&lt;Projects!$C$42+Projects!$D$42),Projects!$B$42*INDEX(Curves!$B$4:$AR$4,1,-2-Projects!$C$42+1),0)+IF(AND(Projects!$G$43="Yes",Projects!$M$43="Yes",-2&gt;=Projects!$C$43,-2&lt;Projects!$C$43+Projects!$D$43),Projects!$B$43*INDEX(Curves!$B$4:$AR$4,1,-2-Projects!$C$43+1),0)+IF(AND(Projects!$G$44="Yes",Projects!$M$44="Yes",-2&gt;=Projects!$C$44,-2&lt;Projects!$C$44+Projects!$D$44),Projects!$B$44*INDEX(Curves!$B$4:$AR$4,1,-2-Projects!$C$44+1),0)+IF(AND(Projects!$G$45="Yes",Projects!$M$45="Yes",-2&gt;=Projects!$C$45,-2&lt;Projects!$C$45+Projects!$D$45),Projects!$B$45*INDEX(Curves!$B$4:$AR$4,1,-2-Projects!$C$45+1),0)+IF(AND(Projects!$G$46="Yes",Projects!$M$46="Yes",-2&gt;=Projects!$C$46,-2&lt;Projects!$C$46+Projects!$D$46),Projects!$B$46*INDEX(Curves!$B$4:$AR$4,1,-2-Projects!$C$46+1),0)</f>
        <v/>
      </c>
      <c r="D101" s="691">
        <f>IF(AND(Projects!$G$17="Yes",Projects!$M$17="Yes",-1&gt;=Projects!$C$17,-1&lt;Projects!$C$17+Projects!$D$17),Projects!$B$17*INDEX(Curves!$B$4:$AR$4,1,-1-Projects!$C$17+1),0)+IF(AND(Projects!$G$18="Yes",Projects!$M$18="Yes",-1&gt;=Projects!$C$18,-1&lt;Projects!$C$18+Projects!$D$18),Projects!$B$18*INDEX(Curves!$B$4:$AR$4,1,-1-Projects!$C$18+1),0)+IF(AND(Projects!$G$19="Yes",Projects!$M$19="Yes",-1&gt;=Projects!$C$19,-1&lt;Projects!$C$19+Projects!$D$19),Projects!$B$19*INDEX(Curves!$B$4:$AR$4,1,-1-Projects!$C$19+1),0)+IF(AND(Projects!$G$20="Yes",Projects!$M$20="Yes",-1&gt;=Projects!$C$20,-1&lt;Projects!$C$20+Projects!$D$20),Projects!$B$20*INDEX(Curves!$B$4:$AR$4,1,-1-Projects!$C$20+1),0)+IF(AND(Projects!$G$21="Yes",Projects!$M$21="Yes",-1&gt;=Projects!$C$21,-1&lt;Projects!$C$21+Projects!$D$21),Projects!$B$21*INDEX(Curves!$B$4:$AR$4,1,-1-Projects!$C$21+1),0)+IF(AND(Projects!$G$22="Yes",Projects!$M$22="Yes",-1&gt;=Projects!$C$22,-1&lt;Projects!$C$22+Projects!$D$22),Projects!$B$22*INDEX(Curves!$B$4:$AR$4,1,-1-Projects!$C$22+1),0)+IF(AND(Projects!$G$23="Yes",Projects!$M$23="Yes",-1&gt;=Projects!$C$23,-1&lt;Projects!$C$23+Projects!$D$23),Projects!$B$23*INDEX(Curves!$B$4:$AR$4,1,-1-Projects!$C$23+1),0)+IF(AND(Projects!$G$24="Yes",Projects!$M$24="Yes",-1&gt;=Projects!$C$24,-1&lt;Projects!$C$24+Projects!$D$24),Projects!$B$24*INDEX(Curves!$B$4:$AR$4,1,-1-Projects!$C$24+1),0)+IF(AND(Projects!$G$25="Yes",Projects!$M$25="Yes",-1&gt;=Projects!$C$25,-1&lt;Projects!$C$25+Projects!$D$25),Projects!$B$25*INDEX(Curves!$B$4:$AR$4,1,-1-Projects!$C$25+1),0)+IF(AND(Projects!$G$26="Yes",Projects!$M$26="Yes",-1&gt;=Projects!$C$26,-1&lt;Projects!$C$26+Projects!$D$26),Projects!$B$26*INDEX(Curves!$B$4:$AR$4,1,-1-Projects!$C$26+1),0)+IF(AND(Projects!$G$27="Yes",Projects!$M$27="Yes",-1&gt;=Projects!$C$27,-1&lt;Projects!$C$27+Projects!$D$27),Projects!$B$27*INDEX(Curves!$B$4:$AR$4,1,-1-Projects!$C$27+1),0)+IF(AND(Projects!$G$28="Yes",Projects!$M$28="Yes",-1&gt;=Projects!$C$28,-1&lt;Projects!$C$28+Projects!$D$28),Projects!$B$28*INDEX(Curves!$B$4:$AR$4,1,-1-Projects!$C$28+1),0)+IF(AND(Projects!$G$29="Yes",Projects!$M$29="Yes",-1&gt;=Projects!$C$29,-1&lt;Projects!$C$29+Projects!$D$29),Projects!$B$29*INDEX(Curves!$B$4:$AR$4,1,-1-Projects!$C$29+1),0)+IF(AND(Projects!$G$30="Yes",Projects!$M$30="Yes",-1&gt;=Projects!$C$30,-1&lt;Projects!$C$30+Projects!$D$30),Projects!$B$30*INDEX(Curves!$B$4:$AR$4,1,-1-Projects!$C$30+1),0)+IF(AND(Projects!$G$31="Yes",Projects!$M$31="Yes",-1&gt;=Projects!$C$31,-1&lt;Projects!$C$31+Projects!$D$31),Projects!$B$31*INDEX(Curves!$B$4:$AR$4,1,-1-Projects!$C$31+1),0)+IF(AND(Projects!$G$32="Yes",Projects!$M$32="Yes",-1&gt;=Projects!$C$32,-1&lt;Projects!$C$32+Projects!$D$32),Projects!$B$32*INDEX(Curves!$B$4:$AR$4,1,-1-Projects!$C$32+1),0)+IF(AND(Projects!$G$33="Yes",Projects!$M$33="Yes",-1&gt;=Projects!$C$33,-1&lt;Projects!$C$33+Projects!$D$33),Projects!$B$33*INDEX(Curves!$B$4:$AR$4,1,-1-Projects!$C$33+1),0)+IF(AND(Projects!$G$34="Yes",Projects!$M$34="Yes",-1&gt;=Projects!$C$34,-1&lt;Projects!$C$34+Projects!$D$34),Projects!$B$34*INDEX(Curves!$B$4:$AR$4,1,-1-Projects!$C$34+1),0)+IF(AND(Projects!$G$35="Yes",Projects!$M$35="Yes",-1&gt;=Projects!$C$35,-1&lt;Projects!$C$35+Projects!$D$35),Projects!$B$35*INDEX(Curves!$B$4:$AR$4,1,-1-Projects!$C$35+1),0)+IF(AND(Projects!$G$36="Yes",Projects!$M$36="Yes",-1&gt;=Projects!$C$36,-1&lt;Projects!$C$36+Projects!$D$36),Projects!$B$36*INDEX(Curves!$B$4:$AR$4,1,-1-Projects!$C$36+1),0)+IF(AND(Projects!$G$37="Yes",Projects!$M$37="Yes",-1&gt;=Projects!$C$37,-1&lt;Projects!$C$37+Projects!$D$37),Projects!$B$37*INDEX(Curves!$B$4:$AR$4,1,-1-Projects!$C$37+1),0)+IF(AND(Projects!$G$38="Yes",Projects!$M$38="Yes",-1&gt;=Projects!$C$38,-1&lt;Projects!$C$38+Projects!$D$38),Projects!$B$38*INDEX(Curves!$B$4:$AR$4,1,-1-Projects!$C$38+1),0)+IF(AND(Projects!$G$39="Yes",Projects!$M$39="Yes",-1&gt;=Projects!$C$39,-1&lt;Projects!$C$39+Projects!$D$39),Projects!$B$39*INDEX(Curves!$B$4:$AR$4,1,-1-Projects!$C$39+1),0)+IF(AND(Projects!$G$40="Yes",Projects!$M$40="Yes",-1&gt;=Projects!$C$40,-1&lt;Projects!$C$40+Projects!$D$40),Projects!$B$40*INDEX(Curves!$B$4:$AR$4,1,-1-Projects!$C$40+1),0)+IF(AND(Projects!$G$41="Yes",Projects!$M$41="Yes",-1&gt;=Projects!$C$41,-1&lt;Projects!$C$41+Projects!$D$41),Projects!$B$41*INDEX(Curves!$B$4:$AR$4,1,-1-Projects!$C$41+1),0)+IF(AND(Projects!$G$42="Yes",Projects!$M$42="Yes",-1&gt;=Projects!$C$42,-1&lt;Projects!$C$42+Projects!$D$42),Projects!$B$42*INDEX(Curves!$B$4:$AR$4,1,-1-Projects!$C$42+1),0)+IF(AND(Projects!$G$43="Yes",Projects!$M$43="Yes",-1&gt;=Projects!$C$43,-1&lt;Projects!$C$43+Projects!$D$43),Projects!$B$43*INDEX(Curves!$B$4:$AR$4,1,-1-Projects!$C$43+1),0)+IF(AND(Projects!$G$44="Yes",Projects!$M$44="Yes",-1&gt;=Projects!$C$44,-1&lt;Projects!$C$44+Projects!$D$44),Projects!$B$44*INDEX(Curves!$B$4:$AR$4,1,-1-Projects!$C$44+1),0)+IF(AND(Projects!$G$45="Yes",Projects!$M$45="Yes",-1&gt;=Projects!$C$45,-1&lt;Projects!$C$45+Projects!$D$45),Projects!$B$45*INDEX(Curves!$B$4:$AR$4,1,-1-Projects!$C$45+1),0)+IF(AND(Projects!$G$46="Yes",Projects!$M$46="Yes",-1&gt;=Projects!$C$46,-1&lt;Projects!$C$46+Projects!$D$46),Projects!$B$46*INDEX(Curves!$B$4:$AR$4,1,-1-Projects!$C$46+1),0)</f>
        <v/>
      </c>
      <c r="E101" s="691">
        <f>IF(AND(Projects!$G$17="Yes",Projects!$M$17="Yes",0&gt;=Projects!$C$17,0&lt;Projects!$C$17+Projects!$D$17),Projects!$B$17*INDEX(Curves!$B$4:$AR$4,1,0-Projects!$C$17+1),0)+IF(AND(Projects!$G$18="Yes",Projects!$M$18="Yes",0&gt;=Projects!$C$18,0&lt;Projects!$C$18+Projects!$D$18),Projects!$B$18*INDEX(Curves!$B$4:$AR$4,1,0-Projects!$C$18+1),0)+IF(AND(Projects!$G$19="Yes",Projects!$M$19="Yes",0&gt;=Projects!$C$19,0&lt;Projects!$C$19+Projects!$D$19),Projects!$B$19*INDEX(Curves!$B$4:$AR$4,1,0-Projects!$C$19+1),0)+IF(AND(Projects!$G$20="Yes",Projects!$M$20="Yes",0&gt;=Projects!$C$20,0&lt;Projects!$C$20+Projects!$D$20),Projects!$B$20*INDEX(Curves!$B$4:$AR$4,1,0-Projects!$C$20+1),0)+IF(AND(Projects!$G$21="Yes",Projects!$M$21="Yes",0&gt;=Projects!$C$21,0&lt;Projects!$C$21+Projects!$D$21),Projects!$B$21*INDEX(Curves!$B$4:$AR$4,1,0-Projects!$C$21+1),0)+IF(AND(Projects!$G$22="Yes",Projects!$M$22="Yes",0&gt;=Projects!$C$22,0&lt;Projects!$C$22+Projects!$D$22),Projects!$B$22*INDEX(Curves!$B$4:$AR$4,1,0-Projects!$C$22+1),0)+IF(AND(Projects!$G$23="Yes",Projects!$M$23="Yes",0&gt;=Projects!$C$23,0&lt;Projects!$C$23+Projects!$D$23),Projects!$B$23*INDEX(Curves!$B$4:$AR$4,1,0-Projects!$C$23+1),0)+IF(AND(Projects!$G$24="Yes",Projects!$M$24="Yes",0&gt;=Projects!$C$24,0&lt;Projects!$C$24+Projects!$D$24),Projects!$B$24*INDEX(Curves!$B$4:$AR$4,1,0-Projects!$C$24+1),0)+IF(AND(Projects!$G$25="Yes",Projects!$M$25="Yes",0&gt;=Projects!$C$25,0&lt;Projects!$C$25+Projects!$D$25),Projects!$B$25*INDEX(Curves!$B$4:$AR$4,1,0-Projects!$C$25+1),0)+IF(AND(Projects!$G$26="Yes",Projects!$M$26="Yes",0&gt;=Projects!$C$26,0&lt;Projects!$C$26+Projects!$D$26),Projects!$B$26*INDEX(Curves!$B$4:$AR$4,1,0-Projects!$C$26+1),0)+IF(AND(Projects!$G$27="Yes",Projects!$M$27="Yes",0&gt;=Projects!$C$27,0&lt;Projects!$C$27+Projects!$D$27),Projects!$B$27*INDEX(Curves!$B$4:$AR$4,1,0-Projects!$C$27+1),0)+IF(AND(Projects!$G$28="Yes",Projects!$M$28="Yes",0&gt;=Projects!$C$28,0&lt;Projects!$C$28+Projects!$D$28),Projects!$B$28*INDEX(Curves!$B$4:$AR$4,1,0-Projects!$C$28+1),0)+IF(AND(Projects!$G$29="Yes",Projects!$M$29="Yes",0&gt;=Projects!$C$29,0&lt;Projects!$C$29+Projects!$D$29),Projects!$B$29*INDEX(Curves!$B$4:$AR$4,1,0-Projects!$C$29+1),0)+IF(AND(Projects!$G$30="Yes",Projects!$M$30="Yes",0&gt;=Projects!$C$30,0&lt;Projects!$C$30+Projects!$D$30),Projects!$B$30*INDEX(Curves!$B$4:$AR$4,1,0-Projects!$C$30+1),0)+IF(AND(Projects!$G$31="Yes",Projects!$M$31="Yes",0&gt;=Projects!$C$31,0&lt;Projects!$C$31+Projects!$D$31),Projects!$B$31*INDEX(Curves!$B$4:$AR$4,1,0-Projects!$C$31+1),0)+IF(AND(Projects!$G$32="Yes",Projects!$M$32="Yes",0&gt;=Projects!$C$32,0&lt;Projects!$C$32+Projects!$D$32),Projects!$B$32*INDEX(Curves!$B$4:$AR$4,1,0-Projects!$C$32+1),0)+IF(AND(Projects!$G$33="Yes",Projects!$M$33="Yes",0&gt;=Projects!$C$33,0&lt;Projects!$C$33+Projects!$D$33),Projects!$B$33*INDEX(Curves!$B$4:$AR$4,1,0-Projects!$C$33+1),0)+IF(AND(Projects!$G$34="Yes",Projects!$M$34="Yes",0&gt;=Projects!$C$34,0&lt;Projects!$C$34+Projects!$D$34),Projects!$B$34*INDEX(Curves!$B$4:$AR$4,1,0-Projects!$C$34+1),0)+IF(AND(Projects!$G$35="Yes",Projects!$M$35="Yes",0&gt;=Projects!$C$35,0&lt;Projects!$C$35+Projects!$D$35),Projects!$B$35*INDEX(Curves!$B$4:$AR$4,1,0-Projects!$C$35+1),0)+IF(AND(Projects!$G$36="Yes",Projects!$M$36="Yes",0&gt;=Projects!$C$36,0&lt;Projects!$C$36+Projects!$D$36),Projects!$B$36*INDEX(Curves!$B$4:$AR$4,1,0-Projects!$C$36+1),0)+IF(AND(Projects!$G$37="Yes",Projects!$M$37="Yes",0&gt;=Projects!$C$37,0&lt;Projects!$C$37+Projects!$D$37),Projects!$B$37*INDEX(Curves!$B$4:$AR$4,1,0-Projects!$C$37+1),0)+IF(AND(Projects!$G$38="Yes",Projects!$M$38="Yes",0&gt;=Projects!$C$38,0&lt;Projects!$C$38+Projects!$D$38),Projects!$B$38*INDEX(Curves!$B$4:$AR$4,1,0-Projects!$C$38+1),0)+IF(AND(Projects!$G$39="Yes",Projects!$M$39="Yes",0&gt;=Projects!$C$39,0&lt;Projects!$C$39+Projects!$D$39),Projects!$B$39*INDEX(Curves!$B$4:$AR$4,1,0-Projects!$C$39+1),0)+IF(AND(Projects!$G$40="Yes",Projects!$M$40="Yes",0&gt;=Projects!$C$40,0&lt;Projects!$C$40+Projects!$D$40),Projects!$B$40*INDEX(Curves!$B$4:$AR$4,1,0-Projects!$C$40+1),0)+IF(AND(Projects!$G$41="Yes",Projects!$M$41="Yes",0&gt;=Projects!$C$41,0&lt;Projects!$C$41+Projects!$D$41),Projects!$B$41*INDEX(Curves!$B$4:$AR$4,1,0-Projects!$C$41+1),0)+IF(AND(Projects!$G$42="Yes",Projects!$M$42="Yes",0&gt;=Projects!$C$42,0&lt;Projects!$C$42+Projects!$D$42),Projects!$B$42*INDEX(Curves!$B$4:$AR$4,1,0-Projects!$C$42+1),0)+IF(AND(Projects!$G$43="Yes",Projects!$M$43="Yes",0&gt;=Projects!$C$43,0&lt;Projects!$C$43+Projects!$D$43),Projects!$B$43*INDEX(Curves!$B$4:$AR$4,1,0-Projects!$C$43+1),0)+IF(AND(Projects!$G$44="Yes",Projects!$M$44="Yes",0&gt;=Projects!$C$44,0&lt;Projects!$C$44+Projects!$D$44),Projects!$B$44*INDEX(Curves!$B$4:$AR$4,1,0-Projects!$C$44+1),0)+IF(AND(Projects!$G$45="Yes",Projects!$M$45="Yes",0&gt;=Projects!$C$45,0&lt;Projects!$C$45+Projects!$D$45),Projects!$B$45*INDEX(Curves!$B$4:$AR$4,1,0-Projects!$C$45+1),0)+IF(AND(Projects!$G$46="Yes",Projects!$M$46="Yes",0&gt;=Projects!$C$46,0&lt;Projects!$C$46+Projects!$D$46),Projects!$B$46*INDEX(Curves!$B$4:$AR$4,1,0-Projects!$C$46+1),0)</f>
        <v/>
      </c>
      <c r="F101" s="691">
        <f>IF(AND(Projects!$G$17="Yes",Projects!$M$17="Yes",1&gt;=Projects!$C$17,1&lt;Projects!$C$17+Projects!$D$17),Projects!$B$17*INDEX(Curves!$B$4:$AR$4,1,1-Projects!$C$17+1),0)+IF(AND(Projects!$G$18="Yes",Projects!$M$18="Yes",1&gt;=Projects!$C$18,1&lt;Projects!$C$18+Projects!$D$18),Projects!$B$18*INDEX(Curves!$B$4:$AR$4,1,1-Projects!$C$18+1),0)+IF(AND(Projects!$G$19="Yes",Projects!$M$19="Yes",1&gt;=Projects!$C$19,1&lt;Projects!$C$19+Projects!$D$19),Projects!$B$19*INDEX(Curves!$B$4:$AR$4,1,1-Projects!$C$19+1),0)+IF(AND(Projects!$G$20="Yes",Projects!$M$20="Yes",1&gt;=Projects!$C$20,1&lt;Projects!$C$20+Projects!$D$20),Projects!$B$20*INDEX(Curves!$B$4:$AR$4,1,1-Projects!$C$20+1),0)+IF(AND(Projects!$G$21="Yes",Projects!$M$21="Yes",1&gt;=Projects!$C$21,1&lt;Projects!$C$21+Projects!$D$21),Projects!$B$21*INDEX(Curves!$B$4:$AR$4,1,1-Projects!$C$21+1),0)+IF(AND(Projects!$G$22="Yes",Projects!$M$22="Yes",1&gt;=Projects!$C$22,1&lt;Projects!$C$22+Projects!$D$22),Projects!$B$22*INDEX(Curves!$B$4:$AR$4,1,1-Projects!$C$22+1),0)+IF(AND(Projects!$G$23="Yes",Projects!$M$23="Yes",1&gt;=Projects!$C$23,1&lt;Projects!$C$23+Projects!$D$23),Projects!$B$23*INDEX(Curves!$B$4:$AR$4,1,1-Projects!$C$23+1),0)+IF(AND(Projects!$G$24="Yes",Projects!$M$24="Yes",1&gt;=Projects!$C$24,1&lt;Projects!$C$24+Projects!$D$24),Projects!$B$24*INDEX(Curves!$B$4:$AR$4,1,1-Projects!$C$24+1),0)+IF(AND(Projects!$G$25="Yes",Projects!$M$25="Yes",1&gt;=Projects!$C$25,1&lt;Projects!$C$25+Projects!$D$25),Projects!$B$25*INDEX(Curves!$B$4:$AR$4,1,1-Projects!$C$25+1),0)+IF(AND(Projects!$G$26="Yes",Projects!$M$26="Yes",1&gt;=Projects!$C$26,1&lt;Projects!$C$26+Projects!$D$26),Projects!$B$26*INDEX(Curves!$B$4:$AR$4,1,1-Projects!$C$26+1),0)+IF(AND(Projects!$G$27="Yes",Projects!$M$27="Yes",1&gt;=Projects!$C$27,1&lt;Projects!$C$27+Projects!$D$27),Projects!$B$27*INDEX(Curves!$B$4:$AR$4,1,1-Projects!$C$27+1),0)+IF(AND(Projects!$G$28="Yes",Projects!$M$28="Yes",1&gt;=Projects!$C$28,1&lt;Projects!$C$28+Projects!$D$28),Projects!$B$28*INDEX(Curves!$B$4:$AR$4,1,1-Projects!$C$28+1),0)+IF(AND(Projects!$G$29="Yes",Projects!$M$29="Yes",1&gt;=Projects!$C$29,1&lt;Projects!$C$29+Projects!$D$29),Projects!$B$29*INDEX(Curves!$B$4:$AR$4,1,1-Projects!$C$29+1),0)+IF(AND(Projects!$G$30="Yes",Projects!$M$30="Yes",1&gt;=Projects!$C$30,1&lt;Projects!$C$30+Projects!$D$30),Projects!$B$30*INDEX(Curves!$B$4:$AR$4,1,1-Projects!$C$30+1),0)+IF(AND(Projects!$G$31="Yes",Projects!$M$31="Yes",1&gt;=Projects!$C$31,1&lt;Projects!$C$31+Projects!$D$31),Projects!$B$31*INDEX(Curves!$B$4:$AR$4,1,1-Projects!$C$31+1),0)+IF(AND(Projects!$G$32="Yes",Projects!$M$32="Yes",1&gt;=Projects!$C$32,1&lt;Projects!$C$32+Projects!$D$32),Projects!$B$32*INDEX(Curves!$B$4:$AR$4,1,1-Projects!$C$32+1),0)+IF(AND(Projects!$G$33="Yes",Projects!$M$33="Yes",1&gt;=Projects!$C$33,1&lt;Projects!$C$33+Projects!$D$33),Projects!$B$33*INDEX(Curves!$B$4:$AR$4,1,1-Projects!$C$33+1),0)+IF(AND(Projects!$G$34="Yes",Projects!$M$34="Yes",1&gt;=Projects!$C$34,1&lt;Projects!$C$34+Projects!$D$34),Projects!$B$34*INDEX(Curves!$B$4:$AR$4,1,1-Projects!$C$34+1),0)+IF(AND(Projects!$G$35="Yes",Projects!$M$35="Yes",1&gt;=Projects!$C$35,1&lt;Projects!$C$35+Projects!$D$35),Projects!$B$35*INDEX(Curves!$B$4:$AR$4,1,1-Projects!$C$35+1),0)+IF(AND(Projects!$G$36="Yes",Projects!$M$36="Yes",1&gt;=Projects!$C$36,1&lt;Projects!$C$36+Projects!$D$36),Projects!$B$36*INDEX(Curves!$B$4:$AR$4,1,1-Projects!$C$36+1),0)+IF(AND(Projects!$G$37="Yes",Projects!$M$37="Yes",1&gt;=Projects!$C$37,1&lt;Projects!$C$37+Projects!$D$37),Projects!$B$37*INDEX(Curves!$B$4:$AR$4,1,1-Projects!$C$37+1),0)+IF(AND(Projects!$G$38="Yes",Projects!$M$38="Yes",1&gt;=Projects!$C$38,1&lt;Projects!$C$38+Projects!$D$38),Projects!$B$38*INDEX(Curves!$B$4:$AR$4,1,1-Projects!$C$38+1),0)+IF(AND(Projects!$G$39="Yes",Projects!$M$39="Yes",1&gt;=Projects!$C$39,1&lt;Projects!$C$39+Projects!$D$39),Projects!$B$39*INDEX(Curves!$B$4:$AR$4,1,1-Projects!$C$39+1),0)+IF(AND(Projects!$G$40="Yes",Projects!$M$40="Yes",1&gt;=Projects!$C$40,1&lt;Projects!$C$40+Projects!$D$40),Projects!$B$40*INDEX(Curves!$B$4:$AR$4,1,1-Projects!$C$40+1),0)+IF(AND(Projects!$G$41="Yes",Projects!$M$41="Yes",1&gt;=Projects!$C$41,1&lt;Projects!$C$41+Projects!$D$41),Projects!$B$41*INDEX(Curves!$B$4:$AR$4,1,1-Projects!$C$41+1),0)+IF(AND(Projects!$G$42="Yes",Projects!$M$42="Yes",1&gt;=Projects!$C$42,1&lt;Projects!$C$42+Projects!$D$42),Projects!$B$42*INDEX(Curves!$B$4:$AR$4,1,1-Projects!$C$42+1),0)+IF(AND(Projects!$G$43="Yes",Projects!$M$43="Yes",1&gt;=Projects!$C$43,1&lt;Projects!$C$43+Projects!$D$43),Projects!$B$43*INDEX(Curves!$B$4:$AR$4,1,1-Projects!$C$43+1),0)+IF(AND(Projects!$G$44="Yes",Projects!$M$44="Yes",1&gt;=Projects!$C$44,1&lt;Projects!$C$44+Projects!$D$44),Projects!$B$44*INDEX(Curves!$B$4:$AR$4,1,1-Projects!$C$44+1),0)+IF(AND(Projects!$G$45="Yes",Projects!$M$45="Yes",1&gt;=Projects!$C$45,1&lt;Projects!$C$45+Projects!$D$45),Projects!$B$45*INDEX(Curves!$B$4:$AR$4,1,1-Projects!$C$45+1),0)+IF(AND(Projects!$G$46="Yes",Projects!$M$46="Yes",1&gt;=Projects!$C$46,1&lt;Projects!$C$46+Projects!$D$46),Projects!$B$46*INDEX(Curves!$B$4:$AR$4,1,1-Projects!$C$46+1),0)</f>
        <v/>
      </c>
      <c r="G101" s="691">
        <f>IF(AND(Projects!$G$17="Yes",Projects!$M$17="Yes",2&gt;=Projects!$C$17,2&lt;Projects!$C$17+Projects!$D$17),Projects!$B$17*INDEX(Curves!$B$4:$AR$4,1,2-Projects!$C$17+1),0)+IF(AND(Projects!$G$18="Yes",Projects!$M$18="Yes",2&gt;=Projects!$C$18,2&lt;Projects!$C$18+Projects!$D$18),Projects!$B$18*INDEX(Curves!$B$4:$AR$4,1,2-Projects!$C$18+1),0)+IF(AND(Projects!$G$19="Yes",Projects!$M$19="Yes",2&gt;=Projects!$C$19,2&lt;Projects!$C$19+Projects!$D$19),Projects!$B$19*INDEX(Curves!$B$4:$AR$4,1,2-Projects!$C$19+1),0)+IF(AND(Projects!$G$20="Yes",Projects!$M$20="Yes",2&gt;=Projects!$C$20,2&lt;Projects!$C$20+Projects!$D$20),Projects!$B$20*INDEX(Curves!$B$4:$AR$4,1,2-Projects!$C$20+1),0)+IF(AND(Projects!$G$21="Yes",Projects!$M$21="Yes",2&gt;=Projects!$C$21,2&lt;Projects!$C$21+Projects!$D$21),Projects!$B$21*INDEX(Curves!$B$4:$AR$4,1,2-Projects!$C$21+1),0)+IF(AND(Projects!$G$22="Yes",Projects!$M$22="Yes",2&gt;=Projects!$C$22,2&lt;Projects!$C$22+Projects!$D$22),Projects!$B$22*INDEX(Curves!$B$4:$AR$4,1,2-Projects!$C$22+1),0)+IF(AND(Projects!$G$23="Yes",Projects!$M$23="Yes",2&gt;=Projects!$C$23,2&lt;Projects!$C$23+Projects!$D$23),Projects!$B$23*INDEX(Curves!$B$4:$AR$4,1,2-Projects!$C$23+1),0)+IF(AND(Projects!$G$24="Yes",Projects!$M$24="Yes",2&gt;=Projects!$C$24,2&lt;Projects!$C$24+Projects!$D$24),Projects!$B$24*INDEX(Curves!$B$4:$AR$4,1,2-Projects!$C$24+1),0)+IF(AND(Projects!$G$25="Yes",Projects!$M$25="Yes",2&gt;=Projects!$C$25,2&lt;Projects!$C$25+Projects!$D$25),Projects!$B$25*INDEX(Curves!$B$4:$AR$4,1,2-Projects!$C$25+1),0)+IF(AND(Projects!$G$26="Yes",Projects!$M$26="Yes",2&gt;=Projects!$C$26,2&lt;Projects!$C$26+Projects!$D$26),Projects!$B$26*INDEX(Curves!$B$4:$AR$4,1,2-Projects!$C$26+1),0)+IF(AND(Projects!$G$27="Yes",Projects!$M$27="Yes",2&gt;=Projects!$C$27,2&lt;Projects!$C$27+Projects!$D$27),Projects!$B$27*INDEX(Curves!$B$4:$AR$4,1,2-Projects!$C$27+1),0)+IF(AND(Projects!$G$28="Yes",Projects!$M$28="Yes",2&gt;=Projects!$C$28,2&lt;Projects!$C$28+Projects!$D$28),Projects!$B$28*INDEX(Curves!$B$4:$AR$4,1,2-Projects!$C$28+1),0)+IF(AND(Projects!$G$29="Yes",Projects!$M$29="Yes",2&gt;=Projects!$C$29,2&lt;Projects!$C$29+Projects!$D$29),Projects!$B$29*INDEX(Curves!$B$4:$AR$4,1,2-Projects!$C$29+1),0)+IF(AND(Projects!$G$30="Yes",Projects!$M$30="Yes",2&gt;=Projects!$C$30,2&lt;Projects!$C$30+Projects!$D$30),Projects!$B$30*INDEX(Curves!$B$4:$AR$4,1,2-Projects!$C$30+1),0)+IF(AND(Projects!$G$31="Yes",Projects!$M$31="Yes",2&gt;=Projects!$C$31,2&lt;Projects!$C$31+Projects!$D$31),Projects!$B$31*INDEX(Curves!$B$4:$AR$4,1,2-Projects!$C$31+1),0)+IF(AND(Projects!$G$32="Yes",Projects!$M$32="Yes",2&gt;=Projects!$C$32,2&lt;Projects!$C$32+Projects!$D$32),Projects!$B$32*INDEX(Curves!$B$4:$AR$4,1,2-Projects!$C$32+1),0)+IF(AND(Projects!$G$33="Yes",Projects!$M$33="Yes",2&gt;=Projects!$C$33,2&lt;Projects!$C$33+Projects!$D$33),Projects!$B$33*INDEX(Curves!$B$4:$AR$4,1,2-Projects!$C$33+1),0)+IF(AND(Projects!$G$34="Yes",Projects!$M$34="Yes",2&gt;=Projects!$C$34,2&lt;Projects!$C$34+Projects!$D$34),Projects!$B$34*INDEX(Curves!$B$4:$AR$4,1,2-Projects!$C$34+1),0)+IF(AND(Projects!$G$35="Yes",Projects!$M$35="Yes",2&gt;=Projects!$C$35,2&lt;Projects!$C$35+Projects!$D$35),Projects!$B$35*INDEX(Curves!$B$4:$AR$4,1,2-Projects!$C$35+1),0)+IF(AND(Projects!$G$36="Yes",Projects!$M$36="Yes",2&gt;=Projects!$C$36,2&lt;Projects!$C$36+Projects!$D$36),Projects!$B$36*INDEX(Curves!$B$4:$AR$4,1,2-Projects!$C$36+1),0)+IF(AND(Projects!$G$37="Yes",Projects!$M$37="Yes",2&gt;=Projects!$C$37,2&lt;Projects!$C$37+Projects!$D$37),Projects!$B$37*INDEX(Curves!$B$4:$AR$4,1,2-Projects!$C$37+1),0)+IF(AND(Projects!$G$38="Yes",Projects!$M$38="Yes",2&gt;=Projects!$C$38,2&lt;Projects!$C$38+Projects!$D$38),Projects!$B$38*INDEX(Curves!$B$4:$AR$4,1,2-Projects!$C$38+1),0)+IF(AND(Projects!$G$39="Yes",Projects!$M$39="Yes",2&gt;=Projects!$C$39,2&lt;Projects!$C$39+Projects!$D$39),Projects!$B$39*INDEX(Curves!$B$4:$AR$4,1,2-Projects!$C$39+1),0)+IF(AND(Projects!$G$40="Yes",Projects!$M$40="Yes",2&gt;=Projects!$C$40,2&lt;Projects!$C$40+Projects!$D$40),Projects!$B$40*INDEX(Curves!$B$4:$AR$4,1,2-Projects!$C$40+1),0)+IF(AND(Projects!$G$41="Yes",Projects!$M$41="Yes",2&gt;=Projects!$C$41,2&lt;Projects!$C$41+Projects!$D$41),Projects!$B$41*INDEX(Curves!$B$4:$AR$4,1,2-Projects!$C$41+1),0)+IF(AND(Projects!$G$42="Yes",Projects!$M$42="Yes",2&gt;=Projects!$C$42,2&lt;Projects!$C$42+Projects!$D$42),Projects!$B$42*INDEX(Curves!$B$4:$AR$4,1,2-Projects!$C$42+1),0)+IF(AND(Projects!$G$43="Yes",Projects!$M$43="Yes",2&gt;=Projects!$C$43,2&lt;Projects!$C$43+Projects!$D$43),Projects!$B$43*INDEX(Curves!$B$4:$AR$4,1,2-Projects!$C$43+1),0)+IF(AND(Projects!$G$44="Yes",Projects!$M$44="Yes",2&gt;=Projects!$C$44,2&lt;Projects!$C$44+Projects!$D$44),Projects!$B$44*INDEX(Curves!$B$4:$AR$4,1,2-Projects!$C$44+1),0)+IF(AND(Projects!$G$45="Yes",Projects!$M$45="Yes",2&gt;=Projects!$C$45,2&lt;Projects!$C$45+Projects!$D$45),Projects!$B$45*INDEX(Curves!$B$4:$AR$4,1,2-Projects!$C$45+1),0)+IF(AND(Projects!$G$46="Yes",Projects!$M$46="Yes",2&gt;=Projects!$C$46,2&lt;Projects!$C$46+Projects!$D$46),Projects!$B$46*INDEX(Curves!$B$4:$AR$4,1,2-Projects!$C$46+1),0)</f>
        <v/>
      </c>
      <c r="H101" s="691">
        <f>IF(AND(Projects!$G$17="Yes",Projects!$M$17="Yes",3&gt;=Projects!$C$17,3&lt;Projects!$C$17+Projects!$D$17),Projects!$B$17*INDEX(Curves!$B$4:$AR$4,1,3-Projects!$C$17+1),0)+IF(AND(Projects!$G$18="Yes",Projects!$M$18="Yes",3&gt;=Projects!$C$18,3&lt;Projects!$C$18+Projects!$D$18),Projects!$B$18*INDEX(Curves!$B$4:$AR$4,1,3-Projects!$C$18+1),0)+IF(AND(Projects!$G$19="Yes",Projects!$M$19="Yes",3&gt;=Projects!$C$19,3&lt;Projects!$C$19+Projects!$D$19),Projects!$B$19*INDEX(Curves!$B$4:$AR$4,1,3-Projects!$C$19+1),0)+IF(AND(Projects!$G$20="Yes",Projects!$M$20="Yes",3&gt;=Projects!$C$20,3&lt;Projects!$C$20+Projects!$D$20),Projects!$B$20*INDEX(Curves!$B$4:$AR$4,1,3-Projects!$C$20+1),0)+IF(AND(Projects!$G$21="Yes",Projects!$M$21="Yes",3&gt;=Projects!$C$21,3&lt;Projects!$C$21+Projects!$D$21),Projects!$B$21*INDEX(Curves!$B$4:$AR$4,1,3-Projects!$C$21+1),0)+IF(AND(Projects!$G$22="Yes",Projects!$M$22="Yes",3&gt;=Projects!$C$22,3&lt;Projects!$C$22+Projects!$D$22),Projects!$B$22*INDEX(Curves!$B$4:$AR$4,1,3-Projects!$C$22+1),0)+IF(AND(Projects!$G$23="Yes",Projects!$M$23="Yes",3&gt;=Projects!$C$23,3&lt;Projects!$C$23+Projects!$D$23),Projects!$B$23*INDEX(Curves!$B$4:$AR$4,1,3-Projects!$C$23+1),0)+IF(AND(Projects!$G$24="Yes",Projects!$M$24="Yes",3&gt;=Projects!$C$24,3&lt;Projects!$C$24+Projects!$D$24),Projects!$B$24*INDEX(Curves!$B$4:$AR$4,1,3-Projects!$C$24+1),0)+IF(AND(Projects!$G$25="Yes",Projects!$M$25="Yes",3&gt;=Projects!$C$25,3&lt;Projects!$C$25+Projects!$D$25),Projects!$B$25*INDEX(Curves!$B$4:$AR$4,1,3-Projects!$C$25+1),0)+IF(AND(Projects!$G$26="Yes",Projects!$M$26="Yes",3&gt;=Projects!$C$26,3&lt;Projects!$C$26+Projects!$D$26),Projects!$B$26*INDEX(Curves!$B$4:$AR$4,1,3-Projects!$C$26+1),0)+IF(AND(Projects!$G$27="Yes",Projects!$M$27="Yes",3&gt;=Projects!$C$27,3&lt;Projects!$C$27+Projects!$D$27),Projects!$B$27*INDEX(Curves!$B$4:$AR$4,1,3-Projects!$C$27+1),0)+IF(AND(Projects!$G$28="Yes",Projects!$M$28="Yes",3&gt;=Projects!$C$28,3&lt;Projects!$C$28+Projects!$D$28),Projects!$B$28*INDEX(Curves!$B$4:$AR$4,1,3-Projects!$C$28+1),0)+IF(AND(Projects!$G$29="Yes",Projects!$M$29="Yes",3&gt;=Projects!$C$29,3&lt;Projects!$C$29+Projects!$D$29),Projects!$B$29*INDEX(Curves!$B$4:$AR$4,1,3-Projects!$C$29+1),0)+IF(AND(Projects!$G$30="Yes",Projects!$M$30="Yes",3&gt;=Projects!$C$30,3&lt;Projects!$C$30+Projects!$D$30),Projects!$B$30*INDEX(Curves!$B$4:$AR$4,1,3-Projects!$C$30+1),0)+IF(AND(Projects!$G$31="Yes",Projects!$M$31="Yes",3&gt;=Projects!$C$31,3&lt;Projects!$C$31+Projects!$D$31),Projects!$B$31*INDEX(Curves!$B$4:$AR$4,1,3-Projects!$C$31+1),0)+IF(AND(Projects!$G$32="Yes",Projects!$M$32="Yes",3&gt;=Projects!$C$32,3&lt;Projects!$C$32+Projects!$D$32),Projects!$B$32*INDEX(Curves!$B$4:$AR$4,1,3-Projects!$C$32+1),0)+IF(AND(Projects!$G$33="Yes",Projects!$M$33="Yes",3&gt;=Projects!$C$33,3&lt;Projects!$C$33+Projects!$D$33),Projects!$B$33*INDEX(Curves!$B$4:$AR$4,1,3-Projects!$C$33+1),0)+IF(AND(Projects!$G$34="Yes",Projects!$M$34="Yes",3&gt;=Projects!$C$34,3&lt;Projects!$C$34+Projects!$D$34),Projects!$B$34*INDEX(Curves!$B$4:$AR$4,1,3-Projects!$C$34+1),0)+IF(AND(Projects!$G$35="Yes",Projects!$M$35="Yes",3&gt;=Projects!$C$35,3&lt;Projects!$C$35+Projects!$D$35),Projects!$B$35*INDEX(Curves!$B$4:$AR$4,1,3-Projects!$C$35+1),0)+IF(AND(Projects!$G$36="Yes",Projects!$M$36="Yes",3&gt;=Projects!$C$36,3&lt;Projects!$C$36+Projects!$D$36),Projects!$B$36*INDEX(Curves!$B$4:$AR$4,1,3-Projects!$C$36+1),0)+IF(AND(Projects!$G$37="Yes",Projects!$M$37="Yes",3&gt;=Projects!$C$37,3&lt;Projects!$C$37+Projects!$D$37),Projects!$B$37*INDEX(Curves!$B$4:$AR$4,1,3-Projects!$C$37+1),0)+IF(AND(Projects!$G$38="Yes",Projects!$M$38="Yes",3&gt;=Projects!$C$38,3&lt;Projects!$C$38+Projects!$D$38),Projects!$B$38*INDEX(Curves!$B$4:$AR$4,1,3-Projects!$C$38+1),0)+IF(AND(Projects!$G$39="Yes",Projects!$M$39="Yes",3&gt;=Projects!$C$39,3&lt;Projects!$C$39+Projects!$D$39),Projects!$B$39*INDEX(Curves!$B$4:$AR$4,1,3-Projects!$C$39+1),0)+IF(AND(Projects!$G$40="Yes",Projects!$M$40="Yes",3&gt;=Projects!$C$40,3&lt;Projects!$C$40+Projects!$D$40),Projects!$B$40*INDEX(Curves!$B$4:$AR$4,1,3-Projects!$C$40+1),0)+IF(AND(Projects!$G$41="Yes",Projects!$M$41="Yes",3&gt;=Projects!$C$41,3&lt;Projects!$C$41+Projects!$D$41),Projects!$B$41*INDEX(Curves!$B$4:$AR$4,1,3-Projects!$C$41+1),0)+IF(AND(Projects!$G$42="Yes",Projects!$M$42="Yes",3&gt;=Projects!$C$42,3&lt;Projects!$C$42+Projects!$D$42),Projects!$B$42*INDEX(Curves!$B$4:$AR$4,1,3-Projects!$C$42+1),0)+IF(AND(Projects!$G$43="Yes",Projects!$M$43="Yes",3&gt;=Projects!$C$43,3&lt;Projects!$C$43+Projects!$D$43),Projects!$B$43*INDEX(Curves!$B$4:$AR$4,1,3-Projects!$C$43+1),0)+IF(AND(Projects!$G$44="Yes",Projects!$M$44="Yes",3&gt;=Projects!$C$44,3&lt;Projects!$C$44+Projects!$D$44),Projects!$B$44*INDEX(Curves!$B$4:$AR$4,1,3-Projects!$C$44+1),0)+IF(AND(Projects!$G$45="Yes",Projects!$M$45="Yes",3&gt;=Projects!$C$45,3&lt;Projects!$C$45+Projects!$D$45),Projects!$B$45*INDEX(Curves!$B$4:$AR$4,1,3-Projects!$C$45+1),0)+IF(AND(Projects!$G$46="Yes",Projects!$M$46="Yes",3&gt;=Projects!$C$46,3&lt;Projects!$C$46+Projects!$D$46),Projects!$B$46*INDEX(Curves!$B$4:$AR$4,1,3-Projects!$C$46+1),0)</f>
        <v/>
      </c>
      <c r="I101" s="691">
        <f>IF(AND(Projects!$G$17="Yes",Projects!$M$17="Yes",4&gt;=Projects!$C$17,4&lt;Projects!$C$17+Projects!$D$17),Projects!$B$17*INDEX(Curves!$B$4:$AR$4,1,4-Projects!$C$17+1),0)+IF(AND(Projects!$G$18="Yes",Projects!$M$18="Yes",4&gt;=Projects!$C$18,4&lt;Projects!$C$18+Projects!$D$18),Projects!$B$18*INDEX(Curves!$B$4:$AR$4,1,4-Projects!$C$18+1),0)+IF(AND(Projects!$G$19="Yes",Projects!$M$19="Yes",4&gt;=Projects!$C$19,4&lt;Projects!$C$19+Projects!$D$19),Projects!$B$19*INDEX(Curves!$B$4:$AR$4,1,4-Projects!$C$19+1),0)+IF(AND(Projects!$G$20="Yes",Projects!$M$20="Yes",4&gt;=Projects!$C$20,4&lt;Projects!$C$20+Projects!$D$20),Projects!$B$20*INDEX(Curves!$B$4:$AR$4,1,4-Projects!$C$20+1),0)+IF(AND(Projects!$G$21="Yes",Projects!$M$21="Yes",4&gt;=Projects!$C$21,4&lt;Projects!$C$21+Projects!$D$21),Projects!$B$21*INDEX(Curves!$B$4:$AR$4,1,4-Projects!$C$21+1),0)+IF(AND(Projects!$G$22="Yes",Projects!$M$22="Yes",4&gt;=Projects!$C$22,4&lt;Projects!$C$22+Projects!$D$22),Projects!$B$22*INDEX(Curves!$B$4:$AR$4,1,4-Projects!$C$22+1),0)+IF(AND(Projects!$G$23="Yes",Projects!$M$23="Yes",4&gt;=Projects!$C$23,4&lt;Projects!$C$23+Projects!$D$23),Projects!$B$23*INDEX(Curves!$B$4:$AR$4,1,4-Projects!$C$23+1),0)+IF(AND(Projects!$G$24="Yes",Projects!$M$24="Yes",4&gt;=Projects!$C$24,4&lt;Projects!$C$24+Projects!$D$24),Projects!$B$24*INDEX(Curves!$B$4:$AR$4,1,4-Projects!$C$24+1),0)+IF(AND(Projects!$G$25="Yes",Projects!$M$25="Yes",4&gt;=Projects!$C$25,4&lt;Projects!$C$25+Projects!$D$25),Projects!$B$25*INDEX(Curves!$B$4:$AR$4,1,4-Projects!$C$25+1),0)+IF(AND(Projects!$G$26="Yes",Projects!$M$26="Yes",4&gt;=Projects!$C$26,4&lt;Projects!$C$26+Projects!$D$26),Projects!$B$26*INDEX(Curves!$B$4:$AR$4,1,4-Projects!$C$26+1),0)+IF(AND(Projects!$G$27="Yes",Projects!$M$27="Yes",4&gt;=Projects!$C$27,4&lt;Projects!$C$27+Projects!$D$27),Projects!$B$27*INDEX(Curves!$B$4:$AR$4,1,4-Projects!$C$27+1),0)+IF(AND(Projects!$G$28="Yes",Projects!$M$28="Yes",4&gt;=Projects!$C$28,4&lt;Projects!$C$28+Projects!$D$28),Projects!$B$28*INDEX(Curves!$B$4:$AR$4,1,4-Projects!$C$28+1),0)+IF(AND(Projects!$G$29="Yes",Projects!$M$29="Yes",4&gt;=Projects!$C$29,4&lt;Projects!$C$29+Projects!$D$29),Projects!$B$29*INDEX(Curves!$B$4:$AR$4,1,4-Projects!$C$29+1),0)+IF(AND(Projects!$G$30="Yes",Projects!$M$30="Yes",4&gt;=Projects!$C$30,4&lt;Projects!$C$30+Projects!$D$30),Projects!$B$30*INDEX(Curves!$B$4:$AR$4,1,4-Projects!$C$30+1),0)+IF(AND(Projects!$G$31="Yes",Projects!$M$31="Yes",4&gt;=Projects!$C$31,4&lt;Projects!$C$31+Projects!$D$31),Projects!$B$31*INDEX(Curves!$B$4:$AR$4,1,4-Projects!$C$31+1),0)+IF(AND(Projects!$G$32="Yes",Projects!$M$32="Yes",4&gt;=Projects!$C$32,4&lt;Projects!$C$32+Projects!$D$32),Projects!$B$32*INDEX(Curves!$B$4:$AR$4,1,4-Projects!$C$32+1),0)+IF(AND(Projects!$G$33="Yes",Projects!$M$33="Yes",4&gt;=Projects!$C$33,4&lt;Projects!$C$33+Projects!$D$33),Projects!$B$33*INDEX(Curves!$B$4:$AR$4,1,4-Projects!$C$33+1),0)+IF(AND(Projects!$G$34="Yes",Projects!$M$34="Yes",4&gt;=Projects!$C$34,4&lt;Projects!$C$34+Projects!$D$34),Projects!$B$34*INDEX(Curves!$B$4:$AR$4,1,4-Projects!$C$34+1),0)+IF(AND(Projects!$G$35="Yes",Projects!$M$35="Yes",4&gt;=Projects!$C$35,4&lt;Projects!$C$35+Projects!$D$35),Projects!$B$35*INDEX(Curves!$B$4:$AR$4,1,4-Projects!$C$35+1),0)+IF(AND(Projects!$G$36="Yes",Projects!$M$36="Yes",4&gt;=Projects!$C$36,4&lt;Projects!$C$36+Projects!$D$36),Projects!$B$36*INDEX(Curves!$B$4:$AR$4,1,4-Projects!$C$36+1),0)+IF(AND(Projects!$G$37="Yes",Projects!$M$37="Yes",4&gt;=Projects!$C$37,4&lt;Projects!$C$37+Projects!$D$37),Projects!$B$37*INDEX(Curves!$B$4:$AR$4,1,4-Projects!$C$37+1),0)+IF(AND(Projects!$G$38="Yes",Projects!$M$38="Yes",4&gt;=Projects!$C$38,4&lt;Projects!$C$38+Projects!$D$38),Projects!$B$38*INDEX(Curves!$B$4:$AR$4,1,4-Projects!$C$38+1),0)+IF(AND(Projects!$G$39="Yes",Projects!$M$39="Yes",4&gt;=Projects!$C$39,4&lt;Projects!$C$39+Projects!$D$39),Projects!$B$39*INDEX(Curves!$B$4:$AR$4,1,4-Projects!$C$39+1),0)+IF(AND(Projects!$G$40="Yes",Projects!$M$40="Yes",4&gt;=Projects!$C$40,4&lt;Projects!$C$40+Projects!$D$40),Projects!$B$40*INDEX(Curves!$B$4:$AR$4,1,4-Projects!$C$40+1),0)+IF(AND(Projects!$G$41="Yes",Projects!$M$41="Yes",4&gt;=Projects!$C$41,4&lt;Projects!$C$41+Projects!$D$41),Projects!$B$41*INDEX(Curves!$B$4:$AR$4,1,4-Projects!$C$41+1),0)+IF(AND(Projects!$G$42="Yes",Projects!$M$42="Yes",4&gt;=Projects!$C$42,4&lt;Projects!$C$42+Projects!$D$42),Projects!$B$42*INDEX(Curves!$B$4:$AR$4,1,4-Projects!$C$42+1),0)+IF(AND(Projects!$G$43="Yes",Projects!$M$43="Yes",4&gt;=Projects!$C$43,4&lt;Projects!$C$43+Projects!$D$43),Projects!$B$43*INDEX(Curves!$B$4:$AR$4,1,4-Projects!$C$43+1),0)+IF(AND(Projects!$G$44="Yes",Projects!$M$44="Yes",4&gt;=Projects!$C$44,4&lt;Projects!$C$44+Projects!$D$44),Projects!$B$44*INDEX(Curves!$B$4:$AR$4,1,4-Projects!$C$44+1),0)+IF(AND(Projects!$G$45="Yes",Projects!$M$45="Yes",4&gt;=Projects!$C$45,4&lt;Projects!$C$45+Projects!$D$45),Projects!$B$45*INDEX(Curves!$B$4:$AR$4,1,4-Projects!$C$45+1),0)+IF(AND(Projects!$G$46="Yes",Projects!$M$46="Yes",4&gt;=Projects!$C$46,4&lt;Projects!$C$46+Projects!$D$46),Projects!$B$46*INDEX(Curves!$B$4:$AR$4,1,4-Projects!$C$46+1),0)</f>
        <v/>
      </c>
      <c r="J101" s="691">
        <f>IF(AND(Projects!$G$17="Yes",Projects!$M$17="Yes",5&gt;=Projects!$C$17,5&lt;Projects!$C$17+Projects!$D$17),Projects!$B$17*INDEX(Curves!$B$4:$AR$4,1,5-Projects!$C$17+1),0)+IF(AND(Projects!$G$18="Yes",Projects!$M$18="Yes",5&gt;=Projects!$C$18,5&lt;Projects!$C$18+Projects!$D$18),Projects!$B$18*INDEX(Curves!$B$4:$AR$4,1,5-Projects!$C$18+1),0)+IF(AND(Projects!$G$19="Yes",Projects!$M$19="Yes",5&gt;=Projects!$C$19,5&lt;Projects!$C$19+Projects!$D$19),Projects!$B$19*INDEX(Curves!$B$4:$AR$4,1,5-Projects!$C$19+1),0)+IF(AND(Projects!$G$20="Yes",Projects!$M$20="Yes",5&gt;=Projects!$C$20,5&lt;Projects!$C$20+Projects!$D$20),Projects!$B$20*INDEX(Curves!$B$4:$AR$4,1,5-Projects!$C$20+1),0)+IF(AND(Projects!$G$21="Yes",Projects!$M$21="Yes",5&gt;=Projects!$C$21,5&lt;Projects!$C$21+Projects!$D$21),Projects!$B$21*INDEX(Curves!$B$4:$AR$4,1,5-Projects!$C$21+1),0)+IF(AND(Projects!$G$22="Yes",Projects!$M$22="Yes",5&gt;=Projects!$C$22,5&lt;Projects!$C$22+Projects!$D$22),Projects!$B$22*INDEX(Curves!$B$4:$AR$4,1,5-Projects!$C$22+1),0)+IF(AND(Projects!$G$23="Yes",Projects!$M$23="Yes",5&gt;=Projects!$C$23,5&lt;Projects!$C$23+Projects!$D$23),Projects!$B$23*INDEX(Curves!$B$4:$AR$4,1,5-Projects!$C$23+1),0)+IF(AND(Projects!$G$24="Yes",Projects!$M$24="Yes",5&gt;=Projects!$C$24,5&lt;Projects!$C$24+Projects!$D$24),Projects!$B$24*INDEX(Curves!$B$4:$AR$4,1,5-Projects!$C$24+1),0)+IF(AND(Projects!$G$25="Yes",Projects!$M$25="Yes",5&gt;=Projects!$C$25,5&lt;Projects!$C$25+Projects!$D$25),Projects!$B$25*INDEX(Curves!$B$4:$AR$4,1,5-Projects!$C$25+1),0)+IF(AND(Projects!$G$26="Yes",Projects!$M$26="Yes",5&gt;=Projects!$C$26,5&lt;Projects!$C$26+Projects!$D$26),Projects!$B$26*INDEX(Curves!$B$4:$AR$4,1,5-Projects!$C$26+1),0)+IF(AND(Projects!$G$27="Yes",Projects!$M$27="Yes",5&gt;=Projects!$C$27,5&lt;Projects!$C$27+Projects!$D$27),Projects!$B$27*INDEX(Curves!$B$4:$AR$4,1,5-Projects!$C$27+1),0)+IF(AND(Projects!$G$28="Yes",Projects!$M$28="Yes",5&gt;=Projects!$C$28,5&lt;Projects!$C$28+Projects!$D$28),Projects!$B$28*INDEX(Curves!$B$4:$AR$4,1,5-Projects!$C$28+1),0)+IF(AND(Projects!$G$29="Yes",Projects!$M$29="Yes",5&gt;=Projects!$C$29,5&lt;Projects!$C$29+Projects!$D$29),Projects!$B$29*INDEX(Curves!$B$4:$AR$4,1,5-Projects!$C$29+1),0)+IF(AND(Projects!$G$30="Yes",Projects!$M$30="Yes",5&gt;=Projects!$C$30,5&lt;Projects!$C$30+Projects!$D$30),Projects!$B$30*INDEX(Curves!$B$4:$AR$4,1,5-Projects!$C$30+1),0)+IF(AND(Projects!$G$31="Yes",Projects!$M$31="Yes",5&gt;=Projects!$C$31,5&lt;Projects!$C$31+Projects!$D$31),Projects!$B$31*INDEX(Curves!$B$4:$AR$4,1,5-Projects!$C$31+1),0)+IF(AND(Projects!$G$32="Yes",Projects!$M$32="Yes",5&gt;=Projects!$C$32,5&lt;Projects!$C$32+Projects!$D$32),Projects!$B$32*INDEX(Curves!$B$4:$AR$4,1,5-Projects!$C$32+1),0)+IF(AND(Projects!$G$33="Yes",Projects!$M$33="Yes",5&gt;=Projects!$C$33,5&lt;Projects!$C$33+Projects!$D$33),Projects!$B$33*INDEX(Curves!$B$4:$AR$4,1,5-Projects!$C$33+1),0)+IF(AND(Projects!$G$34="Yes",Projects!$M$34="Yes",5&gt;=Projects!$C$34,5&lt;Projects!$C$34+Projects!$D$34),Projects!$B$34*INDEX(Curves!$B$4:$AR$4,1,5-Projects!$C$34+1),0)+IF(AND(Projects!$G$35="Yes",Projects!$M$35="Yes",5&gt;=Projects!$C$35,5&lt;Projects!$C$35+Projects!$D$35),Projects!$B$35*INDEX(Curves!$B$4:$AR$4,1,5-Projects!$C$35+1),0)+IF(AND(Projects!$G$36="Yes",Projects!$M$36="Yes",5&gt;=Projects!$C$36,5&lt;Projects!$C$36+Projects!$D$36),Projects!$B$36*INDEX(Curves!$B$4:$AR$4,1,5-Projects!$C$36+1),0)+IF(AND(Projects!$G$37="Yes",Projects!$M$37="Yes",5&gt;=Projects!$C$37,5&lt;Projects!$C$37+Projects!$D$37),Projects!$B$37*INDEX(Curves!$B$4:$AR$4,1,5-Projects!$C$37+1),0)+IF(AND(Projects!$G$38="Yes",Projects!$M$38="Yes",5&gt;=Projects!$C$38,5&lt;Projects!$C$38+Projects!$D$38),Projects!$B$38*INDEX(Curves!$B$4:$AR$4,1,5-Projects!$C$38+1),0)+IF(AND(Projects!$G$39="Yes",Projects!$M$39="Yes",5&gt;=Projects!$C$39,5&lt;Projects!$C$39+Projects!$D$39),Projects!$B$39*INDEX(Curves!$B$4:$AR$4,1,5-Projects!$C$39+1),0)+IF(AND(Projects!$G$40="Yes",Projects!$M$40="Yes",5&gt;=Projects!$C$40,5&lt;Projects!$C$40+Projects!$D$40),Projects!$B$40*INDEX(Curves!$B$4:$AR$4,1,5-Projects!$C$40+1),0)+IF(AND(Projects!$G$41="Yes",Projects!$M$41="Yes",5&gt;=Projects!$C$41,5&lt;Projects!$C$41+Projects!$D$41),Projects!$B$41*INDEX(Curves!$B$4:$AR$4,1,5-Projects!$C$41+1),0)+IF(AND(Projects!$G$42="Yes",Projects!$M$42="Yes",5&gt;=Projects!$C$42,5&lt;Projects!$C$42+Projects!$D$42),Projects!$B$42*INDEX(Curves!$B$4:$AR$4,1,5-Projects!$C$42+1),0)+IF(AND(Projects!$G$43="Yes",Projects!$M$43="Yes",5&gt;=Projects!$C$43,5&lt;Projects!$C$43+Projects!$D$43),Projects!$B$43*INDEX(Curves!$B$4:$AR$4,1,5-Projects!$C$43+1),0)+IF(AND(Projects!$G$44="Yes",Projects!$M$44="Yes",5&gt;=Projects!$C$44,5&lt;Projects!$C$44+Projects!$D$44),Projects!$B$44*INDEX(Curves!$B$4:$AR$4,1,5-Projects!$C$44+1),0)+IF(AND(Projects!$G$45="Yes",Projects!$M$45="Yes",5&gt;=Projects!$C$45,5&lt;Projects!$C$45+Projects!$D$45),Projects!$B$45*INDEX(Curves!$B$4:$AR$4,1,5-Projects!$C$45+1),0)+IF(AND(Projects!$G$46="Yes",Projects!$M$46="Yes",5&gt;=Projects!$C$46,5&lt;Projects!$C$46+Projects!$D$46),Projects!$B$46*INDEX(Curves!$B$4:$AR$4,1,5-Projects!$C$46+1),0)</f>
        <v/>
      </c>
      <c r="K101" s="691">
        <f>IF(AND(Projects!$G$17="Yes",Projects!$M$17="Yes",6&gt;=Projects!$C$17,6&lt;Projects!$C$17+Projects!$D$17),Projects!$B$17*INDEX(Curves!$B$4:$AR$4,1,6-Projects!$C$17+1),0)+IF(AND(Projects!$G$18="Yes",Projects!$M$18="Yes",6&gt;=Projects!$C$18,6&lt;Projects!$C$18+Projects!$D$18),Projects!$B$18*INDEX(Curves!$B$4:$AR$4,1,6-Projects!$C$18+1),0)+IF(AND(Projects!$G$19="Yes",Projects!$M$19="Yes",6&gt;=Projects!$C$19,6&lt;Projects!$C$19+Projects!$D$19),Projects!$B$19*INDEX(Curves!$B$4:$AR$4,1,6-Projects!$C$19+1),0)+IF(AND(Projects!$G$20="Yes",Projects!$M$20="Yes",6&gt;=Projects!$C$20,6&lt;Projects!$C$20+Projects!$D$20),Projects!$B$20*INDEX(Curves!$B$4:$AR$4,1,6-Projects!$C$20+1),0)+IF(AND(Projects!$G$21="Yes",Projects!$M$21="Yes",6&gt;=Projects!$C$21,6&lt;Projects!$C$21+Projects!$D$21),Projects!$B$21*INDEX(Curves!$B$4:$AR$4,1,6-Projects!$C$21+1),0)+IF(AND(Projects!$G$22="Yes",Projects!$M$22="Yes",6&gt;=Projects!$C$22,6&lt;Projects!$C$22+Projects!$D$22),Projects!$B$22*INDEX(Curves!$B$4:$AR$4,1,6-Projects!$C$22+1),0)+IF(AND(Projects!$G$23="Yes",Projects!$M$23="Yes",6&gt;=Projects!$C$23,6&lt;Projects!$C$23+Projects!$D$23),Projects!$B$23*INDEX(Curves!$B$4:$AR$4,1,6-Projects!$C$23+1),0)+IF(AND(Projects!$G$24="Yes",Projects!$M$24="Yes",6&gt;=Projects!$C$24,6&lt;Projects!$C$24+Projects!$D$24),Projects!$B$24*INDEX(Curves!$B$4:$AR$4,1,6-Projects!$C$24+1),0)+IF(AND(Projects!$G$25="Yes",Projects!$M$25="Yes",6&gt;=Projects!$C$25,6&lt;Projects!$C$25+Projects!$D$25),Projects!$B$25*INDEX(Curves!$B$4:$AR$4,1,6-Projects!$C$25+1),0)+IF(AND(Projects!$G$26="Yes",Projects!$M$26="Yes",6&gt;=Projects!$C$26,6&lt;Projects!$C$26+Projects!$D$26),Projects!$B$26*INDEX(Curves!$B$4:$AR$4,1,6-Projects!$C$26+1),0)+IF(AND(Projects!$G$27="Yes",Projects!$M$27="Yes",6&gt;=Projects!$C$27,6&lt;Projects!$C$27+Projects!$D$27),Projects!$B$27*INDEX(Curves!$B$4:$AR$4,1,6-Projects!$C$27+1),0)+IF(AND(Projects!$G$28="Yes",Projects!$M$28="Yes",6&gt;=Projects!$C$28,6&lt;Projects!$C$28+Projects!$D$28),Projects!$B$28*INDEX(Curves!$B$4:$AR$4,1,6-Projects!$C$28+1),0)+IF(AND(Projects!$G$29="Yes",Projects!$M$29="Yes",6&gt;=Projects!$C$29,6&lt;Projects!$C$29+Projects!$D$29),Projects!$B$29*INDEX(Curves!$B$4:$AR$4,1,6-Projects!$C$29+1),0)+IF(AND(Projects!$G$30="Yes",Projects!$M$30="Yes",6&gt;=Projects!$C$30,6&lt;Projects!$C$30+Projects!$D$30),Projects!$B$30*INDEX(Curves!$B$4:$AR$4,1,6-Projects!$C$30+1),0)+IF(AND(Projects!$G$31="Yes",Projects!$M$31="Yes",6&gt;=Projects!$C$31,6&lt;Projects!$C$31+Projects!$D$31),Projects!$B$31*INDEX(Curves!$B$4:$AR$4,1,6-Projects!$C$31+1),0)+IF(AND(Projects!$G$32="Yes",Projects!$M$32="Yes",6&gt;=Projects!$C$32,6&lt;Projects!$C$32+Projects!$D$32),Projects!$B$32*INDEX(Curves!$B$4:$AR$4,1,6-Projects!$C$32+1),0)+IF(AND(Projects!$G$33="Yes",Projects!$M$33="Yes",6&gt;=Projects!$C$33,6&lt;Projects!$C$33+Projects!$D$33),Projects!$B$33*INDEX(Curves!$B$4:$AR$4,1,6-Projects!$C$33+1),0)+IF(AND(Projects!$G$34="Yes",Projects!$M$34="Yes",6&gt;=Projects!$C$34,6&lt;Projects!$C$34+Projects!$D$34),Projects!$B$34*INDEX(Curves!$B$4:$AR$4,1,6-Projects!$C$34+1),0)+IF(AND(Projects!$G$35="Yes",Projects!$M$35="Yes",6&gt;=Projects!$C$35,6&lt;Projects!$C$35+Projects!$D$35),Projects!$B$35*INDEX(Curves!$B$4:$AR$4,1,6-Projects!$C$35+1),0)+IF(AND(Projects!$G$36="Yes",Projects!$M$36="Yes",6&gt;=Projects!$C$36,6&lt;Projects!$C$36+Projects!$D$36),Projects!$B$36*INDEX(Curves!$B$4:$AR$4,1,6-Projects!$C$36+1),0)+IF(AND(Projects!$G$37="Yes",Projects!$M$37="Yes",6&gt;=Projects!$C$37,6&lt;Projects!$C$37+Projects!$D$37),Projects!$B$37*INDEX(Curves!$B$4:$AR$4,1,6-Projects!$C$37+1),0)+IF(AND(Projects!$G$38="Yes",Projects!$M$38="Yes",6&gt;=Projects!$C$38,6&lt;Projects!$C$38+Projects!$D$38),Projects!$B$38*INDEX(Curves!$B$4:$AR$4,1,6-Projects!$C$38+1),0)+IF(AND(Projects!$G$39="Yes",Projects!$M$39="Yes",6&gt;=Projects!$C$39,6&lt;Projects!$C$39+Projects!$D$39),Projects!$B$39*INDEX(Curves!$B$4:$AR$4,1,6-Projects!$C$39+1),0)+IF(AND(Projects!$G$40="Yes",Projects!$M$40="Yes",6&gt;=Projects!$C$40,6&lt;Projects!$C$40+Projects!$D$40),Projects!$B$40*INDEX(Curves!$B$4:$AR$4,1,6-Projects!$C$40+1),0)+IF(AND(Projects!$G$41="Yes",Projects!$M$41="Yes",6&gt;=Projects!$C$41,6&lt;Projects!$C$41+Projects!$D$41),Projects!$B$41*INDEX(Curves!$B$4:$AR$4,1,6-Projects!$C$41+1),0)+IF(AND(Projects!$G$42="Yes",Projects!$M$42="Yes",6&gt;=Projects!$C$42,6&lt;Projects!$C$42+Projects!$D$42),Projects!$B$42*INDEX(Curves!$B$4:$AR$4,1,6-Projects!$C$42+1),0)+IF(AND(Projects!$G$43="Yes",Projects!$M$43="Yes",6&gt;=Projects!$C$43,6&lt;Projects!$C$43+Projects!$D$43),Projects!$B$43*INDEX(Curves!$B$4:$AR$4,1,6-Projects!$C$43+1),0)+IF(AND(Projects!$G$44="Yes",Projects!$M$44="Yes",6&gt;=Projects!$C$44,6&lt;Projects!$C$44+Projects!$D$44),Projects!$B$44*INDEX(Curves!$B$4:$AR$4,1,6-Projects!$C$44+1),0)+IF(AND(Projects!$G$45="Yes",Projects!$M$45="Yes",6&gt;=Projects!$C$45,6&lt;Projects!$C$45+Projects!$D$45),Projects!$B$45*INDEX(Curves!$B$4:$AR$4,1,6-Projects!$C$45+1),0)+IF(AND(Projects!$G$46="Yes",Projects!$M$46="Yes",6&gt;=Projects!$C$46,6&lt;Projects!$C$46+Projects!$D$46),Projects!$B$46*INDEX(Curves!$B$4:$AR$4,1,6-Projects!$C$46+1),0)</f>
        <v/>
      </c>
      <c r="L101" s="691">
        <f>IF(AND(Projects!$G$17="Yes",Projects!$M$17="Yes",7&gt;=Projects!$C$17,7&lt;Projects!$C$17+Projects!$D$17),Projects!$B$17*INDEX(Curves!$B$4:$AR$4,1,7-Projects!$C$17+1),0)+IF(AND(Projects!$G$18="Yes",Projects!$M$18="Yes",7&gt;=Projects!$C$18,7&lt;Projects!$C$18+Projects!$D$18),Projects!$B$18*INDEX(Curves!$B$4:$AR$4,1,7-Projects!$C$18+1),0)+IF(AND(Projects!$G$19="Yes",Projects!$M$19="Yes",7&gt;=Projects!$C$19,7&lt;Projects!$C$19+Projects!$D$19),Projects!$B$19*INDEX(Curves!$B$4:$AR$4,1,7-Projects!$C$19+1),0)+IF(AND(Projects!$G$20="Yes",Projects!$M$20="Yes",7&gt;=Projects!$C$20,7&lt;Projects!$C$20+Projects!$D$20),Projects!$B$20*INDEX(Curves!$B$4:$AR$4,1,7-Projects!$C$20+1),0)+IF(AND(Projects!$G$21="Yes",Projects!$M$21="Yes",7&gt;=Projects!$C$21,7&lt;Projects!$C$21+Projects!$D$21),Projects!$B$21*INDEX(Curves!$B$4:$AR$4,1,7-Projects!$C$21+1),0)+IF(AND(Projects!$G$22="Yes",Projects!$M$22="Yes",7&gt;=Projects!$C$22,7&lt;Projects!$C$22+Projects!$D$22),Projects!$B$22*INDEX(Curves!$B$4:$AR$4,1,7-Projects!$C$22+1),0)+IF(AND(Projects!$G$23="Yes",Projects!$M$23="Yes",7&gt;=Projects!$C$23,7&lt;Projects!$C$23+Projects!$D$23),Projects!$B$23*INDEX(Curves!$B$4:$AR$4,1,7-Projects!$C$23+1),0)+IF(AND(Projects!$G$24="Yes",Projects!$M$24="Yes",7&gt;=Projects!$C$24,7&lt;Projects!$C$24+Projects!$D$24),Projects!$B$24*INDEX(Curves!$B$4:$AR$4,1,7-Projects!$C$24+1),0)+IF(AND(Projects!$G$25="Yes",Projects!$M$25="Yes",7&gt;=Projects!$C$25,7&lt;Projects!$C$25+Projects!$D$25),Projects!$B$25*INDEX(Curves!$B$4:$AR$4,1,7-Projects!$C$25+1),0)+IF(AND(Projects!$G$26="Yes",Projects!$M$26="Yes",7&gt;=Projects!$C$26,7&lt;Projects!$C$26+Projects!$D$26),Projects!$B$26*INDEX(Curves!$B$4:$AR$4,1,7-Projects!$C$26+1),0)+IF(AND(Projects!$G$27="Yes",Projects!$M$27="Yes",7&gt;=Projects!$C$27,7&lt;Projects!$C$27+Projects!$D$27),Projects!$B$27*INDEX(Curves!$B$4:$AR$4,1,7-Projects!$C$27+1),0)+IF(AND(Projects!$G$28="Yes",Projects!$M$28="Yes",7&gt;=Projects!$C$28,7&lt;Projects!$C$28+Projects!$D$28),Projects!$B$28*INDEX(Curves!$B$4:$AR$4,1,7-Projects!$C$28+1),0)+IF(AND(Projects!$G$29="Yes",Projects!$M$29="Yes",7&gt;=Projects!$C$29,7&lt;Projects!$C$29+Projects!$D$29),Projects!$B$29*INDEX(Curves!$B$4:$AR$4,1,7-Projects!$C$29+1),0)+IF(AND(Projects!$G$30="Yes",Projects!$M$30="Yes",7&gt;=Projects!$C$30,7&lt;Projects!$C$30+Projects!$D$30),Projects!$B$30*INDEX(Curves!$B$4:$AR$4,1,7-Projects!$C$30+1),0)+IF(AND(Projects!$G$31="Yes",Projects!$M$31="Yes",7&gt;=Projects!$C$31,7&lt;Projects!$C$31+Projects!$D$31),Projects!$B$31*INDEX(Curves!$B$4:$AR$4,1,7-Projects!$C$31+1),0)+IF(AND(Projects!$G$32="Yes",Projects!$M$32="Yes",7&gt;=Projects!$C$32,7&lt;Projects!$C$32+Projects!$D$32),Projects!$B$32*INDEX(Curves!$B$4:$AR$4,1,7-Projects!$C$32+1),0)+IF(AND(Projects!$G$33="Yes",Projects!$M$33="Yes",7&gt;=Projects!$C$33,7&lt;Projects!$C$33+Projects!$D$33),Projects!$B$33*INDEX(Curves!$B$4:$AR$4,1,7-Projects!$C$33+1),0)+IF(AND(Projects!$G$34="Yes",Projects!$M$34="Yes",7&gt;=Projects!$C$34,7&lt;Projects!$C$34+Projects!$D$34),Projects!$B$34*INDEX(Curves!$B$4:$AR$4,1,7-Projects!$C$34+1),0)+IF(AND(Projects!$G$35="Yes",Projects!$M$35="Yes",7&gt;=Projects!$C$35,7&lt;Projects!$C$35+Projects!$D$35),Projects!$B$35*INDEX(Curves!$B$4:$AR$4,1,7-Projects!$C$35+1),0)+IF(AND(Projects!$G$36="Yes",Projects!$M$36="Yes",7&gt;=Projects!$C$36,7&lt;Projects!$C$36+Projects!$D$36),Projects!$B$36*INDEX(Curves!$B$4:$AR$4,1,7-Projects!$C$36+1),0)+IF(AND(Projects!$G$37="Yes",Projects!$M$37="Yes",7&gt;=Projects!$C$37,7&lt;Projects!$C$37+Projects!$D$37),Projects!$B$37*INDEX(Curves!$B$4:$AR$4,1,7-Projects!$C$37+1),0)+IF(AND(Projects!$G$38="Yes",Projects!$M$38="Yes",7&gt;=Projects!$C$38,7&lt;Projects!$C$38+Projects!$D$38),Projects!$B$38*INDEX(Curves!$B$4:$AR$4,1,7-Projects!$C$38+1),0)+IF(AND(Projects!$G$39="Yes",Projects!$M$39="Yes",7&gt;=Projects!$C$39,7&lt;Projects!$C$39+Projects!$D$39),Projects!$B$39*INDEX(Curves!$B$4:$AR$4,1,7-Projects!$C$39+1),0)+IF(AND(Projects!$G$40="Yes",Projects!$M$40="Yes",7&gt;=Projects!$C$40,7&lt;Projects!$C$40+Projects!$D$40),Projects!$B$40*INDEX(Curves!$B$4:$AR$4,1,7-Projects!$C$40+1),0)+IF(AND(Projects!$G$41="Yes",Projects!$M$41="Yes",7&gt;=Projects!$C$41,7&lt;Projects!$C$41+Projects!$D$41),Projects!$B$41*INDEX(Curves!$B$4:$AR$4,1,7-Projects!$C$41+1),0)+IF(AND(Projects!$G$42="Yes",Projects!$M$42="Yes",7&gt;=Projects!$C$42,7&lt;Projects!$C$42+Projects!$D$42),Projects!$B$42*INDEX(Curves!$B$4:$AR$4,1,7-Projects!$C$42+1),0)+IF(AND(Projects!$G$43="Yes",Projects!$M$43="Yes",7&gt;=Projects!$C$43,7&lt;Projects!$C$43+Projects!$D$43),Projects!$B$43*INDEX(Curves!$B$4:$AR$4,1,7-Projects!$C$43+1),0)+IF(AND(Projects!$G$44="Yes",Projects!$M$44="Yes",7&gt;=Projects!$C$44,7&lt;Projects!$C$44+Projects!$D$44),Projects!$B$44*INDEX(Curves!$B$4:$AR$4,1,7-Projects!$C$44+1),0)+IF(AND(Projects!$G$45="Yes",Projects!$M$45="Yes",7&gt;=Projects!$C$45,7&lt;Projects!$C$45+Projects!$D$45),Projects!$B$45*INDEX(Curves!$B$4:$AR$4,1,7-Projects!$C$45+1),0)+IF(AND(Projects!$G$46="Yes",Projects!$M$46="Yes",7&gt;=Projects!$C$46,7&lt;Projects!$C$46+Projects!$D$46),Projects!$B$46*INDEX(Curves!$B$4:$AR$4,1,7-Projects!$C$46+1),0)</f>
        <v/>
      </c>
      <c r="M101" s="691">
        <f>IF(AND(Projects!$G$17="Yes",Projects!$M$17="Yes",8&gt;=Projects!$C$17,8&lt;Projects!$C$17+Projects!$D$17),Projects!$B$17*INDEX(Curves!$B$4:$AR$4,1,8-Projects!$C$17+1),0)+IF(AND(Projects!$G$18="Yes",Projects!$M$18="Yes",8&gt;=Projects!$C$18,8&lt;Projects!$C$18+Projects!$D$18),Projects!$B$18*INDEX(Curves!$B$4:$AR$4,1,8-Projects!$C$18+1),0)+IF(AND(Projects!$G$19="Yes",Projects!$M$19="Yes",8&gt;=Projects!$C$19,8&lt;Projects!$C$19+Projects!$D$19),Projects!$B$19*INDEX(Curves!$B$4:$AR$4,1,8-Projects!$C$19+1),0)+IF(AND(Projects!$G$20="Yes",Projects!$M$20="Yes",8&gt;=Projects!$C$20,8&lt;Projects!$C$20+Projects!$D$20),Projects!$B$20*INDEX(Curves!$B$4:$AR$4,1,8-Projects!$C$20+1),0)+IF(AND(Projects!$G$21="Yes",Projects!$M$21="Yes",8&gt;=Projects!$C$21,8&lt;Projects!$C$21+Projects!$D$21),Projects!$B$21*INDEX(Curves!$B$4:$AR$4,1,8-Projects!$C$21+1),0)+IF(AND(Projects!$G$22="Yes",Projects!$M$22="Yes",8&gt;=Projects!$C$22,8&lt;Projects!$C$22+Projects!$D$22),Projects!$B$22*INDEX(Curves!$B$4:$AR$4,1,8-Projects!$C$22+1),0)+IF(AND(Projects!$G$23="Yes",Projects!$M$23="Yes",8&gt;=Projects!$C$23,8&lt;Projects!$C$23+Projects!$D$23),Projects!$B$23*INDEX(Curves!$B$4:$AR$4,1,8-Projects!$C$23+1),0)+IF(AND(Projects!$G$24="Yes",Projects!$M$24="Yes",8&gt;=Projects!$C$24,8&lt;Projects!$C$24+Projects!$D$24),Projects!$B$24*INDEX(Curves!$B$4:$AR$4,1,8-Projects!$C$24+1),0)+IF(AND(Projects!$G$25="Yes",Projects!$M$25="Yes",8&gt;=Projects!$C$25,8&lt;Projects!$C$25+Projects!$D$25),Projects!$B$25*INDEX(Curves!$B$4:$AR$4,1,8-Projects!$C$25+1),0)+IF(AND(Projects!$G$26="Yes",Projects!$M$26="Yes",8&gt;=Projects!$C$26,8&lt;Projects!$C$26+Projects!$D$26),Projects!$B$26*INDEX(Curves!$B$4:$AR$4,1,8-Projects!$C$26+1),0)+IF(AND(Projects!$G$27="Yes",Projects!$M$27="Yes",8&gt;=Projects!$C$27,8&lt;Projects!$C$27+Projects!$D$27),Projects!$B$27*INDEX(Curves!$B$4:$AR$4,1,8-Projects!$C$27+1),0)+IF(AND(Projects!$G$28="Yes",Projects!$M$28="Yes",8&gt;=Projects!$C$28,8&lt;Projects!$C$28+Projects!$D$28),Projects!$B$28*INDEX(Curves!$B$4:$AR$4,1,8-Projects!$C$28+1),0)+IF(AND(Projects!$G$29="Yes",Projects!$M$29="Yes",8&gt;=Projects!$C$29,8&lt;Projects!$C$29+Projects!$D$29),Projects!$B$29*INDEX(Curves!$B$4:$AR$4,1,8-Projects!$C$29+1),0)+IF(AND(Projects!$G$30="Yes",Projects!$M$30="Yes",8&gt;=Projects!$C$30,8&lt;Projects!$C$30+Projects!$D$30),Projects!$B$30*INDEX(Curves!$B$4:$AR$4,1,8-Projects!$C$30+1),0)+IF(AND(Projects!$G$31="Yes",Projects!$M$31="Yes",8&gt;=Projects!$C$31,8&lt;Projects!$C$31+Projects!$D$31),Projects!$B$31*INDEX(Curves!$B$4:$AR$4,1,8-Projects!$C$31+1),0)+IF(AND(Projects!$G$32="Yes",Projects!$M$32="Yes",8&gt;=Projects!$C$32,8&lt;Projects!$C$32+Projects!$D$32),Projects!$B$32*INDEX(Curves!$B$4:$AR$4,1,8-Projects!$C$32+1),0)+IF(AND(Projects!$G$33="Yes",Projects!$M$33="Yes",8&gt;=Projects!$C$33,8&lt;Projects!$C$33+Projects!$D$33),Projects!$B$33*INDEX(Curves!$B$4:$AR$4,1,8-Projects!$C$33+1),0)+IF(AND(Projects!$G$34="Yes",Projects!$M$34="Yes",8&gt;=Projects!$C$34,8&lt;Projects!$C$34+Projects!$D$34),Projects!$B$34*INDEX(Curves!$B$4:$AR$4,1,8-Projects!$C$34+1),0)+IF(AND(Projects!$G$35="Yes",Projects!$M$35="Yes",8&gt;=Projects!$C$35,8&lt;Projects!$C$35+Projects!$D$35),Projects!$B$35*INDEX(Curves!$B$4:$AR$4,1,8-Projects!$C$35+1),0)+IF(AND(Projects!$G$36="Yes",Projects!$M$36="Yes",8&gt;=Projects!$C$36,8&lt;Projects!$C$36+Projects!$D$36),Projects!$B$36*INDEX(Curves!$B$4:$AR$4,1,8-Projects!$C$36+1),0)+IF(AND(Projects!$G$37="Yes",Projects!$M$37="Yes",8&gt;=Projects!$C$37,8&lt;Projects!$C$37+Projects!$D$37),Projects!$B$37*INDEX(Curves!$B$4:$AR$4,1,8-Projects!$C$37+1),0)+IF(AND(Projects!$G$38="Yes",Projects!$M$38="Yes",8&gt;=Projects!$C$38,8&lt;Projects!$C$38+Projects!$D$38),Projects!$B$38*INDEX(Curves!$B$4:$AR$4,1,8-Projects!$C$38+1),0)+IF(AND(Projects!$G$39="Yes",Projects!$M$39="Yes",8&gt;=Projects!$C$39,8&lt;Projects!$C$39+Projects!$D$39),Projects!$B$39*INDEX(Curves!$B$4:$AR$4,1,8-Projects!$C$39+1),0)+IF(AND(Projects!$G$40="Yes",Projects!$M$40="Yes",8&gt;=Projects!$C$40,8&lt;Projects!$C$40+Projects!$D$40),Projects!$B$40*INDEX(Curves!$B$4:$AR$4,1,8-Projects!$C$40+1),0)+IF(AND(Projects!$G$41="Yes",Projects!$M$41="Yes",8&gt;=Projects!$C$41,8&lt;Projects!$C$41+Projects!$D$41),Projects!$B$41*INDEX(Curves!$B$4:$AR$4,1,8-Projects!$C$41+1),0)+IF(AND(Projects!$G$42="Yes",Projects!$M$42="Yes",8&gt;=Projects!$C$42,8&lt;Projects!$C$42+Projects!$D$42),Projects!$B$42*INDEX(Curves!$B$4:$AR$4,1,8-Projects!$C$42+1),0)+IF(AND(Projects!$G$43="Yes",Projects!$M$43="Yes",8&gt;=Projects!$C$43,8&lt;Projects!$C$43+Projects!$D$43),Projects!$B$43*INDEX(Curves!$B$4:$AR$4,1,8-Projects!$C$43+1),0)+IF(AND(Projects!$G$44="Yes",Projects!$M$44="Yes",8&gt;=Projects!$C$44,8&lt;Projects!$C$44+Projects!$D$44),Projects!$B$44*INDEX(Curves!$B$4:$AR$4,1,8-Projects!$C$44+1),0)+IF(AND(Projects!$G$45="Yes",Projects!$M$45="Yes",8&gt;=Projects!$C$45,8&lt;Projects!$C$45+Projects!$D$45),Projects!$B$45*INDEX(Curves!$B$4:$AR$4,1,8-Projects!$C$45+1),0)+IF(AND(Projects!$G$46="Yes",Projects!$M$46="Yes",8&gt;=Projects!$C$46,8&lt;Projects!$C$46+Projects!$D$46),Projects!$B$46*INDEX(Curves!$B$4:$AR$4,1,8-Projects!$C$46+1),0)</f>
        <v/>
      </c>
      <c r="N101" s="691">
        <f>IF(AND(Projects!$G$17="Yes",Projects!$M$17="Yes",9&gt;=Projects!$C$17,9&lt;Projects!$C$17+Projects!$D$17),Projects!$B$17*INDEX(Curves!$B$4:$AR$4,1,9-Projects!$C$17+1),0)+IF(AND(Projects!$G$18="Yes",Projects!$M$18="Yes",9&gt;=Projects!$C$18,9&lt;Projects!$C$18+Projects!$D$18),Projects!$B$18*INDEX(Curves!$B$4:$AR$4,1,9-Projects!$C$18+1),0)+IF(AND(Projects!$G$19="Yes",Projects!$M$19="Yes",9&gt;=Projects!$C$19,9&lt;Projects!$C$19+Projects!$D$19),Projects!$B$19*INDEX(Curves!$B$4:$AR$4,1,9-Projects!$C$19+1),0)+IF(AND(Projects!$G$20="Yes",Projects!$M$20="Yes",9&gt;=Projects!$C$20,9&lt;Projects!$C$20+Projects!$D$20),Projects!$B$20*INDEX(Curves!$B$4:$AR$4,1,9-Projects!$C$20+1),0)+IF(AND(Projects!$G$21="Yes",Projects!$M$21="Yes",9&gt;=Projects!$C$21,9&lt;Projects!$C$21+Projects!$D$21),Projects!$B$21*INDEX(Curves!$B$4:$AR$4,1,9-Projects!$C$21+1),0)+IF(AND(Projects!$G$22="Yes",Projects!$M$22="Yes",9&gt;=Projects!$C$22,9&lt;Projects!$C$22+Projects!$D$22),Projects!$B$22*INDEX(Curves!$B$4:$AR$4,1,9-Projects!$C$22+1),0)+IF(AND(Projects!$G$23="Yes",Projects!$M$23="Yes",9&gt;=Projects!$C$23,9&lt;Projects!$C$23+Projects!$D$23),Projects!$B$23*INDEX(Curves!$B$4:$AR$4,1,9-Projects!$C$23+1),0)+IF(AND(Projects!$G$24="Yes",Projects!$M$24="Yes",9&gt;=Projects!$C$24,9&lt;Projects!$C$24+Projects!$D$24),Projects!$B$24*INDEX(Curves!$B$4:$AR$4,1,9-Projects!$C$24+1),0)+IF(AND(Projects!$G$25="Yes",Projects!$M$25="Yes",9&gt;=Projects!$C$25,9&lt;Projects!$C$25+Projects!$D$25),Projects!$B$25*INDEX(Curves!$B$4:$AR$4,1,9-Projects!$C$25+1),0)+IF(AND(Projects!$G$26="Yes",Projects!$M$26="Yes",9&gt;=Projects!$C$26,9&lt;Projects!$C$26+Projects!$D$26),Projects!$B$26*INDEX(Curves!$B$4:$AR$4,1,9-Projects!$C$26+1),0)+IF(AND(Projects!$G$27="Yes",Projects!$M$27="Yes",9&gt;=Projects!$C$27,9&lt;Projects!$C$27+Projects!$D$27),Projects!$B$27*INDEX(Curves!$B$4:$AR$4,1,9-Projects!$C$27+1),0)+IF(AND(Projects!$G$28="Yes",Projects!$M$28="Yes",9&gt;=Projects!$C$28,9&lt;Projects!$C$28+Projects!$D$28),Projects!$B$28*INDEX(Curves!$B$4:$AR$4,1,9-Projects!$C$28+1),0)+IF(AND(Projects!$G$29="Yes",Projects!$M$29="Yes",9&gt;=Projects!$C$29,9&lt;Projects!$C$29+Projects!$D$29),Projects!$B$29*INDEX(Curves!$B$4:$AR$4,1,9-Projects!$C$29+1),0)+IF(AND(Projects!$G$30="Yes",Projects!$M$30="Yes",9&gt;=Projects!$C$30,9&lt;Projects!$C$30+Projects!$D$30),Projects!$B$30*INDEX(Curves!$B$4:$AR$4,1,9-Projects!$C$30+1),0)+IF(AND(Projects!$G$31="Yes",Projects!$M$31="Yes",9&gt;=Projects!$C$31,9&lt;Projects!$C$31+Projects!$D$31),Projects!$B$31*INDEX(Curves!$B$4:$AR$4,1,9-Projects!$C$31+1),0)+IF(AND(Projects!$G$32="Yes",Projects!$M$32="Yes",9&gt;=Projects!$C$32,9&lt;Projects!$C$32+Projects!$D$32),Projects!$B$32*INDEX(Curves!$B$4:$AR$4,1,9-Projects!$C$32+1),0)+IF(AND(Projects!$G$33="Yes",Projects!$M$33="Yes",9&gt;=Projects!$C$33,9&lt;Projects!$C$33+Projects!$D$33),Projects!$B$33*INDEX(Curves!$B$4:$AR$4,1,9-Projects!$C$33+1),0)+IF(AND(Projects!$G$34="Yes",Projects!$M$34="Yes",9&gt;=Projects!$C$34,9&lt;Projects!$C$34+Projects!$D$34),Projects!$B$34*INDEX(Curves!$B$4:$AR$4,1,9-Projects!$C$34+1),0)+IF(AND(Projects!$G$35="Yes",Projects!$M$35="Yes",9&gt;=Projects!$C$35,9&lt;Projects!$C$35+Projects!$D$35),Projects!$B$35*INDEX(Curves!$B$4:$AR$4,1,9-Projects!$C$35+1),0)+IF(AND(Projects!$G$36="Yes",Projects!$M$36="Yes",9&gt;=Projects!$C$36,9&lt;Projects!$C$36+Projects!$D$36),Projects!$B$36*INDEX(Curves!$B$4:$AR$4,1,9-Projects!$C$36+1),0)+IF(AND(Projects!$G$37="Yes",Projects!$M$37="Yes",9&gt;=Projects!$C$37,9&lt;Projects!$C$37+Projects!$D$37),Projects!$B$37*INDEX(Curves!$B$4:$AR$4,1,9-Projects!$C$37+1),0)+IF(AND(Projects!$G$38="Yes",Projects!$M$38="Yes",9&gt;=Projects!$C$38,9&lt;Projects!$C$38+Projects!$D$38),Projects!$B$38*INDEX(Curves!$B$4:$AR$4,1,9-Projects!$C$38+1),0)+IF(AND(Projects!$G$39="Yes",Projects!$M$39="Yes",9&gt;=Projects!$C$39,9&lt;Projects!$C$39+Projects!$D$39),Projects!$B$39*INDEX(Curves!$B$4:$AR$4,1,9-Projects!$C$39+1),0)+IF(AND(Projects!$G$40="Yes",Projects!$M$40="Yes",9&gt;=Projects!$C$40,9&lt;Projects!$C$40+Projects!$D$40),Projects!$B$40*INDEX(Curves!$B$4:$AR$4,1,9-Projects!$C$40+1),0)+IF(AND(Projects!$G$41="Yes",Projects!$M$41="Yes",9&gt;=Projects!$C$41,9&lt;Projects!$C$41+Projects!$D$41),Projects!$B$41*INDEX(Curves!$B$4:$AR$4,1,9-Projects!$C$41+1),0)+IF(AND(Projects!$G$42="Yes",Projects!$M$42="Yes",9&gt;=Projects!$C$42,9&lt;Projects!$C$42+Projects!$D$42),Projects!$B$42*INDEX(Curves!$B$4:$AR$4,1,9-Projects!$C$42+1),0)+IF(AND(Projects!$G$43="Yes",Projects!$M$43="Yes",9&gt;=Projects!$C$43,9&lt;Projects!$C$43+Projects!$D$43),Projects!$B$43*INDEX(Curves!$B$4:$AR$4,1,9-Projects!$C$43+1),0)+IF(AND(Projects!$G$44="Yes",Projects!$M$44="Yes",9&gt;=Projects!$C$44,9&lt;Projects!$C$44+Projects!$D$44),Projects!$B$44*INDEX(Curves!$B$4:$AR$4,1,9-Projects!$C$44+1),0)+IF(AND(Projects!$G$45="Yes",Projects!$M$45="Yes",9&gt;=Projects!$C$45,9&lt;Projects!$C$45+Projects!$D$45),Projects!$B$45*INDEX(Curves!$B$4:$AR$4,1,9-Projects!$C$45+1),0)+IF(AND(Projects!$G$46="Yes",Projects!$M$46="Yes",9&gt;=Projects!$C$46,9&lt;Projects!$C$46+Projects!$D$46),Projects!$B$46*INDEX(Curves!$B$4:$AR$4,1,9-Projects!$C$46+1),0)</f>
        <v/>
      </c>
      <c r="O101" s="691">
        <f>IF(AND(Projects!$G$17="Yes",Projects!$M$17="Yes",10&gt;=Projects!$C$17,10&lt;Projects!$C$17+Projects!$D$17),Projects!$B$17*INDEX(Curves!$B$4:$AR$4,1,10-Projects!$C$17+1),0)+IF(AND(Projects!$G$18="Yes",Projects!$M$18="Yes",10&gt;=Projects!$C$18,10&lt;Projects!$C$18+Projects!$D$18),Projects!$B$18*INDEX(Curves!$B$4:$AR$4,1,10-Projects!$C$18+1),0)+IF(AND(Projects!$G$19="Yes",Projects!$M$19="Yes",10&gt;=Projects!$C$19,10&lt;Projects!$C$19+Projects!$D$19),Projects!$B$19*INDEX(Curves!$B$4:$AR$4,1,10-Projects!$C$19+1),0)+IF(AND(Projects!$G$20="Yes",Projects!$M$20="Yes",10&gt;=Projects!$C$20,10&lt;Projects!$C$20+Projects!$D$20),Projects!$B$20*INDEX(Curves!$B$4:$AR$4,1,10-Projects!$C$20+1),0)+IF(AND(Projects!$G$21="Yes",Projects!$M$21="Yes",10&gt;=Projects!$C$21,10&lt;Projects!$C$21+Projects!$D$21),Projects!$B$21*INDEX(Curves!$B$4:$AR$4,1,10-Projects!$C$21+1),0)+IF(AND(Projects!$G$22="Yes",Projects!$M$22="Yes",10&gt;=Projects!$C$22,10&lt;Projects!$C$22+Projects!$D$22),Projects!$B$22*INDEX(Curves!$B$4:$AR$4,1,10-Projects!$C$22+1),0)+IF(AND(Projects!$G$23="Yes",Projects!$M$23="Yes",10&gt;=Projects!$C$23,10&lt;Projects!$C$23+Projects!$D$23),Projects!$B$23*INDEX(Curves!$B$4:$AR$4,1,10-Projects!$C$23+1),0)+IF(AND(Projects!$G$24="Yes",Projects!$M$24="Yes",10&gt;=Projects!$C$24,10&lt;Projects!$C$24+Projects!$D$24),Projects!$B$24*INDEX(Curves!$B$4:$AR$4,1,10-Projects!$C$24+1),0)+IF(AND(Projects!$G$25="Yes",Projects!$M$25="Yes",10&gt;=Projects!$C$25,10&lt;Projects!$C$25+Projects!$D$25),Projects!$B$25*INDEX(Curves!$B$4:$AR$4,1,10-Projects!$C$25+1),0)+IF(AND(Projects!$G$26="Yes",Projects!$M$26="Yes",10&gt;=Projects!$C$26,10&lt;Projects!$C$26+Projects!$D$26),Projects!$B$26*INDEX(Curves!$B$4:$AR$4,1,10-Projects!$C$26+1),0)+IF(AND(Projects!$G$27="Yes",Projects!$M$27="Yes",10&gt;=Projects!$C$27,10&lt;Projects!$C$27+Projects!$D$27),Projects!$B$27*INDEX(Curves!$B$4:$AR$4,1,10-Projects!$C$27+1),0)+IF(AND(Projects!$G$28="Yes",Projects!$M$28="Yes",10&gt;=Projects!$C$28,10&lt;Projects!$C$28+Projects!$D$28),Projects!$B$28*INDEX(Curves!$B$4:$AR$4,1,10-Projects!$C$28+1),0)+IF(AND(Projects!$G$29="Yes",Projects!$M$29="Yes",10&gt;=Projects!$C$29,10&lt;Projects!$C$29+Projects!$D$29),Projects!$B$29*INDEX(Curves!$B$4:$AR$4,1,10-Projects!$C$29+1),0)+IF(AND(Projects!$G$30="Yes",Projects!$M$30="Yes",10&gt;=Projects!$C$30,10&lt;Projects!$C$30+Projects!$D$30),Projects!$B$30*INDEX(Curves!$B$4:$AR$4,1,10-Projects!$C$30+1),0)+IF(AND(Projects!$G$31="Yes",Projects!$M$31="Yes",10&gt;=Projects!$C$31,10&lt;Projects!$C$31+Projects!$D$31),Projects!$B$31*INDEX(Curves!$B$4:$AR$4,1,10-Projects!$C$31+1),0)+IF(AND(Projects!$G$32="Yes",Projects!$M$32="Yes",10&gt;=Projects!$C$32,10&lt;Projects!$C$32+Projects!$D$32),Projects!$B$32*INDEX(Curves!$B$4:$AR$4,1,10-Projects!$C$32+1),0)+IF(AND(Projects!$G$33="Yes",Projects!$M$33="Yes",10&gt;=Projects!$C$33,10&lt;Projects!$C$33+Projects!$D$33),Projects!$B$33*INDEX(Curves!$B$4:$AR$4,1,10-Projects!$C$33+1),0)+IF(AND(Projects!$G$34="Yes",Projects!$M$34="Yes",10&gt;=Projects!$C$34,10&lt;Projects!$C$34+Projects!$D$34),Projects!$B$34*INDEX(Curves!$B$4:$AR$4,1,10-Projects!$C$34+1),0)+IF(AND(Projects!$G$35="Yes",Projects!$M$35="Yes",10&gt;=Projects!$C$35,10&lt;Projects!$C$35+Projects!$D$35),Projects!$B$35*INDEX(Curves!$B$4:$AR$4,1,10-Projects!$C$35+1),0)+IF(AND(Projects!$G$36="Yes",Projects!$M$36="Yes",10&gt;=Projects!$C$36,10&lt;Projects!$C$36+Projects!$D$36),Projects!$B$36*INDEX(Curves!$B$4:$AR$4,1,10-Projects!$C$36+1),0)+IF(AND(Projects!$G$37="Yes",Projects!$M$37="Yes",10&gt;=Projects!$C$37,10&lt;Projects!$C$37+Projects!$D$37),Projects!$B$37*INDEX(Curves!$B$4:$AR$4,1,10-Projects!$C$37+1),0)+IF(AND(Projects!$G$38="Yes",Projects!$M$38="Yes",10&gt;=Projects!$C$38,10&lt;Projects!$C$38+Projects!$D$38),Projects!$B$38*INDEX(Curves!$B$4:$AR$4,1,10-Projects!$C$38+1),0)+IF(AND(Projects!$G$39="Yes",Projects!$M$39="Yes",10&gt;=Projects!$C$39,10&lt;Projects!$C$39+Projects!$D$39),Projects!$B$39*INDEX(Curves!$B$4:$AR$4,1,10-Projects!$C$39+1),0)+IF(AND(Projects!$G$40="Yes",Projects!$M$40="Yes",10&gt;=Projects!$C$40,10&lt;Projects!$C$40+Projects!$D$40),Projects!$B$40*INDEX(Curves!$B$4:$AR$4,1,10-Projects!$C$40+1),0)+IF(AND(Projects!$G$41="Yes",Projects!$M$41="Yes",10&gt;=Projects!$C$41,10&lt;Projects!$C$41+Projects!$D$41),Projects!$B$41*INDEX(Curves!$B$4:$AR$4,1,10-Projects!$C$41+1),0)+IF(AND(Projects!$G$42="Yes",Projects!$M$42="Yes",10&gt;=Projects!$C$42,10&lt;Projects!$C$42+Projects!$D$42),Projects!$B$42*INDEX(Curves!$B$4:$AR$4,1,10-Projects!$C$42+1),0)+IF(AND(Projects!$G$43="Yes",Projects!$M$43="Yes",10&gt;=Projects!$C$43,10&lt;Projects!$C$43+Projects!$D$43),Projects!$B$43*INDEX(Curves!$B$4:$AR$4,1,10-Projects!$C$43+1),0)+IF(AND(Projects!$G$44="Yes",Projects!$M$44="Yes",10&gt;=Projects!$C$44,10&lt;Projects!$C$44+Projects!$D$44),Projects!$B$44*INDEX(Curves!$B$4:$AR$4,1,10-Projects!$C$44+1),0)+IF(AND(Projects!$G$45="Yes",Projects!$M$45="Yes",10&gt;=Projects!$C$45,10&lt;Projects!$C$45+Projects!$D$45),Projects!$B$45*INDEX(Curves!$B$4:$AR$4,1,10-Projects!$C$45+1),0)+IF(AND(Projects!$G$46="Yes",Projects!$M$46="Yes",10&gt;=Projects!$C$46,10&lt;Projects!$C$46+Projects!$D$46),Projects!$B$46*INDEX(Curves!$B$4:$AR$4,1,10-Projects!$C$46+1),0)</f>
        <v/>
      </c>
      <c r="P101" s="691">
        <f>IF(AND(Projects!$G$17="Yes",Projects!$M$17="Yes",11&gt;=Projects!$C$17,11&lt;Projects!$C$17+Projects!$D$17),Projects!$B$17*INDEX(Curves!$B$4:$AR$4,1,11-Projects!$C$17+1),0)+IF(AND(Projects!$G$18="Yes",Projects!$M$18="Yes",11&gt;=Projects!$C$18,11&lt;Projects!$C$18+Projects!$D$18),Projects!$B$18*INDEX(Curves!$B$4:$AR$4,1,11-Projects!$C$18+1),0)+IF(AND(Projects!$G$19="Yes",Projects!$M$19="Yes",11&gt;=Projects!$C$19,11&lt;Projects!$C$19+Projects!$D$19),Projects!$B$19*INDEX(Curves!$B$4:$AR$4,1,11-Projects!$C$19+1),0)+IF(AND(Projects!$G$20="Yes",Projects!$M$20="Yes",11&gt;=Projects!$C$20,11&lt;Projects!$C$20+Projects!$D$20),Projects!$B$20*INDEX(Curves!$B$4:$AR$4,1,11-Projects!$C$20+1),0)+IF(AND(Projects!$G$21="Yes",Projects!$M$21="Yes",11&gt;=Projects!$C$21,11&lt;Projects!$C$21+Projects!$D$21),Projects!$B$21*INDEX(Curves!$B$4:$AR$4,1,11-Projects!$C$21+1),0)+IF(AND(Projects!$G$22="Yes",Projects!$M$22="Yes",11&gt;=Projects!$C$22,11&lt;Projects!$C$22+Projects!$D$22),Projects!$B$22*INDEX(Curves!$B$4:$AR$4,1,11-Projects!$C$22+1),0)+IF(AND(Projects!$G$23="Yes",Projects!$M$23="Yes",11&gt;=Projects!$C$23,11&lt;Projects!$C$23+Projects!$D$23),Projects!$B$23*INDEX(Curves!$B$4:$AR$4,1,11-Projects!$C$23+1),0)+IF(AND(Projects!$G$24="Yes",Projects!$M$24="Yes",11&gt;=Projects!$C$24,11&lt;Projects!$C$24+Projects!$D$24),Projects!$B$24*INDEX(Curves!$B$4:$AR$4,1,11-Projects!$C$24+1),0)+IF(AND(Projects!$G$25="Yes",Projects!$M$25="Yes",11&gt;=Projects!$C$25,11&lt;Projects!$C$25+Projects!$D$25),Projects!$B$25*INDEX(Curves!$B$4:$AR$4,1,11-Projects!$C$25+1),0)+IF(AND(Projects!$G$26="Yes",Projects!$M$26="Yes",11&gt;=Projects!$C$26,11&lt;Projects!$C$26+Projects!$D$26),Projects!$B$26*INDEX(Curves!$B$4:$AR$4,1,11-Projects!$C$26+1),0)+IF(AND(Projects!$G$27="Yes",Projects!$M$27="Yes",11&gt;=Projects!$C$27,11&lt;Projects!$C$27+Projects!$D$27),Projects!$B$27*INDEX(Curves!$B$4:$AR$4,1,11-Projects!$C$27+1),0)+IF(AND(Projects!$G$28="Yes",Projects!$M$28="Yes",11&gt;=Projects!$C$28,11&lt;Projects!$C$28+Projects!$D$28),Projects!$B$28*INDEX(Curves!$B$4:$AR$4,1,11-Projects!$C$28+1),0)+IF(AND(Projects!$G$29="Yes",Projects!$M$29="Yes",11&gt;=Projects!$C$29,11&lt;Projects!$C$29+Projects!$D$29),Projects!$B$29*INDEX(Curves!$B$4:$AR$4,1,11-Projects!$C$29+1),0)+IF(AND(Projects!$G$30="Yes",Projects!$M$30="Yes",11&gt;=Projects!$C$30,11&lt;Projects!$C$30+Projects!$D$30),Projects!$B$30*INDEX(Curves!$B$4:$AR$4,1,11-Projects!$C$30+1),0)+IF(AND(Projects!$G$31="Yes",Projects!$M$31="Yes",11&gt;=Projects!$C$31,11&lt;Projects!$C$31+Projects!$D$31),Projects!$B$31*INDEX(Curves!$B$4:$AR$4,1,11-Projects!$C$31+1),0)+IF(AND(Projects!$G$32="Yes",Projects!$M$32="Yes",11&gt;=Projects!$C$32,11&lt;Projects!$C$32+Projects!$D$32),Projects!$B$32*INDEX(Curves!$B$4:$AR$4,1,11-Projects!$C$32+1),0)+IF(AND(Projects!$G$33="Yes",Projects!$M$33="Yes",11&gt;=Projects!$C$33,11&lt;Projects!$C$33+Projects!$D$33),Projects!$B$33*INDEX(Curves!$B$4:$AR$4,1,11-Projects!$C$33+1),0)+IF(AND(Projects!$G$34="Yes",Projects!$M$34="Yes",11&gt;=Projects!$C$34,11&lt;Projects!$C$34+Projects!$D$34),Projects!$B$34*INDEX(Curves!$B$4:$AR$4,1,11-Projects!$C$34+1),0)+IF(AND(Projects!$G$35="Yes",Projects!$M$35="Yes",11&gt;=Projects!$C$35,11&lt;Projects!$C$35+Projects!$D$35),Projects!$B$35*INDEX(Curves!$B$4:$AR$4,1,11-Projects!$C$35+1),0)+IF(AND(Projects!$G$36="Yes",Projects!$M$36="Yes",11&gt;=Projects!$C$36,11&lt;Projects!$C$36+Projects!$D$36),Projects!$B$36*INDEX(Curves!$B$4:$AR$4,1,11-Projects!$C$36+1),0)+IF(AND(Projects!$G$37="Yes",Projects!$M$37="Yes",11&gt;=Projects!$C$37,11&lt;Projects!$C$37+Projects!$D$37),Projects!$B$37*INDEX(Curves!$B$4:$AR$4,1,11-Projects!$C$37+1),0)+IF(AND(Projects!$G$38="Yes",Projects!$M$38="Yes",11&gt;=Projects!$C$38,11&lt;Projects!$C$38+Projects!$D$38),Projects!$B$38*INDEX(Curves!$B$4:$AR$4,1,11-Projects!$C$38+1),0)+IF(AND(Projects!$G$39="Yes",Projects!$M$39="Yes",11&gt;=Projects!$C$39,11&lt;Projects!$C$39+Projects!$D$39),Projects!$B$39*INDEX(Curves!$B$4:$AR$4,1,11-Projects!$C$39+1),0)+IF(AND(Projects!$G$40="Yes",Projects!$M$40="Yes",11&gt;=Projects!$C$40,11&lt;Projects!$C$40+Projects!$D$40),Projects!$B$40*INDEX(Curves!$B$4:$AR$4,1,11-Projects!$C$40+1),0)+IF(AND(Projects!$G$41="Yes",Projects!$M$41="Yes",11&gt;=Projects!$C$41,11&lt;Projects!$C$41+Projects!$D$41),Projects!$B$41*INDEX(Curves!$B$4:$AR$4,1,11-Projects!$C$41+1),0)+IF(AND(Projects!$G$42="Yes",Projects!$M$42="Yes",11&gt;=Projects!$C$42,11&lt;Projects!$C$42+Projects!$D$42),Projects!$B$42*INDEX(Curves!$B$4:$AR$4,1,11-Projects!$C$42+1),0)+IF(AND(Projects!$G$43="Yes",Projects!$M$43="Yes",11&gt;=Projects!$C$43,11&lt;Projects!$C$43+Projects!$D$43),Projects!$B$43*INDEX(Curves!$B$4:$AR$4,1,11-Projects!$C$43+1),0)+IF(AND(Projects!$G$44="Yes",Projects!$M$44="Yes",11&gt;=Projects!$C$44,11&lt;Projects!$C$44+Projects!$D$44),Projects!$B$44*INDEX(Curves!$B$4:$AR$4,1,11-Projects!$C$44+1),0)+IF(AND(Projects!$G$45="Yes",Projects!$M$45="Yes",11&gt;=Projects!$C$45,11&lt;Projects!$C$45+Projects!$D$45),Projects!$B$45*INDEX(Curves!$B$4:$AR$4,1,11-Projects!$C$45+1),0)+IF(AND(Projects!$G$46="Yes",Projects!$M$46="Yes",11&gt;=Projects!$C$46,11&lt;Projects!$C$46+Projects!$D$46),Projects!$B$46*INDEX(Curves!$B$4:$AR$4,1,11-Projects!$C$46+1),0)</f>
        <v/>
      </c>
      <c r="Q101" s="691">
        <f>IF(AND(Projects!$G$17="Yes",Projects!$M$17="Yes",12&gt;=Projects!$C$17,12&lt;Projects!$C$17+Projects!$D$17),Projects!$B$17*INDEX(Curves!$B$4:$AR$4,1,12-Projects!$C$17+1),0)+IF(AND(Projects!$G$18="Yes",Projects!$M$18="Yes",12&gt;=Projects!$C$18,12&lt;Projects!$C$18+Projects!$D$18),Projects!$B$18*INDEX(Curves!$B$4:$AR$4,1,12-Projects!$C$18+1),0)+IF(AND(Projects!$G$19="Yes",Projects!$M$19="Yes",12&gt;=Projects!$C$19,12&lt;Projects!$C$19+Projects!$D$19),Projects!$B$19*INDEX(Curves!$B$4:$AR$4,1,12-Projects!$C$19+1),0)+IF(AND(Projects!$G$20="Yes",Projects!$M$20="Yes",12&gt;=Projects!$C$20,12&lt;Projects!$C$20+Projects!$D$20),Projects!$B$20*INDEX(Curves!$B$4:$AR$4,1,12-Projects!$C$20+1),0)+IF(AND(Projects!$G$21="Yes",Projects!$M$21="Yes",12&gt;=Projects!$C$21,12&lt;Projects!$C$21+Projects!$D$21),Projects!$B$21*INDEX(Curves!$B$4:$AR$4,1,12-Projects!$C$21+1),0)+IF(AND(Projects!$G$22="Yes",Projects!$M$22="Yes",12&gt;=Projects!$C$22,12&lt;Projects!$C$22+Projects!$D$22),Projects!$B$22*INDEX(Curves!$B$4:$AR$4,1,12-Projects!$C$22+1),0)+IF(AND(Projects!$G$23="Yes",Projects!$M$23="Yes",12&gt;=Projects!$C$23,12&lt;Projects!$C$23+Projects!$D$23),Projects!$B$23*INDEX(Curves!$B$4:$AR$4,1,12-Projects!$C$23+1),0)+IF(AND(Projects!$G$24="Yes",Projects!$M$24="Yes",12&gt;=Projects!$C$24,12&lt;Projects!$C$24+Projects!$D$24),Projects!$B$24*INDEX(Curves!$B$4:$AR$4,1,12-Projects!$C$24+1),0)+IF(AND(Projects!$G$25="Yes",Projects!$M$25="Yes",12&gt;=Projects!$C$25,12&lt;Projects!$C$25+Projects!$D$25),Projects!$B$25*INDEX(Curves!$B$4:$AR$4,1,12-Projects!$C$25+1),0)+IF(AND(Projects!$G$26="Yes",Projects!$M$26="Yes",12&gt;=Projects!$C$26,12&lt;Projects!$C$26+Projects!$D$26),Projects!$B$26*INDEX(Curves!$B$4:$AR$4,1,12-Projects!$C$26+1),0)+IF(AND(Projects!$G$27="Yes",Projects!$M$27="Yes",12&gt;=Projects!$C$27,12&lt;Projects!$C$27+Projects!$D$27),Projects!$B$27*INDEX(Curves!$B$4:$AR$4,1,12-Projects!$C$27+1),0)+IF(AND(Projects!$G$28="Yes",Projects!$M$28="Yes",12&gt;=Projects!$C$28,12&lt;Projects!$C$28+Projects!$D$28),Projects!$B$28*INDEX(Curves!$B$4:$AR$4,1,12-Projects!$C$28+1),0)+IF(AND(Projects!$G$29="Yes",Projects!$M$29="Yes",12&gt;=Projects!$C$29,12&lt;Projects!$C$29+Projects!$D$29),Projects!$B$29*INDEX(Curves!$B$4:$AR$4,1,12-Projects!$C$29+1),0)+IF(AND(Projects!$G$30="Yes",Projects!$M$30="Yes",12&gt;=Projects!$C$30,12&lt;Projects!$C$30+Projects!$D$30),Projects!$B$30*INDEX(Curves!$B$4:$AR$4,1,12-Projects!$C$30+1),0)+IF(AND(Projects!$G$31="Yes",Projects!$M$31="Yes",12&gt;=Projects!$C$31,12&lt;Projects!$C$31+Projects!$D$31),Projects!$B$31*INDEX(Curves!$B$4:$AR$4,1,12-Projects!$C$31+1),0)+IF(AND(Projects!$G$32="Yes",Projects!$M$32="Yes",12&gt;=Projects!$C$32,12&lt;Projects!$C$32+Projects!$D$32),Projects!$B$32*INDEX(Curves!$B$4:$AR$4,1,12-Projects!$C$32+1),0)+IF(AND(Projects!$G$33="Yes",Projects!$M$33="Yes",12&gt;=Projects!$C$33,12&lt;Projects!$C$33+Projects!$D$33),Projects!$B$33*INDEX(Curves!$B$4:$AR$4,1,12-Projects!$C$33+1),0)+IF(AND(Projects!$G$34="Yes",Projects!$M$34="Yes",12&gt;=Projects!$C$34,12&lt;Projects!$C$34+Projects!$D$34),Projects!$B$34*INDEX(Curves!$B$4:$AR$4,1,12-Projects!$C$34+1),0)+IF(AND(Projects!$G$35="Yes",Projects!$M$35="Yes",12&gt;=Projects!$C$35,12&lt;Projects!$C$35+Projects!$D$35),Projects!$B$35*INDEX(Curves!$B$4:$AR$4,1,12-Projects!$C$35+1),0)+IF(AND(Projects!$G$36="Yes",Projects!$M$36="Yes",12&gt;=Projects!$C$36,12&lt;Projects!$C$36+Projects!$D$36),Projects!$B$36*INDEX(Curves!$B$4:$AR$4,1,12-Projects!$C$36+1),0)+IF(AND(Projects!$G$37="Yes",Projects!$M$37="Yes",12&gt;=Projects!$C$37,12&lt;Projects!$C$37+Projects!$D$37),Projects!$B$37*INDEX(Curves!$B$4:$AR$4,1,12-Projects!$C$37+1),0)+IF(AND(Projects!$G$38="Yes",Projects!$M$38="Yes",12&gt;=Projects!$C$38,12&lt;Projects!$C$38+Projects!$D$38),Projects!$B$38*INDEX(Curves!$B$4:$AR$4,1,12-Projects!$C$38+1),0)+IF(AND(Projects!$G$39="Yes",Projects!$M$39="Yes",12&gt;=Projects!$C$39,12&lt;Projects!$C$39+Projects!$D$39),Projects!$B$39*INDEX(Curves!$B$4:$AR$4,1,12-Projects!$C$39+1),0)+IF(AND(Projects!$G$40="Yes",Projects!$M$40="Yes",12&gt;=Projects!$C$40,12&lt;Projects!$C$40+Projects!$D$40),Projects!$B$40*INDEX(Curves!$B$4:$AR$4,1,12-Projects!$C$40+1),0)+IF(AND(Projects!$G$41="Yes",Projects!$M$41="Yes",12&gt;=Projects!$C$41,12&lt;Projects!$C$41+Projects!$D$41),Projects!$B$41*INDEX(Curves!$B$4:$AR$4,1,12-Projects!$C$41+1),0)+IF(AND(Projects!$G$42="Yes",Projects!$M$42="Yes",12&gt;=Projects!$C$42,12&lt;Projects!$C$42+Projects!$D$42),Projects!$B$42*INDEX(Curves!$B$4:$AR$4,1,12-Projects!$C$42+1),0)+IF(AND(Projects!$G$43="Yes",Projects!$M$43="Yes",12&gt;=Projects!$C$43,12&lt;Projects!$C$43+Projects!$D$43),Projects!$B$43*INDEX(Curves!$B$4:$AR$4,1,12-Projects!$C$43+1),0)+IF(AND(Projects!$G$44="Yes",Projects!$M$44="Yes",12&gt;=Projects!$C$44,12&lt;Projects!$C$44+Projects!$D$44),Projects!$B$44*INDEX(Curves!$B$4:$AR$4,1,12-Projects!$C$44+1),0)+IF(AND(Projects!$G$45="Yes",Projects!$M$45="Yes",12&gt;=Projects!$C$45,12&lt;Projects!$C$45+Projects!$D$45),Projects!$B$45*INDEX(Curves!$B$4:$AR$4,1,12-Projects!$C$45+1),0)+IF(AND(Projects!$G$46="Yes",Projects!$M$46="Yes",12&gt;=Projects!$C$46,12&lt;Projects!$C$46+Projects!$D$46),Projects!$B$46*INDEX(Curves!$B$4:$AR$4,1,12-Projects!$C$46+1),0)</f>
        <v/>
      </c>
      <c r="R101" s="691">
        <f>IF(AND(Projects!$G$17="Yes",Projects!$M$17="Yes",13&gt;=Projects!$C$17,13&lt;Projects!$C$17+Projects!$D$17),Projects!$B$17*INDEX(Curves!$B$4:$AR$4,1,13-Projects!$C$17+1),0)+IF(AND(Projects!$G$18="Yes",Projects!$M$18="Yes",13&gt;=Projects!$C$18,13&lt;Projects!$C$18+Projects!$D$18),Projects!$B$18*INDEX(Curves!$B$4:$AR$4,1,13-Projects!$C$18+1),0)+IF(AND(Projects!$G$19="Yes",Projects!$M$19="Yes",13&gt;=Projects!$C$19,13&lt;Projects!$C$19+Projects!$D$19),Projects!$B$19*INDEX(Curves!$B$4:$AR$4,1,13-Projects!$C$19+1),0)+IF(AND(Projects!$G$20="Yes",Projects!$M$20="Yes",13&gt;=Projects!$C$20,13&lt;Projects!$C$20+Projects!$D$20),Projects!$B$20*INDEX(Curves!$B$4:$AR$4,1,13-Projects!$C$20+1),0)+IF(AND(Projects!$G$21="Yes",Projects!$M$21="Yes",13&gt;=Projects!$C$21,13&lt;Projects!$C$21+Projects!$D$21),Projects!$B$21*INDEX(Curves!$B$4:$AR$4,1,13-Projects!$C$21+1),0)+IF(AND(Projects!$G$22="Yes",Projects!$M$22="Yes",13&gt;=Projects!$C$22,13&lt;Projects!$C$22+Projects!$D$22),Projects!$B$22*INDEX(Curves!$B$4:$AR$4,1,13-Projects!$C$22+1),0)+IF(AND(Projects!$G$23="Yes",Projects!$M$23="Yes",13&gt;=Projects!$C$23,13&lt;Projects!$C$23+Projects!$D$23),Projects!$B$23*INDEX(Curves!$B$4:$AR$4,1,13-Projects!$C$23+1),0)+IF(AND(Projects!$G$24="Yes",Projects!$M$24="Yes",13&gt;=Projects!$C$24,13&lt;Projects!$C$24+Projects!$D$24),Projects!$B$24*INDEX(Curves!$B$4:$AR$4,1,13-Projects!$C$24+1),0)+IF(AND(Projects!$G$25="Yes",Projects!$M$25="Yes",13&gt;=Projects!$C$25,13&lt;Projects!$C$25+Projects!$D$25),Projects!$B$25*INDEX(Curves!$B$4:$AR$4,1,13-Projects!$C$25+1),0)+IF(AND(Projects!$G$26="Yes",Projects!$M$26="Yes",13&gt;=Projects!$C$26,13&lt;Projects!$C$26+Projects!$D$26),Projects!$B$26*INDEX(Curves!$B$4:$AR$4,1,13-Projects!$C$26+1),0)+IF(AND(Projects!$G$27="Yes",Projects!$M$27="Yes",13&gt;=Projects!$C$27,13&lt;Projects!$C$27+Projects!$D$27),Projects!$B$27*INDEX(Curves!$B$4:$AR$4,1,13-Projects!$C$27+1),0)+IF(AND(Projects!$G$28="Yes",Projects!$M$28="Yes",13&gt;=Projects!$C$28,13&lt;Projects!$C$28+Projects!$D$28),Projects!$B$28*INDEX(Curves!$B$4:$AR$4,1,13-Projects!$C$28+1),0)+IF(AND(Projects!$G$29="Yes",Projects!$M$29="Yes",13&gt;=Projects!$C$29,13&lt;Projects!$C$29+Projects!$D$29),Projects!$B$29*INDEX(Curves!$B$4:$AR$4,1,13-Projects!$C$29+1),0)+IF(AND(Projects!$G$30="Yes",Projects!$M$30="Yes",13&gt;=Projects!$C$30,13&lt;Projects!$C$30+Projects!$D$30),Projects!$B$30*INDEX(Curves!$B$4:$AR$4,1,13-Projects!$C$30+1),0)+IF(AND(Projects!$G$31="Yes",Projects!$M$31="Yes",13&gt;=Projects!$C$31,13&lt;Projects!$C$31+Projects!$D$31),Projects!$B$31*INDEX(Curves!$B$4:$AR$4,1,13-Projects!$C$31+1),0)+IF(AND(Projects!$G$32="Yes",Projects!$M$32="Yes",13&gt;=Projects!$C$32,13&lt;Projects!$C$32+Projects!$D$32),Projects!$B$32*INDEX(Curves!$B$4:$AR$4,1,13-Projects!$C$32+1),0)+IF(AND(Projects!$G$33="Yes",Projects!$M$33="Yes",13&gt;=Projects!$C$33,13&lt;Projects!$C$33+Projects!$D$33),Projects!$B$33*INDEX(Curves!$B$4:$AR$4,1,13-Projects!$C$33+1),0)+IF(AND(Projects!$G$34="Yes",Projects!$M$34="Yes",13&gt;=Projects!$C$34,13&lt;Projects!$C$34+Projects!$D$34),Projects!$B$34*INDEX(Curves!$B$4:$AR$4,1,13-Projects!$C$34+1),0)+IF(AND(Projects!$G$35="Yes",Projects!$M$35="Yes",13&gt;=Projects!$C$35,13&lt;Projects!$C$35+Projects!$D$35),Projects!$B$35*INDEX(Curves!$B$4:$AR$4,1,13-Projects!$C$35+1),0)+IF(AND(Projects!$G$36="Yes",Projects!$M$36="Yes",13&gt;=Projects!$C$36,13&lt;Projects!$C$36+Projects!$D$36),Projects!$B$36*INDEX(Curves!$B$4:$AR$4,1,13-Projects!$C$36+1),0)+IF(AND(Projects!$G$37="Yes",Projects!$M$37="Yes",13&gt;=Projects!$C$37,13&lt;Projects!$C$37+Projects!$D$37),Projects!$B$37*INDEX(Curves!$B$4:$AR$4,1,13-Projects!$C$37+1),0)+IF(AND(Projects!$G$38="Yes",Projects!$M$38="Yes",13&gt;=Projects!$C$38,13&lt;Projects!$C$38+Projects!$D$38),Projects!$B$38*INDEX(Curves!$B$4:$AR$4,1,13-Projects!$C$38+1),0)+IF(AND(Projects!$G$39="Yes",Projects!$M$39="Yes",13&gt;=Projects!$C$39,13&lt;Projects!$C$39+Projects!$D$39),Projects!$B$39*INDEX(Curves!$B$4:$AR$4,1,13-Projects!$C$39+1),0)+IF(AND(Projects!$G$40="Yes",Projects!$M$40="Yes",13&gt;=Projects!$C$40,13&lt;Projects!$C$40+Projects!$D$40),Projects!$B$40*INDEX(Curves!$B$4:$AR$4,1,13-Projects!$C$40+1),0)+IF(AND(Projects!$G$41="Yes",Projects!$M$41="Yes",13&gt;=Projects!$C$41,13&lt;Projects!$C$41+Projects!$D$41),Projects!$B$41*INDEX(Curves!$B$4:$AR$4,1,13-Projects!$C$41+1),0)+IF(AND(Projects!$G$42="Yes",Projects!$M$42="Yes",13&gt;=Projects!$C$42,13&lt;Projects!$C$42+Projects!$D$42),Projects!$B$42*INDEX(Curves!$B$4:$AR$4,1,13-Projects!$C$42+1),0)+IF(AND(Projects!$G$43="Yes",Projects!$M$43="Yes",13&gt;=Projects!$C$43,13&lt;Projects!$C$43+Projects!$D$43),Projects!$B$43*INDEX(Curves!$B$4:$AR$4,1,13-Projects!$C$43+1),0)+IF(AND(Projects!$G$44="Yes",Projects!$M$44="Yes",13&gt;=Projects!$C$44,13&lt;Projects!$C$44+Projects!$D$44),Projects!$B$44*INDEX(Curves!$B$4:$AR$4,1,13-Projects!$C$44+1),0)+IF(AND(Projects!$G$45="Yes",Projects!$M$45="Yes",13&gt;=Projects!$C$45,13&lt;Projects!$C$45+Projects!$D$45),Projects!$B$45*INDEX(Curves!$B$4:$AR$4,1,13-Projects!$C$45+1),0)+IF(AND(Projects!$G$46="Yes",Projects!$M$46="Yes",13&gt;=Projects!$C$46,13&lt;Projects!$C$46+Projects!$D$46),Projects!$B$46*INDEX(Curves!$B$4:$AR$4,1,13-Projects!$C$46+1),0)</f>
        <v/>
      </c>
      <c r="S101" s="691">
        <f>IF(AND(Projects!$G$17="Yes",Projects!$M$17="Yes",14&gt;=Projects!$C$17,14&lt;Projects!$C$17+Projects!$D$17),Projects!$B$17*INDEX(Curves!$B$4:$AR$4,1,14-Projects!$C$17+1),0)+IF(AND(Projects!$G$18="Yes",Projects!$M$18="Yes",14&gt;=Projects!$C$18,14&lt;Projects!$C$18+Projects!$D$18),Projects!$B$18*INDEX(Curves!$B$4:$AR$4,1,14-Projects!$C$18+1),0)+IF(AND(Projects!$G$19="Yes",Projects!$M$19="Yes",14&gt;=Projects!$C$19,14&lt;Projects!$C$19+Projects!$D$19),Projects!$B$19*INDEX(Curves!$B$4:$AR$4,1,14-Projects!$C$19+1),0)+IF(AND(Projects!$G$20="Yes",Projects!$M$20="Yes",14&gt;=Projects!$C$20,14&lt;Projects!$C$20+Projects!$D$20),Projects!$B$20*INDEX(Curves!$B$4:$AR$4,1,14-Projects!$C$20+1),0)+IF(AND(Projects!$G$21="Yes",Projects!$M$21="Yes",14&gt;=Projects!$C$21,14&lt;Projects!$C$21+Projects!$D$21),Projects!$B$21*INDEX(Curves!$B$4:$AR$4,1,14-Projects!$C$21+1),0)+IF(AND(Projects!$G$22="Yes",Projects!$M$22="Yes",14&gt;=Projects!$C$22,14&lt;Projects!$C$22+Projects!$D$22),Projects!$B$22*INDEX(Curves!$B$4:$AR$4,1,14-Projects!$C$22+1),0)+IF(AND(Projects!$G$23="Yes",Projects!$M$23="Yes",14&gt;=Projects!$C$23,14&lt;Projects!$C$23+Projects!$D$23),Projects!$B$23*INDEX(Curves!$B$4:$AR$4,1,14-Projects!$C$23+1),0)+IF(AND(Projects!$G$24="Yes",Projects!$M$24="Yes",14&gt;=Projects!$C$24,14&lt;Projects!$C$24+Projects!$D$24),Projects!$B$24*INDEX(Curves!$B$4:$AR$4,1,14-Projects!$C$24+1),0)+IF(AND(Projects!$G$25="Yes",Projects!$M$25="Yes",14&gt;=Projects!$C$25,14&lt;Projects!$C$25+Projects!$D$25),Projects!$B$25*INDEX(Curves!$B$4:$AR$4,1,14-Projects!$C$25+1),0)+IF(AND(Projects!$G$26="Yes",Projects!$M$26="Yes",14&gt;=Projects!$C$26,14&lt;Projects!$C$26+Projects!$D$26),Projects!$B$26*INDEX(Curves!$B$4:$AR$4,1,14-Projects!$C$26+1),0)+IF(AND(Projects!$G$27="Yes",Projects!$M$27="Yes",14&gt;=Projects!$C$27,14&lt;Projects!$C$27+Projects!$D$27),Projects!$B$27*INDEX(Curves!$B$4:$AR$4,1,14-Projects!$C$27+1),0)+IF(AND(Projects!$G$28="Yes",Projects!$M$28="Yes",14&gt;=Projects!$C$28,14&lt;Projects!$C$28+Projects!$D$28),Projects!$B$28*INDEX(Curves!$B$4:$AR$4,1,14-Projects!$C$28+1),0)+IF(AND(Projects!$G$29="Yes",Projects!$M$29="Yes",14&gt;=Projects!$C$29,14&lt;Projects!$C$29+Projects!$D$29),Projects!$B$29*INDEX(Curves!$B$4:$AR$4,1,14-Projects!$C$29+1),0)+IF(AND(Projects!$G$30="Yes",Projects!$M$30="Yes",14&gt;=Projects!$C$30,14&lt;Projects!$C$30+Projects!$D$30),Projects!$B$30*INDEX(Curves!$B$4:$AR$4,1,14-Projects!$C$30+1),0)+IF(AND(Projects!$G$31="Yes",Projects!$M$31="Yes",14&gt;=Projects!$C$31,14&lt;Projects!$C$31+Projects!$D$31),Projects!$B$31*INDEX(Curves!$B$4:$AR$4,1,14-Projects!$C$31+1),0)+IF(AND(Projects!$G$32="Yes",Projects!$M$32="Yes",14&gt;=Projects!$C$32,14&lt;Projects!$C$32+Projects!$D$32),Projects!$B$32*INDEX(Curves!$B$4:$AR$4,1,14-Projects!$C$32+1),0)+IF(AND(Projects!$G$33="Yes",Projects!$M$33="Yes",14&gt;=Projects!$C$33,14&lt;Projects!$C$33+Projects!$D$33),Projects!$B$33*INDEX(Curves!$B$4:$AR$4,1,14-Projects!$C$33+1),0)+IF(AND(Projects!$G$34="Yes",Projects!$M$34="Yes",14&gt;=Projects!$C$34,14&lt;Projects!$C$34+Projects!$D$34),Projects!$B$34*INDEX(Curves!$B$4:$AR$4,1,14-Projects!$C$34+1),0)+IF(AND(Projects!$G$35="Yes",Projects!$M$35="Yes",14&gt;=Projects!$C$35,14&lt;Projects!$C$35+Projects!$D$35),Projects!$B$35*INDEX(Curves!$B$4:$AR$4,1,14-Projects!$C$35+1),0)+IF(AND(Projects!$G$36="Yes",Projects!$M$36="Yes",14&gt;=Projects!$C$36,14&lt;Projects!$C$36+Projects!$D$36),Projects!$B$36*INDEX(Curves!$B$4:$AR$4,1,14-Projects!$C$36+1),0)+IF(AND(Projects!$G$37="Yes",Projects!$M$37="Yes",14&gt;=Projects!$C$37,14&lt;Projects!$C$37+Projects!$D$37),Projects!$B$37*INDEX(Curves!$B$4:$AR$4,1,14-Projects!$C$37+1),0)+IF(AND(Projects!$G$38="Yes",Projects!$M$38="Yes",14&gt;=Projects!$C$38,14&lt;Projects!$C$38+Projects!$D$38),Projects!$B$38*INDEX(Curves!$B$4:$AR$4,1,14-Projects!$C$38+1),0)+IF(AND(Projects!$G$39="Yes",Projects!$M$39="Yes",14&gt;=Projects!$C$39,14&lt;Projects!$C$39+Projects!$D$39),Projects!$B$39*INDEX(Curves!$B$4:$AR$4,1,14-Projects!$C$39+1),0)+IF(AND(Projects!$G$40="Yes",Projects!$M$40="Yes",14&gt;=Projects!$C$40,14&lt;Projects!$C$40+Projects!$D$40),Projects!$B$40*INDEX(Curves!$B$4:$AR$4,1,14-Projects!$C$40+1),0)+IF(AND(Projects!$G$41="Yes",Projects!$M$41="Yes",14&gt;=Projects!$C$41,14&lt;Projects!$C$41+Projects!$D$41),Projects!$B$41*INDEX(Curves!$B$4:$AR$4,1,14-Projects!$C$41+1),0)+IF(AND(Projects!$G$42="Yes",Projects!$M$42="Yes",14&gt;=Projects!$C$42,14&lt;Projects!$C$42+Projects!$D$42),Projects!$B$42*INDEX(Curves!$B$4:$AR$4,1,14-Projects!$C$42+1),0)+IF(AND(Projects!$G$43="Yes",Projects!$M$43="Yes",14&gt;=Projects!$C$43,14&lt;Projects!$C$43+Projects!$D$43),Projects!$B$43*INDEX(Curves!$B$4:$AR$4,1,14-Projects!$C$43+1),0)+IF(AND(Projects!$G$44="Yes",Projects!$M$44="Yes",14&gt;=Projects!$C$44,14&lt;Projects!$C$44+Projects!$D$44),Projects!$B$44*INDEX(Curves!$B$4:$AR$4,1,14-Projects!$C$44+1),0)+IF(AND(Projects!$G$45="Yes",Projects!$M$45="Yes",14&gt;=Projects!$C$45,14&lt;Projects!$C$45+Projects!$D$45),Projects!$B$45*INDEX(Curves!$B$4:$AR$4,1,14-Projects!$C$45+1),0)+IF(AND(Projects!$G$46="Yes",Projects!$M$46="Yes",14&gt;=Projects!$C$46,14&lt;Projects!$C$46+Projects!$D$46),Projects!$B$46*INDEX(Curves!$B$4:$AR$4,1,14-Projects!$C$46+1),0)</f>
        <v/>
      </c>
      <c r="T101" s="691">
        <f>IF(AND(Projects!$G$17="Yes",Projects!$M$17="Yes",15&gt;=Projects!$C$17,15&lt;Projects!$C$17+Projects!$D$17),Projects!$B$17*INDEX(Curves!$B$4:$AR$4,1,15-Projects!$C$17+1),0)+IF(AND(Projects!$G$18="Yes",Projects!$M$18="Yes",15&gt;=Projects!$C$18,15&lt;Projects!$C$18+Projects!$D$18),Projects!$B$18*INDEX(Curves!$B$4:$AR$4,1,15-Projects!$C$18+1),0)+IF(AND(Projects!$G$19="Yes",Projects!$M$19="Yes",15&gt;=Projects!$C$19,15&lt;Projects!$C$19+Projects!$D$19),Projects!$B$19*INDEX(Curves!$B$4:$AR$4,1,15-Projects!$C$19+1),0)+IF(AND(Projects!$G$20="Yes",Projects!$M$20="Yes",15&gt;=Projects!$C$20,15&lt;Projects!$C$20+Projects!$D$20),Projects!$B$20*INDEX(Curves!$B$4:$AR$4,1,15-Projects!$C$20+1),0)+IF(AND(Projects!$G$21="Yes",Projects!$M$21="Yes",15&gt;=Projects!$C$21,15&lt;Projects!$C$21+Projects!$D$21),Projects!$B$21*INDEX(Curves!$B$4:$AR$4,1,15-Projects!$C$21+1),0)+IF(AND(Projects!$G$22="Yes",Projects!$M$22="Yes",15&gt;=Projects!$C$22,15&lt;Projects!$C$22+Projects!$D$22),Projects!$B$22*INDEX(Curves!$B$4:$AR$4,1,15-Projects!$C$22+1),0)+IF(AND(Projects!$G$23="Yes",Projects!$M$23="Yes",15&gt;=Projects!$C$23,15&lt;Projects!$C$23+Projects!$D$23),Projects!$B$23*INDEX(Curves!$B$4:$AR$4,1,15-Projects!$C$23+1),0)+IF(AND(Projects!$G$24="Yes",Projects!$M$24="Yes",15&gt;=Projects!$C$24,15&lt;Projects!$C$24+Projects!$D$24),Projects!$B$24*INDEX(Curves!$B$4:$AR$4,1,15-Projects!$C$24+1),0)+IF(AND(Projects!$G$25="Yes",Projects!$M$25="Yes",15&gt;=Projects!$C$25,15&lt;Projects!$C$25+Projects!$D$25),Projects!$B$25*INDEX(Curves!$B$4:$AR$4,1,15-Projects!$C$25+1),0)+IF(AND(Projects!$G$26="Yes",Projects!$M$26="Yes",15&gt;=Projects!$C$26,15&lt;Projects!$C$26+Projects!$D$26),Projects!$B$26*INDEX(Curves!$B$4:$AR$4,1,15-Projects!$C$26+1),0)+IF(AND(Projects!$G$27="Yes",Projects!$M$27="Yes",15&gt;=Projects!$C$27,15&lt;Projects!$C$27+Projects!$D$27),Projects!$B$27*INDEX(Curves!$B$4:$AR$4,1,15-Projects!$C$27+1),0)+IF(AND(Projects!$G$28="Yes",Projects!$M$28="Yes",15&gt;=Projects!$C$28,15&lt;Projects!$C$28+Projects!$D$28),Projects!$B$28*INDEX(Curves!$B$4:$AR$4,1,15-Projects!$C$28+1),0)+IF(AND(Projects!$G$29="Yes",Projects!$M$29="Yes",15&gt;=Projects!$C$29,15&lt;Projects!$C$29+Projects!$D$29),Projects!$B$29*INDEX(Curves!$B$4:$AR$4,1,15-Projects!$C$29+1),0)+IF(AND(Projects!$G$30="Yes",Projects!$M$30="Yes",15&gt;=Projects!$C$30,15&lt;Projects!$C$30+Projects!$D$30),Projects!$B$30*INDEX(Curves!$B$4:$AR$4,1,15-Projects!$C$30+1),0)+IF(AND(Projects!$G$31="Yes",Projects!$M$31="Yes",15&gt;=Projects!$C$31,15&lt;Projects!$C$31+Projects!$D$31),Projects!$B$31*INDEX(Curves!$B$4:$AR$4,1,15-Projects!$C$31+1),0)+IF(AND(Projects!$G$32="Yes",Projects!$M$32="Yes",15&gt;=Projects!$C$32,15&lt;Projects!$C$32+Projects!$D$32),Projects!$B$32*INDEX(Curves!$B$4:$AR$4,1,15-Projects!$C$32+1),0)+IF(AND(Projects!$G$33="Yes",Projects!$M$33="Yes",15&gt;=Projects!$C$33,15&lt;Projects!$C$33+Projects!$D$33),Projects!$B$33*INDEX(Curves!$B$4:$AR$4,1,15-Projects!$C$33+1),0)+IF(AND(Projects!$G$34="Yes",Projects!$M$34="Yes",15&gt;=Projects!$C$34,15&lt;Projects!$C$34+Projects!$D$34),Projects!$B$34*INDEX(Curves!$B$4:$AR$4,1,15-Projects!$C$34+1),0)+IF(AND(Projects!$G$35="Yes",Projects!$M$35="Yes",15&gt;=Projects!$C$35,15&lt;Projects!$C$35+Projects!$D$35),Projects!$B$35*INDEX(Curves!$B$4:$AR$4,1,15-Projects!$C$35+1),0)+IF(AND(Projects!$G$36="Yes",Projects!$M$36="Yes",15&gt;=Projects!$C$36,15&lt;Projects!$C$36+Projects!$D$36),Projects!$B$36*INDEX(Curves!$B$4:$AR$4,1,15-Projects!$C$36+1),0)+IF(AND(Projects!$G$37="Yes",Projects!$M$37="Yes",15&gt;=Projects!$C$37,15&lt;Projects!$C$37+Projects!$D$37),Projects!$B$37*INDEX(Curves!$B$4:$AR$4,1,15-Projects!$C$37+1),0)+IF(AND(Projects!$G$38="Yes",Projects!$M$38="Yes",15&gt;=Projects!$C$38,15&lt;Projects!$C$38+Projects!$D$38),Projects!$B$38*INDEX(Curves!$B$4:$AR$4,1,15-Projects!$C$38+1),0)+IF(AND(Projects!$G$39="Yes",Projects!$M$39="Yes",15&gt;=Projects!$C$39,15&lt;Projects!$C$39+Projects!$D$39),Projects!$B$39*INDEX(Curves!$B$4:$AR$4,1,15-Projects!$C$39+1),0)+IF(AND(Projects!$G$40="Yes",Projects!$M$40="Yes",15&gt;=Projects!$C$40,15&lt;Projects!$C$40+Projects!$D$40),Projects!$B$40*INDEX(Curves!$B$4:$AR$4,1,15-Projects!$C$40+1),0)+IF(AND(Projects!$G$41="Yes",Projects!$M$41="Yes",15&gt;=Projects!$C$41,15&lt;Projects!$C$41+Projects!$D$41),Projects!$B$41*INDEX(Curves!$B$4:$AR$4,1,15-Projects!$C$41+1),0)+IF(AND(Projects!$G$42="Yes",Projects!$M$42="Yes",15&gt;=Projects!$C$42,15&lt;Projects!$C$42+Projects!$D$42),Projects!$B$42*INDEX(Curves!$B$4:$AR$4,1,15-Projects!$C$42+1),0)+IF(AND(Projects!$G$43="Yes",Projects!$M$43="Yes",15&gt;=Projects!$C$43,15&lt;Projects!$C$43+Projects!$D$43),Projects!$B$43*INDEX(Curves!$B$4:$AR$4,1,15-Projects!$C$43+1),0)+IF(AND(Projects!$G$44="Yes",Projects!$M$44="Yes",15&gt;=Projects!$C$44,15&lt;Projects!$C$44+Projects!$D$44),Projects!$B$44*INDEX(Curves!$B$4:$AR$4,1,15-Projects!$C$44+1),0)+IF(AND(Projects!$G$45="Yes",Projects!$M$45="Yes",15&gt;=Projects!$C$45,15&lt;Projects!$C$45+Projects!$D$45),Projects!$B$45*INDEX(Curves!$B$4:$AR$4,1,15-Projects!$C$45+1),0)+IF(AND(Projects!$G$46="Yes",Projects!$M$46="Yes",15&gt;=Projects!$C$46,15&lt;Projects!$C$46+Projects!$D$46),Projects!$B$46*INDEX(Curves!$B$4:$AR$4,1,15-Projects!$C$46+1),0)</f>
        <v/>
      </c>
      <c r="U101" s="691">
        <f>IF(AND(Projects!$G$17="Yes",Projects!$M$17="Yes",16&gt;=Projects!$C$17,16&lt;Projects!$C$17+Projects!$D$17),Projects!$B$17*INDEX(Curves!$B$4:$AR$4,1,16-Projects!$C$17+1),0)+IF(AND(Projects!$G$18="Yes",Projects!$M$18="Yes",16&gt;=Projects!$C$18,16&lt;Projects!$C$18+Projects!$D$18),Projects!$B$18*INDEX(Curves!$B$4:$AR$4,1,16-Projects!$C$18+1),0)+IF(AND(Projects!$G$19="Yes",Projects!$M$19="Yes",16&gt;=Projects!$C$19,16&lt;Projects!$C$19+Projects!$D$19),Projects!$B$19*INDEX(Curves!$B$4:$AR$4,1,16-Projects!$C$19+1),0)+IF(AND(Projects!$G$20="Yes",Projects!$M$20="Yes",16&gt;=Projects!$C$20,16&lt;Projects!$C$20+Projects!$D$20),Projects!$B$20*INDEX(Curves!$B$4:$AR$4,1,16-Projects!$C$20+1),0)+IF(AND(Projects!$G$21="Yes",Projects!$M$21="Yes",16&gt;=Projects!$C$21,16&lt;Projects!$C$21+Projects!$D$21),Projects!$B$21*INDEX(Curves!$B$4:$AR$4,1,16-Projects!$C$21+1),0)+IF(AND(Projects!$G$22="Yes",Projects!$M$22="Yes",16&gt;=Projects!$C$22,16&lt;Projects!$C$22+Projects!$D$22),Projects!$B$22*INDEX(Curves!$B$4:$AR$4,1,16-Projects!$C$22+1),0)+IF(AND(Projects!$G$23="Yes",Projects!$M$23="Yes",16&gt;=Projects!$C$23,16&lt;Projects!$C$23+Projects!$D$23),Projects!$B$23*INDEX(Curves!$B$4:$AR$4,1,16-Projects!$C$23+1),0)+IF(AND(Projects!$G$24="Yes",Projects!$M$24="Yes",16&gt;=Projects!$C$24,16&lt;Projects!$C$24+Projects!$D$24),Projects!$B$24*INDEX(Curves!$B$4:$AR$4,1,16-Projects!$C$24+1),0)+IF(AND(Projects!$G$25="Yes",Projects!$M$25="Yes",16&gt;=Projects!$C$25,16&lt;Projects!$C$25+Projects!$D$25),Projects!$B$25*INDEX(Curves!$B$4:$AR$4,1,16-Projects!$C$25+1),0)+IF(AND(Projects!$G$26="Yes",Projects!$M$26="Yes",16&gt;=Projects!$C$26,16&lt;Projects!$C$26+Projects!$D$26),Projects!$B$26*INDEX(Curves!$B$4:$AR$4,1,16-Projects!$C$26+1),0)+IF(AND(Projects!$G$27="Yes",Projects!$M$27="Yes",16&gt;=Projects!$C$27,16&lt;Projects!$C$27+Projects!$D$27),Projects!$B$27*INDEX(Curves!$B$4:$AR$4,1,16-Projects!$C$27+1),0)+IF(AND(Projects!$G$28="Yes",Projects!$M$28="Yes",16&gt;=Projects!$C$28,16&lt;Projects!$C$28+Projects!$D$28),Projects!$B$28*INDEX(Curves!$B$4:$AR$4,1,16-Projects!$C$28+1),0)+IF(AND(Projects!$G$29="Yes",Projects!$M$29="Yes",16&gt;=Projects!$C$29,16&lt;Projects!$C$29+Projects!$D$29),Projects!$B$29*INDEX(Curves!$B$4:$AR$4,1,16-Projects!$C$29+1),0)+IF(AND(Projects!$G$30="Yes",Projects!$M$30="Yes",16&gt;=Projects!$C$30,16&lt;Projects!$C$30+Projects!$D$30),Projects!$B$30*INDEX(Curves!$B$4:$AR$4,1,16-Projects!$C$30+1),0)+IF(AND(Projects!$G$31="Yes",Projects!$M$31="Yes",16&gt;=Projects!$C$31,16&lt;Projects!$C$31+Projects!$D$31),Projects!$B$31*INDEX(Curves!$B$4:$AR$4,1,16-Projects!$C$31+1),0)+IF(AND(Projects!$G$32="Yes",Projects!$M$32="Yes",16&gt;=Projects!$C$32,16&lt;Projects!$C$32+Projects!$D$32),Projects!$B$32*INDEX(Curves!$B$4:$AR$4,1,16-Projects!$C$32+1),0)+IF(AND(Projects!$G$33="Yes",Projects!$M$33="Yes",16&gt;=Projects!$C$33,16&lt;Projects!$C$33+Projects!$D$33),Projects!$B$33*INDEX(Curves!$B$4:$AR$4,1,16-Projects!$C$33+1),0)+IF(AND(Projects!$G$34="Yes",Projects!$M$34="Yes",16&gt;=Projects!$C$34,16&lt;Projects!$C$34+Projects!$D$34),Projects!$B$34*INDEX(Curves!$B$4:$AR$4,1,16-Projects!$C$34+1),0)+IF(AND(Projects!$G$35="Yes",Projects!$M$35="Yes",16&gt;=Projects!$C$35,16&lt;Projects!$C$35+Projects!$D$35),Projects!$B$35*INDEX(Curves!$B$4:$AR$4,1,16-Projects!$C$35+1),0)+IF(AND(Projects!$G$36="Yes",Projects!$M$36="Yes",16&gt;=Projects!$C$36,16&lt;Projects!$C$36+Projects!$D$36),Projects!$B$36*INDEX(Curves!$B$4:$AR$4,1,16-Projects!$C$36+1),0)+IF(AND(Projects!$G$37="Yes",Projects!$M$37="Yes",16&gt;=Projects!$C$37,16&lt;Projects!$C$37+Projects!$D$37),Projects!$B$37*INDEX(Curves!$B$4:$AR$4,1,16-Projects!$C$37+1),0)+IF(AND(Projects!$G$38="Yes",Projects!$M$38="Yes",16&gt;=Projects!$C$38,16&lt;Projects!$C$38+Projects!$D$38),Projects!$B$38*INDEX(Curves!$B$4:$AR$4,1,16-Projects!$C$38+1),0)+IF(AND(Projects!$G$39="Yes",Projects!$M$39="Yes",16&gt;=Projects!$C$39,16&lt;Projects!$C$39+Projects!$D$39),Projects!$B$39*INDEX(Curves!$B$4:$AR$4,1,16-Projects!$C$39+1),0)+IF(AND(Projects!$G$40="Yes",Projects!$M$40="Yes",16&gt;=Projects!$C$40,16&lt;Projects!$C$40+Projects!$D$40),Projects!$B$40*INDEX(Curves!$B$4:$AR$4,1,16-Projects!$C$40+1),0)+IF(AND(Projects!$G$41="Yes",Projects!$M$41="Yes",16&gt;=Projects!$C$41,16&lt;Projects!$C$41+Projects!$D$41),Projects!$B$41*INDEX(Curves!$B$4:$AR$4,1,16-Projects!$C$41+1),0)+IF(AND(Projects!$G$42="Yes",Projects!$M$42="Yes",16&gt;=Projects!$C$42,16&lt;Projects!$C$42+Projects!$D$42),Projects!$B$42*INDEX(Curves!$B$4:$AR$4,1,16-Projects!$C$42+1),0)+IF(AND(Projects!$G$43="Yes",Projects!$M$43="Yes",16&gt;=Projects!$C$43,16&lt;Projects!$C$43+Projects!$D$43),Projects!$B$43*INDEX(Curves!$B$4:$AR$4,1,16-Projects!$C$43+1),0)+IF(AND(Projects!$G$44="Yes",Projects!$M$44="Yes",16&gt;=Projects!$C$44,16&lt;Projects!$C$44+Projects!$D$44),Projects!$B$44*INDEX(Curves!$B$4:$AR$4,1,16-Projects!$C$44+1),0)+IF(AND(Projects!$G$45="Yes",Projects!$M$45="Yes",16&gt;=Projects!$C$45,16&lt;Projects!$C$45+Projects!$D$45),Projects!$B$45*INDEX(Curves!$B$4:$AR$4,1,16-Projects!$C$45+1),0)+IF(AND(Projects!$G$46="Yes",Projects!$M$46="Yes",16&gt;=Projects!$C$46,16&lt;Projects!$C$46+Projects!$D$46),Projects!$B$46*INDEX(Curves!$B$4:$AR$4,1,16-Projects!$C$46+1),0)</f>
        <v/>
      </c>
      <c r="V101" s="691">
        <f>IF(AND(Projects!$G$17="Yes",Projects!$M$17="Yes",17&gt;=Projects!$C$17,17&lt;Projects!$C$17+Projects!$D$17),Projects!$B$17*INDEX(Curves!$B$4:$AR$4,1,17-Projects!$C$17+1),0)+IF(AND(Projects!$G$18="Yes",Projects!$M$18="Yes",17&gt;=Projects!$C$18,17&lt;Projects!$C$18+Projects!$D$18),Projects!$B$18*INDEX(Curves!$B$4:$AR$4,1,17-Projects!$C$18+1),0)+IF(AND(Projects!$G$19="Yes",Projects!$M$19="Yes",17&gt;=Projects!$C$19,17&lt;Projects!$C$19+Projects!$D$19),Projects!$B$19*INDEX(Curves!$B$4:$AR$4,1,17-Projects!$C$19+1),0)+IF(AND(Projects!$G$20="Yes",Projects!$M$20="Yes",17&gt;=Projects!$C$20,17&lt;Projects!$C$20+Projects!$D$20),Projects!$B$20*INDEX(Curves!$B$4:$AR$4,1,17-Projects!$C$20+1),0)+IF(AND(Projects!$G$21="Yes",Projects!$M$21="Yes",17&gt;=Projects!$C$21,17&lt;Projects!$C$21+Projects!$D$21),Projects!$B$21*INDEX(Curves!$B$4:$AR$4,1,17-Projects!$C$21+1),0)+IF(AND(Projects!$G$22="Yes",Projects!$M$22="Yes",17&gt;=Projects!$C$22,17&lt;Projects!$C$22+Projects!$D$22),Projects!$B$22*INDEX(Curves!$B$4:$AR$4,1,17-Projects!$C$22+1),0)+IF(AND(Projects!$G$23="Yes",Projects!$M$23="Yes",17&gt;=Projects!$C$23,17&lt;Projects!$C$23+Projects!$D$23),Projects!$B$23*INDEX(Curves!$B$4:$AR$4,1,17-Projects!$C$23+1),0)+IF(AND(Projects!$G$24="Yes",Projects!$M$24="Yes",17&gt;=Projects!$C$24,17&lt;Projects!$C$24+Projects!$D$24),Projects!$B$24*INDEX(Curves!$B$4:$AR$4,1,17-Projects!$C$24+1),0)+IF(AND(Projects!$G$25="Yes",Projects!$M$25="Yes",17&gt;=Projects!$C$25,17&lt;Projects!$C$25+Projects!$D$25),Projects!$B$25*INDEX(Curves!$B$4:$AR$4,1,17-Projects!$C$25+1),0)+IF(AND(Projects!$G$26="Yes",Projects!$M$26="Yes",17&gt;=Projects!$C$26,17&lt;Projects!$C$26+Projects!$D$26),Projects!$B$26*INDEX(Curves!$B$4:$AR$4,1,17-Projects!$C$26+1),0)+IF(AND(Projects!$G$27="Yes",Projects!$M$27="Yes",17&gt;=Projects!$C$27,17&lt;Projects!$C$27+Projects!$D$27),Projects!$B$27*INDEX(Curves!$B$4:$AR$4,1,17-Projects!$C$27+1),0)+IF(AND(Projects!$G$28="Yes",Projects!$M$28="Yes",17&gt;=Projects!$C$28,17&lt;Projects!$C$28+Projects!$D$28),Projects!$B$28*INDEX(Curves!$B$4:$AR$4,1,17-Projects!$C$28+1),0)+IF(AND(Projects!$G$29="Yes",Projects!$M$29="Yes",17&gt;=Projects!$C$29,17&lt;Projects!$C$29+Projects!$D$29),Projects!$B$29*INDEX(Curves!$B$4:$AR$4,1,17-Projects!$C$29+1),0)+IF(AND(Projects!$G$30="Yes",Projects!$M$30="Yes",17&gt;=Projects!$C$30,17&lt;Projects!$C$30+Projects!$D$30),Projects!$B$30*INDEX(Curves!$B$4:$AR$4,1,17-Projects!$C$30+1),0)+IF(AND(Projects!$G$31="Yes",Projects!$M$31="Yes",17&gt;=Projects!$C$31,17&lt;Projects!$C$31+Projects!$D$31),Projects!$B$31*INDEX(Curves!$B$4:$AR$4,1,17-Projects!$C$31+1),0)+IF(AND(Projects!$G$32="Yes",Projects!$M$32="Yes",17&gt;=Projects!$C$32,17&lt;Projects!$C$32+Projects!$D$32),Projects!$B$32*INDEX(Curves!$B$4:$AR$4,1,17-Projects!$C$32+1),0)+IF(AND(Projects!$G$33="Yes",Projects!$M$33="Yes",17&gt;=Projects!$C$33,17&lt;Projects!$C$33+Projects!$D$33),Projects!$B$33*INDEX(Curves!$B$4:$AR$4,1,17-Projects!$C$33+1),0)+IF(AND(Projects!$G$34="Yes",Projects!$M$34="Yes",17&gt;=Projects!$C$34,17&lt;Projects!$C$34+Projects!$D$34),Projects!$B$34*INDEX(Curves!$B$4:$AR$4,1,17-Projects!$C$34+1),0)+IF(AND(Projects!$G$35="Yes",Projects!$M$35="Yes",17&gt;=Projects!$C$35,17&lt;Projects!$C$35+Projects!$D$35),Projects!$B$35*INDEX(Curves!$B$4:$AR$4,1,17-Projects!$C$35+1),0)+IF(AND(Projects!$G$36="Yes",Projects!$M$36="Yes",17&gt;=Projects!$C$36,17&lt;Projects!$C$36+Projects!$D$36),Projects!$B$36*INDEX(Curves!$B$4:$AR$4,1,17-Projects!$C$36+1),0)+IF(AND(Projects!$G$37="Yes",Projects!$M$37="Yes",17&gt;=Projects!$C$37,17&lt;Projects!$C$37+Projects!$D$37),Projects!$B$37*INDEX(Curves!$B$4:$AR$4,1,17-Projects!$C$37+1),0)+IF(AND(Projects!$G$38="Yes",Projects!$M$38="Yes",17&gt;=Projects!$C$38,17&lt;Projects!$C$38+Projects!$D$38),Projects!$B$38*INDEX(Curves!$B$4:$AR$4,1,17-Projects!$C$38+1),0)+IF(AND(Projects!$G$39="Yes",Projects!$M$39="Yes",17&gt;=Projects!$C$39,17&lt;Projects!$C$39+Projects!$D$39),Projects!$B$39*INDEX(Curves!$B$4:$AR$4,1,17-Projects!$C$39+1),0)+IF(AND(Projects!$G$40="Yes",Projects!$M$40="Yes",17&gt;=Projects!$C$40,17&lt;Projects!$C$40+Projects!$D$40),Projects!$B$40*INDEX(Curves!$B$4:$AR$4,1,17-Projects!$C$40+1),0)+IF(AND(Projects!$G$41="Yes",Projects!$M$41="Yes",17&gt;=Projects!$C$41,17&lt;Projects!$C$41+Projects!$D$41),Projects!$B$41*INDEX(Curves!$B$4:$AR$4,1,17-Projects!$C$41+1),0)+IF(AND(Projects!$G$42="Yes",Projects!$M$42="Yes",17&gt;=Projects!$C$42,17&lt;Projects!$C$42+Projects!$D$42),Projects!$B$42*INDEX(Curves!$B$4:$AR$4,1,17-Projects!$C$42+1),0)+IF(AND(Projects!$G$43="Yes",Projects!$M$43="Yes",17&gt;=Projects!$C$43,17&lt;Projects!$C$43+Projects!$D$43),Projects!$B$43*INDEX(Curves!$B$4:$AR$4,1,17-Projects!$C$43+1),0)+IF(AND(Projects!$G$44="Yes",Projects!$M$44="Yes",17&gt;=Projects!$C$44,17&lt;Projects!$C$44+Projects!$D$44),Projects!$B$44*INDEX(Curves!$B$4:$AR$4,1,17-Projects!$C$44+1),0)+IF(AND(Projects!$G$45="Yes",Projects!$M$45="Yes",17&gt;=Projects!$C$45,17&lt;Projects!$C$45+Projects!$D$45),Projects!$B$45*INDEX(Curves!$B$4:$AR$4,1,17-Projects!$C$45+1),0)+IF(AND(Projects!$G$46="Yes",Projects!$M$46="Yes",17&gt;=Projects!$C$46,17&lt;Projects!$C$46+Projects!$D$46),Projects!$B$46*INDEX(Curves!$B$4:$AR$4,1,17-Projects!$C$46+1),0)</f>
        <v/>
      </c>
      <c r="W101" s="691">
        <f>IF(AND(Projects!$G$17="Yes",Projects!$M$17="Yes",18&gt;=Projects!$C$17,18&lt;Projects!$C$17+Projects!$D$17),Projects!$B$17*INDEX(Curves!$B$4:$AR$4,1,18-Projects!$C$17+1),0)+IF(AND(Projects!$G$18="Yes",Projects!$M$18="Yes",18&gt;=Projects!$C$18,18&lt;Projects!$C$18+Projects!$D$18),Projects!$B$18*INDEX(Curves!$B$4:$AR$4,1,18-Projects!$C$18+1),0)+IF(AND(Projects!$G$19="Yes",Projects!$M$19="Yes",18&gt;=Projects!$C$19,18&lt;Projects!$C$19+Projects!$D$19),Projects!$B$19*INDEX(Curves!$B$4:$AR$4,1,18-Projects!$C$19+1),0)+IF(AND(Projects!$G$20="Yes",Projects!$M$20="Yes",18&gt;=Projects!$C$20,18&lt;Projects!$C$20+Projects!$D$20),Projects!$B$20*INDEX(Curves!$B$4:$AR$4,1,18-Projects!$C$20+1),0)+IF(AND(Projects!$G$21="Yes",Projects!$M$21="Yes",18&gt;=Projects!$C$21,18&lt;Projects!$C$21+Projects!$D$21),Projects!$B$21*INDEX(Curves!$B$4:$AR$4,1,18-Projects!$C$21+1),0)+IF(AND(Projects!$G$22="Yes",Projects!$M$22="Yes",18&gt;=Projects!$C$22,18&lt;Projects!$C$22+Projects!$D$22),Projects!$B$22*INDEX(Curves!$B$4:$AR$4,1,18-Projects!$C$22+1),0)+IF(AND(Projects!$G$23="Yes",Projects!$M$23="Yes",18&gt;=Projects!$C$23,18&lt;Projects!$C$23+Projects!$D$23),Projects!$B$23*INDEX(Curves!$B$4:$AR$4,1,18-Projects!$C$23+1),0)+IF(AND(Projects!$G$24="Yes",Projects!$M$24="Yes",18&gt;=Projects!$C$24,18&lt;Projects!$C$24+Projects!$D$24),Projects!$B$24*INDEX(Curves!$B$4:$AR$4,1,18-Projects!$C$24+1),0)+IF(AND(Projects!$G$25="Yes",Projects!$M$25="Yes",18&gt;=Projects!$C$25,18&lt;Projects!$C$25+Projects!$D$25),Projects!$B$25*INDEX(Curves!$B$4:$AR$4,1,18-Projects!$C$25+1),0)+IF(AND(Projects!$G$26="Yes",Projects!$M$26="Yes",18&gt;=Projects!$C$26,18&lt;Projects!$C$26+Projects!$D$26),Projects!$B$26*INDEX(Curves!$B$4:$AR$4,1,18-Projects!$C$26+1),0)+IF(AND(Projects!$G$27="Yes",Projects!$M$27="Yes",18&gt;=Projects!$C$27,18&lt;Projects!$C$27+Projects!$D$27),Projects!$B$27*INDEX(Curves!$B$4:$AR$4,1,18-Projects!$C$27+1),0)+IF(AND(Projects!$G$28="Yes",Projects!$M$28="Yes",18&gt;=Projects!$C$28,18&lt;Projects!$C$28+Projects!$D$28),Projects!$B$28*INDEX(Curves!$B$4:$AR$4,1,18-Projects!$C$28+1),0)+IF(AND(Projects!$G$29="Yes",Projects!$M$29="Yes",18&gt;=Projects!$C$29,18&lt;Projects!$C$29+Projects!$D$29),Projects!$B$29*INDEX(Curves!$B$4:$AR$4,1,18-Projects!$C$29+1),0)+IF(AND(Projects!$G$30="Yes",Projects!$M$30="Yes",18&gt;=Projects!$C$30,18&lt;Projects!$C$30+Projects!$D$30),Projects!$B$30*INDEX(Curves!$B$4:$AR$4,1,18-Projects!$C$30+1),0)+IF(AND(Projects!$G$31="Yes",Projects!$M$31="Yes",18&gt;=Projects!$C$31,18&lt;Projects!$C$31+Projects!$D$31),Projects!$B$31*INDEX(Curves!$B$4:$AR$4,1,18-Projects!$C$31+1),0)+IF(AND(Projects!$G$32="Yes",Projects!$M$32="Yes",18&gt;=Projects!$C$32,18&lt;Projects!$C$32+Projects!$D$32),Projects!$B$32*INDEX(Curves!$B$4:$AR$4,1,18-Projects!$C$32+1),0)+IF(AND(Projects!$G$33="Yes",Projects!$M$33="Yes",18&gt;=Projects!$C$33,18&lt;Projects!$C$33+Projects!$D$33),Projects!$B$33*INDEX(Curves!$B$4:$AR$4,1,18-Projects!$C$33+1),0)+IF(AND(Projects!$G$34="Yes",Projects!$M$34="Yes",18&gt;=Projects!$C$34,18&lt;Projects!$C$34+Projects!$D$34),Projects!$B$34*INDEX(Curves!$B$4:$AR$4,1,18-Projects!$C$34+1),0)+IF(AND(Projects!$G$35="Yes",Projects!$M$35="Yes",18&gt;=Projects!$C$35,18&lt;Projects!$C$35+Projects!$D$35),Projects!$B$35*INDEX(Curves!$B$4:$AR$4,1,18-Projects!$C$35+1),0)+IF(AND(Projects!$G$36="Yes",Projects!$M$36="Yes",18&gt;=Projects!$C$36,18&lt;Projects!$C$36+Projects!$D$36),Projects!$B$36*INDEX(Curves!$B$4:$AR$4,1,18-Projects!$C$36+1),0)+IF(AND(Projects!$G$37="Yes",Projects!$M$37="Yes",18&gt;=Projects!$C$37,18&lt;Projects!$C$37+Projects!$D$37),Projects!$B$37*INDEX(Curves!$B$4:$AR$4,1,18-Projects!$C$37+1),0)+IF(AND(Projects!$G$38="Yes",Projects!$M$38="Yes",18&gt;=Projects!$C$38,18&lt;Projects!$C$38+Projects!$D$38),Projects!$B$38*INDEX(Curves!$B$4:$AR$4,1,18-Projects!$C$38+1),0)+IF(AND(Projects!$G$39="Yes",Projects!$M$39="Yes",18&gt;=Projects!$C$39,18&lt;Projects!$C$39+Projects!$D$39),Projects!$B$39*INDEX(Curves!$B$4:$AR$4,1,18-Projects!$C$39+1),0)+IF(AND(Projects!$G$40="Yes",Projects!$M$40="Yes",18&gt;=Projects!$C$40,18&lt;Projects!$C$40+Projects!$D$40),Projects!$B$40*INDEX(Curves!$B$4:$AR$4,1,18-Projects!$C$40+1),0)+IF(AND(Projects!$G$41="Yes",Projects!$M$41="Yes",18&gt;=Projects!$C$41,18&lt;Projects!$C$41+Projects!$D$41),Projects!$B$41*INDEX(Curves!$B$4:$AR$4,1,18-Projects!$C$41+1),0)+IF(AND(Projects!$G$42="Yes",Projects!$M$42="Yes",18&gt;=Projects!$C$42,18&lt;Projects!$C$42+Projects!$D$42),Projects!$B$42*INDEX(Curves!$B$4:$AR$4,1,18-Projects!$C$42+1),0)+IF(AND(Projects!$G$43="Yes",Projects!$M$43="Yes",18&gt;=Projects!$C$43,18&lt;Projects!$C$43+Projects!$D$43),Projects!$B$43*INDEX(Curves!$B$4:$AR$4,1,18-Projects!$C$43+1),0)+IF(AND(Projects!$G$44="Yes",Projects!$M$44="Yes",18&gt;=Projects!$C$44,18&lt;Projects!$C$44+Projects!$D$44),Projects!$B$44*INDEX(Curves!$B$4:$AR$4,1,18-Projects!$C$44+1),0)+IF(AND(Projects!$G$45="Yes",Projects!$M$45="Yes",18&gt;=Projects!$C$45,18&lt;Projects!$C$45+Projects!$D$45),Projects!$B$45*INDEX(Curves!$B$4:$AR$4,1,18-Projects!$C$45+1),0)+IF(AND(Projects!$G$46="Yes",Projects!$M$46="Yes",18&gt;=Projects!$C$46,18&lt;Projects!$C$46+Projects!$D$46),Projects!$B$46*INDEX(Curves!$B$4:$AR$4,1,18-Projects!$C$46+1),0)</f>
        <v/>
      </c>
      <c r="X101" s="691">
        <f>IF(AND(Projects!$G$17="Yes",Projects!$M$17="Yes",19&gt;=Projects!$C$17,19&lt;Projects!$C$17+Projects!$D$17),Projects!$B$17*INDEX(Curves!$B$4:$AR$4,1,19-Projects!$C$17+1),0)+IF(AND(Projects!$G$18="Yes",Projects!$M$18="Yes",19&gt;=Projects!$C$18,19&lt;Projects!$C$18+Projects!$D$18),Projects!$B$18*INDEX(Curves!$B$4:$AR$4,1,19-Projects!$C$18+1),0)+IF(AND(Projects!$G$19="Yes",Projects!$M$19="Yes",19&gt;=Projects!$C$19,19&lt;Projects!$C$19+Projects!$D$19),Projects!$B$19*INDEX(Curves!$B$4:$AR$4,1,19-Projects!$C$19+1),0)+IF(AND(Projects!$G$20="Yes",Projects!$M$20="Yes",19&gt;=Projects!$C$20,19&lt;Projects!$C$20+Projects!$D$20),Projects!$B$20*INDEX(Curves!$B$4:$AR$4,1,19-Projects!$C$20+1),0)+IF(AND(Projects!$G$21="Yes",Projects!$M$21="Yes",19&gt;=Projects!$C$21,19&lt;Projects!$C$21+Projects!$D$21),Projects!$B$21*INDEX(Curves!$B$4:$AR$4,1,19-Projects!$C$21+1),0)+IF(AND(Projects!$G$22="Yes",Projects!$M$22="Yes",19&gt;=Projects!$C$22,19&lt;Projects!$C$22+Projects!$D$22),Projects!$B$22*INDEX(Curves!$B$4:$AR$4,1,19-Projects!$C$22+1),0)+IF(AND(Projects!$G$23="Yes",Projects!$M$23="Yes",19&gt;=Projects!$C$23,19&lt;Projects!$C$23+Projects!$D$23),Projects!$B$23*INDEX(Curves!$B$4:$AR$4,1,19-Projects!$C$23+1),0)+IF(AND(Projects!$G$24="Yes",Projects!$M$24="Yes",19&gt;=Projects!$C$24,19&lt;Projects!$C$24+Projects!$D$24),Projects!$B$24*INDEX(Curves!$B$4:$AR$4,1,19-Projects!$C$24+1),0)+IF(AND(Projects!$G$25="Yes",Projects!$M$25="Yes",19&gt;=Projects!$C$25,19&lt;Projects!$C$25+Projects!$D$25),Projects!$B$25*INDEX(Curves!$B$4:$AR$4,1,19-Projects!$C$25+1),0)+IF(AND(Projects!$G$26="Yes",Projects!$M$26="Yes",19&gt;=Projects!$C$26,19&lt;Projects!$C$26+Projects!$D$26),Projects!$B$26*INDEX(Curves!$B$4:$AR$4,1,19-Projects!$C$26+1),0)+IF(AND(Projects!$G$27="Yes",Projects!$M$27="Yes",19&gt;=Projects!$C$27,19&lt;Projects!$C$27+Projects!$D$27),Projects!$B$27*INDEX(Curves!$B$4:$AR$4,1,19-Projects!$C$27+1),0)+IF(AND(Projects!$G$28="Yes",Projects!$M$28="Yes",19&gt;=Projects!$C$28,19&lt;Projects!$C$28+Projects!$D$28),Projects!$B$28*INDEX(Curves!$B$4:$AR$4,1,19-Projects!$C$28+1),0)+IF(AND(Projects!$G$29="Yes",Projects!$M$29="Yes",19&gt;=Projects!$C$29,19&lt;Projects!$C$29+Projects!$D$29),Projects!$B$29*INDEX(Curves!$B$4:$AR$4,1,19-Projects!$C$29+1),0)+IF(AND(Projects!$G$30="Yes",Projects!$M$30="Yes",19&gt;=Projects!$C$30,19&lt;Projects!$C$30+Projects!$D$30),Projects!$B$30*INDEX(Curves!$B$4:$AR$4,1,19-Projects!$C$30+1),0)+IF(AND(Projects!$G$31="Yes",Projects!$M$31="Yes",19&gt;=Projects!$C$31,19&lt;Projects!$C$31+Projects!$D$31),Projects!$B$31*INDEX(Curves!$B$4:$AR$4,1,19-Projects!$C$31+1),0)+IF(AND(Projects!$G$32="Yes",Projects!$M$32="Yes",19&gt;=Projects!$C$32,19&lt;Projects!$C$32+Projects!$D$32),Projects!$B$32*INDEX(Curves!$B$4:$AR$4,1,19-Projects!$C$32+1),0)+IF(AND(Projects!$G$33="Yes",Projects!$M$33="Yes",19&gt;=Projects!$C$33,19&lt;Projects!$C$33+Projects!$D$33),Projects!$B$33*INDEX(Curves!$B$4:$AR$4,1,19-Projects!$C$33+1),0)+IF(AND(Projects!$G$34="Yes",Projects!$M$34="Yes",19&gt;=Projects!$C$34,19&lt;Projects!$C$34+Projects!$D$34),Projects!$B$34*INDEX(Curves!$B$4:$AR$4,1,19-Projects!$C$34+1),0)+IF(AND(Projects!$G$35="Yes",Projects!$M$35="Yes",19&gt;=Projects!$C$35,19&lt;Projects!$C$35+Projects!$D$35),Projects!$B$35*INDEX(Curves!$B$4:$AR$4,1,19-Projects!$C$35+1),0)+IF(AND(Projects!$G$36="Yes",Projects!$M$36="Yes",19&gt;=Projects!$C$36,19&lt;Projects!$C$36+Projects!$D$36),Projects!$B$36*INDEX(Curves!$B$4:$AR$4,1,19-Projects!$C$36+1),0)+IF(AND(Projects!$G$37="Yes",Projects!$M$37="Yes",19&gt;=Projects!$C$37,19&lt;Projects!$C$37+Projects!$D$37),Projects!$B$37*INDEX(Curves!$B$4:$AR$4,1,19-Projects!$C$37+1),0)+IF(AND(Projects!$G$38="Yes",Projects!$M$38="Yes",19&gt;=Projects!$C$38,19&lt;Projects!$C$38+Projects!$D$38),Projects!$B$38*INDEX(Curves!$B$4:$AR$4,1,19-Projects!$C$38+1),0)+IF(AND(Projects!$G$39="Yes",Projects!$M$39="Yes",19&gt;=Projects!$C$39,19&lt;Projects!$C$39+Projects!$D$39),Projects!$B$39*INDEX(Curves!$B$4:$AR$4,1,19-Projects!$C$39+1),0)+IF(AND(Projects!$G$40="Yes",Projects!$M$40="Yes",19&gt;=Projects!$C$40,19&lt;Projects!$C$40+Projects!$D$40),Projects!$B$40*INDEX(Curves!$B$4:$AR$4,1,19-Projects!$C$40+1),0)+IF(AND(Projects!$G$41="Yes",Projects!$M$41="Yes",19&gt;=Projects!$C$41,19&lt;Projects!$C$41+Projects!$D$41),Projects!$B$41*INDEX(Curves!$B$4:$AR$4,1,19-Projects!$C$41+1),0)+IF(AND(Projects!$G$42="Yes",Projects!$M$42="Yes",19&gt;=Projects!$C$42,19&lt;Projects!$C$42+Projects!$D$42),Projects!$B$42*INDEX(Curves!$B$4:$AR$4,1,19-Projects!$C$42+1),0)+IF(AND(Projects!$G$43="Yes",Projects!$M$43="Yes",19&gt;=Projects!$C$43,19&lt;Projects!$C$43+Projects!$D$43),Projects!$B$43*INDEX(Curves!$B$4:$AR$4,1,19-Projects!$C$43+1),0)+IF(AND(Projects!$G$44="Yes",Projects!$M$44="Yes",19&gt;=Projects!$C$44,19&lt;Projects!$C$44+Projects!$D$44),Projects!$B$44*INDEX(Curves!$B$4:$AR$4,1,19-Projects!$C$44+1),0)+IF(AND(Projects!$G$45="Yes",Projects!$M$45="Yes",19&gt;=Projects!$C$45,19&lt;Projects!$C$45+Projects!$D$45),Projects!$B$45*INDEX(Curves!$B$4:$AR$4,1,19-Projects!$C$45+1),0)+IF(AND(Projects!$G$46="Yes",Projects!$M$46="Yes",19&gt;=Projects!$C$46,19&lt;Projects!$C$46+Projects!$D$46),Projects!$B$46*INDEX(Curves!$B$4:$AR$4,1,19-Projects!$C$46+1),0)</f>
        <v/>
      </c>
      <c r="Y101" s="691">
        <f>IF(AND(Projects!$G$17="Yes",Projects!$M$17="Yes",20&gt;=Projects!$C$17,20&lt;Projects!$C$17+Projects!$D$17),Projects!$B$17*INDEX(Curves!$B$4:$AR$4,1,20-Projects!$C$17+1),0)+IF(AND(Projects!$G$18="Yes",Projects!$M$18="Yes",20&gt;=Projects!$C$18,20&lt;Projects!$C$18+Projects!$D$18),Projects!$B$18*INDEX(Curves!$B$4:$AR$4,1,20-Projects!$C$18+1),0)+IF(AND(Projects!$G$19="Yes",Projects!$M$19="Yes",20&gt;=Projects!$C$19,20&lt;Projects!$C$19+Projects!$D$19),Projects!$B$19*INDEX(Curves!$B$4:$AR$4,1,20-Projects!$C$19+1),0)+IF(AND(Projects!$G$20="Yes",Projects!$M$20="Yes",20&gt;=Projects!$C$20,20&lt;Projects!$C$20+Projects!$D$20),Projects!$B$20*INDEX(Curves!$B$4:$AR$4,1,20-Projects!$C$20+1),0)+IF(AND(Projects!$G$21="Yes",Projects!$M$21="Yes",20&gt;=Projects!$C$21,20&lt;Projects!$C$21+Projects!$D$21),Projects!$B$21*INDEX(Curves!$B$4:$AR$4,1,20-Projects!$C$21+1),0)+IF(AND(Projects!$G$22="Yes",Projects!$M$22="Yes",20&gt;=Projects!$C$22,20&lt;Projects!$C$22+Projects!$D$22),Projects!$B$22*INDEX(Curves!$B$4:$AR$4,1,20-Projects!$C$22+1),0)+IF(AND(Projects!$G$23="Yes",Projects!$M$23="Yes",20&gt;=Projects!$C$23,20&lt;Projects!$C$23+Projects!$D$23),Projects!$B$23*INDEX(Curves!$B$4:$AR$4,1,20-Projects!$C$23+1),0)+IF(AND(Projects!$G$24="Yes",Projects!$M$24="Yes",20&gt;=Projects!$C$24,20&lt;Projects!$C$24+Projects!$D$24),Projects!$B$24*INDEX(Curves!$B$4:$AR$4,1,20-Projects!$C$24+1),0)+IF(AND(Projects!$G$25="Yes",Projects!$M$25="Yes",20&gt;=Projects!$C$25,20&lt;Projects!$C$25+Projects!$D$25),Projects!$B$25*INDEX(Curves!$B$4:$AR$4,1,20-Projects!$C$25+1),0)+IF(AND(Projects!$G$26="Yes",Projects!$M$26="Yes",20&gt;=Projects!$C$26,20&lt;Projects!$C$26+Projects!$D$26),Projects!$B$26*INDEX(Curves!$B$4:$AR$4,1,20-Projects!$C$26+1),0)+IF(AND(Projects!$G$27="Yes",Projects!$M$27="Yes",20&gt;=Projects!$C$27,20&lt;Projects!$C$27+Projects!$D$27),Projects!$B$27*INDEX(Curves!$B$4:$AR$4,1,20-Projects!$C$27+1),0)+IF(AND(Projects!$G$28="Yes",Projects!$M$28="Yes",20&gt;=Projects!$C$28,20&lt;Projects!$C$28+Projects!$D$28),Projects!$B$28*INDEX(Curves!$B$4:$AR$4,1,20-Projects!$C$28+1),0)+IF(AND(Projects!$G$29="Yes",Projects!$M$29="Yes",20&gt;=Projects!$C$29,20&lt;Projects!$C$29+Projects!$D$29),Projects!$B$29*INDEX(Curves!$B$4:$AR$4,1,20-Projects!$C$29+1),0)+IF(AND(Projects!$G$30="Yes",Projects!$M$30="Yes",20&gt;=Projects!$C$30,20&lt;Projects!$C$30+Projects!$D$30),Projects!$B$30*INDEX(Curves!$B$4:$AR$4,1,20-Projects!$C$30+1),0)+IF(AND(Projects!$G$31="Yes",Projects!$M$31="Yes",20&gt;=Projects!$C$31,20&lt;Projects!$C$31+Projects!$D$31),Projects!$B$31*INDEX(Curves!$B$4:$AR$4,1,20-Projects!$C$31+1),0)+IF(AND(Projects!$G$32="Yes",Projects!$M$32="Yes",20&gt;=Projects!$C$32,20&lt;Projects!$C$32+Projects!$D$32),Projects!$B$32*INDEX(Curves!$B$4:$AR$4,1,20-Projects!$C$32+1),0)+IF(AND(Projects!$G$33="Yes",Projects!$M$33="Yes",20&gt;=Projects!$C$33,20&lt;Projects!$C$33+Projects!$D$33),Projects!$B$33*INDEX(Curves!$B$4:$AR$4,1,20-Projects!$C$33+1),0)+IF(AND(Projects!$G$34="Yes",Projects!$M$34="Yes",20&gt;=Projects!$C$34,20&lt;Projects!$C$34+Projects!$D$34),Projects!$B$34*INDEX(Curves!$B$4:$AR$4,1,20-Projects!$C$34+1),0)+IF(AND(Projects!$G$35="Yes",Projects!$M$35="Yes",20&gt;=Projects!$C$35,20&lt;Projects!$C$35+Projects!$D$35),Projects!$B$35*INDEX(Curves!$B$4:$AR$4,1,20-Projects!$C$35+1),0)+IF(AND(Projects!$G$36="Yes",Projects!$M$36="Yes",20&gt;=Projects!$C$36,20&lt;Projects!$C$36+Projects!$D$36),Projects!$B$36*INDEX(Curves!$B$4:$AR$4,1,20-Projects!$C$36+1),0)+IF(AND(Projects!$G$37="Yes",Projects!$M$37="Yes",20&gt;=Projects!$C$37,20&lt;Projects!$C$37+Projects!$D$37),Projects!$B$37*INDEX(Curves!$B$4:$AR$4,1,20-Projects!$C$37+1),0)+IF(AND(Projects!$G$38="Yes",Projects!$M$38="Yes",20&gt;=Projects!$C$38,20&lt;Projects!$C$38+Projects!$D$38),Projects!$B$38*INDEX(Curves!$B$4:$AR$4,1,20-Projects!$C$38+1),0)+IF(AND(Projects!$G$39="Yes",Projects!$M$39="Yes",20&gt;=Projects!$C$39,20&lt;Projects!$C$39+Projects!$D$39),Projects!$B$39*INDEX(Curves!$B$4:$AR$4,1,20-Projects!$C$39+1),0)+IF(AND(Projects!$G$40="Yes",Projects!$M$40="Yes",20&gt;=Projects!$C$40,20&lt;Projects!$C$40+Projects!$D$40),Projects!$B$40*INDEX(Curves!$B$4:$AR$4,1,20-Projects!$C$40+1),0)+IF(AND(Projects!$G$41="Yes",Projects!$M$41="Yes",20&gt;=Projects!$C$41,20&lt;Projects!$C$41+Projects!$D$41),Projects!$B$41*INDEX(Curves!$B$4:$AR$4,1,20-Projects!$C$41+1),0)+IF(AND(Projects!$G$42="Yes",Projects!$M$42="Yes",20&gt;=Projects!$C$42,20&lt;Projects!$C$42+Projects!$D$42),Projects!$B$42*INDEX(Curves!$B$4:$AR$4,1,20-Projects!$C$42+1),0)+IF(AND(Projects!$G$43="Yes",Projects!$M$43="Yes",20&gt;=Projects!$C$43,20&lt;Projects!$C$43+Projects!$D$43),Projects!$B$43*INDEX(Curves!$B$4:$AR$4,1,20-Projects!$C$43+1),0)+IF(AND(Projects!$G$44="Yes",Projects!$M$44="Yes",20&gt;=Projects!$C$44,20&lt;Projects!$C$44+Projects!$D$44),Projects!$B$44*INDEX(Curves!$B$4:$AR$4,1,20-Projects!$C$44+1),0)+IF(AND(Projects!$G$45="Yes",Projects!$M$45="Yes",20&gt;=Projects!$C$45,20&lt;Projects!$C$45+Projects!$D$45),Projects!$B$45*INDEX(Curves!$B$4:$AR$4,1,20-Projects!$C$45+1),0)+IF(AND(Projects!$G$46="Yes",Projects!$M$46="Yes",20&gt;=Projects!$C$46,20&lt;Projects!$C$46+Projects!$D$46),Projects!$B$46*INDEX(Curves!$B$4:$AR$4,1,20-Projects!$C$46+1),0)</f>
        <v/>
      </c>
      <c r="Z101" s="691">
        <f>IF(AND(Projects!$G$17="Yes",Projects!$M$17="Yes",21&gt;=Projects!$C$17,21&lt;Projects!$C$17+Projects!$D$17),Projects!$B$17*INDEX(Curves!$B$4:$AR$4,1,21-Projects!$C$17+1),0)+IF(AND(Projects!$G$18="Yes",Projects!$M$18="Yes",21&gt;=Projects!$C$18,21&lt;Projects!$C$18+Projects!$D$18),Projects!$B$18*INDEX(Curves!$B$4:$AR$4,1,21-Projects!$C$18+1),0)+IF(AND(Projects!$G$19="Yes",Projects!$M$19="Yes",21&gt;=Projects!$C$19,21&lt;Projects!$C$19+Projects!$D$19),Projects!$B$19*INDEX(Curves!$B$4:$AR$4,1,21-Projects!$C$19+1),0)+IF(AND(Projects!$G$20="Yes",Projects!$M$20="Yes",21&gt;=Projects!$C$20,21&lt;Projects!$C$20+Projects!$D$20),Projects!$B$20*INDEX(Curves!$B$4:$AR$4,1,21-Projects!$C$20+1),0)+IF(AND(Projects!$G$21="Yes",Projects!$M$21="Yes",21&gt;=Projects!$C$21,21&lt;Projects!$C$21+Projects!$D$21),Projects!$B$21*INDEX(Curves!$B$4:$AR$4,1,21-Projects!$C$21+1),0)+IF(AND(Projects!$G$22="Yes",Projects!$M$22="Yes",21&gt;=Projects!$C$22,21&lt;Projects!$C$22+Projects!$D$22),Projects!$B$22*INDEX(Curves!$B$4:$AR$4,1,21-Projects!$C$22+1),0)+IF(AND(Projects!$G$23="Yes",Projects!$M$23="Yes",21&gt;=Projects!$C$23,21&lt;Projects!$C$23+Projects!$D$23),Projects!$B$23*INDEX(Curves!$B$4:$AR$4,1,21-Projects!$C$23+1),0)+IF(AND(Projects!$G$24="Yes",Projects!$M$24="Yes",21&gt;=Projects!$C$24,21&lt;Projects!$C$24+Projects!$D$24),Projects!$B$24*INDEX(Curves!$B$4:$AR$4,1,21-Projects!$C$24+1),0)+IF(AND(Projects!$G$25="Yes",Projects!$M$25="Yes",21&gt;=Projects!$C$25,21&lt;Projects!$C$25+Projects!$D$25),Projects!$B$25*INDEX(Curves!$B$4:$AR$4,1,21-Projects!$C$25+1),0)+IF(AND(Projects!$G$26="Yes",Projects!$M$26="Yes",21&gt;=Projects!$C$26,21&lt;Projects!$C$26+Projects!$D$26),Projects!$B$26*INDEX(Curves!$B$4:$AR$4,1,21-Projects!$C$26+1),0)+IF(AND(Projects!$G$27="Yes",Projects!$M$27="Yes",21&gt;=Projects!$C$27,21&lt;Projects!$C$27+Projects!$D$27),Projects!$B$27*INDEX(Curves!$B$4:$AR$4,1,21-Projects!$C$27+1),0)+IF(AND(Projects!$G$28="Yes",Projects!$M$28="Yes",21&gt;=Projects!$C$28,21&lt;Projects!$C$28+Projects!$D$28),Projects!$B$28*INDEX(Curves!$B$4:$AR$4,1,21-Projects!$C$28+1),0)+IF(AND(Projects!$G$29="Yes",Projects!$M$29="Yes",21&gt;=Projects!$C$29,21&lt;Projects!$C$29+Projects!$D$29),Projects!$B$29*INDEX(Curves!$B$4:$AR$4,1,21-Projects!$C$29+1),0)+IF(AND(Projects!$G$30="Yes",Projects!$M$30="Yes",21&gt;=Projects!$C$30,21&lt;Projects!$C$30+Projects!$D$30),Projects!$B$30*INDEX(Curves!$B$4:$AR$4,1,21-Projects!$C$30+1),0)+IF(AND(Projects!$G$31="Yes",Projects!$M$31="Yes",21&gt;=Projects!$C$31,21&lt;Projects!$C$31+Projects!$D$31),Projects!$B$31*INDEX(Curves!$B$4:$AR$4,1,21-Projects!$C$31+1),0)+IF(AND(Projects!$G$32="Yes",Projects!$M$32="Yes",21&gt;=Projects!$C$32,21&lt;Projects!$C$32+Projects!$D$32),Projects!$B$32*INDEX(Curves!$B$4:$AR$4,1,21-Projects!$C$32+1),0)+IF(AND(Projects!$G$33="Yes",Projects!$M$33="Yes",21&gt;=Projects!$C$33,21&lt;Projects!$C$33+Projects!$D$33),Projects!$B$33*INDEX(Curves!$B$4:$AR$4,1,21-Projects!$C$33+1),0)+IF(AND(Projects!$G$34="Yes",Projects!$M$34="Yes",21&gt;=Projects!$C$34,21&lt;Projects!$C$34+Projects!$D$34),Projects!$B$34*INDEX(Curves!$B$4:$AR$4,1,21-Projects!$C$34+1),0)+IF(AND(Projects!$G$35="Yes",Projects!$M$35="Yes",21&gt;=Projects!$C$35,21&lt;Projects!$C$35+Projects!$D$35),Projects!$B$35*INDEX(Curves!$B$4:$AR$4,1,21-Projects!$C$35+1),0)+IF(AND(Projects!$G$36="Yes",Projects!$M$36="Yes",21&gt;=Projects!$C$36,21&lt;Projects!$C$36+Projects!$D$36),Projects!$B$36*INDEX(Curves!$B$4:$AR$4,1,21-Projects!$C$36+1),0)+IF(AND(Projects!$G$37="Yes",Projects!$M$37="Yes",21&gt;=Projects!$C$37,21&lt;Projects!$C$37+Projects!$D$37),Projects!$B$37*INDEX(Curves!$B$4:$AR$4,1,21-Projects!$C$37+1),0)+IF(AND(Projects!$G$38="Yes",Projects!$M$38="Yes",21&gt;=Projects!$C$38,21&lt;Projects!$C$38+Projects!$D$38),Projects!$B$38*INDEX(Curves!$B$4:$AR$4,1,21-Projects!$C$38+1),0)+IF(AND(Projects!$G$39="Yes",Projects!$M$39="Yes",21&gt;=Projects!$C$39,21&lt;Projects!$C$39+Projects!$D$39),Projects!$B$39*INDEX(Curves!$B$4:$AR$4,1,21-Projects!$C$39+1),0)+IF(AND(Projects!$G$40="Yes",Projects!$M$40="Yes",21&gt;=Projects!$C$40,21&lt;Projects!$C$40+Projects!$D$40),Projects!$B$40*INDEX(Curves!$B$4:$AR$4,1,21-Projects!$C$40+1),0)+IF(AND(Projects!$G$41="Yes",Projects!$M$41="Yes",21&gt;=Projects!$C$41,21&lt;Projects!$C$41+Projects!$D$41),Projects!$B$41*INDEX(Curves!$B$4:$AR$4,1,21-Projects!$C$41+1),0)+IF(AND(Projects!$G$42="Yes",Projects!$M$42="Yes",21&gt;=Projects!$C$42,21&lt;Projects!$C$42+Projects!$D$42),Projects!$B$42*INDEX(Curves!$B$4:$AR$4,1,21-Projects!$C$42+1),0)+IF(AND(Projects!$G$43="Yes",Projects!$M$43="Yes",21&gt;=Projects!$C$43,21&lt;Projects!$C$43+Projects!$D$43),Projects!$B$43*INDEX(Curves!$B$4:$AR$4,1,21-Projects!$C$43+1),0)+IF(AND(Projects!$G$44="Yes",Projects!$M$44="Yes",21&gt;=Projects!$C$44,21&lt;Projects!$C$44+Projects!$D$44),Projects!$B$44*INDEX(Curves!$B$4:$AR$4,1,21-Projects!$C$44+1),0)+IF(AND(Projects!$G$45="Yes",Projects!$M$45="Yes",21&gt;=Projects!$C$45,21&lt;Projects!$C$45+Projects!$D$45),Projects!$B$45*INDEX(Curves!$B$4:$AR$4,1,21-Projects!$C$45+1),0)+IF(AND(Projects!$G$46="Yes",Projects!$M$46="Yes",21&gt;=Projects!$C$46,21&lt;Projects!$C$46+Projects!$D$46),Projects!$B$46*INDEX(Curves!$B$4:$AR$4,1,21-Projects!$C$46+1),0)</f>
        <v/>
      </c>
      <c r="AA101" s="691">
        <f>IF(AND(Projects!$G$17="Yes",Projects!$M$17="Yes",22&gt;=Projects!$C$17,22&lt;Projects!$C$17+Projects!$D$17),Projects!$B$17*INDEX(Curves!$B$4:$AR$4,1,22-Projects!$C$17+1),0)+IF(AND(Projects!$G$18="Yes",Projects!$M$18="Yes",22&gt;=Projects!$C$18,22&lt;Projects!$C$18+Projects!$D$18),Projects!$B$18*INDEX(Curves!$B$4:$AR$4,1,22-Projects!$C$18+1),0)+IF(AND(Projects!$G$19="Yes",Projects!$M$19="Yes",22&gt;=Projects!$C$19,22&lt;Projects!$C$19+Projects!$D$19),Projects!$B$19*INDEX(Curves!$B$4:$AR$4,1,22-Projects!$C$19+1),0)+IF(AND(Projects!$G$20="Yes",Projects!$M$20="Yes",22&gt;=Projects!$C$20,22&lt;Projects!$C$20+Projects!$D$20),Projects!$B$20*INDEX(Curves!$B$4:$AR$4,1,22-Projects!$C$20+1),0)+IF(AND(Projects!$G$21="Yes",Projects!$M$21="Yes",22&gt;=Projects!$C$21,22&lt;Projects!$C$21+Projects!$D$21),Projects!$B$21*INDEX(Curves!$B$4:$AR$4,1,22-Projects!$C$21+1),0)+IF(AND(Projects!$G$22="Yes",Projects!$M$22="Yes",22&gt;=Projects!$C$22,22&lt;Projects!$C$22+Projects!$D$22),Projects!$B$22*INDEX(Curves!$B$4:$AR$4,1,22-Projects!$C$22+1),0)+IF(AND(Projects!$G$23="Yes",Projects!$M$23="Yes",22&gt;=Projects!$C$23,22&lt;Projects!$C$23+Projects!$D$23),Projects!$B$23*INDEX(Curves!$B$4:$AR$4,1,22-Projects!$C$23+1),0)+IF(AND(Projects!$G$24="Yes",Projects!$M$24="Yes",22&gt;=Projects!$C$24,22&lt;Projects!$C$24+Projects!$D$24),Projects!$B$24*INDEX(Curves!$B$4:$AR$4,1,22-Projects!$C$24+1),0)+IF(AND(Projects!$G$25="Yes",Projects!$M$25="Yes",22&gt;=Projects!$C$25,22&lt;Projects!$C$25+Projects!$D$25),Projects!$B$25*INDEX(Curves!$B$4:$AR$4,1,22-Projects!$C$25+1),0)+IF(AND(Projects!$G$26="Yes",Projects!$M$26="Yes",22&gt;=Projects!$C$26,22&lt;Projects!$C$26+Projects!$D$26),Projects!$B$26*INDEX(Curves!$B$4:$AR$4,1,22-Projects!$C$26+1),0)+IF(AND(Projects!$G$27="Yes",Projects!$M$27="Yes",22&gt;=Projects!$C$27,22&lt;Projects!$C$27+Projects!$D$27),Projects!$B$27*INDEX(Curves!$B$4:$AR$4,1,22-Projects!$C$27+1),0)+IF(AND(Projects!$G$28="Yes",Projects!$M$28="Yes",22&gt;=Projects!$C$28,22&lt;Projects!$C$28+Projects!$D$28),Projects!$B$28*INDEX(Curves!$B$4:$AR$4,1,22-Projects!$C$28+1),0)+IF(AND(Projects!$G$29="Yes",Projects!$M$29="Yes",22&gt;=Projects!$C$29,22&lt;Projects!$C$29+Projects!$D$29),Projects!$B$29*INDEX(Curves!$B$4:$AR$4,1,22-Projects!$C$29+1),0)+IF(AND(Projects!$G$30="Yes",Projects!$M$30="Yes",22&gt;=Projects!$C$30,22&lt;Projects!$C$30+Projects!$D$30),Projects!$B$30*INDEX(Curves!$B$4:$AR$4,1,22-Projects!$C$30+1),0)+IF(AND(Projects!$G$31="Yes",Projects!$M$31="Yes",22&gt;=Projects!$C$31,22&lt;Projects!$C$31+Projects!$D$31),Projects!$B$31*INDEX(Curves!$B$4:$AR$4,1,22-Projects!$C$31+1),0)+IF(AND(Projects!$G$32="Yes",Projects!$M$32="Yes",22&gt;=Projects!$C$32,22&lt;Projects!$C$32+Projects!$D$32),Projects!$B$32*INDEX(Curves!$B$4:$AR$4,1,22-Projects!$C$32+1),0)+IF(AND(Projects!$G$33="Yes",Projects!$M$33="Yes",22&gt;=Projects!$C$33,22&lt;Projects!$C$33+Projects!$D$33),Projects!$B$33*INDEX(Curves!$B$4:$AR$4,1,22-Projects!$C$33+1),0)+IF(AND(Projects!$G$34="Yes",Projects!$M$34="Yes",22&gt;=Projects!$C$34,22&lt;Projects!$C$34+Projects!$D$34),Projects!$B$34*INDEX(Curves!$B$4:$AR$4,1,22-Projects!$C$34+1),0)+IF(AND(Projects!$G$35="Yes",Projects!$M$35="Yes",22&gt;=Projects!$C$35,22&lt;Projects!$C$35+Projects!$D$35),Projects!$B$35*INDEX(Curves!$B$4:$AR$4,1,22-Projects!$C$35+1),0)+IF(AND(Projects!$G$36="Yes",Projects!$M$36="Yes",22&gt;=Projects!$C$36,22&lt;Projects!$C$36+Projects!$D$36),Projects!$B$36*INDEX(Curves!$B$4:$AR$4,1,22-Projects!$C$36+1),0)+IF(AND(Projects!$G$37="Yes",Projects!$M$37="Yes",22&gt;=Projects!$C$37,22&lt;Projects!$C$37+Projects!$D$37),Projects!$B$37*INDEX(Curves!$B$4:$AR$4,1,22-Projects!$C$37+1),0)+IF(AND(Projects!$G$38="Yes",Projects!$M$38="Yes",22&gt;=Projects!$C$38,22&lt;Projects!$C$38+Projects!$D$38),Projects!$B$38*INDEX(Curves!$B$4:$AR$4,1,22-Projects!$C$38+1),0)+IF(AND(Projects!$G$39="Yes",Projects!$M$39="Yes",22&gt;=Projects!$C$39,22&lt;Projects!$C$39+Projects!$D$39),Projects!$B$39*INDEX(Curves!$B$4:$AR$4,1,22-Projects!$C$39+1),0)+IF(AND(Projects!$G$40="Yes",Projects!$M$40="Yes",22&gt;=Projects!$C$40,22&lt;Projects!$C$40+Projects!$D$40),Projects!$B$40*INDEX(Curves!$B$4:$AR$4,1,22-Projects!$C$40+1),0)+IF(AND(Projects!$G$41="Yes",Projects!$M$41="Yes",22&gt;=Projects!$C$41,22&lt;Projects!$C$41+Projects!$D$41),Projects!$B$41*INDEX(Curves!$B$4:$AR$4,1,22-Projects!$C$41+1),0)+IF(AND(Projects!$G$42="Yes",Projects!$M$42="Yes",22&gt;=Projects!$C$42,22&lt;Projects!$C$42+Projects!$D$42),Projects!$B$42*INDEX(Curves!$B$4:$AR$4,1,22-Projects!$C$42+1),0)+IF(AND(Projects!$G$43="Yes",Projects!$M$43="Yes",22&gt;=Projects!$C$43,22&lt;Projects!$C$43+Projects!$D$43),Projects!$B$43*INDEX(Curves!$B$4:$AR$4,1,22-Projects!$C$43+1),0)+IF(AND(Projects!$G$44="Yes",Projects!$M$44="Yes",22&gt;=Projects!$C$44,22&lt;Projects!$C$44+Projects!$D$44),Projects!$B$44*INDEX(Curves!$B$4:$AR$4,1,22-Projects!$C$44+1),0)+IF(AND(Projects!$G$45="Yes",Projects!$M$45="Yes",22&gt;=Projects!$C$45,22&lt;Projects!$C$45+Projects!$D$45),Projects!$B$45*INDEX(Curves!$B$4:$AR$4,1,22-Projects!$C$45+1),0)+IF(AND(Projects!$G$46="Yes",Projects!$M$46="Yes",22&gt;=Projects!$C$46,22&lt;Projects!$C$46+Projects!$D$46),Projects!$B$46*INDEX(Curves!$B$4:$AR$4,1,22-Projects!$C$46+1),0)</f>
        <v/>
      </c>
      <c r="AB101" s="691">
        <f>IF(AND(Projects!$G$17="Yes",Projects!$M$17="Yes",23&gt;=Projects!$C$17,23&lt;Projects!$C$17+Projects!$D$17),Projects!$B$17*INDEX(Curves!$B$4:$AR$4,1,23-Projects!$C$17+1),0)+IF(AND(Projects!$G$18="Yes",Projects!$M$18="Yes",23&gt;=Projects!$C$18,23&lt;Projects!$C$18+Projects!$D$18),Projects!$B$18*INDEX(Curves!$B$4:$AR$4,1,23-Projects!$C$18+1),0)+IF(AND(Projects!$G$19="Yes",Projects!$M$19="Yes",23&gt;=Projects!$C$19,23&lt;Projects!$C$19+Projects!$D$19),Projects!$B$19*INDEX(Curves!$B$4:$AR$4,1,23-Projects!$C$19+1),0)+IF(AND(Projects!$G$20="Yes",Projects!$M$20="Yes",23&gt;=Projects!$C$20,23&lt;Projects!$C$20+Projects!$D$20),Projects!$B$20*INDEX(Curves!$B$4:$AR$4,1,23-Projects!$C$20+1),0)+IF(AND(Projects!$G$21="Yes",Projects!$M$21="Yes",23&gt;=Projects!$C$21,23&lt;Projects!$C$21+Projects!$D$21),Projects!$B$21*INDEX(Curves!$B$4:$AR$4,1,23-Projects!$C$21+1),0)+IF(AND(Projects!$G$22="Yes",Projects!$M$22="Yes",23&gt;=Projects!$C$22,23&lt;Projects!$C$22+Projects!$D$22),Projects!$B$22*INDEX(Curves!$B$4:$AR$4,1,23-Projects!$C$22+1),0)+IF(AND(Projects!$G$23="Yes",Projects!$M$23="Yes",23&gt;=Projects!$C$23,23&lt;Projects!$C$23+Projects!$D$23),Projects!$B$23*INDEX(Curves!$B$4:$AR$4,1,23-Projects!$C$23+1),0)+IF(AND(Projects!$G$24="Yes",Projects!$M$24="Yes",23&gt;=Projects!$C$24,23&lt;Projects!$C$24+Projects!$D$24),Projects!$B$24*INDEX(Curves!$B$4:$AR$4,1,23-Projects!$C$24+1),0)+IF(AND(Projects!$G$25="Yes",Projects!$M$25="Yes",23&gt;=Projects!$C$25,23&lt;Projects!$C$25+Projects!$D$25),Projects!$B$25*INDEX(Curves!$B$4:$AR$4,1,23-Projects!$C$25+1),0)+IF(AND(Projects!$G$26="Yes",Projects!$M$26="Yes",23&gt;=Projects!$C$26,23&lt;Projects!$C$26+Projects!$D$26),Projects!$B$26*INDEX(Curves!$B$4:$AR$4,1,23-Projects!$C$26+1),0)+IF(AND(Projects!$G$27="Yes",Projects!$M$27="Yes",23&gt;=Projects!$C$27,23&lt;Projects!$C$27+Projects!$D$27),Projects!$B$27*INDEX(Curves!$B$4:$AR$4,1,23-Projects!$C$27+1),0)+IF(AND(Projects!$G$28="Yes",Projects!$M$28="Yes",23&gt;=Projects!$C$28,23&lt;Projects!$C$28+Projects!$D$28),Projects!$B$28*INDEX(Curves!$B$4:$AR$4,1,23-Projects!$C$28+1),0)+IF(AND(Projects!$G$29="Yes",Projects!$M$29="Yes",23&gt;=Projects!$C$29,23&lt;Projects!$C$29+Projects!$D$29),Projects!$B$29*INDEX(Curves!$B$4:$AR$4,1,23-Projects!$C$29+1),0)+IF(AND(Projects!$G$30="Yes",Projects!$M$30="Yes",23&gt;=Projects!$C$30,23&lt;Projects!$C$30+Projects!$D$30),Projects!$B$30*INDEX(Curves!$B$4:$AR$4,1,23-Projects!$C$30+1),0)+IF(AND(Projects!$G$31="Yes",Projects!$M$31="Yes",23&gt;=Projects!$C$31,23&lt;Projects!$C$31+Projects!$D$31),Projects!$B$31*INDEX(Curves!$B$4:$AR$4,1,23-Projects!$C$31+1),0)+IF(AND(Projects!$G$32="Yes",Projects!$M$32="Yes",23&gt;=Projects!$C$32,23&lt;Projects!$C$32+Projects!$D$32),Projects!$B$32*INDEX(Curves!$B$4:$AR$4,1,23-Projects!$C$32+1),0)+IF(AND(Projects!$G$33="Yes",Projects!$M$33="Yes",23&gt;=Projects!$C$33,23&lt;Projects!$C$33+Projects!$D$33),Projects!$B$33*INDEX(Curves!$B$4:$AR$4,1,23-Projects!$C$33+1),0)+IF(AND(Projects!$G$34="Yes",Projects!$M$34="Yes",23&gt;=Projects!$C$34,23&lt;Projects!$C$34+Projects!$D$34),Projects!$B$34*INDEX(Curves!$B$4:$AR$4,1,23-Projects!$C$34+1),0)+IF(AND(Projects!$G$35="Yes",Projects!$M$35="Yes",23&gt;=Projects!$C$35,23&lt;Projects!$C$35+Projects!$D$35),Projects!$B$35*INDEX(Curves!$B$4:$AR$4,1,23-Projects!$C$35+1),0)+IF(AND(Projects!$G$36="Yes",Projects!$M$36="Yes",23&gt;=Projects!$C$36,23&lt;Projects!$C$36+Projects!$D$36),Projects!$B$36*INDEX(Curves!$B$4:$AR$4,1,23-Projects!$C$36+1),0)+IF(AND(Projects!$G$37="Yes",Projects!$M$37="Yes",23&gt;=Projects!$C$37,23&lt;Projects!$C$37+Projects!$D$37),Projects!$B$37*INDEX(Curves!$B$4:$AR$4,1,23-Projects!$C$37+1),0)+IF(AND(Projects!$G$38="Yes",Projects!$M$38="Yes",23&gt;=Projects!$C$38,23&lt;Projects!$C$38+Projects!$D$38),Projects!$B$38*INDEX(Curves!$B$4:$AR$4,1,23-Projects!$C$38+1),0)+IF(AND(Projects!$G$39="Yes",Projects!$M$39="Yes",23&gt;=Projects!$C$39,23&lt;Projects!$C$39+Projects!$D$39),Projects!$B$39*INDEX(Curves!$B$4:$AR$4,1,23-Projects!$C$39+1),0)+IF(AND(Projects!$G$40="Yes",Projects!$M$40="Yes",23&gt;=Projects!$C$40,23&lt;Projects!$C$40+Projects!$D$40),Projects!$B$40*INDEX(Curves!$B$4:$AR$4,1,23-Projects!$C$40+1),0)+IF(AND(Projects!$G$41="Yes",Projects!$M$41="Yes",23&gt;=Projects!$C$41,23&lt;Projects!$C$41+Projects!$D$41),Projects!$B$41*INDEX(Curves!$B$4:$AR$4,1,23-Projects!$C$41+1),0)+IF(AND(Projects!$G$42="Yes",Projects!$M$42="Yes",23&gt;=Projects!$C$42,23&lt;Projects!$C$42+Projects!$D$42),Projects!$B$42*INDEX(Curves!$B$4:$AR$4,1,23-Projects!$C$42+1),0)+IF(AND(Projects!$G$43="Yes",Projects!$M$43="Yes",23&gt;=Projects!$C$43,23&lt;Projects!$C$43+Projects!$D$43),Projects!$B$43*INDEX(Curves!$B$4:$AR$4,1,23-Projects!$C$43+1),0)+IF(AND(Projects!$G$44="Yes",Projects!$M$44="Yes",23&gt;=Projects!$C$44,23&lt;Projects!$C$44+Projects!$D$44),Projects!$B$44*INDEX(Curves!$B$4:$AR$4,1,23-Projects!$C$44+1),0)+IF(AND(Projects!$G$45="Yes",Projects!$M$45="Yes",23&gt;=Projects!$C$45,23&lt;Projects!$C$45+Projects!$D$45),Projects!$B$45*INDEX(Curves!$B$4:$AR$4,1,23-Projects!$C$45+1),0)+IF(AND(Projects!$G$46="Yes",Projects!$M$46="Yes",23&gt;=Projects!$C$46,23&lt;Projects!$C$46+Projects!$D$46),Projects!$B$46*INDEX(Curves!$B$4:$AR$4,1,23-Projects!$C$46+1),0)</f>
        <v/>
      </c>
      <c r="AC101" s="691">
        <f>IF(AND(Projects!$G$17="Yes",Projects!$M$17="Yes",24&gt;=Projects!$C$17,24&lt;Projects!$C$17+Projects!$D$17),Projects!$B$17*INDEX(Curves!$B$4:$AR$4,1,24-Projects!$C$17+1),0)+IF(AND(Projects!$G$18="Yes",Projects!$M$18="Yes",24&gt;=Projects!$C$18,24&lt;Projects!$C$18+Projects!$D$18),Projects!$B$18*INDEX(Curves!$B$4:$AR$4,1,24-Projects!$C$18+1),0)+IF(AND(Projects!$G$19="Yes",Projects!$M$19="Yes",24&gt;=Projects!$C$19,24&lt;Projects!$C$19+Projects!$D$19),Projects!$B$19*INDEX(Curves!$B$4:$AR$4,1,24-Projects!$C$19+1),0)+IF(AND(Projects!$G$20="Yes",Projects!$M$20="Yes",24&gt;=Projects!$C$20,24&lt;Projects!$C$20+Projects!$D$20),Projects!$B$20*INDEX(Curves!$B$4:$AR$4,1,24-Projects!$C$20+1),0)+IF(AND(Projects!$G$21="Yes",Projects!$M$21="Yes",24&gt;=Projects!$C$21,24&lt;Projects!$C$21+Projects!$D$21),Projects!$B$21*INDEX(Curves!$B$4:$AR$4,1,24-Projects!$C$21+1),0)+IF(AND(Projects!$G$22="Yes",Projects!$M$22="Yes",24&gt;=Projects!$C$22,24&lt;Projects!$C$22+Projects!$D$22),Projects!$B$22*INDEX(Curves!$B$4:$AR$4,1,24-Projects!$C$22+1),0)+IF(AND(Projects!$G$23="Yes",Projects!$M$23="Yes",24&gt;=Projects!$C$23,24&lt;Projects!$C$23+Projects!$D$23),Projects!$B$23*INDEX(Curves!$B$4:$AR$4,1,24-Projects!$C$23+1),0)+IF(AND(Projects!$G$24="Yes",Projects!$M$24="Yes",24&gt;=Projects!$C$24,24&lt;Projects!$C$24+Projects!$D$24),Projects!$B$24*INDEX(Curves!$B$4:$AR$4,1,24-Projects!$C$24+1),0)+IF(AND(Projects!$G$25="Yes",Projects!$M$25="Yes",24&gt;=Projects!$C$25,24&lt;Projects!$C$25+Projects!$D$25),Projects!$B$25*INDEX(Curves!$B$4:$AR$4,1,24-Projects!$C$25+1),0)+IF(AND(Projects!$G$26="Yes",Projects!$M$26="Yes",24&gt;=Projects!$C$26,24&lt;Projects!$C$26+Projects!$D$26),Projects!$B$26*INDEX(Curves!$B$4:$AR$4,1,24-Projects!$C$26+1),0)+IF(AND(Projects!$G$27="Yes",Projects!$M$27="Yes",24&gt;=Projects!$C$27,24&lt;Projects!$C$27+Projects!$D$27),Projects!$B$27*INDEX(Curves!$B$4:$AR$4,1,24-Projects!$C$27+1),0)+IF(AND(Projects!$G$28="Yes",Projects!$M$28="Yes",24&gt;=Projects!$C$28,24&lt;Projects!$C$28+Projects!$D$28),Projects!$B$28*INDEX(Curves!$B$4:$AR$4,1,24-Projects!$C$28+1),0)+IF(AND(Projects!$G$29="Yes",Projects!$M$29="Yes",24&gt;=Projects!$C$29,24&lt;Projects!$C$29+Projects!$D$29),Projects!$B$29*INDEX(Curves!$B$4:$AR$4,1,24-Projects!$C$29+1),0)+IF(AND(Projects!$G$30="Yes",Projects!$M$30="Yes",24&gt;=Projects!$C$30,24&lt;Projects!$C$30+Projects!$D$30),Projects!$B$30*INDEX(Curves!$B$4:$AR$4,1,24-Projects!$C$30+1),0)+IF(AND(Projects!$G$31="Yes",Projects!$M$31="Yes",24&gt;=Projects!$C$31,24&lt;Projects!$C$31+Projects!$D$31),Projects!$B$31*INDEX(Curves!$B$4:$AR$4,1,24-Projects!$C$31+1),0)+IF(AND(Projects!$G$32="Yes",Projects!$M$32="Yes",24&gt;=Projects!$C$32,24&lt;Projects!$C$32+Projects!$D$32),Projects!$B$32*INDEX(Curves!$B$4:$AR$4,1,24-Projects!$C$32+1),0)+IF(AND(Projects!$G$33="Yes",Projects!$M$33="Yes",24&gt;=Projects!$C$33,24&lt;Projects!$C$33+Projects!$D$33),Projects!$B$33*INDEX(Curves!$B$4:$AR$4,1,24-Projects!$C$33+1),0)+IF(AND(Projects!$G$34="Yes",Projects!$M$34="Yes",24&gt;=Projects!$C$34,24&lt;Projects!$C$34+Projects!$D$34),Projects!$B$34*INDEX(Curves!$B$4:$AR$4,1,24-Projects!$C$34+1),0)+IF(AND(Projects!$G$35="Yes",Projects!$M$35="Yes",24&gt;=Projects!$C$35,24&lt;Projects!$C$35+Projects!$D$35),Projects!$B$35*INDEX(Curves!$B$4:$AR$4,1,24-Projects!$C$35+1),0)+IF(AND(Projects!$G$36="Yes",Projects!$M$36="Yes",24&gt;=Projects!$C$36,24&lt;Projects!$C$36+Projects!$D$36),Projects!$B$36*INDEX(Curves!$B$4:$AR$4,1,24-Projects!$C$36+1),0)+IF(AND(Projects!$G$37="Yes",Projects!$M$37="Yes",24&gt;=Projects!$C$37,24&lt;Projects!$C$37+Projects!$D$37),Projects!$B$37*INDEX(Curves!$B$4:$AR$4,1,24-Projects!$C$37+1),0)+IF(AND(Projects!$G$38="Yes",Projects!$M$38="Yes",24&gt;=Projects!$C$38,24&lt;Projects!$C$38+Projects!$D$38),Projects!$B$38*INDEX(Curves!$B$4:$AR$4,1,24-Projects!$C$38+1),0)+IF(AND(Projects!$G$39="Yes",Projects!$M$39="Yes",24&gt;=Projects!$C$39,24&lt;Projects!$C$39+Projects!$D$39),Projects!$B$39*INDEX(Curves!$B$4:$AR$4,1,24-Projects!$C$39+1),0)+IF(AND(Projects!$G$40="Yes",Projects!$M$40="Yes",24&gt;=Projects!$C$40,24&lt;Projects!$C$40+Projects!$D$40),Projects!$B$40*INDEX(Curves!$B$4:$AR$4,1,24-Projects!$C$40+1),0)+IF(AND(Projects!$G$41="Yes",Projects!$M$41="Yes",24&gt;=Projects!$C$41,24&lt;Projects!$C$41+Projects!$D$41),Projects!$B$41*INDEX(Curves!$B$4:$AR$4,1,24-Projects!$C$41+1),0)+IF(AND(Projects!$G$42="Yes",Projects!$M$42="Yes",24&gt;=Projects!$C$42,24&lt;Projects!$C$42+Projects!$D$42),Projects!$B$42*INDEX(Curves!$B$4:$AR$4,1,24-Projects!$C$42+1),0)+IF(AND(Projects!$G$43="Yes",Projects!$M$43="Yes",24&gt;=Projects!$C$43,24&lt;Projects!$C$43+Projects!$D$43),Projects!$B$43*INDEX(Curves!$B$4:$AR$4,1,24-Projects!$C$43+1),0)+IF(AND(Projects!$G$44="Yes",Projects!$M$44="Yes",24&gt;=Projects!$C$44,24&lt;Projects!$C$44+Projects!$D$44),Projects!$B$44*INDEX(Curves!$B$4:$AR$4,1,24-Projects!$C$44+1),0)+IF(AND(Projects!$G$45="Yes",Projects!$M$45="Yes",24&gt;=Projects!$C$45,24&lt;Projects!$C$45+Projects!$D$45),Projects!$B$45*INDEX(Curves!$B$4:$AR$4,1,24-Projects!$C$45+1),0)+IF(AND(Projects!$G$46="Yes",Projects!$M$46="Yes",24&gt;=Projects!$C$46,24&lt;Projects!$C$46+Projects!$D$46),Projects!$B$46*INDEX(Curves!$B$4:$AR$4,1,24-Projects!$C$46+1),0)</f>
        <v/>
      </c>
      <c r="AD101" s="691">
        <f>IF(AND(Projects!$G$17="Yes",Projects!$M$17="Yes",25&gt;=Projects!$C$17,25&lt;Projects!$C$17+Projects!$D$17),Projects!$B$17*INDEX(Curves!$B$4:$AR$4,1,25-Projects!$C$17+1),0)+IF(AND(Projects!$G$18="Yes",Projects!$M$18="Yes",25&gt;=Projects!$C$18,25&lt;Projects!$C$18+Projects!$D$18),Projects!$B$18*INDEX(Curves!$B$4:$AR$4,1,25-Projects!$C$18+1),0)+IF(AND(Projects!$G$19="Yes",Projects!$M$19="Yes",25&gt;=Projects!$C$19,25&lt;Projects!$C$19+Projects!$D$19),Projects!$B$19*INDEX(Curves!$B$4:$AR$4,1,25-Projects!$C$19+1),0)+IF(AND(Projects!$G$20="Yes",Projects!$M$20="Yes",25&gt;=Projects!$C$20,25&lt;Projects!$C$20+Projects!$D$20),Projects!$B$20*INDEX(Curves!$B$4:$AR$4,1,25-Projects!$C$20+1),0)+IF(AND(Projects!$G$21="Yes",Projects!$M$21="Yes",25&gt;=Projects!$C$21,25&lt;Projects!$C$21+Projects!$D$21),Projects!$B$21*INDEX(Curves!$B$4:$AR$4,1,25-Projects!$C$21+1),0)+IF(AND(Projects!$G$22="Yes",Projects!$M$22="Yes",25&gt;=Projects!$C$22,25&lt;Projects!$C$22+Projects!$D$22),Projects!$B$22*INDEX(Curves!$B$4:$AR$4,1,25-Projects!$C$22+1),0)+IF(AND(Projects!$G$23="Yes",Projects!$M$23="Yes",25&gt;=Projects!$C$23,25&lt;Projects!$C$23+Projects!$D$23),Projects!$B$23*INDEX(Curves!$B$4:$AR$4,1,25-Projects!$C$23+1),0)+IF(AND(Projects!$G$24="Yes",Projects!$M$24="Yes",25&gt;=Projects!$C$24,25&lt;Projects!$C$24+Projects!$D$24),Projects!$B$24*INDEX(Curves!$B$4:$AR$4,1,25-Projects!$C$24+1),0)+IF(AND(Projects!$G$25="Yes",Projects!$M$25="Yes",25&gt;=Projects!$C$25,25&lt;Projects!$C$25+Projects!$D$25),Projects!$B$25*INDEX(Curves!$B$4:$AR$4,1,25-Projects!$C$25+1),0)+IF(AND(Projects!$G$26="Yes",Projects!$M$26="Yes",25&gt;=Projects!$C$26,25&lt;Projects!$C$26+Projects!$D$26),Projects!$B$26*INDEX(Curves!$B$4:$AR$4,1,25-Projects!$C$26+1),0)+IF(AND(Projects!$G$27="Yes",Projects!$M$27="Yes",25&gt;=Projects!$C$27,25&lt;Projects!$C$27+Projects!$D$27),Projects!$B$27*INDEX(Curves!$B$4:$AR$4,1,25-Projects!$C$27+1),0)+IF(AND(Projects!$G$28="Yes",Projects!$M$28="Yes",25&gt;=Projects!$C$28,25&lt;Projects!$C$28+Projects!$D$28),Projects!$B$28*INDEX(Curves!$B$4:$AR$4,1,25-Projects!$C$28+1),0)+IF(AND(Projects!$G$29="Yes",Projects!$M$29="Yes",25&gt;=Projects!$C$29,25&lt;Projects!$C$29+Projects!$D$29),Projects!$B$29*INDEX(Curves!$B$4:$AR$4,1,25-Projects!$C$29+1),0)+IF(AND(Projects!$G$30="Yes",Projects!$M$30="Yes",25&gt;=Projects!$C$30,25&lt;Projects!$C$30+Projects!$D$30),Projects!$B$30*INDEX(Curves!$B$4:$AR$4,1,25-Projects!$C$30+1),0)+IF(AND(Projects!$G$31="Yes",Projects!$M$31="Yes",25&gt;=Projects!$C$31,25&lt;Projects!$C$31+Projects!$D$31),Projects!$B$31*INDEX(Curves!$B$4:$AR$4,1,25-Projects!$C$31+1),0)+IF(AND(Projects!$G$32="Yes",Projects!$M$32="Yes",25&gt;=Projects!$C$32,25&lt;Projects!$C$32+Projects!$D$32),Projects!$B$32*INDEX(Curves!$B$4:$AR$4,1,25-Projects!$C$32+1),0)+IF(AND(Projects!$G$33="Yes",Projects!$M$33="Yes",25&gt;=Projects!$C$33,25&lt;Projects!$C$33+Projects!$D$33),Projects!$B$33*INDEX(Curves!$B$4:$AR$4,1,25-Projects!$C$33+1),0)+IF(AND(Projects!$G$34="Yes",Projects!$M$34="Yes",25&gt;=Projects!$C$34,25&lt;Projects!$C$34+Projects!$D$34),Projects!$B$34*INDEX(Curves!$B$4:$AR$4,1,25-Projects!$C$34+1),0)+IF(AND(Projects!$G$35="Yes",Projects!$M$35="Yes",25&gt;=Projects!$C$35,25&lt;Projects!$C$35+Projects!$D$35),Projects!$B$35*INDEX(Curves!$B$4:$AR$4,1,25-Projects!$C$35+1),0)+IF(AND(Projects!$G$36="Yes",Projects!$M$36="Yes",25&gt;=Projects!$C$36,25&lt;Projects!$C$36+Projects!$D$36),Projects!$B$36*INDEX(Curves!$B$4:$AR$4,1,25-Projects!$C$36+1),0)+IF(AND(Projects!$G$37="Yes",Projects!$M$37="Yes",25&gt;=Projects!$C$37,25&lt;Projects!$C$37+Projects!$D$37),Projects!$B$37*INDEX(Curves!$B$4:$AR$4,1,25-Projects!$C$37+1),0)+IF(AND(Projects!$G$38="Yes",Projects!$M$38="Yes",25&gt;=Projects!$C$38,25&lt;Projects!$C$38+Projects!$D$38),Projects!$B$38*INDEX(Curves!$B$4:$AR$4,1,25-Projects!$C$38+1),0)+IF(AND(Projects!$G$39="Yes",Projects!$M$39="Yes",25&gt;=Projects!$C$39,25&lt;Projects!$C$39+Projects!$D$39),Projects!$B$39*INDEX(Curves!$B$4:$AR$4,1,25-Projects!$C$39+1),0)+IF(AND(Projects!$G$40="Yes",Projects!$M$40="Yes",25&gt;=Projects!$C$40,25&lt;Projects!$C$40+Projects!$D$40),Projects!$B$40*INDEX(Curves!$B$4:$AR$4,1,25-Projects!$C$40+1),0)+IF(AND(Projects!$G$41="Yes",Projects!$M$41="Yes",25&gt;=Projects!$C$41,25&lt;Projects!$C$41+Projects!$D$41),Projects!$B$41*INDEX(Curves!$B$4:$AR$4,1,25-Projects!$C$41+1),0)+IF(AND(Projects!$G$42="Yes",Projects!$M$42="Yes",25&gt;=Projects!$C$42,25&lt;Projects!$C$42+Projects!$D$42),Projects!$B$42*INDEX(Curves!$B$4:$AR$4,1,25-Projects!$C$42+1),0)+IF(AND(Projects!$G$43="Yes",Projects!$M$43="Yes",25&gt;=Projects!$C$43,25&lt;Projects!$C$43+Projects!$D$43),Projects!$B$43*INDEX(Curves!$B$4:$AR$4,1,25-Projects!$C$43+1),0)+IF(AND(Projects!$G$44="Yes",Projects!$M$44="Yes",25&gt;=Projects!$C$44,25&lt;Projects!$C$44+Projects!$D$44),Projects!$B$44*INDEX(Curves!$B$4:$AR$4,1,25-Projects!$C$44+1),0)+IF(AND(Projects!$G$45="Yes",Projects!$M$45="Yes",25&gt;=Projects!$C$45,25&lt;Projects!$C$45+Projects!$D$45),Projects!$B$45*INDEX(Curves!$B$4:$AR$4,1,25-Projects!$C$45+1),0)+IF(AND(Projects!$G$46="Yes",Projects!$M$46="Yes",25&gt;=Projects!$C$46,25&lt;Projects!$C$46+Projects!$D$46),Projects!$B$46*INDEX(Curves!$B$4:$AR$4,1,25-Projects!$C$46+1),0)</f>
        <v/>
      </c>
      <c r="AE101" s="691">
        <f>IF(AND(Projects!$G$17="Yes",Projects!$M$17="Yes",26&gt;=Projects!$C$17,26&lt;Projects!$C$17+Projects!$D$17),Projects!$B$17*INDEX(Curves!$B$4:$AR$4,1,26-Projects!$C$17+1),0)+IF(AND(Projects!$G$18="Yes",Projects!$M$18="Yes",26&gt;=Projects!$C$18,26&lt;Projects!$C$18+Projects!$D$18),Projects!$B$18*INDEX(Curves!$B$4:$AR$4,1,26-Projects!$C$18+1),0)+IF(AND(Projects!$G$19="Yes",Projects!$M$19="Yes",26&gt;=Projects!$C$19,26&lt;Projects!$C$19+Projects!$D$19),Projects!$B$19*INDEX(Curves!$B$4:$AR$4,1,26-Projects!$C$19+1),0)+IF(AND(Projects!$G$20="Yes",Projects!$M$20="Yes",26&gt;=Projects!$C$20,26&lt;Projects!$C$20+Projects!$D$20),Projects!$B$20*INDEX(Curves!$B$4:$AR$4,1,26-Projects!$C$20+1),0)+IF(AND(Projects!$G$21="Yes",Projects!$M$21="Yes",26&gt;=Projects!$C$21,26&lt;Projects!$C$21+Projects!$D$21),Projects!$B$21*INDEX(Curves!$B$4:$AR$4,1,26-Projects!$C$21+1),0)+IF(AND(Projects!$G$22="Yes",Projects!$M$22="Yes",26&gt;=Projects!$C$22,26&lt;Projects!$C$22+Projects!$D$22),Projects!$B$22*INDEX(Curves!$B$4:$AR$4,1,26-Projects!$C$22+1),0)+IF(AND(Projects!$G$23="Yes",Projects!$M$23="Yes",26&gt;=Projects!$C$23,26&lt;Projects!$C$23+Projects!$D$23),Projects!$B$23*INDEX(Curves!$B$4:$AR$4,1,26-Projects!$C$23+1),0)+IF(AND(Projects!$G$24="Yes",Projects!$M$24="Yes",26&gt;=Projects!$C$24,26&lt;Projects!$C$24+Projects!$D$24),Projects!$B$24*INDEX(Curves!$B$4:$AR$4,1,26-Projects!$C$24+1),0)+IF(AND(Projects!$G$25="Yes",Projects!$M$25="Yes",26&gt;=Projects!$C$25,26&lt;Projects!$C$25+Projects!$D$25),Projects!$B$25*INDEX(Curves!$B$4:$AR$4,1,26-Projects!$C$25+1),0)+IF(AND(Projects!$G$26="Yes",Projects!$M$26="Yes",26&gt;=Projects!$C$26,26&lt;Projects!$C$26+Projects!$D$26),Projects!$B$26*INDEX(Curves!$B$4:$AR$4,1,26-Projects!$C$26+1),0)+IF(AND(Projects!$G$27="Yes",Projects!$M$27="Yes",26&gt;=Projects!$C$27,26&lt;Projects!$C$27+Projects!$D$27),Projects!$B$27*INDEX(Curves!$B$4:$AR$4,1,26-Projects!$C$27+1),0)+IF(AND(Projects!$G$28="Yes",Projects!$M$28="Yes",26&gt;=Projects!$C$28,26&lt;Projects!$C$28+Projects!$D$28),Projects!$B$28*INDEX(Curves!$B$4:$AR$4,1,26-Projects!$C$28+1),0)+IF(AND(Projects!$G$29="Yes",Projects!$M$29="Yes",26&gt;=Projects!$C$29,26&lt;Projects!$C$29+Projects!$D$29),Projects!$B$29*INDEX(Curves!$B$4:$AR$4,1,26-Projects!$C$29+1),0)+IF(AND(Projects!$G$30="Yes",Projects!$M$30="Yes",26&gt;=Projects!$C$30,26&lt;Projects!$C$30+Projects!$D$30),Projects!$B$30*INDEX(Curves!$B$4:$AR$4,1,26-Projects!$C$30+1),0)+IF(AND(Projects!$G$31="Yes",Projects!$M$31="Yes",26&gt;=Projects!$C$31,26&lt;Projects!$C$31+Projects!$D$31),Projects!$B$31*INDEX(Curves!$B$4:$AR$4,1,26-Projects!$C$31+1),0)+IF(AND(Projects!$G$32="Yes",Projects!$M$32="Yes",26&gt;=Projects!$C$32,26&lt;Projects!$C$32+Projects!$D$32),Projects!$B$32*INDEX(Curves!$B$4:$AR$4,1,26-Projects!$C$32+1),0)+IF(AND(Projects!$G$33="Yes",Projects!$M$33="Yes",26&gt;=Projects!$C$33,26&lt;Projects!$C$33+Projects!$D$33),Projects!$B$33*INDEX(Curves!$B$4:$AR$4,1,26-Projects!$C$33+1),0)+IF(AND(Projects!$G$34="Yes",Projects!$M$34="Yes",26&gt;=Projects!$C$34,26&lt;Projects!$C$34+Projects!$D$34),Projects!$B$34*INDEX(Curves!$B$4:$AR$4,1,26-Projects!$C$34+1),0)+IF(AND(Projects!$G$35="Yes",Projects!$M$35="Yes",26&gt;=Projects!$C$35,26&lt;Projects!$C$35+Projects!$D$35),Projects!$B$35*INDEX(Curves!$B$4:$AR$4,1,26-Projects!$C$35+1),0)+IF(AND(Projects!$G$36="Yes",Projects!$M$36="Yes",26&gt;=Projects!$C$36,26&lt;Projects!$C$36+Projects!$D$36),Projects!$B$36*INDEX(Curves!$B$4:$AR$4,1,26-Projects!$C$36+1),0)+IF(AND(Projects!$G$37="Yes",Projects!$M$37="Yes",26&gt;=Projects!$C$37,26&lt;Projects!$C$37+Projects!$D$37),Projects!$B$37*INDEX(Curves!$B$4:$AR$4,1,26-Projects!$C$37+1),0)+IF(AND(Projects!$G$38="Yes",Projects!$M$38="Yes",26&gt;=Projects!$C$38,26&lt;Projects!$C$38+Projects!$D$38),Projects!$B$38*INDEX(Curves!$B$4:$AR$4,1,26-Projects!$C$38+1),0)+IF(AND(Projects!$G$39="Yes",Projects!$M$39="Yes",26&gt;=Projects!$C$39,26&lt;Projects!$C$39+Projects!$D$39),Projects!$B$39*INDEX(Curves!$B$4:$AR$4,1,26-Projects!$C$39+1),0)+IF(AND(Projects!$G$40="Yes",Projects!$M$40="Yes",26&gt;=Projects!$C$40,26&lt;Projects!$C$40+Projects!$D$40),Projects!$B$40*INDEX(Curves!$B$4:$AR$4,1,26-Projects!$C$40+1),0)+IF(AND(Projects!$G$41="Yes",Projects!$M$41="Yes",26&gt;=Projects!$C$41,26&lt;Projects!$C$41+Projects!$D$41),Projects!$B$41*INDEX(Curves!$B$4:$AR$4,1,26-Projects!$C$41+1),0)+IF(AND(Projects!$G$42="Yes",Projects!$M$42="Yes",26&gt;=Projects!$C$42,26&lt;Projects!$C$42+Projects!$D$42),Projects!$B$42*INDEX(Curves!$B$4:$AR$4,1,26-Projects!$C$42+1),0)+IF(AND(Projects!$G$43="Yes",Projects!$M$43="Yes",26&gt;=Projects!$C$43,26&lt;Projects!$C$43+Projects!$D$43),Projects!$B$43*INDEX(Curves!$B$4:$AR$4,1,26-Projects!$C$43+1),0)+IF(AND(Projects!$G$44="Yes",Projects!$M$44="Yes",26&gt;=Projects!$C$44,26&lt;Projects!$C$44+Projects!$D$44),Projects!$B$44*INDEX(Curves!$B$4:$AR$4,1,26-Projects!$C$44+1),0)+IF(AND(Projects!$G$45="Yes",Projects!$M$45="Yes",26&gt;=Projects!$C$45,26&lt;Projects!$C$45+Projects!$D$45),Projects!$B$45*INDEX(Curves!$B$4:$AR$4,1,26-Projects!$C$45+1),0)+IF(AND(Projects!$G$46="Yes",Projects!$M$46="Yes",26&gt;=Projects!$C$46,26&lt;Projects!$C$46+Projects!$D$46),Projects!$B$46*INDEX(Curves!$B$4:$AR$4,1,26-Projects!$C$46+1),0)</f>
        <v/>
      </c>
      <c r="AF101" s="691">
        <f>IF(AND(Projects!$G$17="Yes",Projects!$M$17="Yes",27&gt;=Projects!$C$17,27&lt;Projects!$C$17+Projects!$D$17),Projects!$B$17*INDEX(Curves!$B$4:$AR$4,1,27-Projects!$C$17+1),0)+IF(AND(Projects!$G$18="Yes",Projects!$M$18="Yes",27&gt;=Projects!$C$18,27&lt;Projects!$C$18+Projects!$D$18),Projects!$B$18*INDEX(Curves!$B$4:$AR$4,1,27-Projects!$C$18+1),0)+IF(AND(Projects!$G$19="Yes",Projects!$M$19="Yes",27&gt;=Projects!$C$19,27&lt;Projects!$C$19+Projects!$D$19),Projects!$B$19*INDEX(Curves!$B$4:$AR$4,1,27-Projects!$C$19+1),0)+IF(AND(Projects!$G$20="Yes",Projects!$M$20="Yes",27&gt;=Projects!$C$20,27&lt;Projects!$C$20+Projects!$D$20),Projects!$B$20*INDEX(Curves!$B$4:$AR$4,1,27-Projects!$C$20+1),0)+IF(AND(Projects!$G$21="Yes",Projects!$M$21="Yes",27&gt;=Projects!$C$21,27&lt;Projects!$C$21+Projects!$D$21),Projects!$B$21*INDEX(Curves!$B$4:$AR$4,1,27-Projects!$C$21+1),0)+IF(AND(Projects!$G$22="Yes",Projects!$M$22="Yes",27&gt;=Projects!$C$22,27&lt;Projects!$C$22+Projects!$D$22),Projects!$B$22*INDEX(Curves!$B$4:$AR$4,1,27-Projects!$C$22+1),0)+IF(AND(Projects!$G$23="Yes",Projects!$M$23="Yes",27&gt;=Projects!$C$23,27&lt;Projects!$C$23+Projects!$D$23),Projects!$B$23*INDEX(Curves!$B$4:$AR$4,1,27-Projects!$C$23+1),0)+IF(AND(Projects!$G$24="Yes",Projects!$M$24="Yes",27&gt;=Projects!$C$24,27&lt;Projects!$C$24+Projects!$D$24),Projects!$B$24*INDEX(Curves!$B$4:$AR$4,1,27-Projects!$C$24+1),0)+IF(AND(Projects!$G$25="Yes",Projects!$M$25="Yes",27&gt;=Projects!$C$25,27&lt;Projects!$C$25+Projects!$D$25),Projects!$B$25*INDEX(Curves!$B$4:$AR$4,1,27-Projects!$C$25+1),0)+IF(AND(Projects!$G$26="Yes",Projects!$M$26="Yes",27&gt;=Projects!$C$26,27&lt;Projects!$C$26+Projects!$D$26),Projects!$B$26*INDEX(Curves!$B$4:$AR$4,1,27-Projects!$C$26+1),0)+IF(AND(Projects!$G$27="Yes",Projects!$M$27="Yes",27&gt;=Projects!$C$27,27&lt;Projects!$C$27+Projects!$D$27),Projects!$B$27*INDEX(Curves!$B$4:$AR$4,1,27-Projects!$C$27+1),0)+IF(AND(Projects!$G$28="Yes",Projects!$M$28="Yes",27&gt;=Projects!$C$28,27&lt;Projects!$C$28+Projects!$D$28),Projects!$B$28*INDEX(Curves!$B$4:$AR$4,1,27-Projects!$C$28+1),0)+IF(AND(Projects!$G$29="Yes",Projects!$M$29="Yes",27&gt;=Projects!$C$29,27&lt;Projects!$C$29+Projects!$D$29),Projects!$B$29*INDEX(Curves!$B$4:$AR$4,1,27-Projects!$C$29+1),0)+IF(AND(Projects!$G$30="Yes",Projects!$M$30="Yes",27&gt;=Projects!$C$30,27&lt;Projects!$C$30+Projects!$D$30),Projects!$B$30*INDEX(Curves!$B$4:$AR$4,1,27-Projects!$C$30+1),0)+IF(AND(Projects!$G$31="Yes",Projects!$M$31="Yes",27&gt;=Projects!$C$31,27&lt;Projects!$C$31+Projects!$D$31),Projects!$B$31*INDEX(Curves!$B$4:$AR$4,1,27-Projects!$C$31+1),0)+IF(AND(Projects!$G$32="Yes",Projects!$M$32="Yes",27&gt;=Projects!$C$32,27&lt;Projects!$C$32+Projects!$D$32),Projects!$B$32*INDEX(Curves!$B$4:$AR$4,1,27-Projects!$C$32+1),0)+IF(AND(Projects!$G$33="Yes",Projects!$M$33="Yes",27&gt;=Projects!$C$33,27&lt;Projects!$C$33+Projects!$D$33),Projects!$B$33*INDEX(Curves!$B$4:$AR$4,1,27-Projects!$C$33+1),0)+IF(AND(Projects!$G$34="Yes",Projects!$M$34="Yes",27&gt;=Projects!$C$34,27&lt;Projects!$C$34+Projects!$D$34),Projects!$B$34*INDEX(Curves!$B$4:$AR$4,1,27-Projects!$C$34+1),0)+IF(AND(Projects!$G$35="Yes",Projects!$M$35="Yes",27&gt;=Projects!$C$35,27&lt;Projects!$C$35+Projects!$D$35),Projects!$B$35*INDEX(Curves!$B$4:$AR$4,1,27-Projects!$C$35+1),0)+IF(AND(Projects!$G$36="Yes",Projects!$M$36="Yes",27&gt;=Projects!$C$36,27&lt;Projects!$C$36+Projects!$D$36),Projects!$B$36*INDEX(Curves!$B$4:$AR$4,1,27-Projects!$C$36+1),0)+IF(AND(Projects!$G$37="Yes",Projects!$M$37="Yes",27&gt;=Projects!$C$37,27&lt;Projects!$C$37+Projects!$D$37),Projects!$B$37*INDEX(Curves!$B$4:$AR$4,1,27-Projects!$C$37+1),0)+IF(AND(Projects!$G$38="Yes",Projects!$M$38="Yes",27&gt;=Projects!$C$38,27&lt;Projects!$C$38+Projects!$D$38),Projects!$B$38*INDEX(Curves!$B$4:$AR$4,1,27-Projects!$C$38+1),0)+IF(AND(Projects!$G$39="Yes",Projects!$M$39="Yes",27&gt;=Projects!$C$39,27&lt;Projects!$C$39+Projects!$D$39),Projects!$B$39*INDEX(Curves!$B$4:$AR$4,1,27-Projects!$C$39+1),0)+IF(AND(Projects!$G$40="Yes",Projects!$M$40="Yes",27&gt;=Projects!$C$40,27&lt;Projects!$C$40+Projects!$D$40),Projects!$B$40*INDEX(Curves!$B$4:$AR$4,1,27-Projects!$C$40+1),0)+IF(AND(Projects!$G$41="Yes",Projects!$M$41="Yes",27&gt;=Projects!$C$41,27&lt;Projects!$C$41+Projects!$D$41),Projects!$B$41*INDEX(Curves!$B$4:$AR$4,1,27-Projects!$C$41+1),0)+IF(AND(Projects!$G$42="Yes",Projects!$M$42="Yes",27&gt;=Projects!$C$42,27&lt;Projects!$C$42+Projects!$D$42),Projects!$B$42*INDEX(Curves!$B$4:$AR$4,1,27-Projects!$C$42+1),0)+IF(AND(Projects!$G$43="Yes",Projects!$M$43="Yes",27&gt;=Projects!$C$43,27&lt;Projects!$C$43+Projects!$D$43),Projects!$B$43*INDEX(Curves!$B$4:$AR$4,1,27-Projects!$C$43+1),0)+IF(AND(Projects!$G$44="Yes",Projects!$M$44="Yes",27&gt;=Projects!$C$44,27&lt;Projects!$C$44+Projects!$D$44),Projects!$B$44*INDEX(Curves!$B$4:$AR$4,1,27-Projects!$C$44+1),0)+IF(AND(Projects!$G$45="Yes",Projects!$M$45="Yes",27&gt;=Projects!$C$45,27&lt;Projects!$C$45+Projects!$D$45),Projects!$B$45*INDEX(Curves!$B$4:$AR$4,1,27-Projects!$C$45+1),0)+IF(AND(Projects!$G$46="Yes",Projects!$M$46="Yes",27&gt;=Projects!$C$46,27&lt;Projects!$C$46+Projects!$D$46),Projects!$B$46*INDEX(Curves!$B$4:$AR$4,1,27-Projects!$C$46+1),0)</f>
        <v/>
      </c>
      <c r="AG101" s="691">
        <f>IF(AND(Projects!$G$17="Yes",Projects!$M$17="Yes",28&gt;=Projects!$C$17,28&lt;Projects!$C$17+Projects!$D$17),Projects!$B$17*INDEX(Curves!$B$4:$AR$4,1,28-Projects!$C$17+1),0)+IF(AND(Projects!$G$18="Yes",Projects!$M$18="Yes",28&gt;=Projects!$C$18,28&lt;Projects!$C$18+Projects!$D$18),Projects!$B$18*INDEX(Curves!$B$4:$AR$4,1,28-Projects!$C$18+1),0)+IF(AND(Projects!$G$19="Yes",Projects!$M$19="Yes",28&gt;=Projects!$C$19,28&lt;Projects!$C$19+Projects!$D$19),Projects!$B$19*INDEX(Curves!$B$4:$AR$4,1,28-Projects!$C$19+1),0)+IF(AND(Projects!$G$20="Yes",Projects!$M$20="Yes",28&gt;=Projects!$C$20,28&lt;Projects!$C$20+Projects!$D$20),Projects!$B$20*INDEX(Curves!$B$4:$AR$4,1,28-Projects!$C$20+1),0)+IF(AND(Projects!$G$21="Yes",Projects!$M$21="Yes",28&gt;=Projects!$C$21,28&lt;Projects!$C$21+Projects!$D$21),Projects!$B$21*INDEX(Curves!$B$4:$AR$4,1,28-Projects!$C$21+1),0)+IF(AND(Projects!$G$22="Yes",Projects!$M$22="Yes",28&gt;=Projects!$C$22,28&lt;Projects!$C$22+Projects!$D$22),Projects!$B$22*INDEX(Curves!$B$4:$AR$4,1,28-Projects!$C$22+1),0)+IF(AND(Projects!$G$23="Yes",Projects!$M$23="Yes",28&gt;=Projects!$C$23,28&lt;Projects!$C$23+Projects!$D$23),Projects!$B$23*INDEX(Curves!$B$4:$AR$4,1,28-Projects!$C$23+1),0)+IF(AND(Projects!$G$24="Yes",Projects!$M$24="Yes",28&gt;=Projects!$C$24,28&lt;Projects!$C$24+Projects!$D$24),Projects!$B$24*INDEX(Curves!$B$4:$AR$4,1,28-Projects!$C$24+1),0)+IF(AND(Projects!$G$25="Yes",Projects!$M$25="Yes",28&gt;=Projects!$C$25,28&lt;Projects!$C$25+Projects!$D$25),Projects!$B$25*INDEX(Curves!$B$4:$AR$4,1,28-Projects!$C$25+1),0)+IF(AND(Projects!$G$26="Yes",Projects!$M$26="Yes",28&gt;=Projects!$C$26,28&lt;Projects!$C$26+Projects!$D$26),Projects!$B$26*INDEX(Curves!$B$4:$AR$4,1,28-Projects!$C$26+1),0)+IF(AND(Projects!$G$27="Yes",Projects!$M$27="Yes",28&gt;=Projects!$C$27,28&lt;Projects!$C$27+Projects!$D$27),Projects!$B$27*INDEX(Curves!$B$4:$AR$4,1,28-Projects!$C$27+1),0)+IF(AND(Projects!$G$28="Yes",Projects!$M$28="Yes",28&gt;=Projects!$C$28,28&lt;Projects!$C$28+Projects!$D$28),Projects!$B$28*INDEX(Curves!$B$4:$AR$4,1,28-Projects!$C$28+1),0)+IF(AND(Projects!$G$29="Yes",Projects!$M$29="Yes",28&gt;=Projects!$C$29,28&lt;Projects!$C$29+Projects!$D$29),Projects!$B$29*INDEX(Curves!$B$4:$AR$4,1,28-Projects!$C$29+1),0)+IF(AND(Projects!$G$30="Yes",Projects!$M$30="Yes",28&gt;=Projects!$C$30,28&lt;Projects!$C$30+Projects!$D$30),Projects!$B$30*INDEX(Curves!$B$4:$AR$4,1,28-Projects!$C$30+1),0)+IF(AND(Projects!$G$31="Yes",Projects!$M$31="Yes",28&gt;=Projects!$C$31,28&lt;Projects!$C$31+Projects!$D$31),Projects!$B$31*INDEX(Curves!$B$4:$AR$4,1,28-Projects!$C$31+1),0)+IF(AND(Projects!$G$32="Yes",Projects!$M$32="Yes",28&gt;=Projects!$C$32,28&lt;Projects!$C$32+Projects!$D$32),Projects!$B$32*INDEX(Curves!$B$4:$AR$4,1,28-Projects!$C$32+1),0)+IF(AND(Projects!$G$33="Yes",Projects!$M$33="Yes",28&gt;=Projects!$C$33,28&lt;Projects!$C$33+Projects!$D$33),Projects!$B$33*INDEX(Curves!$B$4:$AR$4,1,28-Projects!$C$33+1),0)+IF(AND(Projects!$G$34="Yes",Projects!$M$34="Yes",28&gt;=Projects!$C$34,28&lt;Projects!$C$34+Projects!$D$34),Projects!$B$34*INDEX(Curves!$B$4:$AR$4,1,28-Projects!$C$34+1),0)+IF(AND(Projects!$G$35="Yes",Projects!$M$35="Yes",28&gt;=Projects!$C$35,28&lt;Projects!$C$35+Projects!$D$35),Projects!$B$35*INDEX(Curves!$B$4:$AR$4,1,28-Projects!$C$35+1),0)+IF(AND(Projects!$G$36="Yes",Projects!$M$36="Yes",28&gt;=Projects!$C$36,28&lt;Projects!$C$36+Projects!$D$36),Projects!$B$36*INDEX(Curves!$B$4:$AR$4,1,28-Projects!$C$36+1),0)+IF(AND(Projects!$G$37="Yes",Projects!$M$37="Yes",28&gt;=Projects!$C$37,28&lt;Projects!$C$37+Projects!$D$37),Projects!$B$37*INDEX(Curves!$B$4:$AR$4,1,28-Projects!$C$37+1),0)+IF(AND(Projects!$G$38="Yes",Projects!$M$38="Yes",28&gt;=Projects!$C$38,28&lt;Projects!$C$38+Projects!$D$38),Projects!$B$38*INDEX(Curves!$B$4:$AR$4,1,28-Projects!$C$38+1),0)+IF(AND(Projects!$G$39="Yes",Projects!$M$39="Yes",28&gt;=Projects!$C$39,28&lt;Projects!$C$39+Projects!$D$39),Projects!$B$39*INDEX(Curves!$B$4:$AR$4,1,28-Projects!$C$39+1),0)+IF(AND(Projects!$G$40="Yes",Projects!$M$40="Yes",28&gt;=Projects!$C$40,28&lt;Projects!$C$40+Projects!$D$40),Projects!$B$40*INDEX(Curves!$B$4:$AR$4,1,28-Projects!$C$40+1),0)+IF(AND(Projects!$G$41="Yes",Projects!$M$41="Yes",28&gt;=Projects!$C$41,28&lt;Projects!$C$41+Projects!$D$41),Projects!$B$41*INDEX(Curves!$B$4:$AR$4,1,28-Projects!$C$41+1),0)+IF(AND(Projects!$G$42="Yes",Projects!$M$42="Yes",28&gt;=Projects!$C$42,28&lt;Projects!$C$42+Projects!$D$42),Projects!$B$42*INDEX(Curves!$B$4:$AR$4,1,28-Projects!$C$42+1),0)+IF(AND(Projects!$G$43="Yes",Projects!$M$43="Yes",28&gt;=Projects!$C$43,28&lt;Projects!$C$43+Projects!$D$43),Projects!$B$43*INDEX(Curves!$B$4:$AR$4,1,28-Projects!$C$43+1),0)+IF(AND(Projects!$G$44="Yes",Projects!$M$44="Yes",28&gt;=Projects!$C$44,28&lt;Projects!$C$44+Projects!$D$44),Projects!$B$44*INDEX(Curves!$B$4:$AR$4,1,28-Projects!$C$44+1),0)+IF(AND(Projects!$G$45="Yes",Projects!$M$45="Yes",28&gt;=Projects!$C$45,28&lt;Projects!$C$45+Projects!$D$45),Projects!$B$45*INDEX(Curves!$B$4:$AR$4,1,28-Projects!$C$45+1),0)+IF(AND(Projects!$G$46="Yes",Projects!$M$46="Yes",28&gt;=Projects!$C$46,28&lt;Projects!$C$46+Projects!$D$46),Projects!$B$46*INDEX(Curves!$B$4:$AR$4,1,28-Projects!$C$46+1),0)</f>
        <v/>
      </c>
      <c r="AH101" s="691">
        <f>IF(AND(Projects!$G$17="Yes",Projects!$M$17="Yes",29&gt;=Projects!$C$17,29&lt;Projects!$C$17+Projects!$D$17),Projects!$B$17*INDEX(Curves!$B$4:$AR$4,1,29-Projects!$C$17+1),0)+IF(AND(Projects!$G$18="Yes",Projects!$M$18="Yes",29&gt;=Projects!$C$18,29&lt;Projects!$C$18+Projects!$D$18),Projects!$B$18*INDEX(Curves!$B$4:$AR$4,1,29-Projects!$C$18+1),0)+IF(AND(Projects!$G$19="Yes",Projects!$M$19="Yes",29&gt;=Projects!$C$19,29&lt;Projects!$C$19+Projects!$D$19),Projects!$B$19*INDEX(Curves!$B$4:$AR$4,1,29-Projects!$C$19+1),0)+IF(AND(Projects!$G$20="Yes",Projects!$M$20="Yes",29&gt;=Projects!$C$20,29&lt;Projects!$C$20+Projects!$D$20),Projects!$B$20*INDEX(Curves!$B$4:$AR$4,1,29-Projects!$C$20+1),0)+IF(AND(Projects!$G$21="Yes",Projects!$M$21="Yes",29&gt;=Projects!$C$21,29&lt;Projects!$C$21+Projects!$D$21),Projects!$B$21*INDEX(Curves!$B$4:$AR$4,1,29-Projects!$C$21+1),0)+IF(AND(Projects!$G$22="Yes",Projects!$M$22="Yes",29&gt;=Projects!$C$22,29&lt;Projects!$C$22+Projects!$D$22),Projects!$B$22*INDEX(Curves!$B$4:$AR$4,1,29-Projects!$C$22+1),0)+IF(AND(Projects!$G$23="Yes",Projects!$M$23="Yes",29&gt;=Projects!$C$23,29&lt;Projects!$C$23+Projects!$D$23),Projects!$B$23*INDEX(Curves!$B$4:$AR$4,1,29-Projects!$C$23+1),0)+IF(AND(Projects!$G$24="Yes",Projects!$M$24="Yes",29&gt;=Projects!$C$24,29&lt;Projects!$C$24+Projects!$D$24),Projects!$B$24*INDEX(Curves!$B$4:$AR$4,1,29-Projects!$C$24+1),0)+IF(AND(Projects!$G$25="Yes",Projects!$M$25="Yes",29&gt;=Projects!$C$25,29&lt;Projects!$C$25+Projects!$D$25),Projects!$B$25*INDEX(Curves!$B$4:$AR$4,1,29-Projects!$C$25+1),0)+IF(AND(Projects!$G$26="Yes",Projects!$M$26="Yes",29&gt;=Projects!$C$26,29&lt;Projects!$C$26+Projects!$D$26),Projects!$B$26*INDEX(Curves!$B$4:$AR$4,1,29-Projects!$C$26+1),0)+IF(AND(Projects!$G$27="Yes",Projects!$M$27="Yes",29&gt;=Projects!$C$27,29&lt;Projects!$C$27+Projects!$D$27),Projects!$B$27*INDEX(Curves!$B$4:$AR$4,1,29-Projects!$C$27+1),0)+IF(AND(Projects!$G$28="Yes",Projects!$M$28="Yes",29&gt;=Projects!$C$28,29&lt;Projects!$C$28+Projects!$D$28),Projects!$B$28*INDEX(Curves!$B$4:$AR$4,1,29-Projects!$C$28+1),0)+IF(AND(Projects!$G$29="Yes",Projects!$M$29="Yes",29&gt;=Projects!$C$29,29&lt;Projects!$C$29+Projects!$D$29),Projects!$B$29*INDEX(Curves!$B$4:$AR$4,1,29-Projects!$C$29+1),0)+IF(AND(Projects!$G$30="Yes",Projects!$M$30="Yes",29&gt;=Projects!$C$30,29&lt;Projects!$C$30+Projects!$D$30),Projects!$B$30*INDEX(Curves!$B$4:$AR$4,1,29-Projects!$C$30+1),0)+IF(AND(Projects!$G$31="Yes",Projects!$M$31="Yes",29&gt;=Projects!$C$31,29&lt;Projects!$C$31+Projects!$D$31),Projects!$B$31*INDEX(Curves!$B$4:$AR$4,1,29-Projects!$C$31+1),0)+IF(AND(Projects!$G$32="Yes",Projects!$M$32="Yes",29&gt;=Projects!$C$32,29&lt;Projects!$C$32+Projects!$D$32),Projects!$B$32*INDEX(Curves!$B$4:$AR$4,1,29-Projects!$C$32+1),0)+IF(AND(Projects!$G$33="Yes",Projects!$M$33="Yes",29&gt;=Projects!$C$33,29&lt;Projects!$C$33+Projects!$D$33),Projects!$B$33*INDEX(Curves!$B$4:$AR$4,1,29-Projects!$C$33+1),0)+IF(AND(Projects!$G$34="Yes",Projects!$M$34="Yes",29&gt;=Projects!$C$34,29&lt;Projects!$C$34+Projects!$D$34),Projects!$B$34*INDEX(Curves!$B$4:$AR$4,1,29-Projects!$C$34+1),0)+IF(AND(Projects!$G$35="Yes",Projects!$M$35="Yes",29&gt;=Projects!$C$35,29&lt;Projects!$C$35+Projects!$D$35),Projects!$B$35*INDEX(Curves!$B$4:$AR$4,1,29-Projects!$C$35+1),0)+IF(AND(Projects!$G$36="Yes",Projects!$M$36="Yes",29&gt;=Projects!$C$36,29&lt;Projects!$C$36+Projects!$D$36),Projects!$B$36*INDEX(Curves!$B$4:$AR$4,1,29-Projects!$C$36+1),0)+IF(AND(Projects!$G$37="Yes",Projects!$M$37="Yes",29&gt;=Projects!$C$37,29&lt;Projects!$C$37+Projects!$D$37),Projects!$B$37*INDEX(Curves!$B$4:$AR$4,1,29-Projects!$C$37+1),0)+IF(AND(Projects!$G$38="Yes",Projects!$M$38="Yes",29&gt;=Projects!$C$38,29&lt;Projects!$C$38+Projects!$D$38),Projects!$B$38*INDEX(Curves!$B$4:$AR$4,1,29-Projects!$C$38+1),0)+IF(AND(Projects!$G$39="Yes",Projects!$M$39="Yes",29&gt;=Projects!$C$39,29&lt;Projects!$C$39+Projects!$D$39),Projects!$B$39*INDEX(Curves!$B$4:$AR$4,1,29-Projects!$C$39+1),0)+IF(AND(Projects!$G$40="Yes",Projects!$M$40="Yes",29&gt;=Projects!$C$40,29&lt;Projects!$C$40+Projects!$D$40),Projects!$B$40*INDEX(Curves!$B$4:$AR$4,1,29-Projects!$C$40+1),0)+IF(AND(Projects!$G$41="Yes",Projects!$M$41="Yes",29&gt;=Projects!$C$41,29&lt;Projects!$C$41+Projects!$D$41),Projects!$B$41*INDEX(Curves!$B$4:$AR$4,1,29-Projects!$C$41+1),0)+IF(AND(Projects!$G$42="Yes",Projects!$M$42="Yes",29&gt;=Projects!$C$42,29&lt;Projects!$C$42+Projects!$D$42),Projects!$B$42*INDEX(Curves!$B$4:$AR$4,1,29-Projects!$C$42+1),0)+IF(AND(Projects!$G$43="Yes",Projects!$M$43="Yes",29&gt;=Projects!$C$43,29&lt;Projects!$C$43+Projects!$D$43),Projects!$B$43*INDEX(Curves!$B$4:$AR$4,1,29-Projects!$C$43+1),0)+IF(AND(Projects!$G$44="Yes",Projects!$M$44="Yes",29&gt;=Projects!$C$44,29&lt;Projects!$C$44+Projects!$D$44),Projects!$B$44*INDEX(Curves!$B$4:$AR$4,1,29-Projects!$C$44+1),0)+IF(AND(Projects!$G$45="Yes",Projects!$M$45="Yes",29&gt;=Projects!$C$45,29&lt;Projects!$C$45+Projects!$D$45),Projects!$B$45*INDEX(Curves!$B$4:$AR$4,1,29-Projects!$C$45+1),0)+IF(AND(Projects!$G$46="Yes",Projects!$M$46="Yes",29&gt;=Projects!$C$46,29&lt;Projects!$C$46+Projects!$D$46),Projects!$B$46*INDEX(Curves!$B$4:$AR$4,1,29-Projects!$C$46+1),0)</f>
        <v/>
      </c>
      <c r="AI101" s="691">
        <f>IF(AND(Projects!$G$17="Yes",Projects!$M$17="Yes",30&gt;=Projects!$C$17,30&lt;Projects!$C$17+Projects!$D$17),Projects!$B$17*INDEX(Curves!$B$4:$AR$4,1,30-Projects!$C$17+1),0)+IF(AND(Projects!$G$18="Yes",Projects!$M$18="Yes",30&gt;=Projects!$C$18,30&lt;Projects!$C$18+Projects!$D$18),Projects!$B$18*INDEX(Curves!$B$4:$AR$4,1,30-Projects!$C$18+1),0)+IF(AND(Projects!$G$19="Yes",Projects!$M$19="Yes",30&gt;=Projects!$C$19,30&lt;Projects!$C$19+Projects!$D$19),Projects!$B$19*INDEX(Curves!$B$4:$AR$4,1,30-Projects!$C$19+1),0)+IF(AND(Projects!$G$20="Yes",Projects!$M$20="Yes",30&gt;=Projects!$C$20,30&lt;Projects!$C$20+Projects!$D$20),Projects!$B$20*INDEX(Curves!$B$4:$AR$4,1,30-Projects!$C$20+1),0)+IF(AND(Projects!$G$21="Yes",Projects!$M$21="Yes",30&gt;=Projects!$C$21,30&lt;Projects!$C$21+Projects!$D$21),Projects!$B$21*INDEX(Curves!$B$4:$AR$4,1,30-Projects!$C$21+1),0)+IF(AND(Projects!$G$22="Yes",Projects!$M$22="Yes",30&gt;=Projects!$C$22,30&lt;Projects!$C$22+Projects!$D$22),Projects!$B$22*INDEX(Curves!$B$4:$AR$4,1,30-Projects!$C$22+1),0)+IF(AND(Projects!$G$23="Yes",Projects!$M$23="Yes",30&gt;=Projects!$C$23,30&lt;Projects!$C$23+Projects!$D$23),Projects!$B$23*INDEX(Curves!$B$4:$AR$4,1,30-Projects!$C$23+1),0)+IF(AND(Projects!$G$24="Yes",Projects!$M$24="Yes",30&gt;=Projects!$C$24,30&lt;Projects!$C$24+Projects!$D$24),Projects!$B$24*INDEX(Curves!$B$4:$AR$4,1,30-Projects!$C$24+1),0)+IF(AND(Projects!$G$25="Yes",Projects!$M$25="Yes",30&gt;=Projects!$C$25,30&lt;Projects!$C$25+Projects!$D$25),Projects!$B$25*INDEX(Curves!$B$4:$AR$4,1,30-Projects!$C$25+1),0)+IF(AND(Projects!$G$26="Yes",Projects!$M$26="Yes",30&gt;=Projects!$C$26,30&lt;Projects!$C$26+Projects!$D$26),Projects!$B$26*INDEX(Curves!$B$4:$AR$4,1,30-Projects!$C$26+1),0)+IF(AND(Projects!$G$27="Yes",Projects!$M$27="Yes",30&gt;=Projects!$C$27,30&lt;Projects!$C$27+Projects!$D$27),Projects!$B$27*INDEX(Curves!$B$4:$AR$4,1,30-Projects!$C$27+1),0)+IF(AND(Projects!$G$28="Yes",Projects!$M$28="Yes",30&gt;=Projects!$C$28,30&lt;Projects!$C$28+Projects!$D$28),Projects!$B$28*INDEX(Curves!$B$4:$AR$4,1,30-Projects!$C$28+1),0)+IF(AND(Projects!$G$29="Yes",Projects!$M$29="Yes",30&gt;=Projects!$C$29,30&lt;Projects!$C$29+Projects!$D$29),Projects!$B$29*INDEX(Curves!$B$4:$AR$4,1,30-Projects!$C$29+1),0)+IF(AND(Projects!$G$30="Yes",Projects!$M$30="Yes",30&gt;=Projects!$C$30,30&lt;Projects!$C$30+Projects!$D$30),Projects!$B$30*INDEX(Curves!$B$4:$AR$4,1,30-Projects!$C$30+1),0)+IF(AND(Projects!$G$31="Yes",Projects!$M$31="Yes",30&gt;=Projects!$C$31,30&lt;Projects!$C$31+Projects!$D$31),Projects!$B$31*INDEX(Curves!$B$4:$AR$4,1,30-Projects!$C$31+1),0)+IF(AND(Projects!$G$32="Yes",Projects!$M$32="Yes",30&gt;=Projects!$C$32,30&lt;Projects!$C$32+Projects!$D$32),Projects!$B$32*INDEX(Curves!$B$4:$AR$4,1,30-Projects!$C$32+1),0)+IF(AND(Projects!$G$33="Yes",Projects!$M$33="Yes",30&gt;=Projects!$C$33,30&lt;Projects!$C$33+Projects!$D$33),Projects!$B$33*INDEX(Curves!$B$4:$AR$4,1,30-Projects!$C$33+1),0)+IF(AND(Projects!$G$34="Yes",Projects!$M$34="Yes",30&gt;=Projects!$C$34,30&lt;Projects!$C$34+Projects!$D$34),Projects!$B$34*INDEX(Curves!$B$4:$AR$4,1,30-Projects!$C$34+1),0)+IF(AND(Projects!$G$35="Yes",Projects!$M$35="Yes",30&gt;=Projects!$C$35,30&lt;Projects!$C$35+Projects!$D$35),Projects!$B$35*INDEX(Curves!$B$4:$AR$4,1,30-Projects!$C$35+1),0)+IF(AND(Projects!$G$36="Yes",Projects!$M$36="Yes",30&gt;=Projects!$C$36,30&lt;Projects!$C$36+Projects!$D$36),Projects!$B$36*INDEX(Curves!$B$4:$AR$4,1,30-Projects!$C$36+1),0)+IF(AND(Projects!$G$37="Yes",Projects!$M$37="Yes",30&gt;=Projects!$C$37,30&lt;Projects!$C$37+Projects!$D$37),Projects!$B$37*INDEX(Curves!$B$4:$AR$4,1,30-Projects!$C$37+1),0)+IF(AND(Projects!$G$38="Yes",Projects!$M$38="Yes",30&gt;=Projects!$C$38,30&lt;Projects!$C$38+Projects!$D$38),Projects!$B$38*INDEX(Curves!$B$4:$AR$4,1,30-Projects!$C$38+1),0)+IF(AND(Projects!$G$39="Yes",Projects!$M$39="Yes",30&gt;=Projects!$C$39,30&lt;Projects!$C$39+Projects!$D$39),Projects!$B$39*INDEX(Curves!$B$4:$AR$4,1,30-Projects!$C$39+1),0)+IF(AND(Projects!$G$40="Yes",Projects!$M$40="Yes",30&gt;=Projects!$C$40,30&lt;Projects!$C$40+Projects!$D$40),Projects!$B$40*INDEX(Curves!$B$4:$AR$4,1,30-Projects!$C$40+1),0)+IF(AND(Projects!$G$41="Yes",Projects!$M$41="Yes",30&gt;=Projects!$C$41,30&lt;Projects!$C$41+Projects!$D$41),Projects!$B$41*INDEX(Curves!$B$4:$AR$4,1,30-Projects!$C$41+1),0)+IF(AND(Projects!$G$42="Yes",Projects!$M$42="Yes",30&gt;=Projects!$C$42,30&lt;Projects!$C$42+Projects!$D$42),Projects!$B$42*INDEX(Curves!$B$4:$AR$4,1,30-Projects!$C$42+1),0)+IF(AND(Projects!$G$43="Yes",Projects!$M$43="Yes",30&gt;=Projects!$C$43,30&lt;Projects!$C$43+Projects!$D$43),Projects!$B$43*INDEX(Curves!$B$4:$AR$4,1,30-Projects!$C$43+1),0)+IF(AND(Projects!$G$44="Yes",Projects!$M$44="Yes",30&gt;=Projects!$C$44,30&lt;Projects!$C$44+Projects!$D$44),Projects!$B$44*INDEX(Curves!$B$4:$AR$4,1,30-Projects!$C$44+1),0)+IF(AND(Projects!$G$45="Yes",Projects!$M$45="Yes",30&gt;=Projects!$C$45,30&lt;Projects!$C$45+Projects!$D$45),Projects!$B$45*INDEX(Curves!$B$4:$AR$4,1,30-Projects!$C$45+1),0)+IF(AND(Projects!$G$46="Yes",Projects!$M$46="Yes",30&gt;=Projects!$C$46,30&lt;Projects!$C$46+Projects!$D$46),Projects!$B$46*INDEX(Curves!$B$4:$AR$4,1,30-Projects!$C$46+1),0)</f>
        <v/>
      </c>
      <c r="AJ101" s="691">
        <f>IF(AND(Projects!$G$17="Yes",Projects!$M$17="Yes",31&gt;=Projects!$C$17,31&lt;Projects!$C$17+Projects!$D$17),Projects!$B$17*INDEX(Curves!$B$4:$AR$4,1,31-Projects!$C$17+1),0)+IF(AND(Projects!$G$18="Yes",Projects!$M$18="Yes",31&gt;=Projects!$C$18,31&lt;Projects!$C$18+Projects!$D$18),Projects!$B$18*INDEX(Curves!$B$4:$AR$4,1,31-Projects!$C$18+1),0)+IF(AND(Projects!$G$19="Yes",Projects!$M$19="Yes",31&gt;=Projects!$C$19,31&lt;Projects!$C$19+Projects!$D$19),Projects!$B$19*INDEX(Curves!$B$4:$AR$4,1,31-Projects!$C$19+1),0)+IF(AND(Projects!$G$20="Yes",Projects!$M$20="Yes",31&gt;=Projects!$C$20,31&lt;Projects!$C$20+Projects!$D$20),Projects!$B$20*INDEX(Curves!$B$4:$AR$4,1,31-Projects!$C$20+1),0)+IF(AND(Projects!$G$21="Yes",Projects!$M$21="Yes",31&gt;=Projects!$C$21,31&lt;Projects!$C$21+Projects!$D$21),Projects!$B$21*INDEX(Curves!$B$4:$AR$4,1,31-Projects!$C$21+1),0)+IF(AND(Projects!$G$22="Yes",Projects!$M$22="Yes",31&gt;=Projects!$C$22,31&lt;Projects!$C$22+Projects!$D$22),Projects!$B$22*INDEX(Curves!$B$4:$AR$4,1,31-Projects!$C$22+1),0)+IF(AND(Projects!$G$23="Yes",Projects!$M$23="Yes",31&gt;=Projects!$C$23,31&lt;Projects!$C$23+Projects!$D$23),Projects!$B$23*INDEX(Curves!$B$4:$AR$4,1,31-Projects!$C$23+1),0)+IF(AND(Projects!$G$24="Yes",Projects!$M$24="Yes",31&gt;=Projects!$C$24,31&lt;Projects!$C$24+Projects!$D$24),Projects!$B$24*INDEX(Curves!$B$4:$AR$4,1,31-Projects!$C$24+1),0)+IF(AND(Projects!$G$25="Yes",Projects!$M$25="Yes",31&gt;=Projects!$C$25,31&lt;Projects!$C$25+Projects!$D$25),Projects!$B$25*INDEX(Curves!$B$4:$AR$4,1,31-Projects!$C$25+1),0)+IF(AND(Projects!$G$26="Yes",Projects!$M$26="Yes",31&gt;=Projects!$C$26,31&lt;Projects!$C$26+Projects!$D$26),Projects!$B$26*INDEX(Curves!$B$4:$AR$4,1,31-Projects!$C$26+1),0)+IF(AND(Projects!$G$27="Yes",Projects!$M$27="Yes",31&gt;=Projects!$C$27,31&lt;Projects!$C$27+Projects!$D$27),Projects!$B$27*INDEX(Curves!$B$4:$AR$4,1,31-Projects!$C$27+1),0)+IF(AND(Projects!$G$28="Yes",Projects!$M$28="Yes",31&gt;=Projects!$C$28,31&lt;Projects!$C$28+Projects!$D$28),Projects!$B$28*INDEX(Curves!$B$4:$AR$4,1,31-Projects!$C$28+1),0)+IF(AND(Projects!$G$29="Yes",Projects!$M$29="Yes",31&gt;=Projects!$C$29,31&lt;Projects!$C$29+Projects!$D$29),Projects!$B$29*INDEX(Curves!$B$4:$AR$4,1,31-Projects!$C$29+1),0)+IF(AND(Projects!$G$30="Yes",Projects!$M$30="Yes",31&gt;=Projects!$C$30,31&lt;Projects!$C$30+Projects!$D$30),Projects!$B$30*INDEX(Curves!$B$4:$AR$4,1,31-Projects!$C$30+1),0)+IF(AND(Projects!$G$31="Yes",Projects!$M$31="Yes",31&gt;=Projects!$C$31,31&lt;Projects!$C$31+Projects!$D$31),Projects!$B$31*INDEX(Curves!$B$4:$AR$4,1,31-Projects!$C$31+1),0)+IF(AND(Projects!$G$32="Yes",Projects!$M$32="Yes",31&gt;=Projects!$C$32,31&lt;Projects!$C$32+Projects!$D$32),Projects!$B$32*INDEX(Curves!$B$4:$AR$4,1,31-Projects!$C$32+1),0)+IF(AND(Projects!$G$33="Yes",Projects!$M$33="Yes",31&gt;=Projects!$C$33,31&lt;Projects!$C$33+Projects!$D$33),Projects!$B$33*INDEX(Curves!$B$4:$AR$4,1,31-Projects!$C$33+1),0)+IF(AND(Projects!$G$34="Yes",Projects!$M$34="Yes",31&gt;=Projects!$C$34,31&lt;Projects!$C$34+Projects!$D$34),Projects!$B$34*INDEX(Curves!$B$4:$AR$4,1,31-Projects!$C$34+1),0)+IF(AND(Projects!$G$35="Yes",Projects!$M$35="Yes",31&gt;=Projects!$C$35,31&lt;Projects!$C$35+Projects!$D$35),Projects!$B$35*INDEX(Curves!$B$4:$AR$4,1,31-Projects!$C$35+1),0)+IF(AND(Projects!$G$36="Yes",Projects!$M$36="Yes",31&gt;=Projects!$C$36,31&lt;Projects!$C$36+Projects!$D$36),Projects!$B$36*INDEX(Curves!$B$4:$AR$4,1,31-Projects!$C$36+1),0)+IF(AND(Projects!$G$37="Yes",Projects!$M$37="Yes",31&gt;=Projects!$C$37,31&lt;Projects!$C$37+Projects!$D$37),Projects!$B$37*INDEX(Curves!$B$4:$AR$4,1,31-Projects!$C$37+1),0)+IF(AND(Projects!$G$38="Yes",Projects!$M$38="Yes",31&gt;=Projects!$C$38,31&lt;Projects!$C$38+Projects!$D$38),Projects!$B$38*INDEX(Curves!$B$4:$AR$4,1,31-Projects!$C$38+1),0)+IF(AND(Projects!$G$39="Yes",Projects!$M$39="Yes",31&gt;=Projects!$C$39,31&lt;Projects!$C$39+Projects!$D$39),Projects!$B$39*INDEX(Curves!$B$4:$AR$4,1,31-Projects!$C$39+1),0)+IF(AND(Projects!$G$40="Yes",Projects!$M$40="Yes",31&gt;=Projects!$C$40,31&lt;Projects!$C$40+Projects!$D$40),Projects!$B$40*INDEX(Curves!$B$4:$AR$4,1,31-Projects!$C$40+1),0)+IF(AND(Projects!$G$41="Yes",Projects!$M$41="Yes",31&gt;=Projects!$C$41,31&lt;Projects!$C$41+Projects!$D$41),Projects!$B$41*INDEX(Curves!$B$4:$AR$4,1,31-Projects!$C$41+1),0)+IF(AND(Projects!$G$42="Yes",Projects!$M$42="Yes",31&gt;=Projects!$C$42,31&lt;Projects!$C$42+Projects!$D$42),Projects!$B$42*INDEX(Curves!$B$4:$AR$4,1,31-Projects!$C$42+1),0)+IF(AND(Projects!$G$43="Yes",Projects!$M$43="Yes",31&gt;=Projects!$C$43,31&lt;Projects!$C$43+Projects!$D$43),Projects!$B$43*INDEX(Curves!$B$4:$AR$4,1,31-Projects!$C$43+1),0)+IF(AND(Projects!$G$44="Yes",Projects!$M$44="Yes",31&gt;=Projects!$C$44,31&lt;Projects!$C$44+Projects!$D$44),Projects!$B$44*INDEX(Curves!$B$4:$AR$4,1,31-Projects!$C$44+1),0)+IF(AND(Projects!$G$45="Yes",Projects!$M$45="Yes",31&gt;=Projects!$C$45,31&lt;Projects!$C$45+Projects!$D$45),Projects!$B$45*INDEX(Curves!$B$4:$AR$4,1,31-Projects!$C$45+1),0)+IF(AND(Projects!$G$46="Yes",Projects!$M$46="Yes",31&gt;=Projects!$C$46,31&lt;Projects!$C$46+Projects!$D$46),Projects!$B$46*INDEX(Curves!$B$4:$AR$4,1,31-Projects!$C$46+1),0)</f>
        <v/>
      </c>
      <c r="AK101" s="691">
        <f>IF(AND(Projects!$G$17="Yes",Projects!$M$17="Yes",32&gt;=Projects!$C$17,32&lt;Projects!$C$17+Projects!$D$17),Projects!$B$17*INDEX(Curves!$B$4:$AR$4,1,32-Projects!$C$17+1),0)+IF(AND(Projects!$G$18="Yes",Projects!$M$18="Yes",32&gt;=Projects!$C$18,32&lt;Projects!$C$18+Projects!$D$18),Projects!$B$18*INDEX(Curves!$B$4:$AR$4,1,32-Projects!$C$18+1),0)+IF(AND(Projects!$G$19="Yes",Projects!$M$19="Yes",32&gt;=Projects!$C$19,32&lt;Projects!$C$19+Projects!$D$19),Projects!$B$19*INDEX(Curves!$B$4:$AR$4,1,32-Projects!$C$19+1),0)+IF(AND(Projects!$G$20="Yes",Projects!$M$20="Yes",32&gt;=Projects!$C$20,32&lt;Projects!$C$20+Projects!$D$20),Projects!$B$20*INDEX(Curves!$B$4:$AR$4,1,32-Projects!$C$20+1),0)+IF(AND(Projects!$G$21="Yes",Projects!$M$21="Yes",32&gt;=Projects!$C$21,32&lt;Projects!$C$21+Projects!$D$21),Projects!$B$21*INDEX(Curves!$B$4:$AR$4,1,32-Projects!$C$21+1),0)+IF(AND(Projects!$G$22="Yes",Projects!$M$22="Yes",32&gt;=Projects!$C$22,32&lt;Projects!$C$22+Projects!$D$22),Projects!$B$22*INDEX(Curves!$B$4:$AR$4,1,32-Projects!$C$22+1),0)+IF(AND(Projects!$G$23="Yes",Projects!$M$23="Yes",32&gt;=Projects!$C$23,32&lt;Projects!$C$23+Projects!$D$23),Projects!$B$23*INDEX(Curves!$B$4:$AR$4,1,32-Projects!$C$23+1),0)+IF(AND(Projects!$G$24="Yes",Projects!$M$24="Yes",32&gt;=Projects!$C$24,32&lt;Projects!$C$24+Projects!$D$24),Projects!$B$24*INDEX(Curves!$B$4:$AR$4,1,32-Projects!$C$24+1),0)+IF(AND(Projects!$G$25="Yes",Projects!$M$25="Yes",32&gt;=Projects!$C$25,32&lt;Projects!$C$25+Projects!$D$25),Projects!$B$25*INDEX(Curves!$B$4:$AR$4,1,32-Projects!$C$25+1),0)+IF(AND(Projects!$G$26="Yes",Projects!$M$26="Yes",32&gt;=Projects!$C$26,32&lt;Projects!$C$26+Projects!$D$26),Projects!$B$26*INDEX(Curves!$B$4:$AR$4,1,32-Projects!$C$26+1),0)+IF(AND(Projects!$G$27="Yes",Projects!$M$27="Yes",32&gt;=Projects!$C$27,32&lt;Projects!$C$27+Projects!$D$27),Projects!$B$27*INDEX(Curves!$B$4:$AR$4,1,32-Projects!$C$27+1),0)+IF(AND(Projects!$G$28="Yes",Projects!$M$28="Yes",32&gt;=Projects!$C$28,32&lt;Projects!$C$28+Projects!$D$28),Projects!$B$28*INDEX(Curves!$B$4:$AR$4,1,32-Projects!$C$28+1),0)+IF(AND(Projects!$G$29="Yes",Projects!$M$29="Yes",32&gt;=Projects!$C$29,32&lt;Projects!$C$29+Projects!$D$29),Projects!$B$29*INDEX(Curves!$B$4:$AR$4,1,32-Projects!$C$29+1),0)+IF(AND(Projects!$G$30="Yes",Projects!$M$30="Yes",32&gt;=Projects!$C$30,32&lt;Projects!$C$30+Projects!$D$30),Projects!$B$30*INDEX(Curves!$B$4:$AR$4,1,32-Projects!$C$30+1),0)+IF(AND(Projects!$G$31="Yes",Projects!$M$31="Yes",32&gt;=Projects!$C$31,32&lt;Projects!$C$31+Projects!$D$31),Projects!$B$31*INDEX(Curves!$B$4:$AR$4,1,32-Projects!$C$31+1),0)+IF(AND(Projects!$G$32="Yes",Projects!$M$32="Yes",32&gt;=Projects!$C$32,32&lt;Projects!$C$32+Projects!$D$32),Projects!$B$32*INDEX(Curves!$B$4:$AR$4,1,32-Projects!$C$32+1),0)+IF(AND(Projects!$G$33="Yes",Projects!$M$33="Yes",32&gt;=Projects!$C$33,32&lt;Projects!$C$33+Projects!$D$33),Projects!$B$33*INDEX(Curves!$B$4:$AR$4,1,32-Projects!$C$33+1),0)+IF(AND(Projects!$G$34="Yes",Projects!$M$34="Yes",32&gt;=Projects!$C$34,32&lt;Projects!$C$34+Projects!$D$34),Projects!$B$34*INDEX(Curves!$B$4:$AR$4,1,32-Projects!$C$34+1),0)+IF(AND(Projects!$G$35="Yes",Projects!$M$35="Yes",32&gt;=Projects!$C$35,32&lt;Projects!$C$35+Projects!$D$35),Projects!$B$35*INDEX(Curves!$B$4:$AR$4,1,32-Projects!$C$35+1),0)+IF(AND(Projects!$G$36="Yes",Projects!$M$36="Yes",32&gt;=Projects!$C$36,32&lt;Projects!$C$36+Projects!$D$36),Projects!$B$36*INDEX(Curves!$B$4:$AR$4,1,32-Projects!$C$36+1),0)+IF(AND(Projects!$G$37="Yes",Projects!$M$37="Yes",32&gt;=Projects!$C$37,32&lt;Projects!$C$37+Projects!$D$37),Projects!$B$37*INDEX(Curves!$B$4:$AR$4,1,32-Projects!$C$37+1),0)+IF(AND(Projects!$G$38="Yes",Projects!$M$38="Yes",32&gt;=Projects!$C$38,32&lt;Projects!$C$38+Projects!$D$38),Projects!$B$38*INDEX(Curves!$B$4:$AR$4,1,32-Projects!$C$38+1),0)+IF(AND(Projects!$G$39="Yes",Projects!$M$39="Yes",32&gt;=Projects!$C$39,32&lt;Projects!$C$39+Projects!$D$39),Projects!$B$39*INDEX(Curves!$B$4:$AR$4,1,32-Projects!$C$39+1),0)+IF(AND(Projects!$G$40="Yes",Projects!$M$40="Yes",32&gt;=Projects!$C$40,32&lt;Projects!$C$40+Projects!$D$40),Projects!$B$40*INDEX(Curves!$B$4:$AR$4,1,32-Projects!$C$40+1),0)+IF(AND(Projects!$G$41="Yes",Projects!$M$41="Yes",32&gt;=Projects!$C$41,32&lt;Projects!$C$41+Projects!$D$41),Projects!$B$41*INDEX(Curves!$B$4:$AR$4,1,32-Projects!$C$41+1),0)+IF(AND(Projects!$G$42="Yes",Projects!$M$42="Yes",32&gt;=Projects!$C$42,32&lt;Projects!$C$42+Projects!$D$42),Projects!$B$42*INDEX(Curves!$B$4:$AR$4,1,32-Projects!$C$42+1),0)+IF(AND(Projects!$G$43="Yes",Projects!$M$43="Yes",32&gt;=Projects!$C$43,32&lt;Projects!$C$43+Projects!$D$43),Projects!$B$43*INDEX(Curves!$B$4:$AR$4,1,32-Projects!$C$43+1),0)+IF(AND(Projects!$G$44="Yes",Projects!$M$44="Yes",32&gt;=Projects!$C$44,32&lt;Projects!$C$44+Projects!$D$44),Projects!$B$44*INDEX(Curves!$B$4:$AR$4,1,32-Projects!$C$44+1),0)+IF(AND(Projects!$G$45="Yes",Projects!$M$45="Yes",32&gt;=Projects!$C$45,32&lt;Projects!$C$45+Projects!$D$45),Projects!$B$45*INDEX(Curves!$B$4:$AR$4,1,32-Projects!$C$45+1),0)+IF(AND(Projects!$G$46="Yes",Projects!$M$46="Yes",32&gt;=Projects!$C$46,32&lt;Projects!$C$46+Projects!$D$46),Projects!$B$46*INDEX(Curves!$B$4:$AR$4,1,32-Projects!$C$46+1),0)</f>
        <v/>
      </c>
      <c r="AL101" s="691">
        <f>IF(AND(Projects!$G$17="Yes",Projects!$M$17="Yes",33&gt;=Projects!$C$17,33&lt;Projects!$C$17+Projects!$D$17),Projects!$B$17*INDEX(Curves!$B$4:$AR$4,1,33-Projects!$C$17+1),0)+IF(AND(Projects!$G$18="Yes",Projects!$M$18="Yes",33&gt;=Projects!$C$18,33&lt;Projects!$C$18+Projects!$D$18),Projects!$B$18*INDEX(Curves!$B$4:$AR$4,1,33-Projects!$C$18+1),0)+IF(AND(Projects!$G$19="Yes",Projects!$M$19="Yes",33&gt;=Projects!$C$19,33&lt;Projects!$C$19+Projects!$D$19),Projects!$B$19*INDEX(Curves!$B$4:$AR$4,1,33-Projects!$C$19+1),0)+IF(AND(Projects!$G$20="Yes",Projects!$M$20="Yes",33&gt;=Projects!$C$20,33&lt;Projects!$C$20+Projects!$D$20),Projects!$B$20*INDEX(Curves!$B$4:$AR$4,1,33-Projects!$C$20+1),0)+IF(AND(Projects!$G$21="Yes",Projects!$M$21="Yes",33&gt;=Projects!$C$21,33&lt;Projects!$C$21+Projects!$D$21),Projects!$B$21*INDEX(Curves!$B$4:$AR$4,1,33-Projects!$C$21+1),0)+IF(AND(Projects!$G$22="Yes",Projects!$M$22="Yes",33&gt;=Projects!$C$22,33&lt;Projects!$C$22+Projects!$D$22),Projects!$B$22*INDEX(Curves!$B$4:$AR$4,1,33-Projects!$C$22+1),0)+IF(AND(Projects!$G$23="Yes",Projects!$M$23="Yes",33&gt;=Projects!$C$23,33&lt;Projects!$C$23+Projects!$D$23),Projects!$B$23*INDEX(Curves!$B$4:$AR$4,1,33-Projects!$C$23+1),0)+IF(AND(Projects!$G$24="Yes",Projects!$M$24="Yes",33&gt;=Projects!$C$24,33&lt;Projects!$C$24+Projects!$D$24),Projects!$B$24*INDEX(Curves!$B$4:$AR$4,1,33-Projects!$C$24+1),0)+IF(AND(Projects!$G$25="Yes",Projects!$M$25="Yes",33&gt;=Projects!$C$25,33&lt;Projects!$C$25+Projects!$D$25),Projects!$B$25*INDEX(Curves!$B$4:$AR$4,1,33-Projects!$C$25+1),0)+IF(AND(Projects!$G$26="Yes",Projects!$M$26="Yes",33&gt;=Projects!$C$26,33&lt;Projects!$C$26+Projects!$D$26),Projects!$B$26*INDEX(Curves!$B$4:$AR$4,1,33-Projects!$C$26+1),0)+IF(AND(Projects!$G$27="Yes",Projects!$M$27="Yes",33&gt;=Projects!$C$27,33&lt;Projects!$C$27+Projects!$D$27),Projects!$B$27*INDEX(Curves!$B$4:$AR$4,1,33-Projects!$C$27+1),0)+IF(AND(Projects!$G$28="Yes",Projects!$M$28="Yes",33&gt;=Projects!$C$28,33&lt;Projects!$C$28+Projects!$D$28),Projects!$B$28*INDEX(Curves!$B$4:$AR$4,1,33-Projects!$C$28+1),0)+IF(AND(Projects!$G$29="Yes",Projects!$M$29="Yes",33&gt;=Projects!$C$29,33&lt;Projects!$C$29+Projects!$D$29),Projects!$B$29*INDEX(Curves!$B$4:$AR$4,1,33-Projects!$C$29+1),0)+IF(AND(Projects!$G$30="Yes",Projects!$M$30="Yes",33&gt;=Projects!$C$30,33&lt;Projects!$C$30+Projects!$D$30),Projects!$B$30*INDEX(Curves!$B$4:$AR$4,1,33-Projects!$C$30+1),0)+IF(AND(Projects!$G$31="Yes",Projects!$M$31="Yes",33&gt;=Projects!$C$31,33&lt;Projects!$C$31+Projects!$D$31),Projects!$B$31*INDEX(Curves!$B$4:$AR$4,1,33-Projects!$C$31+1),0)+IF(AND(Projects!$G$32="Yes",Projects!$M$32="Yes",33&gt;=Projects!$C$32,33&lt;Projects!$C$32+Projects!$D$32),Projects!$B$32*INDEX(Curves!$B$4:$AR$4,1,33-Projects!$C$32+1),0)+IF(AND(Projects!$G$33="Yes",Projects!$M$33="Yes",33&gt;=Projects!$C$33,33&lt;Projects!$C$33+Projects!$D$33),Projects!$B$33*INDEX(Curves!$B$4:$AR$4,1,33-Projects!$C$33+1),0)+IF(AND(Projects!$G$34="Yes",Projects!$M$34="Yes",33&gt;=Projects!$C$34,33&lt;Projects!$C$34+Projects!$D$34),Projects!$B$34*INDEX(Curves!$B$4:$AR$4,1,33-Projects!$C$34+1),0)+IF(AND(Projects!$G$35="Yes",Projects!$M$35="Yes",33&gt;=Projects!$C$35,33&lt;Projects!$C$35+Projects!$D$35),Projects!$B$35*INDEX(Curves!$B$4:$AR$4,1,33-Projects!$C$35+1),0)+IF(AND(Projects!$G$36="Yes",Projects!$M$36="Yes",33&gt;=Projects!$C$36,33&lt;Projects!$C$36+Projects!$D$36),Projects!$B$36*INDEX(Curves!$B$4:$AR$4,1,33-Projects!$C$36+1),0)+IF(AND(Projects!$G$37="Yes",Projects!$M$37="Yes",33&gt;=Projects!$C$37,33&lt;Projects!$C$37+Projects!$D$37),Projects!$B$37*INDEX(Curves!$B$4:$AR$4,1,33-Projects!$C$37+1),0)+IF(AND(Projects!$G$38="Yes",Projects!$M$38="Yes",33&gt;=Projects!$C$38,33&lt;Projects!$C$38+Projects!$D$38),Projects!$B$38*INDEX(Curves!$B$4:$AR$4,1,33-Projects!$C$38+1),0)+IF(AND(Projects!$G$39="Yes",Projects!$M$39="Yes",33&gt;=Projects!$C$39,33&lt;Projects!$C$39+Projects!$D$39),Projects!$B$39*INDEX(Curves!$B$4:$AR$4,1,33-Projects!$C$39+1),0)+IF(AND(Projects!$G$40="Yes",Projects!$M$40="Yes",33&gt;=Projects!$C$40,33&lt;Projects!$C$40+Projects!$D$40),Projects!$B$40*INDEX(Curves!$B$4:$AR$4,1,33-Projects!$C$40+1),0)+IF(AND(Projects!$G$41="Yes",Projects!$M$41="Yes",33&gt;=Projects!$C$41,33&lt;Projects!$C$41+Projects!$D$41),Projects!$B$41*INDEX(Curves!$B$4:$AR$4,1,33-Projects!$C$41+1),0)+IF(AND(Projects!$G$42="Yes",Projects!$M$42="Yes",33&gt;=Projects!$C$42,33&lt;Projects!$C$42+Projects!$D$42),Projects!$B$42*INDEX(Curves!$B$4:$AR$4,1,33-Projects!$C$42+1),0)+IF(AND(Projects!$G$43="Yes",Projects!$M$43="Yes",33&gt;=Projects!$C$43,33&lt;Projects!$C$43+Projects!$D$43),Projects!$B$43*INDEX(Curves!$B$4:$AR$4,1,33-Projects!$C$43+1),0)+IF(AND(Projects!$G$44="Yes",Projects!$M$44="Yes",33&gt;=Projects!$C$44,33&lt;Projects!$C$44+Projects!$D$44),Projects!$B$44*INDEX(Curves!$B$4:$AR$4,1,33-Projects!$C$44+1),0)+IF(AND(Projects!$G$45="Yes",Projects!$M$45="Yes",33&gt;=Projects!$C$45,33&lt;Projects!$C$45+Projects!$D$45),Projects!$B$45*INDEX(Curves!$B$4:$AR$4,1,33-Projects!$C$45+1),0)+IF(AND(Projects!$G$46="Yes",Projects!$M$46="Yes",33&gt;=Projects!$C$46,33&lt;Projects!$C$46+Projects!$D$46),Projects!$B$46*INDEX(Curves!$B$4:$AR$4,1,33-Projects!$C$46+1),0)</f>
        <v/>
      </c>
      <c r="AM101" s="691">
        <f>IF(AND(Projects!$G$17="Yes",Projects!$M$17="Yes",34&gt;=Projects!$C$17,34&lt;Projects!$C$17+Projects!$D$17),Projects!$B$17*INDEX(Curves!$B$4:$AR$4,1,34-Projects!$C$17+1),0)+IF(AND(Projects!$G$18="Yes",Projects!$M$18="Yes",34&gt;=Projects!$C$18,34&lt;Projects!$C$18+Projects!$D$18),Projects!$B$18*INDEX(Curves!$B$4:$AR$4,1,34-Projects!$C$18+1),0)+IF(AND(Projects!$G$19="Yes",Projects!$M$19="Yes",34&gt;=Projects!$C$19,34&lt;Projects!$C$19+Projects!$D$19),Projects!$B$19*INDEX(Curves!$B$4:$AR$4,1,34-Projects!$C$19+1),0)+IF(AND(Projects!$G$20="Yes",Projects!$M$20="Yes",34&gt;=Projects!$C$20,34&lt;Projects!$C$20+Projects!$D$20),Projects!$B$20*INDEX(Curves!$B$4:$AR$4,1,34-Projects!$C$20+1),0)+IF(AND(Projects!$G$21="Yes",Projects!$M$21="Yes",34&gt;=Projects!$C$21,34&lt;Projects!$C$21+Projects!$D$21),Projects!$B$21*INDEX(Curves!$B$4:$AR$4,1,34-Projects!$C$21+1),0)+IF(AND(Projects!$G$22="Yes",Projects!$M$22="Yes",34&gt;=Projects!$C$22,34&lt;Projects!$C$22+Projects!$D$22),Projects!$B$22*INDEX(Curves!$B$4:$AR$4,1,34-Projects!$C$22+1),0)+IF(AND(Projects!$G$23="Yes",Projects!$M$23="Yes",34&gt;=Projects!$C$23,34&lt;Projects!$C$23+Projects!$D$23),Projects!$B$23*INDEX(Curves!$B$4:$AR$4,1,34-Projects!$C$23+1),0)+IF(AND(Projects!$G$24="Yes",Projects!$M$24="Yes",34&gt;=Projects!$C$24,34&lt;Projects!$C$24+Projects!$D$24),Projects!$B$24*INDEX(Curves!$B$4:$AR$4,1,34-Projects!$C$24+1),0)+IF(AND(Projects!$G$25="Yes",Projects!$M$25="Yes",34&gt;=Projects!$C$25,34&lt;Projects!$C$25+Projects!$D$25),Projects!$B$25*INDEX(Curves!$B$4:$AR$4,1,34-Projects!$C$25+1),0)+IF(AND(Projects!$G$26="Yes",Projects!$M$26="Yes",34&gt;=Projects!$C$26,34&lt;Projects!$C$26+Projects!$D$26),Projects!$B$26*INDEX(Curves!$B$4:$AR$4,1,34-Projects!$C$26+1),0)+IF(AND(Projects!$G$27="Yes",Projects!$M$27="Yes",34&gt;=Projects!$C$27,34&lt;Projects!$C$27+Projects!$D$27),Projects!$B$27*INDEX(Curves!$B$4:$AR$4,1,34-Projects!$C$27+1),0)+IF(AND(Projects!$G$28="Yes",Projects!$M$28="Yes",34&gt;=Projects!$C$28,34&lt;Projects!$C$28+Projects!$D$28),Projects!$B$28*INDEX(Curves!$B$4:$AR$4,1,34-Projects!$C$28+1),0)+IF(AND(Projects!$G$29="Yes",Projects!$M$29="Yes",34&gt;=Projects!$C$29,34&lt;Projects!$C$29+Projects!$D$29),Projects!$B$29*INDEX(Curves!$B$4:$AR$4,1,34-Projects!$C$29+1),0)+IF(AND(Projects!$G$30="Yes",Projects!$M$30="Yes",34&gt;=Projects!$C$30,34&lt;Projects!$C$30+Projects!$D$30),Projects!$B$30*INDEX(Curves!$B$4:$AR$4,1,34-Projects!$C$30+1),0)+IF(AND(Projects!$G$31="Yes",Projects!$M$31="Yes",34&gt;=Projects!$C$31,34&lt;Projects!$C$31+Projects!$D$31),Projects!$B$31*INDEX(Curves!$B$4:$AR$4,1,34-Projects!$C$31+1),0)+IF(AND(Projects!$G$32="Yes",Projects!$M$32="Yes",34&gt;=Projects!$C$32,34&lt;Projects!$C$32+Projects!$D$32),Projects!$B$32*INDEX(Curves!$B$4:$AR$4,1,34-Projects!$C$32+1),0)+IF(AND(Projects!$G$33="Yes",Projects!$M$33="Yes",34&gt;=Projects!$C$33,34&lt;Projects!$C$33+Projects!$D$33),Projects!$B$33*INDEX(Curves!$B$4:$AR$4,1,34-Projects!$C$33+1),0)+IF(AND(Projects!$G$34="Yes",Projects!$M$34="Yes",34&gt;=Projects!$C$34,34&lt;Projects!$C$34+Projects!$D$34),Projects!$B$34*INDEX(Curves!$B$4:$AR$4,1,34-Projects!$C$34+1),0)+IF(AND(Projects!$G$35="Yes",Projects!$M$35="Yes",34&gt;=Projects!$C$35,34&lt;Projects!$C$35+Projects!$D$35),Projects!$B$35*INDEX(Curves!$B$4:$AR$4,1,34-Projects!$C$35+1),0)+IF(AND(Projects!$G$36="Yes",Projects!$M$36="Yes",34&gt;=Projects!$C$36,34&lt;Projects!$C$36+Projects!$D$36),Projects!$B$36*INDEX(Curves!$B$4:$AR$4,1,34-Projects!$C$36+1),0)+IF(AND(Projects!$G$37="Yes",Projects!$M$37="Yes",34&gt;=Projects!$C$37,34&lt;Projects!$C$37+Projects!$D$37),Projects!$B$37*INDEX(Curves!$B$4:$AR$4,1,34-Projects!$C$37+1),0)+IF(AND(Projects!$G$38="Yes",Projects!$M$38="Yes",34&gt;=Projects!$C$38,34&lt;Projects!$C$38+Projects!$D$38),Projects!$B$38*INDEX(Curves!$B$4:$AR$4,1,34-Projects!$C$38+1),0)+IF(AND(Projects!$G$39="Yes",Projects!$M$39="Yes",34&gt;=Projects!$C$39,34&lt;Projects!$C$39+Projects!$D$39),Projects!$B$39*INDEX(Curves!$B$4:$AR$4,1,34-Projects!$C$39+1),0)+IF(AND(Projects!$G$40="Yes",Projects!$M$40="Yes",34&gt;=Projects!$C$40,34&lt;Projects!$C$40+Projects!$D$40),Projects!$B$40*INDEX(Curves!$B$4:$AR$4,1,34-Projects!$C$40+1),0)+IF(AND(Projects!$G$41="Yes",Projects!$M$41="Yes",34&gt;=Projects!$C$41,34&lt;Projects!$C$41+Projects!$D$41),Projects!$B$41*INDEX(Curves!$B$4:$AR$4,1,34-Projects!$C$41+1),0)+IF(AND(Projects!$G$42="Yes",Projects!$M$42="Yes",34&gt;=Projects!$C$42,34&lt;Projects!$C$42+Projects!$D$42),Projects!$B$42*INDEX(Curves!$B$4:$AR$4,1,34-Projects!$C$42+1),0)+IF(AND(Projects!$G$43="Yes",Projects!$M$43="Yes",34&gt;=Projects!$C$43,34&lt;Projects!$C$43+Projects!$D$43),Projects!$B$43*INDEX(Curves!$B$4:$AR$4,1,34-Projects!$C$43+1),0)+IF(AND(Projects!$G$44="Yes",Projects!$M$44="Yes",34&gt;=Projects!$C$44,34&lt;Projects!$C$44+Projects!$D$44),Projects!$B$44*INDEX(Curves!$B$4:$AR$4,1,34-Projects!$C$44+1),0)+IF(AND(Projects!$G$45="Yes",Projects!$M$45="Yes",34&gt;=Projects!$C$45,34&lt;Projects!$C$45+Projects!$D$45),Projects!$B$45*INDEX(Curves!$B$4:$AR$4,1,34-Projects!$C$45+1),0)+IF(AND(Projects!$G$46="Yes",Projects!$M$46="Yes",34&gt;=Projects!$C$46,34&lt;Projects!$C$46+Projects!$D$46),Projects!$B$46*INDEX(Curves!$B$4:$AR$4,1,34-Projects!$C$46+1),0)</f>
        <v/>
      </c>
      <c r="AN101" s="691">
        <f>IF(AND(Projects!$G$17="Yes",Projects!$M$17="Yes",35&gt;=Projects!$C$17,35&lt;Projects!$C$17+Projects!$D$17),Projects!$B$17*INDEX(Curves!$B$4:$AR$4,1,35-Projects!$C$17+1),0)+IF(AND(Projects!$G$18="Yes",Projects!$M$18="Yes",35&gt;=Projects!$C$18,35&lt;Projects!$C$18+Projects!$D$18),Projects!$B$18*INDEX(Curves!$B$4:$AR$4,1,35-Projects!$C$18+1),0)+IF(AND(Projects!$G$19="Yes",Projects!$M$19="Yes",35&gt;=Projects!$C$19,35&lt;Projects!$C$19+Projects!$D$19),Projects!$B$19*INDEX(Curves!$B$4:$AR$4,1,35-Projects!$C$19+1),0)+IF(AND(Projects!$G$20="Yes",Projects!$M$20="Yes",35&gt;=Projects!$C$20,35&lt;Projects!$C$20+Projects!$D$20),Projects!$B$20*INDEX(Curves!$B$4:$AR$4,1,35-Projects!$C$20+1),0)+IF(AND(Projects!$G$21="Yes",Projects!$M$21="Yes",35&gt;=Projects!$C$21,35&lt;Projects!$C$21+Projects!$D$21),Projects!$B$21*INDEX(Curves!$B$4:$AR$4,1,35-Projects!$C$21+1),0)+IF(AND(Projects!$G$22="Yes",Projects!$M$22="Yes",35&gt;=Projects!$C$22,35&lt;Projects!$C$22+Projects!$D$22),Projects!$B$22*INDEX(Curves!$B$4:$AR$4,1,35-Projects!$C$22+1),0)+IF(AND(Projects!$G$23="Yes",Projects!$M$23="Yes",35&gt;=Projects!$C$23,35&lt;Projects!$C$23+Projects!$D$23),Projects!$B$23*INDEX(Curves!$B$4:$AR$4,1,35-Projects!$C$23+1),0)+IF(AND(Projects!$G$24="Yes",Projects!$M$24="Yes",35&gt;=Projects!$C$24,35&lt;Projects!$C$24+Projects!$D$24),Projects!$B$24*INDEX(Curves!$B$4:$AR$4,1,35-Projects!$C$24+1),0)+IF(AND(Projects!$G$25="Yes",Projects!$M$25="Yes",35&gt;=Projects!$C$25,35&lt;Projects!$C$25+Projects!$D$25),Projects!$B$25*INDEX(Curves!$B$4:$AR$4,1,35-Projects!$C$25+1),0)+IF(AND(Projects!$G$26="Yes",Projects!$M$26="Yes",35&gt;=Projects!$C$26,35&lt;Projects!$C$26+Projects!$D$26),Projects!$B$26*INDEX(Curves!$B$4:$AR$4,1,35-Projects!$C$26+1),0)+IF(AND(Projects!$G$27="Yes",Projects!$M$27="Yes",35&gt;=Projects!$C$27,35&lt;Projects!$C$27+Projects!$D$27),Projects!$B$27*INDEX(Curves!$B$4:$AR$4,1,35-Projects!$C$27+1),0)+IF(AND(Projects!$G$28="Yes",Projects!$M$28="Yes",35&gt;=Projects!$C$28,35&lt;Projects!$C$28+Projects!$D$28),Projects!$B$28*INDEX(Curves!$B$4:$AR$4,1,35-Projects!$C$28+1),0)+IF(AND(Projects!$G$29="Yes",Projects!$M$29="Yes",35&gt;=Projects!$C$29,35&lt;Projects!$C$29+Projects!$D$29),Projects!$B$29*INDEX(Curves!$B$4:$AR$4,1,35-Projects!$C$29+1),0)+IF(AND(Projects!$G$30="Yes",Projects!$M$30="Yes",35&gt;=Projects!$C$30,35&lt;Projects!$C$30+Projects!$D$30),Projects!$B$30*INDEX(Curves!$B$4:$AR$4,1,35-Projects!$C$30+1),0)+IF(AND(Projects!$G$31="Yes",Projects!$M$31="Yes",35&gt;=Projects!$C$31,35&lt;Projects!$C$31+Projects!$D$31),Projects!$B$31*INDEX(Curves!$B$4:$AR$4,1,35-Projects!$C$31+1),0)+IF(AND(Projects!$G$32="Yes",Projects!$M$32="Yes",35&gt;=Projects!$C$32,35&lt;Projects!$C$32+Projects!$D$32),Projects!$B$32*INDEX(Curves!$B$4:$AR$4,1,35-Projects!$C$32+1),0)+IF(AND(Projects!$G$33="Yes",Projects!$M$33="Yes",35&gt;=Projects!$C$33,35&lt;Projects!$C$33+Projects!$D$33),Projects!$B$33*INDEX(Curves!$B$4:$AR$4,1,35-Projects!$C$33+1),0)+IF(AND(Projects!$G$34="Yes",Projects!$M$34="Yes",35&gt;=Projects!$C$34,35&lt;Projects!$C$34+Projects!$D$34),Projects!$B$34*INDEX(Curves!$B$4:$AR$4,1,35-Projects!$C$34+1),0)+IF(AND(Projects!$G$35="Yes",Projects!$M$35="Yes",35&gt;=Projects!$C$35,35&lt;Projects!$C$35+Projects!$D$35),Projects!$B$35*INDEX(Curves!$B$4:$AR$4,1,35-Projects!$C$35+1),0)+IF(AND(Projects!$G$36="Yes",Projects!$M$36="Yes",35&gt;=Projects!$C$36,35&lt;Projects!$C$36+Projects!$D$36),Projects!$B$36*INDEX(Curves!$B$4:$AR$4,1,35-Projects!$C$36+1),0)+IF(AND(Projects!$G$37="Yes",Projects!$M$37="Yes",35&gt;=Projects!$C$37,35&lt;Projects!$C$37+Projects!$D$37),Projects!$B$37*INDEX(Curves!$B$4:$AR$4,1,35-Projects!$C$37+1),0)+IF(AND(Projects!$G$38="Yes",Projects!$M$38="Yes",35&gt;=Projects!$C$38,35&lt;Projects!$C$38+Projects!$D$38),Projects!$B$38*INDEX(Curves!$B$4:$AR$4,1,35-Projects!$C$38+1),0)+IF(AND(Projects!$G$39="Yes",Projects!$M$39="Yes",35&gt;=Projects!$C$39,35&lt;Projects!$C$39+Projects!$D$39),Projects!$B$39*INDEX(Curves!$B$4:$AR$4,1,35-Projects!$C$39+1),0)+IF(AND(Projects!$G$40="Yes",Projects!$M$40="Yes",35&gt;=Projects!$C$40,35&lt;Projects!$C$40+Projects!$D$40),Projects!$B$40*INDEX(Curves!$B$4:$AR$4,1,35-Projects!$C$40+1),0)+IF(AND(Projects!$G$41="Yes",Projects!$M$41="Yes",35&gt;=Projects!$C$41,35&lt;Projects!$C$41+Projects!$D$41),Projects!$B$41*INDEX(Curves!$B$4:$AR$4,1,35-Projects!$C$41+1),0)+IF(AND(Projects!$G$42="Yes",Projects!$M$42="Yes",35&gt;=Projects!$C$42,35&lt;Projects!$C$42+Projects!$D$42),Projects!$B$42*INDEX(Curves!$B$4:$AR$4,1,35-Projects!$C$42+1),0)+IF(AND(Projects!$G$43="Yes",Projects!$M$43="Yes",35&gt;=Projects!$C$43,35&lt;Projects!$C$43+Projects!$D$43),Projects!$B$43*INDEX(Curves!$B$4:$AR$4,1,35-Projects!$C$43+1),0)+IF(AND(Projects!$G$44="Yes",Projects!$M$44="Yes",35&gt;=Projects!$C$44,35&lt;Projects!$C$44+Projects!$D$44),Projects!$B$44*INDEX(Curves!$B$4:$AR$4,1,35-Projects!$C$44+1),0)+IF(AND(Projects!$G$45="Yes",Projects!$M$45="Yes",35&gt;=Projects!$C$45,35&lt;Projects!$C$45+Projects!$D$45),Projects!$B$45*INDEX(Curves!$B$4:$AR$4,1,35-Projects!$C$45+1),0)+IF(AND(Projects!$G$46="Yes",Projects!$M$46="Yes",35&gt;=Projects!$C$46,35&lt;Projects!$C$46+Projects!$D$46),Projects!$B$46*INDEX(Curves!$B$4:$AR$4,1,35-Projects!$C$46+1),0)</f>
        <v/>
      </c>
      <c r="AO101" s="691">
        <f>IF(AND(Projects!$G$17="Yes",Projects!$M$17="Yes",36&gt;=Projects!$C$17,36&lt;Projects!$C$17+Projects!$D$17),Projects!$B$17*INDEX(Curves!$B$4:$AR$4,1,36-Projects!$C$17+1),0)+IF(AND(Projects!$G$18="Yes",Projects!$M$18="Yes",36&gt;=Projects!$C$18,36&lt;Projects!$C$18+Projects!$D$18),Projects!$B$18*INDEX(Curves!$B$4:$AR$4,1,36-Projects!$C$18+1),0)+IF(AND(Projects!$G$19="Yes",Projects!$M$19="Yes",36&gt;=Projects!$C$19,36&lt;Projects!$C$19+Projects!$D$19),Projects!$B$19*INDEX(Curves!$B$4:$AR$4,1,36-Projects!$C$19+1),0)+IF(AND(Projects!$G$20="Yes",Projects!$M$20="Yes",36&gt;=Projects!$C$20,36&lt;Projects!$C$20+Projects!$D$20),Projects!$B$20*INDEX(Curves!$B$4:$AR$4,1,36-Projects!$C$20+1),0)+IF(AND(Projects!$G$21="Yes",Projects!$M$21="Yes",36&gt;=Projects!$C$21,36&lt;Projects!$C$21+Projects!$D$21),Projects!$B$21*INDEX(Curves!$B$4:$AR$4,1,36-Projects!$C$21+1),0)+IF(AND(Projects!$G$22="Yes",Projects!$M$22="Yes",36&gt;=Projects!$C$22,36&lt;Projects!$C$22+Projects!$D$22),Projects!$B$22*INDEX(Curves!$B$4:$AR$4,1,36-Projects!$C$22+1),0)+IF(AND(Projects!$G$23="Yes",Projects!$M$23="Yes",36&gt;=Projects!$C$23,36&lt;Projects!$C$23+Projects!$D$23),Projects!$B$23*INDEX(Curves!$B$4:$AR$4,1,36-Projects!$C$23+1),0)+IF(AND(Projects!$G$24="Yes",Projects!$M$24="Yes",36&gt;=Projects!$C$24,36&lt;Projects!$C$24+Projects!$D$24),Projects!$B$24*INDEX(Curves!$B$4:$AR$4,1,36-Projects!$C$24+1),0)+IF(AND(Projects!$G$25="Yes",Projects!$M$25="Yes",36&gt;=Projects!$C$25,36&lt;Projects!$C$25+Projects!$D$25),Projects!$B$25*INDEX(Curves!$B$4:$AR$4,1,36-Projects!$C$25+1),0)+IF(AND(Projects!$G$26="Yes",Projects!$M$26="Yes",36&gt;=Projects!$C$26,36&lt;Projects!$C$26+Projects!$D$26),Projects!$B$26*INDEX(Curves!$B$4:$AR$4,1,36-Projects!$C$26+1),0)+IF(AND(Projects!$G$27="Yes",Projects!$M$27="Yes",36&gt;=Projects!$C$27,36&lt;Projects!$C$27+Projects!$D$27),Projects!$B$27*INDEX(Curves!$B$4:$AR$4,1,36-Projects!$C$27+1),0)+IF(AND(Projects!$G$28="Yes",Projects!$M$28="Yes",36&gt;=Projects!$C$28,36&lt;Projects!$C$28+Projects!$D$28),Projects!$B$28*INDEX(Curves!$B$4:$AR$4,1,36-Projects!$C$28+1),0)+IF(AND(Projects!$G$29="Yes",Projects!$M$29="Yes",36&gt;=Projects!$C$29,36&lt;Projects!$C$29+Projects!$D$29),Projects!$B$29*INDEX(Curves!$B$4:$AR$4,1,36-Projects!$C$29+1),0)+IF(AND(Projects!$G$30="Yes",Projects!$M$30="Yes",36&gt;=Projects!$C$30,36&lt;Projects!$C$30+Projects!$D$30),Projects!$B$30*INDEX(Curves!$B$4:$AR$4,1,36-Projects!$C$30+1),0)+IF(AND(Projects!$G$31="Yes",Projects!$M$31="Yes",36&gt;=Projects!$C$31,36&lt;Projects!$C$31+Projects!$D$31),Projects!$B$31*INDEX(Curves!$B$4:$AR$4,1,36-Projects!$C$31+1),0)+IF(AND(Projects!$G$32="Yes",Projects!$M$32="Yes",36&gt;=Projects!$C$32,36&lt;Projects!$C$32+Projects!$D$32),Projects!$B$32*INDEX(Curves!$B$4:$AR$4,1,36-Projects!$C$32+1),0)+IF(AND(Projects!$G$33="Yes",Projects!$M$33="Yes",36&gt;=Projects!$C$33,36&lt;Projects!$C$33+Projects!$D$33),Projects!$B$33*INDEX(Curves!$B$4:$AR$4,1,36-Projects!$C$33+1),0)+IF(AND(Projects!$G$34="Yes",Projects!$M$34="Yes",36&gt;=Projects!$C$34,36&lt;Projects!$C$34+Projects!$D$34),Projects!$B$34*INDEX(Curves!$B$4:$AR$4,1,36-Projects!$C$34+1),0)+IF(AND(Projects!$G$35="Yes",Projects!$M$35="Yes",36&gt;=Projects!$C$35,36&lt;Projects!$C$35+Projects!$D$35),Projects!$B$35*INDEX(Curves!$B$4:$AR$4,1,36-Projects!$C$35+1),0)+IF(AND(Projects!$G$36="Yes",Projects!$M$36="Yes",36&gt;=Projects!$C$36,36&lt;Projects!$C$36+Projects!$D$36),Projects!$B$36*INDEX(Curves!$B$4:$AR$4,1,36-Projects!$C$36+1),0)+IF(AND(Projects!$G$37="Yes",Projects!$M$37="Yes",36&gt;=Projects!$C$37,36&lt;Projects!$C$37+Projects!$D$37),Projects!$B$37*INDEX(Curves!$B$4:$AR$4,1,36-Projects!$C$37+1),0)+IF(AND(Projects!$G$38="Yes",Projects!$M$38="Yes",36&gt;=Projects!$C$38,36&lt;Projects!$C$38+Projects!$D$38),Projects!$B$38*INDEX(Curves!$B$4:$AR$4,1,36-Projects!$C$38+1),0)+IF(AND(Projects!$G$39="Yes",Projects!$M$39="Yes",36&gt;=Projects!$C$39,36&lt;Projects!$C$39+Projects!$D$39),Projects!$B$39*INDEX(Curves!$B$4:$AR$4,1,36-Projects!$C$39+1),0)+IF(AND(Projects!$G$40="Yes",Projects!$M$40="Yes",36&gt;=Projects!$C$40,36&lt;Projects!$C$40+Projects!$D$40),Projects!$B$40*INDEX(Curves!$B$4:$AR$4,1,36-Projects!$C$40+1),0)+IF(AND(Projects!$G$41="Yes",Projects!$M$41="Yes",36&gt;=Projects!$C$41,36&lt;Projects!$C$41+Projects!$D$41),Projects!$B$41*INDEX(Curves!$B$4:$AR$4,1,36-Projects!$C$41+1),0)+IF(AND(Projects!$G$42="Yes",Projects!$M$42="Yes",36&gt;=Projects!$C$42,36&lt;Projects!$C$42+Projects!$D$42),Projects!$B$42*INDEX(Curves!$B$4:$AR$4,1,36-Projects!$C$42+1),0)+IF(AND(Projects!$G$43="Yes",Projects!$M$43="Yes",36&gt;=Projects!$C$43,36&lt;Projects!$C$43+Projects!$D$43),Projects!$B$43*INDEX(Curves!$B$4:$AR$4,1,36-Projects!$C$43+1),0)+IF(AND(Projects!$G$44="Yes",Projects!$M$44="Yes",36&gt;=Projects!$C$44,36&lt;Projects!$C$44+Projects!$D$44),Projects!$B$44*INDEX(Curves!$B$4:$AR$4,1,36-Projects!$C$44+1),0)+IF(AND(Projects!$G$45="Yes",Projects!$M$45="Yes",36&gt;=Projects!$C$45,36&lt;Projects!$C$45+Projects!$D$45),Projects!$B$45*INDEX(Curves!$B$4:$AR$4,1,36-Projects!$C$45+1),0)+IF(AND(Projects!$G$46="Yes",Projects!$M$46="Yes",36&gt;=Projects!$C$46,36&lt;Projects!$C$46+Projects!$D$46),Projects!$B$46*INDEX(Curves!$B$4:$AR$4,1,36-Projects!$C$46+1),0)</f>
        <v/>
      </c>
      <c r="AP101" s="691">
        <f>IF(AND(Projects!$G$17="Yes",Projects!$M$17="Yes",37&gt;=Projects!$C$17,37&lt;Projects!$C$17+Projects!$D$17),Projects!$B$17*INDEX(Curves!$B$4:$AR$4,1,37-Projects!$C$17+1),0)+IF(AND(Projects!$G$18="Yes",Projects!$M$18="Yes",37&gt;=Projects!$C$18,37&lt;Projects!$C$18+Projects!$D$18),Projects!$B$18*INDEX(Curves!$B$4:$AR$4,1,37-Projects!$C$18+1),0)+IF(AND(Projects!$G$19="Yes",Projects!$M$19="Yes",37&gt;=Projects!$C$19,37&lt;Projects!$C$19+Projects!$D$19),Projects!$B$19*INDEX(Curves!$B$4:$AR$4,1,37-Projects!$C$19+1),0)+IF(AND(Projects!$G$20="Yes",Projects!$M$20="Yes",37&gt;=Projects!$C$20,37&lt;Projects!$C$20+Projects!$D$20),Projects!$B$20*INDEX(Curves!$B$4:$AR$4,1,37-Projects!$C$20+1),0)+IF(AND(Projects!$G$21="Yes",Projects!$M$21="Yes",37&gt;=Projects!$C$21,37&lt;Projects!$C$21+Projects!$D$21),Projects!$B$21*INDEX(Curves!$B$4:$AR$4,1,37-Projects!$C$21+1),0)+IF(AND(Projects!$G$22="Yes",Projects!$M$22="Yes",37&gt;=Projects!$C$22,37&lt;Projects!$C$22+Projects!$D$22),Projects!$B$22*INDEX(Curves!$B$4:$AR$4,1,37-Projects!$C$22+1),0)+IF(AND(Projects!$G$23="Yes",Projects!$M$23="Yes",37&gt;=Projects!$C$23,37&lt;Projects!$C$23+Projects!$D$23),Projects!$B$23*INDEX(Curves!$B$4:$AR$4,1,37-Projects!$C$23+1),0)+IF(AND(Projects!$G$24="Yes",Projects!$M$24="Yes",37&gt;=Projects!$C$24,37&lt;Projects!$C$24+Projects!$D$24),Projects!$B$24*INDEX(Curves!$B$4:$AR$4,1,37-Projects!$C$24+1),0)+IF(AND(Projects!$G$25="Yes",Projects!$M$25="Yes",37&gt;=Projects!$C$25,37&lt;Projects!$C$25+Projects!$D$25),Projects!$B$25*INDEX(Curves!$B$4:$AR$4,1,37-Projects!$C$25+1),0)+IF(AND(Projects!$G$26="Yes",Projects!$M$26="Yes",37&gt;=Projects!$C$26,37&lt;Projects!$C$26+Projects!$D$26),Projects!$B$26*INDEX(Curves!$B$4:$AR$4,1,37-Projects!$C$26+1),0)+IF(AND(Projects!$G$27="Yes",Projects!$M$27="Yes",37&gt;=Projects!$C$27,37&lt;Projects!$C$27+Projects!$D$27),Projects!$B$27*INDEX(Curves!$B$4:$AR$4,1,37-Projects!$C$27+1),0)+IF(AND(Projects!$G$28="Yes",Projects!$M$28="Yes",37&gt;=Projects!$C$28,37&lt;Projects!$C$28+Projects!$D$28),Projects!$B$28*INDEX(Curves!$B$4:$AR$4,1,37-Projects!$C$28+1),0)+IF(AND(Projects!$G$29="Yes",Projects!$M$29="Yes",37&gt;=Projects!$C$29,37&lt;Projects!$C$29+Projects!$D$29),Projects!$B$29*INDEX(Curves!$B$4:$AR$4,1,37-Projects!$C$29+1),0)+IF(AND(Projects!$G$30="Yes",Projects!$M$30="Yes",37&gt;=Projects!$C$30,37&lt;Projects!$C$30+Projects!$D$30),Projects!$B$30*INDEX(Curves!$B$4:$AR$4,1,37-Projects!$C$30+1),0)+IF(AND(Projects!$G$31="Yes",Projects!$M$31="Yes",37&gt;=Projects!$C$31,37&lt;Projects!$C$31+Projects!$D$31),Projects!$B$31*INDEX(Curves!$B$4:$AR$4,1,37-Projects!$C$31+1),0)+IF(AND(Projects!$G$32="Yes",Projects!$M$32="Yes",37&gt;=Projects!$C$32,37&lt;Projects!$C$32+Projects!$D$32),Projects!$B$32*INDEX(Curves!$B$4:$AR$4,1,37-Projects!$C$32+1),0)+IF(AND(Projects!$G$33="Yes",Projects!$M$33="Yes",37&gt;=Projects!$C$33,37&lt;Projects!$C$33+Projects!$D$33),Projects!$B$33*INDEX(Curves!$B$4:$AR$4,1,37-Projects!$C$33+1),0)+IF(AND(Projects!$G$34="Yes",Projects!$M$34="Yes",37&gt;=Projects!$C$34,37&lt;Projects!$C$34+Projects!$D$34),Projects!$B$34*INDEX(Curves!$B$4:$AR$4,1,37-Projects!$C$34+1),0)+IF(AND(Projects!$G$35="Yes",Projects!$M$35="Yes",37&gt;=Projects!$C$35,37&lt;Projects!$C$35+Projects!$D$35),Projects!$B$35*INDEX(Curves!$B$4:$AR$4,1,37-Projects!$C$35+1),0)+IF(AND(Projects!$G$36="Yes",Projects!$M$36="Yes",37&gt;=Projects!$C$36,37&lt;Projects!$C$36+Projects!$D$36),Projects!$B$36*INDEX(Curves!$B$4:$AR$4,1,37-Projects!$C$36+1),0)+IF(AND(Projects!$G$37="Yes",Projects!$M$37="Yes",37&gt;=Projects!$C$37,37&lt;Projects!$C$37+Projects!$D$37),Projects!$B$37*INDEX(Curves!$B$4:$AR$4,1,37-Projects!$C$37+1),0)+IF(AND(Projects!$G$38="Yes",Projects!$M$38="Yes",37&gt;=Projects!$C$38,37&lt;Projects!$C$38+Projects!$D$38),Projects!$B$38*INDEX(Curves!$B$4:$AR$4,1,37-Projects!$C$38+1),0)+IF(AND(Projects!$G$39="Yes",Projects!$M$39="Yes",37&gt;=Projects!$C$39,37&lt;Projects!$C$39+Projects!$D$39),Projects!$B$39*INDEX(Curves!$B$4:$AR$4,1,37-Projects!$C$39+1),0)+IF(AND(Projects!$G$40="Yes",Projects!$M$40="Yes",37&gt;=Projects!$C$40,37&lt;Projects!$C$40+Projects!$D$40),Projects!$B$40*INDEX(Curves!$B$4:$AR$4,1,37-Projects!$C$40+1),0)+IF(AND(Projects!$G$41="Yes",Projects!$M$41="Yes",37&gt;=Projects!$C$41,37&lt;Projects!$C$41+Projects!$D$41),Projects!$B$41*INDEX(Curves!$B$4:$AR$4,1,37-Projects!$C$41+1),0)+IF(AND(Projects!$G$42="Yes",Projects!$M$42="Yes",37&gt;=Projects!$C$42,37&lt;Projects!$C$42+Projects!$D$42),Projects!$B$42*INDEX(Curves!$B$4:$AR$4,1,37-Projects!$C$42+1),0)+IF(AND(Projects!$G$43="Yes",Projects!$M$43="Yes",37&gt;=Projects!$C$43,37&lt;Projects!$C$43+Projects!$D$43),Projects!$B$43*INDEX(Curves!$B$4:$AR$4,1,37-Projects!$C$43+1),0)+IF(AND(Projects!$G$44="Yes",Projects!$M$44="Yes",37&gt;=Projects!$C$44,37&lt;Projects!$C$44+Projects!$D$44),Projects!$B$44*INDEX(Curves!$B$4:$AR$4,1,37-Projects!$C$44+1),0)+IF(AND(Projects!$G$45="Yes",Projects!$M$45="Yes",37&gt;=Projects!$C$45,37&lt;Projects!$C$45+Projects!$D$45),Projects!$B$45*INDEX(Curves!$B$4:$AR$4,1,37-Projects!$C$45+1),0)+IF(AND(Projects!$G$46="Yes",Projects!$M$46="Yes",37&gt;=Projects!$C$46,37&lt;Projects!$C$46+Projects!$D$46),Projects!$B$46*INDEX(Curves!$B$4:$AR$4,1,37-Projects!$C$46+1),0)</f>
        <v/>
      </c>
      <c r="AQ101" s="691">
        <f>IF(AND(Projects!$G$17="Yes",Projects!$M$17="Yes",38&gt;=Projects!$C$17,38&lt;Projects!$C$17+Projects!$D$17),Projects!$B$17*INDEX(Curves!$B$4:$AR$4,1,38-Projects!$C$17+1),0)+IF(AND(Projects!$G$18="Yes",Projects!$M$18="Yes",38&gt;=Projects!$C$18,38&lt;Projects!$C$18+Projects!$D$18),Projects!$B$18*INDEX(Curves!$B$4:$AR$4,1,38-Projects!$C$18+1),0)+IF(AND(Projects!$G$19="Yes",Projects!$M$19="Yes",38&gt;=Projects!$C$19,38&lt;Projects!$C$19+Projects!$D$19),Projects!$B$19*INDEX(Curves!$B$4:$AR$4,1,38-Projects!$C$19+1),0)+IF(AND(Projects!$G$20="Yes",Projects!$M$20="Yes",38&gt;=Projects!$C$20,38&lt;Projects!$C$20+Projects!$D$20),Projects!$B$20*INDEX(Curves!$B$4:$AR$4,1,38-Projects!$C$20+1),0)+IF(AND(Projects!$G$21="Yes",Projects!$M$21="Yes",38&gt;=Projects!$C$21,38&lt;Projects!$C$21+Projects!$D$21),Projects!$B$21*INDEX(Curves!$B$4:$AR$4,1,38-Projects!$C$21+1),0)+IF(AND(Projects!$G$22="Yes",Projects!$M$22="Yes",38&gt;=Projects!$C$22,38&lt;Projects!$C$22+Projects!$D$22),Projects!$B$22*INDEX(Curves!$B$4:$AR$4,1,38-Projects!$C$22+1),0)+IF(AND(Projects!$G$23="Yes",Projects!$M$23="Yes",38&gt;=Projects!$C$23,38&lt;Projects!$C$23+Projects!$D$23),Projects!$B$23*INDEX(Curves!$B$4:$AR$4,1,38-Projects!$C$23+1),0)+IF(AND(Projects!$G$24="Yes",Projects!$M$24="Yes",38&gt;=Projects!$C$24,38&lt;Projects!$C$24+Projects!$D$24),Projects!$B$24*INDEX(Curves!$B$4:$AR$4,1,38-Projects!$C$24+1),0)+IF(AND(Projects!$G$25="Yes",Projects!$M$25="Yes",38&gt;=Projects!$C$25,38&lt;Projects!$C$25+Projects!$D$25),Projects!$B$25*INDEX(Curves!$B$4:$AR$4,1,38-Projects!$C$25+1),0)+IF(AND(Projects!$G$26="Yes",Projects!$M$26="Yes",38&gt;=Projects!$C$26,38&lt;Projects!$C$26+Projects!$D$26),Projects!$B$26*INDEX(Curves!$B$4:$AR$4,1,38-Projects!$C$26+1),0)+IF(AND(Projects!$G$27="Yes",Projects!$M$27="Yes",38&gt;=Projects!$C$27,38&lt;Projects!$C$27+Projects!$D$27),Projects!$B$27*INDEX(Curves!$B$4:$AR$4,1,38-Projects!$C$27+1),0)+IF(AND(Projects!$G$28="Yes",Projects!$M$28="Yes",38&gt;=Projects!$C$28,38&lt;Projects!$C$28+Projects!$D$28),Projects!$B$28*INDEX(Curves!$B$4:$AR$4,1,38-Projects!$C$28+1),0)+IF(AND(Projects!$G$29="Yes",Projects!$M$29="Yes",38&gt;=Projects!$C$29,38&lt;Projects!$C$29+Projects!$D$29),Projects!$B$29*INDEX(Curves!$B$4:$AR$4,1,38-Projects!$C$29+1),0)+IF(AND(Projects!$G$30="Yes",Projects!$M$30="Yes",38&gt;=Projects!$C$30,38&lt;Projects!$C$30+Projects!$D$30),Projects!$B$30*INDEX(Curves!$B$4:$AR$4,1,38-Projects!$C$30+1),0)+IF(AND(Projects!$G$31="Yes",Projects!$M$31="Yes",38&gt;=Projects!$C$31,38&lt;Projects!$C$31+Projects!$D$31),Projects!$B$31*INDEX(Curves!$B$4:$AR$4,1,38-Projects!$C$31+1),0)+IF(AND(Projects!$G$32="Yes",Projects!$M$32="Yes",38&gt;=Projects!$C$32,38&lt;Projects!$C$32+Projects!$D$32),Projects!$B$32*INDEX(Curves!$B$4:$AR$4,1,38-Projects!$C$32+1),0)+IF(AND(Projects!$G$33="Yes",Projects!$M$33="Yes",38&gt;=Projects!$C$33,38&lt;Projects!$C$33+Projects!$D$33),Projects!$B$33*INDEX(Curves!$B$4:$AR$4,1,38-Projects!$C$33+1),0)+IF(AND(Projects!$G$34="Yes",Projects!$M$34="Yes",38&gt;=Projects!$C$34,38&lt;Projects!$C$34+Projects!$D$34),Projects!$B$34*INDEX(Curves!$B$4:$AR$4,1,38-Projects!$C$34+1),0)+IF(AND(Projects!$G$35="Yes",Projects!$M$35="Yes",38&gt;=Projects!$C$35,38&lt;Projects!$C$35+Projects!$D$35),Projects!$B$35*INDEX(Curves!$B$4:$AR$4,1,38-Projects!$C$35+1),0)+IF(AND(Projects!$G$36="Yes",Projects!$M$36="Yes",38&gt;=Projects!$C$36,38&lt;Projects!$C$36+Projects!$D$36),Projects!$B$36*INDEX(Curves!$B$4:$AR$4,1,38-Projects!$C$36+1),0)+IF(AND(Projects!$G$37="Yes",Projects!$M$37="Yes",38&gt;=Projects!$C$37,38&lt;Projects!$C$37+Projects!$D$37),Projects!$B$37*INDEX(Curves!$B$4:$AR$4,1,38-Projects!$C$37+1),0)+IF(AND(Projects!$G$38="Yes",Projects!$M$38="Yes",38&gt;=Projects!$C$38,38&lt;Projects!$C$38+Projects!$D$38),Projects!$B$38*INDEX(Curves!$B$4:$AR$4,1,38-Projects!$C$38+1),0)+IF(AND(Projects!$G$39="Yes",Projects!$M$39="Yes",38&gt;=Projects!$C$39,38&lt;Projects!$C$39+Projects!$D$39),Projects!$B$39*INDEX(Curves!$B$4:$AR$4,1,38-Projects!$C$39+1),0)+IF(AND(Projects!$G$40="Yes",Projects!$M$40="Yes",38&gt;=Projects!$C$40,38&lt;Projects!$C$40+Projects!$D$40),Projects!$B$40*INDEX(Curves!$B$4:$AR$4,1,38-Projects!$C$40+1),0)+IF(AND(Projects!$G$41="Yes",Projects!$M$41="Yes",38&gt;=Projects!$C$41,38&lt;Projects!$C$41+Projects!$D$41),Projects!$B$41*INDEX(Curves!$B$4:$AR$4,1,38-Projects!$C$41+1),0)+IF(AND(Projects!$G$42="Yes",Projects!$M$42="Yes",38&gt;=Projects!$C$42,38&lt;Projects!$C$42+Projects!$D$42),Projects!$B$42*INDEX(Curves!$B$4:$AR$4,1,38-Projects!$C$42+1),0)+IF(AND(Projects!$G$43="Yes",Projects!$M$43="Yes",38&gt;=Projects!$C$43,38&lt;Projects!$C$43+Projects!$D$43),Projects!$B$43*INDEX(Curves!$B$4:$AR$4,1,38-Projects!$C$43+1),0)+IF(AND(Projects!$G$44="Yes",Projects!$M$44="Yes",38&gt;=Projects!$C$44,38&lt;Projects!$C$44+Projects!$D$44),Projects!$B$44*INDEX(Curves!$B$4:$AR$4,1,38-Projects!$C$44+1),0)+IF(AND(Projects!$G$45="Yes",Projects!$M$45="Yes",38&gt;=Projects!$C$45,38&lt;Projects!$C$45+Projects!$D$45),Projects!$B$45*INDEX(Curves!$B$4:$AR$4,1,38-Projects!$C$45+1),0)+IF(AND(Projects!$G$46="Yes",Projects!$M$46="Yes",38&gt;=Projects!$C$46,38&lt;Projects!$C$46+Projects!$D$46),Projects!$B$46*INDEX(Curves!$B$4:$AR$4,1,38-Projects!$C$46+1),0)</f>
        <v/>
      </c>
      <c r="AR101" s="691">
        <f>IF(AND(Projects!$G$17="Yes",Projects!$M$17="Yes",39&gt;=Projects!$C$17,39&lt;Projects!$C$17+Projects!$D$17),Projects!$B$17*INDEX(Curves!$B$4:$AR$4,1,39-Projects!$C$17+1),0)+IF(AND(Projects!$G$18="Yes",Projects!$M$18="Yes",39&gt;=Projects!$C$18,39&lt;Projects!$C$18+Projects!$D$18),Projects!$B$18*INDEX(Curves!$B$4:$AR$4,1,39-Projects!$C$18+1),0)+IF(AND(Projects!$G$19="Yes",Projects!$M$19="Yes",39&gt;=Projects!$C$19,39&lt;Projects!$C$19+Projects!$D$19),Projects!$B$19*INDEX(Curves!$B$4:$AR$4,1,39-Projects!$C$19+1),0)+IF(AND(Projects!$G$20="Yes",Projects!$M$20="Yes",39&gt;=Projects!$C$20,39&lt;Projects!$C$20+Projects!$D$20),Projects!$B$20*INDEX(Curves!$B$4:$AR$4,1,39-Projects!$C$20+1),0)+IF(AND(Projects!$G$21="Yes",Projects!$M$21="Yes",39&gt;=Projects!$C$21,39&lt;Projects!$C$21+Projects!$D$21),Projects!$B$21*INDEX(Curves!$B$4:$AR$4,1,39-Projects!$C$21+1),0)+IF(AND(Projects!$G$22="Yes",Projects!$M$22="Yes",39&gt;=Projects!$C$22,39&lt;Projects!$C$22+Projects!$D$22),Projects!$B$22*INDEX(Curves!$B$4:$AR$4,1,39-Projects!$C$22+1),0)+IF(AND(Projects!$G$23="Yes",Projects!$M$23="Yes",39&gt;=Projects!$C$23,39&lt;Projects!$C$23+Projects!$D$23),Projects!$B$23*INDEX(Curves!$B$4:$AR$4,1,39-Projects!$C$23+1),0)+IF(AND(Projects!$G$24="Yes",Projects!$M$24="Yes",39&gt;=Projects!$C$24,39&lt;Projects!$C$24+Projects!$D$24),Projects!$B$24*INDEX(Curves!$B$4:$AR$4,1,39-Projects!$C$24+1),0)+IF(AND(Projects!$G$25="Yes",Projects!$M$25="Yes",39&gt;=Projects!$C$25,39&lt;Projects!$C$25+Projects!$D$25),Projects!$B$25*INDEX(Curves!$B$4:$AR$4,1,39-Projects!$C$25+1),0)+IF(AND(Projects!$G$26="Yes",Projects!$M$26="Yes",39&gt;=Projects!$C$26,39&lt;Projects!$C$26+Projects!$D$26),Projects!$B$26*INDEX(Curves!$B$4:$AR$4,1,39-Projects!$C$26+1),0)+IF(AND(Projects!$G$27="Yes",Projects!$M$27="Yes",39&gt;=Projects!$C$27,39&lt;Projects!$C$27+Projects!$D$27),Projects!$B$27*INDEX(Curves!$B$4:$AR$4,1,39-Projects!$C$27+1),0)+IF(AND(Projects!$G$28="Yes",Projects!$M$28="Yes",39&gt;=Projects!$C$28,39&lt;Projects!$C$28+Projects!$D$28),Projects!$B$28*INDEX(Curves!$B$4:$AR$4,1,39-Projects!$C$28+1),0)+IF(AND(Projects!$G$29="Yes",Projects!$M$29="Yes",39&gt;=Projects!$C$29,39&lt;Projects!$C$29+Projects!$D$29),Projects!$B$29*INDEX(Curves!$B$4:$AR$4,1,39-Projects!$C$29+1),0)+IF(AND(Projects!$G$30="Yes",Projects!$M$30="Yes",39&gt;=Projects!$C$30,39&lt;Projects!$C$30+Projects!$D$30),Projects!$B$30*INDEX(Curves!$B$4:$AR$4,1,39-Projects!$C$30+1),0)+IF(AND(Projects!$G$31="Yes",Projects!$M$31="Yes",39&gt;=Projects!$C$31,39&lt;Projects!$C$31+Projects!$D$31),Projects!$B$31*INDEX(Curves!$B$4:$AR$4,1,39-Projects!$C$31+1),0)+IF(AND(Projects!$G$32="Yes",Projects!$M$32="Yes",39&gt;=Projects!$C$32,39&lt;Projects!$C$32+Projects!$D$32),Projects!$B$32*INDEX(Curves!$B$4:$AR$4,1,39-Projects!$C$32+1),0)+IF(AND(Projects!$G$33="Yes",Projects!$M$33="Yes",39&gt;=Projects!$C$33,39&lt;Projects!$C$33+Projects!$D$33),Projects!$B$33*INDEX(Curves!$B$4:$AR$4,1,39-Projects!$C$33+1),0)+IF(AND(Projects!$G$34="Yes",Projects!$M$34="Yes",39&gt;=Projects!$C$34,39&lt;Projects!$C$34+Projects!$D$34),Projects!$B$34*INDEX(Curves!$B$4:$AR$4,1,39-Projects!$C$34+1),0)+IF(AND(Projects!$G$35="Yes",Projects!$M$35="Yes",39&gt;=Projects!$C$35,39&lt;Projects!$C$35+Projects!$D$35),Projects!$B$35*INDEX(Curves!$B$4:$AR$4,1,39-Projects!$C$35+1),0)+IF(AND(Projects!$G$36="Yes",Projects!$M$36="Yes",39&gt;=Projects!$C$36,39&lt;Projects!$C$36+Projects!$D$36),Projects!$B$36*INDEX(Curves!$B$4:$AR$4,1,39-Projects!$C$36+1),0)+IF(AND(Projects!$G$37="Yes",Projects!$M$37="Yes",39&gt;=Projects!$C$37,39&lt;Projects!$C$37+Projects!$D$37),Projects!$B$37*INDEX(Curves!$B$4:$AR$4,1,39-Projects!$C$37+1),0)+IF(AND(Projects!$G$38="Yes",Projects!$M$38="Yes",39&gt;=Projects!$C$38,39&lt;Projects!$C$38+Projects!$D$38),Projects!$B$38*INDEX(Curves!$B$4:$AR$4,1,39-Projects!$C$38+1),0)+IF(AND(Projects!$G$39="Yes",Projects!$M$39="Yes",39&gt;=Projects!$C$39,39&lt;Projects!$C$39+Projects!$D$39),Projects!$B$39*INDEX(Curves!$B$4:$AR$4,1,39-Projects!$C$39+1),0)+IF(AND(Projects!$G$40="Yes",Projects!$M$40="Yes",39&gt;=Projects!$C$40,39&lt;Projects!$C$40+Projects!$D$40),Projects!$B$40*INDEX(Curves!$B$4:$AR$4,1,39-Projects!$C$40+1),0)+IF(AND(Projects!$G$41="Yes",Projects!$M$41="Yes",39&gt;=Projects!$C$41,39&lt;Projects!$C$41+Projects!$D$41),Projects!$B$41*INDEX(Curves!$B$4:$AR$4,1,39-Projects!$C$41+1),0)+IF(AND(Projects!$G$42="Yes",Projects!$M$42="Yes",39&gt;=Projects!$C$42,39&lt;Projects!$C$42+Projects!$D$42),Projects!$B$42*INDEX(Curves!$B$4:$AR$4,1,39-Projects!$C$42+1),0)+IF(AND(Projects!$G$43="Yes",Projects!$M$43="Yes",39&gt;=Projects!$C$43,39&lt;Projects!$C$43+Projects!$D$43),Projects!$B$43*INDEX(Curves!$B$4:$AR$4,1,39-Projects!$C$43+1),0)+IF(AND(Projects!$G$44="Yes",Projects!$M$44="Yes",39&gt;=Projects!$C$44,39&lt;Projects!$C$44+Projects!$D$44),Projects!$B$44*INDEX(Curves!$B$4:$AR$4,1,39-Projects!$C$44+1),0)+IF(AND(Projects!$G$45="Yes",Projects!$M$45="Yes",39&gt;=Projects!$C$45,39&lt;Projects!$C$45+Projects!$D$45),Projects!$B$45*INDEX(Curves!$B$4:$AR$4,1,39-Projects!$C$45+1),0)+IF(AND(Projects!$G$46="Yes",Projects!$M$46="Yes",39&gt;=Projects!$C$46,39&lt;Projects!$C$46+Projects!$D$46),Projects!$B$46*INDEX(Curves!$B$4:$AR$4,1,39-Projects!$C$46+1),0)</f>
        <v/>
      </c>
      <c r="AS101" s="691">
        <f>IF(AND(Projects!$G$17="Yes",Projects!$M$17="Yes",40&gt;=Projects!$C$17,40&lt;Projects!$C$17+Projects!$D$17),Projects!$B$17*INDEX(Curves!$B$4:$AR$4,1,40-Projects!$C$17+1),0)+IF(AND(Projects!$G$18="Yes",Projects!$M$18="Yes",40&gt;=Projects!$C$18,40&lt;Projects!$C$18+Projects!$D$18),Projects!$B$18*INDEX(Curves!$B$4:$AR$4,1,40-Projects!$C$18+1),0)+IF(AND(Projects!$G$19="Yes",Projects!$M$19="Yes",40&gt;=Projects!$C$19,40&lt;Projects!$C$19+Projects!$D$19),Projects!$B$19*INDEX(Curves!$B$4:$AR$4,1,40-Projects!$C$19+1),0)+IF(AND(Projects!$G$20="Yes",Projects!$M$20="Yes",40&gt;=Projects!$C$20,40&lt;Projects!$C$20+Projects!$D$20),Projects!$B$20*INDEX(Curves!$B$4:$AR$4,1,40-Projects!$C$20+1),0)+IF(AND(Projects!$G$21="Yes",Projects!$M$21="Yes",40&gt;=Projects!$C$21,40&lt;Projects!$C$21+Projects!$D$21),Projects!$B$21*INDEX(Curves!$B$4:$AR$4,1,40-Projects!$C$21+1),0)+IF(AND(Projects!$G$22="Yes",Projects!$M$22="Yes",40&gt;=Projects!$C$22,40&lt;Projects!$C$22+Projects!$D$22),Projects!$B$22*INDEX(Curves!$B$4:$AR$4,1,40-Projects!$C$22+1),0)+IF(AND(Projects!$G$23="Yes",Projects!$M$23="Yes",40&gt;=Projects!$C$23,40&lt;Projects!$C$23+Projects!$D$23),Projects!$B$23*INDEX(Curves!$B$4:$AR$4,1,40-Projects!$C$23+1),0)+IF(AND(Projects!$G$24="Yes",Projects!$M$24="Yes",40&gt;=Projects!$C$24,40&lt;Projects!$C$24+Projects!$D$24),Projects!$B$24*INDEX(Curves!$B$4:$AR$4,1,40-Projects!$C$24+1),0)+IF(AND(Projects!$G$25="Yes",Projects!$M$25="Yes",40&gt;=Projects!$C$25,40&lt;Projects!$C$25+Projects!$D$25),Projects!$B$25*INDEX(Curves!$B$4:$AR$4,1,40-Projects!$C$25+1),0)+IF(AND(Projects!$G$26="Yes",Projects!$M$26="Yes",40&gt;=Projects!$C$26,40&lt;Projects!$C$26+Projects!$D$26),Projects!$B$26*INDEX(Curves!$B$4:$AR$4,1,40-Projects!$C$26+1),0)+IF(AND(Projects!$G$27="Yes",Projects!$M$27="Yes",40&gt;=Projects!$C$27,40&lt;Projects!$C$27+Projects!$D$27),Projects!$B$27*INDEX(Curves!$B$4:$AR$4,1,40-Projects!$C$27+1),0)+IF(AND(Projects!$G$28="Yes",Projects!$M$28="Yes",40&gt;=Projects!$C$28,40&lt;Projects!$C$28+Projects!$D$28),Projects!$B$28*INDEX(Curves!$B$4:$AR$4,1,40-Projects!$C$28+1),0)+IF(AND(Projects!$G$29="Yes",Projects!$M$29="Yes",40&gt;=Projects!$C$29,40&lt;Projects!$C$29+Projects!$D$29),Projects!$B$29*INDEX(Curves!$B$4:$AR$4,1,40-Projects!$C$29+1),0)+IF(AND(Projects!$G$30="Yes",Projects!$M$30="Yes",40&gt;=Projects!$C$30,40&lt;Projects!$C$30+Projects!$D$30),Projects!$B$30*INDEX(Curves!$B$4:$AR$4,1,40-Projects!$C$30+1),0)+IF(AND(Projects!$G$31="Yes",Projects!$M$31="Yes",40&gt;=Projects!$C$31,40&lt;Projects!$C$31+Projects!$D$31),Projects!$B$31*INDEX(Curves!$B$4:$AR$4,1,40-Projects!$C$31+1),0)+IF(AND(Projects!$G$32="Yes",Projects!$M$32="Yes",40&gt;=Projects!$C$32,40&lt;Projects!$C$32+Projects!$D$32),Projects!$B$32*INDEX(Curves!$B$4:$AR$4,1,40-Projects!$C$32+1),0)+IF(AND(Projects!$G$33="Yes",Projects!$M$33="Yes",40&gt;=Projects!$C$33,40&lt;Projects!$C$33+Projects!$D$33),Projects!$B$33*INDEX(Curves!$B$4:$AR$4,1,40-Projects!$C$33+1),0)+IF(AND(Projects!$G$34="Yes",Projects!$M$34="Yes",40&gt;=Projects!$C$34,40&lt;Projects!$C$34+Projects!$D$34),Projects!$B$34*INDEX(Curves!$B$4:$AR$4,1,40-Projects!$C$34+1),0)+IF(AND(Projects!$G$35="Yes",Projects!$M$35="Yes",40&gt;=Projects!$C$35,40&lt;Projects!$C$35+Projects!$D$35),Projects!$B$35*INDEX(Curves!$B$4:$AR$4,1,40-Projects!$C$35+1),0)+IF(AND(Projects!$G$36="Yes",Projects!$M$36="Yes",40&gt;=Projects!$C$36,40&lt;Projects!$C$36+Projects!$D$36),Projects!$B$36*INDEX(Curves!$B$4:$AR$4,1,40-Projects!$C$36+1),0)+IF(AND(Projects!$G$37="Yes",Projects!$M$37="Yes",40&gt;=Projects!$C$37,40&lt;Projects!$C$37+Projects!$D$37),Projects!$B$37*INDEX(Curves!$B$4:$AR$4,1,40-Projects!$C$37+1),0)+IF(AND(Projects!$G$38="Yes",Projects!$M$38="Yes",40&gt;=Projects!$C$38,40&lt;Projects!$C$38+Projects!$D$38),Projects!$B$38*INDEX(Curves!$B$4:$AR$4,1,40-Projects!$C$38+1),0)+IF(AND(Projects!$G$39="Yes",Projects!$M$39="Yes",40&gt;=Projects!$C$39,40&lt;Projects!$C$39+Projects!$D$39),Projects!$B$39*INDEX(Curves!$B$4:$AR$4,1,40-Projects!$C$39+1),0)+IF(AND(Projects!$G$40="Yes",Projects!$M$40="Yes",40&gt;=Projects!$C$40,40&lt;Projects!$C$40+Projects!$D$40),Projects!$B$40*INDEX(Curves!$B$4:$AR$4,1,40-Projects!$C$40+1),0)+IF(AND(Projects!$G$41="Yes",Projects!$M$41="Yes",40&gt;=Projects!$C$41,40&lt;Projects!$C$41+Projects!$D$41),Projects!$B$41*INDEX(Curves!$B$4:$AR$4,1,40-Projects!$C$41+1),0)+IF(AND(Projects!$G$42="Yes",Projects!$M$42="Yes",40&gt;=Projects!$C$42,40&lt;Projects!$C$42+Projects!$D$42),Projects!$B$42*INDEX(Curves!$B$4:$AR$4,1,40-Projects!$C$42+1),0)+IF(AND(Projects!$G$43="Yes",Projects!$M$43="Yes",40&gt;=Projects!$C$43,40&lt;Projects!$C$43+Projects!$D$43),Projects!$B$43*INDEX(Curves!$B$4:$AR$4,1,40-Projects!$C$43+1),0)+IF(AND(Projects!$G$44="Yes",Projects!$M$44="Yes",40&gt;=Projects!$C$44,40&lt;Projects!$C$44+Projects!$D$44),Projects!$B$44*INDEX(Curves!$B$4:$AR$4,1,40-Projects!$C$44+1),0)+IF(AND(Projects!$G$45="Yes",Projects!$M$45="Yes",40&gt;=Projects!$C$45,40&lt;Projects!$C$45+Projects!$D$45),Projects!$B$45*INDEX(Curves!$B$4:$AR$4,1,40-Projects!$C$45+1),0)+IF(AND(Projects!$G$46="Yes",Projects!$M$46="Yes",40&gt;=Projects!$C$46,40&lt;Projects!$C$46+Projects!$D$46),Projects!$B$46*INDEX(Curves!$B$4:$AR$4,1,40-Projects!$C$46+1),0)</f>
        <v/>
      </c>
      <c r="AT101" s="691">
        <f>IF(AND(Projects!$G$17="Yes",Projects!$M$17="Yes",41&gt;=Projects!$C$17,41&lt;Projects!$C$17+Projects!$D$17),Projects!$B$17*INDEX(Curves!$B$4:$AR$4,1,41-Projects!$C$17+1),0)+IF(AND(Projects!$G$18="Yes",Projects!$M$18="Yes",41&gt;=Projects!$C$18,41&lt;Projects!$C$18+Projects!$D$18),Projects!$B$18*INDEX(Curves!$B$4:$AR$4,1,41-Projects!$C$18+1),0)+IF(AND(Projects!$G$19="Yes",Projects!$M$19="Yes",41&gt;=Projects!$C$19,41&lt;Projects!$C$19+Projects!$D$19),Projects!$B$19*INDEX(Curves!$B$4:$AR$4,1,41-Projects!$C$19+1),0)+IF(AND(Projects!$G$20="Yes",Projects!$M$20="Yes",41&gt;=Projects!$C$20,41&lt;Projects!$C$20+Projects!$D$20),Projects!$B$20*INDEX(Curves!$B$4:$AR$4,1,41-Projects!$C$20+1),0)+IF(AND(Projects!$G$21="Yes",Projects!$M$21="Yes",41&gt;=Projects!$C$21,41&lt;Projects!$C$21+Projects!$D$21),Projects!$B$21*INDEX(Curves!$B$4:$AR$4,1,41-Projects!$C$21+1),0)+IF(AND(Projects!$G$22="Yes",Projects!$M$22="Yes",41&gt;=Projects!$C$22,41&lt;Projects!$C$22+Projects!$D$22),Projects!$B$22*INDEX(Curves!$B$4:$AR$4,1,41-Projects!$C$22+1),0)+IF(AND(Projects!$G$23="Yes",Projects!$M$23="Yes",41&gt;=Projects!$C$23,41&lt;Projects!$C$23+Projects!$D$23),Projects!$B$23*INDEX(Curves!$B$4:$AR$4,1,41-Projects!$C$23+1),0)+IF(AND(Projects!$G$24="Yes",Projects!$M$24="Yes",41&gt;=Projects!$C$24,41&lt;Projects!$C$24+Projects!$D$24),Projects!$B$24*INDEX(Curves!$B$4:$AR$4,1,41-Projects!$C$24+1),0)+IF(AND(Projects!$G$25="Yes",Projects!$M$25="Yes",41&gt;=Projects!$C$25,41&lt;Projects!$C$25+Projects!$D$25),Projects!$B$25*INDEX(Curves!$B$4:$AR$4,1,41-Projects!$C$25+1),0)+IF(AND(Projects!$G$26="Yes",Projects!$M$26="Yes",41&gt;=Projects!$C$26,41&lt;Projects!$C$26+Projects!$D$26),Projects!$B$26*INDEX(Curves!$B$4:$AR$4,1,41-Projects!$C$26+1),0)+IF(AND(Projects!$G$27="Yes",Projects!$M$27="Yes",41&gt;=Projects!$C$27,41&lt;Projects!$C$27+Projects!$D$27),Projects!$B$27*INDEX(Curves!$B$4:$AR$4,1,41-Projects!$C$27+1),0)+IF(AND(Projects!$G$28="Yes",Projects!$M$28="Yes",41&gt;=Projects!$C$28,41&lt;Projects!$C$28+Projects!$D$28),Projects!$B$28*INDEX(Curves!$B$4:$AR$4,1,41-Projects!$C$28+1),0)+IF(AND(Projects!$G$29="Yes",Projects!$M$29="Yes",41&gt;=Projects!$C$29,41&lt;Projects!$C$29+Projects!$D$29),Projects!$B$29*INDEX(Curves!$B$4:$AR$4,1,41-Projects!$C$29+1),0)+IF(AND(Projects!$G$30="Yes",Projects!$M$30="Yes",41&gt;=Projects!$C$30,41&lt;Projects!$C$30+Projects!$D$30),Projects!$B$30*INDEX(Curves!$B$4:$AR$4,1,41-Projects!$C$30+1),0)+IF(AND(Projects!$G$31="Yes",Projects!$M$31="Yes",41&gt;=Projects!$C$31,41&lt;Projects!$C$31+Projects!$D$31),Projects!$B$31*INDEX(Curves!$B$4:$AR$4,1,41-Projects!$C$31+1),0)+IF(AND(Projects!$G$32="Yes",Projects!$M$32="Yes",41&gt;=Projects!$C$32,41&lt;Projects!$C$32+Projects!$D$32),Projects!$B$32*INDEX(Curves!$B$4:$AR$4,1,41-Projects!$C$32+1),0)+IF(AND(Projects!$G$33="Yes",Projects!$M$33="Yes",41&gt;=Projects!$C$33,41&lt;Projects!$C$33+Projects!$D$33),Projects!$B$33*INDEX(Curves!$B$4:$AR$4,1,41-Projects!$C$33+1),0)+IF(AND(Projects!$G$34="Yes",Projects!$M$34="Yes",41&gt;=Projects!$C$34,41&lt;Projects!$C$34+Projects!$D$34),Projects!$B$34*INDEX(Curves!$B$4:$AR$4,1,41-Projects!$C$34+1),0)+IF(AND(Projects!$G$35="Yes",Projects!$M$35="Yes",41&gt;=Projects!$C$35,41&lt;Projects!$C$35+Projects!$D$35),Projects!$B$35*INDEX(Curves!$B$4:$AR$4,1,41-Projects!$C$35+1),0)+IF(AND(Projects!$G$36="Yes",Projects!$M$36="Yes",41&gt;=Projects!$C$36,41&lt;Projects!$C$36+Projects!$D$36),Projects!$B$36*INDEX(Curves!$B$4:$AR$4,1,41-Projects!$C$36+1),0)+IF(AND(Projects!$G$37="Yes",Projects!$M$37="Yes",41&gt;=Projects!$C$37,41&lt;Projects!$C$37+Projects!$D$37),Projects!$B$37*INDEX(Curves!$B$4:$AR$4,1,41-Projects!$C$37+1),0)+IF(AND(Projects!$G$38="Yes",Projects!$M$38="Yes",41&gt;=Projects!$C$38,41&lt;Projects!$C$38+Projects!$D$38),Projects!$B$38*INDEX(Curves!$B$4:$AR$4,1,41-Projects!$C$38+1),0)+IF(AND(Projects!$G$39="Yes",Projects!$M$39="Yes",41&gt;=Projects!$C$39,41&lt;Projects!$C$39+Projects!$D$39),Projects!$B$39*INDEX(Curves!$B$4:$AR$4,1,41-Projects!$C$39+1),0)+IF(AND(Projects!$G$40="Yes",Projects!$M$40="Yes",41&gt;=Projects!$C$40,41&lt;Projects!$C$40+Projects!$D$40),Projects!$B$40*INDEX(Curves!$B$4:$AR$4,1,41-Projects!$C$40+1),0)+IF(AND(Projects!$G$41="Yes",Projects!$M$41="Yes",41&gt;=Projects!$C$41,41&lt;Projects!$C$41+Projects!$D$41),Projects!$B$41*INDEX(Curves!$B$4:$AR$4,1,41-Projects!$C$41+1),0)+IF(AND(Projects!$G$42="Yes",Projects!$M$42="Yes",41&gt;=Projects!$C$42,41&lt;Projects!$C$42+Projects!$D$42),Projects!$B$42*INDEX(Curves!$B$4:$AR$4,1,41-Projects!$C$42+1),0)+IF(AND(Projects!$G$43="Yes",Projects!$M$43="Yes",41&gt;=Projects!$C$43,41&lt;Projects!$C$43+Projects!$D$43),Projects!$B$43*INDEX(Curves!$B$4:$AR$4,1,41-Projects!$C$43+1),0)+IF(AND(Projects!$G$44="Yes",Projects!$M$44="Yes",41&gt;=Projects!$C$44,41&lt;Projects!$C$44+Projects!$D$44),Projects!$B$44*INDEX(Curves!$B$4:$AR$4,1,41-Projects!$C$44+1),0)+IF(AND(Projects!$G$45="Yes",Projects!$M$45="Yes",41&gt;=Projects!$C$45,41&lt;Projects!$C$45+Projects!$D$45),Projects!$B$45*INDEX(Curves!$B$4:$AR$4,1,41-Projects!$C$45+1),0)+IF(AND(Projects!$G$46="Yes",Projects!$M$46="Yes",41&gt;=Projects!$C$46,41&lt;Projects!$C$46+Projects!$D$46),Projects!$B$46*INDEX(Curves!$B$4:$AR$4,1,41-Projects!$C$46+1),0)</f>
        <v/>
      </c>
      <c r="AU101" s="691">
        <f>IF(AND(Projects!$G$17="Yes",Projects!$M$17="Yes",42&gt;=Projects!$C$17,42&lt;Projects!$C$17+Projects!$D$17),Projects!$B$17*INDEX(Curves!$B$4:$AR$4,1,42-Projects!$C$17+1),0)+IF(AND(Projects!$G$18="Yes",Projects!$M$18="Yes",42&gt;=Projects!$C$18,42&lt;Projects!$C$18+Projects!$D$18),Projects!$B$18*INDEX(Curves!$B$4:$AR$4,1,42-Projects!$C$18+1),0)+IF(AND(Projects!$G$19="Yes",Projects!$M$19="Yes",42&gt;=Projects!$C$19,42&lt;Projects!$C$19+Projects!$D$19),Projects!$B$19*INDEX(Curves!$B$4:$AR$4,1,42-Projects!$C$19+1),0)+IF(AND(Projects!$G$20="Yes",Projects!$M$20="Yes",42&gt;=Projects!$C$20,42&lt;Projects!$C$20+Projects!$D$20),Projects!$B$20*INDEX(Curves!$B$4:$AR$4,1,42-Projects!$C$20+1),0)+IF(AND(Projects!$G$21="Yes",Projects!$M$21="Yes",42&gt;=Projects!$C$21,42&lt;Projects!$C$21+Projects!$D$21),Projects!$B$21*INDEX(Curves!$B$4:$AR$4,1,42-Projects!$C$21+1),0)+IF(AND(Projects!$G$22="Yes",Projects!$M$22="Yes",42&gt;=Projects!$C$22,42&lt;Projects!$C$22+Projects!$D$22),Projects!$B$22*INDEX(Curves!$B$4:$AR$4,1,42-Projects!$C$22+1),0)+IF(AND(Projects!$G$23="Yes",Projects!$M$23="Yes",42&gt;=Projects!$C$23,42&lt;Projects!$C$23+Projects!$D$23),Projects!$B$23*INDEX(Curves!$B$4:$AR$4,1,42-Projects!$C$23+1),0)+IF(AND(Projects!$G$24="Yes",Projects!$M$24="Yes",42&gt;=Projects!$C$24,42&lt;Projects!$C$24+Projects!$D$24),Projects!$B$24*INDEX(Curves!$B$4:$AR$4,1,42-Projects!$C$24+1),0)+IF(AND(Projects!$G$25="Yes",Projects!$M$25="Yes",42&gt;=Projects!$C$25,42&lt;Projects!$C$25+Projects!$D$25),Projects!$B$25*INDEX(Curves!$B$4:$AR$4,1,42-Projects!$C$25+1),0)+IF(AND(Projects!$G$26="Yes",Projects!$M$26="Yes",42&gt;=Projects!$C$26,42&lt;Projects!$C$26+Projects!$D$26),Projects!$B$26*INDEX(Curves!$B$4:$AR$4,1,42-Projects!$C$26+1),0)+IF(AND(Projects!$G$27="Yes",Projects!$M$27="Yes",42&gt;=Projects!$C$27,42&lt;Projects!$C$27+Projects!$D$27),Projects!$B$27*INDEX(Curves!$B$4:$AR$4,1,42-Projects!$C$27+1),0)+IF(AND(Projects!$G$28="Yes",Projects!$M$28="Yes",42&gt;=Projects!$C$28,42&lt;Projects!$C$28+Projects!$D$28),Projects!$B$28*INDEX(Curves!$B$4:$AR$4,1,42-Projects!$C$28+1),0)+IF(AND(Projects!$G$29="Yes",Projects!$M$29="Yes",42&gt;=Projects!$C$29,42&lt;Projects!$C$29+Projects!$D$29),Projects!$B$29*INDEX(Curves!$B$4:$AR$4,1,42-Projects!$C$29+1),0)+IF(AND(Projects!$G$30="Yes",Projects!$M$30="Yes",42&gt;=Projects!$C$30,42&lt;Projects!$C$30+Projects!$D$30),Projects!$B$30*INDEX(Curves!$B$4:$AR$4,1,42-Projects!$C$30+1),0)+IF(AND(Projects!$G$31="Yes",Projects!$M$31="Yes",42&gt;=Projects!$C$31,42&lt;Projects!$C$31+Projects!$D$31),Projects!$B$31*INDEX(Curves!$B$4:$AR$4,1,42-Projects!$C$31+1),0)+IF(AND(Projects!$G$32="Yes",Projects!$M$32="Yes",42&gt;=Projects!$C$32,42&lt;Projects!$C$32+Projects!$D$32),Projects!$B$32*INDEX(Curves!$B$4:$AR$4,1,42-Projects!$C$32+1),0)+IF(AND(Projects!$G$33="Yes",Projects!$M$33="Yes",42&gt;=Projects!$C$33,42&lt;Projects!$C$33+Projects!$D$33),Projects!$B$33*INDEX(Curves!$B$4:$AR$4,1,42-Projects!$C$33+1),0)+IF(AND(Projects!$G$34="Yes",Projects!$M$34="Yes",42&gt;=Projects!$C$34,42&lt;Projects!$C$34+Projects!$D$34),Projects!$B$34*INDEX(Curves!$B$4:$AR$4,1,42-Projects!$C$34+1),0)+IF(AND(Projects!$G$35="Yes",Projects!$M$35="Yes",42&gt;=Projects!$C$35,42&lt;Projects!$C$35+Projects!$D$35),Projects!$B$35*INDEX(Curves!$B$4:$AR$4,1,42-Projects!$C$35+1),0)+IF(AND(Projects!$G$36="Yes",Projects!$M$36="Yes",42&gt;=Projects!$C$36,42&lt;Projects!$C$36+Projects!$D$36),Projects!$B$36*INDEX(Curves!$B$4:$AR$4,1,42-Projects!$C$36+1),0)+IF(AND(Projects!$G$37="Yes",Projects!$M$37="Yes",42&gt;=Projects!$C$37,42&lt;Projects!$C$37+Projects!$D$37),Projects!$B$37*INDEX(Curves!$B$4:$AR$4,1,42-Projects!$C$37+1),0)+IF(AND(Projects!$G$38="Yes",Projects!$M$38="Yes",42&gt;=Projects!$C$38,42&lt;Projects!$C$38+Projects!$D$38),Projects!$B$38*INDEX(Curves!$B$4:$AR$4,1,42-Projects!$C$38+1),0)+IF(AND(Projects!$G$39="Yes",Projects!$M$39="Yes",42&gt;=Projects!$C$39,42&lt;Projects!$C$39+Projects!$D$39),Projects!$B$39*INDEX(Curves!$B$4:$AR$4,1,42-Projects!$C$39+1),0)+IF(AND(Projects!$G$40="Yes",Projects!$M$40="Yes",42&gt;=Projects!$C$40,42&lt;Projects!$C$40+Projects!$D$40),Projects!$B$40*INDEX(Curves!$B$4:$AR$4,1,42-Projects!$C$40+1),0)+IF(AND(Projects!$G$41="Yes",Projects!$M$41="Yes",42&gt;=Projects!$C$41,42&lt;Projects!$C$41+Projects!$D$41),Projects!$B$41*INDEX(Curves!$B$4:$AR$4,1,42-Projects!$C$41+1),0)+IF(AND(Projects!$G$42="Yes",Projects!$M$42="Yes",42&gt;=Projects!$C$42,42&lt;Projects!$C$42+Projects!$D$42),Projects!$B$42*INDEX(Curves!$B$4:$AR$4,1,42-Projects!$C$42+1),0)+IF(AND(Projects!$G$43="Yes",Projects!$M$43="Yes",42&gt;=Projects!$C$43,42&lt;Projects!$C$43+Projects!$D$43),Projects!$B$43*INDEX(Curves!$B$4:$AR$4,1,42-Projects!$C$43+1),0)+IF(AND(Projects!$G$44="Yes",Projects!$M$44="Yes",42&gt;=Projects!$C$44,42&lt;Projects!$C$44+Projects!$D$44),Projects!$B$44*INDEX(Curves!$B$4:$AR$4,1,42-Projects!$C$44+1),0)+IF(AND(Projects!$G$45="Yes",Projects!$M$45="Yes",42&gt;=Projects!$C$45,42&lt;Projects!$C$45+Projects!$D$45),Projects!$B$45*INDEX(Curves!$B$4:$AR$4,1,42-Projects!$C$45+1),0)+IF(AND(Projects!$G$46="Yes",Projects!$M$46="Yes",42&gt;=Projects!$C$46,42&lt;Projects!$C$46+Projects!$D$46),Projects!$B$46*INDEX(Curves!$B$4:$AR$4,1,42-Projects!$C$46+1),0)</f>
        <v/>
      </c>
      <c r="AV101" s="691">
        <f>IF(AND(Projects!$G$17="Yes",Projects!$M$17="Yes",43&gt;=Projects!$C$17,43&lt;Projects!$C$17+Projects!$D$17),Projects!$B$17*INDEX(Curves!$B$4:$AR$4,1,43-Projects!$C$17+1),0)+IF(AND(Projects!$G$18="Yes",Projects!$M$18="Yes",43&gt;=Projects!$C$18,43&lt;Projects!$C$18+Projects!$D$18),Projects!$B$18*INDEX(Curves!$B$4:$AR$4,1,43-Projects!$C$18+1),0)+IF(AND(Projects!$G$19="Yes",Projects!$M$19="Yes",43&gt;=Projects!$C$19,43&lt;Projects!$C$19+Projects!$D$19),Projects!$B$19*INDEX(Curves!$B$4:$AR$4,1,43-Projects!$C$19+1),0)+IF(AND(Projects!$G$20="Yes",Projects!$M$20="Yes",43&gt;=Projects!$C$20,43&lt;Projects!$C$20+Projects!$D$20),Projects!$B$20*INDEX(Curves!$B$4:$AR$4,1,43-Projects!$C$20+1),0)+IF(AND(Projects!$G$21="Yes",Projects!$M$21="Yes",43&gt;=Projects!$C$21,43&lt;Projects!$C$21+Projects!$D$21),Projects!$B$21*INDEX(Curves!$B$4:$AR$4,1,43-Projects!$C$21+1),0)+IF(AND(Projects!$G$22="Yes",Projects!$M$22="Yes",43&gt;=Projects!$C$22,43&lt;Projects!$C$22+Projects!$D$22),Projects!$B$22*INDEX(Curves!$B$4:$AR$4,1,43-Projects!$C$22+1),0)+IF(AND(Projects!$G$23="Yes",Projects!$M$23="Yes",43&gt;=Projects!$C$23,43&lt;Projects!$C$23+Projects!$D$23),Projects!$B$23*INDEX(Curves!$B$4:$AR$4,1,43-Projects!$C$23+1),0)+IF(AND(Projects!$G$24="Yes",Projects!$M$24="Yes",43&gt;=Projects!$C$24,43&lt;Projects!$C$24+Projects!$D$24),Projects!$B$24*INDEX(Curves!$B$4:$AR$4,1,43-Projects!$C$24+1),0)+IF(AND(Projects!$G$25="Yes",Projects!$M$25="Yes",43&gt;=Projects!$C$25,43&lt;Projects!$C$25+Projects!$D$25),Projects!$B$25*INDEX(Curves!$B$4:$AR$4,1,43-Projects!$C$25+1),0)+IF(AND(Projects!$G$26="Yes",Projects!$M$26="Yes",43&gt;=Projects!$C$26,43&lt;Projects!$C$26+Projects!$D$26),Projects!$B$26*INDEX(Curves!$B$4:$AR$4,1,43-Projects!$C$26+1),0)+IF(AND(Projects!$G$27="Yes",Projects!$M$27="Yes",43&gt;=Projects!$C$27,43&lt;Projects!$C$27+Projects!$D$27),Projects!$B$27*INDEX(Curves!$B$4:$AR$4,1,43-Projects!$C$27+1),0)+IF(AND(Projects!$G$28="Yes",Projects!$M$28="Yes",43&gt;=Projects!$C$28,43&lt;Projects!$C$28+Projects!$D$28),Projects!$B$28*INDEX(Curves!$B$4:$AR$4,1,43-Projects!$C$28+1),0)+IF(AND(Projects!$G$29="Yes",Projects!$M$29="Yes",43&gt;=Projects!$C$29,43&lt;Projects!$C$29+Projects!$D$29),Projects!$B$29*INDEX(Curves!$B$4:$AR$4,1,43-Projects!$C$29+1),0)+IF(AND(Projects!$G$30="Yes",Projects!$M$30="Yes",43&gt;=Projects!$C$30,43&lt;Projects!$C$30+Projects!$D$30),Projects!$B$30*INDEX(Curves!$B$4:$AR$4,1,43-Projects!$C$30+1),0)+IF(AND(Projects!$G$31="Yes",Projects!$M$31="Yes",43&gt;=Projects!$C$31,43&lt;Projects!$C$31+Projects!$D$31),Projects!$B$31*INDEX(Curves!$B$4:$AR$4,1,43-Projects!$C$31+1),0)+IF(AND(Projects!$G$32="Yes",Projects!$M$32="Yes",43&gt;=Projects!$C$32,43&lt;Projects!$C$32+Projects!$D$32),Projects!$B$32*INDEX(Curves!$B$4:$AR$4,1,43-Projects!$C$32+1),0)+IF(AND(Projects!$G$33="Yes",Projects!$M$33="Yes",43&gt;=Projects!$C$33,43&lt;Projects!$C$33+Projects!$D$33),Projects!$B$33*INDEX(Curves!$B$4:$AR$4,1,43-Projects!$C$33+1),0)+IF(AND(Projects!$G$34="Yes",Projects!$M$34="Yes",43&gt;=Projects!$C$34,43&lt;Projects!$C$34+Projects!$D$34),Projects!$B$34*INDEX(Curves!$B$4:$AR$4,1,43-Projects!$C$34+1),0)+IF(AND(Projects!$G$35="Yes",Projects!$M$35="Yes",43&gt;=Projects!$C$35,43&lt;Projects!$C$35+Projects!$D$35),Projects!$B$35*INDEX(Curves!$B$4:$AR$4,1,43-Projects!$C$35+1),0)+IF(AND(Projects!$G$36="Yes",Projects!$M$36="Yes",43&gt;=Projects!$C$36,43&lt;Projects!$C$36+Projects!$D$36),Projects!$B$36*INDEX(Curves!$B$4:$AR$4,1,43-Projects!$C$36+1),0)+IF(AND(Projects!$G$37="Yes",Projects!$M$37="Yes",43&gt;=Projects!$C$37,43&lt;Projects!$C$37+Projects!$D$37),Projects!$B$37*INDEX(Curves!$B$4:$AR$4,1,43-Projects!$C$37+1),0)+IF(AND(Projects!$G$38="Yes",Projects!$M$38="Yes",43&gt;=Projects!$C$38,43&lt;Projects!$C$38+Projects!$D$38),Projects!$B$38*INDEX(Curves!$B$4:$AR$4,1,43-Projects!$C$38+1),0)+IF(AND(Projects!$G$39="Yes",Projects!$M$39="Yes",43&gt;=Projects!$C$39,43&lt;Projects!$C$39+Projects!$D$39),Projects!$B$39*INDEX(Curves!$B$4:$AR$4,1,43-Projects!$C$39+1),0)+IF(AND(Projects!$G$40="Yes",Projects!$M$40="Yes",43&gt;=Projects!$C$40,43&lt;Projects!$C$40+Projects!$D$40),Projects!$B$40*INDEX(Curves!$B$4:$AR$4,1,43-Projects!$C$40+1),0)+IF(AND(Projects!$G$41="Yes",Projects!$M$41="Yes",43&gt;=Projects!$C$41,43&lt;Projects!$C$41+Projects!$D$41),Projects!$B$41*INDEX(Curves!$B$4:$AR$4,1,43-Projects!$C$41+1),0)+IF(AND(Projects!$G$42="Yes",Projects!$M$42="Yes",43&gt;=Projects!$C$42,43&lt;Projects!$C$42+Projects!$D$42),Projects!$B$42*INDEX(Curves!$B$4:$AR$4,1,43-Projects!$C$42+1),0)+IF(AND(Projects!$G$43="Yes",Projects!$M$43="Yes",43&gt;=Projects!$C$43,43&lt;Projects!$C$43+Projects!$D$43),Projects!$B$43*INDEX(Curves!$B$4:$AR$4,1,43-Projects!$C$43+1),0)+IF(AND(Projects!$G$44="Yes",Projects!$M$44="Yes",43&gt;=Projects!$C$44,43&lt;Projects!$C$44+Projects!$D$44),Projects!$B$44*INDEX(Curves!$B$4:$AR$4,1,43-Projects!$C$44+1),0)+IF(AND(Projects!$G$45="Yes",Projects!$M$45="Yes",43&gt;=Projects!$C$45,43&lt;Projects!$C$45+Projects!$D$45),Projects!$B$45*INDEX(Curves!$B$4:$AR$4,1,43-Projects!$C$45+1),0)+IF(AND(Projects!$G$46="Yes",Projects!$M$46="Yes",43&gt;=Projects!$C$46,43&lt;Projects!$C$46+Projects!$D$46),Projects!$B$46*INDEX(Curves!$B$4:$AR$4,1,43-Projects!$C$46+1),0)</f>
        <v/>
      </c>
      <c r="AW101" s="691">
        <f>IF(AND(Projects!$G$17="Yes",Projects!$M$17="Yes",44&gt;=Projects!$C$17,44&lt;Projects!$C$17+Projects!$D$17),Projects!$B$17*INDEX(Curves!$B$4:$AR$4,1,44-Projects!$C$17+1),0)+IF(AND(Projects!$G$18="Yes",Projects!$M$18="Yes",44&gt;=Projects!$C$18,44&lt;Projects!$C$18+Projects!$D$18),Projects!$B$18*INDEX(Curves!$B$4:$AR$4,1,44-Projects!$C$18+1),0)+IF(AND(Projects!$G$19="Yes",Projects!$M$19="Yes",44&gt;=Projects!$C$19,44&lt;Projects!$C$19+Projects!$D$19),Projects!$B$19*INDEX(Curves!$B$4:$AR$4,1,44-Projects!$C$19+1),0)+IF(AND(Projects!$G$20="Yes",Projects!$M$20="Yes",44&gt;=Projects!$C$20,44&lt;Projects!$C$20+Projects!$D$20),Projects!$B$20*INDEX(Curves!$B$4:$AR$4,1,44-Projects!$C$20+1),0)+IF(AND(Projects!$G$21="Yes",Projects!$M$21="Yes",44&gt;=Projects!$C$21,44&lt;Projects!$C$21+Projects!$D$21),Projects!$B$21*INDEX(Curves!$B$4:$AR$4,1,44-Projects!$C$21+1),0)+IF(AND(Projects!$G$22="Yes",Projects!$M$22="Yes",44&gt;=Projects!$C$22,44&lt;Projects!$C$22+Projects!$D$22),Projects!$B$22*INDEX(Curves!$B$4:$AR$4,1,44-Projects!$C$22+1),0)+IF(AND(Projects!$G$23="Yes",Projects!$M$23="Yes",44&gt;=Projects!$C$23,44&lt;Projects!$C$23+Projects!$D$23),Projects!$B$23*INDEX(Curves!$B$4:$AR$4,1,44-Projects!$C$23+1),0)+IF(AND(Projects!$G$24="Yes",Projects!$M$24="Yes",44&gt;=Projects!$C$24,44&lt;Projects!$C$24+Projects!$D$24),Projects!$B$24*INDEX(Curves!$B$4:$AR$4,1,44-Projects!$C$24+1),0)+IF(AND(Projects!$G$25="Yes",Projects!$M$25="Yes",44&gt;=Projects!$C$25,44&lt;Projects!$C$25+Projects!$D$25),Projects!$B$25*INDEX(Curves!$B$4:$AR$4,1,44-Projects!$C$25+1),0)+IF(AND(Projects!$G$26="Yes",Projects!$M$26="Yes",44&gt;=Projects!$C$26,44&lt;Projects!$C$26+Projects!$D$26),Projects!$B$26*INDEX(Curves!$B$4:$AR$4,1,44-Projects!$C$26+1),0)+IF(AND(Projects!$G$27="Yes",Projects!$M$27="Yes",44&gt;=Projects!$C$27,44&lt;Projects!$C$27+Projects!$D$27),Projects!$B$27*INDEX(Curves!$B$4:$AR$4,1,44-Projects!$C$27+1),0)+IF(AND(Projects!$G$28="Yes",Projects!$M$28="Yes",44&gt;=Projects!$C$28,44&lt;Projects!$C$28+Projects!$D$28),Projects!$B$28*INDEX(Curves!$B$4:$AR$4,1,44-Projects!$C$28+1),0)+IF(AND(Projects!$G$29="Yes",Projects!$M$29="Yes",44&gt;=Projects!$C$29,44&lt;Projects!$C$29+Projects!$D$29),Projects!$B$29*INDEX(Curves!$B$4:$AR$4,1,44-Projects!$C$29+1),0)+IF(AND(Projects!$G$30="Yes",Projects!$M$30="Yes",44&gt;=Projects!$C$30,44&lt;Projects!$C$30+Projects!$D$30),Projects!$B$30*INDEX(Curves!$B$4:$AR$4,1,44-Projects!$C$30+1),0)+IF(AND(Projects!$G$31="Yes",Projects!$M$31="Yes",44&gt;=Projects!$C$31,44&lt;Projects!$C$31+Projects!$D$31),Projects!$B$31*INDEX(Curves!$B$4:$AR$4,1,44-Projects!$C$31+1),0)+IF(AND(Projects!$G$32="Yes",Projects!$M$32="Yes",44&gt;=Projects!$C$32,44&lt;Projects!$C$32+Projects!$D$32),Projects!$B$32*INDEX(Curves!$B$4:$AR$4,1,44-Projects!$C$32+1),0)+IF(AND(Projects!$G$33="Yes",Projects!$M$33="Yes",44&gt;=Projects!$C$33,44&lt;Projects!$C$33+Projects!$D$33),Projects!$B$33*INDEX(Curves!$B$4:$AR$4,1,44-Projects!$C$33+1),0)+IF(AND(Projects!$G$34="Yes",Projects!$M$34="Yes",44&gt;=Projects!$C$34,44&lt;Projects!$C$34+Projects!$D$34),Projects!$B$34*INDEX(Curves!$B$4:$AR$4,1,44-Projects!$C$34+1),0)+IF(AND(Projects!$G$35="Yes",Projects!$M$35="Yes",44&gt;=Projects!$C$35,44&lt;Projects!$C$35+Projects!$D$35),Projects!$B$35*INDEX(Curves!$B$4:$AR$4,1,44-Projects!$C$35+1),0)+IF(AND(Projects!$G$36="Yes",Projects!$M$36="Yes",44&gt;=Projects!$C$36,44&lt;Projects!$C$36+Projects!$D$36),Projects!$B$36*INDEX(Curves!$B$4:$AR$4,1,44-Projects!$C$36+1),0)+IF(AND(Projects!$G$37="Yes",Projects!$M$37="Yes",44&gt;=Projects!$C$37,44&lt;Projects!$C$37+Projects!$D$37),Projects!$B$37*INDEX(Curves!$B$4:$AR$4,1,44-Projects!$C$37+1),0)+IF(AND(Projects!$G$38="Yes",Projects!$M$38="Yes",44&gt;=Projects!$C$38,44&lt;Projects!$C$38+Projects!$D$38),Projects!$B$38*INDEX(Curves!$B$4:$AR$4,1,44-Projects!$C$38+1),0)+IF(AND(Projects!$G$39="Yes",Projects!$M$39="Yes",44&gt;=Projects!$C$39,44&lt;Projects!$C$39+Projects!$D$39),Projects!$B$39*INDEX(Curves!$B$4:$AR$4,1,44-Projects!$C$39+1),0)+IF(AND(Projects!$G$40="Yes",Projects!$M$40="Yes",44&gt;=Projects!$C$40,44&lt;Projects!$C$40+Projects!$D$40),Projects!$B$40*INDEX(Curves!$B$4:$AR$4,1,44-Projects!$C$40+1),0)+IF(AND(Projects!$G$41="Yes",Projects!$M$41="Yes",44&gt;=Projects!$C$41,44&lt;Projects!$C$41+Projects!$D$41),Projects!$B$41*INDEX(Curves!$B$4:$AR$4,1,44-Projects!$C$41+1),0)+IF(AND(Projects!$G$42="Yes",Projects!$M$42="Yes",44&gt;=Projects!$C$42,44&lt;Projects!$C$42+Projects!$D$42),Projects!$B$42*INDEX(Curves!$B$4:$AR$4,1,44-Projects!$C$42+1),0)+IF(AND(Projects!$G$43="Yes",Projects!$M$43="Yes",44&gt;=Projects!$C$43,44&lt;Projects!$C$43+Projects!$D$43),Projects!$B$43*INDEX(Curves!$B$4:$AR$4,1,44-Projects!$C$43+1),0)+IF(AND(Projects!$G$44="Yes",Projects!$M$44="Yes",44&gt;=Projects!$C$44,44&lt;Projects!$C$44+Projects!$D$44),Projects!$B$44*INDEX(Curves!$B$4:$AR$4,1,44-Projects!$C$44+1),0)+IF(AND(Projects!$G$45="Yes",Projects!$M$45="Yes",44&gt;=Projects!$C$45,44&lt;Projects!$C$45+Projects!$D$45),Projects!$B$45*INDEX(Curves!$B$4:$AR$4,1,44-Projects!$C$45+1),0)+IF(AND(Projects!$G$46="Yes",Projects!$M$46="Yes",44&gt;=Projects!$C$46,44&lt;Projects!$C$46+Projects!$D$46),Projects!$B$46*INDEX(Curves!$B$4:$AR$4,1,44-Projects!$C$46+1),0)</f>
        <v/>
      </c>
      <c r="AX101" s="691">
        <f>IF(AND(Projects!$G$17="Yes",Projects!$M$17="Yes",45&gt;=Projects!$C$17,45&lt;Projects!$C$17+Projects!$D$17),Projects!$B$17*INDEX(Curves!$B$4:$AR$4,1,45-Projects!$C$17+1),0)+IF(AND(Projects!$G$18="Yes",Projects!$M$18="Yes",45&gt;=Projects!$C$18,45&lt;Projects!$C$18+Projects!$D$18),Projects!$B$18*INDEX(Curves!$B$4:$AR$4,1,45-Projects!$C$18+1),0)+IF(AND(Projects!$G$19="Yes",Projects!$M$19="Yes",45&gt;=Projects!$C$19,45&lt;Projects!$C$19+Projects!$D$19),Projects!$B$19*INDEX(Curves!$B$4:$AR$4,1,45-Projects!$C$19+1),0)+IF(AND(Projects!$G$20="Yes",Projects!$M$20="Yes",45&gt;=Projects!$C$20,45&lt;Projects!$C$20+Projects!$D$20),Projects!$B$20*INDEX(Curves!$B$4:$AR$4,1,45-Projects!$C$20+1),0)+IF(AND(Projects!$G$21="Yes",Projects!$M$21="Yes",45&gt;=Projects!$C$21,45&lt;Projects!$C$21+Projects!$D$21),Projects!$B$21*INDEX(Curves!$B$4:$AR$4,1,45-Projects!$C$21+1),0)+IF(AND(Projects!$G$22="Yes",Projects!$M$22="Yes",45&gt;=Projects!$C$22,45&lt;Projects!$C$22+Projects!$D$22),Projects!$B$22*INDEX(Curves!$B$4:$AR$4,1,45-Projects!$C$22+1),0)+IF(AND(Projects!$G$23="Yes",Projects!$M$23="Yes",45&gt;=Projects!$C$23,45&lt;Projects!$C$23+Projects!$D$23),Projects!$B$23*INDEX(Curves!$B$4:$AR$4,1,45-Projects!$C$23+1),0)+IF(AND(Projects!$G$24="Yes",Projects!$M$24="Yes",45&gt;=Projects!$C$24,45&lt;Projects!$C$24+Projects!$D$24),Projects!$B$24*INDEX(Curves!$B$4:$AR$4,1,45-Projects!$C$24+1),0)+IF(AND(Projects!$G$25="Yes",Projects!$M$25="Yes",45&gt;=Projects!$C$25,45&lt;Projects!$C$25+Projects!$D$25),Projects!$B$25*INDEX(Curves!$B$4:$AR$4,1,45-Projects!$C$25+1),0)+IF(AND(Projects!$G$26="Yes",Projects!$M$26="Yes",45&gt;=Projects!$C$26,45&lt;Projects!$C$26+Projects!$D$26),Projects!$B$26*INDEX(Curves!$B$4:$AR$4,1,45-Projects!$C$26+1),0)+IF(AND(Projects!$G$27="Yes",Projects!$M$27="Yes",45&gt;=Projects!$C$27,45&lt;Projects!$C$27+Projects!$D$27),Projects!$B$27*INDEX(Curves!$B$4:$AR$4,1,45-Projects!$C$27+1),0)+IF(AND(Projects!$G$28="Yes",Projects!$M$28="Yes",45&gt;=Projects!$C$28,45&lt;Projects!$C$28+Projects!$D$28),Projects!$B$28*INDEX(Curves!$B$4:$AR$4,1,45-Projects!$C$28+1),0)+IF(AND(Projects!$G$29="Yes",Projects!$M$29="Yes",45&gt;=Projects!$C$29,45&lt;Projects!$C$29+Projects!$D$29),Projects!$B$29*INDEX(Curves!$B$4:$AR$4,1,45-Projects!$C$29+1),0)+IF(AND(Projects!$G$30="Yes",Projects!$M$30="Yes",45&gt;=Projects!$C$30,45&lt;Projects!$C$30+Projects!$D$30),Projects!$B$30*INDEX(Curves!$B$4:$AR$4,1,45-Projects!$C$30+1),0)+IF(AND(Projects!$G$31="Yes",Projects!$M$31="Yes",45&gt;=Projects!$C$31,45&lt;Projects!$C$31+Projects!$D$31),Projects!$B$31*INDEX(Curves!$B$4:$AR$4,1,45-Projects!$C$31+1),0)+IF(AND(Projects!$G$32="Yes",Projects!$M$32="Yes",45&gt;=Projects!$C$32,45&lt;Projects!$C$32+Projects!$D$32),Projects!$B$32*INDEX(Curves!$B$4:$AR$4,1,45-Projects!$C$32+1),0)+IF(AND(Projects!$G$33="Yes",Projects!$M$33="Yes",45&gt;=Projects!$C$33,45&lt;Projects!$C$33+Projects!$D$33),Projects!$B$33*INDEX(Curves!$B$4:$AR$4,1,45-Projects!$C$33+1),0)+IF(AND(Projects!$G$34="Yes",Projects!$M$34="Yes",45&gt;=Projects!$C$34,45&lt;Projects!$C$34+Projects!$D$34),Projects!$B$34*INDEX(Curves!$B$4:$AR$4,1,45-Projects!$C$34+1),0)+IF(AND(Projects!$G$35="Yes",Projects!$M$35="Yes",45&gt;=Projects!$C$35,45&lt;Projects!$C$35+Projects!$D$35),Projects!$B$35*INDEX(Curves!$B$4:$AR$4,1,45-Projects!$C$35+1),0)+IF(AND(Projects!$G$36="Yes",Projects!$M$36="Yes",45&gt;=Projects!$C$36,45&lt;Projects!$C$36+Projects!$D$36),Projects!$B$36*INDEX(Curves!$B$4:$AR$4,1,45-Projects!$C$36+1),0)+IF(AND(Projects!$G$37="Yes",Projects!$M$37="Yes",45&gt;=Projects!$C$37,45&lt;Projects!$C$37+Projects!$D$37),Projects!$B$37*INDEX(Curves!$B$4:$AR$4,1,45-Projects!$C$37+1),0)+IF(AND(Projects!$G$38="Yes",Projects!$M$38="Yes",45&gt;=Projects!$C$38,45&lt;Projects!$C$38+Projects!$D$38),Projects!$B$38*INDEX(Curves!$B$4:$AR$4,1,45-Projects!$C$38+1),0)+IF(AND(Projects!$G$39="Yes",Projects!$M$39="Yes",45&gt;=Projects!$C$39,45&lt;Projects!$C$39+Projects!$D$39),Projects!$B$39*INDEX(Curves!$B$4:$AR$4,1,45-Projects!$C$39+1),0)+IF(AND(Projects!$G$40="Yes",Projects!$M$40="Yes",45&gt;=Projects!$C$40,45&lt;Projects!$C$40+Projects!$D$40),Projects!$B$40*INDEX(Curves!$B$4:$AR$4,1,45-Projects!$C$40+1),0)+IF(AND(Projects!$G$41="Yes",Projects!$M$41="Yes",45&gt;=Projects!$C$41,45&lt;Projects!$C$41+Projects!$D$41),Projects!$B$41*INDEX(Curves!$B$4:$AR$4,1,45-Projects!$C$41+1),0)+IF(AND(Projects!$G$42="Yes",Projects!$M$42="Yes",45&gt;=Projects!$C$42,45&lt;Projects!$C$42+Projects!$D$42),Projects!$B$42*INDEX(Curves!$B$4:$AR$4,1,45-Projects!$C$42+1),0)+IF(AND(Projects!$G$43="Yes",Projects!$M$43="Yes",45&gt;=Projects!$C$43,45&lt;Projects!$C$43+Projects!$D$43),Projects!$B$43*INDEX(Curves!$B$4:$AR$4,1,45-Projects!$C$43+1),0)+IF(AND(Projects!$G$44="Yes",Projects!$M$44="Yes",45&gt;=Projects!$C$44,45&lt;Projects!$C$44+Projects!$D$44),Projects!$B$44*INDEX(Curves!$B$4:$AR$4,1,45-Projects!$C$44+1),0)+IF(AND(Projects!$G$45="Yes",Projects!$M$45="Yes",45&gt;=Projects!$C$45,45&lt;Projects!$C$45+Projects!$D$45),Projects!$B$45*INDEX(Curves!$B$4:$AR$4,1,45-Projects!$C$45+1),0)+IF(AND(Projects!$G$46="Yes",Projects!$M$46="Yes",45&gt;=Projects!$C$46,45&lt;Projects!$C$46+Projects!$D$46),Projects!$B$46*INDEX(Curves!$B$4:$AR$4,1,45-Projects!$C$46+1),0)</f>
        <v/>
      </c>
      <c r="AY101" s="691">
        <f>IF(AND(Projects!$G$17="Yes",Projects!$M$17="Yes",46&gt;=Projects!$C$17,46&lt;Projects!$C$17+Projects!$D$17),Projects!$B$17*INDEX(Curves!$B$4:$AR$4,1,46-Projects!$C$17+1),0)+IF(AND(Projects!$G$18="Yes",Projects!$M$18="Yes",46&gt;=Projects!$C$18,46&lt;Projects!$C$18+Projects!$D$18),Projects!$B$18*INDEX(Curves!$B$4:$AR$4,1,46-Projects!$C$18+1),0)+IF(AND(Projects!$G$19="Yes",Projects!$M$19="Yes",46&gt;=Projects!$C$19,46&lt;Projects!$C$19+Projects!$D$19),Projects!$B$19*INDEX(Curves!$B$4:$AR$4,1,46-Projects!$C$19+1),0)+IF(AND(Projects!$G$20="Yes",Projects!$M$20="Yes",46&gt;=Projects!$C$20,46&lt;Projects!$C$20+Projects!$D$20),Projects!$B$20*INDEX(Curves!$B$4:$AR$4,1,46-Projects!$C$20+1),0)+IF(AND(Projects!$G$21="Yes",Projects!$M$21="Yes",46&gt;=Projects!$C$21,46&lt;Projects!$C$21+Projects!$D$21),Projects!$B$21*INDEX(Curves!$B$4:$AR$4,1,46-Projects!$C$21+1),0)+IF(AND(Projects!$G$22="Yes",Projects!$M$22="Yes",46&gt;=Projects!$C$22,46&lt;Projects!$C$22+Projects!$D$22),Projects!$B$22*INDEX(Curves!$B$4:$AR$4,1,46-Projects!$C$22+1),0)+IF(AND(Projects!$G$23="Yes",Projects!$M$23="Yes",46&gt;=Projects!$C$23,46&lt;Projects!$C$23+Projects!$D$23),Projects!$B$23*INDEX(Curves!$B$4:$AR$4,1,46-Projects!$C$23+1),0)+IF(AND(Projects!$G$24="Yes",Projects!$M$24="Yes",46&gt;=Projects!$C$24,46&lt;Projects!$C$24+Projects!$D$24),Projects!$B$24*INDEX(Curves!$B$4:$AR$4,1,46-Projects!$C$24+1),0)+IF(AND(Projects!$G$25="Yes",Projects!$M$25="Yes",46&gt;=Projects!$C$25,46&lt;Projects!$C$25+Projects!$D$25),Projects!$B$25*INDEX(Curves!$B$4:$AR$4,1,46-Projects!$C$25+1),0)+IF(AND(Projects!$G$26="Yes",Projects!$M$26="Yes",46&gt;=Projects!$C$26,46&lt;Projects!$C$26+Projects!$D$26),Projects!$B$26*INDEX(Curves!$B$4:$AR$4,1,46-Projects!$C$26+1),0)+IF(AND(Projects!$G$27="Yes",Projects!$M$27="Yes",46&gt;=Projects!$C$27,46&lt;Projects!$C$27+Projects!$D$27),Projects!$B$27*INDEX(Curves!$B$4:$AR$4,1,46-Projects!$C$27+1),0)+IF(AND(Projects!$G$28="Yes",Projects!$M$28="Yes",46&gt;=Projects!$C$28,46&lt;Projects!$C$28+Projects!$D$28),Projects!$B$28*INDEX(Curves!$B$4:$AR$4,1,46-Projects!$C$28+1),0)+IF(AND(Projects!$G$29="Yes",Projects!$M$29="Yes",46&gt;=Projects!$C$29,46&lt;Projects!$C$29+Projects!$D$29),Projects!$B$29*INDEX(Curves!$B$4:$AR$4,1,46-Projects!$C$29+1),0)+IF(AND(Projects!$G$30="Yes",Projects!$M$30="Yes",46&gt;=Projects!$C$30,46&lt;Projects!$C$30+Projects!$D$30),Projects!$B$30*INDEX(Curves!$B$4:$AR$4,1,46-Projects!$C$30+1),0)+IF(AND(Projects!$G$31="Yes",Projects!$M$31="Yes",46&gt;=Projects!$C$31,46&lt;Projects!$C$31+Projects!$D$31),Projects!$B$31*INDEX(Curves!$B$4:$AR$4,1,46-Projects!$C$31+1),0)+IF(AND(Projects!$G$32="Yes",Projects!$M$32="Yes",46&gt;=Projects!$C$32,46&lt;Projects!$C$32+Projects!$D$32),Projects!$B$32*INDEX(Curves!$B$4:$AR$4,1,46-Projects!$C$32+1),0)+IF(AND(Projects!$G$33="Yes",Projects!$M$33="Yes",46&gt;=Projects!$C$33,46&lt;Projects!$C$33+Projects!$D$33),Projects!$B$33*INDEX(Curves!$B$4:$AR$4,1,46-Projects!$C$33+1),0)+IF(AND(Projects!$G$34="Yes",Projects!$M$34="Yes",46&gt;=Projects!$C$34,46&lt;Projects!$C$34+Projects!$D$34),Projects!$B$34*INDEX(Curves!$B$4:$AR$4,1,46-Projects!$C$34+1),0)+IF(AND(Projects!$G$35="Yes",Projects!$M$35="Yes",46&gt;=Projects!$C$35,46&lt;Projects!$C$35+Projects!$D$35),Projects!$B$35*INDEX(Curves!$B$4:$AR$4,1,46-Projects!$C$35+1),0)+IF(AND(Projects!$G$36="Yes",Projects!$M$36="Yes",46&gt;=Projects!$C$36,46&lt;Projects!$C$36+Projects!$D$36),Projects!$B$36*INDEX(Curves!$B$4:$AR$4,1,46-Projects!$C$36+1),0)+IF(AND(Projects!$G$37="Yes",Projects!$M$37="Yes",46&gt;=Projects!$C$37,46&lt;Projects!$C$37+Projects!$D$37),Projects!$B$37*INDEX(Curves!$B$4:$AR$4,1,46-Projects!$C$37+1),0)+IF(AND(Projects!$G$38="Yes",Projects!$M$38="Yes",46&gt;=Projects!$C$38,46&lt;Projects!$C$38+Projects!$D$38),Projects!$B$38*INDEX(Curves!$B$4:$AR$4,1,46-Projects!$C$38+1),0)+IF(AND(Projects!$G$39="Yes",Projects!$M$39="Yes",46&gt;=Projects!$C$39,46&lt;Projects!$C$39+Projects!$D$39),Projects!$B$39*INDEX(Curves!$B$4:$AR$4,1,46-Projects!$C$39+1),0)+IF(AND(Projects!$G$40="Yes",Projects!$M$40="Yes",46&gt;=Projects!$C$40,46&lt;Projects!$C$40+Projects!$D$40),Projects!$B$40*INDEX(Curves!$B$4:$AR$4,1,46-Projects!$C$40+1),0)+IF(AND(Projects!$G$41="Yes",Projects!$M$41="Yes",46&gt;=Projects!$C$41,46&lt;Projects!$C$41+Projects!$D$41),Projects!$B$41*INDEX(Curves!$B$4:$AR$4,1,46-Projects!$C$41+1),0)+IF(AND(Projects!$G$42="Yes",Projects!$M$42="Yes",46&gt;=Projects!$C$42,46&lt;Projects!$C$42+Projects!$D$42),Projects!$B$42*INDEX(Curves!$B$4:$AR$4,1,46-Projects!$C$42+1),0)+IF(AND(Projects!$G$43="Yes",Projects!$M$43="Yes",46&gt;=Projects!$C$43,46&lt;Projects!$C$43+Projects!$D$43),Projects!$B$43*INDEX(Curves!$B$4:$AR$4,1,46-Projects!$C$43+1),0)+IF(AND(Projects!$G$44="Yes",Projects!$M$44="Yes",46&gt;=Projects!$C$44,46&lt;Projects!$C$44+Projects!$D$44),Projects!$B$44*INDEX(Curves!$B$4:$AR$4,1,46-Projects!$C$44+1),0)+IF(AND(Projects!$G$45="Yes",Projects!$M$45="Yes",46&gt;=Projects!$C$45,46&lt;Projects!$C$45+Projects!$D$45),Projects!$B$45*INDEX(Curves!$B$4:$AR$4,1,46-Projects!$C$45+1),0)+IF(AND(Projects!$G$46="Yes",Projects!$M$46="Yes",46&gt;=Projects!$C$46,46&lt;Projects!$C$46+Projects!$D$46),Projects!$B$46*INDEX(Curves!$B$4:$AR$4,1,46-Projects!$C$46+1),0)</f>
        <v/>
      </c>
      <c r="AZ101" s="691">
        <f>IF(AND(Projects!$G$17="Yes",Projects!$M$17="Yes",47&gt;=Projects!$C$17,47&lt;Projects!$C$17+Projects!$D$17),Projects!$B$17*INDEX(Curves!$B$4:$AR$4,1,47-Projects!$C$17+1),0)+IF(AND(Projects!$G$18="Yes",Projects!$M$18="Yes",47&gt;=Projects!$C$18,47&lt;Projects!$C$18+Projects!$D$18),Projects!$B$18*INDEX(Curves!$B$4:$AR$4,1,47-Projects!$C$18+1),0)+IF(AND(Projects!$G$19="Yes",Projects!$M$19="Yes",47&gt;=Projects!$C$19,47&lt;Projects!$C$19+Projects!$D$19),Projects!$B$19*INDEX(Curves!$B$4:$AR$4,1,47-Projects!$C$19+1),0)+IF(AND(Projects!$G$20="Yes",Projects!$M$20="Yes",47&gt;=Projects!$C$20,47&lt;Projects!$C$20+Projects!$D$20),Projects!$B$20*INDEX(Curves!$B$4:$AR$4,1,47-Projects!$C$20+1),0)+IF(AND(Projects!$G$21="Yes",Projects!$M$21="Yes",47&gt;=Projects!$C$21,47&lt;Projects!$C$21+Projects!$D$21),Projects!$B$21*INDEX(Curves!$B$4:$AR$4,1,47-Projects!$C$21+1),0)+IF(AND(Projects!$G$22="Yes",Projects!$M$22="Yes",47&gt;=Projects!$C$22,47&lt;Projects!$C$22+Projects!$D$22),Projects!$B$22*INDEX(Curves!$B$4:$AR$4,1,47-Projects!$C$22+1),0)+IF(AND(Projects!$G$23="Yes",Projects!$M$23="Yes",47&gt;=Projects!$C$23,47&lt;Projects!$C$23+Projects!$D$23),Projects!$B$23*INDEX(Curves!$B$4:$AR$4,1,47-Projects!$C$23+1),0)+IF(AND(Projects!$G$24="Yes",Projects!$M$24="Yes",47&gt;=Projects!$C$24,47&lt;Projects!$C$24+Projects!$D$24),Projects!$B$24*INDEX(Curves!$B$4:$AR$4,1,47-Projects!$C$24+1),0)+IF(AND(Projects!$G$25="Yes",Projects!$M$25="Yes",47&gt;=Projects!$C$25,47&lt;Projects!$C$25+Projects!$D$25),Projects!$B$25*INDEX(Curves!$B$4:$AR$4,1,47-Projects!$C$25+1),0)+IF(AND(Projects!$G$26="Yes",Projects!$M$26="Yes",47&gt;=Projects!$C$26,47&lt;Projects!$C$26+Projects!$D$26),Projects!$B$26*INDEX(Curves!$B$4:$AR$4,1,47-Projects!$C$26+1),0)+IF(AND(Projects!$G$27="Yes",Projects!$M$27="Yes",47&gt;=Projects!$C$27,47&lt;Projects!$C$27+Projects!$D$27),Projects!$B$27*INDEX(Curves!$B$4:$AR$4,1,47-Projects!$C$27+1),0)+IF(AND(Projects!$G$28="Yes",Projects!$M$28="Yes",47&gt;=Projects!$C$28,47&lt;Projects!$C$28+Projects!$D$28),Projects!$B$28*INDEX(Curves!$B$4:$AR$4,1,47-Projects!$C$28+1),0)+IF(AND(Projects!$G$29="Yes",Projects!$M$29="Yes",47&gt;=Projects!$C$29,47&lt;Projects!$C$29+Projects!$D$29),Projects!$B$29*INDEX(Curves!$B$4:$AR$4,1,47-Projects!$C$29+1),0)+IF(AND(Projects!$G$30="Yes",Projects!$M$30="Yes",47&gt;=Projects!$C$30,47&lt;Projects!$C$30+Projects!$D$30),Projects!$B$30*INDEX(Curves!$B$4:$AR$4,1,47-Projects!$C$30+1),0)+IF(AND(Projects!$G$31="Yes",Projects!$M$31="Yes",47&gt;=Projects!$C$31,47&lt;Projects!$C$31+Projects!$D$31),Projects!$B$31*INDEX(Curves!$B$4:$AR$4,1,47-Projects!$C$31+1),0)+IF(AND(Projects!$G$32="Yes",Projects!$M$32="Yes",47&gt;=Projects!$C$32,47&lt;Projects!$C$32+Projects!$D$32),Projects!$B$32*INDEX(Curves!$B$4:$AR$4,1,47-Projects!$C$32+1),0)+IF(AND(Projects!$G$33="Yes",Projects!$M$33="Yes",47&gt;=Projects!$C$33,47&lt;Projects!$C$33+Projects!$D$33),Projects!$B$33*INDEX(Curves!$B$4:$AR$4,1,47-Projects!$C$33+1),0)+IF(AND(Projects!$G$34="Yes",Projects!$M$34="Yes",47&gt;=Projects!$C$34,47&lt;Projects!$C$34+Projects!$D$34),Projects!$B$34*INDEX(Curves!$B$4:$AR$4,1,47-Projects!$C$34+1),0)+IF(AND(Projects!$G$35="Yes",Projects!$M$35="Yes",47&gt;=Projects!$C$35,47&lt;Projects!$C$35+Projects!$D$35),Projects!$B$35*INDEX(Curves!$B$4:$AR$4,1,47-Projects!$C$35+1),0)+IF(AND(Projects!$G$36="Yes",Projects!$M$36="Yes",47&gt;=Projects!$C$36,47&lt;Projects!$C$36+Projects!$D$36),Projects!$B$36*INDEX(Curves!$B$4:$AR$4,1,47-Projects!$C$36+1),0)+IF(AND(Projects!$G$37="Yes",Projects!$M$37="Yes",47&gt;=Projects!$C$37,47&lt;Projects!$C$37+Projects!$D$37),Projects!$B$37*INDEX(Curves!$B$4:$AR$4,1,47-Projects!$C$37+1),0)+IF(AND(Projects!$G$38="Yes",Projects!$M$38="Yes",47&gt;=Projects!$C$38,47&lt;Projects!$C$38+Projects!$D$38),Projects!$B$38*INDEX(Curves!$B$4:$AR$4,1,47-Projects!$C$38+1),0)+IF(AND(Projects!$G$39="Yes",Projects!$M$39="Yes",47&gt;=Projects!$C$39,47&lt;Projects!$C$39+Projects!$D$39),Projects!$B$39*INDEX(Curves!$B$4:$AR$4,1,47-Projects!$C$39+1),0)+IF(AND(Projects!$G$40="Yes",Projects!$M$40="Yes",47&gt;=Projects!$C$40,47&lt;Projects!$C$40+Projects!$D$40),Projects!$B$40*INDEX(Curves!$B$4:$AR$4,1,47-Projects!$C$40+1),0)+IF(AND(Projects!$G$41="Yes",Projects!$M$41="Yes",47&gt;=Projects!$C$41,47&lt;Projects!$C$41+Projects!$D$41),Projects!$B$41*INDEX(Curves!$B$4:$AR$4,1,47-Projects!$C$41+1),0)+IF(AND(Projects!$G$42="Yes",Projects!$M$42="Yes",47&gt;=Projects!$C$42,47&lt;Projects!$C$42+Projects!$D$42),Projects!$B$42*INDEX(Curves!$B$4:$AR$4,1,47-Projects!$C$42+1),0)+IF(AND(Projects!$G$43="Yes",Projects!$M$43="Yes",47&gt;=Projects!$C$43,47&lt;Projects!$C$43+Projects!$D$43),Projects!$B$43*INDEX(Curves!$B$4:$AR$4,1,47-Projects!$C$43+1),0)+IF(AND(Projects!$G$44="Yes",Projects!$M$44="Yes",47&gt;=Projects!$C$44,47&lt;Projects!$C$44+Projects!$D$44),Projects!$B$44*INDEX(Curves!$B$4:$AR$4,1,47-Projects!$C$44+1),0)+IF(AND(Projects!$G$45="Yes",Projects!$M$45="Yes",47&gt;=Projects!$C$45,47&lt;Projects!$C$45+Projects!$D$45),Projects!$B$45*INDEX(Curves!$B$4:$AR$4,1,47-Projects!$C$45+1),0)+IF(AND(Projects!$G$46="Yes",Projects!$M$46="Yes",47&gt;=Projects!$C$46,47&lt;Projects!$C$46+Projects!$D$46),Projects!$B$46*INDEX(Curves!$B$4:$AR$4,1,47-Projects!$C$46+1),0)</f>
        <v/>
      </c>
      <c r="BA101" s="691">
        <f>IF(AND(Projects!$G$17="Yes",Projects!$M$17="Yes",48&gt;=Projects!$C$17,48&lt;Projects!$C$17+Projects!$D$17),Projects!$B$17*INDEX(Curves!$B$4:$AR$4,1,48-Projects!$C$17+1),0)+IF(AND(Projects!$G$18="Yes",Projects!$M$18="Yes",48&gt;=Projects!$C$18,48&lt;Projects!$C$18+Projects!$D$18),Projects!$B$18*INDEX(Curves!$B$4:$AR$4,1,48-Projects!$C$18+1),0)+IF(AND(Projects!$G$19="Yes",Projects!$M$19="Yes",48&gt;=Projects!$C$19,48&lt;Projects!$C$19+Projects!$D$19),Projects!$B$19*INDEX(Curves!$B$4:$AR$4,1,48-Projects!$C$19+1),0)+IF(AND(Projects!$G$20="Yes",Projects!$M$20="Yes",48&gt;=Projects!$C$20,48&lt;Projects!$C$20+Projects!$D$20),Projects!$B$20*INDEX(Curves!$B$4:$AR$4,1,48-Projects!$C$20+1),0)+IF(AND(Projects!$G$21="Yes",Projects!$M$21="Yes",48&gt;=Projects!$C$21,48&lt;Projects!$C$21+Projects!$D$21),Projects!$B$21*INDEX(Curves!$B$4:$AR$4,1,48-Projects!$C$21+1),0)+IF(AND(Projects!$G$22="Yes",Projects!$M$22="Yes",48&gt;=Projects!$C$22,48&lt;Projects!$C$22+Projects!$D$22),Projects!$B$22*INDEX(Curves!$B$4:$AR$4,1,48-Projects!$C$22+1),0)+IF(AND(Projects!$G$23="Yes",Projects!$M$23="Yes",48&gt;=Projects!$C$23,48&lt;Projects!$C$23+Projects!$D$23),Projects!$B$23*INDEX(Curves!$B$4:$AR$4,1,48-Projects!$C$23+1),0)+IF(AND(Projects!$G$24="Yes",Projects!$M$24="Yes",48&gt;=Projects!$C$24,48&lt;Projects!$C$24+Projects!$D$24),Projects!$B$24*INDEX(Curves!$B$4:$AR$4,1,48-Projects!$C$24+1),0)+IF(AND(Projects!$G$25="Yes",Projects!$M$25="Yes",48&gt;=Projects!$C$25,48&lt;Projects!$C$25+Projects!$D$25),Projects!$B$25*INDEX(Curves!$B$4:$AR$4,1,48-Projects!$C$25+1),0)+IF(AND(Projects!$G$26="Yes",Projects!$M$26="Yes",48&gt;=Projects!$C$26,48&lt;Projects!$C$26+Projects!$D$26),Projects!$B$26*INDEX(Curves!$B$4:$AR$4,1,48-Projects!$C$26+1),0)+IF(AND(Projects!$G$27="Yes",Projects!$M$27="Yes",48&gt;=Projects!$C$27,48&lt;Projects!$C$27+Projects!$D$27),Projects!$B$27*INDEX(Curves!$B$4:$AR$4,1,48-Projects!$C$27+1),0)+IF(AND(Projects!$G$28="Yes",Projects!$M$28="Yes",48&gt;=Projects!$C$28,48&lt;Projects!$C$28+Projects!$D$28),Projects!$B$28*INDEX(Curves!$B$4:$AR$4,1,48-Projects!$C$28+1),0)+IF(AND(Projects!$G$29="Yes",Projects!$M$29="Yes",48&gt;=Projects!$C$29,48&lt;Projects!$C$29+Projects!$D$29),Projects!$B$29*INDEX(Curves!$B$4:$AR$4,1,48-Projects!$C$29+1),0)+IF(AND(Projects!$G$30="Yes",Projects!$M$30="Yes",48&gt;=Projects!$C$30,48&lt;Projects!$C$30+Projects!$D$30),Projects!$B$30*INDEX(Curves!$B$4:$AR$4,1,48-Projects!$C$30+1),0)+IF(AND(Projects!$G$31="Yes",Projects!$M$31="Yes",48&gt;=Projects!$C$31,48&lt;Projects!$C$31+Projects!$D$31),Projects!$B$31*INDEX(Curves!$B$4:$AR$4,1,48-Projects!$C$31+1),0)+IF(AND(Projects!$G$32="Yes",Projects!$M$32="Yes",48&gt;=Projects!$C$32,48&lt;Projects!$C$32+Projects!$D$32),Projects!$B$32*INDEX(Curves!$B$4:$AR$4,1,48-Projects!$C$32+1),0)+IF(AND(Projects!$G$33="Yes",Projects!$M$33="Yes",48&gt;=Projects!$C$33,48&lt;Projects!$C$33+Projects!$D$33),Projects!$B$33*INDEX(Curves!$B$4:$AR$4,1,48-Projects!$C$33+1),0)+IF(AND(Projects!$G$34="Yes",Projects!$M$34="Yes",48&gt;=Projects!$C$34,48&lt;Projects!$C$34+Projects!$D$34),Projects!$B$34*INDEX(Curves!$B$4:$AR$4,1,48-Projects!$C$34+1),0)+IF(AND(Projects!$G$35="Yes",Projects!$M$35="Yes",48&gt;=Projects!$C$35,48&lt;Projects!$C$35+Projects!$D$35),Projects!$B$35*INDEX(Curves!$B$4:$AR$4,1,48-Projects!$C$35+1),0)+IF(AND(Projects!$G$36="Yes",Projects!$M$36="Yes",48&gt;=Projects!$C$36,48&lt;Projects!$C$36+Projects!$D$36),Projects!$B$36*INDEX(Curves!$B$4:$AR$4,1,48-Projects!$C$36+1),0)+IF(AND(Projects!$G$37="Yes",Projects!$M$37="Yes",48&gt;=Projects!$C$37,48&lt;Projects!$C$37+Projects!$D$37),Projects!$B$37*INDEX(Curves!$B$4:$AR$4,1,48-Projects!$C$37+1),0)+IF(AND(Projects!$G$38="Yes",Projects!$M$38="Yes",48&gt;=Projects!$C$38,48&lt;Projects!$C$38+Projects!$D$38),Projects!$B$38*INDEX(Curves!$B$4:$AR$4,1,48-Projects!$C$38+1),0)+IF(AND(Projects!$G$39="Yes",Projects!$M$39="Yes",48&gt;=Projects!$C$39,48&lt;Projects!$C$39+Projects!$D$39),Projects!$B$39*INDEX(Curves!$B$4:$AR$4,1,48-Projects!$C$39+1),0)+IF(AND(Projects!$G$40="Yes",Projects!$M$40="Yes",48&gt;=Projects!$C$40,48&lt;Projects!$C$40+Projects!$D$40),Projects!$B$40*INDEX(Curves!$B$4:$AR$4,1,48-Projects!$C$40+1),0)+IF(AND(Projects!$G$41="Yes",Projects!$M$41="Yes",48&gt;=Projects!$C$41,48&lt;Projects!$C$41+Projects!$D$41),Projects!$B$41*INDEX(Curves!$B$4:$AR$4,1,48-Projects!$C$41+1),0)+IF(AND(Projects!$G$42="Yes",Projects!$M$42="Yes",48&gt;=Projects!$C$42,48&lt;Projects!$C$42+Projects!$D$42),Projects!$B$42*INDEX(Curves!$B$4:$AR$4,1,48-Projects!$C$42+1),0)+IF(AND(Projects!$G$43="Yes",Projects!$M$43="Yes",48&gt;=Projects!$C$43,48&lt;Projects!$C$43+Projects!$D$43),Projects!$B$43*INDEX(Curves!$B$4:$AR$4,1,48-Projects!$C$43+1),0)+IF(AND(Projects!$G$44="Yes",Projects!$M$44="Yes",48&gt;=Projects!$C$44,48&lt;Projects!$C$44+Projects!$D$44),Projects!$B$44*INDEX(Curves!$B$4:$AR$4,1,48-Projects!$C$44+1),0)+IF(AND(Projects!$G$45="Yes",Projects!$M$45="Yes",48&gt;=Projects!$C$45,48&lt;Projects!$C$45+Projects!$D$45),Projects!$B$45*INDEX(Curves!$B$4:$AR$4,1,48-Projects!$C$45+1),0)+IF(AND(Projects!$G$46="Yes",Projects!$M$46="Yes",48&gt;=Projects!$C$46,48&lt;Projects!$C$46+Projects!$D$46),Projects!$B$46*INDEX(Curves!$B$4:$AR$4,1,48-Projects!$C$46+1),0)</f>
        <v/>
      </c>
      <c r="BB101" s="691">
        <f>IF(AND(Projects!$G$17="Yes",Projects!$M$17="Yes",49&gt;=Projects!$C$17,49&lt;Projects!$C$17+Projects!$D$17),Projects!$B$17*INDEX(Curves!$B$4:$AR$4,1,49-Projects!$C$17+1),0)+IF(AND(Projects!$G$18="Yes",Projects!$M$18="Yes",49&gt;=Projects!$C$18,49&lt;Projects!$C$18+Projects!$D$18),Projects!$B$18*INDEX(Curves!$B$4:$AR$4,1,49-Projects!$C$18+1),0)+IF(AND(Projects!$G$19="Yes",Projects!$M$19="Yes",49&gt;=Projects!$C$19,49&lt;Projects!$C$19+Projects!$D$19),Projects!$B$19*INDEX(Curves!$B$4:$AR$4,1,49-Projects!$C$19+1),0)+IF(AND(Projects!$G$20="Yes",Projects!$M$20="Yes",49&gt;=Projects!$C$20,49&lt;Projects!$C$20+Projects!$D$20),Projects!$B$20*INDEX(Curves!$B$4:$AR$4,1,49-Projects!$C$20+1),0)+IF(AND(Projects!$G$21="Yes",Projects!$M$21="Yes",49&gt;=Projects!$C$21,49&lt;Projects!$C$21+Projects!$D$21),Projects!$B$21*INDEX(Curves!$B$4:$AR$4,1,49-Projects!$C$21+1),0)+IF(AND(Projects!$G$22="Yes",Projects!$M$22="Yes",49&gt;=Projects!$C$22,49&lt;Projects!$C$22+Projects!$D$22),Projects!$B$22*INDEX(Curves!$B$4:$AR$4,1,49-Projects!$C$22+1),0)+IF(AND(Projects!$G$23="Yes",Projects!$M$23="Yes",49&gt;=Projects!$C$23,49&lt;Projects!$C$23+Projects!$D$23),Projects!$B$23*INDEX(Curves!$B$4:$AR$4,1,49-Projects!$C$23+1),0)+IF(AND(Projects!$G$24="Yes",Projects!$M$24="Yes",49&gt;=Projects!$C$24,49&lt;Projects!$C$24+Projects!$D$24),Projects!$B$24*INDEX(Curves!$B$4:$AR$4,1,49-Projects!$C$24+1),0)+IF(AND(Projects!$G$25="Yes",Projects!$M$25="Yes",49&gt;=Projects!$C$25,49&lt;Projects!$C$25+Projects!$D$25),Projects!$B$25*INDEX(Curves!$B$4:$AR$4,1,49-Projects!$C$25+1),0)+IF(AND(Projects!$G$26="Yes",Projects!$M$26="Yes",49&gt;=Projects!$C$26,49&lt;Projects!$C$26+Projects!$D$26),Projects!$B$26*INDEX(Curves!$B$4:$AR$4,1,49-Projects!$C$26+1),0)+IF(AND(Projects!$G$27="Yes",Projects!$M$27="Yes",49&gt;=Projects!$C$27,49&lt;Projects!$C$27+Projects!$D$27),Projects!$B$27*INDEX(Curves!$B$4:$AR$4,1,49-Projects!$C$27+1),0)+IF(AND(Projects!$G$28="Yes",Projects!$M$28="Yes",49&gt;=Projects!$C$28,49&lt;Projects!$C$28+Projects!$D$28),Projects!$B$28*INDEX(Curves!$B$4:$AR$4,1,49-Projects!$C$28+1),0)+IF(AND(Projects!$G$29="Yes",Projects!$M$29="Yes",49&gt;=Projects!$C$29,49&lt;Projects!$C$29+Projects!$D$29),Projects!$B$29*INDEX(Curves!$B$4:$AR$4,1,49-Projects!$C$29+1),0)+IF(AND(Projects!$G$30="Yes",Projects!$M$30="Yes",49&gt;=Projects!$C$30,49&lt;Projects!$C$30+Projects!$D$30),Projects!$B$30*INDEX(Curves!$B$4:$AR$4,1,49-Projects!$C$30+1),0)+IF(AND(Projects!$G$31="Yes",Projects!$M$31="Yes",49&gt;=Projects!$C$31,49&lt;Projects!$C$31+Projects!$D$31),Projects!$B$31*INDEX(Curves!$B$4:$AR$4,1,49-Projects!$C$31+1),0)+IF(AND(Projects!$G$32="Yes",Projects!$M$32="Yes",49&gt;=Projects!$C$32,49&lt;Projects!$C$32+Projects!$D$32),Projects!$B$32*INDEX(Curves!$B$4:$AR$4,1,49-Projects!$C$32+1),0)+IF(AND(Projects!$G$33="Yes",Projects!$M$33="Yes",49&gt;=Projects!$C$33,49&lt;Projects!$C$33+Projects!$D$33),Projects!$B$33*INDEX(Curves!$B$4:$AR$4,1,49-Projects!$C$33+1),0)+IF(AND(Projects!$G$34="Yes",Projects!$M$34="Yes",49&gt;=Projects!$C$34,49&lt;Projects!$C$34+Projects!$D$34),Projects!$B$34*INDEX(Curves!$B$4:$AR$4,1,49-Projects!$C$34+1),0)+IF(AND(Projects!$G$35="Yes",Projects!$M$35="Yes",49&gt;=Projects!$C$35,49&lt;Projects!$C$35+Projects!$D$35),Projects!$B$35*INDEX(Curves!$B$4:$AR$4,1,49-Projects!$C$35+1),0)+IF(AND(Projects!$G$36="Yes",Projects!$M$36="Yes",49&gt;=Projects!$C$36,49&lt;Projects!$C$36+Projects!$D$36),Projects!$B$36*INDEX(Curves!$B$4:$AR$4,1,49-Projects!$C$36+1),0)+IF(AND(Projects!$G$37="Yes",Projects!$M$37="Yes",49&gt;=Projects!$C$37,49&lt;Projects!$C$37+Projects!$D$37),Projects!$B$37*INDEX(Curves!$B$4:$AR$4,1,49-Projects!$C$37+1),0)+IF(AND(Projects!$G$38="Yes",Projects!$M$38="Yes",49&gt;=Projects!$C$38,49&lt;Projects!$C$38+Projects!$D$38),Projects!$B$38*INDEX(Curves!$B$4:$AR$4,1,49-Projects!$C$38+1),0)+IF(AND(Projects!$G$39="Yes",Projects!$M$39="Yes",49&gt;=Projects!$C$39,49&lt;Projects!$C$39+Projects!$D$39),Projects!$B$39*INDEX(Curves!$B$4:$AR$4,1,49-Projects!$C$39+1),0)+IF(AND(Projects!$G$40="Yes",Projects!$M$40="Yes",49&gt;=Projects!$C$40,49&lt;Projects!$C$40+Projects!$D$40),Projects!$B$40*INDEX(Curves!$B$4:$AR$4,1,49-Projects!$C$40+1),0)+IF(AND(Projects!$G$41="Yes",Projects!$M$41="Yes",49&gt;=Projects!$C$41,49&lt;Projects!$C$41+Projects!$D$41),Projects!$B$41*INDEX(Curves!$B$4:$AR$4,1,49-Projects!$C$41+1),0)+IF(AND(Projects!$G$42="Yes",Projects!$M$42="Yes",49&gt;=Projects!$C$42,49&lt;Projects!$C$42+Projects!$D$42),Projects!$B$42*INDEX(Curves!$B$4:$AR$4,1,49-Projects!$C$42+1),0)+IF(AND(Projects!$G$43="Yes",Projects!$M$43="Yes",49&gt;=Projects!$C$43,49&lt;Projects!$C$43+Projects!$D$43),Projects!$B$43*INDEX(Curves!$B$4:$AR$4,1,49-Projects!$C$43+1),0)+IF(AND(Projects!$G$44="Yes",Projects!$M$44="Yes",49&gt;=Projects!$C$44,49&lt;Projects!$C$44+Projects!$D$44),Projects!$B$44*INDEX(Curves!$B$4:$AR$4,1,49-Projects!$C$44+1),0)+IF(AND(Projects!$G$45="Yes",Projects!$M$45="Yes",49&gt;=Projects!$C$45,49&lt;Projects!$C$45+Projects!$D$45),Projects!$B$45*INDEX(Curves!$B$4:$AR$4,1,49-Projects!$C$45+1),0)+IF(AND(Projects!$G$46="Yes",Projects!$M$46="Yes",49&gt;=Projects!$C$46,49&lt;Projects!$C$46+Projects!$D$46),Projects!$B$46*INDEX(Curves!$B$4:$AR$4,1,49-Projects!$C$46+1),0)</f>
        <v/>
      </c>
      <c r="BC101" s="691">
        <f>IF(AND(Projects!$G$17="Yes",Projects!$M$17="Yes",50&gt;=Projects!$C$17,50&lt;Projects!$C$17+Projects!$D$17),Projects!$B$17*INDEX(Curves!$B$4:$AR$4,1,50-Projects!$C$17+1),0)+IF(AND(Projects!$G$18="Yes",Projects!$M$18="Yes",50&gt;=Projects!$C$18,50&lt;Projects!$C$18+Projects!$D$18),Projects!$B$18*INDEX(Curves!$B$4:$AR$4,1,50-Projects!$C$18+1),0)+IF(AND(Projects!$G$19="Yes",Projects!$M$19="Yes",50&gt;=Projects!$C$19,50&lt;Projects!$C$19+Projects!$D$19),Projects!$B$19*INDEX(Curves!$B$4:$AR$4,1,50-Projects!$C$19+1),0)+IF(AND(Projects!$G$20="Yes",Projects!$M$20="Yes",50&gt;=Projects!$C$20,50&lt;Projects!$C$20+Projects!$D$20),Projects!$B$20*INDEX(Curves!$B$4:$AR$4,1,50-Projects!$C$20+1),0)+IF(AND(Projects!$G$21="Yes",Projects!$M$21="Yes",50&gt;=Projects!$C$21,50&lt;Projects!$C$21+Projects!$D$21),Projects!$B$21*INDEX(Curves!$B$4:$AR$4,1,50-Projects!$C$21+1),0)+IF(AND(Projects!$G$22="Yes",Projects!$M$22="Yes",50&gt;=Projects!$C$22,50&lt;Projects!$C$22+Projects!$D$22),Projects!$B$22*INDEX(Curves!$B$4:$AR$4,1,50-Projects!$C$22+1),0)+IF(AND(Projects!$G$23="Yes",Projects!$M$23="Yes",50&gt;=Projects!$C$23,50&lt;Projects!$C$23+Projects!$D$23),Projects!$B$23*INDEX(Curves!$B$4:$AR$4,1,50-Projects!$C$23+1),0)+IF(AND(Projects!$G$24="Yes",Projects!$M$24="Yes",50&gt;=Projects!$C$24,50&lt;Projects!$C$24+Projects!$D$24),Projects!$B$24*INDEX(Curves!$B$4:$AR$4,1,50-Projects!$C$24+1),0)+IF(AND(Projects!$G$25="Yes",Projects!$M$25="Yes",50&gt;=Projects!$C$25,50&lt;Projects!$C$25+Projects!$D$25),Projects!$B$25*INDEX(Curves!$B$4:$AR$4,1,50-Projects!$C$25+1),0)+IF(AND(Projects!$G$26="Yes",Projects!$M$26="Yes",50&gt;=Projects!$C$26,50&lt;Projects!$C$26+Projects!$D$26),Projects!$B$26*INDEX(Curves!$B$4:$AR$4,1,50-Projects!$C$26+1),0)+IF(AND(Projects!$G$27="Yes",Projects!$M$27="Yes",50&gt;=Projects!$C$27,50&lt;Projects!$C$27+Projects!$D$27),Projects!$B$27*INDEX(Curves!$B$4:$AR$4,1,50-Projects!$C$27+1),0)+IF(AND(Projects!$G$28="Yes",Projects!$M$28="Yes",50&gt;=Projects!$C$28,50&lt;Projects!$C$28+Projects!$D$28),Projects!$B$28*INDEX(Curves!$B$4:$AR$4,1,50-Projects!$C$28+1),0)+IF(AND(Projects!$G$29="Yes",Projects!$M$29="Yes",50&gt;=Projects!$C$29,50&lt;Projects!$C$29+Projects!$D$29),Projects!$B$29*INDEX(Curves!$B$4:$AR$4,1,50-Projects!$C$29+1),0)+IF(AND(Projects!$G$30="Yes",Projects!$M$30="Yes",50&gt;=Projects!$C$30,50&lt;Projects!$C$30+Projects!$D$30),Projects!$B$30*INDEX(Curves!$B$4:$AR$4,1,50-Projects!$C$30+1),0)+IF(AND(Projects!$G$31="Yes",Projects!$M$31="Yes",50&gt;=Projects!$C$31,50&lt;Projects!$C$31+Projects!$D$31),Projects!$B$31*INDEX(Curves!$B$4:$AR$4,1,50-Projects!$C$31+1),0)+IF(AND(Projects!$G$32="Yes",Projects!$M$32="Yes",50&gt;=Projects!$C$32,50&lt;Projects!$C$32+Projects!$D$32),Projects!$B$32*INDEX(Curves!$B$4:$AR$4,1,50-Projects!$C$32+1),0)+IF(AND(Projects!$G$33="Yes",Projects!$M$33="Yes",50&gt;=Projects!$C$33,50&lt;Projects!$C$33+Projects!$D$33),Projects!$B$33*INDEX(Curves!$B$4:$AR$4,1,50-Projects!$C$33+1),0)+IF(AND(Projects!$G$34="Yes",Projects!$M$34="Yes",50&gt;=Projects!$C$34,50&lt;Projects!$C$34+Projects!$D$34),Projects!$B$34*INDEX(Curves!$B$4:$AR$4,1,50-Projects!$C$34+1),0)+IF(AND(Projects!$G$35="Yes",Projects!$M$35="Yes",50&gt;=Projects!$C$35,50&lt;Projects!$C$35+Projects!$D$35),Projects!$B$35*INDEX(Curves!$B$4:$AR$4,1,50-Projects!$C$35+1),0)+IF(AND(Projects!$G$36="Yes",Projects!$M$36="Yes",50&gt;=Projects!$C$36,50&lt;Projects!$C$36+Projects!$D$36),Projects!$B$36*INDEX(Curves!$B$4:$AR$4,1,50-Projects!$C$36+1),0)+IF(AND(Projects!$G$37="Yes",Projects!$M$37="Yes",50&gt;=Projects!$C$37,50&lt;Projects!$C$37+Projects!$D$37),Projects!$B$37*INDEX(Curves!$B$4:$AR$4,1,50-Projects!$C$37+1),0)+IF(AND(Projects!$G$38="Yes",Projects!$M$38="Yes",50&gt;=Projects!$C$38,50&lt;Projects!$C$38+Projects!$D$38),Projects!$B$38*INDEX(Curves!$B$4:$AR$4,1,50-Projects!$C$38+1),0)+IF(AND(Projects!$G$39="Yes",Projects!$M$39="Yes",50&gt;=Projects!$C$39,50&lt;Projects!$C$39+Projects!$D$39),Projects!$B$39*INDEX(Curves!$B$4:$AR$4,1,50-Projects!$C$39+1),0)+IF(AND(Projects!$G$40="Yes",Projects!$M$40="Yes",50&gt;=Projects!$C$40,50&lt;Projects!$C$40+Projects!$D$40),Projects!$B$40*INDEX(Curves!$B$4:$AR$4,1,50-Projects!$C$40+1),0)+IF(AND(Projects!$G$41="Yes",Projects!$M$41="Yes",50&gt;=Projects!$C$41,50&lt;Projects!$C$41+Projects!$D$41),Projects!$B$41*INDEX(Curves!$B$4:$AR$4,1,50-Projects!$C$41+1),0)+IF(AND(Projects!$G$42="Yes",Projects!$M$42="Yes",50&gt;=Projects!$C$42,50&lt;Projects!$C$42+Projects!$D$42),Projects!$B$42*INDEX(Curves!$B$4:$AR$4,1,50-Projects!$C$42+1),0)+IF(AND(Projects!$G$43="Yes",Projects!$M$43="Yes",50&gt;=Projects!$C$43,50&lt;Projects!$C$43+Projects!$D$43),Projects!$B$43*INDEX(Curves!$B$4:$AR$4,1,50-Projects!$C$43+1),0)+IF(AND(Projects!$G$44="Yes",Projects!$M$44="Yes",50&gt;=Projects!$C$44,50&lt;Projects!$C$44+Projects!$D$44),Projects!$B$44*INDEX(Curves!$B$4:$AR$4,1,50-Projects!$C$44+1),0)+IF(AND(Projects!$G$45="Yes",Projects!$M$45="Yes",50&gt;=Projects!$C$45,50&lt;Projects!$C$45+Projects!$D$45),Projects!$B$45*INDEX(Curves!$B$4:$AR$4,1,50-Projects!$C$45+1),0)+IF(AND(Projects!$G$46="Yes",Projects!$M$46="Yes",50&gt;=Projects!$C$46,50&lt;Projects!$C$46+Projects!$D$46),Projects!$B$46*INDEX(Curves!$B$4:$AR$4,1,50-Projects!$C$46+1),0)</f>
        <v/>
      </c>
      <c r="BD101" s="691">
        <f>IF(AND(Projects!$G$17="Yes",Projects!$M$17="Yes",51&gt;=Projects!$C$17,51&lt;Projects!$C$17+Projects!$D$17),Projects!$B$17*INDEX(Curves!$B$4:$AR$4,1,51-Projects!$C$17+1),0)+IF(AND(Projects!$G$18="Yes",Projects!$M$18="Yes",51&gt;=Projects!$C$18,51&lt;Projects!$C$18+Projects!$D$18),Projects!$B$18*INDEX(Curves!$B$4:$AR$4,1,51-Projects!$C$18+1),0)+IF(AND(Projects!$G$19="Yes",Projects!$M$19="Yes",51&gt;=Projects!$C$19,51&lt;Projects!$C$19+Projects!$D$19),Projects!$B$19*INDEX(Curves!$B$4:$AR$4,1,51-Projects!$C$19+1),0)+IF(AND(Projects!$G$20="Yes",Projects!$M$20="Yes",51&gt;=Projects!$C$20,51&lt;Projects!$C$20+Projects!$D$20),Projects!$B$20*INDEX(Curves!$B$4:$AR$4,1,51-Projects!$C$20+1),0)+IF(AND(Projects!$G$21="Yes",Projects!$M$21="Yes",51&gt;=Projects!$C$21,51&lt;Projects!$C$21+Projects!$D$21),Projects!$B$21*INDEX(Curves!$B$4:$AR$4,1,51-Projects!$C$21+1),0)+IF(AND(Projects!$G$22="Yes",Projects!$M$22="Yes",51&gt;=Projects!$C$22,51&lt;Projects!$C$22+Projects!$D$22),Projects!$B$22*INDEX(Curves!$B$4:$AR$4,1,51-Projects!$C$22+1),0)+IF(AND(Projects!$G$23="Yes",Projects!$M$23="Yes",51&gt;=Projects!$C$23,51&lt;Projects!$C$23+Projects!$D$23),Projects!$B$23*INDEX(Curves!$B$4:$AR$4,1,51-Projects!$C$23+1),0)+IF(AND(Projects!$G$24="Yes",Projects!$M$24="Yes",51&gt;=Projects!$C$24,51&lt;Projects!$C$24+Projects!$D$24),Projects!$B$24*INDEX(Curves!$B$4:$AR$4,1,51-Projects!$C$24+1),0)+IF(AND(Projects!$G$25="Yes",Projects!$M$25="Yes",51&gt;=Projects!$C$25,51&lt;Projects!$C$25+Projects!$D$25),Projects!$B$25*INDEX(Curves!$B$4:$AR$4,1,51-Projects!$C$25+1),0)+IF(AND(Projects!$G$26="Yes",Projects!$M$26="Yes",51&gt;=Projects!$C$26,51&lt;Projects!$C$26+Projects!$D$26),Projects!$B$26*INDEX(Curves!$B$4:$AR$4,1,51-Projects!$C$26+1),0)+IF(AND(Projects!$G$27="Yes",Projects!$M$27="Yes",51&gt;=Projects!$C$27,51&lt;Projects!$C$27+Projects!$D$27),Projects!$B$27*INDEX(Curves!$B$4:$AR$4,1,51-Projects!$C$27+1),0)+IF(AND(Projects!$G$28="Yes",Projects!$M$28="Yes",51&gt;=Projects!$C$28,51&lt;Projects!$C$28+Projects!$D$28),Projects!$B$28*INDEX(Curves!$B$4:$AR$4,1,51-Projects!$C$28+1),0)+IF(AND(Projects!$G$29="Yes",Projects!$M$29="Yes",51&gt;=Projects!$C$29,51&lt;Projects!$C$29+Projects!$D$29),Projects!$B$29*INDEX(Curves!$B$4:$AR$4,1,51-Projects!$C$29+1),0)+IF(AND(Projects!$G$30="Yes",Projects!$M$30="Yes",51&gt;=Projects!$C$30,51&lt;Projects!$C$30+Projects!$D$30),Projects!$B$30*INDEX(Curves!$B$4:$AR$4,1,51-Projects!$C$30+1),0)+IF(AND(Projects!$G$31="Yes",Projects!$M$31="Yes",51&gt;=Projects!$C$31,51&lt;Projects!$C$31+Projects!$D$31),Projects!$B$31*INDEX(Curves!$B$4:$AR$4,1,51-Projects!$C$31+1),0)+IF(AND(Projects!$G$32="Yes",Projects!$M$32="Yes",51&gt;=Projects!$C$32,51&lt;Projects!$C$32+Projects!$D$32),Projects!$B$32*INDEX(Curves!$B$4:$AR$4,1,51-Projects!$C$32+1),0)+IF(AND(Projects!$G$33="Yes",Projects!$M$33="Yes",51&gt;=Projects!$C$33,51&lt;Projects!$C$33+Projects!$D$33),Projects!$B$33*INDEX(Curves!$B$4:$AR$4,1,51-Projects!$C$33+1),0)+IF(AND(Projects!$G$34="Yes",Projects!$M$34="Yes",51&gt;=Projects!$C$34,51&lt;Projects!$C$34+Projects!$D$34),Projects!$B$34*INDEX(Curves!$B$4:$AR$4,1,51-Projects!$C$34+1),0)+IF(AND(Projects!$G$35="Yes",Projects!$M$35="Yes",51&gt;=Projects!$C$35,51&lt;Projects!$C$35+Projects!$D$35),Projects!$B$35*INDEX(Curves!$B$4:$AR$4,1,51-Projects!$C$35+1),0)+IF(AND(Projects!$G$36="Yes",Projects!$M$36="Yes",51&gt;=Projects!$C$36,51&lt;Projects!$C$36+Projects!$D$36),Projects!$B$36*INDEX(Curves!$B$4:$AR$4,1,51-Projects!$C$36+1),0)+IF(AND(Projects!$G$37="Yes",Projects!$M$37="Yes",51&gt;=Projects!$C$37,51&lt;Projects!$C$37+Projects!$D$37),Projects!$B$37*INDEX(Curves!$B$4:$AR$4,1,51-Projects!$C$37+1),0)+IF(AND(Projects!$G$38="Yes",Projects!$M$38="Yes",51&gt;=Projects!$C$38,51&lt;Projects!$C$38+Projects!$D$38),Projects!$B$38*INDEX(Curves!$B$4:$AR$4,1,51-Projects!$C$38+1),0)+IF(AND(Projects!$G$39="Yes",Projects!$M$39="Yes",51&gt;=Projects!$C$39,51&lt;Projects!$C$39+Projects!$D$39),Projects!$B$39*INDEX(Curves!$B$4:$AR$4,1,51-Projects!$C$39+1),0)+IF(AND(Projects!$G$40="Yes",Projects!$M$40="Yes",51&gt;=Projects!$C$40,51&lt;Projects!$C$40+Projects!$D$40),Projects!$B$40*INDEX(Curves!$B$4:$AR$4,1,51-Projects!$C$40+1),0)+IF(AND(Projects!$G$41="Yes",Projects!$M$41="Yes",51&gt;=Projects!$C$41,51&lt;Projects!$C$41+Projects!$D$41),Projects!$B$41*INDEX(Curves!$B$4:$AR$4,1,51-Projects!$C$41+1),0)+IF(AND(Projects!$G$42="Yes",Projects!$M$42="Yes",51&gt;=Projects!$C$42,51&lt;Projects!$C$42+Projects!$D$42),Projects!$B$42*INDEX(Curves!$B$4:$AR$4,1,51-Projects!$C$42+1),0)+IF(AND(Projects!$G$43="Yes",Projects!$M$43="Yes",51&gt;=Projects!$C$43,51&lt;Projects!$C$43+Projects!$D$43),Projects!$B$43*INDEX(Curves!$B$4:$AR$4,1,51-Projects!$C$43+1),0)+IF(AND(Projects!$G$44="Yes",Projects!$M$44="Yes",51&gt;=Projects!$C$44,51&lt;Projects!$C$44+Projects!$D$44),Projects!$B$44*INDEX(Curves!$B$4:$AR$4,1,51-Projects!$C$44+1),0)+IF(AND(Projects!$G$45="Yes",Projects!$M$45="Yes",51&gt;=Projects!$C$45,51&lt;Projects!$C$45+Projects!$D$45),Projects!$B$45*INDEX(Curves!$B$4:$AR$4,1,51-Projects!$C$45+1),0)+IF(AND(Projects!$G$46="Yes",Projects!$M$46="Yes",51&gt;=Projects!$C$46,51&lt;Projects!$C$46+Projects!$D$46),Projects!$B$46*INDEX(Curves!$B$4:$AR$4,1,51-Projects!$C$46+1),0)</f>
        <v/>
      </c>
      <c r="BE101" s="691">
        <f>IF(AND(Projects!$G$17="Yes",Projects!$M$17="Yes",52&gt;=Projects!$C$17,52&lt;Projects!$C$17+Projects!$D$17),Projects!$B$17*INDEX(Curves!$B$4:$AR$4,1,52-Projects!$C$17+1),0)+IF(AND(Projects!$G$18="Yes",Projects!$M$18="Yes",52&gt;=Projects!$C$18,52&lt;Projects!$C$18+Projects!$D$18),Projects!$B$18*INDEX(Curves!$B$4:$AR$4,1,52-Projects!$C$18+1),0)+IF(AND(Projects!$G$19="Yes",Projects!$M$19="Yes",52&gt;=Projects!$C$19,52&lt;Projects!$C$19+Projects!$D$19),Projects!$B$19*INDEX(Curves!$B$4:$AR$4,1,52-Projects!$C$19+1),0)+IF(AND(Projects!$G$20="Yes",Projects!$M$20="Yes",52&gt;=Projects!$C$20,52&lt;Projects!$C$20+Projects!$D$20),Projects!$B$20*INDEX(Curves!$B$4:$AR$4,1,52-Projects!$C$20+1),0)+IF(AND(Projects!$G$21="Yes",Projects!$M$21="Yes",52&gt;=Projects!$C$21,52&lt;Projects!$C$21+Projects!$D$21),Projects!$B$21*INDEX(Curves!$B$4:$AR$4,1,52-Projects!$C$21+1),0)+IF(AND(Projects!$G$22="Yes",Projects!$M$22="Yes",52&gt;=Projects!$C$22,52&lt;Projects!$C$22+Projects!$D$22),Projects!$B$22*INDEX(Curves!$B$4:$AR$4,1,52-Projects!$C$22+1),0)+IF(AND(Projects!$G$23="Yes",Projects!$M$23="Yes",52&gt;=Projects!$C$23,52&lt;Projects!$C$23+Projects!$D$23),Projects!$B$23*INDEX(Curves!$B$4:$AR$4,1,52-Projects!$C$23+1),0)+IF(AND(Projects!$G$24="Yes",Projects!$M$24="Yes",52&gt;=Projects!$C$24,52&lt;Projects!$C$24+Projects!$D$24),Projects!$B$24*INDEX(Curves!$B$4:$AR$4,1,52-Projects!$C$24+1),0)+IF(AND(Projects!$G$25="Yes",Projects!$M$25="Yes",52&gt;=Projects!$C$25,52&lt;Projects!$C$25+Projects!$D$25),Projects!$B$25*INDEX(Curves!$B$4:$AR$4,1,52-Projects!$C$25+1),0)+IF(AND(Projects!$G$26="Yes",Projects!$M$26="Yes",52&gt;=Projects!$C$26,52&lt;Projects!$C$26+Projects!$D$26),Projects!$B$26*INDEX(Curves!$B$4:$AR$4,1,52-Projects!$C$26+1),0)+IF(AND(Projects!$G$27="Yes",Projects!$M$27="Yes",52&gt;=Projects!$C$27,52&lt;Projects!$C$27+Projects!$D$27),Projects!$B$27*INDEX(Curves!$B$4:$AR$4,1,52-Projects!$C$27+1),0)+IF(AND(Projects!$G$28="Yes",Projects!$M$28="Yes",52&gt;=Projects!$C$28,52&lt;Projects!$C$28+Projects!$D$28),Projects!$B$28*INDEX(Curves!$B$4:$AR$4,1,52-Projects!$C$28+1),0)+IF(AND(Projects!$G$29="Yes",Projects!$M$29="Yes",52&gt;=Projects!$C$29,52&lt;Projects!$C$29+Projects!$D$29),Projects!$B$29*INDEX(Curves!$B$4:$AR$4,1,52-Projects!$C$29+1),0)+IF(AND(Projects!$G$30="Yes",Projects!$M$30="Yes",52&gt;=Projects!$C$30,52&lt;Projects!$C$30+Projects!$D$30),Projects!$B$30*INDEX(Curves!$B$4:$AR$4,1,52-Projects!$C$30+1),0)+IF(AND(Projects!$G$31="Yes",Projects!$M$31="Yes",52&gt;=Projects!$C$31,52&lt;Projects!$C$31+Projects!$D$31),Projects!$B$31*INDEX(Curves!$B$4:$AR$4,1,52-Projects!$C$31+1),0)+IF(AND(Projects!$G$32="Yes",Projects!$M$32="Yes",52&gt;=Projects!$C$32,52&lt;Projects!$C$32+Projects!$D$32),Projects!$B$32*INDEX(Curves!$B$4:$AR$4,1,52-Projects!$C$32+1),0)+IF(AND(Projects!$G$33="Yes",Projects!$M$33="Yes",52&gt;=Projects!$C$33,52&lt;Projects!$C$33+Projects!$D$33),Projects!$B$33*INDEX(Curves!$B$4:$AR$4,1,52-Projects!$C$33+1),0)+IF(AND(Projects!$G$34="Yes",Projects!$M$34="Yes",52&gt;=Projects!$C$34,52&lt;Projects!$C$34+Projects!$D$34),Projects!$B$34*INDEX(Curves!$B$4:$AR$4,1,52-Projects!$C$34+1),0)+IF(AND(Projects!$G$35="Yes",Projects!$M$35="Yes",52&gt;=Projects!$C$35,52&lt;Projects!$C$35+Projects!$D$35),Projects!$B$35*INDEX(Curves!$B$4:$AR$4,1,52-Projects!$C$35+1),0)+IF(AND(Projects!$G$36="Yes",Projects!$M$36="Yes",52&gt;=Projects!$C$36,52&lt;Projects!$C$36+Projects!$D$36),Projects!$B$36*INDEX(Curves!$B$4:$AR$4,1,52-Projects!$C$36+1),0)+IF(AND(Projects!$G$37="Yes",Projects!$M$37="Yes",52&gt;=Projects!$C$37,52&lt;Projects!$C$37+Projects!$D$37),Projects!$B$37*INDEX(Curves!$B$4:$AR$4,1,52-Projects!$C$37+1),0)+IF(AND(Projects!$G$38="Yes",Projects!$M$38="Yes",52&gt;=Projects!$C$38,52&lt;Projects!$C$38+Projects!$D$38),Projects!$B$38*INDEX(Curves!$B$4:$AR$4,1,52-Projects!$C$38+1),0)+IF(AND(Projects!$G$39="Yes",Projects!$M$39="Yes",52&gt;=Projects!$C$39,52&lt;Projects!$C$39+Projects!$D$39),Projects!$B$39*INDEX(Curves!$B$4:$AR$4,1,52-Projects!$C$39+1),0)+IF(AND(Projects!$G$40="Yes",Projects!$M$40="Yes",52&gt;=Projects!$C$40,52&lt;Projects!$C$40+Projects!$D$40),Projects!$B$40*INDEX(Curves!$B$4:$AR$4,1,52-Projects!$C$40+1),0)+IF(AND(Projects!$G$41="Yes",Projects!$M$41="Yes",52&gt;=Projects!$C$41,52&lt;Projects!$C$41+Projects!$D$41),Projects!$B$41*INDEX(Curves!$B$4:$AR$4,1,52-Projects!$C$41+1),0)+IF(AND(Projects!$G$42="Yes",Projects!$M$42="Yes",52&gt;=Projects!$C$42,52&lt;Projects!$C$42+Projects!$D$42),Projects!$B$42*INDEX(Curves!$B$4:$AR$4,1,52-Projects!$C$42+1),0)+IF(AND(Projects!$G$43="Yes",Projects!$M$43="Yes",52&gt;=Projects!$C$43,52&lt;Projects!$C$43+Projects!$D$43),Projects!$B$43*INDEX(Curves!$B$4:$AR$4,1,52-Projects!$C$43+1),0)+IF(AND(Projects!$G$44="Yes",Projects!$M$44="Yes",52&gt;=Projects!$C$44,52&lt;Projects!$C$44+Projects!$D$44),Projects!$B$44*INDEX(Curves!$B$4:$AR$4,1,52-Projects!$C$44+1),0)+IF(AND(Projects!$G$45="Yes",Projects!$M$45="Yes",52&gt;=Projects!$C$45,52&lt;Projects!$C$45+Projects!$D$45),Projects!$B$45*INDEX(Curves!$B$4:$AR$4,1,52-Projects!$C$45+1),0)+IF(AND(Projects!$G$46="Yes",Projects!$M$46="Yes",52&gt;=Projects!$C$46,52&lt;Projects!$C$46+Projects!$D$46),Projects!$B$46*INDEX(Curves!$B$4:$AR$4,1,52-Projects!$C$46+1),0)</f>
        <v/>
      </c>
      <c r="BF101" s="691">
        <f>IF(AND(Projects!$G$17="Yes",Projects!$M$17="Yes",53&gt;=Projects!$C$17,53&lt;Projects!$C$17+Projects!$D$17),Projects!$B$17*INDEX(Curves!$B$4:$AR$4,1,53-Projects!$C$17+1),0)+IF(AND(Projects!$G$18="Yes",Projects!$M$18="Yes",53&gt;=Projects!$C$18,53&lt;Projects!$C$18+Projects!$D$18),Projects!$B$18*INDEX(Curves!$B$4:$AR$4,1,53-Projects!$C$18+1),0)+IF(AND(Projects!$G$19="Yes",Projects!$M$19="Yes",53&gt;=Projects!$C$19,53&lt;Projects!$C$19+Projects!$D$19),Projects!$B$19*INDEX(Curves!$B$4:$AR$4,1,53-Projects!$C$19+1),0)+IF(AND(Projects!$G$20="Yes",Projects!$M$20="Yes",53&gt;=Projects!$C$20,53&lt;Projects!$C$20+Projects!$D$20),Projects!$B$20*INDEX(Curves!$B$4:$AR$4,1,53-Projects!$C$20+1),0)+IF(AND(Projects!$G$21="Yes",Projects!$M$21="Yes",53&gt;=Projects!$C$21,53&lt;Projects!$C$21+Projects!$D$21),Projects!$B$21*INDEX(Curves!$B$4:$AR$4,1,53-Projects!$C$21+1),0)+IF(AND(Projects!$G$22="Yes",Projects!$M$22="Yes",53&gt;=Projects!$C$22,53&lt;Projects!$C$22+Projects!$D$22),Projects!$B$22*INDEX(Curves!$B$4:$AR$4,1,53-Projects!$C$22+1),0)+IF(AND(Projects!$G$23="Yes",Projects!$M$23="Yes",53&gt;=Projects!$C$23,53&lt;Projects!$C$23+Projects!$D$23),Projects!$B$23*INDEX(Curves!$B$4:$AR$4,1,53-Projects!$C$23+1),0)+IF(AND(Projects!$G$24="Yes",Projects!$M$24="Yes",53&gt;=Projects!$C$24,53&lt;Projects!$C$24+Projects!$D$24),Projects!$B$24*INDEX(Curves!$B$4:$AR$4,1,53-Projects!$C$24+1),0)+IF(AND(Projects!$G$25="Yes",Projects!$M$25="Yes",53&gt;=Projects!$C$25,53&lt;Projects!$C$25+Projects!$D$25),Projects!$B$25*INDEX(Curves!$B$4:$AR$4,1,53-Projects!$C$25+1),0)+IF(AND(Projects!$G$26="Yes",Projects!$M$26="Yes",53&gt;=Projects!$C$26,53&lt;Projects!$C$26+Projects!$D$26),Projects!$B$26*INDEX(Curves!$B$4:$AR$4,1,53-Projects!$C$26+1),0)+IF(AND(Projects!$G$27="Yes",Projects!$M$27="Yes",53&gt;=Projects!$C$27,53&lt;Projects!$C$27+Projects!$D$27),Projects!$B$27*INDEX(Curves!$B$4:$AR$4,1,53-Projects!$C$27+1),0)+IF(AND(Projects!$G$28="Yes",Projects!$M$28="Yes",53&gt;=Projects!$C$28,53&lt;Projects!$C$28+Projects!$D$28),Projects!$B$28*INDEX(Curves!$B$4:$AR$4,1,53-Projects!$C$28+1),0)+IF(AND(Projects!$G$29="Yes",Projects!$M$29="Yes",53&gt;=Projects!$C$29,53&lt;Projects!$C$29+Projects!$D$29),Projects!$B$29*INDEX(Curves!$B$4:$AR$4,1,53-Projects!$C$29+1),0)+IF(AND(Projects!$G$30="Yes",Projects!$M$30="Yes",53&gt;=Projects!$C$30,53&lt;Projects!$C$30+Projects!$D$30),Projects!$B$30*INDEX(Curves!$B$4:$AR$4,1,53-Projects!$C$30+1),0)+IF(AND(Projects!$G$31="Yes",Projects!$M$31="Yes",53&gt;=Projects!$C$31,53&lt;Projects!$C$31+Projects!$D$31),Projects!$B$31*INDEX(Curves!$B$4:$AR$4,1,53-Projects!$C$31+1),0)+IF(AND(Projects!$G$32="Yes",Projects!$M$32="Yes",53&gt;=Projects!$C$32,53&lt;Projects!$C$32+Projects!$D$32),Projects!$B$32*INDEX(Curves!$B$4:$AR$4,1,53-Projects!$C$32+1),0)+IF(AND(Projects!$G$33="Yes",Projects!$M$33="Yes",53&gt;=Projects!$C$33,53&lt;Projects!$C$33+Projects!$D$33),Projects!$B$33*INDEX(Curves!$B$4:$AR$4,1,53-Projects!$C$33+1),0)+IF(AND(Projects!$G$34="Yes",Projects!$M$34="Yes",53&gt;=Projects!$C$34,53&lt;Projects!$C$34+Projects!$D$34),Projects!$B$34*INDEX(Curves!$B$4:$AR$4,1,53-Projects!$C$34+1),0)+IF(AND(Projects!$G$35="Yes",Projects!$M$35="Yes",53&gt;=Projects!$C$35,53&lt;Projects!$C$35+Projects!$D$35),Projects!$B$35*INDEX(Curves!$B$4:$AR$4,1,53-Projects!$C$35+1),0)+IF(AND(Projects!$G$36="Yes",Projects!$M$36="Yes",53&gt;=Projects!$C$36,53&lt;Projects!$C$36+Projects!$D$36),Projects!$B$36*INDEX(Curves!$B$4:$AR$4,1,53-Projects!$C$36+1),0)+IF(AND(Projects!$G$37="Yes",Projects!$M$37="Yes",53&gt;=Projects!$C$37,53&lt;Projects!$C$37+Projects!$D$37),Projects!$B$37*INDEX(Curves!$B$4:$AR$4,1,53-Projects!$C$37+1),0)+IF(AND(Projects!$G$38="Yes",Projects!$M$38="Yes",53&gt;=Projects!$C$38,53&lt;Projects!$C$38+Projects!$D$38),Projects!$B$38*INDEX(Curves!$B$4:$AR$4,1,53-Projects!$C$38+1),0)+IF(AND(Projects!$G$39="Yes",Projects!$M$39="Yes",53&gt;=Projects!$C$39,53&lt;Projects!$C$39+Projects!$D$39),Projects!$B$39*INDEX(Curves!$B$4:$AR$4,1,53-Projects!$C$39+1),0)+IF(AND(Projects!$G$40="Yes",Projects!$M$40="Yes",53&gt;=Projects!$C$40,53&lt;Projects!$C$40+Projects!$D$40),Projects!$B$40*INDEX(Curves!$B$4:$AR$4,1,53-Projects!$C$40+1),0)+IF(AND(Projects!$G$41="Yes",Projects!$M$41="Yes",53&gt;=Projects!$C$41,53&lt;Projects!$C$41+Projects!$D$41),Projects!$B$41*INDEX(Curves!$B$4:$AR$4,1,53-Projects!$C$41+1),0)+IF(AND(Projects!$G$42="Yes",Projects!$M$42="Yes",53&gt;=Projects!$C$42,53&lt;Projects!$C$42+Projects!$D$42),Projects!$B$42*INDEX(Curves!$B$4:$AR$4,1,53-Projects!$C$42+1),0)+IF(AND(Projects!$G$43="Yes",Projects!$M$43="Yes",53&gt;=Projects!$C$43,53&lt;Projects!$C$43+Projects!$D$43),Projects!$B$43*INDEX(Curves!$B$4:$AR$4,1,53-Projects!$C$43+1),0)+IF(AND(Projects!$G$44="Yes",Projects!$M$44="Yes",53&gt;=Projects!$C$44,53&lt;Projects!$C$44+Projects!$D$44),Projects!$B$44*INDEX(Curves!$B$4:$AR$4,1,53-Projects!$C$44+1),0)+IF(AND(Projects!$G$45="Yes",Projects!$M$45="Yes",53&gt;=Projects!$C$45,53&lt;Projects!$C$45+Projects!$D$45),Projects!$B$45*INDEX(Curves!$B$4:$AR$4,1,53-Projects!$C$45+1),0)+IF(AND(Projects!$G$46="Yes",Projects!$M$46="Yes",53&gt;=Projects!$C$46,53&lt;Projects!$C$46+Projects!$D$46),Projects!$B$46*INDEX(Curves!$B$4:$AR$4,1,53-Projects!$C$46+1),0)</f>
        <v/>
      </c>
      <c r="BG101" s="691">
        <f>IF(AND(Projects!$G$17="Yes",Projects!$M$17="Yes",54&gt;=Projects!$C$17,54&lt;Projects!$C$17+Projects!$D$17),Projects!$B$17*INDEX(Curves!$B$4:$AR$4,1,54-Projects!$C$17+1),0)+IF(AND(Projects!$G$18="Yes",Projects!$M$18="Yes",54&gt;=Projects!$C$18,54&lt;Projects!$C$18+Projects!$D$18),Projects!$B$18*INDEX(Curves!$B$4:$AR$4,1,54-Projects!$C$18+1),0)+IF(AND(Projects!$G$19="Yes",Projects!$M$19="Yes",54&gt;=Projects!$C$19,54&lt;Projects!$C$19+Projects!$D$19),Projects!$B$19*INDEX(Curves!$B$4:$AR$4,1,54-Projects!$C$19+1),0)+IF(AND(Projects!$G$20="Yes",Projects!$M$20="Yes",54&gt;=Projects!$C$20,54&lt;Projects!$C$20+Projects!$D$20),Projects!$B$20*INDEX(Curves!$B$4:$AR$4,1,54-Projects!$C$20+1),0)+IF(AND(Projects!$G$21="Yes",Projects!$M$21="Yes",54&gt;=Projects!$C$21,54&lt;Projects!$C$21+Projects!$D$21),Projects!$B$21*INDEX(Curves!$B$4:$AR$4,1,54-Projects!$C$21+1),0)+IF(AND(Projects!$G$22="Yes",Projects!$M$22="Yes",54&gt;=Projects!$C$22,54&lt;Projects!$C$22+Projects!$D$22),Projects!$B$22*INDEX(Curves!$B$4:$AR$4,1,54-Projects!$C$22+1),0)+IF(AND(Projects!$G$23="Yes",Projects!$M$23="Yes",54&gt;=Projects!$C$23,54&lt;Projects!$C$23+Projects!$D$23),Projects!$B$23*INDEX(Curves!$B$4:$AR$4,1,54-Projects!$C$23+1),0)+IF(AND(Projects!$G$24="Yes",Projects!$M$24="Yes",54&gt;=Projects!$C$24,54&lt;Projects!$C$24+Projects!$D$24),Projects!$B$24*INDEX(Curves!$B$4:$AR$4,1,54-Projects!$C$24+1),0)+IF(AND(Projects!$G$25="Yes",Projects!$M$25="Yes",54&gt;=Projects!$C$25,54&lt;Projects!$C$25+Projects!$D$25),Projects!$B$25*INDEX(Curves!$B$4:$AR$4,1,54-Projects!$C$25+1),0)+IF(AND(Projects!$G$26="Yes",Projects!$M$26="Yes",54&gt;=Projects!$C$26,54&lt;Projects!$C$26+Projects!$D$26),Projects!$B$26*INDEX(Curves!$B$4:$AR$4,1,54-Projects!$C$26+1),0)+IF(AND(Projects!$G$27="Yes",Projects!$M$27="Yes",54&gt;=Projects!$C$27,54&lt;Projects!$C$27+Projects!$D$27),Projects!$B$27*INDEX(Curves!$B$4:$AR$4,1,54-Projects!$C$27+1),0)+IF(AND(Projects!$G$28="Yes",Projects!$M$28="Yes",54&gt;=Projects!$C$28,54&lt;Projects!$C$28+Projects!$D$28),Projects!$B$28*INDEX(Curves!$B$4:$AR$4,1,54-Projects!$C$28+1),0)+IF(AND(Projects!$G$29="Yes",Projects!$M$29="Yes",54&gt;=Projects!$C$29,54&lt;Projects!$C$29+Projects!$D$29),Projects!$B$29*INDEX(Curves!$B$4:$AR$4,1,54-Projects!$C$29+1),0)+IF(AND(Projects!$G$30="Yes",Projects!$M$30="Yes",54&gt;=Projects!$C$30,54&lt;Projects!$C$30+Projects!$D$30),Projects!$B$30*INDEX(Curves!$B$4:$AR$4,1,54-Projects!$C$30+1),0)+IF(AND(Projects!$G$31="Yes",Projects!$M$31="Yes",54&gt;=Projects!$C$31,54&lt;Projects!$C$31+Projects!$D$31),Projects!$B$31*INDEX(Curves!$B$4:$AR$4,1,54-Projects!$C$31+1),0)+IF(AND(Projects!$G$32="Yes",Projects!$M$32="Yes",54&gt;=Projects!$C$32,54&lt;Projects!$C$32+Projects!$D$32),Projects!$B$32*INDEX(Curves!$B$4:$AR$4,1,54-Projects!$C$32+1),0)+IF(AND(Projects!$G$33="Yes",Projects!$M$33="Yes",54&gt;=Projects!$C$33,54&lt;Projects!$C$33+Projects!$D$33),Projects!$B$33*INDEX(Curves!$B$4:$AR$4,1,54-Projects!$C$33+1),0)+IF(AND(Projects!$G$34="Yes",Projects!$M$34="Yes",54&gt;=Projects!$C$34,54&lt;Projects!$C$34+Projects!$D$34),Projects!$B$34*INDEX(Curves!$B$4:$AR$4,1,54-Projects!$C$34+1),0)+IF(AND(Projects!$G$35="Yes",Projects!$M$35="Yes",54&gt;=Projects!$C$35,54&lt;Projects!$C$35+Projects!$D$35),Projects!$B$35*INDEX(Curves!$B$4:$AR$4,1,54-Projects!$C$35+1),0)+IF(AND(Projects!$G$36="Yes",Projects!$M$36="Yes",54&gt;=Projects!$C$36,54&lt;Projects!$C$36+Projects!$D$36),Projects!$B$36*INDEX(Curves!$B$4:$AR$4,1,54-Projects!$C$36+1),0)+IF(AND(Projects!$G$37="Yes",Projects!$M$37="Yes",54&gt;=Projects!$C$37,54&lt;Projects!$C$37+Projects!$D$37),Projects!$B$37*INDEX(Curves!$B$4:$AR$4,1,54-Projects!$C$37+1),0)+IF(AND(Projects!$G$38="Yes",Projects!$M$38="Yes",54&gt;=Projects!$C$38,54&lt;Projects!$C$38+Projects!$D$38),Projects!$B$38*INDEX(Curves!$B$4:$AR$4,1,54-Projects!$C$38+1),0)+IF(AND(Projects!$G$39="Yes",Projects!$M$39="Yes",54&gt;=Projects!$C$39,54&lt;Projects!$C$39+Projects!$D$39),Projects!$B$39*INDEX(Curves!$B$4:$AR$4,1,54-Projects!$C$39+1),0)+IF(AND(Projects!$G$40="Yes",Projects!$M$40="Yes",54&gt;=Projects!$C$40,54&lt;Projects!$C$40+Projects!$D$40),Projects!$B$40*INDEX(Curves!$B$4:$AR$4,1,54-Projects!$C$40+1),0)+IF(AND(Projects!$G$41="Yes",Projects!$M$41="Yes",54&gt;=Projects!$C$41,54&lt;Projects!$C$41+Projects!$D$41),Projects!$B$41*INDEX(Curves!$B$4:$AR$4,1,54-Projects!$C$41+1),0)+IF(AND(Projects!$G$42="Yes",Projects!$M$42="Yes",54&gt;=Projects!$C$42,54&lt;Projects!$C$42+Projects!$D$42),Projects!$B$42*INDEX(Curves!$B$4:$AR$4,1,54-Projects!$C$42+1),0)+IF(AND(Projects!$G$43="Yes",Projects!$M$43="Yes",54&gt;=Projects!$C$43,54&lt;Projects!$C$43+Projects!$D$43),Projects!$B$43*INDEX(Curves!$B$4:$AR$4,1,54-Projects!$C$43+1),0)+IF(AND(Projects!$G$44="Yes",Projects!$M$44="Yes",54&gt;=Projects!$C$44,54&lt;Projects!$C$44+Projects!$D$44),Projects!$B$44*INDEX(Curves!$B$4:$AR$4,1,54-Projects!$C$44+1),0)+IF(AND(Projects!$G$45="Yes",Projects!$M$45="Yes",54&gt;=Projects!$C$45,54&lt;Projects!$C$45+Projects!$D$45),Projects!$B$45*INDEX(Curves!$B$4:$AR$4,1,54-Projects!$C$45+1),0)+IF(AND(Projects!$G$46="Yes",Projects!$M$46="Yes",54&gt;=Projects!$C$46,54&lt;Projects!$C$46+Projects!$D$46),Projects!$B$46*INDEX(Curves!$B$4:$AR$4,1,54-Projects!$C$46+1),0)</f>
        <v/>
      </c>
      <c r="BH101" s="691">
        <f>IF(AND(Projects!$G$17="Yes",Projects!$M$17="Yes",55&gt;=Projects!$C$17,55&lt;Projects!$C$17+Projects!$D$17),Projects!$B$17*INDEX(Curves!$B$4:$AR$4,1,55-Projects!$C$17+1),0)+IF(AND(Projects!$G$18="Yes",Projects!$M$18="Yes",55&gt;=Projects!$C$18,55&lt;Projects!$C$18+Projects!$D$18),Projects!$B$18*INDEX(Curves!$B$4:$AR$4,1,55-Projects!$C$18+1),0)+IF(AND(Projects!$G$19="Yes",Projects!$M$19="Yes",55&gt;=Projects!$C$19,55&lt;Projects!$C$19+Projects!$D$19),Projects!$B$19*INDEX(Curves!$B$4:$AR$4,1,55-Projects!$C$19+1),0)+IF(AND(Projects!$G$20="Yes",Projects!$M$20="Yes",55&gt;=Projects!$C$20,55&lt;Projects!$C$20+Projects!$D$20),Projects!$B$20*INDEX(Curves!$B$4:$AR$4,1,55-Projects!$C$20+1),0)+IF(AND(Projects!$G$21="Yes",Projects!$M$21="Yes",55&gt;=Projects!$C$21,55&lt;Projects!$C$21+Projects!$D$21),Projects!$B$21*INDEX(Curves!$B$4:$AR$4,1,55-Projects!$C$21+1),0)+IF(AND(Projects!$G$22="Yes",Projects!$M$22="Yes",55&gt;=Projects!$C$22,55&lt;Projects!$C$22+Projects!$D$22),Projects!$B$22*INDEX(Curves!$B$4:$AR$4,1,55-Projects!$C$22+1),0)+IF(AND(Projects!$G$23="Yes",Projects!$M$23="Yes",55&gt;=Projects!$C$23,55&lt;Projects!$C$23+Projects!$D$23),Projects!$B$23*INDEX(Curves!$B$4:$AR$4,1,55-Projects!$C$23+1),0)+IF(AND(Projects!$G$24="Yes",Projects!$M$24="Yes",55&gt;=Projects!$C$24,55&lt;Projects!$C$24+Projects!$D$24),Projects!$B$24*INDEX(Curves!$B$4:$AR$4,1,55-Projects!$C$24+1),0)+IF(AND(Projects!$G$25="Yes",Projects!$M$25="Yes",55&gt;=Projects!$C$25,55&lt;Projects!$C$25+Projects!$D$25),Projects!$B$25*INDEX(Curves!$B$4:$AR$4,1,55-Projects!$C$25+1),0)+IF(AND(Projects!$G$26="Yes",Projects!$M$26="Yes",55&gt;=Projects!$C$26,55&lt;Projects!$C$26+Projects!$D$26),Projects!$B$26*INDEX(Curves!$B$4:$AR$4,1,55-Projects!$C$26+1),0)+IF(AND(Projects!$G$27="Yes",Projects!$M$27="Yes",55&gt;=Projects!$C$27,55&lt;Projects!$C$27+Projects!$D$27),Projects!$B$27*INDEX(Curves!$B$4:$AR$4,1,55-Projects!$C$27+1),0)+IF(AND(Projects!$G$28="Yes",Projects!$M$28="Yes",55&gt;=Projects!$C$28,55&lt;Projects!$C$28+Projects!$D$28),Projects!$B$28*INDEX(Curves!$B$4:$AR$4,1,55-Projects!$C$28+1),0)+IF(AND(Projects!$G$29="Yes",Projects!$M$29="Yes",55&gt;=Projects!$C$29,55&lt;Projects!$C$29+Projects!$D$29),Projects!$B$29*INDEX(Curves!$B$4:$AR$4,1,55-Projects!$C$29+1),0)+IF(AND(Projects!$G$30="Yes",Projects!$M$30="Yes",55&gt;=Projects!$C$30,55&lt;Projects!$C$30+Projects!$D$30),Projects!$B$30*INDEX(Curves!$B$4:$AR$4,1,55-Projects!$C$30+1),0)+IF(AND(Projects!$G$31="Yes",Projects!$M$31="Yes",55&gt;=Projects!$C$31,55&lt;Projects!$C$31+Projects!$D$31),Projects!$B$31*INDEX(Curves!$B$4:$AR$4,1,55-Projects!$C$31+1),0)+IF(AND(Projects!$G$32="Yes",Projects!$M$32="Yes",55&gt;=Projects!$C$32,55&lt;Projects!$C$32+Projects!$D$32),Projects!$B$32*INDEX(Curves!$B$4:$AR$4,1,55-Projects!$C$32+1),0)+IF(AND(Projects!$G$33="Yes",Projects!$M$33="Yes",55&gt;=Projects!$C$33,55&lt;Projects!$C$33+Projects!$D$33),Projects!$B$33*INDEX(Curves!$B$4:$AR$4,1,55-Projects!$C$33+1),0)+IF(AND(Projects!$G$34="Yes",Projects!$M$34="Yes",55&gt;=Projects!$C$34,55&lt;Projects!$C$34+Projects!$D$34),Projects!$B$34*INDEX(Curves!$B$4:$AR$4,1,55-Projects!$C$34+1),0)+IF(AND(Projects!$G$35="Yes",Projects!$M$35="Yes",55&gt;=Projects!$C$35,55&lt;Projects!$C$35+Projects!$D$35),Projects!$B$35*INDEX(Curves!$B$4:$AR$4,1,55-Projects!$C$35+1),0)+IF(AND(Projects!$G$36="Yes",Projects!$M$36="Yes",55&gt;=Projects!$C$36,55&lt;Projects!$C$36+Projects!$D$36),Projects!$B$36*INDEX(Curves!$B$4:$AR$4,1,55-Projects!$C$36+1),0)+IF(AND(Projects!$G$37="Yes",Projects!$M$37="Yes",55&gt;=Projects!$C$37,55&lt;Projects!$C$37+Projects!$D$37),Projects!$B$37*INDEX(Curves!$B$4:$AR$4,1,55-Projects!$C$37+1),0)+IF(AND(Projects!$G$38="Yes",Projects!$M$38="Yes",55&gt;=Projects!$C$38,55&lt;Projects!$C$38+Projects!$D$38),Projects!$B$38*INDEX(Curves!$B$4:$AR$4,1,55-Projects!$C$38+1),0)+IF(AND(Projects!$G$39="Yes",Projects!$M$39="Yes",55&gt;=Projects!$C$39,55&lt;Projects!$C$39+Projects!$D$39),Projects!$B$39*INDEX(Curves!$B$4:$AR$4,1,55-Projects!$C$39+1),0)+IF(AND(Projects!$G$40="Yes",Projects!$M$40="Yes",55&gt;=Projects!$C$40,55&lt;Projects!$C$40+Projects!$D$40),Projects!$B$40*INDEX(Curves!$B$4:$AR$4,1,55-Projects!$C$40+1),0)+IF(AND(Projects!$G$41="Yes",Projects!$M$41="Yes",55&gt;=Projects!$C$41,55&lt;Projects!$C$41+Projects!$D$41),Projects!$B$41*INDEX(Curves!$B$4:$AR$4,1,55-Projects!$C$41+1),0)+IF(AND(Projects!$G$42="Yes",Projects!$M$42="Yes",55&gt;=Projects!$C$42,55&lt;Projects!$C$42+Projects!$D$42),Projects!$B$42*INDEX(Curves!$B$4:$AR$4,1,55-Projects!$C$42+1),0)+IF(AND(Projects!$G$43="Yes",Projects!$M$43="Yes",55&gt;=Projects!$C$43,55&lt;Projects!$C$43+Projects!$D$43),Projects!$B$43*INDEX(Curves!$B$4:$AR$4,1,55-Projects!$C$43+1),0)+IF(AND(Projects!$G$44="Yes",Projects!$M$44="Yes",55&gt;=Projects!$C$44,55&lt;Projects!$C$44+Projects!$D$44),Projects!$B$44*INDEX(Curves!$B$4:$AR$4,1,55-Projects!$C$44+1),0)+IF(AND(Projects!$G$45="Yes",Projects!$M$45="Yes",55&gt;=Projects!$C$45,55&lt;Projects!$C$45+Projects!$D$45),Projects!$B$45*INDEX(Curves!$B$4:$AR$4,1,55-Projects!$C$45+1),0)+IF(AND(Projects!$G$46="Yes",Projects!$M$46="Yes",55&gt;=Projects!$C$46,55&lt;Projects!$C$46+Projects!$D$46),Projects!$B$46*INDEX(Curves!$B$4:$AR$4,1,55-Projects!$C$46+1),0)</f>
        <v/>
      </c>
      <c r="BI101" s="691">
        <f>IF(AND(Projects!$G$17="Yes",Projects!$M$17="Yes",56&gt;=Projects!$C$17,56&lt;Projects!$C$17+Projects!$D$17),Projects!$B$17*INDEX(Curves!$B$4:$AR$4,1,56-Projects!$C$17+1),0)+IF(AND(Projects!$G$18="Yes",Projects!$M$18="Yes",56&gt;=Projects!$C$18,56&lt;Projects!$C$18+Projects!$D$18),Projects!$B$18*INDEX(Curves!$B$4:$AR$4,1,56-Projects!$C$18+1),0)+IF(AND(Projects!$G$19="Yes",Projects!$M$19="Yes",56&gt;=Projects!$C$19,56&lt;Projects!$C$19+Projects!$D$19),Projects!$B$19*INDEX(Curves!$B$4:$AR$4,1,56-Projects!$C$19+1),0)+IF(AND(Projects!$G$20="Yes",Projects!$M$20="Yes",56&gt;=Projects!$C$20,56&lt;Projects!$C$20+Projects!$D$20),Projects!$B$20*INDEX(Curves!$B$4:$AR$4,1,56-Projects!$C$20+1),0)+IF(AND(Projects!$G$21="Yes",Projects!$M$21="Yes",56&gt;=Projects!$C$21,56&lt;Projects!$C$21+Projects!$D$21),Projects!$B$21*INDEX(Curves!$B$4:$AR$4,1,56-Projects!$C$21+1),0)+IF(AND(Projects!$G$22="Yes",Projects!$M$22="Yes",56&gt;=Projects!$C$22,56&lt;Projects!$C$22+Projects!$D$22),Projects!$B$22*INDEX(Curves!$B$4:$AR$4,1,56-Projects!$C$22+1),0)+IF(AND(Projects!$G$23="Yes",Projects!$M$23="Yes",56&gt;=Projects!$C$23,56&lt;Projects!$C$23+Projects!$D$23),Projects!$B$23*INDEX(Curves!$B$4:$AR$4,1,56-Projects!$C$23+1),0)+IF(AND(Projects!$G$24="Yes",Projects!$M$24="Yes",56&gt;=Projects!$C$24,56&lt;Projects!$C$24+Projects!$D$24),Projects!$B$24*INDEX(Curves!$B$4:$AR$4,1,56-Projects!$C$24+1),0)+IF(AND(Projects!$G$25="Yes",Projects!$M$25="Yes",56&gt;=Projects!$C$25,56&lt;Projects!$C$25+Projects!$D$25),Projects!$B$25*INDEX(Curves!$B$4:$AR$4,1,56-Projects!$C$25+1),0)+IF(AND(Projects!$G$26="Yes",Projects!$M$26="Yes",56&gt;=Projects!$C$26,56&lt;Projects!$C$26+Projects!$D$26),Projects!$B$26*INDEX(Curves!$B$4:$AR$4,1,56-Projects!$C$26+1),0)+IF(AND(Projects!$G$27="Yes",Projects!$M$27="Yes",56&gt;=Projects!$C$27,56&lt;Projects!$C$27+Projects!$D$27),Projects!$B$27*INDEX(Curves!$B$4:$AR$4,1,56-Projects!$C$27+1),0)+IF(AND(Projects!$G$28="Yes",Projects!$M$28="Yes",56&gt;=Projects!$C$28,56&lt;Projects!$C$28+Projects!$D$28),Projects!$B$28*INDEX(Curves!$B$4:$AR$4,1,56-Projects!$C$28+1),0)+IF(AND(Projects!$G$29="Yes",Projects!$M$29="Yes",56&gt;=Projects!$C$29,56&lt;Projects!$C$29+Projects!$D$29),Projects!$B$29*INDEX(Curves!$B$4:$AR$4,1,56-Projects!$C$29+1),0)+IF(AND(Projects!$G$30="Yes",Projects!$M$30="Yes",56&gt;=Projects!$C$30,56&lt;Projects!$C$30+Projects!$D$30),Projects!$B$30*INDEX(Curves!$B$4:$AR$4,1,56-Projects!$C$30+1),0)+IF(AND(Projects!$G$31="Yes",Projects!$M$31="Yes",56&gt;=Projects!$C$31,56&lt;Projects!$C$31+Projects!$D$31),Projects!$B$31*INDEX(Curves!$B$4:$AR$4,1,56-Projects!$C$31+1),0)+IF(AND(Projects!$G$32="Yes",Projects!$M$32="Yes",56&gt;=Projects!$C$32,56&lt;Projects!$C$32+Projects!$D$32),Projects!$B$32*INDEX(Curves!$B$4:$AR$4,1,56-Projects!$C$32+1),0)+IF(AND(Projects!$G$33="Yes",Projects!$M$33="Yes",56&gt;=Projects!$C$33,56&lt;Projects!$C$33+Projects!$D$33),Projects!$B$33*INDEX(Curves!$B$4:$AR$4,1,56-Projects!$C$33+1),0)+IF(AND(Projects!$G$34="Yes",Projects!$M$34="Yes",56&gt;=Projects!$C$34,56&lt;Projects!$C$34+Projects!$D$34),Projects!$B$34*INDEX(Curves!$B$4:$AR$4,1,56-Projects!$C$34+1),0)+IF(AND(Projects!$G$35="Yes",Projects!$M$35="Yes",56&gt;=Projects!$C$35,56&lt;Projects!$C$35+Projects!$D$35),Projects!$B$35*INDEX(Curves!$B$4:$AR$4,1,56-Projects!$C$35+1),0)+IF(AND(Projects!$G$36="Yes",Projects!$M$36="Yes",56&gt;=Projects!$C$36,56&lt;Projects!$C$36+Projects!$D$36),Projects!$B$36*INDEX(Curves!$B$4:$AR$4,1,56-Projects!$C$36+1),0)+IF(AND(Projects!$G$37="Yes",Projects!$M$37="Yes",56&gt;=Projects!$C$37,56&lt;Projects!$C$37+Projects!$D$37),Projects!$B$37*INDEX(Curves!$B$4:$AR$4,1,56-Projects!$C$37+1),0)+IF(AND(Projects!$G$38="Yes",Projects!$M$38="Yes",56&gt;=Projects!$C$38,56&lt;Projects!$C$38+Projects!$D$38),Projects!$B$38*INDEX(Curves!$B$4:$AR$4,1,56-Projects!$C$38+1),0)+IF(AND(Projects!$G$39="Yes",Projects!$M$39="Yes",56&gt;=Projects!$C$39,56&lt;Projects!$C$39+Projects!$D$39),Projects!$B$39*INDEX(Curves!$B$4:$AR$4,1,56-Projects!$C$39+1),0)+IF(AND(Projects!$G$40="Yes",Projects!$M$40="Yes",56&gt;=Projects!$C$40,56&lt;Projects!$C$40+Projects!$D$40),Projects!$B$40*INDEX(Curves!$B$4:$AR$4,1,56-Projects!$C$40+1),0)+IF(AND(Projects!$G$41="Yes",Projects!$M$41="Yes",56&gt;=Projects!$C$41,56&lt;Projects!$C$41+Projects!$D$41),Projects!$B$41*INDEX(Curves!$B$4:$AR$4,1,56-Projects!$C$41+1),0)+IF(AND(Projects!$G$42="Yes",Projects!$M$42="Yes",56&gt;=Projects!$C$42,56&lt;Projects!$C$42+Projects!$D$42),Projects!$B$42*INDEX(Curves!$B$4:$AR$4,1,56-Projects!$C$42+1),0)+IF(AND(Projects!$G$43="Yes",Projects!$M$43="Yes",56&gt;=Projects!$C$43,56&lt;Projects!$C$43+Projects!$D$43),Projects!$B$43*INDEX(Curves!$B$4:$AR$4,1,56-Projects!$C$43+1),0)+IF(AND(Projects!$G$44="Yes",Projects!$M$44="Yes",56&gt;=Projects!$C$44,56&lt;Projects!$C$44+Projects!$D$44),Projects!$B$44*INDEX(Curves!$B$4:$AR$4,1,56-Projects!$C$44+1),0)+IF(AND(Projects!$G$45="Yes",Projects!$M$45="Yes",56&gt;=Projects!$C$45,56&lt;Projects!$C$45+Projects!$D$45),Projects!$B$45*INDEX(Curves!$B$4:$AR$4,1,56-Projects!$C$45+1),0)+IF(AND(Projects!$G$46="Yes",Projects!$M$46="Yes",56&gt;=Projects!$C$46,56&lt;Projects!$C$46+Projects!$D$46),Projects!$B$46*INDEX(Curves!$B$4:$AR$4,1,56-Projects!$C$46+1),0)</f>
        <v/>
      </c>
      <c r="BJ101" s="691">
        <f>IF(AND(Projects!$G$17="Yes",Projects!$M$17="Yes",57&gt;=Projects!$C$17,57&lt;Projects!$C$17+Projects!$D$17),Projects!$B$17*INDEX(Curves!$B$4:$AR$4,1,57-Projects!$C$17+1),0)+IF(AND(Projects!$G$18="Yes",Projects!$M$18="Yes",57&gt;=Projects!$C$18,57&lt;Projects!$C$18+Projects!$D$18),Projects!$B$18*INDEX(Curves!$B$4:$AR$4,1,57-Projects!$C$18+1),0)+IF(AND(Projects!$G$19="Yes",Projects!$M$19="Yes",57&gt;=Projects!$C$19,57&lt;Projects!$C$19+Projects!$D$19),Projects!$B$19*INDEX(Curves!$B$4:$AR$4,1,57-Projects!$C$19+1),0)+IF(AND(Projects!$G$20="Yes",Projects!$M$20="Yes",57&gt;=Projects!$C$20,57&lt;Projects!$C$20+Projects!$D$20),Projects!$B$20*INDEX(Curves!$B$4:$AR$4,1,57-Projects!$C$20+1),0)+IF(AND(Projects!$G$21="Yes",Projects!$M$21="Yes",57&gt;=Projects!$C$21,57&lt;Projects!$C$21+Projects!$D$21),Projects!$B$21*INDEX(Curves!$B$4:$AR$4,1,57-Projects!$C$21+1),0)+IF(AND(Projects!$G$22="Yes",Projects!$M$22="Yes",57&gt;=Projects!$C$22,57&lt;Projects!$C$22+Projects!$D$22),Projects!$B$22*INDEX(Curves!$B$4:$AR$4,1,57-Projects!$C$22+1),0)+IF(AND(Projects!$G$23="Yes",Projects!$M$23="Yes",57&gt;=Projects!$C$23,57&lt;Projects!$C$23+Projects!$D$23),Projects!$B$23*INDEX(Curves!$B$4:$AR$4,1,57-Projects!$C$23+1),0)+IF(AND(Projects!$G$24="Yes",Projects!$M$24="Yes",57&gt;=Projects!$C$24,57&lt;Projects!$C$24+Projects!$D$24),Projects!$B$24*INDEX(Curves!$B$4:$AR$4,1,57-Projects!$C$24+1),0)+IF(AND(Projects!$G$25="Yes",Projects!$M$25="Yes",57&gt;=Projects!$C$25,57&lt;Projects!$C$25+Projects!$D$25),Projects!$B$25*INDEX(Curves!$B$4:$AR$4,1,57-Projects!$C$25+1),0)+IF(AND(Projects!$G$26="Yes",Projects!$M$26="Yes",57&gt;=Projects!$C$26,57&lt;Projects!$C$26+Projects!$D$26),Projects!$B$26*INDEX(Curves!$B$4:$AR$4,1,57-Projects!$C$26+1),0)+IF(AND(Projects!$G$27="Yes",Projects!$M$27="Yes",57&gt;=Projects!$C$27,57&lt;Projects!$C$27+Projects!$D$27),Projects!$B$27*INDEX(Curves!$B$4:$AR$4,1,57-Projects!$C$27+1),0)+IF(AND(Projects!$G$28="Yes",Projects!$M$28="Yes",57&gt;=Projects!$C$28,57&lt;Projects!$C$28+Projects!$D$28),Projects!$B$28*INDEX(Curves!$B$4:$AR$4,1,57-Projects!$C$28+1),0)+IF(AND(Projects!$G$29="Yes",Projects!$M$29="Yes",57&gt;=Projects!$C$29,57&lt;Projects!$C$29+Projects!$D$29),Projects!$B$29*INDEX(Curves!$B$4:$AR$4,1,57-Projects!$C$29+1),0)+IF(AND(Projects!$G$30="Yes",Projects!$M$30="Yes",57&gt;=Projects!$C$30,57&lt;Projects!$C$30+Projects!$D$30),Projects!$B$30*INDEX(Curves!$B$4:$AR$4,1,57-Projects!$C$30+1),0)+IF(AND(Projects!$G$31="Yes",Projects!$M$31="Yes",57&gt;=Projects!$C$31,57&lt;Projects!$C$31+Projects!$D$31),Projects!$B$31*INDEX(Curves!$B$4:$AR$4,1,57-Projects!$C$31+1),0)+IF(AND(Projects!$G$32="Yes",Projects!$M$32="Yes",57&gt;=Projects!$C$32,57&lt;Projects!$C$32+Projects!$D$32),Projects!$B$32*INDEX(Curves!$B$4:$AR$4,1,57-Projects!$C$32+1),0)+IF(AND(Projects!$G$33="Yes",Projects!$M$33="Yes",57&gt;=Projects!$C$33,57&lt;Projects!$C$33+Projects!$D$33),Projects!$B$33*INDEX(Curves!$B$4:$AR$4,1,57-Projects!$C$33+1),0)+IF(AND(Projects!$G$34="Yes",Projects!$M$34="Yes",57&gt;=Projects!$C$34,57&lt;Projects!$C$34+Projects!$D$34),Projects!$B$34*INDEX(Curves!$B$4:$AR$4,1,57-Projects!$C$34+1),0)+IF(AND(Projects!$G$35="Yes",Projects!$M$35="Yes",57&gt;=Projects!$C$35,57&lt;Projects!$C$35+Projects!$D$35),Projects!$B$35*INDEX(Curves!$B$4:$AR$4,1,57-Projects!$C$35+1),0)+IF(AND(Projects!$G$36="Yes",Projects!$M$36="Yes",57&gt;=Projects!$C$36,57&lt;Projects!$C$36+Projects!$D$36),Projects!$B$36*INDEX(Curves!$B$4:$AR$4,1,57-Projects!$C$36+1),0)+IF(AND(Projects!$G$37="Yes",Projects!$M$37="Yes",57&gt;=Projects!$C$37,57&lt;Projects!$C$37+Projects!$D$37),Projects!$B$37*INDEX(Curves!$B$4:$AR$4,1,57-Projects!$C$37+1),0)+IF(AND(Projects!$G$38="Yes",Projects!$M$38="Yes",57&gt;=Projects!$C$38,57&lt;Projects!$C$38+Projects!$D$38),Projects!$B$38*INDEX(Curves!$B$4:$AR$4,1,57-Projects!$C$38+1),0)+IF(AND(Projects!$G$39="Yes",Projects!$M$39="Yes",57&gt;=Projects!$C$39,57&lt;Projects!$C$39+Projects!$D$39),Projects!$B$39*INDEX(Curves!$B$4:$AR$4,1,57-Projects!$C$39+1),0)+IF(AND(Projects!$G$40="Yes",Projects!$M$40="Yes",57&gt;=Projects!$C$40,57&lt;Projects!$C$40+Projects!$D$40),Projects!$B$40*INDEX(Curves!$B$4:$AR$4,1,57-Projects!$C$40+1),0)+IF(AND(Projects!$G$41="Yes",Projects!$M$41="Yes",57&gt;=Projects!$C$41,57&lt;Projects!$C$41+Projects!$D$41),Projects!$B$41*INDEX(Curves!$B$4:$AR$4,1,57-Projects!$C$41+1),0)+IF(AND(Projects!$G$42="Yes",Projects!$M$42="Yes",57&gt;=Projects!$C$42,57&lt;Projects!$C$42+Projects!$D$42),Projects!$B$42*INDEX(Curves!$B$4:$AR$4,1,57-Projects!$C$42+1),0)+IF(AND(Projects!$G$43="Yes",Projects!$M$43="Yes",57&gt;=Projects!$C$43,57&lt;Projects!$C$43+Projects!$D$43),Projects!$B$43*INDEX(Curves!$B$4:$AR$4,1,57-Projects!$C$43+1),0)+IF(AND(Projects!$G$44="Yes",Projects!$M$44="Yes",57&gt;=Projects!$C$44,57&lt;Projects!$C$44+Projects!$D$44),Projects!$B$44*INDEX(Curves!$B$4:$AR$4,1,57-Projects!$C$44+1),0)+IF(AND(Projects!$G$45="Yes",Projects!$M$45="Yes",57&gt;=Projects!$C$45,57&lt;Projects!$C$45+Projects!$D$45),Projects!$B$45*INDEX(Curves!$B$4:$AR$4,1,57-Projects!$C$45+1),0)+IF(AND(Projects!$G$46="Yes",Projects!$M$46="Yes",57&gt;=Projects!$C$46,57&lt;Projects!$C$46+Projects!$D$46),Projects!$B$46*INDEX(Curves!$B$4:$AR$4,1,57-Projects!$C$46+1),0)</f>
        <v/>
      </c>
      <c r="BK101" s="691">
        <f>IF(AND(Projects!$G$17="Yes",Projects!$M$17="Yes",58&gt;=Projects!$C$17,58&lt;Projects!$C$17+Projects!$D$17),Projects!$B$17*INDEX(Curves!$B$4:$AR$4,1,58-Projects!$C$17+1),0)+IF(AND(Projects!$G$18="Yes",Projects!$M$18="Yes",58&gt;=Projects!$C$18,58&lt;Projects!$C$18+Projects!$D$18),Projects!$B$18*INDEX(Curves!$B$4:$AR$4,1,58-Projects!$C$18+1),0)+IF(AND(Projects!$G$19="Yes",Projects!$M$19="Yes",58&gt;=Projects!$C$19,58&lt;Projects!$C$19+Projects!$D$19),Projects!$B$19*INDEX(Curves!$B$4:$AR$4,1,58-Projects!$C$19+1),0)+IF(AND(Projects!$G$20="Yes",Projects!$M$20="Yes",58&gt;=Projects!$C$20,58&lt;Projects!$C$20+Projects!$D$20),Projects!$B$20*INDEX(Curves!$B$4:$AR$4,1,58-Projects!$C$20+1),0)+IF(AND(Projects!$G$21="Yes",Projects!$M$21="Yes",58&gt;=Projects!$C$21,58&lt;Projects!$C$21+Projects!$D$21),Projects!$B$21*INDEX(Curves!$B$4:$AR$4,1,58-Projects!$C$21+1),0)+IF(AND(Projects!$G$22="Yes",Projects!$M$22="Yes",58&gt;=Projects!$C$22,58&lt;Projects!$C$22+Projects!$D$22),Projects!$B$22*INDEX(Curves!$B$4:$AR$4,1,58-Projects!$C$22+1),0)+IF(AND(Projects!$G$23="Yes",Projects!$M$23="Yes",58&gt;=Projects!$C$23,58&lt;Projects!$C$23+Projects!$D$23),Projects!$B$23*INDEX(Curves!$B$4:$AR$4,1,58-Projects!$C$23+1),0)+IF(AND(Projects!$G$24="Yes",Projects!$M$24="Yes",58&gt;=Projects!$C$24,58&lt;Projects!$C$24+Projects!$D$24),Projects!$B$24*INDEX(Curves!$B$4:$AR$4,1,58-Projects!$C$24+1),0)+IF(AND(Projects!$G$25="Yes",Projects!$M$25="Yes",58&gt;=Projects!$C$25,58&lt;Projects!$C$25+Projects!$D$25),Projects!$B$25*INDEX(Curves!$B$4:$AR$4,1,58-Projects!$C$25+1),0)+IF(AND(Projects!$G$26="Yes",Projects!$M$26="Yes",58&gt;=Projects!$C$26,58&lt;Projects!$C$26+Projects!$D$26),Projects!$B$26*INDEX(Curves!$B$4:$AR$4,1,58-Projects!$C$26+1),0)+IF(AND(Projects!$G$27="Yes",Projects!$M$27="Yes",58&gt;=Projects!$C$27,58&lt;Projects!$C$27+Projects!$D$27),Projects!$B$27*INDEX(Curves!$B$4:$AR$4,1,58-Projects!$C$27+1),0)+IF(AND(Projects!$G$28="Yes",Projects!$M$28="Yes",58&gt;=Projects!$C$28,58&lt;Projects!$C$28+Projects!$D$28),Projects!$B$28*INDEX(Curves!$B$4:$AR$4,1,58-Projects!$C$28+1),0)+IF(AND(Projects!$G$29="Yes",Projects!$M$29="Yes",58&gt;=Projects!$C$29,58&lt;Projects!$C$29+Projects!$D$29),Projects!$B$29*INDEX(Curves!$B$4:$AR$4,1,58-Projects!$C$29+1),0)+IF(AND(Projects!$G$30="Yes",Projects!$M$30="Yes",58&gt;=Projects!$C$30,58&lt;Projects!$C$30+Projects!$D$30),Projects!$B$30*INDEX(Curves!$B$4:$AR$4,1,58-Projects!$C$30+1),0)+IF(AND(Projects!$G$31="Yes",Projects!$M$31="Yes",58&gt;=Projects!$C$31,58&lt;Projects!$C$31+Projects!$D$31),Projects!$B$31*INDEX(Curves!$B$4:$AR$4,1,58-Projects!$C$31+1),0)+IF(AND(Projects!$G$32="Yes",Projects!$M$32="Yes",58&gt;=Projects!$C$32,58&lt;Projects!$C$32+Projects!$D$32),Projects!$B$32*INDEX(Curves!$B$4:$AR$4,1,58-Projects!$C$32+1),0)+IF(AND(Projects!$G$33="Yes",Projects!$M$33="Yes",58&gt;=Projects!$C$33,58&lt;Projects!$C$33+Projects!$D$33),Projects!$B$33*INDEX(Curves!$B$4:$AR$4,1,58-Projects!$C$33+1),0)+IF(AND(Projects!$G$34="Yes",Projects!$M$34="Yes",58&gt;=Projects!$C$34,58&lt;Projects!$C$34+Projects!$D$34),Projects!$B$34*INDEX(Curves!$B$4:$AR$4,1,58-Projects!$C$34+1),0)+IF(AND(Projects!$G$35="Yes",Projects!$M$35="Yes",58&gt;=Projects!$C$35,58&lt;Projects!$C$35+Projects!$D$35),Projects!$B$35*INDEX(Curves!$B$4:$AR$4,1,58-Projects!$C$35+1),0)+IF(AND(Projects!$G$36="Yes",Projects!$M$36="Yes",58&gt;=Projects!$C$36,58&lt;Projects!$C$36+Projects!$D$36),Projects!$B$36*INDEX(Curves!$B$4:$AR$4,1,58-Projects!$C$36+1),0)+IF(AND(Projects!$G$37="Yes",Projects!$M$37="Yes",58&gt;=Projects!$C$37,58&lt;Projects!$C$37+Projects!$D$37),Projects!$B$37*INDEX(Curves!$B$4:$AR$4,1,58-Projects!$C$37+1),0)+IF(AND(Projects!$G$38="Yes",Projects!$M$38="Yes",58&gt;=Projects!$C$38,58&lt;Projects!$C$38+Projects!$D$38),Projects!$B$38*INDEX(Curves!$B$4:$AR$4,1,58-Projects!$C$38+1),0)+IF(AND(Projects!$G$39="Yes",Projects!$M$39="Yes",58&gt;=Projects!$C$39,58&lt;Projects!$C$39+Projects!$D$39),Projects!$B$39*INDEX(Curves!$B$4:$AR$4,1,58-Projects!$C$39+1),0)+IF(AND(Projects!$G$40="Yes",Projects!$M$40="Yes",58&gt;=Projects!$C$40,58&lt;Projects!$C$40+Projects!$D$40),Projects!$B$40*INDEX(Curves!$B$4:$AR$4,1,58-Projects!$C$40+1),0)+IF(AND(Projects!$G$41="Yes",Projects!$M$41="Yes",58&gt;=Projects!$C$41,58&lt;Projects!$C$41+Projects!$D$41),Projects!$B$41*INDEX(Curves!$B$4:$AR$4,1,58-Projects!$C$41+1),0)+IF(AND(Projects!$G$42="Yes",Projects!$M$42="Yes",58&gt;=Projects!$C$42,58&lt;Projects!$C$42+Projects!$D$42),Projects!$B$42*INDEX(Curves!$B$4:$AR$4,1,58-Projects!$C$42+1),0)+IF(AND(Projects!$G$43="Yes",Projects!$M$43="Yes",58&gt;=Projects!$C$43,58&lt;Projects!$C$43+Projects!$D$43),Projects!$B$43*INDEX(Curves!$B$4:$AR$4,1,58-Projects!$C$43+1),0)+IF(AND(Projects!$G$44="Yes",Projects!$M$44="Yes",58&gt;=Projects!$C$44,58&lt;Projects!$C$44+Projects!$D$44),Projects!$B$44*INDEX(Curves!$B$4:$AR$4,1,58-Projects!$C$44+1),0)+IF(AND(Projects!$G$45="Yes",Projects!$M$45="Yes",58&gt;=Projects!$C$45,58&lt;Projects!$C$45+Projects!$D$45),Projects!$B$45*INDEX(Curves!$B$4:$AR$4,1,58-Projects!$C$45+1),0)+IF(AND(Projects!$G$46="Yes",Projects!$M$46="Yes",58&gt;=Projects!$C$46,58&lt;Projects!$C$46+Projects!$D$46),Projects!$B$46*INDEX(Curves!$B$4:$AR$4,1,58-Projects!$C$46+1),0)</f>
        <v/>
      </c>
      <c r="BL101" s="691">
        <f>IF(AND(Projects!$G$17="Yes",Projects!$M$17="Yes",59&gt;=Projects!$C$17,59&lt;Projects!$C$17+Projects!$D$17),Projects!$B$17*INDEX(Curves!$B$4:$AR$4,1,59-Projects!$C$17+1),0)+IF(AND(Projects!$G$18="Yes",Projects!$M$18="Yes",59&gt;=Projects!$C$18,59&lt;Projects!$C$18+Projects!$D$18),Projects!$B$18*INDEX(Curves!$B$4:$AR$4,1,59-Projects!$C$18+1),0)+IF(AND(Projects!$G$19="Yes",Projects!$M$19="Yes",59&gt;=Projects!$C$19,59&lt;Projects!$C$19+Projects!$D$19),Projects!$B$19*INDEX(Curves!$B$4:$AR$4,1,59-Projects!$C$19+1),0)+IF(AND(Projects!$G$20="Yes",Projects!$M$20="Yes",59&gt;=Projects!$C$20,59&lt;Projects!$C$20+Projects!$D$20),Projects!$B$20*INDEX(Curves!$B$4:$AR$4,1,59-Projects!$C$20+1),0)+IF(AND(Projects!$G$21="Yes",Projects!$M$21="Yes",59&gt;=Projects!$C$21,59&lt;Projects!$C$21+Projects!$D$21),Projects!$B$21*INDEX(Curves!$B$4:$AR$4,1,59-Projects!$C$21+1),0)+IF(AND(Projects!$G$22="Yes",Projects!$M$22="Yes",59&gt;=Projects!$C$22,59&lt;Projects!$C$22+Projects!$D$22),Projects!$B$22*INDEX(Curves!$B$4:$AR$4,1,59-Projects!$C$22+1),0)+IF(AND(Projects!$G$23="Yes",Projects!$M$23="Yes",59&gt;=Projects!$C$23,59&lt;Projects!$C$23+Projects!$D$23),Projects!$B$23*INDEX(Curves!$B$4:$AR$4,1,59-Projects!$C$23+1),0)+IF(AND(Projects!$G$24="Yes",Projects!$M$24="Yes",59&gt;=Projects!$C$24,59&lt;Projects!$C$24+Projects!$D$24),Projects!$B$24*INDEX(Curves!$B$4:$AR$4,1,59-Projects!$C$24+1),0)+IF(AND(Projects!$G$25="Yes",Projects!$M$25="Yes",59&gt;=Projects!$C$25,59&lt;Projects!$C$25+Projects!$D$25),Projects!$B$25*INDEX(Curves!$B$4:$AR$4,1,59-Projects!$C$25+1),0)+IF(AND(Projects!$G$26="Yes",Projects!$M$26="Yes",59&gt;=Projects!$C$26,59&lt;Projects!$C$26+Projects!$D$26),Projects!$B$26*INDEX(Curves!$B$4:$AR$4,1,59-Projects!$C$26+1),0)+IF(AND(Projects!$G$27="Yes",Projects!$M$27="Yes",59&gt;=Projects!$C$27,59&lt;Projects!$C$27+Projects!$D$27),Projects!$B$27*INDEX(Curves!$B$4:$AR$4,1,59-Projects!$C$27+1),0)+IF(AND(Projects!$G$28="Yes",Projects!$M$28="Yes",59&gt;=Projects!$C$28,59&lt;Projects!$C$28+Projects!$D$28),Projects!$B$28*INDEX(Curves!$B$4:$AR$4,1,59-Projects!$C$28+1),0)+IF(AND(Projects!$G$29="Yes",Projects!$M$29="Yes",59&gt;=Projects!$C$29,59&lt;Projects!$C$29+Projects!$D$29),Projects!$B$29*INDEX(Curves!$B$4:$AR$4,1,59-Projects!$C$29+1),0)+IF(AND(Projects!$G$30="Yes",Projects!$M$30="Yes",59&gt;=Projects!$C$30,59&lt;Projects!$C$30+Projects!$D$30),Projects!$B$30*INDEX(Curves!$B$4:$AR$4,1,59-Projects!$C$30+1),0)+IF(AND(Projects!$G$31="Yes",Projects!$M$31="Yes",59&gt;=Projects!$C$31,59&lt;Projects!$C$31+Projects!$D$31),Projects!$B$31*INDEX(Curves!$B$4:$AR$4,1,59-Projects!$C$31+1),0)+IF(AND(Projects!$G$32="Yes",Projects!$M$32="Yes",59&gt;=Projects!$C$32,59&lt;Projects!$C$32+Projects!$D$32),Projects!$B$32*INDEX(Curves!$B$4:$AR$4,1,59-Projects!$C$32+1),0)+IF(AND(Projects!$G$33="Yes",Projects!$M$33="Yes",59&gt;=Projects!$C$33,59&lt;Projects!$C$33+Projects!$D$33),Projects!$B$33*INDEX(Curves!$B$4:$AR$4,1,59-Projects!$C$33+1),0)+IF(AND(Projects!$G$34="Yes",Projects!$M$34="Yes",59&gt;=Projects!$C$34,59&lt;Projects!$C$34+Projects!$D$34),Projects!$B$34*INDEX(Curves!$B$4:$AR$4,1,59-Projects!$C$34+1),0)+IF(AND(Projects!$G$35="Yes",Projects!$M$35="Yes",59&gt;=Projects!$C$35,59&lt;Projects!$C$35+Projects!$D$35),Projects!$B$35*INDEX(Curves!$B$4:$AR$4,1,59-Projects!$C$35+1),0)+IF(AND(Projects!$G$36="Yes",Projects!$M$36="Yes",59&gt;=Projects!$C$36,59&lt;Projects!$C$36+Projects!$D$36),Projects!$B$36*INDEX(Curves!$B$4:$AR$4,1,59-Projects!$C$36+1),0)+IF(AND(Projects!$G$37="Yes",Projects!$M$37="Yes",59&gt;=Projects!$C$37,59&lt;Projects!$C$37+Projects!$D$37),Projects!$B$37*INDEX(Curves!$B$4:$AR$4,1,59-Projects!$C$37+1),0)+IF(AND(Projects!$G$38="Yes",Projects!$M$38="Yes",59&gt;=Projects!$C$38,59&lt;Projects!$C$38+Projects!$D$38),Projects!$B$38*INDEX(Curves!$B$4:$AR$4,1,59-Projects!$C$38+1),0)+IF(AND(Projects!$G$39="Yes",Projects!$M$39="Yes",59&gt;=Projects!$C$39,59&lt;Projects!$C$39+Projects!$D$39),Projects!$B$39*INDEX(Curves!$B$4:$AR$4,1,59-Projects!$C$39+1),0)+IF(AND(Projects!$G$40="Yes",Projects!$M$40="Yes",59&gt;=Projects!$C$40,59&lt;Projects!$C$40+Projects!$D$40),Projects!$B$40*INDEX(Curves!$B$4:$AR$4,1,59-Projects!$C$40+1),0)+IF(AND(Projects!$G$41="Yes",Projects!$M$41="Yes",59&gt;=Projects!$C$41,59&lt;Projects!$C$41+Projects!$D$41),Projects!$B$41*INDEX(Curves!$B$4:$AR$4,1,59-Projects!$C$41+1),0)+IF(AND(Projects!$G$42="Yes",Projects!$M$42="Yes",59&gt;=Projects!$C$42,59&lt;Projects!$C$42+Projects!$D$42),Projects!$B$42*INDEX(Curves!$B$4:$AR$4,1,59-Projects!$C$42+1),0)+IF(AND(Projects!$G$43="Yes",Projects!$M$43="Yes",59&gt;=Projects!$C$43,59&lt;Projects!$C$43+Projects!$D$43),Projects!$B$43*INDEX(Curves!$B$4:$AR$4,1,59-Projects!$C$43+1),0)+IF(AND(Projects!$G$44="Yes",Projects!$M$44="Yes",59&gt;=Projects!$C$44,59&lt;Projects!$C$44+Projects!$D$44),Projects!$B$44*INDEX(Curves!$B$4:$AR$4,1,59-Projects!$C$44+1),0)+IF(AND(Projects!$G$45="Yes",Projects!$M$45="Yes",59&gt;=Projects!$C$45,59&lt;Projects!$C$45+Projects!$D$45),Projects!$B$45*INDEX(Curves!$B$4:$AR$4,1,59-Projects!$C$45+1),0)+IF(AND(Projects!$G$46="Yes",Projects!$M$46="Yes",59&gt;=Projects!$C$46,59&lt;Projects!$C$46+Projects!$D$46),Projects!$B$46*INDEX(Curves!$B$4:$AR$4,1,59-Projects!$C$46+1),0)</f>
        <v/>
      </c>
      <c r="BM101" s="691">
        <f>IF(AND(Projects!$G$17="Yes",Projects!$M$17="Yes",60&gt;=Projects!$C$17,60&lt;Projects!$C$17+Projects!$D$17),Projects!$B$17*INDEX(Curves!$B$4:$AR$4,1,60-Projects!$C$17+1),0)+IF(AND(Projects!$G$18="Yes",Projects!$M$18="Yes",60&gt;=Projects!$C$18,60&lt;Projects!$C$18+Projects!$D$18),Projects!$B$18*INDEX(Curves!$B$4:$AR$4,1,60-Projects!$C$18+1),0)+IF(AND(Projects!$G$19="Yes",Projects!$M$19="Yes",60&gt;=Projects!$C$19,60&lt;Projects!$C$19+Projects!$D$19),Projects!$B$19*INDEX(Curves!$B$4:$AR$4,1,60-Projects!$C$19+1),0)+IF(AND(Projects!$G$20="Yes",Projects!$M$20="Yes",60&gt;=Projects!$C$20,60&lt;Projects!$C$20+Projects!$D$20),Projects!$B$20*INDEX(Curves!$B$4:$AR$4,1,60-Projects!$C$20+1),0)+IF(AND(Projects!$G$21="Yes",Projects!$M$21="Yes",60&gt;=Projects!$C$21,60&lt;Projects!$C$21+Projects!$D$21),Projects!$B$21*INDEX(Curves!$B$4:$AR$4,1,60-Projects!$C$21+1),0)+IF(AND(Projects!$G$22="Yes",Projects!$M$22="Yes",60&gt;=Projects!$C$22,60&lt;Projects!$C$22+Projects!$D$22),Projects!$B$22*INDEX(Curves!$B$4:$AR$4,1,60-Projects!$C$22+1),0)+IF(AND(Projects!$G$23="Yes",Projects!$M$23="Yes",60&gt;=Projects!$C$23,60&lt;Projects!$C$23+Projects!$D$23),Projects!$B$23*INDEX(Curves!$B$4:$AR$4,1,60-Projects!$C$23+1),0)+IF(AND(Projects!$G$24="Yes",Projects!$M$24="Yes",60&gt;=Projects!$C$24,60&lt;Projects!$C$24+Projects!$D$24),Projects!$B$24*INDEX(Curves!$B$4:$AR$4,1,60-Projects!$C$24+1),0)+IF(AND(Projects!$G$25="Yes",Projects!$M$25="Yes",60&gt;=Projects!$C$25,60&lt;Projects!$C$25+Projects!$D$25),Projects!$B$25*INDEX(Curves!$B$4:$AR$4,1,60-Projects!$C$25+1),0)+IF(AND(Projects!$G$26="Yes",Projects!$M$26="Yes",60&gt;=Projects!$C$26,60&lt;Projects!$C$26+Projects!$D$26),Projects!$B$26*INDEX(Curves!$B$4:$AR$4,1,60-Projects!$C$26+1),0)+IF(AND(Projects!$G$27="Yes",Projects!$M$27="Yes",60&gt;=Projects!$C$27,60&lt;Projects!$C$27+Projects!$D$27),Projects!$B$27*INDEX(Curves!$B$4:$AR$4,1,60-Projects!$C$27+1),0)+IF(AND(Projects!$G$28="Yes",Projects!$M$28="Yes",60&gt;=Projects!$C$28,60&lt;Projects!$C$28+Projects!$D$28),Projects!$B$28*INDEX(Curves!$B$4:$AR$4,1,60-Projects!$C$28+1),0)+IF(AND(Projects!$G$29="Yes",Projects!$M$29="Yes",60&gt;=Projects!$C$29,60&lt;Projects!$C$29+Projects!$D$29),Projects!$B$29*INDEX(Curves!$B$4:$AR$4,1,60-Projects!$C$29+1),0)+IF(AND(Projects!$G$30="Yes",Projects!$M$30="Yes",60&gt;=Projects!$C$30,60&lt;Projects!$C$30+Projects!$D$30),Projects!$B$30*INDEX(Curves!$B$4:$AR$4,1,60-Projects!$C$30+1),0)+IF(AND(Projects!$G$31="Yes",Projects!$M$31="Yes",60&gt;=Projects!$C$31,60&lt;Projects!$C$31+Projects!$D$31),Projects!$B$31*INDEX(Curves!$B$4:$AR$4,1,60-Projects!$C$31+1),0)+IF(AND(Projects!$G$32="Yes",Projects!$M$32="Yes",60&gt;=Projects!$C$32,60&lt;Projects!$C$32+Projects!$D$32),Projects!$B$32*INDEX(Curves!$B$4:$AR$4,1,60-Projects!$C$32+1),0)+IF(AND(Projects!$G$33="Yes",Projects!$M$33="Yes",60&gt;=Projects!$C$33,60&lt;Projects!$C$33+Projects!$D$33),Projects!$B$33*INDEX(Curves!$B$4:$AR$4,1,60-Projects!$C$33+1),0)+IF(AND(Projects!$G$34="Yes",Projects!$M$34="Yes",60&gt;=Projects!$C$34,60&lt;Projects!$C$34+Projects!$D$34),Projects!$B$34*INDEX(Curves!$B$4:$AR$4,1,60-Projects!$C$34+1),0)+IF(AND(Projects!$G$35="Yes",Projects!$M$35="Yes",60&gt;=Projects!$C$35,60&lt;Projects!$C$35+Projects!$D$35),Projects!$B$35*INDEX(Curves!$B$4:$AR$4,1,60-Projects!$C$35+1),0)+IF(AND(Projects!$G$36="Yes",Projects!$M$36="Yes",60&gt;=Projects!$C$36,60&lt;Projects!$C$36+Projects!$D$36),Projects!$B$36*INDEX(Curves!$B$4:$AR$4,1,60-Projects!$C$36+1),0)+IF(AND(Projects!$G$37="Yes",Projects!$M$37="Yes",60&gt;=Projects!$C$37,60&lt;Projects!$C$37+Projects!$D$37),Projects!$B$37*INDEX(Curves!$B$4:$AR$4,1,60-Projects!$C$37+1),0)+IF(AND(Projects!$G$38="Yes",Projects!$M$38="Yes",60&gt;=Projects!$C$38,60&lt;Projects!$C$38+Projects!$D$38),Projects!$B$38*INDEX(Curves!$B$4:$AR$4,1,60-Projects!$C$38+1),0)+IF(AND(Projects!$G$39="Yes",Projects!$M$39="Yes",60&gt;=Projects!$C$39,60&lt;Projects!$C$39+Projects!$D$39),Projects!$B$39*INDEX(Curves!$B$4:$AR$4,1,60-Projects!$C$39+1),0)+IF(AND(Projects!$G$40="Yes",Projects!$M$40="Yes",60&gt;=Projects!$C$40,60&lt;Projects!$C$40+Projects!$D$40),Projects!$B$40*INDEX(Curves!$B$4:$AR$4,1,60-Projects!$C$40+1),0)+IF(AND(Projects!$G$41="Yes",Projects!$M$41="Yes",60&gt;=Projects!$C$41,60&lt;Projects!$C$41+Projects!$D$41),Projects!$B$41*INDEX(Curves!$B$4:$AR$4,1,60-Projects!$C$41+1),0)+IF(AND(Projects!$G$42="Yes",Projects!$M$42="Yes",60&gt;=Projects!$C$42,60&lt;Projects!$C$42+Projects!$D$42),Projects!$B$42*INDEX(Curves!$B$4:$AR$4,1,60-Projects!$C$42+1),0)+IF(AND(Projects!$G$43="Yes",Projects!$M$43="Yes",60&gt;=Projects!$C$43,60&lt;Projects!$C$43+Projects!$D$43),Projects!$B$43*INDEX(Curves!$B$4:$AR$4,1,60-Projects!$C$43+1),0)+IF(AND(Projects!$G$44="Yes",Projects!$M$44="Yes",60&gt;=Projects!$C$44,60&lt;Projects!$C$44+Projects!$D$44),Projects!$B$44*INDEX(Curves!$B$4:$AR$4,1,60-Projects!$C$44+1),0)+IF(AND(Projects!$G$45="Yes",Projects!$M$45="Yes",60&gt;=Projects!$C$45,60&lt;Projects!$C$45+Projects!$D$45),Projects!$B$45*INDEX(Curves!$B$4:$AR$4,1,60-Projects!$C$45+1),0)+IF(AND(Projects!$G$46="Yes",Projects!$M$46="Yes",60&gt;=Projects!$C$46,60&lt;Projects!$C$46+Projects!$D$46),Projects!$B$46*INDEX(Curves!$B$4:$AR$4,1,60-Projects!$C$46+1),0)</f>
        <v/>
      </c>
      <c r="BN101" s="691">
        <f>IF(AND(Projects!$G$17="Yes",Projects!$M$17="Yes",61&gt;=Projects!$C$17,61&lt;Projects!$C$17+Projects!$D$17),Projects!$B$17*INDEX(Curves!$B$4:$AR$4,1,61-Projects!$C$17+1),0)+IF(AND(Projects!$G$18="Yes",Projects!$M$18="Yes",61&gt;=Projects!$C$18,61&lt;Projects!$C$18+Projects!$D$18),Projects!$B$18*INDEX(Curves!$B$4:$AR$4,1,61-Projects!$C$18+1),0)+IF(AND(Projects!$G$19="Yes",Projects!$M$19="Yes",61&gt;=Projects!$C$19,61&lt;Projects!$C$19+Projects!$D$19),Projects!$B$19*INDEX(Curves!$B$4:$AR$4,1,61-Projects!$C$19+1),0)+IF(AND(Projects!$G$20="Yes",Projects!$M$20="Yes",61&gt;=Projects!$C$20,61&lt;Projects!$C$20+Projects!$D$20),Projects!$B$20*INDEX(Curves!$B$4:$AR$4,1,61-Projects!$C$20+1),0)+IF(AND(Projects!$G$21="Yes",Projects!$M$21="Yes",61&gt;=Projects!$C$21,61&lt;Projects!$C$21+Projects!$D$21),Projects!$B$21*INDEX(Curves!$B$4:$AR$4,1,61-Projects!$C$21+1),0)+IF(AND(Projects!$G$22="Yes",Projects!$M$22="Yes",61&gt;=Projects!$C$22,61&lt;Projects!$C$22+Projects!$D$22),Projects!$B$22*INDEX(Curves!$B$4:$AR$4,1,61-Projects!$C$22+1),0)+IF(AND(Projects!$G$23="Yes",Projects!$M$23="Yes",61&gt;=Projects!$C$23,61&lt;Projects!$C$23+Projects!$D$23),Projects!$B$23*INDEX(Curves!$B$4:$AR$4,1,61-Projects!$C$23+1),0)+IF(AND(Projects!$G$24="Yes",Projects!$M$24="Yes",61&gt;=Projects!$C$24,61&lt;Projects!$C$24+Projects!$D$24),Projects!$B$24*INDEX(Curves!$B$4:$AR$4,1,61-Projects!$C$24+1),0)+IF(AND(Projects!$G$25="Yes",Projects!$M$25="Yes",61&gt;=Projects!$C$25,61&lt;Projects!$C$25+Projects!$D$25),Projects!$B$25*INDEX(Curves!$B$4:$AR$4,1,61-Projects!$C$25+1),0)+IF(AND(Projects!$G$26="Yes",Projects!$M$26="Yes",61&gt;=Projects!$C$26,61&lt;Projects!$C$26+Projects!$D$26),Projects!$B$26*INDEX(Curves!$B$4:$AR$4,1,61-Projects!$C$26+1),0)+IF(AND(Projects!$G$27="Yes",Projects!$M$27="Yes",61&gt;=Projects!$C$27,61&lt;Projects!$C$27+Projects!$D$27),Projects!$B$27*INDEX(Curves!$B$4:$AR$4,1,61-Projects!$C$27+1),0)+IF(AND(Projects!$G$28="Yes",Projects!$M$28="Yes",61&gt;=Projects!$C$28,61&lt;Projects!$C$28+Projects!$D$28),Projects!$B$28*INDEX(Curves!$B$4:$AR$4,1,61-Projects!$C$28+1),0)+IF(AND(Projects!$G$29="Yes",Projects!$M$29="Yes",61&gt;=Projects!$C$29,61&lt;Projects!$C$29+Projects!$D$29),Projects!$B$29*INDEX(Curves!$B$4:$AR$4,1,61-Projects!$C$29+1),0)+IF(AND(Projects!$G$30="Yes",Projects!$M$30="Yes",61&gt;=Projects!$C$30,61&lt;Projects!$C$30+Projects!$D$30),Projects!$B$30*INDEX(Curves!$B$4:$AR$4,1,61-Projects!$C$30+1),0)+IF(AND(Projects!$G$31="Yes",Projects!$M$31="Yes",61&gt;=Projects!$C$31,61&lt;Projects!$C$31+Projects!$D$31),Projects!$B$31*INDEX(Curves!$B$4:$AR$4,1,61-Projects!$C$31+1),0)+IF(AND(Projects!$G$32="Yes",Projects!$M$32="Yes",61&gt;=Projects!$C$32,61&lt;Projects!$C$32+Projects!$D$32),Projects!$B$32*INDEX(Curves!$B$4:$AR$4,1,61-Projects!$C$32+1),0)+IF(AND(Projects!$G$33="Yes",Projects!$M$33="Yes",61&gt;=Projects!$C$33,61&lt;Projects!$C$33+Projects!$D$33),Projects!$B$33*INDEX(Curves!$B$4:$AR$4,1,61-Projects!$C$33+1),0)+IF(AND(Projects!$G$34="Yes",Projects!$M$34="Yes",61&gt;=Projects!$C$34,61&lt;Projects!$C$34+Projects!$D$34),Projects!$B$34*INDEX(Curves!$B$4:$AR$4,1,61-Projects!$C$34+1),0)+IF(AND(Projects!$G$35="Yes",Projects!$M$35="Yes",61&gt;=Projects!$C$35,61&lt;Projects!$C$35+Projects!$D$35),Projects!$B$35*INDEX(Curves!$B$4:$AR$4,1,61-Projects!$C$35+1),0)+IF(AND(Projects!$G$36="Yes",Projects!$M$36="Yes",61&gt;=Projects!$C$36,61&lt;Projects!$C$36+Projects!$D$36),Projects!$B$36*INDEX(Curves!$B$4:$AR$4,1,61-Projects!$C$36+1),0)+IF(AND(Projects!$G$37="Yes",Projects!$M$37="Yes",61&gt;=Projects!$C$37,61&lt;Projects!$C$37+Projects!$D$37),Projects!$B$37*INDEX(Curves!$B$4:$AR$4,1,61-Projects!$C$37+1),0)+IF(AND(Projects!$G$38="Yes",Projects!$M$38="Yes",61&gt;=Projects!$C$38,61&lt;Projects!$C$38+Projects!$D$38),Projects!$B$38*INDEX(Curves!$B$4:$AR$4,1,61-Projects!$C$38+1),0)+IF(AND(Projects!$G$39="Yes",Projects!$M$39="Yes",61&gt;=Projects!$C$39,61&lt;Projects!$C$39+Projects!$D$39),Projects!$B$39*INDEX(Curves!$B$4:$AR$4,1,61-Projects!$C$39+1),0)+IF(AND(Projects!$G$40="Yes",Projects!$M$40="Yes",61&gt;=Projects!$C$40,61&lt;Projects!$C$40+Projects!$D$40),Projects!$B$40*INDEX(Curves!$B$4:$AR$4,1,61-Projects!$C$40+1),0)+IF(AND(Projects!$G$41="Yes",Projects!$M$41="Yes",61&gt;=Projects!$C$41,61&lt;Projects!$C$41+Projects!$D$41),Projects!$B$41*INDEX(Curves!$B$4:$AR$4,1,61-Projects!$C$41+1),0)+IF(AND(Projects!$G$42="Yes",Projects!$M$42="Yes",61&gt;=Projects!$C$42,61&lt;Projects!$C$42+Projects!$D$42),Projects!$B$42*INDEX(Curves!$B$4:$AR$4,1,61-Projects!$C$42+1),0)+IF(AND(Projects!$G$43="Yes",Projects!$M$43="Yes",61&gt;=Projects!$C$43,61&lt;Projects!$C$43+Projects!$D$43),Projects!$B$43*INDEX(Curves!$B$4:$AR$4,1,61-Projects!$C$43+1),0)+IF(AND(Projects!$G$44="Yes",Projects!$M$44="Yes",61&gt;=Projects!$C$44,61&lt;Projects!$C$44+Projects!$D$44),Projects!$B$44*INDEX(Curves!$B$4:$AR$4,1,61-Projects!$C$44+1),0)+IF(AND(Projects!$G$45="Yes",Projects!$M$45="Yes",61&gt;=Projects!$C$45,61&lt;Projects!$C$45+Projects!$D$45),Projects!$B$45*INDEX(Curves!$B$4:$AR$4,1,61-Projects!$C$45+1),0)+IF(AND(Projects!$G$46="Yes",Projects!$M$46="Yes",61&gt;=Projects!$C$46,61&lt;Projects!$C$46+Projects!$D$46),Projects!$B$46*INDEX(Curves!$B$4:$AR$4,1,61-Projects!$C$46+1),0)</f>
        <v/>
      </c>
      <c r="BO101" s="691">
        <f>IF(AND(Projects!$G$17="Yes",Projects!$M$17="Yes",62&gt;=Projects!$C$17,62&lt;Projects!$C$17+Projects!$D$17),Projects!$B$17*INDEX(Curves!$B$4:$AR$4,1,62-Projects!$C$17+1),0)+IF(AND(Projects!$G$18="Yes",Projects!$M$18="Yes",62&gt;=Projects!$C$18,62&lt;Projects!$C$18+Projects!$D$18),Projects!$B$18*INDEX(Curves!$B$4:$AR$4,1,62-Projects!$C$18+1),0)+IF(AND(Projects!$G$19="Yes",Projects!$M$19="Yes",62&gt;=Projects!$C$19,62&lt;Projects!$C$19+Projects!$D$19),Projects!$B$19*INDEX(Curves!$B$4:$AR$4,1,62-Projects!$C$19+1),0)+IF(AND(Projects!$G$20="Yes",Projects!$M$20="Yes",62&gt;=Projects!$C$20,62&lt;Projects!$C$20+Projects!$D$20),Projects!$B$20*INDEX(Curves!$B$4:$AR$4,1,62-Projects!$C$20+1),0)+IF(AND(Projects!$G$21="Yes",Projects!$M$21="Yes",62&gt;=Projects!$C$21,62&lt;Projects!$C$21+Projects!$D$21),Projects!$B$21*INDEX(Curves!$B$4:$AR$4,1,62-Projects!$C$21+1),0)+IF(AND(Projects!$G$22="Yes",Projects!$M$22="Yes",62&gt;=Projects!$C$22,62&lt;Projects!$C$22+Projects!$D$22),Projects!$B$22*INDEX(Curves!$B$4:$AR$4,1,62-Projects!$C$22+1),0)+IF(AND(Projects!$G$23="Yes",Projects!$M$23="Yes",62&gt;=Projects!$C$23,62&lt;Projects!$C$23+Projects!$D$23),Projects!$B$23*INDEX(Curves!$B$4:$AR$4,1,62-Projects!$C$23+1),0)+IF(AND(Projects!$G$24="Yes",Projects!$M$24="Yes",62&gt;=Projects!$C$24,62&lt;Projects!$C$24+Projects!$D$24),Projects!$B$24*INDEX(Curves!$B$4:$AR$4,1,62-Projects!$C$24+1),0)+IF(AND(Projects!$G$25="Yes",Projects!$M$25="Yes",62&gt;=Projects!$C$25,62&lt;Projects!$C$25+Projects!$D$25),Projects!$B$25*INDEX(Curves!$B$4:$AR$4,1,62-Projects!$C$25+1),0)+IF(AND(Projects!$G$26="Yes",Projects!$M$26="Yes",62&gt;=Projects!$C$26,62&lt;Projects!$C$26+Projects!$D$26),Projects!$B$26*INDEX(Curves!$B$4:$AR$4,1,62-Projects!$C$26+1),0)+IF(AND(Projects!$G$27="Yes",Projects!$M$27="Yes",62&gt;=Projects!$C$27,62&lt;Projects!$C$27+Projects!$D$27),Projects!$B$27*INDEX(Curves!$B$4:$AR$4,1,62-Projects!$C$27+1),0)+IF(AND(Projects!$G$28="Yes",Projects!$M$28="Yes",62&gt;=Projects!$C$28,62&lt;Projects!$C$28+Projects!$D$28),Projects!$B$28*INDEX(Curves!$B$4:$AR$4,1,62-Projects!$C$28+1),0)+IF(AND(Projects!$G$29="Yes",Projects!$M$29="Yes",62&gt;=Projects!$C$29,62&lt;Projects!$C$29+Projects!$D$29),Projects!$B$29*INDEX(Curves!$B$4:$AR$4,1,62-Projects!$C$29+1),0)+IF(AND(Projects!$G$30="Yes",Projects!$M$30="Yes",62&gt;=Projects!$C$30,62&lt;Projects!$C$30+Projects!$D$30),Projects!$B$30*INDEX(Curves!$B$4:$AR$4,1,62-Projects!$C$30+1),0)+IF(AND(Projects!$G$31="Yes",Projects!$M$31="Yes",62&gt;=Projects!$C$31,62&lt;Projects!$C$31+Projects!$D$31),Projects!$B$31*INDEX(Curves!$B$4:$AR$4,1,62-Projects!$C$31+1),0)+IF(AND(Projects!$G$32="Yes",Projects!$M$32="Yes",62&gt;=Projects!$C$32,62&lt;Projects!$C$32+Projects!$D$32),Projects!$B$32*INDEX(Curves!$B$4:$AR$4,1,62-Projects!$C$32+1),0)+IF(AND(Projects!$G$33="Yes",Projects!$M$33="Yes",62&gt;=Projects!$C$33,62&lt;Projects!$C$33+Projects!$D$33),Projects!$B$33*INDEX(Curves!$B$4:$AR$4,1,62-Projects!$C$33+1),0)+IF(AND(Projects!$G$34="Yes",Projects!$M$34="Yes",62&gt;=Projects!$C$34,62&lt;Projects!$C$34+Projects!$D$34),Projects!$B$34*INDEX(Curves!$B$4:$AR$4,1,62-Projects!$C$34+1),0)+IF(AND(Projects!$G$35="Yes",Projects!$M$35="Yes",62&gt;=Projects!$C$35,62&lt;Projects!$C$35+Projects!$D$35),Projects!$B$35*INDEX(Curves!$B$4:$AR$4,1,62-Projects!$C$35+1),0)+IF(AND(Projects!$G$36="Yes",Projects!$M$36="Yes",62&gt;=Projects!$C$36,62&lt;Projects!$C$36+Projects!$D$36),Projects!$B$36*INDEX(Curves!$B$4:$AR$4,1,62-Projects!$C$36+1),0)+IF(AND(Projects!$G$37="Yes",Projects!$M$37="Yes",62&gt;=Projects!$C$37,62&lt;Projects!$C$37+Projects!$D$37),Projects!$B$37*INDEX(Curves!$B$4:$AR$4,1,62-Projects!$C$37+1),0)+IF(AND(Projects!$G$38="Yes",Projects!$M$38="Yes",62&gt;=Projects!$C$38,62&lt;Projects!$C$38+Projects!$D$38),Projects!$B$38*INDEX(Curves!$B$4:$AR$4,1,62-Projects!$C$38+1),0)+IF(AND(Projects!$G$39="Yes",Projects!$M$39="Yes",62&gt;=Projects!$C$39,62&lt;Projects!$C$39+Projects!$D$39),Projects!$B$39*INDEX(Curves!$B$4:$AR$4,1,62-Projects!$C$39+1),0)+IF(AND(Projects!$G$40="Yes",Projects!$M$40="Yes",62&gt;=Projects!$C$40,62&lt;Projects!$C$40+Projects!$D$40),Projects!$B$40*INDEX(Curves!$B$4:$AR$4,1,62-Projects!$C$40+1),0)+IF(AND(Projects!$G$41="Yes",Projects!$M$41="Yes",62&gt;=Projects!$C$41,62&lt;Projects!$C$41+Projects!$D$41),Projects!$B$41*INDEX(Curves!$B$4:$AR$4,1,62-Projects!$C$41+1),0)+IF(AND(Projects!$G$42="Yes",Projects!$M$42="Yes",62&gt;=Projects!$C$42,62&lt;Projects!$C$42+Projects!$D$42),Projects!$B$42*INDEX(Curves!$B$4:$AR$4,1,62-Projects!$C$42+1),0)+IF(AND(Projects!$G$43="Yes",Projects!$M$43="Yes",62&gt;=Projects!$C$43,62&lt;Projects!$C$43+Projects!$D$43),Projects!$B$43*INDEX(Curves!$B$4:$AR$4,1,62-Projects!$C$43+1),0)+IF(AND(Projects!$G$44="Yes",Projects!$M$44="Yes",62&gt;=Projects!$C$44,62&lt;Projects!$C$44+Projects!$D$44),Projects!$B$44*INDEX(Curves!$B$4:$AR$4,1,62-Projects!$C$44+1),0)+IF(AND(Projects!$G$45="Yes",Projects!$M$45="Yes",62&gt;=Projects!$C$45,62&lt;Projects!$C$45+Projects!$D$45),Projects!$B$45*INDEX(Curves!$B$4:$AR$4,1,62-Projects!$C$45+1),0)+IF(AND(Projects!$G$46="Yes",Projects!$M$46="Yes",62&gt;=Projects!$C$46,62&lt;Projects!$C$46+Projects!$D$46),Projects!$B$46*INDEX(Curves!$B$4:$AR$4,1,62-Projects!$C$46+1),0)</f>
        <v/>
      </c>
      <c r="BP101" s="691">
        <f>IF(AND(Projects!$G$17="Yes",Projects!$M$17="Yes",63&gt;=Projects!$C$17,63&lt;Projects!$C$17+Projects!$D$17),Projects!$B$17*INDEX(Curves!$B$4:$AR$4,1,63-Projects!$C$17+1),0)+IF(AND(Projects!$G$18="Yes",Projects!$M$18="Yes",63&gt;=Projects!$C$18,63&lt;Projects!$C$18+Projects!$D$18),Projects!$B$18*INDEX(Curves!$B$4:$AR$4,1,63-Projects!$C$18+1),0)+IF(AND(Projects!$G$19="Yes",Projects!$M$19="Yes",63&gt;=Projects!$C$19,63&lt;Projects!$C$19+Projects!$D$19),Projects!$B$19*INDEX(Curves!$B$4:$AR$4,1,63-Projects!$C$19+1),0)+IF(AND(Projects!$G$20="Yes",Projects!$M$20="Yes",63&gt;=Projects!$C$20,63&lt;Projects!$C$20+Projects!$D$20),Projects!$B$20*INDEX(Curves!$B$4:$AR$4,1,63-Projects!$C$20+1),0)+IF(AND(Projects!$G$21="Yes",Projects!$M$21="Yes",63&gt;=Projects!$C$21,63&lt;Projects!$C$21+Projects!$D$21),Projects!$B$21*INDEX(Curves!$B$4:$AR$4,1,63-Projects!$C$21+1),0)+IF(AND(Projects!$G$22="Yes",Projects!$M$22="Yes",63&gt;=Projects!$C$22,63&lt;Projects!$C$22+Projects!$D$22),Projects!$B$22*INDEX(Curves!$B$4:$AR$4,1,63-Projects!$C$22+1),0)+IF(AND(Projects!$G$23="Yes",Projects!$M$23="Yes",63&gt;=Projects!$C$23,63&lt;Projects!$C$23+Projects!$D$23),Projects!$B$23*INDEX(Curves!$B$4:$AR$4,1,63-Projects!$C$23+1),0)+IF(AND(Projects!$G$24="Yes",Projects!$M$24="Yes",63&gt;=Projects!$C$24,63&lt;Projects!$C$24+Projects!$D$24),Projects!$B$24*INDEX(Curves!$B$4:$AR$4,1,63-Projects!$C$24+1),0)+IF(AND(Projects!$G$25="Yes",Projects!$M$25="Yes",63&gt;=Projects!$C$25,63&lt;Projects!$C$25+Projects!$D$25),Projects!$B$25*INDEX(Curves!$B$4:$AR$4,1,63-Projects!$C$25+1),0)+IF(AND(Projects!$G$26="Yes",Projects!$M$26="Yes",63&gt;=Projects!$C$26,63&lt;Projects!$C$26+Projects!$D$26),Projects!$B$26*INDEX(Curves!$B$4:$AR$4,1,63-Projects!$C$26+1),0)+IF(AND(Projects!$G$27="Yes",Projects!$M$27="Yes",63&gt;=Projects!$C$27,63&lt;Projects!$C$27+Projects!$D$27),Projects!$B$27*INDEX(Curves!$B$4:$AR$4,1,63-Projects!$C$27+1),0)+IF(AND(Projects!$G$28="Yes",Projects!$M$28="Yes",63&gt;=Projects!$C$28,63&lt;Projects!$C$28+Projects!$D$28),Projects!$B$28*INDEX(Curves!$B$4:$AR$4,1,63-Projects!$C$28+1),0)+IF(AND(Projects!$G$29="Yes",Projects!$M$29="Yes",63&gt;=Projects!$C$29,63&lt;Projects!$C$29+Projects!$D$29),Projects!$B$29*INDEX(Curves!$B$4:$AR$4,1,63-Projects!$C$29+1),0)+IF(AND(Projects!$G$30="Yes",Projects!$M$30="Yes",63&gt;=Projects!$C$30,63&lt;Projects!$C$30+Projects!$D$30),Projects!$B$30*INDEX(Curves!$B$4:$AR$4,1,63-Projects!$C$30+1),0)+IF(AND(Projects!$G$31="Yes",Projects!$M$31="Yes",63&gt;=Projects!$C$31,63&lt;Projects!$C$31+Projects!$D$31),Projects!$B$31*INDEX(Curves!$B$4:$AR$4,1,63-Projects!$C$31+1),0)+IF(AND(Projects!$G$32="Yes",Projects!$M$32="Yes",63&gt;=Projects!$C$32,63&lt;Projects!$C$32+Projects!$D$32),Projects!$B$32*INDEX(Curves!$B$4:$AR$4,1,63-Projects!$C$32+1),0)+IF(AND(Projects!$G$33="Yes",Projects!$M$33="Yes",63&gt;=Projects!$C$33,63&lt;Projects!$C$33+Projects!$D$33),Projects!$B$33*INDEX(Curves!$B$4:$AR$4,1,63-Projects!$C$33+1),0)+IF(AND(Projects!$G$34="Yes",Projects!$M$34="Yes",63&gt;=Projects!$C$34,63&lt;Projects!$C$34+Projects!$D$34),Projects!$B$34*INDEX(Curves!$B$4:$AR$4,1,63-Projects!$C$34+1),0)+IF(AND(Projects!$G$35="Yes",Projects!$M$35="Yes",63&gt;=Projects!$C$35,63&lt;Projects!$C$35+Projects!$D$35),Projects!$B$35*INDEX(Curves!$B$4:$AR$4,1,63-Projects!$C$35+1),0)+IF(AND(Projects!$G$36="Yes",Projects!$M$36="Yes",63&gt;=Projects!$C$36,63&lt;Projects!$C$36+Projects!$D$36),Projects!$B$36*INDEX(Curves!$B$4:$AR$4,1,63-Projects!$C$36+1),0)+IF(AND(Projects!$G$37="Yes",Projects!$M$37="Yes",63&gt;=Projects!$C$37,63&lt;Projects!$C$37+Projects!$D$37),Projects!$B$37*INDEX(Curves!$B$4:$AR$4,1,63-Projects!$C$37+1),0)+IF(AND(Projects!$G$38="Yes",Projects!$M$38="Yes",63&gt;=Projects!$C$38,63&lt;Projects!$C$38+Projects!$D$38),Projects!$B$38*INDEX(Curves!$B$4:$AR$4,1,63-Projects!$C$38+1),0)+IF(AND(Projects!$G$39="Yes",Projects!$M$39="Yes",63&gt;=Projects!$C$39,63&lt;Projects!$C$39+Projects!$D$39),Projects!$B$39*INDEX(Curves!$B$4:$AR$4,1,63-Projects!$C$39+1),0)+IF(AND(Projects!$G$40="Yes",Projects!$M$40="Yes",63&gt;=Projects!$C$40,63&lt;Projects!$C$40+Projects!$D$40),Projects!$B$40*INDEX(Curves!$B$4:$AR$4,1,63-Projects!$C$40+1),0)+IF(AND(Projects!$G$41="Yes",Projects!$M$41="Yes",63&gt;=Projects!$C$41,63&lt;Projects!$C$41+Projects!$D$41),Projects!$B$41*INDEX(Curves!$B$4:$AR$4,1,63-Projects!$C$41+1),0)+IF(AND(Projects!$G$42="Yes",Projects!$M$42="Yes",63&gt;=Projects!$C$42,63&lt;Projects!$C$42+Projects!$D$42),Projects!$B$42*INDEX(Curves!$B$4:$AR$4,1,63-Projects!$C$42+1),0)+IF(AND(Projects!$G$43="Yes",Projects!$M$43="Yes",63&gt;=Projects!$C$43,63&lt;Projects!$C$43+Projects!$D$43),Projects!$B$43*INDEX(Curves!$B$4:$AR$4,1,63-Projects!$C$43+1),0)+IF(AND(Projects!$G$44="Yes",Projects!$M$44="Yes",63&gt;=Projects!$C$44,63&lt;Projects!$C$44+Projects!$D$44),Projects!$B$44*INDEX(Curves!$B$4:$AR$4,1,63-Projects!$C$44+1),0)+IF(AND(Projects!$G$45="Yes",Projects!$M$45="Yes",63&gt;=Projects!$C$45,63&lt;Projects!$C$45+Projects!$D$45),Projects!$B$45*INDEX(Curves!$B$4:$AR$4,1,63-Projects!$C$45+1),0)+IF(AND(Projects!$G$46="Yes",Projects!$M$46="Yes",63&gt;=Projects!$C$46,63&lt;Projects!$C$46+Projects!$D$46),Projects!$B$46*INDEX(Curves!$B$4:$AR$4,1,63-Projects!$C$46+1),0)</f>
        <v/>
      </c>
      <c r="BQ101" s="691">
        <f>IF(AND(Projects!$G$17="Yes",Projects!$M$17="Yes",64&gt;=Projects!$C$17,64&lt;Projects!$C$17+Projects!$D$17),Projects!$B$17*INDEX(Curves!$B$4:$AR$4,1,64-Projects!$C$17+1),0)+IF(AND(Projects!$G$18="Yes",Projects!$M$18="Yes",64&gt;=Projects!$C$18,64&lt;Projects!$C$18+Projects!$D$18),Projects!$B$18*INDEX(Curves!$B$4:$AR$4,1,64-Projects!$C$18+1),0)+IF(AND(Projects!$G$19="Yes",Projects!$M$19="Yes",64&gt;=Projects!$C$19,64&lt;Projects!$C$19+Projects!$D$19),Projects!$B$19*INDEX(Curves!$B$4:$AR$4,1,64-Projects!$C$19+1),0)+IF(AND(Projects!$G$20="Yes",Projects!$M$20="Yes",64&gt;=Projects!$C$20,64&lt;Projects!$C$20+Projects!$D$20),Projects!$B$20*INDEX(Curves!$B$4:$AR$4,1,64-Projects!$C$20+1),0)+IF(AND(Projects!$G$21="Yes",Projects!$M$21="Yes",64&gt;=Projects!$C$21,64&lt;Projects!$C$21+Projects!$D$21),Projects!$B$21*INDEX(Curves!$B$4:$AR$4,1,64-Projects!$C$21+1),0)+IF(AND(Projects!$G$22="Yes",Projects!$M$22="Yes",64&gt;=Projects!$C$22,64&lt;Projects!$C$22+Projects!$D$22),Projects!$B$22*INDEX(Curves!$B$4:$AR$4,1,64-Projects!$C$22+1),0)+IF(AND(Projects!$G$23="Yes",Projects!$M$23="Yes",64&gt;=Projects!$C$23,64&lt;Projects!$C$23+Projects!$D$23),Projects!$B$23*INDEX(Curves!$B$4:$AR$4,1,64-Projects!$C$23+1),0)+IF(AND(Projects!$G$24="Yes",Projects!$M$24="Yes",64&gt;=Projects!$C$24,64&lt;Projects!$C$24+Projects!$D$24),Projects!$B$24*INDEX(Curves!$B$4:$AR$4,1,64-Projects!$C$24+1),0)+IF(AND(Projects!$G$25="Yes",Projects!$M$25="Yes",64&gt;=Projects!$C$25,64&lt;Projects!$C$25+Projects!$D$25),Projects!$B$25*INDEX(Curves!$B$4:$AR$4,1,64-Projects!$C$25+1),0)+IF(AND(Projects!$G$26="Yes",Projects!$M$26="Yes",64&gt;=Projects!$C$26,64&lt;Projects!$C$26+Projects!$D$26),Projects!$B$26*INDEX(Curves!$B$4:$AR$4,1,64-Projects!$C$26+1),0)+IF(AND(Projects!$G$27="Yes",Projects!$M$27="Yes",64&gt;=Projects!$C$27,64&lt;Projects!$C$27+Projects!$D$27),Projects!$B$27*INDEX(Curves!$B$4:$AR$4,1,64-Projects!$C$27+1),0)+IF(AND(Projects!$G$28="Yes",Projects!$M$28="Yes",64&gt;=Projects!$C$28,64&lt;Projects!$C$28+Projects!$D$28),Projects!$B$28*INDEX(Curves!$B$4:$AR$4,1,64-Projects!$C$28+1),0)+IF(AND(Projects!$G$29="Yes",Projects!$M$29="Yes",64&gt;=Projects!$C$29,64&lt;Projects!$C$29+Projects!$D$29),Projects!$B$29*INDEX(Curves!$B$4:$AR$4,1,64-Projects!$C$29+1),0)+IF(AND(Projects!$G$30="Yes",Projects!$M$30="Yes",64&gt;=Projects!$C$30,64&lt;Projects!$C$30+Projects!$D$30),Projects!$B$30*INDEX(Curves!$B$4:$AR$4,1,64-Projects!$C$30+1),0)+IF(AND(Projects!$G$31="Yes",Projects!$M$31="Yes",64&gt;=Projects!$C$31,64&lt;Projects!$C$31+Projects!$D$31),Projects!$B$31*INDEX(Curves!$B$4:$AR$4,1,64-Projects!$C$31+1),0)+IF(AND(Projects!$G$32="Yes",Projects!$M$32="Yes",64&gt;=Projects!$C$32,64&lt;Projects!$C$32+Projects!$D$32),Projects!$B$32*INDEX(Curves!$B$4:$AR$4,1,64-Projects!$C$32+1),0)+IF(AND(Projects!$G$33="Yes",Projects!$M$33="Yes",64&gt;=Projects!$C$33,64&lt;Projects!$C$33+Projects!$D$33),Projects!$B$33*INDEX(Curves!$B$4:$AR$4,1,64-Projects!$C$33+1),0)+IF(AND(Projects!$G$34="Yes",Projects!$M$34="Yes",64&gt;=Projects!$C$34,64&lt;Projects!$C$34+Projects!$D$34),Projects!$B$34*INDEX(Curves!$B$4:$AR$4,1,64-Projects!$C$34+1),0)+IF(AND(Projects!$G$35="Yes",Projects!$M$35="Yes",64&gt;=Projects!$C$35,64&lt;Projects!$C$35+Projects!$D$35),Projects!$B$35*INDEX(Curves!$B$4:$AR$4,1,64-Projects!$C$35+1),0)+IF(AND(Projects!$G$36="Yes",Projects!$M$36="Yes",64&gt;=Projects!$C$36,64&lt;Projects!$C$36+Projects!$D$36),Projects!$B$36*INDEX(Curves!$B$4:$AR$4,1,64-Projects!$C$36+1),0)+IF(AND(Projects!$G$37="Yes",Projects!$M$37="Yes",64&gt;=Projects!$C$37,64&lt;Projects!$C$37+Projects!$D$37),Projects!$B$37*INDEX(Curves!$B$4:$AR$4,1,64-Projects!$C$37+1),0)+IF(AND(Projects!$G$38="Yes",Projects!$M$38="Yes",64&gt;=Projects!$C$38,64&lt;Projects!$C$38+Projects!$D$38),Projects!$B$38*INDEX(Curves!$B$4:$AR$4,1,64-Projects!$C$38+1),0)+IF(AND(Projects!$G$39="Yes",Projects!$M$39="Yes",64&gt;=Projects!$C$39,64&lt;Projects!$C$39+Projects!$D$39),Projects!$B$39*INDEX(Curves!$B$4:$AR$4,1,64-Projects!$C$39+1),0)+IF(AND(Projects!$G$40="Yes",Projects!$M$40="Yes",64&gt;=Projects!$C$40,64&lt;Projects!$C$40+Projects!$D$40),Projects!$B$40*INDEX(Curves!$B$4:$AR$4,1,64-Projects!$C$40+1),0)+IF(AND(Projects!$G$41="Yes",Projects!$M$41="Yes",64&gt;=Projects!$C$41,64&lt;Projects!$C$41+Projects!$D$41),Projects!$B$41*INDEX(Curves!$B$4:$AR$4,1,64-Projects!$C$41+1),0)+IF(AND(Projects!$G$42="Yes",Projects!$M$42="Yes",64&gt;=Projects!$C$42,64&lt;Projects!$C$42+Projects!$D$42),Projects!$B$42*INDEX(Curves!$B$4:$AR$4,1,64-Projects!$C$42+1),0)+IF(AND(Projects!$G$43="Yes",Projects!$M$43="Yes",64&gt;=Projects!$C$43,64&lt;Projects!$C$43+Projects!$D$43),Projects!$B$43*INDEX(Curves!$B$4:$AR$4,1,64-Projects!$C$43+1),0)+IF(AND(Projects!$G$44="Yes",Projects!$M$44="Yes",64&gt;=Projects!$C$44,64&lt;Projects!$C$44+Projects!$D$44),Projects!$B$44*INDEX(Curves!$B$4:$AR$4,1,64-Projects!$C$44+1),0)+IF(AND(Projects!$G$45="Yes",Projects!$M$45="Yes",64&gt;=Projects!$C$45,64&lt;Projects!$C$45+Projects!$D$45),Projects!$B$45*INDEX(Curves!$B$4:$AR$4,1,64-Projects!$C$45+1),0)+IF(AND(Projects!$G$46="Yes",Projects!$M$46="Yes",64&gt;=Projects!$C$46,64&lt;Projects!$C$46+Projects!$D$46),Projects!$B$46*INDEX(Curves!$B$4:$AR$4,1,64-Projects!$C$46+1),0)</f>
        <v/>
      </c>
      <c r="BR101" s="691">
        <f>IF(AND(Projects!$G$17="Yes",Projects!$M$17="Yes",65&gt;=Projects!$C$17,65&lt;Projects!$C$17+Projects!$D$17),Projects!$B$17*INDEX(Curves!$B$4:$AR$4,1,65-Projects!$C$17+1),0)+IF(AND(Projects!$G$18="Yes",Projects!$M$18="Yes",65&gt;=Projects!$C$18,65&lt;Projects!$C$18+Projects!$D$18),Projects!$B$18*INDEX(Curves!$B$4:$AR$4,1,65-Projects!$C$18+1),0)+IF(AND(Projects!$G$19="Yes",Projects!$M$19="Yes",65&gt;=Projects!$C$19,65&lt;Projects!$C$19+Projects!$D$19),Projects!$B$19*INDEX(Curves!$B$4:$AR$4,1,65-Projects!$C$19+1),0)+IF(AND(Projects!$G$20="Yes",Projects!$M$20="Yes",65&gt;=Projects!$C$20,65&lt;Projects!$C$20+Projects!$D$20),Projects!$B$20*INDEX(Curves!$B$4:$AR$4,1,65-Projects!$C$20+1),0)+IF(AND(Projects!$G$21="Yes",Projects!$M$21="Yes",65&gt;=Projects!$C$21,65&lt;Projects!$C$21+Projects!$D$21),Projects!$B$21*INDEX(Curves!$B$4:$AR$4,1,65-Projects!$C$21+1),0)+IF(AND(Projects!$G$22="Yes",Projects!$M$22="Yes",65&gt;=Projects!$C$22,65&lt;Projects!$C$22+Projects!$D$22),Projects!$B$22*INDEX(Curves!$B$4:$AR$4,1,65-Projects!$C$22+1),0)+IF(AND(Projects!$G$23="Yes",Projects!$M$23="Yes",65&gt;=Projects!$C$23,65&lt;Projects!$C$23+Projects!$D$23),Projects!$B$23*INDEX(Curves!$B$4:$AR$4,1,65-Projects!$C$23+1),0)+IF(AND(Projects!$G$24="Yes",Projects!$M$24="Yes",65&gt;=Projects!$C$24,65&lt;Projects!$C$24+Projects!$D$24),Projects!$B$24*INDEX(Curves!$B$4:$AR$4,1,65-Projects!$C$24+1),0)+IF(AND(Projects!$G$25="Yes",Projects!$M$25="Yes",65&gt;=Projects!$C$25,65&lt;Projects!$C$25+Projects!$D$25),Projects!$B$25*INDEX(Curves!$B$4:$AR$4,1,65-Projects!$C$25+1),0)+IF(AND(Projects!$G$26="Yes",Projects!$M$26="Yes",65&gt;=Projects!$C$26,65&lt;Projects!$C$26+Projects!$D$26),Projects!$B$26*INDEX(Curves!$B$4:$AR$4,1,65-Projects!$C$26+1),0)+IF(AND(Projects!$G$27="Yes",Projects!$M$27="Yes",65&gt;=Projects!$C$27,65&lt;Projects!$C$27+Projects!$D$27),Projects!$B$27*INDEX(Curves!$B$4:$AR$4,1,65-Projects!$C$27+1),0)+IF(AND(Projects!$G$28="Yes",Projects!$M$28="Yes",65&gt;=Projects!$C$28,65&lt;Projects!$C$28+Projects!$D$28),Projects!$B$28*INDEX(Curves!$B$4:$AR$4,1,65-Projects!$C$28+1),0)+IF(AND(Projects!$G$29="Yes",Projects!$M$29="Yes",65&gt;=Projects!$C$29,65&lt;Projects!$C$29+Projects!$D$29),Projects!$B$29*INDEX(Curves!$B$4:$AR$4,1,65-Projects!$C$29+1),0)+IF(AND(Projects!$G$30="Yes",Projects!$M$30="Yes",65&gt;=Projects!$C$30,65&lt;Projects!$C$30+Projects!$D$30),Projects!$B$30*INDEX(Curves!$B$4:$AR$4,1,65-Projects!$C$30+1),0)+IF(AND(Projects!$G$31="Yes",Projects!$M$31="Yes",65&gt;=Projects!$C$31,65&lt;Projects!$C$31+Projects!$D$31),Projects!$B$31*INDEX(Curves!$B$4:$AR$4,1,65-Projects!$C$31+1),0)+IF(AND(Projects!$G$32="Yes",Projects!$M$32="Yes",65&gt;=Projects!$C$32,65&lt;Projects!$C$32+Projects!$D$32),Projects!$B$32*INDEX(Curves!$B$4:$AR$4,1,65-Projects!$C$32+1),0)+IF(AND(Projects!$G$33="Yes",Projects!$M$33="Yes",65&gt;=Projects!$C$33,65&lt;Projects!$C$33+Projects!$D$33),Projects!$B$33*INDEX(Curves!$B$4:$AR$4,1,65-Projects!$C$33+1),0)+IF(AND(Projects!$G$34="Yes",Projects!$M$34="Yes",65&gt;=Projects!$C$34,65&lt;Projects!$C$34+Projects!$D$34),Projects!$B$34*INDEX(Curves!$B$4:$AR$4,1,65-Projects!$C$34+1),0)+IF(AND(Projects!$G$35="Yes",Projects!$M$35="Yes",65&gt;=Projects!$C$35,65&lt;Projects!$C$35+Projects!$D$35),Projects!$B$35*INDEX(Curves!$B$4:$AR$4,1,65-Projects!$C$35+1),0)+IF(AND(Projects!$G$36="Yes",Projects!$M$36="Yes",65&gt;=Projects!$C$36,65&lt;Projects!$C$36+Projects!$D$36),Projects!$B$36*INDEX(Curves!$B$4:$AR$4,1,65-Projects!$C$36+1),0)+IF(AND(Projects!$G$37="Yes",Projects!$M$37="Yes",65&gt;=Projects!$C$37,65&lt;Projects!$C$37+Projects!$D$37),Projects!$B$37*INDEX(Curves!$B$4:$AR$4,1,65-Projects!$C$37+1),0)+IF(AND(Projects!$G$38="Yes",Projects!$M$38="Yes",65&gt;=Projects!$C$38,65&lt;Projects!$C$38+Projects!$D$38),Projects!$B$38*INDEX(Curves!$B$4:$AR$4,1,65-Projects!$C$38+1),0)+IF(AND(Projects!$G$39="Yes",Projects!$M$39="Yes",65&gt;=Projects!$C$39,65&lt;Projects!$C$39+Projects!$D$39),Projects!$B$39*INDEX(Curves!$B$4:$AR$4,1,65-Projects!$C$39+1),0)+IF(AND(Projects!$G$40="Yes",Projects!$M$40="Yes",65&gt;=Projects!$C$40,65&lt;Projects!$C$40+Projects!$D$40),Projects!$B$40*INDEX(Curves!$B$4:$AR$4,1,65-Projects!$C$40+1),0)+IF(AND(Projects!$G$41="Yes",Projects!$M$41="Yes",65&gt;=Projects!$C$41,65&lt;Projects!$C$41+Projects!$D$41),Projects!$B$41*INDEX(Curves!$B$4:$AR$4,1,65-Projects!$C$41+1),0)+IF(AND(Projects!$G$42="Yes",Projects!$M$42="Yes",65&gt;=Projects!$C$42,65&lt;Projects!$C$42+Projects!$D$42),Projects!$B$42*INDEX(Curves!$B$4:$AR$4,1,65-Projects!$C$42+1),0)+IF(AND(Projects!$G$43="Yes",Projects!$M$43="Yes",65&gt;=Projects!$C$43,65&lt;Projects!$C$43+Projects!$D$43),Projects!$B$43*INDEX(Curves!$B$4:$AR$4,1,65-Projects!$C$43+1),0)+IF(AND(Projects!$G$44="Yes",Projects!$M$44="Yes",65&gt;=Projects!$C$44,65&lt;Projects!$C$44+Projects!$D$44),Projects!$B$44*INDEX(Curves!$B$4:$AR$4,1,65-Projects!$C$44+1),0)+IF(AND(Projects!$G$45="Yes",Projects!$M$45="Yes",65&gt;=Projects!$C$45,65&lt;Projects!$C$45+Projects!$D$45),Projects!$B$45*INDEX(Curves!$B$4:$AR$4,1,65-Projects!$C$45+1),0)+IF(AND(Projects!$G$46="Yes",Projects!$M$46="Yes",65&gt;=Projects!$C$46,65&lt;Projects!$C$46+Projects!$D$46),Projects!$B$46*INDEX(Curves!$B$4:$AR$4,1,65-Projects!$C$46+1),0)</f>
        <v/>
      </c>
      <c r="BS101" s="691">
        <f>IF(AND(Projects!$G$17="Yes",Projects!$M$17="Yes",66&gt;=Projects!$C$17,66&lt;Projects!$C$17+Projects!$D$17),Projects!$B$17*INDEX(Curves!$B$4:$AR$4,1,66-Projects!$C$17+1),0)+IF(AND(Projects!$G$18="Yes",Projects!$M$18="Yes",66&gt;=Projects!$C$18,66&lt;Projects!$C$18+Projects!$D$18),Projects!$B$18*INDEX(Curves!$B$4:$AR$4,1,66-Projects!$C$18+1),0)+IF(AND(Projects!$G$19="Yes",Projects!$M$19="Yes",66&gt;=Projects!$C$19,66&lt;Projects!$C$19+Projects!$D$19),Projects!$B$19*INDEX(Curves!$B$4:$AR$4,1,66-Projects!$C$19+1),0)+IF(AND(Projects!$G$20="Yes",Projects!$M$20="Yes",66&gt;=Projects!$C$20,66&lt;Projects!$C$20+Projects!$D$20),Projects!$B$20*INDEX(Curves!$B$4:$AR$4,1,66-Projects!$C$20+1),0)+IF(AND(Projects!$G$21="Yes",Projects!$M$21="Yes",66&gt;=Projects!$C$21,66&lt;Projects!$C$21+Projects!$D$21),Projects!$B$21*INDEX(Curves!$B$4:$AR$4,1,66-Projects!$C$21+1),0)+IF(AND(Projects!$G$22="Yes",Projects!$M$22="Yes",66&gt;=Projects!$C$22,66&lt;Projects!$C$22+Projects!$D$22),Projects!$B$22*INDEX(Curves!$B$4:$AR$4,1,66-Projects!$C$22+1),0)+IF(AND(Projects!$G$23="Yes",Projects!$M$23="Yes",66&gt;=Projects!$C$23,66&lt;Projects!$C$23+Projects!$D$23),Projects!$B$23*INDEX(Curves!$B$4:$AR$4,1,66-Projects!$C$23+1),0)+IF(AND(Projects!$G$24="Yes",Projects!$M$24="Yes",66&gt;=Projects!$C$24,66&lt;Projects!$C$24+Projects!$D$24),Projects!$B$24*INDEX(Curves!$B$4:$AR$4,1,66-Projects!$C$24+1),0)+IF(AND(Projects!$G$25="Yes",Projects!$M$25="Yes",66&gt;=Projects!$C$25,66&lt;Projects!$C$25+Projects!$D$25),Projects!$B$25*INDEX(Curves!$B$4:$AR$4,1,66-Projects!$C$25+1),0)+IF(AND(Projects!$G$26="Yes",Projects!$M$26="Yes",66&gt;=Projects!$C$26,66&lt;Projects!$C$26+Projects!$D$26),Projects!$B$26*INDEX(Curves!$B$4:$AR$4,1,66-Projects!$C$26+1),0)+IF(AND(Projects!$G$27="Yes",Projects!$M$27="Yes",66&gt;=Projects!$C$27,66&lt;Projects!$C$27+Projects!$D$27),Projects!$B$27*INDEX(Curves!$B$4:$AR$4,1,66-Projects!$C$27+1),0)+IF(AND(Projects!$G$28="Yes",Projects!$M$28="Yes",66&gt;=Projects!$C$28,66&lt;Projects!$C$28+Projects!$D$28),Projects!$B$28*INDEX(Curves!$B$4:$AR$4,1,66-Projects!$C$28+1),0)+IF(AND(Projects!$G$29="Yes",Projects!$M$29="Yes",66&gt;=Projects!$C$29,66&lt;Projects!$C$29+Projects!$D$29),Projects!$B$29*INDEX(Curves!$B$4:$AR$4,1,66-Projects!$C$29+1),0)+IF(AND(Projects!$G$30="Yes",Projects!$M$30="Yes",66&gt;=Projects!$C$30,66&lt;Projects!$C$30+Projects!$D$30),Projects!$B$30*INDEX(Curves!$B$4:$AR$4,1,66-Projects!$C$30+1),0)+IF(AND(Projects!$G$31="Yes",Projects!$M$31="Yes",66&gt;=Projects!$C$31,66&lt;Projects!$C$31+Projects!$D$31),Projects!$B$31*INDEX(Curves!$B$4:$AR$4,1,66-Projects!$C$31+1),0)+IF(AND(Projects!$G$32="Yes",Projects!$M$32="Yes",66&gt;=Projects!$C$32,66&lt;Projects!$C$32+Projects!$D$32),Projects!$B$32*INDEX(Curves!$B$4:$AR$4,1,66-Projects!$C$32+1),0)+IF(AND(Projects!$G$33="Yes",Projects!$M$33="Yes",66&gt;=Projects!$C$33,66&lt;Projects!$C$33+Projects!$D$33),Projects!$B$33*INDEX(Curves!$B$4:$AR$4,1,66-Projects!$C$33+1),0)+IF(AND(Projects!$G$34="Yes",Projects!$M$34="Yes",66&gt;=Projects!$C$34,66&lt;Projects!$C$34+Projects!$D$34),Projects!$B$34*INDEX(Curves!$B$4:$AR$4,1,66-Projects!$C$34+1),0)+IF(AND(Projects!$G$35="Yes",Projects!$M$35="Yes",66&gt;=Projects!$C$35,66&lt;Projects!$C$35+Projects!$D$35),Projects!$B$35*INDEX(Curves!$B$4:$AR$4,1,66-Projects!$C$35+1),0)+IF(AND(Projects!$G$36="Yes",Projects!$M$36="Yes",66&gt;=Projects!$C$36,66&lt;Projects!$C$36+Projects!$D$36),Projects!$B$36*INDEX(Curves!$B$4:$AR$4,1,66-Projects!$C$36+1),0)+IF(AND(Projects!$G$37="Yes",Projects!$M$37="Yes",66&gt;=Projects!$C$37,66&lt;Projects!$C$37+Projects!$D$37),Projects!$B$37*INDEX(Curves!$B$4:$AR$4,1,66-Projects!$C$37+1),0)+IF(AND(Projects!$G$38="Yes",Projects!$M$38="Yes",66&gt;=Projects!$C$38,66&lt;Projects!$C$38+Projects!$D$38),Projects!$B$38*INDEX(Curves!$B$4:$AR$4,1,66-Projects!$C$38+1),0)+IF(AND(Projects!$G$39="Yes",Projects!$M$39="Yes",66&gt;=Projects!$C$39,66&lt;Projects!$C$39+Projects!$D$39),Projects!$B$39*INDEX(Curves!$B$4:$AR$4,1,66-Projects!$C$39+1),0)+IF(AND(Projects!$G$40="Yes",Projects!$M$40="Yes",66&gt;=Projects!$C$40,66&lt;Projects!$C$40+Projects!$D$40),Projects!$B$40*INDEX(Curves!$B$4:$AR$4,1,66-Projects!$C$40+1),0)+IF(AND(Projects!$G$41="Yes",Projects!$M$41="Yes",66&gt;=Projects!$C$41,66&lt;Projects!$C$41+Projects!$D$41),Projects!$B$41*INDEX(Curves!$B$4:$AR$4,1,66-Projects!$C$41+1),0)+IF(AND(Projects!$G$42="Yes",Projects!$M$42="Yes",66&gt;=Projects!$C$42,66&lt;Projects!$C$42+Projects!$D$42),Projects!$B$42*INDEX(Curves!$B$4:$AR$4,1,66-Projects!$C$42+1),0)+IF(AND(Projects!$G$43="Yes",Projects!$M$43="Yes",66&gt;=Projects!$C$43,66&lt;Projects!$C$43+Projects!$D$43),Projects!$B$43*INDEX(Curves!$B$4:$AR$4,1,66-Projects!$C$43+1),0)+IF(AND(Projects!$G$44="Yes",Projects!$M$44="Yes",66&gt;=Projects!$C$44,66&lt;Projects!$C$44+Projects!$D$44),Projects!$B$44*INDEX(Curves!$B$4:$AR$4,1,66-Projects!$C$44+1),0)+IF(AND(Projects!$G$45="Yes",Projects!$M$45="Yes",66&gt;=Projects!$C$45,66&lt;Projects!$C$45+Projects!$D$45),Projects!$B$45*INDEX(Curves!$B$4:$AR$4,1,66-Projects!$C$45+1),0)+IF(AND(Projects!$G$46="Yes",Projects!$M$46="Yes",66&gt;=Projects!$C$46,66&lt;Projects!$C$46+Projects!$D$46),Projects!$B$46*INDEX(Curves!$B$4:$AR$4,1,66-Projects!$C$46+1),0)</f>
        <v/>
      </c>
      <c r="BT101" s="691">
        <f>IF(AND(Projects!$G$17="Yes",Projects!$M$17="Yes",67&gt;=Projects!$C$17,67&lt;Projects!$C$17+Projects!$D$17),Projects!$B$17*INDEX(Curves!$B$4:$AR$4,1,67-Projects!$C$17+1),0)+IF(AND(Projects!$G$18="Yes",Projects!$M$18="Yes",67&gt;=Projects!$C$18,67&lt;Projects!$C$18+Projects!$D$18),Projects!$B$18*INDEX(Curves!$B$4:$AR$4,1,67-Projects!$C$18+1),0)+IF(AND(Projects!$G$19="Yes",Projects!$M$19="Yes",67&gt;=Projects!$C$19,67&lt;Projects!$C$19+Projects!$D$19),Projects!$B$19*INDEX(Curves!$B$4:$AR$4,1,67-Projects!$C$19+1),0)+IF(AND(Projects!$G$20="Yes",Projects!$M$20="Yes",67&gt;=Projects!$C$20,67&lt;Projects!$C$20+Projects!$D$20),Projects!$B$20*INDEX(Curves!$B$4:$AR$4,1,67-Projects!$C$20+1),0)+IF(AND(Projects!$G$21="Yes",Projects!$M$21="Yes",67&gt;=Projects!$C$21,67&lt;Projects!$C$21+Projects!$D$21),Projects!$B$21*INDEX(Curves!$B$4:$AR$4,1,67-Projects!$C$21+1),0)+IF(AND(Projects!$G$22="Yes",Projects!$M$22="Yes",67&gt;=Projects!$C$22,67&lt;Projects!$C$22+Projects!$D$22),Projects!$B$22*INDEX(Curves!$B$4:$AR$4,1,67-Projects!$C$22+1),0)+IF(AND(Projects!$G$23="Yes",Projects!$M$23="Yes",67&gt;=Projects!$C$23,67&lt;Projects!$C$23+Projects!$D$23),Projects!$B$23*INDEX(Curves!$B$4:$AR$4,1,67-Projects!$C$23+1),0)+IF(AND(Projects!$G$24="Yes",Projects!$M$24="Yes",67&gt;=Projects!$C$24,67&lt;Projects!$C$24+Projects!$D$24),Projects!$B$24*INDEX(Curves!$B$4:$AR$4,1,67-Projects!$C$24+1),0)+IF(AND(Projects!$G$25="Yes",Projects!$M$25="Yes",67&gt;=Projects!$C$25,67&lt;Projects!$C$25+Projects!$D$25),Projects!$B$25*INDEX(Curves!$B$4:$AR$4,1,67-Projects!$C$25+1),0)+IF(AND(Projects!$G$26="Yes",Projects!$M$26="Yes",67&gt;=Projects!$C$26,67&lt;Projects!$C$26+Projects!$D$26),Projects!$B$26*INDEX(Curves!$B$4:$AR$4,1,67-Projects!$C$26+1),0)+IF(AND(Projects!$G$27="Yes",Projects!$M$27="Yes",67&gt;=Projects!$C$27,67&lt;Projects!$C$27+Projects!$D$27),Projects!$B$27*INDEX(Curves!$B$4:$AR$4,1,67-Projects!$C$27+1),0)+IF(AND(Projects!$G$28="Yes",Projects!$M$28="Yes",67&gt;=Projects!$C$28,67&lt;Projects!$C$28+Projects!$D$28),Projects!$B$28*INDEX(Curves!$B$4:$AR$4,1,67-Projects!$C$28+1),0)+IF(AND(Projects!$G$29="Yes",Projects!$M$29="Yes",67&gt;=Projects!$C$29,67&lt;Projects!$C$29+Projects!$D$29),Projects!$B$29*INDEX(Curves!$B$4:$AR$4,1,67-Projects!$C$29+1),0)+IF(AND(Projects!$G$30="Yes",Projects!$M$30="Yes",67&gt;=Projects!$C$30,67&lt;Projects!$C$30+Projects!$D$30),Projects!$B$30*INDEX(Curves!$B$4:$AR$4,1,67-Projects!$C$30+1),0)+IF(AND(Projects!$G$31="Yes",Projects!$M$31="Yes",67&gt;=Projects!$C$31,67&lt;Projects!$C$31+Projects!$D$31),Projects!$B$31*INDEX(Curves!$B$4:$AR$4,1,67-Projects!$C$31+1),0)+IF(AND(Projects!$G$32="Yes",Projects!$M$32="Yes",67&gt;=Projects!$C$32,67&lt;Projects!$C$32+Projects!$D$32),Projects!$B$32*INDEX(Curves!$B$4:$AR$4,1,67-Projects!$C$32+1),0)+IF(AND(Projects!$G$33="Yes",Projects!$M$33="Yes",67&gt;=Projects!$C$33,67&lt;Projects!$C$33+Projects!$D$33),Projects!$B$33*INDEX(Curves!$B$4:$AR$4,1,67-Projects!$C$33+1),0)+IF(AND(Projects!$G$34="Yes",Projects!$M$34="Yes",67&gt;=Projects!$C$34,67&lt;Projects!$C$34+Projects!$D$34),Projects!$B$34*INDEX(Curves!$B$4:$AR$4,1,67-Projects!$C$34+1),0)+IF(AND(Projects!$G$35="Yes",Projects!$M$35="Yes",67&gt;=Projects!$C$35,67&lt;Projects!$C$35+Projects!$D$35),Projects!$B$35*INDEX(Curves!$B$4:$AR$4,1,67-Projects!$C$35+1),0)+IF(AND(Projects!$G$36="Yes",Projects!$M$36="Yes",67&gt;=Projects!$C$36,67&lt;Projects!$C$36+Projects!$D$36),Projects!$B$36*INDEX(Curves!$B$4:$AR$4,1,67-Projects!$C$36+1),0)+IF(AND(Projects!$G$37="Yes",Projects!$M$37="Yes",67&gt;=Projects!$C$37,67&lt;Projects!$C$37+Projects!$D$37),Projects!$B$37*INDEX(Curves!$B$4:$AR$4,1,67-Projects!$C$37+1),0)+IF(AND(Projects!$G$38="Yes",Projects!$M$38="Yes",67&gt;=Projects!$C$38,67&lt;Projects!$C$38+Projects!$D$38),Projects!$B$38*INDEX(Curves!$B$4:$AR$4,1,67-Projects!$C$38+1),0)+IF(AND(Projects!$G$39="Yes",Projects!$M$39="Yes",67&gt;=Projects!$C$39,67&lt;Projects!$C$39+Projects!$D$39),Projects!$B$39*INDEX(Curves!$B$4:$AR$4,1,67-Projects!$C$39+1),0)+IF(AND(Projects!$G$40="Yes",Projects!$M$40="Yes",67&gt;=Projects!$C$40,67&lt;Projects!$C$40+Projects!$D$40),Projects!$B$40*INDEX(Curves!$B$4:$AR$4,1,67-Projects!$C$40+1),0)+IF(AND(Projects!$G$41="Yes",Projects!$M$41="Yes",67&gt;=Projects!$C$41,67&lt;Projects!$C$41+Projects!$D$41),Projects!$B$41*INDEX(Curves!$B$4:$AR$4,1,67-Projects!$C$41+1),0)+IF(AND(Projects!$G$42="Yes",Projects!$M$42="Yes",67&gt;=Projects!$C$42,67&lt;Projects!$C$42+Projects!$D$42),Projects!$B$42*INDEX(Curves!$B$4:$AR$4,1,67-Projects!$C$42+1),0)+IF(AND(Projects!$G$43="Yes",Projects!$M$43="Yes",67&gt;=Projects!$C$43,67&lt;Projects!$C$43+Projects!$D$43),Projects!$B$43*INDEX(Curves!$B$4:$AR$4,1,67-Projects!$C$43+1),0)+IF(AND(Projects!$G$44="Yes",Projects!$M$44="Yes",67&gt;=Projects!$C$44,67&lt;Projects!$C$44+Projects!$D$44),Projects!$B$44*INDEX(Curves!$B$4:$AR$4,1,67-Projects!$C$44+1),0)+IF(AND(Projects!$G$45="Yes",Projects!$M$45="Yes",67&gt;=Projects!$C$45,67&lt;Projects!$C$45+Projects!$D$45),Projects!$B$45*INDEX(Curves!$B$4:$AR$4,1,67-Projects!$C$45+1),0)+IF(AND(Projects!$G$46="Yes",Projects!$M$46="Yes",67&gt;=Projects!$C$46,67&lt;Projects!$C$46+Projects!$D$46),Projects!$B$46*INDEX(Curves!$B$4:$AR$4,1,67-Projects!$C$46+1),0)</f>
        <v/>
      </c>
      <c r="BU101" s="691">
        <f>IF(AND(Projects!$G$17="Yes",Projects!$M$17="Yes",68&gt;=Projects!$C$17,68&lt;Projects!$C$17+Projects!$D$17),Projects!$B$17*INDEX(Curves!$B$4:$AR$4,1,68-Projects!$C$17+1),0)+IF(AND(Projects!$G$18="Yes",Projects!$M$18="Yes",68&gt;=Projects!$C$18,68&lt;Projects!$C$18+Projects!$D$18),Projects!$B$18*INDEX(Curves!$B$4:$AR$4,1,68-Projects!$C$18+1),0)+IF(AND(Projects!$G$19="Yes",Projects!$M$19="Yes",68&gt;=Projects!$C$19,68&lt;Projects!$C$19+Projects!$D$19),Projects!$B$19*INDEX(Curves!$B$4:$AR$4,1,68-Projects!$C$19+1),0)+IF(AND(Projects!$G$20="Yes",Projects!$M$20="Yes",68&gt;=Projects!$C$20,68&lt;Projects!$C$20+Projects!$D$20),Projects!$B$20*INDEX(Curves!$B$4:$AR$4,1,68-Projects!$C$20+1),0)+IF(AND(Projects!$G$21="Yes",Projects!$M$21="Yes",68&gt;=Projects!$C$21,68&lt;Projects!$C$21+Projects!$D$21),Projects!$B$21*INDEX(Curves!$B$4:$AR$4,1,68-Projects!$C$21+1),0)+IF(AND(Projects!$G$22="Yes",Projects!$M$22="Yes",68&gt;=Projects!$C$22,68&lt;Projects!$C$22+Projects!$D$22),Projects!$B$22*INDEX(Curves!$B$4:$AR$4,1,68-Projects!$C$22+1),0)+IF(AND(Projects!$G$23="Yes",Projects!$M$23="Yes",68&gt;=Projects!$C$23,68&lt;Projects!$C$23+Projects!$D$23),Projects!$B$23*INDEX(Curves!$B$4:$AR$4,1,68-Projects!$C$23+1),0)+IF(AND(Projects!$G$24="Yes",Projects!$M$24="Yes",68&gt;=Projects!$C$24,68&lt;Projects!$C$24+Projects!$D$24),Projects!$B$24*INDEX(Curves!$B$4:$AR$4,1,68-Projects!$C$24+1),0)+IF(AND(Projects!$G$25="Yes",Projects!$M$25="Yes",68&gt;=Projects!$C$25,68&lt;Projects!$C$25+Projects!$D$25),Projects!$B$25*INDEX(Curves!$B$4:$AR$4,1,68-Projects!$C$25+1),0)+IF(AND(Projects!$G$26="Yes",Projects!$M$26="Yes",68&gt;=Projects!$C$26,68&lt;Projects!$C$26+Projects!$D$26),Projects!$B$26*INDEX(Curves!$B$4:$AR$4,1,68-Projects!$C$26+1),0)+IF(AND(Projects!$G$27="Yes",Projects!$M$27="Yes",68&gt;=Projects!$C$27,68&lt;Projects!$C$27+Projects!$D$27),Projects!$B$27*INDEX(Curves!$B$4:$AR$4,1,68-Projects!$C$27+1),0)+IF(AND(Projects!$G$28="Yes",Projects!$M$28="Yes",68&gt;=Projects!$C$28,68&lt;Projects!$C$28+Projects!$D$28),Projects!$B$28*INDEX(Curves!$B$4:$AR$4,1,68-Projects!$C$28+1),0)+IF(AND(Projects!$G$29="Yes",Projects!$M$29="Yes",68&gt;=Projects!$C$29,68&lt;Projects!$C$29+Projects!$D$29),Projects!$B$29*INDEX(Curves!$B$4:$AR$4,1,68-Projects!$C$29+1),0)+IF(AND(Projects!$G$30="Yes",Projects!$M$30="Yes",68&gt;=Projects!$C$30,68&lt;Projects!$C$30+Projects!$D$30),Projects!$B$30*INDEX(Curves!$B$4:$AR$4,1,68-Projects!$C$30+1),0)+IF(AND(Projects!$G$31="Yes",Projects!$M$31="Yes",68&gt;=Projects!$C$31,68&lt;Projects!$C$31+Projects!$D$31),Projects!$B$31*INDEX(Curves!$B$4:$AR$4,1,68-Projects!$C$31+1),0)+IF(AND(Projects!$G$32="Yes",Projects!$M$32="Yes",68&gt;=Projects!$C$32,68&lt;Projects!$C$32+Projects!$D$32),Projects!$B$32*INDEX(Curves!$B$4:$AR$4,1,68-Projects!$C$32+1),0)+IF(AND(Projects!$G$33="Yes",Projects!$M$33="Yes",68&gt;=Projects!$C$33,68&lt;Projects!$C$33+Projects!$D$33),Projects!$B$33*INDEX(Curves!$B$4:$AR$4,1,68-Projects!$C$33+1),0)+IF(AND(Projects!$G$34="Yes",Projects!$M$34="Yes",68&gt;=Projects!$C$34,68&lt;Projects!$C$34+Projects!$D$34),Projects!$B$34*INDEX(Curves!$B$4:$AR$4,1,68-Projects!$C$34+1),0)+IF(AND(Projects!$G$35="Yes",Projects!$M$35="Yes",68&gt;=Projects!$C$35,68&lt;Projects!$C$35+Projects!$D$35),Projects!$B$35*INDEX(Curves!$B$4:$AR$4,1,68-Projects!$C$35+1),0)+IF(AND(Projects!$G$36="Yes",Projects!$M$36="Yes",68&gt;=Projects!$C$36,68&lt;Projects!$C$36+Projects!$D$36),Projects!$B$36*INDEX(Curves!$B$4:$AR$4,1,68-Projects!$C$36+1),0)+IF(AND(Projects!$G$37="Yes",Projects!$M$37="Yes",68&gt;=Projects!$C$37,68&lt;Projects!$C$37+Projects!$D$37),Projects!$B$37*INDEX(Curves!$B$4:$AR$4,1,68-Projects!$C$37+1),0)+IF(AND(Projects!$G$38="Yes",Projects!$M$38="Yes",68&gt;=Projects!$C$38,68&lt;Projects!$C$38+Projects!$D$38),Projects!$B$38*INDEX(Curves!$B$4:$AR$4,1,68-Projects!$C$38+1),0)+IF(AND(Projects!$G$39="Yes",Projects!$M$39="Yes",68&gt;=Projects!$C$39,68&lt;Projects!$C$39+Projects!$D$39),Projects!$B$39*INDEX(Curves!$B$4:$AR$4,1,68-Projects!$C$39+1),0)+IF(AND(Projects!$G$40="Yes",Projects!$M$40="Yes",68&gt;=Projects!$C$40,68&lt;Projects!$C$40+Projects!$D$40),Projects!$B$40*INDEX(Curves!$B$4:$AR$4,1,68-Projects!$C$40+1),0)+IF(AND(Projects!$G$41="Yes",Projects!$M$41="Yes",68&gt;=Projects!$C$41,68&lt;Projects!$C$41+Projects!$D$41),Projects!$B$41*INDEX(Curves!$B$4:$AR$4,1,68-Projects!$C$41+1),0)+IF(AND(Projects!$G$42="Yes",Projects!$M$42="Yes",68&gt;=Projects!$C$42,68&lt;Projects!$C$42+Projects!$D$42),Projects!$B$42*INDEX(Curves!$B$4:$AR$4,1,68-Projects!$C$42+1),0)+IF(AND(Projects!$G$43="Yes",Projects!$M$43="Yes",68&gt;=Projects!$C$43,68&lt;Projects!$C$43+Projects!$D$43),Projects!$B$43*INDEX(Curves!$B$4:$AR$4,1,68-Projects!$C$43+1),0)+IF(AND(Projects!$G$44="Yes",Projects!$M$44="Yes",68&gt;=Projects!$C$44,68&lt;Projects!$C$44+Projects!$D$44),Projects!$B$44*INDEX(Curves!$B$4:$AR$4,1,68-Projects!$C$44+1),0)+IF(AND(Projects!$G$45="Yes",Projects!$M$45="Yes",68&gt;=Projects!$C$45,68&lt;Projects!$C$45+Projects!$D$45),Projects!$B$45*INDEX(Curves!$B$4:$AR$4,1,68-Projects!$C$45+1),0)+IF(AND(Projects!$G$46="Yes",Projects!$M$46="Yes",68&gt;=Projects!$C$46,68&lt;Projects!$C$46+Projects!$D$46),Projects!$B$46*INDEX(Curves!$B$4:$AR$4,1,68-Projects!$C$46+1),0)</f>
        <v/>
      </c>
      <c r="BV101" s="691">
        <f>IF(AND(Projects!$G$17="Yes",Projects!$M$17="Yes",69&gt;=Projects!$C$17,69&lt;Projects!$C$17+Projects!$D$17),Projects!$B$17*INDEX(Curves!$B$4:$AR$4,1,69-Projects!$C$17+1),0)+IF(AND(Projects!$G$18="Yes",Projects!$M$18="Yes",69&gt;=Projects!$C$18,69&lt;Projects!$C$18+Projects!$D$18),Projects!$B$18*INDEX(Curves!$B$4:$AR$4,1,69-Projects!$C$18+1),0)+IF(AND(Projects!$G$19="Yes",Projects!$M$19="Yes",69&gt;=Projects!$C$19,69&lt;Projects!$C$19+Projects!$D$19),Projects!$B$19*INDEX(Curves!$B$4:$AR$4,1,69-Projects!$C$19+1),0)+IF(AND(Projects!$G$20="Yes",Projects!$M$20="Yes",69&gt;=Projects!$C$20,69&lt;Projects!$C$20+Projects!$D$20),Projects!$B$20*INDEX(Curves!$B$4:$AR$4,1,69-Projects!$C$20+1),0)+IF(AND(Projects!$G$21="Yes",Projects!$M$21="Yes",69&gt;=Projects!$C$21,69&lt;Projects!$C$21+Projects!$D$21),Projects!$B$21*INDEX(Curves!$B$4:$AR$4,1,69-Projects!$C$21+1),0)+IF(AND(Projects!$G$22="Yes",Projects!$M$22="Yes",69&gt;=Projects!$C$22,69&lt;Projects!$C$22+Projects!$D$22),Projects!$B$22*INDEX(Curves!$B$4:$AR$4,1,69-Projects!$C$22+1),0)+IF(AND(Projects!$G$23="Yes",Projects!$M$23="Yes",69&gt;=Projects!$C$23,69&lt;Projects!$C$23+Projects!$D$23),Projects!$B$23*INDEX(Curves!$B$4:$AR$4,1,69-Projects!$C$23+1),0)+IF(AND(Projects!$G$24="Yes",Projects!$M$24="Yes",69&gt;=Projects!$C$24,69&lt;Projects!$C$24+Projects!$D$24),Projects!$B$24*INDEX(Curves!$B$4:$AR$4,1,69-Projects!$C$24+1),0)+IF(AND(Projects!$G$25="Yes",Projects!$M$25="Yes",69&gt;=Projects!$C$25,69&lt;Projects!$C$25+Projects!$D$25),Projects!$B$25*INDEX(Curves!$B$4:$AR$4,1,69-Projects!$C$25+1),0)+IF(AND(Projects!$G$26="Yes",Projects!$M$26="Yes",69&gt;=Projects!$C$26,69&lt;Projects!$C$26+Projects!$D$26),Projects!$B$26*INDEX(Curves!$B$4:$AR$4,1,69-Projects!$C$26+1),0)+IF(AND(Projects!$G$27="Yes",Projects!$M$27="Yes",69&gt;=Projects!$C$27,69&lt;Projects!$C$27+Projects!$D$27),Projects!$B$27*INDEX(Curves!$B$4:$AR$4,1,69-Projects!$C$27+1),0)+IF(AND(Projects!$G$28="Yes",Projects!$M$28="Yes",69&gt;=Projects!$C$28,69&lt;Projects!$C$28+Projects!$D$28),Projects!$B$28*INDEX(Curves!$B$4:$AR$4,1,69-Projects!$C$28+1),0)+IF(AND(Projects!$G$29="Yes",Projects!$M$29="Yes",69&gt;=Projects!$C$29,69&lt;Projects!$C$29+Projects!$D$29),Projects!$B$29*INDEX(Curves!$B$4:$AR$4,1,69-Projects!$C$29+1),0)+IF(AND(Projects!$G$30="Yes",Projects!$M$30="Yes",69&gt;=Projects!$C$30,69&lt;Projects!$C$30+Projects!$D$30),Projects!$B$30*INDEX(Curves!$B$4:$AR$4,1,69-Projects!$C$30+1),0)+IF(AND(Projects!$G$31="Yes",Projects!$M$31="Yes",69&gt;=Projects!$C$31,69&lt;Projects!$C$31+Projects!$D$31),Projects!$B$31*INDEX(Curves!$B$4:$AR$4,1,69-Projects!$C$31+1),0)+IF(AND(Projects!$G$32="Yes",Projects!$M$32="Yes",69&gt;=Projects!$C$32,69&lt;Projects!$C$32+Projects!$D$32),Projects!$B$32*INDEX(Curves!$B$4:$AR$4,1,69-Projects!$C$32+1),0)+IF(AND(Projects!$G$33="Yes",Projects!$M$33="Yes",69&gt;=Projects!$C$33,69&lt;Projects!$C$33+Projects!$D$33),Projects!$B$33*INDEX(Curves!$B$4:$AR$4,1,69-Projects!$C$33+1),0)+IF(AND(Projects!$G$34="Yes",Projects!$M$34="Yes",69&gt;=Projects!$C$34,69&lt;Projects!$C$34+Projects!$D$34),Projects!$B$34*INDEX(Curves!$B$4:$AR$4,1,69-Projects!$C$34+1),0)+IF(AND(Projects!$G$35="Yes",Projects!$M$35="Yes",69&gt;=Projects!$C$35,69&lt;Projects!$C$35+Projects!$D$35),Projects!$B$35*INDEX(Curves!$B$4:$AR$4,1,69-Projects!$C$35+1),0)+IF(AND(Projects!$G$36="Yes",Projects!$M$36="Yes",69&gt;=Projects!$C$36,69&lt;Projects!$C$36+Projects!$D$36),Projects!$B$36*INDEX(Curves!$B$4:$AR$4,1,69-Projects!$C$36+1),0)+IF(AND(Projects!$G$37="Yes",Projects!$M$37="Yes",69&gt;=Projects!$C$37,69&lt;Projects!$C$37+Projects!$D$37),Projects!$B$37*INDEX(Curves!$B$4:$AR$4,1,69-Projects!$C$37+1),0)+IF(AND(Projects!$G$38="Yes",Projects!$M$38="Yes",69&gt;=Projects!$C$38,69&lt;Projects!$C$38+Projects!$D$38),Projects!$B$38*INDEX(Curves!$B$4:$AR$4,1,69-Projects!$C$38+1),0)+IF(AND(Projects!$G$39="Yes",Projects!$M$39="Yes",69&gt;=Projects!$C$39,69&lt;Projects!$C$39+Projects!$D$39),Projects!$B$39*INDEX(Curves!$B$4:$AR$4,1,69-Projects!$C$39+1),0)+IF(AND(Projects!$G$40="Yes",Projects!$M$40="Yes",69&gt;=Projects!$C$40,69&lt;Projects!$C$40+Projects!$D$40),Projects!$B$40*INDEX(Curves!$B$4:$AR$4,1,69-Projects!$C$40+1),0)+IF(AND(Projects!$G$41="Yes",Projects!$M$41="Yes",69&gt;=Projects!$C$41,69&lt;Projects!$C$41+Projects!$D$41),Projects!$B$41*INDEX(Curves!$B$4:$AR$4,1,69-Projects!$C$41+1),0)+IF(AND(Projects!$G$42="Yes",Projects!$M$42="Yes",69&gt;=Projects!$C$42,69&lt;Projects!$C$42+Projects!$D$42),Projects!$B$42*INDEX(Curves!$B$4:$AR$4,1,69-Projects!$C$42+1),0)+IF(AND(Projects!$G$43="Yes",Projects!$M$43="Yes",69&gt;=Projects!$C$43,69&lt;Projects!$C$43+Projects!$D$43),Projects!$B$43*INDEX(Curves!$B$4:$AR$4,1,69-Projects!$C$43+1),0)+IF(AND(Projects!$G$44="Yes",Projects!$M$44="Yes",69&gt;=Projects!$C$44,69&lt;Projects!$C$44+Projects!$D$44),Projects!$B$44*INDEX(Curves!$B$4:$AR$4,1,69-Projects!$C$44+1),0)+IF(AND(Projects!$G$45="Yes",Projects!$M$45="Yes",69&gt;=Projects!$C$45,69&lt;Projects!$C$45+Projects!$D$45),Projects!$B$45*INDEX(Curves!$B$4:$AR$4,1,69-Projects!$C$45+1),0)+IF(AND(Projects!$G$46="Yes",Projects!$M$46="Yes",69&gt;=Projects!$C$46,69&lt;Projects!$C$46+Projects!$D$46),Projects!$B$46*INDEX(Curves!$B$4:$AR$4,1,69-Projects!$C$46+1),0)</f>
        <v/>
      </c>
      <c r="BW101" s="691">
        <f>IF(AND(Projects!$G$17="Yes",Projects!$M$17="Yes",70&gt;=Projects!$C$17,70&lt;Projects!$C$17+Projects!$D$17),Projects!$B$17*INDEX(Curves!$B$4:$AR$4,1,70-Projects!$C$17+1),0)+IF(AND(Projects!$G$18="Yes",Projects!$M$18="Yes",70&gt;=Projects!$C$18,70&lt;Projects!$C$18+Projects!$D$18),Projects!$B$18*INDEX(Curves!$B$4:$AR$4,1,70-Projects!$C$18+1),0)+IF(AND(Projects!$G$19="Yes",Projects!$M$19="Yes",70&gt;=Projects!$C$19,70&lt;Projects!$C$19+Projects!$D$19),Projects!$B$19*INDEX(Curves!$B$4:$AR$4,1,70-Projects!$C$19+1),0)+IF(AND(Projects!$G$20="Yes",Projects!$M$20="Yes",70&gt;=Projects!$C$20,70&lt;Projects!$C$20+Projects!$D$20),Projects!$B$20*INDEX(Curves!$B$4:$AR$4,1,70-Projects!$C$20+1),0)+IF(AND(Projects!$G$21="Yes",Projects!$M$21="Yes",70&gt;=Projects!$C$21,70&lt;Projects!$C$21+Projects!$D$21),Projects!$B$21*INDEX(Curves!$B$4:$AR$4,1,70-Projects!$C$21+1),0)+IF(AND(Projects!$G$22="Yes",Projects!$M$22="Yes",70&gt;=Projects!$C$22,70&lt;Projects!$C$22+Projects!$D$22),Projects!$B$22*INDEX(Curves!$B$4:$AR$4,1,70-Projects!$C$22+1),0)+IF(AND(Projects!$G$23="Yes",Projects!$M$23="Yes",70&gt;=Projects!$C$23,70&lt;Projects!$C$23+Projects!$D$23),Projects!$B$23*INDEX(Curves!$B$4:$AR$4,1,70-Projects!$C$23+1),0)+IF(AND(Projects!$G$24="Yes",Projects!$M$24="Yes",70&gt;=Projects!$C$24,70&lt;Projects!$C$24+Projects!$D$24),Projects!$B$24*INDEX(Curves!$B$4:$AR$4,1,70-Projects!$C$24+1),0)+IF(AND(Projects!$G$25="Yes",Projects!$M$25="Yes",70&gt;=Projects!$C$25,70&lt;Projects!$C$25+Projects!$D$25),Projects!$B$25*INDEX(Curves!$B$4:$AR$4,1,70-Projects!$C$25+1),0)+IF(AND(Projects!$G$26="Yes",Projects!$M$26="Yes",70&gt;=Projects!$C$26,70&lt;Projects!$C$26+Projects!$D$26),Projects!$B$26*INDEX(Curves!$B$4:$AR$4,1,70-Projects!$C$26+1),0)+IF(AND(Projects!$G$27="Yes",Projects!$M$27="Yes",70&gt;=Projects!$C$27,70&lt;Projects!$C$27+Projects!$D$27),Projects!$B$27*INDEX(Curves!$B$4:$AR$4,1,70-Projects!$C$27+1),0)+IF(AND(Projects!$G$28="Yes",Projects!$M$28="Yes",70&gt;=Projects!$C$28,70&lt;Projects!$C$28+Projects!$D$28),Projects!$B$28*INDEX(Curves!$B$4:$AR$4,1,70-Projects!$C$28+1),0)+IF(AND(Projects!$G$29="Yes",Projects!$M$29="Yes",70&gt;=Projects!$C$29,70&lt;Projects!$C$29+Projects!$D$29),Projects!$B$29*INDEX(Curves!$B$4:$AR$4,1,70-Projects!$C$29+1),0)+IF(AND(Projects!$G$30="Yes",Projects!$M$30="Yes",70&gt;=Projects!$C$30,70&lt;Projects!$C$30+Projects!$D$30),Projects!$B$30*INDEX(Curves!$B$4:$AR$4,1,70-Projects!$C$30+1),0)+IF(AND(Projects!$G$31="Yes",Projects!$M$31="Yes",70&gt;=Projects!$C$31,70&lt;Projects!$C$31+Projects!$D$31),Projects!$B$31*INDEX(Curves!$B$4:$AR$4,1,70-Projects!$C$31+1),0)+IF(AND(Projects!$G$32="Yes",Projects!$M$32="Yes",70&gt;=Projects!$C$32,70&lt;Projects!$C$32+Projects!$D$32),Projects!$B$32*INDEX(Curves!$B$4:$AR$4,1,70-Projects!$C$32+1),0)+IF(AND(Projects!$G$33="Yes",Projects!$M$33="Yes",70&gt;=Projects!$C$33,70&lt;Projects!$C$33+Projects!$D$33),Projects!$B$33*INDEX(Curves!$B$4:$AR$4,1,70-Projects!$C$33+1),0)+IF(AND(Projects!$G$34="Yes",Projects!$M$34="Yes",70&gt;=Projects!$C$34,70&lt;Projects!$C$34+Projects!$D$34),Projects!$B$34*INDEX(Curves!$B$4:$AR$4,1,70-Projects!$C$34+1),0)+IF(AND(Projects!$G$35="Yes",Projects!$M$35="Yes",70&gt;=Projects!$C$35,70&lt;Projects!$C$35+Projects!$D$35),Projects!$B$35*INDEX(Curves!$B$4:$AR$4,1,70-Projects!$C$35+1),0)+IF(AND(Projects!$G$36="Yes",Projects!$M$36="Yes",70&gt;=Projects!$C$36,70&lt;Projects!$C$36+Projects!$D$36),Projects!$B$36*INDEX(Curves!$B$4:$AR$4,1,70-Projects!$C$36+1),0)+IF(AND(Projects!$G$37="Yes",Projects!$M$37="Yes",70&gt;=Projects!$C$37,70&lt;Projects!$C$37+Projects!$D$37),Projects!$B$37*INDEX(Curves!$B$4:$AR$4,1,70-Projects!$C$37+1),0)+IF(AND(Projects!$G$38="Yes",Projects!$M$38="Yes",70&gt;=Projects!$C$38,70&lt;Projects!$C$38+Projects!$D$38),Projects!$B$38*INDEX(Curves!$B$4:$AR$4,1,70-Projects!$C$38+1),0)+IF(AND(Projects!$G$39="Yes",Projects!$M$39="Yes",70&gt;=Projects!$C$39,70&lt;Projects!$C$39+Projects!$D$39),Projects!$B$39*INDEX(Curves!$B$4:$AR$4,1,70-Projects!$C$39+1),0)+IF(AND(Projects!$G$40="Yes",Projects!$M$40="Yes",70&gt;=Projects!$C$40,70&lt;Projects!$C$40+Projects!$D$40),Projects!$B$40*INDEX(Curves!$B$4:$AR$4,1,70-Projects!$C$40+1),0)+IF(AND(Projects!$G$41="Yes",Projects!$M$41="Yes",70&gt;=Projects!$C$41,70&lt;Projects!$C$41+Projects!$D$41),Projects!$B$41*INDEX(Curves!$B$4:$AR$4,1,70-Projects!$C$41+1),0)+IF(AND(Projects!$G$42="Yes",Projects!$M$42="Yes",70&gt;=Projects!$C$42,70&lt;Projects!$C$42+Projects!$D$42),Projects!$B$42*INDEX(Curves!$B$4:$AR$4,1,70-Projects!$C$42+1),0)+IF(AND(Projects!$G$43="Yes",Projects!$M$43="Yes",70&gt;=Projects!$C$43,70&lt;Projects!$C$43+Projects!$D$43),Projects!$B$43*INDEX(Curves!$B$4:$AR$4,1,70-Projects!$C$43+1),0)+IF(AND(Projects!$G$44="Yes",Projects!$M$44="Yes",70&gt;=Projects!$C$44,70&lt;Projects!$C$44+Projects!$D$44),Projects!$B$44*INDEX(Curves!$B$4:$AR$4,1,70-Projects!$C$44+1),0)+IF(AND(Projects!$G$45="Yes",Projects!$M$45="Yes",70&gt;=Projects!$C$45,70&lt;Projects!$C$45+Projects!$D$45),Projects!$B$45*INDEX(Curves!$B$4:$AR$4,1,70-Projects!$C$45+1),0)+IF(AND(Projects!$G$46="Yes",Projects!$M$46="Yes",70&gt;=Projects!$C$46,70&lt;Projects!$C$46+Projects!$D$46),Projects!$B$46*INDEX(Curves!$B$4:$AR$4,1,70-Projects!$C$46+1),0)</f>
        <v/>
      </c>
      <c r="BX101" s="691">
        <f>IF(AND(Projects!$G$17="Yes",Projects!$M$17="Yes",71&gt;=Projects!$C$17,71&lt;Projects!$C$17+Projects!$D$17),Projects!$B$17*INDEX(Curves!$B$4:$AR$4,1,71-Projects!$C$17+1),0)+IF(AND(Projects!$G$18="Yes",Projects!$M$18="Yes",71&gt;=Projects!$C$18,71&lt;Projects!$C$18+Projects!$D$18),Projects!$B$18*INDEX(Curves!$B$4:$AR$4,1,71-Projects!$C$18+1),0)+IF(AND(Projects!$G$19="Yes",Projects!$M$19="Yes",71&gt;=Projects!$C$19,71&lt;Projects!$C$19+Projects!$D$19),Projects!$B$19*INDEX(Curves!$B$4:$AR$4,1,71-Projects!$C$19+1),0)+IF(AND(Projects!$G$20="Yes",Projects!$M$20="Yes",71&gt;=Projects!$C$20,71&lt;Projects!$C$20+Projects!$D$20),Projects!$B$20*INDEX(Curves!$B$4:$AR$4,1,71-Projects!$C$20+1),0)+IF(AND(Projects!$G$21="Yes",Projects!$M$21="Yes",71&gt;=Projects!$C$21,71&lt;Projects!$C$21+Projects!$D$21),Projects!$B$21*INDEX(Curves!$B$4:$AR$4,1,71-Projects!$C$21+1),0)+IF(AND(Projects!$G$22="Yes",Projects!$M$22="Yes",71&gt;=Projects!$C$22,71&lt;Projects!$C$22+Projects!$D$22),Projects!$B$22*INDEX(Curves!$B$4:$AR$4,1,71-Projects!$C$22+1),0)+IF(AND(Projects!$G$23="Yes",Projects!$M$23="Yes",71&gt;=Projects!$C$23,71&lt;Projects!$C$23+Projects!$D$23),Projects!$B$23*INDEX(Curves!$B$4:$AR$4,1,71-Projects!$C$23+1),0)+IF(AND(Projects!$G$24="Yes",Projects!$M$24="Yes",71&gt;=Projects!$C$24,71&lt;Projects!$C$24+Projects!$D$24),Projects!$B$24*INDEX(Curves!$B$4:$AR$4,1,71-Projects!$C$24+1),0)+IF(AND(Projects!$G$25="Yes",Projects!$M$25="Yes",71&gt;=Projects!$C$25,71&lt;Projects!$C$25+Projects!$D$25),Projects!$B$25*INDEX(Curves!$B$4:$AR$4,1,71-Projects!$C$25+1),0)+IF(AND(Projects!$G$26="Yes",Projects!$M$26="Yes",71&gt;=Projects!$C$26,71&lt;Projects!$C$26+Projects!$D$26),Projects!$B$26*INDEX(Curves!$B$4:$AR$4,1,71-Projects!$C$26+1),0)+IF(AND(Projects!$G$27="Yes",Projects!$M$27="Yes",71&gt;=Projects!$C$27,71&lt;Projects!$C$27+Projects!$D$27),Projects!$B$27*INDEX(Curves!$B$4:$AR$4,1,71-Projects!$C$27+1),0)+IF(AND(Projects!$G$28="Yes",Projects!$M$28="Yes",71&gt;=Projects!$C$28,71&lt;Projects!$C$28+Projects!$D$28),Projects!$B$28*INDEX(Curves!$B$4:$AR$4,1,71-Projects!$C$28+1),0)+IF(AND(Projects!$G$29="Yes",Projects!$M$29="Yes",71&gt;=Projects!$C$29,71&lt;Projects!$C$29+Projects!$D$29),Projects!$B$29*INDEX(Curves!$B$4:$AR$4,1,71-Projects!$C$29+1),0)+IF(AND(Projects!$G$30="Yes",Projects!$M$30="Yes",71&gt;=Projects!$C$30,71&lt;Projects!$C$30+Projects!$D$30),Projects!$B$30*INDEX(Curves!$B$4:$AR$4,1,71-Projects!$C$30+1),0)+IF(AND(Projects!$G$31="Yes",Projects!$M$31="Yes",71&gt;=Projects!$C$31,71&lt;Projects!$C$31+Projects!$D$31),Projects!$B$31*INDEX(Curves!$B$4:$AR$4,1,71-Projects!$C$31+1),0)+IF(AND(Projects!$G$32="Yes",Projects!$M$32="Yes",71&gt;=Projects!$C$32,71&lt;Projects!$C$32+Projects!$D$32),Projects!$B$32*INDEX(Curves!$B$4:$AR$4,1,71-Projects!$C$32+1),0)+IF(AND(Projects!$G$33="Yes",Projects!$M$33="Yes",71&gt;=Projects!$C$33,71&lt;Projects!$C$33+Projects!$D$33),Projects!$B$33*INDEX(Curves!$B$4:$AR$4,1,71-Projects!$C$33+1),0)+IF(AND(Projects!$G$34="Yes",Projects!$M$34="Yes",71&gt;=Projects!$C$34,71&lt;Projects!$C$34+Projects!$D$34),Projects!$B$34*INDEX(Curves!$B$4:$AR$4,1,71-Projects!$C$34+1),0)+IF(AND(Projects!$G$35="Yes",Projects!$M$35="Yes",71&gt;=Projects!$C$35,71&lt;Projects!$C$35+Projects!$D$35),Projects!$B$35*INDEX(Curves!$B$4:$AR$4,1,71-Projects!$C$35+1),0)+IF(AND(Projects!$G$36="Yes",Projects!$M$36="Yes",71&gt;=Projects!$C$36,71&lt;Projects!$C$36+Projects!$D$36),Projects!$B$36*INDEX(Curves!$B$4:$AR$4,1,71-Projects!$C$36+1),0)+IF(AND(Projects!$G$37="Yes",Projects!$M$37="Yes",71&gt;=Projects!$C$37,71&lt;Projects!$C$37+Projects!$D$37),Projects!$B$37*INDEX(Curves!$B$4:$AR$4,1,71-Projects!$C$37+1),0)+IF(AND(Projects!$G$38="Yes",Projects!$M$38="Yes",71&gt;=Projects!$C$38,71&lt;Projects!$C$38+Projects!$D$38),Projects!$B$38*INDEX(Curves!$B$4:$AR$4,1,71-Projects!$C$38+1),0)+IF(AND(Projects!$G$39="Yes",Projects!$M$39="Yes",71&gt;=Projects!$C$39,71&lt;Projects!$C$39+Projects!$D$39),Projects!$B$39*INDEX(Curves!$B$4:$AR$4,1,71-Projects!$C$39+1),0)+IF(AND(Projects!$G$40="Yes",Projects!$M$40="Yes",71&gt;=Projects!$C$40,71&lt;Projects!$C$40+Projects!$D$40),Projects!$B$40*INDEX(Curves!$B$4:$AR$4,1,71-Projects!$C$40+1),0)+IF(AND(Projects!$G$41="Yes",Projects!$M$41="Yes",71&gt;=Projects!$C$41,71&lt;Projects!$C$41+Projects!$D$41),Projects!$B$41*INDEX(Curves!$B$4:$AR$4,1,71-Projects!$C$41+1),0)+IF(AND(Projects!$G$42="Yes",Projects!$M$42="Yes",71&gt;=Projects!$C$42,71&lt;Projects!$C$42+Projects!$D$42),Projects!$B$42*INDEX(Curves!$B$4:$AR$4,1,71-Projects!$C$42+1),0)+IF(AND(Projects!$G$43="Yes",Projects!$M$43="Yes",71&gt;=Projects!$C$43,71&lt;Projects!$C$43+Projects!$D$43),Projects!$B$43*INDEX(Curves!$B$4:$AR$4,1,71-Projects!$C$43+1),0)+IF(AND(Projects!$G$44="Yes",Projects!$M$44="Yes",71&gt;=Projects!$C$44,71&lt;Projects!$C$44+Projects!$D$44),Projects!$B$44*INDEX(Curves!$B$4:$AR$4,1,71-Projects!$C$44+1),0)+IF(AND(Projects!$G$45="Yes",Projects!$M$45="Yes",71&gt;=Projects!$C$45,71&lt;Projects!$C$45+Projects!$D$45),Projects!$B$45*INDEX(Curves!$B$4:$AR$4,1,71-Projects!$C$45+1),0)+IF(AND(Projects!$G$46="Yes",Projects!$M$46="Yes",71&gt;=Projects!$C$46,71&lt;Projects!$C$46+Projects!$D$46),Projects!$B$46*INDEX(Curves!$B$4:$AR$4,1,71-Projects!$C$46+1),0)</f>
        <v/>
      </c>
      <c r="BY101" s="691">
        <f>IF(AND(Projects!$G$17="Yes",Projects!$M$17="Yes",72&gt;=Projects!$C$17,72&lt;Projects!$C$17+Projects!$D$17),Projects!$B$17*INDEX(Curves!$B$4:$AR$4,1,72-Projects!$C$17+1),0)+IF(AND(Projects!$G$18="Yes",Projects!$M$18="Yes",72&gt;=Projects!$C$18,72&lt;Projects!$C$18+Projects!$D$18),Projects!$B$18*INDEX(Curves!$B$4:$AR$4,1,72-Projects!$C$18+1),0)+IF(AND(Projects!$G$19="Yes",Projects!$M$19="Yes",72&gt;=Projects!$C$19,72&lt;Projects!$C$19+Projects!$D$19),Projects!$B$19*INDEX(Curves!$B$4:$AR$4,1,72-Projects!$C$19+1),0)+IF(AND(Projects!$G$20="Yes",Projects!$M$20="Yes",72&gt;=Projects!$C$20,72&lt;Projects!$C$20+Projects!$D$20),Projects!$B$20*INDEX(Curves!$B$4:$AR$4,1,72-Projects!$C$20+1),0)+IF(AND(Projects!$G$21="Yes",Projects!$M$21="Yes",72&gt;=Projects!$C$21,72&lt;Projects!$C$21+Projects!$D$21),Projects!$B$21*INDEX(Curves!$B$4:$AR$4,1,72-Projects!$C$21+1),0)+IF(AND(Projects!$G$22="Yes",Projects!$M$22="Yes",72&gt;=Projects!$C$22,72&lt;Projects!$C$22+Projects!$D$22),Projects!$B$22*INDEX(Curves!$B$4:$AR$4,1,72-Projects!$C$22+1),0)+IF(AND(Projects!$G$23="Yes",Projects!$M$23="Yes",72&gt;=Projects!$C$23,72&lt;Projects!$C$23+Projects!$D$23),Projects!$B$23*INDEX(Curves!$B$4:$AR$4,1,72-Projects!$C$23+1),0)+IF(AND(Projects!$G$24="Yes",Projects!$M$24="Yes",72&gt;=Projects!$C$24,72&lt;Projects!$C$24+Projects!$D$24),Projects!$B$24*INDEX(Curves!$B$4:$AR$4,1,72-Projects!$C$24+1),0)+IF(AND(Projects!$G$25="Yes",Projects!$M$25="Yes",72&gt;=Projects!$C$25,72&lt;Projects!$C$25+Projects!$D$25),Projects!$B$25*INDEX(Curves!$B$4:$AR$4,1,72-Projects!$C$25+1),0)+IF(AND(Projects!$G$26="Yes",Projects!$M$26="Yes",72&gt;=Projects!$C$26,72&lt;Projects!$C$26+Projects!$D$26),Projects!$B$26*INDEX(Curves!$B$4:$AR$4,1,72-Projects!$C$26+1),0)+IF(AND(Projects!$G$27="Yes",Projects!$M$27="Yes",72&gt;=Projects!$C$27,72&lt;Projects!$C$27+Projects!$D$27),Projects!$B$27*INDEX(Curves!$B$4:$AR$4,1,72-Projects!$C$27+1),0)+IF(AND(Projects!$G$28="Yes",Projects!$M$28="Yes",72&gt;=Projects!$C$28,72&lt;Projects!$C$28+Projects!$D$28),Projects!$B$28*INDEX(Curves!$B$4:$AR$4,1,72-Projects!$C$28+1),0)+IF(AND(Projects!$G$29="Yes",Projects!$M$29="Yes",72&gt;=Projects!$C$29,72&lt;Projects!$C$29+Projects!$D$29),Projects!$B$29*INDEX(Curves!$B$4:$AR$4,1,72-Projects!$C$29+1),0)+IF(AND(Projects!$G$30="Yes",Projects!$M$30="Yes",72&gt;=Projects!$C$30,72&lt;Projects!$C$30+Projects!$D$30),Projects!$B$30*INDEX(Curves!$B$4:$AR$4,1,72-Projects!$C$30+1),0)+IF(AND(Projects!$G$31="Yes",Projects!$M$31="Yes",72&gt;=Projects!$C$31,72&lt;Projects!$C$31+Projects!$D$31),Projects!$B$31*INDEX(Curves!$B$4:$AR$4,1,72-Projects!$C$31+1),0)+IF(AND(Projects!$G$32="Yes",Projects!$M$32="Yes",72&gt;=Projects!$C$32,72&lt;Projects!$C$32+Projects!$D$32),Projects!$B$32*INDEX(Curves!$B$4:$AR$4,1,72-Projects!$C$32+1),0)+IF(AND(Projects!$G$33="Yes",Projects!$M$33="Yes",72&gt;=Projects!$C$33,72&lt;Projects!$C$33+Projects!$D$33),Projects!$B$33*INDEX(Curves!$B$4:$AR$4,1,72-Projects!$C$33+1),0)+IF(AND(Projects!$G$34="Yes",Projects!$M$34="Yes",72&gt;=Projects!$C$34,72&lt;Projects!$C$34+Projects!$D$34),Projects!$B$34*INDEX(Curves!$B$4:$AR$4,1,72-Projects!$C$34+1),0)+IF(AND(Projects!$G$35="Yes",Projects!$M$35="Yes",72&gt;=Projects!$C$35,72&lt;Projects!$C$35+Projects!$D$35),Projects!$B$35*INDEX(Curves!$B$4:$AR$4,1,72-Projects!$C$35+1),0)+IF(AND(Projects!$G$36="Yes",Projects!$M$36="Yes",72&gt;=Projects!$C$36,72&lt;Projects!$C$36+Projects!$D$36),Projects!$B$36*INDEX(Curves!$B$4:$AR$4,1,72-Projects!$C$36+1),0)+IF(AND(Projects!$G$37="Yes",Projects!$M$37="Yes",72&gt;=Projects!$C$37,72&lt;Projects!$C$37+Projects!$D$37),Projects!$B$37*INDEX(Curves!$B$4:$AR$4,1,72-Projects!$C$37+1),0)+IF(AND(Projects!$G$38="Yes",Projects!$M$38="Yes",72&gt;=Projects!$C$38,72&lt;Projects!$C$38+Projects!$D$38),Projects!$B$38*INDEX(Curves!$B$4:$AR$4,1,72-Projects!$C$38+1),0)+IF(AND(Projects!$G$39="Yes",Projects!$M$39="Yes",72&gt;=Projects!$C$39,72&lt;Projects!$C$39+Projects!$D$39),Projects!$B$39*INDEX(Curves!$B$4:$AR$4,1,72-Projects!$C$39+1),0)+IF(AND(Projects!$G$40="Yes",Projects!$M$40="Yes",72&gt;=Projects!$C$40,72&lt;Projects!$C$40+Projects!$D$40),Projects!$B$40*INDEX(Curves!$B$4:$AR$4,1,72-Projects!$C$40+1),0)+IF(AND(Projects!$G$41="Yes",Projects!$M$41="Yes",72&gt;=Projects!$C$41,72&lt;Projects!$C$41+Projects!$D$41),Projects!$B$41*INDEX(Curves!$B$4:$AR$4,1,72-Projects!$C$41+1),0)+IF(AND(Projects!$G$42="Yes",Projects!$M$42="Yes",72&gt;=Projects!$C$42,72&lt;Projects!$C$42+Projects!$D$42),Projects!$B$42*INDEX(Curves!$B$4:$AR$4,1,72-Projects!$C$42+1),0)+IF(AND(Projects!$G$43="Yes",Projects!$M$43="Yes",72&gt;=Projects!$C$43,72&lt;Projects!$C$43+Projects!$D$43),Projects!$B$43*INDEX(Curves!$B$4:$AR$4,1,72-Projects!$C$43+1),0)+IF(AND(Projects!$G$44="Yes",Projects!$M$44="Yes",72&gt;=Projects!$C$44,72&lt;Projects!$C$44+Projects!$D$44),Projects!$B$44*INDEX(Curves!$B$4:$AR$4,1,72-Projects!$C$44+1),0)+IF(AND(Projects!$G$45="Yes",Projects!$M$45="Yes",72&gt;=Projects!$C$45,72&lt;Projects!$C$45+Projects!$D$45),Projects!$B$45*INDEX(Curves!$B$4:$AR$4,1,72-Projects!$C$45+1),0)+IF(AND(Projects!$G$46="Yes",Projects!$M$46="Yes",72&gt;=Projects!$C$46,72&lt;Projects!$C$46+Projects!$D$46),Projects!$B$46*INDEX(Curves!$B$4:$AR$4,1,72-Projects!$C$46+1),0)</f>
        <v/>
      </c>
      <c r="BZ101" s="691">
        <f>IF(AND(Projects!$G$17="Yes",Projects!$M$17="Yes",73&gt;=Projects!$C$17,73&lt;Projects!$C$17+Projects!$D$17),Projects!$B$17*INDEX(Curves!$B$4:$AR$4,1,73-Projects!$C$17+1),0)+IF(AND(Projects!$G$18="Yes",Projects!$M$18="Yes",73&gt;=Projects!$C$18,73&lt;Projects!$C$18+Projects!$D$18),Projects!$B$18*INDEX(Curves!$B$4:$AR$4,1,73-Projects!$C$18+1),0)+IF(AND(Projects!$G$19="Yes",Projects!$M$19="Yes",73&gt;=Projects!$C$19,73&lt;Projects!$C$19+Projects!$D$19),Projects!$B$19*INDEX(Curves!$B$4:$AR$4,1,73-Projects!$C$19+1),0)+IF(AND(Projects!$G$20="Yes",Projects!$M$20="Yes",73&gt;=Projects!$C$20,73&lt;Projects!$C$20+Projects!$D$20),Projects!$B$20*INDEX(Curves!$B$4:$AR$4,1,73-Projects!$C$20+1),0)+IF(AND(Projects!$G$21="Yes",Projects!$M$21="Yes",73&gt;=Projects!$C$21,73&lt;Projects!$C$21+Projects!$D$21),Projects!$B$21*INDEX(Curves!$B$4:$AR$4,1,73-Projects!$C$21+1),0)+IF(AND(Projects!$G$22="Yes",Projects!$M$22="Yes",73&gt;=Projects!$C$22,73&lt;Projects!$C$22+Projects!$D$22),Projects!$B$22*INDEX(Curves!$B$4:$AR$4,1,73-Projects!$C$22+1),0)+IF(AND(Projects!$G$23="Yes",Projects!$M$23="Yes",73&gt;=Projects!$C$23,73&lt;Projects!$C$23+Projects!$D$23),Projects!$B$23*INDEX(Curves!$B$4:$AR$4,1,73-Projects!$C$23+1),0)+IF(AND(Projects!$G$24="Yes",Projects!$M$24="Yes",73&gt;=Projects!$C$24,73&lt;Projects!$C$24+Projects!$D$24),Projects!$B$24*INDEX(Curves!$B$4:$AR$4,1,73-Projects!$C$24+1),0)+IF(AND(Projects!$G$25="Yes",Projects!$M$25="Yes",73&gt;=Projects!$C$25,73&lt;Projects!$C$25+Projects!$D$25),Projects!$B$25*INDEX(Curves!$B$4:$AR$4,1,73-Projects!$C$25+1),0)+IF(AND(Projects!$G$26="Yes",Projects!$M$26="Yes",73&gt;=Projects!$C$26,73&lt;Projects!$C$26+Projects!$D$26),Projects!$B$26*INDEX(Curves!$B$4:$AR$4,1,73-Projects!$C$26+1),0)+IF(AND(Projects!$G$27="Yes",Projects!$M$27="Yes",73&gt;=Projects!$C$27,73&lt;Projects!$C$27+Projects!$D$27),Projects!$B$27*INDEX(Curves!$B$4:$AR$4,1,73-Projects!$C$27+1),0)+IF(AND(Projects!$G$28="Yes",Projects!$M$28="Yes",73&gt;=Projects!$C$28,73&lt;Projects!$C$28+Projects!$D$28),Projects!$B$28*INDEX(Curves!$B$4:$AR$4,1,73-Projects!$C$28+1),0)+IF(AND(Projects!$G$29="Yes",Projects!$M$29="Yes",73&gt;=Projects!$C$29,73&lt;Projects!$C$29+Projects!$D$29),Projects!$B$29*INDEX(Curves!$B$4:$AR$4,1,73-Projects!$C$29+1),0)+IF(AND(Projects!$G$30="Yes",Projects!$M$30="Yes",73&gt;=Projects!$C$30,73&lt;Projects!$C$30+Projects!$D$30),Projects!$B$30*INDEX(Curves!$B$4:$AR$4,1,73-Projects!$C$30+1),0)+IF(AND(Projects!$G$31="Yes",Projects!$M$31="Yes",73&gt;=Projects!$C$31,73&lt;Projects!$C$31+Projects!$D$31),Projects!$B$31*INDEX(Curves!$B$4:$AR$4,1,73-Projects!$C$31+1),0)+IF(AND(Projects!$G$32="Yes",Projects!$M$32="Yes",73&gt;=Projects!$C$32,73&lt;Projects!$C$32+Projects!$D$32),Projects!$B$32*INDEX(Curves!$B$4:$AR$4,1,73-Projects!$C$32+1),0)+IF(AND(Projects!$G$33="Yes",Projects!$M$33="Yes",73&gt;=Projects!$C$33,73&lt;Projects!$C$33+Projects!$D$33),Projects!$B$33*INDEX(Curves!$B$4:$AR$4,1,73-Projects!$C$33+1),0)+IF(AND(Projects!$G$34="Yes",Projects!$M$34="Yes",73&gt;=Projects!$C$34,73&lt;Projects!$C$34+Projects!$D$34),Projects!$B$34*INDEX(Curves!$B$4:$AR$4,1,73-Projects!$C$34+1),0)+IF(AND(Projects!$G$35="Yes",Projects!$M$35="Yes",73&gt;=Projects!$C$35,73&lt;Projects!$C$35+Projects!$D$35),Projects!$B$35*INDEX(Curves!$B$4:$AR$4,1,73-Projects!$C$35+1),0)+IF(AND(Projects!$G$36="Yes",Projects!$M$36="Yes",73&gt;=Projects!$C$36,73&lt;Projects!$C$36+Projects!$D$36),Projects!$B$36*INDEX(Curves!$B$4:$AR$4,1,73-Projects!$C$36+1),0)+IF(AND(Projects!$G$37="Yes",Projects!$M$37="Yes",73&gt;=Projects!$C$37,73&lt;Projects!$C$37+Projects!$D$37),Projects!$B$37*INDEX(Curves!$B$4:$AR$4,1,73-Projects!$C$37+1),0)+IF(AND(Projects!$G$38="Yes",Projects!$M$38="Yes",73&gt;=Projects!$C$38,73&lt;Projects!$C$38+Projects!$D$38),Projects!$B$38*INDEX(Curves!$B$4:$AR$4,1,73-Projects!$C$38+1),0)+IF(AND(Projects!$G$39="Yes",Projects!$M$39="Yes",73&gt;=Projects!$C$39,73&lt;Projects!$C$39+Projects!$D$39),Projects!$B$39*INDEX(Curves!$B$4:$AR$4,1,73-Projects!$C$39+1),0)+IF(AND(Projects!$G$40="Yes",Projects!$M$40="Yes",73&gt;=Projects!$C$40,73&lt;Projects!$C$40+Projects!$D$40),Projects!$B$40*INDEX(Curves!$B$4:$AR$4,1,73-Projects!$C$40+1),0)+IF(AND(Projects!$G$41="Yes",Projects!$M$41="Yes",73&gt;=Projects!$C$41,73&lt;Projects!$C$41+Projects!$D$41),Projects!$B$41*INDEX(Curves!$B$4:$AR$4,1,73-Projects!$C$41+1),0)+IF(AND(Projects!$G$42="Yes",Projects!$M$42="Yes",73&gt;=Projects!$C$42,73&lt;Projects!$C$42+Projects!$D$42),Projects!$B$42*INDEX(Curves!$B$4:$AR$4,1,73-Projects!$C$42+1),0)+IF(AND(Projects!$G$43="Yes",Projects!$M$43="Yes",73&gt;=Projects!$C$43,73&lt;Projects!$C$43+Projects!$D$43),Projects!$B$43*INDEX(Curves!$B$4:$AR$4,1,73-Projects!$C$43+1),0)+IF(AND(Projects!$G$44="Yes",Projects!$M$44="Yes",73&gt;=Projects!$C$44,73&lt;Projects!$C$44+Projects!$D$44),Projects!$B$44*INDEX(Curves!$B$4:$AR$4,1,73-Projects!$C$44+1),0)+IF(AND(Projects!$G$45="Yes",Projects!$M$45="Yes",73&gt;=Projects!$C$45,73&lt;Projects!$C$45+Projects!$D$45),Projects!$B$45*INDEX(Curves!$B$4:$AR$4,1,73-Projects!$C$45+1),0)+IF(AND(Projects!$G$46="Yes",Projects!$M$46="Yes",73&gt;=Projects!$C$46,73&lt;Projects!$C$46+Projects!$D$46),Projects!$B$46*INDEX(Curves!$B$4:$AR$4,1,73-Projects!$C$46+1),0)</f>
        <v/>
      </c>
      <c r="CA101" s="691">
        <f>IF(AND(Projects!$G$17="Yes",Projects!$M$17="Yes",74&gt;=Projects!$C$17,74&lt;Projects!$C$17+Projects!$D$17),Projects!$B$17*INDEX(Curves!$B$4:$AR$4,1,74-Projects!$C$17+1),0)+IF(AND(Projects!$G$18="Yes",Projects!$M$18="Yes",74&gt;=Projects!$C$18,74&lt;Projects!$C$18+Projects!$D$18),Projects!$B$18*INDEX(Curves!$B$4:$AR$4,1,74-Projects!$C$18+1),0)+IF(AND(Projects!$G$19="Yes",Projects!$M$19="Yes",74&gt;=Projects!$C$19,74&lt;Projects!$C$19+Projects!$D$19),Projects!$B$19*INDEX(Curves!$B$4:$AR$4,1,74-Projects!$C$19+1),0)+IF(AND(Projects!$G$20="Yes",Projects!$M$20="Yes",74&gt;=Projects!$C$20,74&lt;Projects!$C$20+Projects!$D$20),Projects!$B$20*INDEX(Curves!$B$4:$AR$4,1,74-Projects!$C$20+1),0)+IF(AND(Projects!$G$21="Yes",Projects!$M$21="Yes",74&gt;=Projects!$C$21,74&lt;Projects!$C$21+Projects!$D$21),Projects!$B$21*INDEX(Curves!$B$4:$AR$4,1,74-Projects!$C$21+1),0)+IF(AND(Projects!$G$22="Yes",Projects!$M$22="Yes",74&gt;=Projects!$C$22,74&lt;Projects!$C$22+Projects!$D$22),Projects!$B$22*INDEX(Curves!$B$4:$AR$4,1,74-Projects!$C$22+1),0)+IF(AND(Projects!$G$23="Yes",Projects!$M$23="Yes",74&gt;=Projects!$C$23,74&lt;Projects!$C$23+Projects!$D$23),Projects!$B$23*INDEX(Curves!$B$4:$AR$4,1,74-Projects!$C$23+1),0)+IF(AND(Projects!$G$24="Yes",Projects!$M$24="Yes",74&gt;=Projects!$C$24,74&lt;Projects!$C$24+Projects!$D$24),Projects!$B$24*INDEX(Curves!$B$4:$AR$4,1,74-Projects!$C$24+1),0)+IF(AND(Projects!$G$25="Yes",Projects!$M$25="Yes",74&gt;=Projects!$C$25,74&lt;Projects!$C$25+Projects!$D$25),Projects!$B$25*INDEX(Curves!$B$4:$AR$4,1,74-Projects!$C$25+1),0)+IF(AND(Projects!$G$26="Yes",Projects!$M$26="Yes",74&gt;=Projects!$C$26,74&lt;Projects!$C$26+Projects!$D$26),Projects!$B$26*INDEX(Curves!$B$4:$AR$4,1,74-Projects!$C$26+1),0)+IF(AND(Projects!$G$27="Yes",Projects!$M$27="Yes",74&gt;=Projects!$C$27,74&lt;Projects!$C$27+Projects!$D$27),Projects!$B$27*INDEX(Curves!$B$4:$AR$4,1,74-Projects!$C$27+1),0)+IF(AND(Projects!$G$28="Yes",Projects!$M$28="Yes",74&gt;=Projects!$C$28,74&lt;Projects!$C$28+Projects!$D$28),Projects!$B$28*INDEX(Curves!$B$4:$AR$4,1,74-Projects!$C$28+1),0)+IF(AND(Projects!$G$29="Yes",Projects!$M$29="Yes",74&gt;=Projects!$C$29,74&lt;Projects!$C$29+Projects!$D$29),Projects!$B$29*INDEX(Curves!$B$4:$AR$4,1,74-Projects!$C$29+1),0)+IF(AND(Projects!$G$30="Yes",Projects!$M$30="Yes",74&gt;=Projects!$C$30,74&lt;Projects!$C$30+Projects!$D$30),Projects!$B$30*INDEX(Curves!$B$4:$AR$4,1,74-Projects!$C$30+1),0)+IF(AND(Projects!$G$31="Yes",Projects!$M$31="Yes",74&gt;=Projects!$C$31,74&lt;Projects!$C$31+Projects!$D$31),Projects!$B$31*INDEX(Curves!$B$4:$AR$4,1,74-Projects!$C$31+1),0)+IF(AND(Projects!$G$32="Yes",Projects!$M$32="Yes",74&gt;=Projects!$C$32,74&lt;Projects!$C$32+Projects!$D$32),Projects!$B$32*INDEX(Curves!$B$4:$AR$4,1,74-Projects!$C$32+1),0)+IF(AND(Projects!$G$33="Yes",Projects!$M$33="Yes",74&gt;=Projects!$C$33,74&lt;Projects!$C$33+Projects!$D$33),Projects!$B$33*INDEX(Curves!$B$4:$AR$4,1,74-Projects!$C$33+1),0)+IF(AND(Projects!$G$34="Yes",Projects!$M$34="Yes",74&gt;=Projects!$C$34,74&lt;Projects!$C$34+Projects!$D$34),Projects!$B$34*INDEX(Curves!$B$4:$AR$4,1,74-Projects!$C$34+1),0)+IF(AND(Projects!$G$35="Yes",Projects!$M$35="Yes",74&gt;=Projects!$C$35,74&lt;Projects!$C$35+Projects!$D$35),Projects!$B$35*INDEX(Curves!$B$4:$AR$4,1,74-Projects!$C$35+1),0)+IF(AND(Projects!$G$36="Yes",Projects!$M$36="Yes",74&gt;=Projects!$C$36,74&lt;Projects!$C$36+Projects!$D$36),Projects!$B$36*INDEX(Curves!$B$4:$AR$4,1,74-Projects!$C$36+1),0)+IF(AND(Projects!$G$37="Yes",Projects!$M$37="Yes",74&gt;=Projects!$C$37,74&lt;Projects!$C$37+Projects!$D$37),Projects!$B$37*INDEX(Curves!$B$4:$AR$4,1,74-Projects!$C$37+1),0)+IF(AND(Projects!$G$38="Yes",Projects!$M$38="Yes",74&gt;=Projects!$C$38,74&lt;Projects!$C$38+Projects!$D$38),Projects!$B$38*INDEX(Curves!$B$4:$AR$4,1,74-Projects!$C$38+1),0)+IF(AND(Projects!$G$39="Yes",Projects!$M$39="Yes",74&gt;=Projects!$C$39,74&lt;Projects!$C$39+Projects!$D$39),Projects!$B$39*INDEX(Curves!$B$4:$AR$4,1,74-Projects!$C$39+1),0)+IF(AND(Projects!$G$40="Yes",Projects!$M$40="Yes",74&gt;=Projects!$C$40,74&lt;Projects!$C$40+Projects!$D$40),Projects!$B$40*INDEX(Curves!$B$4:$AR$4,1,74-Projects!$C$40+1),0)+IF(AND(Projects!$G$41="Yes",Projects!$M$41="Yes",74&gt;=Projects!$C$41,74&lt;Projects!$C$41+Projects!$D$41),Projects!$B$41*INDEX(Curves!$B$4:$AR$4,1,74-Projects!$C$41+1),0)+IF(AND(Projects!$G$42="Yes",Projects!$M$42="Yes",74&gt;=Projects!$C$42,74&lt;Projects!$C$42+Projects!$D$42),Projects!$B$42*INDEX(Curves!$B$4:$AR$4,1,74-Projects!$C$42+1),0)+IF(AND(Projects!$G$43="Yes",Projects!$M$43="Yes",74&gt;=Projects!$C$43,74&lt;Projects!$C$43+Projects!$D$43),Projects!$B$43*INDEX(Curves!$B$4:$AR$4,1,74-Projects!$C$43+1),0)+IF(AND(Projects!$G$44="Yes",Projects!$M$44="Yes",74&gt;=Projects!$C$44,74&lt;Projects!$C$44+Projects!$D$44),Projects!$B$44*INDEX(Curves!$B$4:$AR$4,1,74-Projects!$C$44+1),0)+IF(AND(Projects!$G$45="Yes",Projects!$M$45="Yes",74&gt;=Projects!$C$45,74&lt;Projects!$C$45+Projects!$D$45),Projects!$B$45*INDEX(Curves!$B$4:$AR$4,1,74-Projects!$C$45+1),0)+IF(AND(Projects!$G$46="Yes",Projects!$M$46="Yes",74&gt;=Projects!$C$46,74&lt;Projects!$C$46+Projects!$D$46),Projects!$B$46*INDEX(Curves!$B$4:$AR$4,1,74-Projects!$C$46+1),0)</f>
        <v/>
      </c>
      <c r="CB101" s="691">
        <f>IF(AND(Projects!$G$17="Yes",Projects!$M$17="Yes",75&gt;=Projects!$C$17,75&lt;Projects!$C$17+Projects!$D$17),Projects!$B$17*INDEX(Curves!$B$4:$AR$4,1,75-Projects!$C$17+1),0)+IF(AND(Projects!$G$18="Yes",Projects!$M$18="Yes",75&gt;=Projects!$C$18,75&lt;Projects!$C$18+Projects!$D$18),Projects!$B$18*INDEX(Curves!$B$4:$AR$4,1,75-Projects!$C$18+1),0)+IF(AND(Projects!$G$19="Yes",Projects!$M$19="Yes",75&gt;=Projects!$C$19,75&lt;Projects!$C$19+Projects!$D$19),Projects!$B$19*INDEX(Curves!$B$4:$AR$4,1,75-Projects!$C$19+1),0)+IF(AND(Projects!$G$20="Yes",Projects!$M$20="Yes",75&gt;=Projects!$C$20,75&lt;Projects!$C$20+Projects!$D$20),Projects!$B$20*INDEX(Curves!$B$4:$AR$4,1,75-Projects!$C$20+1),0)+IF(AND(Projects!$G$21="Yes",Projects!$M$21="Yes",75&gt;=Projects!$C$21,75&lt;Projects!$C$21+Projects!$D$21),Projects!$B$21*INDEX(Curves!$B$4:$AR$4,1,75-Projects!$C$21+1),0)+IF(AND(Projects!$G$22="Yes",Projects!$M$22="Yes",75&gt;=Projects!$C$22,75&lt;Projects!$C$22+Projects!$D$22),Projects!$B$22*INDEX(Curves!$B$4:$AR$4,1,75-Projects!$C$22+1),0)+IF(AND(Projects!$G$23="Yes",Projects!$M$23="Yes",75&gt;=Projects!$C$23,75&lt;Projects!$C$23+Projects!$D$23),Projects!$B$23*INDEX(Curves!$B$4:$AR$4,1,75-Projects!$C$23+1),0)+IF(AND(Projects!$G$24="Yes",Projects!$M$24="Yes",75&gt;=Projects!$C$24,75&lt;Projects!$C$24+Projects!$D$24),Projects!$B$24*INDEX(Curves!$B$4:$AR$4,1,75-Projects!$C$24+1),0)+IF(AND(Projects!$G$25="Yes",Projects!$M$25="Yes",75&gt;=Projects!$C$25,75&lt;Projects!$C$25+Projects!$D$25),Projects!$B$25*INDEX(Curves!$B$4:$AR$4,1,75-Projects!$C$25+1),0)+IF(AND(Projects!$G$26="Yes",Projects!$M$26="Yes",75&gt;=Projects!$C$26,75&lt;Projects!$C$26+Projects!$D$26),Projects!$B$26*INDEX(Curves!$B$4:$AR$4,1,75-Projects!$C$26+1),0)+IF(AND(Projects!$G$27="Yes",Projects!$M$27="Yes",75&gt;=Projects!$C$27,75&lt;Projects!$C$27+Projects!$D$27),Projects!$B$27*INDEX(Curves!$B$4:$AR$4,1,75-Projects!$C$27+1),0)+IF(AND(Projects!$G$28="Yes",Projects!$M$28="Yes",75&gt;=Projects!$C$28,75&lt;Projects!$C$28+Projects!$D$28),Projects!$B$28*INDEX(Curves!$B$4:$AR$4,1,75-Projects!$C$28+1),0)+IF(AND(Projects!$G$29="Yes",Projects!$M$29="Yes",75&gt;=Projects!$C$29,75&lt;Projects!$C$29+Projects!$D$29),Projects!$B$29*INDEX(Curves!$B$4:$AR$4,1,75-Projects!$C$29+1),0)+IF(AND(Projects!$G$30="Yes",Projects!$M$30="Yes",75&gt;=Projects!$C$30,75&lt;Projects!$C$30+Projects!$D$30),Projects!$B$30*INDEX(Curves!$B$4:$AR$4,1,75-Projects!$C$30+1),0)+IF(AND(Projects!$G$31="Yes",Projects!$M$31="Yes",75&gt;=Projects!$C$31,75&lt;Projects!$C$31+Projects!$D$31),Projects!$B$31*INDEX(Curves!$B$4:$AR$4,1,75-Projects!$C$31+1),0)+IF(AND(Projects!$G$32="Yes",Projects!$M$32="Yes",75&gt;=Projects!$C$32,75&lt;Projects!$C$32+Projects!$D$32),Projects!$B$32*INDEX(Curves!$B$4:$AR$4,1,75-Projects!$C$32+1),0)+IF(AND(Projects!$G$33="Yes",Projects!$M$33="Yes",75&gt;=Projects!$C$33,75&lt;Projects!$C$33+Projects!$D$33),Projects!$B$33*INDEX(Curves!$B$4:$AR$4,1,75-Projects!$C$33+1),0)+IF(AND(Projects!$G$34="Yes",Projects!$M$34="Yes",75&gt;=Projects!$C$34,75&lt;Projects!$C$34+Projects!$D$34),Projects!$B$34*INDEX(Curves!$B$4:$AR$4,1,75-Projects!$C$34+1),0)+IF(AND(Projects!$G$35="Yes",Projects!$M$35="Yes",75&gt;=Projects!$C$35,75&lt;Projects!$C$35+Projects!$D$35),Projects!$B$35*INDEX(Curves!$B$4:$AR$4,1,75-Projects!$C$35+1),0)+IF(AND(Projects!$G$36="Yes",Projects!$M$36="Yes",75&gt;=Projects!$C$36,75&lt;Projects!$C$36+Projects!$D$36),Projects!$B$36*INDEX(Curves!$B$4:$AR$4,1,75-Projects!$C$36+1),0)+IF(AND(Projects!$G$37="Yes",Projects!$M$37="Yes",75&gt;=Projects!$C$37,75&lt;Projects!$C$37+Projects!$D$37),Projects!$B$37*INDEX(Curves!$B$4:$AR$4,1,75-Projects!$C$37+1),0)+IF(AND(Projects!$G$38="Yes",Projects!$M$38="Yes",75&gt;=Projects!$C$38,75&lt;Projects!$C$38+Projects!$D$38),Projects!$B$38*INDEX(Curves!$B$4:$AR$4,1,75-Projects!$C$38+1),0)+IF(AND(Projects!$G$39="Yes",Projects!$M$39="Yes",75&gt;=Projects!$C$39,75&lt;Projects!$C$39+Projects!$D$39),Projects!$B$39*INDEX(Curves!$B$4:$AR$4,1,75-Projects!$C$39+1),0)+IF(AND(Projects!$G$40="Yes",Projects!$M$40="Yes",75&gt;=Projects!$C$40,75&lt;Projects!$C$40+Projects!$D$40),Projects!$B$40*INDEX(Curves!$B$4:$AR$4,1,75-Projects!$C$40+1),0)+IF(AND(Projects!$G$41="Yes",Projects!$M$41="Yes",75&gt;=Projects!$C$41,75&lt;Projects!$C$41+Projects!$D$41),Projects!$B$41*INDEX(Curves!$B$4:$AR$4,1,75-Projects!$C$41+1),0)+IF(AND(Projects!$G$42="Yes",Projects!$M$42="Yes",75&gt;=Projects!$C$42,75&lt;Projects!$C$42+Projects!$D$42),Projects!$B$42*INDEX(Curves!$B$4:$AR$4,1,75-Projects!$C$42+1),0)+IF(AND(Projects!$G$43="Yes",Projects!$M$43="Yes",75&gt;=Projects!$C$43,75&lt;Projects!$C$43+Projects!$D$43),Projects!$B$43*INDEX(Curves!$B$4:$AR$4,1,75-Projects!$C$43+1),0)+IF(AND(Projects!$G$44="Yes",Projects!$M$44="Yes",75&gt;=Projects!$C$44,75&lt;Projects!$C$44+Projects!$D$44),Projects!$B$44*INDEX(Curves!$B$4:$AR$4,1,75-Projects!$C$44+1),0)+IF(AND(Projects!$G$45="Yes",Projects!$M$45="Yes",75&gt;=Projects!$C$45,75&lt;Projects!$C$45+Projects!$D$45),Projects!$B$45*INDEX(Curves!$B$4:$AR$4,1,75-Projects!$C$45+1),0)+IF(AND(Projects!$G$46="Yes",Projects!$M$46="Yes",75&gt;=Projects!$C$46,75&lt;Projects!$C$46+Projects!$D$46),Projects!$B$46*INDEX(Curves!$B$4:$AR$4,1,75-Projects!$C$46+1),0)</f>
        <v/>
      </c>
      <c r="CC101" s="691">
        <f>IF(AND(Projects!$G$17="Yes",Projects!$M$17="Yes",76&gt;=Projects!$C$17,76&lt;Projects!$C$17+Projects!$D$17),Projects!$B$17*INDEX(Curves!$B$4:$AR$4,1,76-Projects!$C$17+1),0)+IF(AND(Projects!$G$18="Yes",Projects!$M$18="Yes",76&gt;=Projects!$C$18,76&lt;Projects!$C$18+Projects!$D$18),Projects!$B$18*INDEX(Curves!$B$4:$AR$4,1,76-Projects!$C$18+1),0)+IF(AND(Projects!$G$19="Yes",Projects!$M$19="Yes",76&gt;=Projects!$C$19,76&lt;Projects!$C$19+Projects!$D$19),Projects!$B$19*INDEX(Curves!$B$4:$AR$4,1,76-Projects!$C$19+1),0)+IF(AND(Projects!$G$20="Yes",Projects!$M$20="Yes",76&gt;=Projects!$C$20,76&lt;Projects!$C$20+Projects!$D$20),Projects!$B$20*INDEX(Curves!$B$4:$AR$4,1,76-Projects!$C$20+1),0)+IF(AND(Projects!$G$21="Yes",Projects!$M$21="Yes",76&gt;=Projects!$C$21,76&lt;Projects!$C$21+Projects!$D$21),Projects!$B$21*INDEX(Curves!$B$4:$AR$4,1,76-Projects!$C$21+1),0)+IF(AND(Projects!$G$22="Yes",Projects!$M$22="Yes",76&gt;=Projects!$C$22,76&lt;Projects!$C$22+Projects!$D$22),Projects!$B$22*INDEX(Curves!$B$4:$AR$4,1,76-Projects!$C$22+1),0)+IF(AND(Projects!$G$23="Yes",Projects!$M$23="Yes",76&gt;=Projects!$C$23,76&lt;Projects!$C$23+Projects!$D$23),Projects!$B$23*INDEX(Curves!$B$4:$AR$4,1,76-Projects!$C$23+1),0)+IF(AND(Projects!$G$24="Yes",Projects!$M$24="Yes",76&gt;=Projects!$C$24,76&lt;Projects!$C$24+Projects!$D$24),Projects!$B$24*INDEX(Curves!$B$4:$AR$4,1,76-Projects!$C$24+1),0)+IF(AND(Projects!$G$25="Yes",Projects!$M$25="Yes",76&gt;=Projects!$C$25,76&lt;Projects!$C$25+Projects!$D$25),Projects!$B$25*INDEX(Curves!$B$4:$AR$4,1,76-Projects!$C$25+1),0)+IF(AND(Projects!$G$26="Yes",Projects!$M$26="Yes",76&gt;=Projects!$C$26,76&lt;Projects!$C$26+Projects!$D$26),Projects!$B$26*INDEX(Curves!$B$4:$AR$4,1,76-Projects!$C$26+1),0)+IF(AND(Projects!$G$27="Yes",Projects!$M$27="Yes",76&gt;=Projects!$C$27,76&lt;Projects!$C$27+Projects!$D$27),Projects!$B$27*INDEX(Curves!$B$4:$AR$4,1,76-Projects!$C$27+1),0)+IF(AND(Projects!$G$28="Yes",Projects!$M$28="Yes",76&gt;=Projects!$C$28,76&lt;Projects!$C$28+Projects!$D$28),Projects!$B$28*INDEX(Curves!$B$4:$AR$4,1,76-Projects!$C$28+1),0)+IF(AND(Projects!$G$29="Yes",Projects!$M$29="Yes",76&gt;=Projects!$C$29,76&lt;Projects!$C$29+Projects!$D$29),Projects!$B$29*INDEX(Curves!$B$4:$AR$4,1,76-Projects!$C$29+1),0)+IF(AND(Projects!$G$30="Yes",Projects!$M$30="Yes",76&gt;=Projects!$C$30,76&lt;Projects!$C$30+Projects!$D$30),Projects!$B$30*INDEX(Curves!$B$4:$AR$4,1,76-Projects!$C$30+1),0)+IF(AND(Projects!$G$31="Yes",Projects!$M$31="Yes",76&gt;=Projects!$C$31,76&lt;Projects!$C$31+Projects!$D$31),Projects!$B$31*INDEX(Curves!$B$4:$AR$4,1,76-Projects!$C$31+1),0)+IF(AND(Projects!$G$32="Yes",Projects!$M$32="Yes",76&gt;=Projects!$C$32,76&lt;Projects!$C$32+Projects!$D$32),Projects!$B$32*INDEX(Curves!$B$4:$AR$4,1,76-Projects!$C$32+1),0)+IF(AND(Projects!$G$33="Yes",Projects!$M$33="Yes",76&gt;=Projects!$C$33,76&lt;Projects!$C$33+Projects!$D$33),Projects!$B$33*INDEX(Curves!$B$4:$AR$4,1,76-Projects!$C$33+1),0)+IF(AND(Projects!$G$34="Yes",Projects!$M$34="Yes",76&gt;=Projects!$C$34,76&lt;Projects!$C$34+Projects!$D$34),Projects!$B$34*INDEX(Curves!$B$4:$AR$4,1,76-Projects!$C$34+1),0)+IF(AND(Projects!$G$35="Yes",Projects!$M$35="Yes",76&gt;=Projects!$C$35,76&lt;Projects!$C$35+Projects!$D$35),Projects!$B$35*INDEX(Curves!$B$4:$AR$4,1,76-Projects!$C$35+1),0)+IF(AND(Projects!$G$36="Yes",Projects!$M$36="Yes",76&gt;=Projects!$C$36,76&lt;Projects!$C$36+Projects!$D$36),Projects!$B$36*INDEX(Curves!$B$4:$AR$4,1,76-Projects!$C$36+1),0)+IF(AND(Projects!$G$37="Yes",Projects!$M$37="Yes",76&gt;=Projects!$C$37,76&lt;Projects!$C$37+Projects!$D$37),Projects!$B$37*INDEX(Curves!$B$4:$AR$4,1,76-Projects!$C$37+1),0)+IF(AND(Projects!$G$38="Yes",Projects!$M$38="Yes",76&gt;=Projects!$C$38,76&lt;Projects!$C$38+Projects!$D$38),Projects!$B$38*INDEX(Curves!$B$4:$AR$4,1,76-Projects!$C$38+1),0)+IF(AND(Projects!$G$39="Yes",Projects!$M$39="Yes",76&gt;=Projects!$C$39,76&lt;Projects!$C$39+Projects!$D$39),Projects!$B$39*INDEX(Curves!$B$4:$AR$4,1,76-Projects!$C$39+1),0)+IF(AND(Projects!$G$40="Yes",Projects!$M$40="Yes",76&gt;=Projects!$C$40,76&lt;Projects!$C$40+Projects!$D$40),Projects!$B$40*INDEX(Curves!$B$4:$AR$4,1,76-Projects!$C$40+1),0)+IF(AND(Projects!$G$41="Yes",Projects!$M$41="Yes",76&gt;=Projects!$C$41,76&lt;Projects!$C$41+Projects!$D$41),Projects!$B$41*INDEX(Curves!$B$4:$AR$4,1,76-Projects!$C$41+1),0)+IF(AND(Projects!$G$42="Yes",Projects!$M$42="Yes",76&gt;=Projects!$C$42,76&lt;Projects!$C$42+Projects!$D$42),Projects!$B$42*INDEX(Curves!$B$4:$AR$4,1,76-Projects!$C$42+1),0)+IF(AND(Projects!$G$43="Yes",Projects!$M$43="Yes",76&gt;=Projects!$C$43,76&lt;Projects!$C$43+Projects!$D$43),Projects!$B$43*INDEX(Curves!$B$4:$AR$4,1,76-Projects!$C$43+1),0)+IF(AND(Projects!$G$44="Yes",Projects!$M$44="Yes",76&gt;=Projects!$C$44,76&lt;Projects!$C$44+Projects!$D$44),Projects!$B$44*INDEX(Curves!$B$4:$AR$4,1,76-Projects!$C$44+1),0)+IF(AND(Projects!$G$45="Yes",Projects!$M$45="Yes",76&gt;=Projects!$C$45,76&lt;Projects!$C$45+Projects!$D$45),Projects!$B$45*INDEX(Curves!$B$4:$AR$4,1,76-Projects!$C$45+1),0)+IF(AND(Projects!$G$46="Yes",Projects!$M$46="Yes",76&gt;=Projects!$C$46,76&lt;Projects!$C$46+Projects!$D$46),Projects!$B$46*INDEX(Curves!$B$4:$AR$4,1,76-Projects!$C$46+1),0)</f>
        <v/>
      </c>
      <c r="CD101" s="691">
        <f>IF(AND(Projects!$G$17="Yes",Projects!$M$17="Yes",77&gt;=Projects!$C$17,77&lt;Projects!$C$17+Projects!$D$17),Projects!$B$17*INDEX(Curves!$B$4:$AR$4,1,77-Projects!$C$17+1),0)+IF(AND(Projects!$G$18="Yes",Projects!$M$18="Yes",77&gt;=Projects!$C$18,77&lt;Projects!$C$18+Projects!$D$18),Projects!$B$18*INDEX(Curves!$B$4:$AR$4,1,77-Projects!$C$18+1),0)+IF(AND(Projects!$G$19="Yes",Projects!$M$19="Yes",77&gt;=Projects!$C$19,77&lt;Projects!$C$19+Projects!$D$19),Projects!$B$19*INDEX(Curves!$B$4:$AR$4,1,77-Projects!$C$19+1),0)+IF(AND(Projects!$G$20="Yes",Projects!$M$20="Yes",77&gt;=Projects!$C$20,77&lt;Projects!$C$20+Projects!$D$20),Projects!$B$20*INDEX(Curves!$B$4:$AR$4,1,77-Projects!$C$20+1),0)+IF(AND(Projects!$G$21="Yes",Projects!$M$21="Yes",77&gt;=Projects!$C$21,77&lt;Projects!$C$21+Projects!$D$21),Projects!$B$21*INDEX(Curves!$B$4:$AR$4,1,77-Projects!$C$21+1),0)+IF(AND(Projects!$G$22="Yes",Projects!$M$22="Yes",77&gt;=Projects!$C$22,77&lt;Projects!$C$22+Projects!$D$22),Projects!$B$22*INDEX(Curves!$B$4:$AR$4,1,77-Projects!$C$22+1),0)+IF(AND(Projects!$G$23="Yes",Projects!$M$23="Yes",77&gt;=Projects!$C$23,77&lt;Projects!$C$23+Projects!$D$23),Projects!$B$23*INDEX(Curves!$B$4:$AR$4,1,77-Projects!$C$23+1),0)+IF(AND(Projects!$G$24="Yes",Projects!$M$24="Yes",77&gt;=Projects!$C$24,77&lt;Projects!$C$24+Projects!$D$24),Projects!$B$24*INDEX(Curves!$B$4:$AR$4,1,77-Projects!$C$24+1),0)+IF(AND(Projects!$G$25="Yes",Projects!$M$25="Yes",77&gt;=Projects!$C$25,77&lt;Projects!$C$25+Projects!$D$25),Projects!$B$25*INDEX(Curves!$B$4:$AR$4,1,77-Projects!$C$25+1),0)+IF(AND(Projects!$G$26="Yes",Projects!$M$26="Yes",77&gt;=Projects!$C$26,77&lt;Projects!$C$26+Projects!$D$26),Projects!$B$26*INDEX(Curves!$B$4:$AR$4,1,77-Projects!$C$26+1),0)+IF(AND(Projects!$G$27="Yes",Projects!$M$27="Yes",77&gt;=Projects!$C$27,77&lt;Projects!$C$27+Projects!$D$27),Projects!$B$27*INDEX(Curves!$B$4:$AR$4,1,77-Projects!$C$27+1),0)+IF(AND(Projects!$G$28="Yes",Projects!$M$28="Yes",77&gt;=Projects!$C$28,77&lt;Projects!$C$28+Projects!$D$28),Projects!$B$28*INDEX(Curves!$B$4:$AR$4,1,77-Projects!$C$28+1),0)+IF(AND(Projects!$G$29="Yes",Projects!$M$29="Yes",77&gt;=Projects!$C$29,77&lt;Projects!$C$29+Projects!$D$29),Projects!$B$29*INDEX(Curves!$B$4:$AR$4,1,77-Projects!$C$29+1),0)+IF(AND(Projects!$G$30="Yes",Projects!$M$30="Yes",77&gt;=Projects!$C$30,77&lt;Projects!$C$30+Projects!$D$30),Projects!$B$30*INDEX(Curves!$B$4:$AR$4,1,77-Projects!$C$30+1),0)+IF(AND(Projects!$G$31="Yes",Projects!$M$31="Yes",77&gt;=Projects!$C$31,77&lt;Projects!$C$31+Projects!$D$31),Projects!$B$31*INDEX(Curves!$B$4:$AR$4,1,77-Projects!$C$31+1),0)+IF(AND(Projects!$G$32="Yes",Projects!$M$32="Yes",77&gt;=Projects!$C$32,77&lt;Projects!$C$32+Projects!$D$32),Projects!$B$32*INDEX(Curves!$B$4:$AR$4,1,77-Projects!$C$32+1),0)+IF(AND(Projects!$G$33="Yes",Projects!$M$33="Yes",77&gt;=Projects!$C$33,77&lt;Projects!$C$33+Projects!$D$33),Projects!$B$33*INDEX(Curves!$B$4:$AR$4,1,77-Projects!$C$33+1),0)+IF(AND(Projects!$G$34="Yes",Projects!$M$34="Yes",77&gt;=Projects!$C$34,77&lt;Projects!$C$34+Projects!$D$34),Projects!$B$34*INDEX(Curves!$B$4:$AR$4,1,77-Projects!$C$34+1),0)+IF(AND(Projects!$G$35="Yes",Projects!$M$35="Yes",77&gt;=Projects!$C$35,77&lt;Projects!$C$35+Projects!$D$35),Projects!$B$35*INDEX(Curves!$B$4:$AR$4,1,77-Projects!$C$35+1),0)+IF(AND(Projects!$G$36="Yes",Projects!$M$36="Yes",77&gt;=Projects!$C$36,77&lt;Projects!$C$36+Projects!$D$36),Projects!$B$36*INDEX(Curves!$B$4:$AR$4,1,77-Projects!$C$36+1),0)+IF(AND(Projects!$G$37="Yes",Projects!$M$37="Yes",77&gt;=Projects!$C$37,77&lt;Projects!$C$37+Projects!$D$37),Projects!$B$37*INDEX(Curves!$B$4:$AR$4,1,77-Projects!$C$37+1),0)+IF(AND(Projects!$G$38="Yes",Projects!$M$38="Yes",77&gt;=Projects!$C$38,77&lt;Projects!$C$38+Projects!$D$38),Projects!$B$38*INDEX(Curves!$B$4:$AR$4,1,77-Projects!$C$38+1),0)+IF(AND(Projects!$G$39="Yes",Projects!$M$39="Yes",77&gt;=Projects!$C$39,77&lt;Projects!$C$39+Projects!$D$39),Projects!$B$39*INDEX(Curves!$B$4:$AR$4,1,77-Projects!$C$39+1),0)+IF(AND(Projects!$G$40="Yes",Projects!$M$40="Yes",77&gt;=Projects!$C$40,77&lt;Projects!$C$40+Projects!$D$40),Projects!$B$40*INDEX(Curves!$B$4:$AR$4,1,77-Projects!$C$40+1),0)+IF(AND(Projects!$G$41="Yes",Projects!$M$41="Yes",77&gt;=Projects!$C$41,77&lt;Projects!$C$41+Projects!$D$41),Projects!$B$41*INDEX(Curves!$B$4:$AR$4,1,77-Projects!$C$41+1),0)+IF(AND(Projects!$G$42="Yes",Projects!$M$42="Yes",77&gt;=Projects!$C$42,77&lt;Projects!$C$42+Projects!$D$42),Projects!$B$42*INDEX(Curves!$B$4:$AR$4,1,77-Projects!$C$42+1),0)+IF(AND(Projects!$G$43="Yes",Projects!$M$43="Yes",77&gt;=Projects!$C$43,77&lt;Projects!$C$43+Projects!$D$43),Projects!$B$43*INDEX(Curves!$B$4:$AR$4,1,77-Projects!$C$43+1),0)+IF(AND(Projects!$G$44="Yes",Projects!$M$44="Yes",77&gt;=Projects!$C$44,77&lt;Projects!$C$44+Projects!$D$44),Projects!$B$44*INDEX(Curves!$B$4:$AR$4,1,77-Projects!$C$44+1),0)+IF(AND(Projects!$G$45="Yes",Projects!$M$45="Yes",77&gt;=Projects!$C$45,77&lt;Projects!$C$45+Projects!$D$45),Projects!$B$45*INDEX(Curves!$B$4:$AR$4,1,77-Projects!$C$45+1),0)+IF(AND(Projects!$G$46="Yes",Projects!$M$46="Yes",77&gt;=Projects!$C$46,77&lt;Projects!$C$46+Projects!$D$46),Projects!$B$46*INDEX(Curves!$B$4:$AR$4,1,77-Projects!$C$46+1),0)</f>
        <v/>
      </c>
      <c r="CE101" s="691">
        <f>IF(AND(Projects!$G$17="Yes",Projects!$M$17="Yes",78&gt;=Projects!$C$17,78&lt;Projects!$C$17+Projects!$D$17),Projects!$B$17*INDEX(Curves!$B$4:$AR$4,1,78-Projects!$C$17+1),0)+IF(AND(Projects!$G$18="Yes",Projects!$M$18="Yes",78&gt;=Projects!$C$18,78&lt;Projects!$C$18+Projects!$D$18),Projects!$B$18*INDEX(Curves!$B$4:$AR$4,1,78-Projects!$C$18+1),0)+IF(AND(Projects!$G$19="Yes",Projects!$M$19="Yes",78&gt;=Projects!$C$19,78&lt;Projects!$C$19+Projects!$D$19),Projects!$B$19*INDEX(Curves!$B$4:$AR$4,1,78-Projects!$C$19+1),0)+IF(AND(Projects!$G$20="Yes",Projects!$M$20="Yes",78&gt;=Projects!$C$20,78&lt;Projects!$C$20+Projects!$D$20),Projects!$B$20*INDEX(Curves!$B$4:$AR$4,1,78-Projects!$C$20+1),0)+IF(AND(Projects!$G$21="Yes",Projects!$M$21="Yes",78&gt;=Projects!$C$21,78&lt;Projects!$C$21+Projects!$D$21),Projects!$B$21*INDEX(Curves!$B$4:$AR$4,1,78-Projects!$C$21+1),0)+IF(AND(Projects!$G$22="Yes",Projects!$M$22="Yes",78&gt;=Projects!$C$22,78&lt;Projects!$C$22+Projects!$D$22),Projects!$B$22*INDEX(Curves!$B$4:$AR$4,1,78-Projects!$C$22+1),0)+IF(AND(Projects!$G$23="Yes",Projects!$M$23="Yes",78&gt;=Projects!$C$23,78&lt;Projects!$C$23+Projects!$D$23),Projects!$B$23*INDEX(Curves!$B$4:$AR$4,1,78-Projects!$C$23+1),0)+IF(AND(Projects!$G$24="Yes",Projects!$M$24="Yes",78&gt;=Projects!$C$24,78&lt;Projects!$C$24+Projects!$D$24),Projects!$B$24*INDEX(Curves!$B$4:$AR$4,1,78-Projects!$C$24+1),0)+IF(AND(Projects!$G$25="Yes",Projects!$M$25="Yes",78&gt;=Projects!$C$25,78&lt;Projects!$C$25+Projects!$D$25),Projects!$B$25*INDEX(Curves!$B$4:$AR$4,1,78-Projects!$C$25+1),0)+IF(AND(Projects!$G$26="Yes",Projects!$M$26="Yes",78&gt;=Projects!$C$26,78&lt;Projects!$C$26+Projects!$D$26),Projects!$B$26*INDEX(Curves!$B$4:$AR$4,1,78-Projects!$C$26+1),0)+IF(AND(Projects!$G$27="Yes",Projects!$M$27="Yes",78&gt;=Projects!$C$27,78&lt;Projects!$C$27+Projects!$D$27),Projects!$B$27*INDEX(Curves!$B$4:$AR$4,1,78-Projects!$C$27+1),0)+IF(AND(Projects!$G$28="Yes",Projects!$M$28="Yes",78&gt;=Projects!$C$28,78&lt;Projects!$C$28+Projects!$D$28),Projects!$B$28*INDEX(Curves!$B$4:$AR$4,1,78-Projects!$C$28+1),0)+IF(AND(Projects!$G$29="Yes",Projects!$M$29="Yes",78&gt;=Projects!$C$29,78&lt;Projects!$C$29+Projects!$D$29),Projects!$B$29*INDEX(Curves!$B$4:$AR$4,1,78-Projects!$C$29+1),0)+IF(AND(Projects!$G$30="Yes",Projects!$M$30="Yes",78&gt;=Projects!$C$30,78&lt;Projects!$C$30+Projects!$D$30),Projects!$B$30*INDEX(Curves!$B$4:$AR$4,1,78-Projects!$C$30+1),0)+IF(AND(Projects!$G$31="Yes",Projects!$M$31="Yes",78&gt;=Projects!$C$31,78&lt;Projects!$C$31+Projects!$D$31),Projects!$B$31*INDEX(Curves!$B$4:$AR$4,1,78-Projects!$C$31+1),0)+IF(AND(Projects!$G$32="Yes",Projects!$M$32="Yes",78&gt;=Projects!$C$32,78&lt;Projects!$C$32+Projects!$D$32),Projects!$B$32*INDEX(Curves!$B$4:$AR$4,1,78-Projects!$C$32+1),0)+IF(AND(Projects!$G$33="Yes",Projects!$M$33="Yes",78&gt;=Projects!$C$33,78&lt;Projects!$C$33+Projects!$D$33),Projects!$B$33*INDEX(Curves!$B$4:$AR$4,1,78-Projects!$C$33+1),0)+IF(AND(Projects!$G$34="Yes",Projects!$M$34="Yes",78&gt;=Projects!$C$34,78&lt;Projects!$C$34+Projects!$D$34),Projects!$B$34*INDEX(Curves!$B$4:$AR$4,1,78-Projects!$C$34+1),0)+IF(AND(Projects!$G$35="Yes",Projects!$M$35="Yes",78&gt;=Projects!$C$35,78&lt;Projects!$C$35+Projects!$D$35),Projects!$B$35*INDEX(Curves!$B$4:$AR$4,1,78-Projects!$C$35+1),0)+IF(AND(Projects!$G$36="Yes",Projects!$M$36="Yes",78&gt;=Projects!$C$36,78&lt;Projects!$C$36+Projects!$D$36),Projects!$B$36*INDEX(Curves!$B$4:$AR$4,1,78-Projects!$C$36+1),0)+IF(AND(Projects!$G$37="Yes",Projects!$M$37="Yes",78&gt;=Projects!$C$37,78&lt;Projects!$C$37+Projects!$D$37),Projects!$B$37*INDEX(Curves!$B$4:$AR$4,1,78-Projects!$C$37+1),0)+IF(AND(Projects!$G$38="Yes",Projects!$M$38="Yes",78&gt;=Projects!$C$38,78&lt;Projects!$C$38+Projects!$D$38),Projects!$B$38*INDEX(Curves!$B$4:$AR$4,1,78-Projects!$C$38+1),0)+IF(AND(Projects!$G$39="Yes",Projects!$M$39="Yes",78&gt;=Projects!$C$39,78&lt;Projects!$C$39+Projects!$D$39),Projects!$B$39*INDEX(Curves!$B$4:$AR$4,1,78-Projects!$C$39+1),0)+IF(AND(Projects!$G$40="Yes",Projects!$M$40="Yes",78&gt;=Projects!$C$40,78&lt;Projects!$C$40+Projects!$D$40),Projects!$B$40*INDEX(Curves!$B$4:$AR$4,1,78-Projects!$C$40+1),0)+IF(AND(Projects!$G$41="Yes",Projects!$M$41="Yes",78&gt;=Projects!$C$41,78&lt;Projects!$C$41+Projects!$D$41),Projects!$B$41*INDEX(Curves!$B$4:$AR$4,1,78-Projects!$C$41+1),0)+IF(AND(Projects!$G$42="Yes",Projects!$M$42="Yes",78&gt;=Projects!$C$42,78&lt;Projects!$C$42+Projects!$D$42),Projects!$B$42*INDEX(Curves!$B$4:$AR$4,1,78-Projects!$C$42+1),0)+IF(AND(Projects!$G$43="Yes",Projects!$M$43="Yes",78&gt;=Projects!$C$43,78&lt;Projects!$C$43+Projects!$D$43),Projects!$B$43*INDEX(Curves!$B$4:$AR$4,1,78-Projects!$C$43+1),0)+IF(AND(Projects!$G$44="Yes",Projects!$M$44="Yes",78&gt;=Projects!$C$44,78&lt;Projects!$C$44+Projects!$D$44),Projects!$B$44*INDEX(Curves!$B$4:$AR$4,1,78-Projects!$C$44+1),0)+IF(AND(Projects!$G$45="Yes",Projects!$M$45="Yes",78&gt;=Projects!$C$45,78&lt;Projects!$C$45+Projects!$D$45),Projects!$B$45*INDEX(Curves!$B$4:$AR$4,1,78-Projects!$C$45+1),0)+IF(AND(Projects!$G$46="Yes",Projects!$M$46="Yes",78&gt;=Projects!$C$46,78&lt;Projects!$C$46+Projects!$D$46),Projects!$B$46*INDEX(Curves!$B$4:$AR$4,1,78-Projects!$C$46+1),0)</f>
        <v/>
      </c>
      <c r="CF101" s="691">
        <f>IF(AND(Projects!$G$17="Yes",Projects!$M$17="Yes",79&gt;=Projects!$C$17,79&lt;Projects!$C$17+Projects!$D$17),Projects!$B$17*INDEX(Curves!$B$4:$AR$4,1,79-Projects!$C$17+1),0)+IF(AND(Projects!$G$18="Yes",Projects!$M$18="Yes",79&gt;=Projects!$C$18,79&lt;Projects!$C$18+Projects!$D$18),Projects!$B$18*INDEX(Curves!$B$4:$AR$4,1,79-Projects!$C$18+1),0)+IF(AND(Projects!$G$19="Yes",Projects!$M$19="Yes",79&gt;=Projects!$C$19,79&lt;Projects!$C$19+Projects!$D$19),Projects!$B$19*INDEX(Curves!$B$4:$AR$4,1,79-Projects!$C$19+1),0)+IF(AND(Projects!$G$20="Yes",Projects!$M$20="Yes",79&gt;=Projects!$C$20,79&lt;Projects!$C$20+Projects!$D$20),Projects!$B$20*INDEX(Curves!$B$4:$AR$4,1,79-Projects!$C$20+1),0)+IF(AND(Projects!$G$21="Yes",Projects!$M$21="Yes",79&gt;=Projects!$C$21,79&lt;Projects!$C$21+Projects!$D$21),Projects!$B$21*INDEX(Curves!$B$4:$AR$4,1,79-Projects!$C$21+1),0)+IF(AND(Projects!$G$22="Yes",Projects!$M$22="Yes",79&gt;=Projects!$C$22,79&lt;Projects!$C$22+Projects!$D$22),Projects!$B$22*INDEX(Curves!$B$4:$AR$4,1,79-Projects!$C$22+1),0)+IF(AND(Projects!$G$23="Yes",Projects!$M$23="Yes",79&gt;=Projects!$C$23,79&lt;Projects!$C$23+Projects!$D$23),Projects!$B$23*INDEX(Curves!$B$4:$AR$4,1,79-Projects!$C$23+1),0)+IF(AND(Projects!$G$24="Yes",Projects!$M$24="Yes",79&gt;=Projects!$C$24,79&lt;Projects!$C$24+Projects!$D$24),Projects!$B$24*INDEX(Curves!$B$4:$AR$4,1,79-Projects!$C$24+1),0)+IF(AND(Projects!$G$25="Yes",Projects!$M$25="Yes",79&gt;=Projects!$C$25,79&lt;Projects!$C$25+Projects!$D$25),Projects!$B$25*INDEX(Curves!$B$4:$AR$4,1,79-Projects!$C$25+1),0)+IF(AND(Projects!$G$26="Yes",Projects!$M$26="Yes",79&gt;=Projects!$C$26,79&lt;Projects!$C$26+Projects!$D$26),Projects!$B$26*INDEX(Curves!$B$4:$AR$4,1,79-Projects!$C$26+1),0)+IF(AND(Projects!$G$27="Yes",Projects!$M$27="Yes",79&gt;=Projects!$C$27,79&lt;Projects!$C$27+Projects!$D$27),Projects!$B$27*INDEX(Curves!$B$4:$AR$4,1,79-Projects!$C$27+1),0)+IF(AND(Projects!$G$28="Yes",Projects!$M$28="Yes",79&gt;=Projects!$C$28,79&lt;Projects!$C$28+Projects!$D$28),Projects!$B$28*INDEX(Curves!$B$4:$AR$4,1,79-Projects!$C$28+1),0)+IF(AND(Projects!$G$29="Yes",Projects!$M$29="Yes",79&gt;=Projects!$C$29,79&lt;Projects!$C$29+Projects!$D$29),Projects!$B$29*INDEX(Curves!$B$4:$AR$4,1,79-Projects!$C$29+1),0)+IF(AND(Projects!$G$30="Yes",Projects!$M$30="Yes",79&gt;=Projects!$C$30,79&lt;Projects!$C$30+Projects!$D$30),Projects!$B$30*INDEX(Curves!$B$4:$AR$4,1,79-Projects!$C$30+1),0)+IF(AND(Projects!$G$31="Yes",Projects!$M$31="Yes",79&gt;=Projects!$C$31,79&lt;Projects!$C$31+Projects!$D$31),Projects!$B$31*INDEX(Curves!$B$4:$AR$4,1,79-Projects!$C$31+1),0)+IF(AND(Projects!$G$32="Yes",Projects!$M$32="Yes",79&gt;=Projects!$C$32,79&lt;Projects!$C$32+Projects!$D$32),Projects!$B$32*INDEX(Curves!$B$4:$AR$4,1,79-Projects!$C$32+1),0)+IF(AND(Projects!$G$33="Yes",Projects!$M$33="Yes",79&gt;=Projects!$C$33,79&lt;Projects!$C$33+Projects!$D$33),Projects!$B$33*INDEX(Curves!$B$4:$AR$4,1,79-Projects!$C$33+1),0)+IF(AND(Projects!$G$34="Yes",Projects!$M$34="Yes",79&gt;=Projects!$C$34,79&lt;Projects!$C$34+Projects!$D$34),Projects!$B$34*INDEX(Curves!$B$4:$AR$4,1,79-Projects!$C$34+1),0)+IF(AND(Projects!$G$35="Yes",Projects!$M$35="Yes",79&gt;=Projects!$C$35,79&lt;Projects!$C$35+Projects!$D$35),Projects!$B$35*INDEX(Curves!$B$4:$AR$4,1,79-Projects!$C$35+1),0)+IF(AND(Projects!$G$36="Yes",Projects!$M$36="Yes",79&gt;=Projects!$C$36,79&lt;Projects!$C$36+Projects!$D$36),Projects!$B$36*INDEX(Curves!$B$4:$AR$4,1,79-Projects!$C$36+1),0)+IF(AND(Projects!$G$37="Yes",Projects!$M$37="Yes",79&gt;=Projects!$C$37,79&lt;Projects!$C$37+Projects!$D$37),Projects!$B$37*INDEX(Curves!$B$4:$AR$4,1,79-Projects!$C$37+1),0)+IF(AND(Projects!$G$38="Yes",Projects!$M$38="Yes",79&gt;=Projects!$C$38,79&lt;Projects!$C$38+Projects!$D$38),Projects!$B$38*INDEX(Curves!$B$4:$AR$4,1,79-Projects!$C$38+1),0)+IF(AND(Projects!$G$39="Yes",Projects!$M$39="Yes",79&gt;=Projects!$C$39,79&lt;Projects!$C$39+Projects!$D$39),Projects!$B$39*INDEX(Curves!$B$4:$AR$4,1,79-Projects!$C$39+1),0)+IF(AND(Projects!$G$40="Yes",Projects!$M$40="Yes",79&gt;=Projects!$C$40,79&lt;Projects!$C$40+Projects!$D$40),Projects!$B$40*INDEX(Curves!$B$4:$AR$4,1,79-Projects!$C$40+1),0)+IF(AND(Projects!$G$41="Yes",Projects!$M$41="Yes",79&gt;=Projects!$C$41,79&lt;Projects!$C$41+Projects!$D$41),Projects!$B$41*INDEX(Curves!$B$4:$AR$4,1,79-Projects!$C$41+1),0)+IF(AND(Projects!$G$42="Yes",Projects!$M$42="Yes",79&gt;=Projects!$C$42,79&lt;Projects!$C$42+Projects!$D$42),Projects!$B$42*INDEX(Curves!$B$4:$AR$4,1,79-Projects!$C$42+1),0)+IF(AND(Projects!$G$43="Yes",Projects!$M$43="Yes",79&gt;=Projects!$C$43,79&lt;Projects!$C$43+Projects!$D$43),Projects!$B$43*INDEX(Curves!$B$4:$AR$4,1,79-Projects!$C$43+1),0)+IF(AND(Projects!$G$44="Yes",Projects!$M$44="Yes",79&gt;=Projects!$C$44,79&lt;Projects!$C$44+Projects!$D$44),Projects!$B$44*INDEX(Curves!$B$4:$AR$4,1,79-Projects!$C$44+1),0)+IF(AND(Projects!$G$45="Yes",Projects!$M$45="Yes",79&gt;=Projects!$C$45,79&lt;Projects!$C$45+Projects!$D$45),Projects!$B$45*INDEX(Curves!$B$4:$AR$4,1,79-Projects!$C$45+1),0)+IF(AND(Projects!$G$46="Yes",Projects!$M$46="Yes",79&gt;=Projects!$C$46,79&lt;Projects!$C$46+Projects!$D$46),Projects!$B$46*INDEX(Curves!$B$4:$AR$4,1,79-Projects!$C$46+1),0)</f>
        <v/>
      </c>
      <c r="CG101" s="691">
        <f>IF(AND(Projects!$G$17="Yes",Projects!$M$17="Yes",80&gt;=Projects!$C$17,80&lt;Projects!$C$17+Projects!$D$17),Projects!$B$17*INDEX(Curves!$B$4:$AR$4,1,80-Projects!$C$17+1),0)+IF(AND(Projects!$G$18="Yes",Projects!$M$18="Yes",80&gt;=Projects!$C$18,80&lt;Projects!$C$18+Projects!$D$18),Projects!$B$18*INDEX(Curves!$B$4:$AR$4,1,80-Projects!$C$18+1),0)+IF(AND(Projects!$G$19="Yes",Projects!$M$19="Yes",80&gt;=Projects!$C$19,80&lt;Projects!$C$19+Projects!$D$19),Projects!$B$19*INDEX(Curves!$B$4:$AR$4,1,80-Projects!$C$19+1),0)+IF(AND(Projects!$G$20="Yes",Projects!$M$20="Yes",80&gt;=Projects!$C$20,80&lt;Projects!$C$20+Projects!$D$20),Projects!$B$20*INDEX(Curves!$B$4:$AR$4,1,80-Projects!$C$20+1),0)+IF(AND(Projects!$G$21="Yes",Projects!$M$21="Yes",80&gt;=Projects!$C$21,80&lt;Projects!$C$21+Projects!$D$21),Projects!$B$21*INDEX(Curves!$B$4:$AR$4,1,80-Projects!$C$21+1),0)+IF(AND(Projects!$G$22="Yes",Projects!$M$22="Yes",80&gt;=Projects!$C$22,80&lt;Projects!$C$22+Projects!$D$22),Projects!$B$22*INDEX(Curves!$B$4:$AR$4,1,80-Projects!$C$22+1),0)+IF(AND(Projects!$G$23="Yes",Projects!$M$23="Yes",80&gt;=Projects!$C$23,80&lt;Projects!$C$23+Projects!$D$23),Projects!$B$23*INDEX(Curves!$B$4:$AR$4,1,80-Projects!$C$23+1),0)+IF(AND(Projects!$G$24="Yes",Projects!$M$24="Yes",80&gt;=Projects!$C$24,80&lt;Projects!$C$24+Projects!$D$24),Projects!$B$24*INDEX(Curves!$B$4:$AR$4,1,80-Projects!$C$24+1),0)+IF(AND(Projects!$G$25="Yes",Projects!$M$25="Yes",80&gt;=Projects!$C$25,80&lt;Projects!$C$25+Projects!$D$25),Projects!$B$25*INDEX(Curves!$B$4:$AR$4,1,80-Projects!$C$25+1),0)+IF(AND(Projects!$G$26="Yes",Projects!$M$26="Yes",80&gt;=Projects!$C$26,80&lt;Projects!$C$26+Projects!$D$26),Projects!$B$26*INDEX(Curves!$B$4:$AR$4,1,80-Projects!$C$26+1),0)+IF(AND(Projects!$G$27="Yes",Projects!$M$27="Yes",80&gt;=Projects!$C$27,80&lt;Projects!$C$27+Projects!$D$27),Projects!$B$27*INDEX(Curves!$B$4:$AR$4,1,80-Projects!$C$27+1),0)+IF(AND(Projects!$G$28="Yes",Projects!$M$28="Yes",80&gt;=Projects!$C$28,80&lt;Projects!$C$28+Projects!$D$28),Projects!$B$28*INDEX(Curves!$B$4:$AR$4,1,80-Projects!$C$28+1),0)+IF(AND(Projects!$G$29="Yes",Projects!$M$29="Yes",80&gt;=Projects!$C$29,80&lt;Projects!$C$29+Projects!$D$29),Projects!$B$29*INDEX(Curves!$B$4:$AR$4,1,80-Projects!$C$29+1),0)+IF(AND(Projects!$G$30="Yes",Projects!$M$30="Yes",80&gt;=Projects!$C$30,80&lt;Projects!$C$30+Projects!$D$30),Projects!$B$30*INDEX(Curves!$B$4:$AR$4,1,80-Projects!$C$30+1),0)+IF(AND(Projects!$G$31="Yes",Projects!$M$31="Yes",80&gt;=Projects!$C$31,80&lt;Projects!$C$31+Projects!$D$31),Projects!$B$31*INDEX(Curves!$B$4:$AR$4,1,80-Projects!$C$31+1),0)+IF(AND(Projects!$G$32="Yes",Projects!$M$32="Yes",80&gt;=Projects!$C$32,80&lt;Projects!$C$32+Projects!$D$32),Projects!$B$32*INDEX(Curves!$B$4:$AR$4,1,80-Projects!$C$32+1),0)+IF(AND(Projects!$G$33="Yes",Projects!$M$33="Yes",80&gt;=Projects!$C$33,80&lt;Projects!$C$33+Projects!$D$33),Projects!$B$33*INDEX(Curves!$B$4:$AR$4,1,80-Projects!$C$33+1),0)+IF(AND(Projects!$G$34="Yes",Projects!$M$34="Yes",80&gt;=Projects!$C$34,80&lt;Projects!$C$34+Projects!$D$34),Projects!$B$34*INDEX(Curves!$B$4:$AR$4,1,80-Projects!$C$34+1),0)+IF(AND(Projects!$G$35="Yes",Projects!$M$35="Yes",80&gt;=Projects!$C$35,80&lt;Projects!$C$35+Projects!$D$35),Projects!$B$35*INDEX(Curves!$B$4:$AR$4,1,80-Projects!$C$35+1),0)+IF(AND(Projects!$G$36="Yes",Projects!$M$36="Yes",80&gt;=Projects!$C$36,80&lt;Projects!$C$36+Projects!$D$36),Projects!$B$36*INDEX(Curves!$B$4:$AR$4,1,80-Projects!$C$36+1),0)+IF(AND(Projects!$G$37="Yes",Projects!$M$37="Yes",80&gt;=Projects!$C$37,80&lt;Projects!$C$37+Projects!$D$37),Projects!$B$37*INDEX(Curves!$B$4:$AR$4,1,80-Projects!$C$37+1),0)+IF(AND(Projects!$G$38="Yes",Projects!$M$38="Yes",80&gt;=Projects!$C$38,80&lt;Projects!$C$38+Projects!$D$38),Projects!$B$38*INDEX(Curves!$B$4:$AR$4,1,80-Projects!$C$38+1),0)+IF(AND(Projects!$G$39="Yes",Projects!$M$39="Yes",80&gt;=Projects!$C$39,80&lt;Projects!$C$39+Projects!$D$39),Projects!$B$39*INDEX(Curves!$B$4:$AR$4,1,80-Projects!$C$39+1),0)+IF(AND(Projects!$G$40="Yes",Projects!$M$40="Yes",80&gt;=Projects!$C$40,80&lt;Projects!$C$40+Projects!$D$40),Projects!$B$40*INDEX(Curves!$B$4:$AR$4,1,80-Projects!$C$40+1),0)+IF(AND(Projects!$G$41="Yes",Projects!$M$41="Yes",80&gt;=Projects!$C$41,80&lt;Projects!$C$41+Projects!$D$41),Projects!$B$41*INDEX(Curves!$B$4:$AR$4,1,80-Projects!$C$41+1),0)+IF(AND(Projects!$G$42="Yes",Projects!$M$42="Yes",80&gt;=Projects!$C$42,80&lt;Projects!$C$42+Projects!$D$42),Projects!$B$42*INDEX(Curves!$B$4:$AR$4,1,80-Projects!$C$42+1),0)+IF(AND(Projects!$G$43="Yes",Projects!$M$43="Yes",80&gt;=Projects!$C$43,80&lt;Projects!$C$43+Projects!$D$43),Projects!$B$43*INDEX(Curves!$B$4:$AR$4,1,80-Projects!$C$43+1),0)+IF(AND(Projects!$G$44="Yes",Projects!$M$44="Yes",80&gt;=Projects!$C$44,80&lt;Projects!$C$44+Projects!$D$44),Projects!$B$44*INDEX(Curves!$B$4:$AR$4,1,80-Projects!$C$44+1),0)+IF(AND(Projects!$G$45="Yes",Projects!$M$45="Yes",80&gt;=Projects!$C$45,80&lt;Projects!$C$45+Projects!$D$45),Projects!$B$45*INDEX(Curves!$B$4:$AR$4,1,80-Projects!$C$45+1),0)+IF(AND(Projects!$G$46="Yes",Projects!$M$46="Yes",80&gt;=Projects!$C$46,80&lt;Projects!$C$46+Projects!$D$46),Projects!$B$46*INDEX(Curves!$B$4:$AR$4,1,80-Projects!$C$46+1),0)</f>
        <v/>
      </c>
      <c r="CH101" s="691">
        <f>IF(AND(Projects!$G$17="Yes",Projects!$M$17="Yes",81&gt;=Projects!$C$17,81&lt;Projects!$C$17+Projects!$D$17),Projects!$B$17*INDEX(Curves!$B$4:$AR$4,1,81-Projects!$C$17+1),0)+IF(AND(Projects!$G$18="Yes",Projects!$M$18="Yes",81&gt;=Projects!$C$18,81&lt;Projects!$C$18+Projects!$D$18),Projects!$B$18*INDEX(Curves!$B$4:$AR$4,1,81-Projects!$C$18+1),0)+IF(AND(Projects!$G$19="Yes",Projects!$M$19="Yes",81&gt;=Projects!$C$19,81&lt;Projects!$C$19+Projects!$D$19),Projects!$B$19*INDEX(Curves!$B$4:$AR$4,1,81-Projects!$C$19+1),0)+IF(AND(Projects!$G$20="Yes",Projects!$M$20="Yes",81&gt;=Projects!$C$20,81&lt;Projects!$C$20+Projects!$D$20),Projects!$B$20*INDEX(Curves!$B$4:$AR$4,1,81-Projects!$C$20+1),0)+IF(AND(Projects!$G$21="Yes",Projects!$M$21="Yes",81&gt;=Projects!$C$21,81&lt;Projects!$C$21+Projects!$D$21),Projects!$B$21*INDEX(Curves!$B$4:$AR$4,1,81-Projects!$C$21+1),0)+IF(AND(Projects!$G$22="Yes",Projects!$M$22="Yes",81&gt;=Projects!$C$22,81&lt;Projects!$C$22+Projects!$D$22),Projects!$B$22*INDEX(Curves!$B$4:$AR$4,1,81-Projects!$C$22+1),0)+IF(AND(Projects!$G$23="Yes",Projects!$M$23="Yes",81&gt;=Projects!$C$23,81&lt;Projects!$C$23+Projects!$D$23),Projects!$B$23*INDEX(Curves!$B$4:$AR$4,1,81-Projects!$C$23+1),0)+IF(AND(Projects!$G$24="Yes",Projects!$M$24="Yes",81&gt;=Projects!$C$24,81&lt;Projects!$C$24+Projects!$D$24),Projects!$B$24*INDEX(Curves!$B$4:$AR$4,1,81-Projects!$C$24+1),0)+IF(AND(Projects!$G$25="Yes",Projects!$M$25="Yes",81&gt;=Projects!$C$25,81&lt;Projects!$C$25+Projects!$D$25),Projects!$B$25*INDEX(Curves!$B$4:$AR$4,1,81-Projects!$C$25+1),0)+IF(AND(Projects!$G$26="Yes",Projects!$M$26="Yes",81&gt;=Projects!$C$26,81&lt;Projects!$C$26+Projects!$D$26),Projects!$B$26*INDEX(Curves!$B$4:$AR$4,1,81-Projects!$C$26+1),0)+IF(AND(Projects!$G$27="Yes",Projects!$M$27="Yes",81&gt;=Projects!$C$27,81&lt;Projects!$C$27+Projects!$D$27),Projects!$B$27*INDEX(Curves!$B$4:$AR$4,1,81-Projects!$C$27+1),0)+IF(AND(Projects!$G$28="Yes",Projects!$M$28="Yes",81&gt;=Projects!$C$28,81&lt;Projects!$C$28+Projects!$D$28),Projects!$B$28*INDEX(Curves!$B$4:$AR$4,1,81-Projects!$C$28+1),0)+IF(AND(Projects!$G$29="Yes",Projects!$M$29="Yes",81&gt;=Projects!$C$29,81&lt;Projects!$C$29+Projects!$D$29),Projects!$B$29*INDEX(Curves!$B$4:$AR$4,1,81-Projects!$C$29+1),0)+IF(AND(Projects!$G$30="Yes",Projects!$M$30="Yes",81&gt;=Projects!$C$30,81&lt;Projects!$C$30+Projects!$D$30),Projects!$B$30*INDEX(Curves!$B$4:$AR$4,1,81-Projects!$C$30+1),0)+IF(AND(Projects!$G$31="Yes",Projects!$M$31="Yes",81&gt;=Projects!$C$31,81&lt;Projects!$C$31+Projects!$D$31),Projects!$B$31*INDEX(Curves!$B$4:$AR$4,1,81-Projects!$C$31+1),0)+IF(AND(Projects!$G$32="Yes",Projects!$M$32="Yes",81&gt;=Projects!$C$32,81&lt;Projects!$C$32+Projects!$D$32),Projects!$B$32*INDEX(Curves!$B$4:$AR$4,1,81-Projects!$C$32+1),0)+IF(AND(Projects!$G$33="Yes",Projects!$M$33="Yes",81&gt;=Projects!$C$33,81&lt;Projects!$C$33+Projects!$D$33),Projects!$B$33*INDEX(Curves!$B$4:$AR$4,1,81-Projects!$C$33+1),0)+IF(AND(Projects!$G$34="Yes",Projects!$M$34="Yes",81&gt;=Projects!$C$34,81&lt;Projects!$C$34+Projects!$D$34),Projects!$B$34*INDEX(Curves!$B$4:$AR$4,1,81-Projects!$C$34+1),0)+IF(AND(Projects!$G$35="Yes",Projects!$M$35="Yes",81&gt;=Projects!$C$35,81&lt;Projects!$C$35+Projects!$D$35),Projects!$B$35*INDEX(Curves!$B$4:$AR$4,1,81-Projects!$C$35+1),0)+IF(AND(Projects!$G$36="Yes",Projects!$M$36="Yes",81&gt;=Projects!$C$36,81&lt;Projects!$C$36+Projects!$D$36),Projects!$B$36*INDEX(Curves!$B$4:$AR$4,1,81-Projects!$C$36+1),0)+IF(AND(Projects!$G$37="Yes",Projects!$M$37="Yes",81&gt;=Projects!$C$37,81&lt;Projects!$C$37+Projects!$D$37),Projects!$B$37*INDEX(Curves!$B$4:$AR$4,1,81-Projects!$C$37+1),0)+IF(AND(Projects!$G$38="Yes",Projects!$M$38="Yes",81&gt;=Projects!$C$38,81&lt;Projects!$C$38+Projects!$D$38),Projects!$B$38*INDEX(Curves!$B$4:$AR$4,1,81-Projects!$C$38+1),0)+IF(AND(Projects!$G$39="Yes",Projects!$M$39="Yes",81&gt;=Projects!$C$39,81&lt;Projects!$C$39+Projects!$D$39),Projects!$B$39*INDEX(Curves!$B$4:$AR$4,1,81-Projects!$C$39+1),0)+IF(AND(Projects!$G$40="Yes",Projects!$M$40="Yes",81&gt;=Projects!$C$40,81&lt;Projects!$C$40+Projects!$D$40),Projects!$B$40*INDEX(Curves!$B$4:$AR$4,1,81-Projects!$C$40+1),0)+IF(AND(Projects!$G$41="Yes",Projects!$M$41="Yes",81&gt;=Projects!$C$41,81&lt;Projects!$C$41+Projects!$D$41),Projects!$B$41*INDEX(Curves!$B$4:$AR$4,1,81-Projects!$C$41+1),0)+IF(AND(Projects!$G$42="Yes",Projects!$M$42="Yes",81&gt;=Projects!$C$42,81&lt;Projects!$C$42+Projects!$D$42),Projects!$B$42*INDEX(Curves!$B$4:$AR$4,1,81-Projects!$C$42+1),0)+IF(AND(Projects!$G$43="Yes",Projects!$M$43="Yes",81&gt;=Projects!$C$43,81&lt;Projects!$C$43+Projects!$D$43),Projects!$B$43*INDEX(Curves!$B$4:$AR$4,1,81-Projects!$C$43+1),0)+IF(AND(Projects!$G$44="Yes",Projects!$M$44="Yes",81&gt;=Projects!$C$44,81&lt;Projects!$C$44+Projects!$D$44),Projects!$B$44*INDEX(Curves!$B$4:$AR$4,1,81-Projects!$C$44+1),0)+IF(AND(Projects!$G$45="Yes",Projects!$M$45="Yes",81&gt;=Projects!$C$45,81&lt;Projects!$C$45+Projects!$D$45),Projects!$B$45*INDEX(Curves!$B$4:$AR$4,1,81-Projects!$C$45+1),0)+IF(AND(Projects!$G$46="Yes",Projects!$M$46="Yes",81&gt;=Projects!$C$46,81&lt;Projects!$C$46+Projects!$D$46),Projects!$B$46*INDEX(Curves!$B$4:$AR$4,1,81-Projects!$C$46+1),0)</f>
        <v/>
      </c>
      <c r="CI101" s="691">
        <f>IF(AND(Projects!$G$17="Yes",Projects!$M$17="Yes",82&gt;=Projects!$C$17,82&lt;Projects!$C$17+Projects!$D$17),Projects!$B$17*INDEX(Curves!$B$4:$AR$4,1,82-Projects!$C$17+1),0)+IF(AND(Projects!$G$18="Yes",Projects!$M$18="Yes",82&gt;=Projects!$C$18,82&lt;Projects!$C$18+Projects!$D$18),Projects!$B$18*INDEX(Curves!$B$4:$AR$4,1,82-Projects!$C$18+1),0)+IF(AND(Projects!$G$19="Yes",Projects!$M$19="Yes",82&gt;=Projects!$C$19,82&lt;Projects!$C$19+Projects!$D$19),Projects!$B$19*INDEX(Curves!$B$4:$AR$4,1,82-Projects!$C$19+1),0)+IF(AND(Projects!$G$20="Yes",Projects!$M$20="Yes",82&gt;=Projects!$C$20,82&lt;Projects!$C$20+Projects!$D$20),Projects!$B$20*INDEX(Curves!$B$4:$AR$4,1,82-Projects!$C$20+1),0)+IF(AND(Projects!$G$21="Yes",Projects!$M$21="Yes",82&gt;=Projects!$C$21,82&lt;Projects!$C$21+Projects!$D$21),Projects!$B$21*INDEX(Curves!$B$4:$AR$4,1,82-Projects!$C$21+1),0)+IF(AND(Projects!$G$22="Yes",Projects!$M$22="Yes",82&gt;=Projects!$C$22,82&lt;Projects!$C$22+Projects!$D$22),Projects!$B$22*INDEX(Curves!$B$4:$AR$4,1,82-Projects!$C$22+1),0)+IF(AND(Projects!$G$23="Yes",Projects!$M$23="Yes",82&gt;=Projects!$C$23,82&lt;Projects!$C$23+Projects!$D$23),Projects!$B$23*INDEX(Curves!$B$4:$AR$4,1,82-Projects!$C$23+1),0)+IF(AND(Projects!$G$24="Yes",Projects!$M$24="Yes",82&gt;=Projects!$C$24,82&lt;Projects!$C$24+Projects!$D$24),Projects!$B$24*INDEX(Curves!$B$4:$AR$4,1,82-Projects!$C$24+1),0)+IF(AND(Projects!$G$25="Yes",Projects!$M$25="Yes",82&gt;=Projects!$C$25,82&lt;Projects!$C$25+Projects!$D$25),Projects!$B$25*INDEX(Curves!$B$4:$AR$4,1,82-Projects!$C$25+1),0)+IF(AND(Projects!$G$26="Yes",Projects!$M$26="Yes",82&gt;=Projects!$C$26,82&lt;Projects!$C$26+Projects!$D$26),Projects!$B$26*INDEX(Curves!$B$4:$AR$4,1,82-Projects!$C$26+1),0)+IF(AND(Projects!$G$27="Yes",Projects!$M$27="Yes",82&gt;=Projects!$C$27,82&lt;Projects!$C$27+Projects!$D$27),Projects!$B$27*INDEX(Curves!$B$4:$AR$4,1,82-Projects!$C$27+1),0)+IF(AND(Projects!$G$28="Yes",Projects!$M$28="Yes",82&gt;=Projects!$C$28,82&lt;Projects!$C$28+Projects!$D$28),Projects!$B$28*INDEX(Curves!$B$4:$AR$4,1,82-Projects!$C$28+1),0)+IF(AND(Projects!$G$29="Yes",Projects!$M$29="Yes",82&gt;=Projects!$C$29,82&lt;Projects!$C$29+Projects!$D$29),Projects!$B$29*INDEX(Curves!$B$4:$AR$4,1,82-Projects!$C$29+1),0)+IF(AND(Projects!$G$30="Yes",Projects!$M$30="Yes",82&gt;=Projects!$C$30,82&lt;Projects!$C$30+Projects!$D$30),Projects!$B$30*INDEX(Curves!$B$4:$AR$4,1,82-Projects!$C$30+1),0)+IF(AND(Projects!$G$31="Yes",Projects!$M$31="Yes",82&gt;=Projects!$C$31,82&lt;Projects!$C$31+Projects!$D$31),Projects!$B$31*INDEX(Curves!$B$4:$AR$4,1,82-Projects!$C$31+1),0)+IF(AND(Projects!$G$32="Yes",Projects!$M$32="Yes",82&gt;=Projects!$C$32,82&lt;Projects!$C$32+Projects!$D$32),Projects!$B$32*INDEX(Curves!$B$4:$AR$4,1,82-Projects!$C$32+1),0)+IF(AND(Projects!$G$33="Yes",Projects!$M$33="Yes",82&gt;=Projects!$C$33,82&lt;Projects!$C$33+Projects!$D$33),Projects!$B$33*INDEX(Curves!$B$4:$AR$4,1,82-Projects!$C$33+1),0)+IF(AND(Projects!$G$34="Yes",Projects!$M$34="Yes",82&gt;=Projects!$C$34,82&lt;Projects!$C$34+Projects!$D$34),Projects!$B$34*INDEX(Curves!$B$4:$AR$4,1,82-Projects!$C$34+1),0)+IF(AND(Projects!$G$35="Yes",Projects!$M$35="Yes",82&gt;=Projects!$C$35,82&lt;Projects!$C$35+Projects!$D$35),Projects!$B$35*INDEX(Curves!$B$4:$AR$4,1,82-Projects!$C$35+1),0)+IF(AND(Projects!$G$36="Yes",Projects!$M$36="Yes",82&gt;=Projects!$C$36,82&lt;Projects!$C$36+Projects!$D$36),Projects!$B$36*INDEX(Curves!$B$4:$AR$4,1,82-Projects!$C$36+1),0)+IF(AND(Projects!$G$37="Yes",Projects!$M$37="Yes",82&gt;=Projects!$C$37,82&lt;Projects!$C$37+Projects!$D$37),Projects!$B$37*INDEX(Curves!$B$4:$AR$4,1,82-Projects!$C$37+1),0)+IF(AND(Projects!$G$38="Yes",Projects!$M$38="Yes",82&gt;=Projects!$C$38,82&lt;Projects!$C$38+Projects!$D$38),Projects!$B$38*INDEX(Curves!$B$4:$AR$4,1,82-Projects!$C$38+1),0)+IF(AND(Projects!$G$39="Yes",Projects!$M$39="Yes",82&gt;=Projects!$C$39,82&lt;Projects!$C$39+Projects!$D$39),Projects!$B$39*INDEX(Curves!$B$4:$AR$4,1,82-Projects!$C$39+1),0)+IF(AND(Projects!$G$40="Yes",Projects!$M$40="Yes",82&gt;=Projects!$C$40,82&lt;Projects!$C$40+Projects!$D$40),Projects!$B$40*INDEX(Curves!$B$4:$AR$4,1,82-Projects!$C$40+1),0)+IF(AND(Projects!$G$41="Yes",Projects!$M$41="Yes",82&gt;=Projects!$C$41,82&lt;Projects!$C$41+Projects!$D$41),Projects!$B$41*INDEX(Curves!$B$4:$AR$4,1,82-Projects!$C$41+1),0)+IF(AND(Projects!$G$42="Yes",Projects!$M$42="Yes",82&gt;=Projects!$C$42,82&lt;Projects!$C$42+Projects!$D$42),Projects!$B$42*INDEX(Curves!$B$4:$AR$4,1,82-Projects!$C$42+1),0)+IF(AND(Projects!$G$43="Yes",Projects!$M$43="Yes",82&gt;=Projects!$C$43,82&lt;Projects!$C$43+Projects!$D$43),Projects!$B$43*INDEX(Curves!$B$4:$AR$4,1,82-Projects!$C$43+1),0)+IF(AND(Projects!$G$44="Yes",Projects!$M$44="Yes",82&gt;=Projects!$C$44,82&lt;Projects!$C$44+Projects!$D$44),Projects!$B$44*INDEX(Curves!$B$4:$AR$4,1,82-Projects!$C$44+1),0)+IF(AND(Projects!$G$45="Yes",Projects!$M$45="Yes",82&gt;=Projects!$C$45,82&lt;Projects!$C$45+Projects!$D$45),Projects!$B$45*INDEX(Curves!$B$4:$AR$4,1,82-Projects!$C$45+1),0)+IF(AND(Projects!$G$46="Yes",Projects!$M$46="Yes",82&gt;=Projects!$C$46,82&lt;Projects!$C$46+Projects!$D$46),Projects!$B$46*INDEX(Curves!$B$4:$AR$4,1,82-Projects!$C$46+1),0)</f>
        <v/>
      </c>
      <c r="CJ101" s="691">
        <f>IF(AND(Projects!$G$17="Yes",Projects!$M$17="Yes",83&gt;=Projects!$C$17,83&lt;Projects!$C$17+Projects!$D$17),Projects!$B$17*INDEX(Curves!$B$4:$AR$4,1,83-Projects!$C$17+1),0)+IF(AND(Projects!$G$18="Yes",Projects!$M$18="Yes",83&gt;=Projects!$C$18,83&lt;Projects!$C$18+Projects!$D$18),Projects!$B$18*INDEX(Curves!$B$4:$AR$4,1,83-Projects!$C$18+1),0)+IF(AND(Projects!$G$19="Yes",Projects!$M$19="Yes",83&gt;=Projects!$C$19,83&lt;Projects!$C$19+Projects!$D$19),Projects!$B$19*INDEX(Curves!$B$4:$AR$4,1,83-Projects!$C$19+1),0)+IF(AND(Projects!$G$20="Yes",Projects!$M$20="Yes",83&gt;=Projects!$C$20,83&lt;Projects!$C$20+Projects!$D$20),Projects!$B$20*INDEX(Curves!$B$4:$AR$4,1,83-Projects!$C$20+1),0)+IF(AND(Projects!$G$21="Yes",Projects!$M$21="Yes",83&gt;=Projects!$C$21,83&lt;Projects!$C$21+Projects!$D$21),Projects!$B$21*INDEX(Curves!$B$4:$AR$4,1,83-Projects!$C$21+1),0)+IF(AND(Projects!$G$22="Yes",Projects!$M$22="Yes",83&gt;=Projects!$C$22,83&lt;Projects!$C$22+Projects!$D$22),Projects!$B$22*INDEX(Curves!$B$4:$AR$4,1,83-Projects!$C$22+1),0)+IF(AND(Projects!$G$23="Yes",Projects!$M$23="Yes",83&gt;=Projects!$C$23,83&lt;Projects!$C$23+Projects!$D$23),Projects!$B$23*INDEX(Curves!$B$4:$AR$4,1,83-Projects!$C$23+1),0)+IF(AND(Projects!$G$24="Yes",Projects!$M$24="Yes",83&gt;=Projects!$C$24,83&lt;Projects!$C$24+Projects!$D$24),Projects!$B$24*INDEX(Curves!$B$4:$AR$4,1,83-Projects!$C$24+1),0)+IF(AND(Projects!$G$25="Yes",Projects!$M$25="Yes",83&gt;=Projects!$C$25,83&lt;Projects!$C$25+Projects!$D$25),Projects!$B$25*INDEX(Curves!$B$4:$AR$4,1,83-Projects!$C$25+1),0)+IF(AND(Projects!$G$26="Yes",Projects!$M$26="Yes",83&gt;=Projects!$C$26,83&lt;Projects!$C$26+Projects!$D$26),Projects!$B$26*INDEX(Curves!$B$4:$AR$4,1,83-Projects!$C$26+1),0)+IF(AND(Projects!$G$27="Yes",Projects!$M$27="Yes",83&gt;=Projects!$C$27,83&lt;Projects!$C$27+Projects!$D$27),Projects!$B$27*INDEX(Curves!$B$4:$AR$4,1,83-Projects!$C$27+1),0)+IF(AND(Projects!$G$28="Yes",Projects!$M$28="Yes",83&gt;=Projects!$C$28,83&lt;Projects!$C$28+Projects!$D$28),Projects!$B$28*INDEX(Curves!$B$4:$AR$4,1,83-Projects!$C$28+1),0)+IF(AND(Projects!$G$29="Yes",Projects!$M$29="Yes",83&gt;=Projects!$C$29,83&lt;Projects!$C$29+Projects!$D$29),Projects!$B$29*INDEX(Curves!$B$4:$AR$4,1,83-Projects!$C$29+1),0)+IF(AND(Projects!$G$30="Yes",Projects!$M$30="Yes",83&gt;=Projects!$C$30,83&lt;Projects!$C$30+Projects!$D$30),Projects!$B$30*INDEX(Curves!$B$4:$AR$4,1,83-Projects!$C$30+1),0)+IF(AND(Projects!$G$31="Yes",Projects!$M$31="Yes",83&gt;=Projects!$C$31,83&lt;Projects!$C$31+Projects!$D$31),Projects!$B$31*INDEX(Curves!$B$4:$AR$4,1,83-Projects!$C$31+1),0)+IF(AND(Projects!$G$32="Yes",Projects!$M$32="Yes",83&gt;=Projects!$C$32,83&lt;Projects!$C$32+Projects!$D$32),Projects!$B$32*INDEX(Curves!$B$4:$AR$4,1,83-Projects!$C$32+1),0)+IF(AND(Projects!$G$33="Yes",Projects!$M$33="Yes",83&gt;=Projects!$C$33,83&lt;Projects!$C$33+Projects!$D$33),Projects!$B$33*INDEX(Curves!$B$4:$AR$4,1,83-Projects!$C$33+1),0)+IF(AND(Projects!$G$34="Yes",Projects!$M$34="Yes",83&gt;=Projects!$C$34,83&lt;Projects!$C$34+Projects!$D$34),Projects!$B$34*INDEX(Curves!$B$4:$AR$4,1,83-Projects!$C$34+1),0)+IF(AND(Projects!$G$35="Yes",Projects!$M$35="Yes",83&gt;=Projects!$C$35,83&lt;Projects!$C$35+Projects!$D$35),Projects!$B$35*INDEX(Curves!$B$4:$AR$4,1,83-Projects!$C$35+1),0)+IF(AND(Projects!$G$36="Yes",Projects!$M$36="Yes",83&gt;=Projects!$C$36,83&lt;Projects!$C$36+Projects!$D$36),Projects!$B$36*INDEX(Curves!$B$4:$AR$4,1,83-Projects!$C$36+1),0)+IF(AND(Projects!$G$37="Yes",Projects!$M$37="Yes",83&gt;=Projects!$C$37,83&lt;Projects!$C$37+Projects!$D$37),Projects!$B$37*INDEX(Curves!$B$4:$AR$4,1,83-Projects!$C$37+1),0)+IF(AND(Projects!$G$38="Yes",Projects!$M$38="Yes",83&gt;=Projects!$C$38,83&lt;Projects!$C$38+Projects!$D$38),Projects!$B$38*INDEX(Curves!$B$4:$AR$4,1,83-Projects!$C$38+1),0)+IF(AND(Projects!$G$39="Yes",Projects!$M$39="Yes",83&gt;=Projects!$C$39,83&lt;Projects!$C$39+Projects!$D$39),Projects!$B$39*INDEX(Curves!$B$4:$AR$4,1,83-Projects!$C$39+1),0)+IF(AND(Projects!$G$40="Yes",Projects!$M$40="Yes",83&gt;=Projects!$C$40,83&lt;Projects!$C$40+Projects!$D$40),Projects!$B$40*INDEX(Curves!$B$4:$AR$4,1,83-Projects!$C$40+1),0)+IF(AND(Projects!$G$41="Yes",Projects!$M$41="Yes",83&gt;=Projects!$C$41,83&lt;Projects!$C$41+Projects!$D$41),Projects!$B$41*INDEX(Curves!$B$4:$AR$4,1,83-Projects!$C$41+1),0)+IF(AND(Projects!$G$42="Yes",Projects!$M$42="Yes",83&gt;=Projects!$C$42,83&lt;Projects!$C$42+Projects!$D$42),Projects!$B$42*INDEX(Curves!$B$4:$AR$4,1,83-Projects!$C$42+1),0)+IF(AND(Projects!$G$43="Yes",Projects!$M$43="Yes",83&gt;=Projects!$C$43,83&lt;Projects!$C$43+Projects!$D$43),Projects!$B$43*INDEX(Curves!$B$4:$AR$4,1,83-Projects!$C$43+1),0)+IF(AND(Projects!$G$44="Yes",Projects!$M$44="Yes",83&gt;=Projects!$C$44,83&lt;Projects!$C$44+Projects!$D$44),Projects!$B$44*INDEX(Curves!$B$4:$AR$4,1,83-Projects!$C$44+1),0)+IF(AND(Projects!$G$45="Yes",Projects!$M$45="Yes",83&gt;=Projects!$C$45,83&lt;Projects!$C$45+Projects!$D$45),Projects!$B$45*INDEX(Curves!$B$4:$AR$4,1,83-Projects!$C$45+1),0)+IF(AND(Projects!$G$46="Yes",Projects!$M$46="Yes",83&gt;=Projects!$C$46,83&lt;Projects!$C$46+Projects!$D$46),Projects!$B$46*INDEX(Curves!$B$4:$AR$4,1,83-Projects!$C$46+1),0)</f>
        <v/>
      </c>
      <c r="CK101" s="691">
        <f>IF(AND(Projects!$G$17="Yes",Projects!$M$17="Yes",84&gt;=Projects!$C$17,84&lt;Projects!$C$17+Projects!$D$17),Projects!$B$17*INDEX(Curves!$B$4:$AR$4,1,84-Projects!$C$17+1),0)+IF(AND(Projects!$G$18="Yes",Projects!$M$18="Yes",84&gt;=Projects!$C$18,84&lt;Projects!$C$18+Projects!$D$18),Projects!$B$18*INDEX(Curves!$B$4:$AR$4,1,84-Projects!$C$18+1),0)+IF(AND(Projects!$G$19="Yes",Projects!$M$19="Yes",84&gt;=Projects!$C$19,84&lt;Projects!$C$19+Projects!$D$19),Projects!$B$19*INDEX(Curves!$B$4:$AR$4,1,84-Projects!$C$19+1),0)+IF(AND(Projects!$G$20="Yes",Projects!$M$20="Yes",84&gt;=Projects!$C$20,84&lt;Projects!$C$20+Projects!$D$20),Projects!$B$20*INDEX(Curves!$B$4:$AR$4,1,84-Projects!$C$20+1),0)+IF(AND(Projects!$G$21="Yes",Projects!$M$21="Yes",84&gt;=Projects!$C$21,84&lt;Projects!$C$21+Projects!$D$21),Projects!$B$21*INDEX(Curves!$B$4:$AR$4,1,84-Projects!$C$21+1),0)+IF(AND(Projects!$G$22="Yes",Projects!$M$22="Yes",84&gt;=Projects!$C$22,84&lt;Projects!$C$22+Projects!$D$22),Projects!$B$22*INDEX(Curves!$B$4:$AR$4,1,84-Projects!$C$22+1),0)+IF(AND(Projects!$G$23="Yes",Projects!$M$23="Yes",84&gt;=Projects!$C$23,84&lt;Projects!$C$23+Projects!$D$23),Projects!$B$23*INDEX(Curves!$B$4:$AR$4,1,84-Projects!$C$23+1),0)+IF(AND(Projects!$G$24="Yes",Projects!$M$24="Yes",84&gt;=Projects!$C$24,84&lt;Projects!$C$24+Projects!$D$24),Projects!$B$24*INDEX(Curves!$B$4:$AR$4,1,84-Projects!$C$24+1),0)+IF(AND(Projects!$G$25="Yes",Projects!$M$25="Yes",84&gt;=Projects!$C$25,84&lt;Projects!$C$25+Projects!$D$25),Projects!$B$25*INDEX(Curves!$B$4:$AR$4,1,84-Projects!$C$25+1),0)+IF(AND(Projects!$G$26="Yes",Projects!$M$26="Yes",84&gt;=Projects!$C$26,84&lt;Projects!$C$26+Projects!$D$26),Projects!$B$26*INDEX(Curves!$B$4:$AR$4,1,84-Projects!$C$26+1),0)+IF(AND(Projects!$G$27="Yes",Projects!$M$27="Yes",84&gt;=Projects!$C$27,84&lt;Projects!$C$27+Projects!$D$27),Projects!$B$27*INDEX(Curves!$B$4:$AR$4,1,84-Projects!$C$27+1),0)+IF(AND(Projects!$G$28="Yes",Projects!$M$28="Yes",84&gt;=Projects!$C$28,84&lt;Projects!$C$28+Projects!$D$28),Projects!$B$28*INDEX(Curves!$B$4:$AR$4,1,84-Projects!$C$28+1),0)+IF(AND(Projects!$G$29="Yes",Projects!$M$29="Yes",84&gt;=Projects!$C$29,84&lt;Projects!$C$29+Projects!$D$29),Projects!$B$29*INDEX(Curves!$B$4:$AR$4,1,84-Projects!$C$29+1),0)+IF(AND(Projects!$G$30="Yes",Projects!$M$30="Yes",84&gt;=Projects!$C$30,84&lt;Projects!$C$30+Projects!$D$30),Projects!$B$30*INDEX(Curves!$B$4:$AR$4,1,84-Projects!$C$30+1),0)+IF(AND(Projects!$G$31="Yes",Projects!$M$31="Yes",84&gt;=Projects!$C$31,84&lt;Projects!$C$31+Projects!$D$31),Projects!$B$31*INDEX(Curves!$B$4:$AR$4,1,84-Projects!$C$31+1),0)+IF(AND(Projects!$G$32="Yes",Projects!$M$32="Yes",84&gt;=Projects!$C$32,84&lt;Projects!$C$32+Projects!$D$32),Projects!$B$32*INDEX(Curves!$B$4:$AR$4,1,84-Projects!$C$32+1),0)+IF(AND(Projects!$G$33="Yes",Projects!$M$33="Yes",84&gt;=Projects!$C$33,84&lt;Projects!$C$33+Projects!$D$33),Projects!$B$33*INDEX(Curves!$B$4:$AR$4,1,84-Projects!$C$33+1),0)+IF(AND(Projects!$G$34="Yes",Projects!$M$34="Yes",84&gt;=Projects!$C$34,84&lt;Projects!$C$34+Projects!$D$34),Projects!$B$34*INDEX(Curves!$B$4:$AR$4,1,84-Projects!$C$34+1),0)+IF(AND(Projects!$G$35="Yes",Projects!$M$35="Yes",84&gt;=Projects!$C$35,84&lt;Projects!$C$35+Projects!$D$35),Projects!$B$35*INDEX(Curves!$B$4:$AR$4,1,84-Projects!$C$35+1),0)+IF(AND(Projects!$G$36="Yes",Projects!$M$36="Yes",84&gt;=Projects!$C$36,84&lt;Projects!$C$36+Projects!$D$36),Projects!$B$36*INDEX(Curves!$B$4:$AR$4,1,84-Projects!$C$36+1),0)+IF(AND(Projects!$G$37="Yes",Projects!$M$37="Yes",84&gt;=Projects!$C$37,84&lt;Projects!$C$37+Projects!$D$37),Projects!$B$37*INDEX(Curves!$B$4:$AR$4,1,84-Projects!$C$37+1),0)+IF(AND(Projects!$G$38="Yes",Projects!$M$38="Yes",84&gt;=Projects!$C$38,84&lt;Projects!$C$38+Projects!$D$38),Projects!$B$38*INDEX(Curves!$B$4:$AR$4,1,84-Projects!$C$38+1),0)+IF(AND(Projects!$G$39="Yes",Projects!$M$39="Yes",84&gt;=Projects!$C$39,84&lt;Projects!$C$39+Projects!$D$39),Projects!$B$39*INDEX(Curves!$B$4:$AR$4,1,84-Projects!$C$39+1),0)+IF(AND(Projects!$G$40="Yes",Projects!$M$40="Yes",84&gt;=Projects!$C$40,84&lt;Projects!$C$40+Projects!$D$40),Projects!$B$40*INDEX(Curves!$B$4:$AR$4,1,84-Projects!$C$40+1),0)+IF(AND(Projects!$G$41="Yes",Projects!$M$41="Yes",84&gt;=Projects!$C$41,84&lt;Projects!$C$41+Projects!$D$41),Projects!$B$41*INDEX(Curves!$B$4:$AR$4,1,84-Projects!$C$41+1),0)+IF(AND(Projects!$G$42="Yes",Projects!$M$42="Yes",84&gt;=Projects!$C$42,84&lt;Projects!$C$42+Projects!$D$42),Projects!$B$42*INDEX(Curves!$B$4:$AR$4,1,84-Projects!$C$42+1),0)+IF(AND(Projects!$G$43="Yes",Projects!$M$43="Yes",84&gt;=Projects!$C$43,84&lt;Projects!$C$43+Projects!$D$43),Projects!$B$43*INDEX(Curves!$B$4:$AR$4,1,84-Projects!$C$43+1),0)+IF(AND(Projects!$G$44="Yes",Projects!$M$44="Yes",84&gt;=Projects!$C$44,84&lt;Projects!$C$44+Projects!$D$44),Projects!$B$44*INDEX(Curves!$B$4:$AR$4,1,84-Projects!$C$44+1),0)+IF(AND(Projects!$G$45="Yes",Projects!$M$45="Yes",84&gt;=Projects!$C$45,84&lt;Projects!$C$45+Projects!$D$45),Projects!$B$45*INDEX(Curves!$B$4:$AR$4,1,84-Projects!$C$45+1),0)+IF(AND(Projects!$G$46="Yes",Projects!$M$46="Yes",84&gt;=Projects!$C$46,84&lt;Projects!$C$46+Projects!$D$46),Projects!$B$46*INDEX(Curves!$B$4:$AR$4,1,84-Projects!$C$46+1),0)</f>
        <v/>
      </c>
      <c r="CL101" s="691">
        <f>IF(AND(Projects!$G$17="Yes",Projects!$M$17="Yes",85&gt;=Projects!$C$17,85&lt;Projects!$C$17+Projects!$D$17),Projects!$B$17*INDEX(Curves!$B$4:$AR$4,1,85-Projects!$C$17+1),0)+IF(AND(Projects!$G$18="Yes",Projects!$M$18="Yes",85&gt;=Projects!$C$18,85&lt;Projects!$C$18+Projects!$D$18),Projects!$B$18*INDEX(Curves!$B$4:$AR$4,1,85-Projects!$C$18+1),0)+IF(AND(Projects!$G$19="Yes",Projects!$M$19="Yes",85&gt;=Projects!$C$19,85&lt;Projects!$C$19+Projects!$D$19),Projects!$B$19*INDEX(Curves!$B$4:$AR$4,1,85-Projects!$C$19+1),0)+IF(AND(Projects!$G$20="Yes",Projects!$M$20="Yes",85&gt;=Projects!$C$20,85&lt;Projects!$C$20+Projects!$D$20),Projects!$B$20*INDEX(Curves!$B$4:$AR$4,1,85-Projects!$C$20+1),0)+IF(AND(Projects!$G$21="Yes",Projects!$M$21="Yes",85&gt;=Projects!$C$21,85&lt;Projects!$C$21+Projects!$D$21),Projects!$B$21*INDEX(Curves!$B$4:$AR$4,1,85-Projects!$C$21+1),0)+IF(AND(Projects!$G$22="Yes",Projects!$M$22="Yes",85&gt;=Projects!$C$22,85&lt;Projects!$C$22+Projects!$D$22),Projects!$B$22*INDEX(Curves!$B$4:$AR$4,1,85-Projects!$C$22+1),0)+IF(AND(Projects!$G$23="Yes",Projects!$M$23="Yes",85&gt;=Projects!$C$23,85&lt;Projects!$C$23+Projects!$D$23),Projects!$B$23*INDEX(Curves!$B$4:$AR$4,1,85-Projects!$C$23+1),0)+IF(AND(Projects!$G$24="Yes",Projects!$M$24="Yes",85&gt;=Projects!$C$24,85&lt;Projects!$C$24+Projects!$D$24),Projects!$B$24*INDEX(Curves!$B$4:$AR$4,1,85-Projects!$C$24+1),0)+IF(AND(Projects!$G$25="Yes",Projects!$M$25="Yes",85&gt;=Projects!$C$25,85&lt;Projects!$C$25+Projects!$D$25),Projects!$B$25*INDEX(Curves!$B$4:$AR$4,1,85-Projects!$C$25+1),0)+IF(AND(Projects!$G$26="Yes",Projects!$M$26="Yes",85&gt;=Projects!$C$26,85&lt;Projects!$C$26+Projects!$D$26),Projects!$B$26*INDEX(Curves!$B$4:$AR$4,1,85-Projects!$C$26+1),0)+IF(AND(Projects!$G$27="Yes",Projects!$M$27="Yes",85&gt;=Projects!$C$27,85&lt;Projects!$C$27+Projects!$D$27),Projects!$B$27*INDEX(Curves!$B$4:$AR$4,1,85-Projects!$C$27+1),0)+IF(AND(Projects!$G$28="Yes",Projects!$M$28="Yes",85&gt;=Projects!$C$28,85&lt;Projects!$C$28+Projects!$D$28),Projects!$B$28*INDEX(Curves!$B$4:$AR$4,1,85-Projects!$C$28+1),0)+IF(AND(Projects!$G$29="Yes",Projects!$M$29="Yes",85&gt;=Projects!$C$29,85&lt;Projects!$C$29+Projects!$D$29),Projects!$B$29*INDEX(Curves!$B$4:$AR$4,1,85-Projects!$C$29+1),0)+IF(AND(Projects!$G$30="Yes",Projects!$M$30="Yes",85&gt;=Projects!$C$30,85&lt;Projects!$C$30+Projects!$D$30),Projects!$B$30*INDEX(Curves!$B$4:$AR$4,1,85-Projects!$C$30+1),0)+IF(AND(Projects!$G$31="Yes",Projects!$M$31="Yes",85&gt;=Projects!$C$31,85&lt;Projects!$C$31+Projects!$D$31),Projects!$B$31*INDEX(Curves!$B$4:$AR$4,1,85-Projects!$C$31+1),0)+IF(AND(Projects!$G$32="Yes",Projects!$M$32="Yes",85&gt;=Projects!$C$32,85&lt;Projects!$C$32+Projects!$D$32),Projects!$B$32*INDEX(Curves!$B$4:$AR$4,1,85-Projects!$C$32+1),0)+IF(AND(Projects!$G$33="Yes",Projects!$M$33="Yes",85&gt;=Projects!$C$33,85&lt;Projects!$C$33+Projects!$D$33),Projects!$B$33*INDEX(Curves!$B$4:$AR$4,1,85-Projects!$C$33+1),0)+IF(AND(Projects!$G$34="Yes",Projects!$M$34="Yes",85&gt;=Projects!$C$34,85&lt;Projects!$C$34+Projects!$D$34),Projects!$B$34*INDEX(Curves!$B$4:$AR$4,1,85-Projects!$C$34+1),0)+IF(AND(Projects!$G$35="Yes",Projects!$M$35="Yes",85&gt;=Projects!$C$35,85&lt;Projects!$C$35+Projects!$D$35),Projects!$B$35*INDEX(Curves!$B$4:$AR$4,1,85-Projects!$C$35+1),0)+IF(AND(Projects!$G$36="Yes",Projects!$M$36="Yes",85&gt;=Projects!$C$36,85&lt;Projects!$C$36+Projects!$D$36),Projects!$B$36*INDEX(Curves!$B$4:$AR$4,1,85-Projects!$C$36+1),0)+IF(AND(Projects!$G$37="Yes",Projects!$M$37="Yes",85&gt;=Projects!$C$37,85&lt;Projects!$C$37+Projects!$D$37),Projects!$B$37*INDEX(Curves!$B$4:$AR$4,1,85-Projects!$C$37+1),0)+IF(AND(Projects!$G$38="Yes",Projects!$M$38="Yes",85&gt;=Projects!$C$38,85&lt;Projects!$C$38+Projects!$D$38),Projects!$B$38*INDEX(Curves!$B$4:$AR$4,1,85-Projects!$C$38+1),0)+IF(AND(Projects!$G$39="Yes",Projects!$M$39="Yes",85&gt;=Projects!$C$39,85&lt;Projects!$C$39+Projects!$D$39),Projects!$B$39*INDEX(Curves!$B$4:$AR$4,1,85-Projects!$C$39+1),0)+IF(AND(Projects!$G$40="Yes",Projects!$M$40="Yes",85&gt;=Projects!$C$40,85&lt;Projects!$C$40+Projects!$D$40),Projects!$B$40*INDEX(Curves!$B$4:$AR$4,1,85-Projects!$C$40+1),0)+IF(AND(Projects!$G$41="Yes",Projects!$M$41="Yes",85&gt;=Projects!$C$41,85&lt;Projects!$C$41+Projects!$D$41),Projects!$B$41*INDEX(Curves!$B$4:$AR$4,1,85-Projects!$C$41+1),0)+IF(AND(Projects!$G$42="Yes",Projects!$M$42="Yes",85&gt;=Projects!$C$42,85&lt;Projects!$C$42+Projects!$D$42),Projects!$B$42*INDEX(Curves!$B$4:$AR$4,1,85-Projects!$C$42+1),0)+IF(AND(Projects!$G$43="Yes",Projects!$M$43="Yes",85&gt;=Projects!$C$43,85&lt;Projects!$C$43+Projects!$D$43),Projects!$B$43*INDEX(Curves!$B$4:$AR$4,1,85-Projects!$C$43+1),0)+IF(AND(Projects!$G$44="Yes",Projects!$M$44="Yes",85&gt;=Projects!$C$44,85&lt;Projects!$C$44+Projects!$D$44),Projects!$B$44*INDEX(Curves!$B$4:$AR$4,1,85-Projects!$C$44+1),0)+IF(AND(Projects!$G$45="Yes",Projects!$M$45="Yes",85&gt;=Projects!$C$45,85&lt;Projects!$C$45+Projects!$D$45),Projects!$B$45*INDEX(Curves!$B$4:$AR$4,1,85-Projects!$C$45+1),0)+IF(AND(Projects!$G$46="Yes",Projects!$M$46="Yes",85&gt;=Projects!$C$46,85&lt;Projects!$C$46+Projects!$D$46),Projects!$B$46*INDEX(Curves!$B$4:$AR$4,1,85-Projects!$C$46+1),0)</f>
        <v/>
      </c>
      <c r="CM101" s="691">
        <f>IF(AND(Projects!$G$17="Yes",Projects!$M$17="Yes",86&gt;=Projects!$C$17,86&lt;Projects!$C$17+Projects!$D$17),Projects!$B$17*INDEX(Curves!$B$4:$AR$4,1,86-Projects!$C$17+1),0)+IF(AND(Projects!$G$18="Yes",Projects!$M$18="Yes",86&gt;=Projects!$C$18,86&lt;Projects!$C$18+Projects!$D$18),Projects!$B$18*INDEX(Curves!$B$4:$AR$4,1,86-Projects!$C$18+1),0)+IF(AND(Projects!$G$19="Yes",Projects!$M$19="Yes",86&gt;=Projects!$C$19,86&lt;Projects!$C$19+Projects!$D$19),Projects!$B$19*INDEX(Curves!$B$4:$AR$4,1,86-Projects!$C$19+1),0)+IF(AND(Projects!$G$20="Yes",Projects!$M$20="Yes",86&gt;=Projects!$C$20,86&lt;Projects!$C$20+Projects!$D$20),Projects!$B$20*INDEX(Curves!$B$4:$AR$4,1,86-Projects!$C$20+1),0)+IF(AND(Projects!$G$21="Yes",Projects!$M$21="Yes",86&gt;=Projects!$C$21,86&lt;Projects!$C$21+Projects!$D$21),Projects!$B$21*INDEX(Curves!$B$4:$AR$4,1,86-Projects!$C$21+1),0)+IF(AND(Projects!$G$22="Yes",Projects!$M$22="Yes",86&gt;=Projects!$C$22,86&lt;Projects!$C$22+Projects!$D$22),Projects!$B$22*INDEX(Curves!$B$4:$AR$4,1,86-Projects!$C$22+1),0)+IF(AND(Projects!$G$23="Yes",Projects!$M$23="Yes",86&gt;=Projects!$C$23,86&lt;Projects!$C$23+Projects!$D$23),Projects!$B$23*INDEX(Curves!$B$4:$AR$4,1,86-Projects!$C$23+1),0)+IF(AND(Projects!$G$24="Yes",Projects!$M$24="Yes",86&gt;=Projects!$C$24,86&lt;Projects!$C$24+Projects!$D$24),Projects!$B$24*INDEX(Curves!$B$4:$AR$4,1,86-Projects!$C$24+1),0)+IF(AND(Projects!$G$25="Yes",Projects!$M$25="Yes",86&gt;=Projects!$C$25,86&lt;Projects!$C$25+Projects!$D$25),Projects!$B$25*INDEX(Curves!$B$4:$AR$4,1,86-Projects!$C$25+1),0)+IF(AND(Projects!$G$26="Yes",Projects!$M$26="Yes",86&gt;=Projects!$C$26,86&lt;Projects!$C$26+Projects!$D$26),Projects!$B$26*INDEX(Curves!$B$4:$AR$4,1,86-Projects!$C$26+1),0)+IF(AND(Projects!$G$27="Yes",Projects!$M$27="Yes",86&gt;=Projects!$C$27,86&lt;Projects!$C$27+Projects!$D$27),Projects!$B$27*INDEX(Curves!$B$4:$AR$4,1,86-Projects!$C$27+1),0)+IF(AND(Projects!$G$28="Yes",Projects!$M$28="Yes",86&gt;=Projects!$C$28,86&lt;Projects!$C$28+Projects!$D$28),Projects!$B$28*INDEX(Curves!$B$4:$AR$4,1,86-Projects!$C$28+1),0)+IF(AND(Projects!$G$29="Yes",Projects!$M$29="Yes",86&gt;=Projects!$C$29,86&lt;Projects!$C$29+Projects!$D$29),Projects!$B$29*INDEX(Curves!$B$4:$AR$4,1,86-Projects!$C$29+1),0)+IF(AND(Projects!$G$30="Yes",Projects!$M$30="Yes",86&gt;=Projects!$C$30,86&lt;Projects!$C$30+Projects!$D$30),Projects!$B$30*INDEX(Curves!$B$4:$AR$4,1,86-Projects!$C$30+1),0)+IF(AND(Projects!$G$31="Yes",Projects!$M$31="Yes",86&gt;=Projects!$C$31,86&lt;Projects!$C$31+Projects!$D$31),Projects!$B$31*INDEX(Curves!$B$4:$AR$4,1,86-Projects!$C$31+1),0)+IF(AND(Projects!$G$32="Yes",Projects!$M$32="Yes",86&gt;=Projects!$C$32,86&lt;Projects!$C$32+Projects!$D$32),Projects!$B$32*INDEX(Curves!$B$4:$AR$4,1,86-Projects!$C$32+1),0)+IF(AND(Projects!$G$33="Yes",Projects!$M$33="Yes",86&gt;=Projects!$C$33,86&lt;Projects!$C$33+Projects!$D$33),Projects!$B$33*INDEX(Curves!$B$4:$AR$4,1,86-Projects!$C$33+1),0)+IF(AND(Projects!$G$34="Yes",Projects!$M$34="Yes",86&gt;=Projects!$C$34,86&lt;Projects!$C$34+Projects!$D$34),Projects!$B$34*INDEX(Curves!$B$4:$AR$4,1,86-Projects!$C$34+1),0)+IF(AND(Projects!$G$35="Yes",Projects!$M$35="Yes",86&gt;=Projects!$C$35,86&lt;Projects!$C$35+Projects!$D$35),Projects!$B$35*INDEX(Curves!$B$4:$AR$4,1,86-Projects!$C$35+1),0)+IF(AND(Projects!$G$36="Yes",Projects!$M$36="Yes",86&gt;=Projects!$C$36,86&lt;Projects!$C$36+Projects!$D$36),Projects!$B$36*INDEX(Curves!$B$4:$AR$4,1,86-Projects!$C$36+1),0)+IF(AND(Projects!$G$37="Yes",Projects!$M$37="Yes",86&gt;=Projects!$C$37,86&lt;Projects!$C$37+Projects!$D$37),Projects!$B$37*INDEX(Curves!$B$4:$AR$4,1,86-Projects!$C$37+1),0)+IF(AND(Projects!$G$38="Yes",Projects!$M$38="Yes",86&gt;=Projects!$C$38,86&lt;Projects!$C$38+Projects!$D$38),Projects!$B$38*INDEX(Curves!$B$4:$AR$4,1,86-Projects!$C$38+1),0)+IF(AND(Projects!$G$39="Yes",Projects!$M$39="Yes",86&gt;=Projects!$C$39,86&lt;Projects!$C$39+Projects!$D$39),Projects!$B$39*INDEX(Curves!$B$4:$AR$4,1,86-Projects!$C$39+1),0)+IF(AND(Projects!$G$40="Yes",Projects!$M$40="Yes",86&gt;=Projects!$C$40,86&lt;Projects!$C$40+Projects!$D$40),Projects!$B$40*INDEX(Curves!$B$4:$AR$4,1,86-Projects!$C$40+1),0)+IF(AND(Projects!$G$41="Yes",Projects!$M$41="Yes",86&gt;=Projects!$C$41,86&lt;Projects!$C$41+Projects!$D$41),Projects!$B$41*INDEX(Curves!$B$4:$AR$4,1,86-Projects!$C$41+1),0)+IF(AND(Projects!$G$42="Yes",Projects!$M$42="Yes",86&gt;=Projects!$C$42,86&lt;Projects!$C$42+Projects!$D$42),Projects!$B$42*INDEX(Curves!$B$4:$AR$4,1,86-Projects!$C$42+1),0)+IF(AND(Projects!$G$43="Yes",Projects!$M$43="Yes",86&gt;=Projects!$C$43,86&lt;Projects!$C$43+Projects!$D$43),Projects!$B$43*INDEX(Curves!$B$4:$AR$4,1,86-Projects!$C$43+1),0)+IF(AND(Projects!$G$44="Yes",Projects!$M$44="Yes",86&gt;=Projects!$C$44,86&lt;Projects!$C$44+Projects!$D$44),Projects!$B$44*INDEX(Curves!$B$4:$AR$4,1,86-Projects!$C$44+1),0)+IF(AND(Projects!$G$45="Yes",Projects!$M$45="Yes",86&gt;=Projects!$C$45,86&lt;Projects!$C$45+Projects!$D$45),Projects!$B$45*INDEX(Curves!$B$4:$AR$4,1,86-Projects!$C$45+1),0)+IF(AND(Projects!$G$46="Yes",Projects!$M$46="Yes",86&gt;=Projects!$C$46,86&lt;Projects!$C$46+Projects!$D$46),Projects!$B$46*INDEX(Curves!$B$4:$AR$4,1,86-Projects!$C$46+1),0)</f>
        <v/>
      </c>
      <c r="CN101" s="691">
        <f>IF(AND(Projects!$G$17="Yes",Projects!$M$17="Yes",87&gt;=Projects!$C$17,87&lt;Projects!$C$17+Projects!$D$17),Projects!$B$17*INDEX(Curves!$B$4:$AR$4,1,87-Projects!$C$17+1),0)+IF(AND(Projects!$G$18="Yes",Projects!$M$18="Yes",87&gt;=Projects!$C$18,87&lt;Projects!$C$18+Projects!$D$18),Projects!$B$18*INDEX(Curves!$B$4:$AR$4,1,87-Projects!$C$18+1),0)+IF(AND(Projects!$G$19="Yes",Projects!$M$19="Yes",87&gt;=Projects!$C$19,87&lt;Projects!$C$19+Projects!$D$19),Projects!$B$19*INDEX(Curves!$B$4:$AR$4,1,87-Projects!$C$19+1),0)+IF(AND(Projects!$G$20="Yes",Projects!$M$20="Yes",87&gt;=Projects!$C$20,87&lt;Projects!$C$20+Projects!$D$20),Projects!$B$20*INDEX(Curves!$B$4:$AR$4,1,87-Projects!$C$20+1),0)+IF(AND(Projects!$G$21="Yes",Projects!$M$21="Yes",87&gt;=Projects!$C$21,87&lt;Projects!$C$21+Projects!$D$21),Projects!$B$21*INDEX(Curves!$B$4:$AR$4,1,87-Projects!$C$21+1),0)+IF(AND(Projects!$G$22="Yes",Projects!$M$22="Yes",87&gt;=Projects!$C$22,87&lt;Projects!$C$22+Projects!$D$22),Projects!$B$22*INDEX(Curves!$B$4:$AR$4,1,87-Projects!$C$22+1),0)+IF(AND(Projects!$G$23="Yes",Projects!$M$23="Yes",87&gt;=Projects!$C$23,87&lt;Projects!$C$23+Projects!$D$23),Projects!$B$23*INDEX(Curves!$B$4:$AR$4,1,87-Projects!$C$23+1),0)+IF(AND(Projects!$G$24="Yes",Projects!$M$24="Yes",87&gt;=Projects!$C$24,87&lt;Projects!$C$24+Projects!$D$24),Projects!$B$24*INDEX(Curves!$B$4:$AR$4,1,87-Projects!$C$24+1),0)+IF(AND(Projects!$G$25="Yes",Projects!$M$25="Yes",87&gt;=Projects!$C$25,87&lt;Projects!$C$25+Projects!$D$25),Projects!$B$25*INDEX(Curves!$B$4:$AR$4,1,87-Projects!$C$25+1),0)+IF(AND(Projects!$G$26="Yes",Projects!$M$26="Yes",87&gt;=Projects!$C$26,87&lt;Projects!$C$26+Projects!$D$26),Projects!$B$26*INDEX(Curves!$B$4:$AR$4,1,87-Projects!$C$26+1),0)+IF(AND(Projects!$G$27="Yes",Projects!$M$27="Yes",87&gt;=Projects!$C$27,87&lt;Projects!$C$27+Projects!$D$27),Projects!$B$27*INDEX(Curves!$B$4:$AR$4,1,87-Projects!$C$27+1),0)+IF(AND(Projects!$G$28="Yes",Projects!$M$28="Yes",87&gt;=Projects!$C$28,87&lt;Projects!$C$28+Projects!$D$28),Projects!$B$28*INDEX(Curves!$B$4:$AR$4,1,87-Projects!$C$28+1),0)+IF(AND(Projects!$G$29="Yes",Projects!$M$29="Yes",87&gt;=Projects!$C$29,87&lt;Projects!$C$29+Projects!$D$29),Projects!$B$29*INDEX(Curves!$B$4:$AR$4,1,87-Projects!$C$29+1),0)+IF(AND(Projects!$G$30="Yes",Projects!$M$30="Yes",87&gt;=Projects!$C$30,87&lt;Projects!$C$30+Projects!$D$30),Projects!$B$30*INDEX(Curves!$B$4:$AR$4,1,87-Projects!$C$30+1),0)+IF(AND(Projects!$G$31="Yes",Projects!$M$31="Yes",87&gt;=Projects!$C$31,87&lt;Projects!$C$31+Projects!$D$31),Projects!$B$31*INDEX(Curves!$B$4:$AR$4,1,87-Projects!$C$31+1),0)+IF(AND(Projects!$G$32="Yes",Projects!$M$32="Yes",87&gt;=Projects!$C$32,87&lt;Projects!$C$32+Projects!$D$32),Projects!$B$32*INDEX(Curves!$B$4:$AR$4,1,87-Projects!$C$32+1),0)+IF(AND(Projects!$G$33="Yes",Projects!$M$33="Yes",87&gt;=Projects!$C$33,87&lt;Projects!$C$33+Projects!$D$33),Projects!$B$33*INDEX(Curves!$B$4:$AR$4,1,87-Projects!$C$33+1),0)+IF(AND(Projects!$G$34="Yes",Projects!$M$34="Yes",87&gt;=Projects!$C$34,87&lt;Projects!$C$34+Projects!$D$34),Projects!$B$34*INDEX(Curves!$B$4:$AR$4,1,87-Projects!$C$34+1),0)+IF(AND(Projects!$G$35="Yes",Projects!$M$35="Yes",87&gt;=Projects!$C$35,87&lt;Projects!$C$35+Projects!$D$35),Projects!$B$35*INDEX(Curves!$B$4:$AR$4,1,87-Projects!$C$35+1),0)+IF(AND(Projects!$G$36="Yes",Projects!$M$36="Yes",87&gt;=Projects!$C$36,87&lt;Projects!$C$36+Projects!$D$36),Projects!$B$36*INDEX(Curves!$B$4:$AR$4,1,87-Projects!$C$36+1),0)+IF(AND(Projects!$G$37="Yes",Projects!$M$37="Yes",87&gt;=Projects!$C$37,87&lt;Projects!$C$37+Projects!$D$37),Projects!$B$37*INDEX(Curves!$B$4:$AR$4,1,87-Projects!$C$37+1),0)+IF(AND(Projects!$G$38="Yes",Projects!$M$38="Yes",87&gt;=Projects!$C$38,87&lt;Projects!$C$38+Projects!$D$38),Projects!$B$38*INDEX(Curves!$B$4:$AR$4,1,87-Projects!$C$38+1),0)+IF(AND(Projects!$G$39="Yes",Projects!$M$39="Yes",87&gt;=Projects!$C$39,87&lt;Projects!$C$39+Projects!$D$39),Projects!$B$39*INDEX(Curves!$B$4:$AR$4,1,87-Projects!$C$39+1),0)+IF(AND(Projects!$G$40="Yes",Projects!$M$40="Yes",87&gt;=Projects!$C$40,87&lt;Projects!$C$40+Projects!$D$40),Projects!$B$40*INDEX(Curves!$B$4:$AR$4,1,87-Projects!$C$40+1),0)+IF(AND(Projects!$G$41="Yes",Projects!$M$41="Yes",87&gt;=Projects!$C$41,87&lt;Projects!$C$41+Projects!$D$41),Projects!$B$41*INDEX(Curves!$B$4:$AR$4,1,87-Projects!$C$41+1),0)+IF(AND(Projects!$G$42="Yes",Projects!$M$42="Yes",87&gt;=Projects!$C$42,87&lt;Projects!$C$42+Projects!$D$42),Projects!$B$42*INDEX(Curves!$B$4:$AR$4,1,87-Projects!$C$42+1),0)+IF(AND(Projects!$G$43="Yes",Projects!$M$43="Yes",87&gt;=Projects!$C$43,87&lt;Projects!$C$43+Projects!$D$43),Projects!$B$43*INDEX(Curves!$B$4:$AR$4,1,87-Projects!$C$43+1),0)+IF(AND(Projects!$G$44="Yes",Projects!$M$44="Yes",87&gt;=Projects!$C$44,87&lt;Projects!$C$44+Projects!$D$44),Projects!$B$44*INDEX(Curves!$B$4:$AR$4,1,87-Projects!$C$44+1),0)+IF(AND(Projects!$G$45="Yes",Projects!$M$45="Yes",87&gt;=Projects!$C$45,87&lt;Projects!$C$45+Projects!$D$45),Projects!$B$45*INDEX(Curves!$B$4:$AR$4,1,87-Projects!$C$45+1),0)+IF(AND(Projects!$G$46="Yes",Projects!$M$46="Yes",87&gt;=Projects!$C$46,87&lt;Projects!$C$46+Projects!$D$46),Projects!$B$46*INDEX(Curves!$B$4:$AR$4,1,87-Projects!$C$46+1),0)</f>
        <v/>
      </c>
      <c r="CO101" s="691">
        <f>IF(AND(Projects!$G$17="Yes",Projects!$M$17="Yes",88&gt;=Projects!$C$17,88&lt;Projects!$C$17+Projects!$D$17),Projects!$B$17*INDEX(Curves!$B$4:$AR$4,1,88-Projects!$C$17+1),0)+IF(AND(Projects!$G$18="Yes",Projects!$M$18="Yes",88&gt;=Projects!$C$18,88&lt;Projects!$C$18+Projects!$D$18),Projects!$B$18*INDEX(Curves!$B$4:$AR$4,1,88-Projects!$C$18+1),0)+IF(AND(Projects!$G$19="Yes",Projects!$M$19="Yes",88&gt;=Projects!$C$19,88&lt;Projects!$C$19+Projects!$D$19),Projects!$B$19*INDEX(Curves!$B$4:$AR$4,1,88-Projects!$C$19+1),0)+IF(AND(Projects!$G$20="Yes",Projects!$M$20="Yes",88&gt;=Projects!$C$20,88&lt;Projects!$C$20+Projects!$D$20),Projects!$B$20*INDEX(Curves!$B$4:$AR$4,1,88-Projects!$C$20+1),0)+IF(AND(Projects!$G$21="Yes",Projects!$M$21="Yes",88&gt;=Projects!$C$21,88&lt;Projects!$C$21+Projects!$D$21),Projects!$B$21*INDEX(Curves!$B$4:$AR$4,1,88-Projects!$C$21+1),0)+IF(AND(Projects!$G$22="Yes",Projects!$M$22="Yes",88&gt;=Projects!$C$22,88&lt;Projects!$C$22+Projects!$D$22),Projects!$B$22*INDEX(Curves!$B$4:$AR$4,1,88-Projects!$C$22+1),0)+IF(AND(Projects!$G$23="Yes",Projects!$M$23="Yes",88&gt;=Projects!$C$23,88&lt;Projects!$C$23+Projects!$D$23),Projects!$B$23*INDEX(Curves!$B$4:$AR$4,1,88-Projects!$C$23+1),0)+IF(AND(Projects!$G$24="Yes",Projects!$M$24="Yes",88&gt;=Projects!$C$24,88&lt;Projects!$C$24+Projects!$D$24),Projects!$B$24*INDEX(Curves!$B$4:$AR$4,1,88-Projects!$C$24+1),0)+IF(AND(Projects!$G$25="Yes",Projects!$M$25="Yes",88&gt;=Projects!$C$25,88&lt;Projects!$C$25+Projects!$D$25),Projects!$B$25*INDEX(Curves!$B$4:$AR$4,1,88-Projects!$C$25+1),0)+IF(AND(Projects!$G$26="Yes",Projects!$M$26="Yes",88&gt;=Projects!$C$26,88&lt;Projects!$C$26+Projects!$D$26),Projects!$B$26*INDEX(Curves!$B$4:$AR$4,1,88-Projects!$C$26+1),0)+IF(AND(Projects!$G$27="Yes",Projects!$M$27="Yes",88&gt;=Projects!$C$27,88&lt;Projects!$C$27+Projects!$D$27),Projects!$B$27*INDEX(Curves!$B$4:$AR$4,1,88-Projects!$C$27+1),0)+IF(AND(Projects!$G$28="Yes",Projects!$M$28="Yes",88&gt;=Projects!$C$28,88&lt;Projects!$C$28+Projects!$D$28),Projects!$B$28*INDEX(Curves!$B$4:$AR$4,1,88-Projects!$C$28+1),0)+IF(AND(Projects!$G$29="Yes",Projects!$M$29="Yes",88&gt;=Projects!$C$29,88&lt;Projects!$C$29+Projects!$D$29),Projects!$B$29*INDEX(Curves!$B$4:$AR$4,1,88-Projects!$C$29+1),0)+IF(AND(Projects!$G$30="Yes",Projects!$M$30="Yes",88&gt;=Projects!$C$30,88&lt;Projects!$C$30+Projects!$D$30),Projects!$B$30*INDEX(Curves!$B$4:$AR$4,1,88-Projects!$C$30+1),0)+IF(AND(Projects!$G$31="Yes",Projects!$M$31="Yes",88&gt;=Projects!$C$31,88&lt;Projects!$C$31+Projects!$D$31),Projects!$B$31*INDEX(Curves!$B$4:$AR$4,1,88-Projects!$C$31+1),0)+IF(AND(Projects!$G$32="Yes",Projects!$M$32="Yes",88&gt;=Projects!$C$32,88&lt;Projects!$C$32+Projects!$D$32),Projects!$B$32*INDEX(Curves!$B$4:$AR$4,1,88-Projects!$C$32+1),0)+IF(AND(Projects!$G$33="Yes",Projects!$M$33="Yes",88&gt;=Projects!$C$33,88&lt;Projects!$C$33+Projects!$D$33),Projects!$B$33*INDEX(Curves!$B$4:$AR$4,1,88-Projects!$C$33+1),0)+IF(AND(Projects!$G$34="Yes",Projects!$M$34="Yes",88&gt;=Projects!$C$34,88&lt;Projects!$C$34+Projects!$D$34),Projects!$B$34*INDEX(Curves!$B$4:$AR$4,1,88-Projects!$C$34+1),0)+IF(AND(Projects!$G$35="Yes",Projects!$M$35="Yes",88&gt;=Projects!$C$35,88&lt;Projects!$C$35+Projects!$D$35),Projects!$B$35*INDEX(Curves!$B$4:$AR$4,1,88-Projects!$C$35+1),0)+IF(AND(Projects!$G$36="Yes",Projects!$M$36="Yes",88&gt;=Projects!$C$36,88&lt;Projects!$C$36+Projects!$D$36),Projects!$B$36*INDEX(Curves!$B$4:$AR$4,1,88-Projects!$C$36+1),0)+IF(AND(Projects!$G$37="Yes",Projects!$M$37="Yes",88&gt;=Projects!$C$37,88&lt;Projects!$C$37+Projects!$D$37),Projects!$B$37*INDEX(Curves!$B$4:$AR$4,1,88-Projects!$C$37+1),0)+IF(AND(Projects!$G$38="Yes",Projects!$M$38="Yes",88&gt;=Projects!$C$38,88&lt;Projects!$C$38+Projects!$D$38),Projects!$B$38*INDEX(Curves!$B$4:$AR$4,1,88-Projects!$C$38+1),0)+IF(AND(Projects!$G$39="Yes",Projects!$M$39="Yes",88&gt;=Projects!$C$39,88&lt;Projects!$C$39+Projects!$D$39),Projects!$B$39*INDEX(Curves!$B$4:$AR$4,1,88-Projects!$C$39+1),0)+IF(AND(Projects!$G$40="Yes",Projects!$M$40="Yes",88&gt;=Projects!$C$40,88&lt;Projects!$C$40+Projects!$D$40),Projects!$B$40*INDEX(Curves!$B$4:$AR$4,1,88-Projects!$C$40+1),0)+IF(AND(Projects!$G$41="Yes",Projects!$M$41="Yes",88&gt;=Projects!$C$41,88&lt;Projects!$C$41+Projects!$D$41),Projects!$B$41*INDEX(Curves!$B$4:$AR$4,1,88-Projects!$C$41+1),0)+IF(AND(Projects!$G$42="Yes",Projects!$M$42="Yes",88&gt;=Projects!$C$42,88&lt;Projects!$C$42+Projects!$D$42),Projects!$B$42*INDEX(Curves!$B$4:$AR$4,1,88-Projects!$C$42+1),0)+IF(AND(Projects!$G$43="Yes",Projects!$M$43="Yes",88&gt;=Projects!$C$43,88&lt;Projects!$C$43+Projects!$D$43),Projects!$B$43*INDEX(Curves!$B$4:$AR$4,1,88-Projects!$C$43+1),0)+IF(AND(Projects!$G$44="Yes",Projects!$M$44="Yes",88&gt;=Projects!$C$44,88&lt;Projects!$C$44+Projects!$D$44),Projects!$B$44*INDEX(Curves!$B$4:$AR$4,1,88-Projects!$C$44+1),0)+IF(AND(Projects!$G$45="Yes",Projects!$M$45="Yes",88&gt;=Projects!$C$45,88&lt;Projects!$C$45+Projects!$D$45),Projects!$B$45*INDEX(Curves!$B$4:$AR$4,1,88-Projects!$C$45+1),0)+IF(AND(Projects!$G$46="Yes",Projects!$M$46="Yes",88&gt;=Projects!$C$46,88&lt;Projects!$C$46+Projects!$D$46),Projects!$B$46*INDEX(Curves!$B$4:$AR$4,1,88-Projects!$C$46+1),0)</f>
        <v/>
      </c>
      <c r="CP101" s="691">
        <f>IF(AND(Projects!$G$17="Yes",Projects!$M$17="Yes",89&gt;=Projects!$C$17,89&lt;Projects!$C$17+Projects!$D$17),Projects!$B$17*INDEX(Curves!$B$4:$AR$4,1,89-Projects!$C$17+1),0)+IF(AND(Projects!$G$18="Yes",Projects!$M$18="Yes",89&gt;=Projects!$C$18,89&lt;Projects!$C$18+Projects!$D$18),Projects!$B$18*INDEX(Curves!$B$4:$AR$4,1,89-Projects!$C$18+1),0)+IF(AND(Projects!$G$19="Yes",Projects!$M$19="Yes",89&gt;=Projects!$C$19,89&lt;Projects!$C$19+Projects!$D$19),Projects!$B$19*INDEX(Curves!$B$4:$AR$4,1,89-Projects!$C$19+1),0)+IF(AND(Projects!$G$20="Yes",Projects!$M$20="Yes",89&gt;=Projects!$C$20,89&lt;Projects!$C$20+Projects!$D$20),Projects!$B$20*INDEX(Curves!$B$4:$AR$4,1,89-Projects!$C$20+1),0)+IF(AND(Projects!$G$21="Yes",Projects!$M$21="Yes",89&gt;=Projects!$C$21,89&lt;Projects!$C$21+Projects!$D$21),Projects!$B$21*INDEX(Curves!$B$4:$AR$4,1,89-Projects!$C$21+1),0)+IF(AND(Projects!$G$22="Yes",Projects!$M$22="Yes",89&gt;=Projects!$C$22,89&lt;Projects!$C$22+Projects!$D$22),Projects!$B$22*INDEX(Curves!$B$4:$AR$4,1,89-Projects!$C$22+1),0)+IF(AND(Projects!$G$23="Yes",Projects!$M$23="Yes",89&gt;=Projects!$C$23,89&lt;Projects!$C$23+Projects!$D$23),Projects!$B$23*INDEX(Curves!$B$4:$AR$4,1,89-Projects!$C$23+1),0)+IF(AND(Projects!$G$24="Yes",Projects!$M$24="Yes",89&gt;=Projects!$C$24,89&lt;Projects!$C$24+Projects!$D$24),Projects!$B$24*INDEX(Curves!$B$4:$AR$4,1,89-Projects!$C$24+1),0)+IF(AND(Projects!$G$25="Yes",Projects!$M$25="Yes",89&gt;=Projects!$C$25,89&lt;Projects!$C$25+Projects!$D$25),Projects!$B$25*INDEX(Curves!$B$4:$AR$4,1,89-Projects!$C$25+1),0)+IF(AND(Projects!$G$26="Yes",Projects!$M$26="Yes",89&gt;=Projects!$C$26,89&lt;Projects!$C$26+Projects!$D$26),Projects!$B$26*INDEX(Curves!$B$4:$AR$4,1,89-Projects!$C$26+1),0)+IF(AND(Projects!$G$27="Yes",Projects!$M$27="Yes",89&gt;=Projects!$C$27,89&lt;Projects!$C$27+Projects!$D$27),Projects!$B$27*INDEX(Curves!$B$4:$AR$4,1,89-Projects!$C$27+1),0)+IF(AND(Projects!$G$28="Yes",Projects!$M$28="Yes",89&gt;=Projects!$C$28,89&lt;Projects!$C$28+Projects!$D$28),Projects!$B$28*INDEX(Curves!$B$4:$AR$4,1,89-Projects!$C$28+1),0)+IF(AND(Projects!$G$29="Yes",Projects!$M$29="Yes",89&gt;=Projects!$C$29,89&lt;Projects!$C$29+Projects!$D$29),Projects!$B$29*INDEX(Curves!$B$4:$AR$4,1,89-Projects!$C$29+1),0)+IF(AND(Projects!$G$30="Yes",Projects!$M$30="Yes",89&gt;=Projects!$C$30,89&lt;Projects!$C$30+Projects!$D$30),Projects!$B$30*INDEX(Curves!$B$4:$AR$4,1,89-Projects!$C$30+1),0)+IF(AND(Projects!$G$31="Yes",Projects!$M$31="Yes",89&gt;=Projects!$C$31,89&lt;Projects!$C$31+Projects!$D$31),Projects!$B$31*INDEX(Curves!$B$4:$AR$4,1,89-Projects!$C$31+1),0)+IF(AND(Projects!$G$32="Yes",Projects!$M$32="Yes",89&gt;=Projects!$C$32,89&lt;Projects!$C$32+Projects!$D$32),Projects!$B$32*INDEX(Curves!$B$4:$AR$4,1,89-Projects!$C$32+1),0)+IF(AND(Projects!$G$33="Yes",Projects!$M$33="Yes",89&gt;=Projects!$C$33,89&lt;Projects!$C$33+Projects!$D$33),Projects!$B$33*INDEX(Curves!$B$4:$AR$4,1,89-Projects!$C$33+1),0)+IF(AND(Projects!$G$34="Yes",Projects!$M$34="Yes",89&gt;=Projects!$C$34,89&lt;Projects!$C$34+Projects!$D$34),Projects!$B$34*INDEX(Curves!$B$4:$AR$4,1,89-Projects!$C$34+1),0)+IF(AND(Projects!$G$35="Yes",Projects!$M$35="Yes",89&gt;=Projects!$C$35,89&lt;Projects!$C$35+Projects!$D$35),Projects!$B$35*INDEX(Curves!$B$4:$AR$4,1,89-Projects!$C$35+1),0)+IF(AND(Projects!$G$36="Yes",Projects!$M$36="Yes",89&gt;=Projects!$C$36,89&lt;Projects!$C$36+Projects!$D$36),Projects!$B$36*INDEX(Curves!$B$4:$AR$4,1,89-Projects!$C$36+1),0)+IF(AND(Projects!$G$37="Yes",Projects!$M$37="Yes",89&gt;=Projects!$C$37,89&lt;Projects!$C$37+Projects!$D$37),Projects!$B$37*INDEX(Curves!$B$4:$AR$4,1,89-Projects!$C$37+1),0)+IF(AND(Projects!$G$38="Yes",Projects!$M$38="Yes",89&gt;=Projects!$C$38,89&lt;Projects!$C$38+Projects!$D$38),Projects!$B$38*INDEX(Curves!$B$4:$AR$4,1,89-Projects!$C$38+1),0)+IF(AND(Projects!$G$39="Yes",Projects!$M$39="Yes",89&gt;=Projects!$C$39,89&lt;Projects!$C$39+Projects!$D$39),Projects!$B$39*INDEX(Curves!$B$4:$AR$4,1,89-Projects!$C$39+1),0)+IF(AND(Projects!$G$40="Yes",Projects!$M$40="Yes",89&gt;=Projects!$C$40,89&lt;Projects!$C$40+Projects!$D$40),Projects!$B$40*INDEX(Curves!$B$4:$AR$4,1,89-Projects!$C$40+1),0)+IF(AND(Projects!$G$41="Yes",Projects!$M$41="Yes",89&gt;=Projects!$C$41,89&lt;Projects!$C$41+Projects!$D$41),Projects!$B$41*INDEX(Curves!$B$4:$AR$4,1,89-Projects!$C$41+1),0)+IF(AND(Projects!$G$42="Yes",Projects!$M$42="Yes",89&gt;=Projects!$C$42,89&lt;Projects!$C$42+Projects!$D$42),Projects!$B$42*INDEX(Curves!$B$4:$AR$4,1,89-Projects!$C$42+1),0)+IF(AND(Projects!$G$43="Yes",Projects!$M$43="Yes",89&gt;=Projects!$C$43,89&lt;Projects!$C$43+Projects!$D$43),Projects!$B$43*INDEX(Curves!$B$4:$AR$4,1,89-Projects!$C$43+1),0)+IF(AND(Projects!$G$44="Yes",Projects!$M$44="Yes",89&gt;=Projects!$C$44,89&lt;Projects!$C$44+Projects!$D$44),Projects!$B$44*INDEX(Curves!$B$4:$AR$4,1,89-Projects!$C$44+1),0)+IF(AND(Projects!$G$45="Yes",Projects!$M$45="Yes",89&gt;=Projects!$C$45,89&lt;Projects!$C$45+Projects!$D$45),Projects!$B$45*INDEX(Curves!$B$4:$AR$4,1,89-Projects!$C$45+1),0)+IF(AND(Projects!$G$46="Yes",Projects!$M$46="Yes",89&gt;=Projects!$C$46,89&lt;Projects!$C$46+Projects!$D$46),Projects!$B$46*INDEX(Curves!$B$4:$AR$4,1,89-Projects!$C$46+1),0)</f>
        <v/>
      </c>
      <c r="CQ101" s="691">
        <f>IF(AND(Projects!$G$17="Yes",Projects!$M$17="Yes",90&gt;=Projects!$C$17,90&lt;Projects!$C$17+Projects!$D$17),Projects!$B$17*INDEX(Curves!$B$4:$AR$4,1,90-Projects!$C$17+1),0)+IF(AND(Projects!$G$18="Yes",Projects!$M$18="Yes",90&gt;=Projects!$C$18,90&lt;Projects!$C$18+Projects!$D$18),Projects!$B$18*INDEX(Curves!$B$4:$AR$4,1,90-Projects!$C$18+1),0)+IF(AND(Projects!$G$19="Yes",Projects!$M$19="Yes",90&gt;=Projects!$C$19,90&lt;Projects!$C$19+Projects!$D$19),Projects!$B$19*INDEX(Curves!$B$4:$AR$4,1,90-Projects!$C$19+1),0)+IF(AND(Projects!$G$20="Yes",Projects!$M$20="Yes",90&gt;=Projects!$C$20,90&lt;Projects!$C$20+Projects!$D$20),Projects!$B$20*INDEX(Curves!$B$4:$AR$4,1,90-Projects!$C$20+1),0)+IF(AND(Projects!$G$21="Yes",Projects!$M$21="Yes",90&gt;=Projects!$C$21,90&lt;Projects!$C$21+Projects!$D$21),Projects!$B$21*INDEX(Curves!$B$4:$AR$4,1,90-Projects!$C$21+1),0)+IF(AND(Projects!$G$22="Yes",Projects!$M$22="Yes",90&gt;=Projects!$C$22,90&lt;Projects!$C$22+Projects!$D$22),Projects!$B$22*INDEX(Curves!$B$4:$AR$4,1,90-Projects!$C$22+1),0)+IF(AND(Projects!$G$23="Yes",Projects!$M$23="Yes",90&gt;=Projects!$C$23,90&lt;Projects!$C$23+Projects!$D$23),Projects!$B$23*INDEX(Curves!$B$4:$AR$4,1,90-Projects!$C$23+1),0)+IF(AND(Projects!$G$24="Yes",Projects!$M$24="Yes",90&gt;=Projects!$C$24,90&lt;Projects!$C$24+Projects!$D$24),Projects!$B$24*INDEX(Curves!$B$4:$AR$4,1,90-Projects!$C$24+1),0)+IF(AND(Projects!$G$25="Yes",Projects!$M$25="Yes",90&gt;=Projects!$C$25,90&lt;Projects!$C$25+Projects!$D$25),Projects!$B$25*INDEX(Curves!$B$4:$AR$4,1,90-Projects!$C$25+1),0)+IF(AND(Projects!$G$26="Yes",Projects!$M$26="Yes",90&gt;=Projects!$C$26,90&lt;Projects!$C$26+Projects!$D$26),Projects!$B$26*INDEX(Curves!$B$4:$AR$4,1,90-Projects!$C$26+1),0)+IF(AND(Projects!$G$27="Yes",Projects!$M$27="Yes",90&gt;=Projects!$C$27,90&lt;Projects!$C$27+Projects!$D$27),Projects!$B$27*INDEX(Curves!$B$4:$AR$4,1,90-Projects!$C$27+1),0)+IF(AND(Projects!$G$28="Yes",Projects!$M$28="Yes",90&gt;=Projects!$C$28,90&lt;Projects!$C$28+Projects!$D$28),Projects!$B$28*INDEX(Curves!$B$4:$AR$4,1,90-Projects!$C$28+1),0)+IF(AND(Projects!$G$29="Yes",Projects!$M$29="Yes",90&gt;=Projects!$C$29,90&lt;Projects!$C$29+Projects!$D$29),Projects!$B$29*INDEX(Curves!$B$4:$AR$4,1,90-Projects!$C$29+1),0)+IF(AND(Projects!$G$30="Yes",Projects!$M$30="Yes",90&gt;=Projects!$C$30,90&lt;Projects!$C$30+Projects!$D$30),Projects!$B$30*INDEX(Curves!$B$4:$AR$4,1,90-Projects!$C$30+1),0)+IF(AND(Projects!$G$31="Yes",Projects!$M$31="Yes",90&gt;=Projects!$C$31,90&lt;Projects!$C$31+Projects!$D$31),Projects!$B$31*INDEX(Curves!$B$4:$AR$4,1,90-Projects!$C$31+1),0)+IF(AND(Projects!$G$32="Yes",Projects!$M$32="Yes",90&gt;=Projects!$C$32,90&lt;Projects!$C$32+Projects!$D$32),Projects!$B$32*INDEX(Curves!$B$4:$AR$4,1,90-Projects!$C$32+1),0)+IF(AND(Projects!$G$33="Yes",Projects!$M$33="Yes",90&gt;=Projects!$C$33,90&lt;Projects!$C$33+Projects!$D$33),Projects!$B$33*INDEX(Curves!$B$4:$AR$4,1,90-Projects!$C$33+1),0)+IF(AND(Projects!$G$34="Yes",Projects!$M$34="Yes",90&gt;=Projects!$C$34,90&lt;Projects!$C$34+Projects!$D$34),Projects!$B$34*INDEX(Curves!$B$4:$AR$4,1,90-Projects!$C$34+1),0)+IF(AND(Projects!$G$35="Yes",Projects!$M$35="Yes",90&gt;=Projects!$C$35,90&lt;Projects!$C$35+Projects!$D$35),Projects!$B$35*INDEX(Curves!$B$4:$AR$4,1,90-Projects!$C$35+1),0)+IF(AND(Projects!$G$36="Yes",Projects!$M$36="Yes",90&gt;=Projects!$C$36,90&lt;Projects!$C$36+Projects!$D$36),Projects!$B$36*INDEX(Curves!$B$4:$AR$4,1,90-Projects!$C$36+1),0)+IF(AND(Projects!$G$37="Yes",Projects!$M$37="Yes",90&gt;=Projects!$C$37,90&lt;Projects!$C$37+Projects!$D$37),Projects!$B$37*INDEX(Curves!$B$4:$AR$4,1,90-Projects!$C$37+1),0)+IF(AND(Projects!$G$38="Yes",Projects!$M$38="Yes",90&gt;=Projects!$C$38,90&lt;Projects!$C$38+Projects!$D$38),Projects!$B$38*INDEX(Curves!$B$4:$AR$4,1,90-Projects!$C$38+1),0)+IF(AND(Projects!$G$39="Yes",Projects!$M$39="Yes",90&gt;=Projects!$C$39,90&lt;Projects!$C$39+Projects!$D$39),Projects!$B$39*INDEX(Curves!$B$4:$AR$4,1,90-Projects!$C$39+1),0)+IF(AND(Projects!$G$40="Yes",Projects!$M$40="Yes",90&gt;=Projects!$C$40,90&lt;Projects!$C$40+Projects!$D$40),Projects!$B$40*INDEX(Curves!$B$4:$AR$4,1,90-Projects!$C$40+1),0)+IF(AND(Projects!$G$41="Yes",Projects!$M$41="Yes",90&gt;=Projects!$C$41,90&lt;Projects!$C$41+Projects!$D$41),Projects!$B$41*INDEX(Curves!$B$4:$AR$4,1,90-Projects!$C$41+1),0)+IF(AND(Projects!$G$42="Yes",Projects!$M$42="Yes",90&gt;=Projects!$C$42,90&lt;Projects!$C$42+Projects!$D$42),Projects!$B$42*INDEX(Curves!$B$4:$AR$4,1,90-Projects!$C$42+1),0)+IF(AND(Projects!$G$43="Yes",Projects!$M$43="Yes",90&gt;=Projects!$C$43,90&lt;Projects!$C$43+Projects!$D$43),Projects!$B$43*INDEX(Curves!$B$4:$AR$4,1,90-Projects!$C$43+1),0)+IF(AND(Projects!$G$44="Yes",Projects!$M$44="Yes",90&gt;=Projects!$C$44,90&lt;Projects!$C$44+Projects!$D$44),Projects!$B$44*INDEX(Curves!$B$4:$AR$4,1,90-Projects!$C$44+1),0)+IF(AND(Projects!$G$45="Yes",Projects!$M$45="Yes",90&gt;=Projects!$C$45,90&lt;Projects!$C$45+Projects!$D$45),Projects!$B$45*INDEX(Curves!$B$4:$AR$4,1,90-Projects!$C$45+1),0)+IF(AND(Projects!$G$46="Yes",Projects!$M$46="Yes",90&gt;=Projects!$C$46,90&lt;Projects!$C$46+Projects!$D$46),Projects!$B$46*INDEX(Curves!$B$4:$AR$4,1,90-Projects!$C$46+1),0)</f>
        <v/>
      </c>
      <c r="CR101" s="691">
        <f>IF(AND(Projects!$G$17="Yes",Projects!$M$17="Yes",91&gt;=Projects!$C$17,91&lt;Projects!$C$17+Projects!$D$17),Projects!$B$17*INDEX(Curves!$B$4:$AR$4,1,91-Projects!$C$17+1),0)+IF(AND(Projects!$G$18="Yes",Projects!$M$18="Yes",91&gt;=Projects!$C$18,91&lt;Projects!$C$18+Projects!$D$18),Projects!$B$18*INDEX(Curves!$B$4:$AR$4,1,91-Projects!$C$18+1),0)+IF(AND(Projects!$G$19="Yes",Projects!$M$19="Yes",91&gt;=Projects!$C$19,91&lt;Projects!$C$19+Projects!$D$19),Projects!$B$19*INDEX(Curves!$B$4:$AR$4,1,91-Projects!$C$19+1),0)+IF(AND(Projects!$G$20="Yes",Projects!$M$20="Yes",91&gt;=Projects!$C$20,91&lt;Projects!$C$20+Projects!$D$20),Projects!$B$20*INDEX(Curves!$B$4:$AR$4,1,91-Projects!$C$20+1),0)+IF(AND(Projects!$G$21="Yes",Projects!$M$21="Yes",91&gt;=Projects!$C$21,91&lt;Projects!$C$21+Projects!$D$21),Projects!$B$21*INDEX(Curves!$B$4:$AR$4,1,91-Projects!$C$21+1),0)+IF(AND(Projects!$G$22="Yes",Projects!$M$22="Yes",91&gt;=Projects!$C$22,91&lt;Projects!$C$22+Projects!$D$22),Projects!$B$22*INDEX(Curves!$B$4:$AR$4,1,91-Projects!$C$22+1),0)+IF(AND(Projects!$G$23="Yes",Projects!$M$23="Yes",91&gt;=Projects!$C$23,91&lt;Projects!$C$23+Projects!$D$23),Projects!$B$23*INDEX(Curves!$B$4:$AR$4,1,91-Projects!$C$23+1),0)+IF(AND(Projects!$G$24="Yes",Projects!$M$24="Yes",91&gt;=Projects!$C$24,91&lt;Projects!$C$24+Projects!$D$24),Projects!$B$24*INDEX(Curves!$B$4:$AR$4,1,91-Projects!$C$24+1),0)+IF(AND(Projects!$G$25="Yes",Projects!$M$25="Yes",91&gt;=Projects!$C$25,91&lt;Projects!$C$25+Projects!$D$25),Projects!$B$25*INDEX(Curves!$B$4:$AR$4,1,91-Projects!$C$25+1),0)+IF(AND(Projects!$G$26="Yes",Projects!$M$26="Yes",91&gt;=Projects!$C$26,91&lt;Projects!$C$26+Projects!$D$26),Projects!$B$26*INDEX(Curves!$B$4:$AR$4,1,91-Projects!$C$26+1),0)+IF(AND(Projects!$G$27="Yes",Projects!$M$27="Yes",91&gt;=Projects!$C$27,91&lt;Projects!$C$27+Projects!$D$27),Projects!$B$27*INDEX(Curves!$B$4:$AR$4,1,91-Projects!$C$27+1),0)+IF(AND(Projects!$G$28="Yes",Projects!$M$28="Yes",91&gt;=Projects!$C$28,91&lt;Projects!$C$28+Projects!$D$28),Projects!$B$28*INDEX(Curves!$B$4:$AR$4,1,91-Projects!$C$28+1),0)+IF(AND(Projects!$G$29="Yes",Projects!$M$29="Yes",91&gt;=Projects!$C$29,91&lt;Projects!$C$29+Projects!$D$29),Projects!$B$29*INDEX(Curves!$B$4:$AR$4,1,91-Projects!$C$29+1),0)+IF(AND(Projects!$G$30="Yes",Projects!$M$30="Yes",91&gt;=Projects!$C$30,91&lt;Projects!$C$30+Projects!$D$30),Projects!$B$30*INDEX(Curves!$B$4:$AR$4,1,91-Projects!$C$30+1),0)+IF(AND(Projects!$G$31="Yes",Projects!$M$31="Yes",91&gt;=Projects!$C$31,91&lt;Projects!$C$31+Projects!$D$31),Projects!$B$31*INDEX(Curves!$B$4:$AR$4,1,91-Projects!$C$31+1),0)+IF(AND(Projects!$G$32="Yes",Projects!$M$32="Yes",91&gt;=Projects!$C$32,91&lt;Projects!$C$32+Projects!$D$32),Projects!$B$32*INDEX(Curves!$B$4:$AR$4,1,91-Projects!$C$32+1),0)+IF(AND(Projects!$G$33="Yes",Projects!$M$33="Yes",91&gt;=Projects!$C$33,91&lt;Projects!$C$33+Projects!$D$33),Projects!$B$33*INDEX(Curves!$B$4:$AR$4,1,91-Projects!$C$33+1),0)+IF(AND(Projects!$G$34="Yes",Projects!$M$34="Yes",91&gt;=Projects!$C$34,91&lt;Projects!$C$34+Projects!$D$34),Projects!$B$34*INDEX(Curves!$B$4:$AR$4,1,91-Projects!$C$34+1),0)+IF(AND(Projects!$G$35="Yes",Projects!$M$35="Yes",91&gt;=Projects!$C$35,91&lt;Projects!$C$35+Projects!$D$35),Projects!$B$35*INDEX(Curves!$B$4:$AR$4,1,91-Projects!$C$35+1),0)+IF(AND(Projects!$G$36="Yes",Projects!$M$36="Yes",91&gt;=Projects!$C$36,91&lt;Projects!$C$36+Projects!$D$36),Projects!$B$36*INDEX(Curves!$B$4:$AR$4,1,91-Projects!$C$36+1),0)+IF(AND(Projects!$G$37="Yes",Projects!$M$37="Yes",91&gt;=Projects!$C$37,91&lt;Projects!$C$37+Projects!$D$37),Projects!$B$37*INDEX(Curves!$B$4:$AR$4,1,91-Projects!$C$37+1),0)+IF(AND(Projects!$G$38="Yes",Projects!$M$38="Yes",91&gt;=Projects!$C$38,91&lt;Projects!$C$38+Projects!$D$38),Projects!$B$38*INDEX(Curves!$B$4:$AR$4,1,91-Projects!$C$38+1),0)+IF(AND(Projects!$G$39="Yes",Projects!$M$39="Yes",91&gt;=Projects!$C$39,91&lt;Projects!$C$39+Projects!$D$39),Projects!$B$39*INDEX(Curves!$B$4:$AR$4,1,91-Projects!$C$39+1),0)+IF(AND(Projects!$G$40="Yes",Projects!$M$40="Yes",91&gt;=Projects!$C$40,91&lt;Projects!$C$40+Projects!$D$40),Projects!$B$40*INDEX(Curves!$B$4:$AR$4,1,91-Projects!$C$40+1),0)+IF(AND(Projects!$G$41="Yes",Projects!$M$41="Yes",91&gt;=Projects!$C$41,91&lt;Projects!$C$41+Projects!$D$41),Projects!$B$41*INDEX(Curves!$B$4:$AR$4,1,91-Projects!$C$41+1),0)+IF(AND(Projects!$G$42="Yes",Projects!$M$42="Yes",91&gt;=Projects!$C$42,91&lt;Projects!$C$42+Projects!$D$42),Projects!$B$42*INDEX(Curves!$B$4:$AR$4,1,91-Projects!$C$42+1),0)+IF(AND(Projects!$G$43="Yes",Projects!$M$43="Yes",91&gt;=Projects!$C$43,91&lt;Projects!$C$43+Projects!$D$43),Projects!$B$43*INDEX(Curves!$B$4:$AR$4,1,91-Projects!$C$43+1),0)+IF(AND(Projects!$G$44="Yes",Projects!$M$44="Yes",91&gt;=Projects!$C$44,91&lt;Projects!$C$44+Projects!$D$44),Projects!$B$44*INDEX(Curves!$B$4:$AR$4,1,91-Projects!$C$44+1),0)+IF(AND(Projects!$G$45="Yes",Projects!$M$45="Yes",91&gt;=Projects!$C$45,91&lt;Projects!$C$45+Projects!$D$45),Projects!$B$45*INDEX(Curves!$B$4:$AR$4,1,91-Projects!$C$45+1),0)+IF(AND(Projects!$G$46="Yes",Projects!$M$46="Yes",91&gt;=Projects!$C$46,91&lt;Projects!$C$46+Projects!$D$46),Projects!$B$46*INDEX(Curves!$B$4:$AR$4,1,91-Projects!$C$46+1),0)</f>
        <v/>
      </c>
      <c r="CS101" s="691">
        <f>IF(AND(Projects!$G$17="Yes",Projects!$M$17="Yes",92&gt;=Projects!$C$17,92&lt;Projects!$C$17+Projects!$D$17),Projects!$B$17*INDEX(Curves!$B$4:$AR$4,1,92-Projects!$C$17+1),0)+IF(AND(Projects!$G$18="Yes",Projects!$M$18="Yes",92&gt;=Projects!$C$18,92&lt;Projects!$C$18+Projects!$D$18),Projects!$B$18*INDEX(Curves!$B$4:$AR$4,1,92-Projects!$C$18+1),0)+IF(AND(Projects!$G$19="Yes",Projects!$M$19="Yes",92&gt;=Projects!$C$19,92&lt;Projects!$C$19+Projects!$D$19),Projects!$B$19*INDEX(Curves!$B$4:$AR$4,1,92-Projects!$C$19+1),0)+IF(AND(Projects!$G$20="Yes",Projects!$M$20="Yes",92&gt;=Projects!$C$20,92&lt;Projects!$C$20+Projects!$D$20),Projects!$B$20*INDEX(Curves!$B$4:$AR$4,1,92-Projects!$C$20+1),0)+IF(AND(Projects!$G$21="Yes",Projects!$M$21="Yes",92&gt;=Projects!$C$21,92&lt;Projects!$C$21+Projects!$D$21),Projects!$B$21*INDEX(Curves!$B$4:$AR$4,1,92-Projects!$C$21+1),0)+IF(AND(Projects!$G$22="Yes",Projects!$M$22="Yes",92&gt;=Projects!$C$22,92&lt;Projects!$C$22+Projects!$D$22),Projects!$B$22*INDEX(Curves!$B$4:$AR$4,1,92-Projects!$C$22+1),0)+IF(AND(Projects!$G$23="Yes",Projects!$M$23="Yes",92&gt;=Projects!$C$23,92&lt;Projects!$C$23+Projects!$D$23),Projects!$B$23*INDEX(Curves!$B$4:$AR$4,1,92-Projects!$C$23+1),0)+IF(AND(Projects!$G$24="Yes",Projects!$M$24="Yes",92&gt;=Projects!$C$24,92&lt;Projects!$C$24+Projects!$D$24),Projects!$B$24*INDEX(Curves!$B$4:$AR$4,1,92-Projects!$C$24+1),0)+IF(AND(Projects!$G$25="Yes",Projects!$M$25="Yes",92&gt;=Projects!$C$25,92&lt;Projects!$C$25+Projects!$D$25),Projects!$B$25*INDEX(Curves!$B$4:$AR$4,1,92-Projects!$C$25+1),0)+IF(AND(Projects!$G$26="Yes",Projects!$M$26="Yes",92&gt;=Projects!$C$26,92&lt;Projects!$C$26+Projects!$D$26),Projects!$B$26*INDEX(Curves!$B$4:$AR$4,1,92-Projects!$C$26+1),0)+IF(AND(Projects!$G$27="Yes",Projects!$M$27="Yes",92&gt;=Projects!$C$27,92&lt;Projects!$C$27+Projects!$D$27),Projects!$B$27*INDEX(Curves!$B$4:$AR$4,1,92-Projects!$C$27+1),0)+IF(AND(Projects!$G$28="Yes",Projects!$M$28="Yes",92&gt;=Projects!$C$28,92&lt;Projects!$C$28+Projects!$D$28),Projects!$B$28*INDEX(Curves!$B$4:$AR$4,1,92-Projects!$C$28+1),0)+IF(AND(Projects!$G$29="Yes",Projects!$M$29="Yes",92&gt;=Projects!$C$29,92&lt;Projects!$C$29+Projects!$D$29),Projects!$B$29*INDEX(Curves!$B$4:$AR$4,1,92-Projects!$C$29+1),0)+IF(AND(Projects!$G$30="Yes",Projects!$M$30="Yes",92&gt;=Projects!$C$30,92&lt;Projects!$C$30+Projects!$D$30),Projects!$B$30*INDEX(Curves!$B$4:$AR$4,1,92-Projects!$C$30+1),0)+IF(AND(Projects!$G$31="Yes",Projects!$M$31="Yes",92&gt;=Projects!$C$31,92&lt;Projects!$C$31+Projects!$D$31),Projects!$B$31*INDEX(Curves!$B$4:$AR$4,1,92-Projects!$C$31+1),0)+IF(AND(Projects!$G$32="Yes",Projects!$M$32="Yes",92&gt;=Projects!$C$32,92&lt;Projects!$C$32+Projects!$D$32),Projects!$B$32*INDEX(Curves!$B$4:$AR$4,1,92-Projects!$C$32+1),0)+IF(AND(Projects!$G$33="Yes",Projects!$M$33="Yes",92&gt;=Projects!$C$33,92&lt;Projects!$C$33+Projects!$D$33),Projects!$B$33*INDEX(Curves!$B$4:$AR$4,1,92-Projects!$C$33+1),0)+IF(AND(Projects!$G$34="Yes",Projects!$M$34="Yes",92&gt;=Projects!$C$34,92&lt;Projects!$C$34+Projects!$D$34),Projects!$B$34*INDEX(Curves!$B$4:$AR$4,1,92-Projects!$C$34+1),0)+IF(AND(Projects!$G$35="Yes",Projects!$M$35="Yes",92&gt;=Projects!$C$35,92&lt;Projects!$C$35+Projects!$D$35),Projects!$B$35*INDEX(Curves!$B$4:$AR$4,1,92-Projects!$C$35+1),0)+IF(AND(Projects!$G$36="Yes",Projects!$M$36="Yes",92&gt;=Projects!$C$36,92&lt;Projects!$C$36+Projects!$D$36),Projects!$B$36*INDEX(Curves!$B$4:$AR$4,1,92-Projects!$C$36+1),0)+IF(AND(Projects!$G$37="Yes",Projects!$M$37="Yes",92&gt;=Projects!$C$37,92&lt;Projects!$C$37+Projects!$D$37),Projects!$B$37*INDEX(Curves!$B$4:$AR$4,1,92-Projects!$C$37+1),0)+IF(AND(Projects!$G$38="Yes",Projects!$M$38="Yes",92&gt;=Projects!$C$38,92&lt;Projects!$C$38+Projects!$D$38),Projects!$B$38*INDEX(Curves!$B$4:$AR$4,1,92-Projects!$C$38+1),0)+IF(AND(Projects!$G$39="Yes",Projects!$M$39="Yes",92&gt;=Projects!$C$39,92&lt;Projects!$C$39+Projects!$D$39),Projects!$B$39*INDEX(Curves!$B$4:$AR$4,1,92-Projects!$C$39+1),0)+IF(AND(Projects!$G$40="Yes",Projects!$M$40="Yes",92&gt;=Projects!$C$40,92&lt;Projects!$C$40+Projects!$D$40),Projects!$B$40*INDEX(Curves!$B$4:$AR$4,1,92-Projects!$C$40+1),0)+IF(AND(Projects!$G$41="Yes",Projects!$M$41="Yes",92&gt;=Projects!$C$41,92&lt;Projects!$C$41+Projects!$D$41),Projects!$B$41*INDEX(Curves!$B$4:$AR$4,1,92-Projects!$C$41+1),0)+IF(AND(Projects!$G$42="Yes",Projects!$M$42="Yes",92&gt;=Projects!$C$42,92&lt;Projects!$C$42+Projects!$D$42),Projects!$B$42*INDEX(Curves!$B$4:$AR$4,1,92-Projects!$C$42+1),0)+IF(AND(Projects!$G$43="Yes",Projects!$M$43="Yes",92&gt;=Projects!$C$43,92&lt;Projects!$C$43+Projects!$D$43),Projects!$B$43*INDEX(Curves!$B$4:$AR$4,1,92-Projects!$C$43+1),0)+IF(AND(Projects!$G$44="Yes",Projects!$M$44="Yes",92&gt;=Projects!$C$44,92&lt;Projects!$C$44+Projects!$D$44),Projects!$B$44*INDEX(Curves!$B$4:$AR$4,1,92-Projects!$C$44+1),0)+IF(AND(Projects!$G$45="Yes",Projects!$M$45="Yes",92&gt;=Projects!$C$45,92&lt;Projects!$C$45+Projects!$D$45),Projects!$B$45*INDEX(Curves!$B$4:$AR$4,1,92-Projects!$C$45+1),0)+IF(AND(Projects!$G$46="Yes",Projects!$M$46="Yes",92&gt;=Projects!$C$46,92&lt;Projects!$C$46+Projects!$D$46),Projects!$B$46*INDEX(Curves!$B$4:$AR$4,1,92-Projects!$C$46+1),0)</f>
        <v/>
      </c>
      <c r="CT101" s="691">
        <f>IF(AND(Projects!$G$17="Yes",Projects!$M$17="Yes",93&gt;=Projects!$C$17,93&lt;Projects!$C$17+Projects!$D$17),Projects!$B$17*INDEX(Curves!$B$4:$AR$4,1,93-Projects!$C$17+1),0)+IF(AND(Projects!$G$18="Yes",Projects!$M$18="Yes",93&gt;=Projects!$C$18,93&lt;Projects!$C$18+Projects!$D$18),Projects!$B$18*INDEX(Curves!$B$4:$AR$4,1,93-Projects!$C$18+1),0)+IF(AND(Projects!$G$19="Yes",Projects!$M$19="Yes",93&gt;=Projects!$C$19,93&lt;Projects!$C$19+Projects!$D$19),Projects!$B$19*INDEX(Curves!$B$4:$AR$4,1,93-Projects!$C$19+1),0)+IF(AND(Projects!$G$20="Yes",Projects!$M$20="Yes",93&gt;=Projects!$C$20,93&lt;Projects!$C$20+Projects!$D$20),Projects!$B$20*INDEX(Curves!$B$4:$AR$4,1,93-Projects!$C$20+1),0)+IF(AND(Projects!$G$21="Yes",Projects!$M$21="Yes",93&gt;=Projects!$C$21,93&lt;Projects!$C$21+Projects!$D$21),Projects!$B$21*INDEX(Curves!$B$4:$AR$4,1,93-Projects!$C$21+1),0)+IF(AND(Projects!$G$22="Yes",Projects!$M$22="Yes",93&gt;=Projects!$C$22,93&lt;Projects!$C$22+Projects!$D$22),Projects!$B$22*INDEX(Curves!$B$4:$AR$4,1,93-Projects!$C$22+1),0)+IF(AND(Projects!$G$23="Yes",Projects!$M$23="Yes",93&gt;=Projects!$C$23,93&lt;Projects!$C$23+Projects!$D$23),Projects!$B$23*INDEX(Curves!$B$4:$AR$4,1,93-Projects!$C$23+1),0)+IF(AND(Projects!$G$24="Yes",Projects!$M$24="Yes",93&gt;=Projects!$C$24,93&lt;Projects!$C$24+Projects!$D$24),Projects!$B$24*INDEX(Curves!$B$4:$AR$4,1,93-Projects!$C$24+1),0)+IF(AND(Projects!$G$25="Yes",Projects!$M$25="Yes",93&gt;=Projects!$C$25,93&lt;Projects!$C$25+Projects!$D$25),Projects!$B$25*INDEX(Curves!$B$4:$AR$4,1,93-Projects!$C$25+1),0)+IF(AND(Projects!$G$26="Yes",Projects!$M$26="Yes",93&gt;=Projects!$C$26,93&lt;Projects!$C$26+Projects!$D$26),Projects!$B$26*INDEX(Curves!$B$4:$AR$4,1,93-Projects!$C$26+1),0)+IF(AND(Projects!$G$27="Yes",Projects!$M$27="Yes",93&gt;=Projects!$C$27,93&lt;Projects!$C$27+Projects!$D$27),Projects!$B$27*INDEX(Curves!$B$4:$AR$4,1,93-Projects!$C$27+1),0)+IF(AND(Projects!$G$28="Yes",Projects!$M$28="Yes",93&gt;=Projects!$C$28,93&lt;Projects!$C$28+Projects!$D$28),Projects!$B$28*INDEX(Curves!$B$4:$AR$4,1,93-Projects!$C$28+1),0)+IF(AND(Projects!$G$29="Yes",Projects!$M$29="Yes",93&gt;=Projects!$C$29,93&lt;Projects!$C$29+Projects!$D$29),Projects!$B$29*INDEX(Curves!$B$4:$AR$4,1,93-Projects!$C$29+1),0)+IF(AND(Projects!$G$30="Yes",Projects!$M$30="Yes",93&gt;=Projects!$C$30,93&lt;Projects!$C$30+Projects!$D$30),Projects!$B$30*INDEX(Curves!$B$4:$AR$4,1,93-Projects!$C$30+1),0)+IF(AND(Projects!$G$31="Yes",Projects!$M$31="Yes",93&gt;=Projects!$C$31,93&lt;Projects!$C$31+Projects!$D$31),Projects!$B$31*INDEX(Curves!$B$4:$AR$4,1,93-Projects!$C$31+1),0)+IF(AND(Projects!$G$32="Yes",Projects!$M$32="Yes",93&gt;=Projects!$C$32,93&lt;Projects!$C$32+Projects!$D$32),Projects!$B$32*INDEX(Curves!$B$4:$AR$4,1,93-Projects!$C$32+1),0)+IF(AND(Projects!$G$33="Yes",Projects!$M$33="Yes",93&gt;=Projects!$C$33,93&lt;Projects!$C$33+Projects!$D$33),Projects!$B$33*INDEX(Curves!$B$4:$AR$4,1,93-Projects!$C$33+1),0)+IF(AND(Projects!$G$34="Yes",Projects!$M$34="Yes",93&gt;=Projects!$C$34,93&lt;Projects!$C$34+Projects!$D$34),Projects!$B$34*INDEX(Curves!$B$4:$AR$4,1,93-Projects!$C$34+1),0)+IF(AND(Projects!$G$35="Yes",Projects!$M$35="Yes",93&gt;=Projects!$C$35,93&lt;Projects!$C$35+Projects!$D$35),Projects!$B$35*INDEX(Curves!$B$4:$AR$4,1,93-Projects!$C$35+1),0)+IF(AND(Projects!$G$36="Yes",Projects!$M$36="Yes",93&gt;=Projects!$C$36,93&lt;Projects!$C$36+Projects!$D$36),Projects!$B$36*INDEX(Curves!$B$4:$AR$4,1,93-Projects!$C$36+1),0)+IF(AND(Projects!$G$37="Yes",Projects!$M$37="Yes",93&gt;=Projects!$C$37,93&lt;Projects!$C$37+Projects!$D$37),Projects!$B$37*INDEX(Curves!$B$4:$AR$4,1,93-Projects!$C$37+1),0)+IF(AND(Projects!$G$38="Yes",Projects!$M$38="Yes",93&gt;=Projects!$C$38,93&lt;Projects!$C$38+Projects!$D$38),Projects!$B$38*INDEX(Curves!$B$4:$AR$4,1,93-Projects!$C$38+1),0)+IF(AND(Projects!$G$39="Yes",Projects!$M$39="Yes",93&gt;=Projects!$C$39,93&lt;Projects!$C$39+Projects!$D$39),Projects!$B$39*INDEX(Curves!$B$4:$AR$4,1,93-Projects!$C$39+1),0)+IF(AND(Projects!$G$40="Yes",Projects!$M$40="Yes",93&gt;=Projects!$C$40,93&lt;Projects!$C$40+Projects!$D$40),Projects!$B$40*INDEX(Curves!$B$4:$AR$4,1,93-Projects!$C$40+1),0)+IF(AND(Projects!$G$41="Yes",Projects!$M$41="Yes",93&gt;=Projects!$C$41,93&lt;Projects!$C$41+Projects!$D$41),Projects!$B$41*INDEX(Curves!$B$4:$AR$4,1,93-Projects!$C$41+1),0)+IF(AND(Projects!$G$42="Yes",Projects!$M$42="Yes",93&gt;=Projects!$C$42,93&lt;Projects!$C$42+Projects!$D$42),Projects!$B$42*INDEX(Curves!$B$4:$AR$4,1,93-Projects!$C$42+1),0)+IF(AND(Projects!$G$43="Yes",Projects!$M$43="Yes",93&gt;=Projects!$C$43,93&lt;Projects!$C$43+Projects!$D$43),Projects!$B$43*INDEX(Curves!$B$4:$AR$4,1,93-Projects!$C$43+1),0)+IF(AND(Projects!$G$44="Yes",Projects!$M$44="Yes",93&gt;=Projects!$C$44,93&lt;Projects!$C$44+Projects!$D$44),Projects!$B$44*INDEX(Curves!$B$4:$AR$4,1,93-Projects!$C$44+1),0)+IF(AND(Projects!$G$45="Yes",Projects!$M$45="Yes",93&gt;=Projects!$C$45,93&lt;Projects!$C$45+Projects!$D$45),Projects!$B$45*INDEX(Curves!$B$4:$AR$4,1,93-Projects!$C$45+1),0)+IF(AND(Projects!$G$46="Yes",Projects!$M$46="Yes",93&gt;=Projects!$C$46,93&lt;Projects!$C$46+Projects!$D$46),Projects!$B$46*INDEX(Curves!$B$4:$AR$4,1,93-Projects!$C$46+1),0)</f>
        <v/>
      </c>
      <c r="CU101" s="691">
        <f>IF(AND(Projects!$G$17="Yes",Projects!$M$17="Yes",94&gt;=Projects!$C$17,94&lt;Projects!$C$17+Projects!$D$17),Projects!$B$17*INDEX(Curves!$B$4:$AR$4,1,94-Projects!$C$17+1),0)+IF(AND(Projects!$G$18="Yes",Projects!$M$18="Yes",94&gt;=Projects!$C$18,94&lt;Projects!$C$18+Projects!$D$18),Projects!$B$18*INDEX(Curves!$B$4:$AR$4,1,94-Projects!$C$18+1),0)+IF(AND(Projects!$G$19="Yes",Projects!$M$19="Yes",94&gt;=Projects!$C$19,94&lt;Projects!$C$19+Projects!$D$19),Projects!$B$19*INDEX(Curves!$B$4:$AR$4,1,94-Projects!$C$19+1),0)+IF(AND(Projects!$G$20="Yes",Projects!$M$20="Yes",94&gt;=Projects!$C$20,94&lt;Projects!$C$20+Projects!$D$20),Projects!$B$20*INDEX(Curves!$B$4:$AR$4,1,94-Projects!$C$20+1),0)+IF(AND(Projects!$G$21="Yes",Projects!$M$21="Yes",94&gt;=Projects!$C$21,94&lt;Projects!$C$21+Projects!$D$21),Projects!$B$21*INDEX(Curves!$B$4:$AR$4,1,94-Projects!$C$21+1),0)+IF(AND(Projects!$G$22="Yes",Projects!$M$22="Yes",94&gt;=Projects!$C$22,94&lt;Projects!$C$22+Projects!$D$22),Projects!$B$22*INDEX(Curves!$B$4:$AR$4,1,94-Projects!$C$22+1),0)+IF(AND(Projects!$G$23="Yes",Projects!$M$23="Yes",94&gt;=Projects!$C$23,94&lt;Projects!$C$23+Projects!$D$23),Projects!$B$23*INDEX(Curves!$B$4:$AR$4,1,94-Projects!$C$23+1),0)+IF(AND(Projects!$G$24="Yes",Projects!$M$24="Yes",94&gt;=Projects!$C$24,94&lt;Projects!$C$24+Projects!$D$24),Projects!$B$24*INDEX(Curves!$B$4:$AR$4,1,94-Projects!$C$24+1),0)+IF(AND(Projects!$G$25="Yes",Projects!$M$25="Yes",94&gt;=Projects!$C$25,94&lt;Projects!$C$25+Projects!$D$25),Projects!$B$25*INDEX(Curves!$B$4:$AR$4,1,94-Projects!$C$25+1),0)+IF(AND(Projects!$G$26="Yes",Projects!$M$26="Yes",94&gt;=Projects!$C$26,94&lt;Projects!$C$26+Projects!$D$26),Projects!$B$26*INDEX(Curves!$B$4:$AR$4,1,94-Projects!$C$26+1),0)+IF(AND(Projects!$G$27="Yes",Projects!$M$27="Yes",94&gt;=Projects!$C$27,94&lt;Projects!$C$27+Projects!$D$27),Projects!$B$27*INDEX(Curves!$B$4:$AR$4,1,94-Projects!$C$27+1),0)+IF(AND(Projects!$G$28="Yes",Projects!$M$28="Yes",94&gt;=Projects!$C$28,94&lt;Projects!$C$28+Projects!$D$28),Projects!$B$28*INDEX(Curves!$B$4:$AR$4,1,94-Projects!$C$28+1),0)+IF(AND(Projects!$G$29="Yes",Projects!$M$29="Yes",94&gt;=Projects!$C$29,94&lt;Projects!$C$29+Projects!$D$29),Projects!$B$29*INDEX(Curves!$B$4:$AR$4,1,94-Projects!$C$29+1),0)+IF(AND(Projects!$G$30="Yes",Projects!$M$30="Yes",94&gt;=Projects!$C$30,94&lt;Projects!$C$30+Projects!$D$30),Projects!$B$30*INDEX(Curves!$B$4:$AR$4,1,94-Projects!$C$30+1),0)+IF(AND(Projects!$G$31="Yes",Projects!$M$31="Yes",94&gt;=Projects!$C$31,94&lt;Projects!$C$31+Projects!$D$31),Projects!$B$31*INDEX(Curves!$B$4:$AR$4,1,94-Projects!$C$31+1),0)+IF(AND(Projects!$G$32="Yes",Projects!$M$32="Yes",94&gt;=Projects!$C$32,94&lt;Projects!$C$32+Projects!$D$32),Projects!$B$32*INDEX(Curves!$B$4:$AR$4,1,94-Projects!$C$32+1),0)+IF(AND(Projects!$G$33="Yes",Projects!$M$33="Yes",94&gt;=Projects!$C$33,94&lt;Projects!$C$33+Projects!$D$33),Projects!$B$33*INDEX(Curves!$B$4:$AR$4,1,94-Projects!$C$33+1),0)+IF(AND(Projects!$G$34="Yes",Projects!$M$34="Yes",94&gt;=Projects!$C$34,94&lt;Projects!$C$34+Projects!$D$34),Projects!$B$34*INDEX(Curves!$B$4:$AR$4,1,94-Projects!$C$34+1),0)+IF(AND(Projects!$G$35="Yes",Projects!$M$35="Yes",94&gt;=Projects!$C$35,94&lt;Projects!$C$35+Projects!$D$35),Projects!$B$35*INDEX(Curves!$B$4:$AR$4,1,94-Projects!$C$35+1),0)+IF(AND(Projects!$G$36="Yes",Projects!$M$36="Yes",94&gt;=Projects!$C$36,94&lt;Projects!$C$36+Projects!$D$36),Projects!$B$36*INDEX(Curves!$B$4:$AR$4,1,94-Projects!$C$36+1),0)+IF(AND(Projects!$G$37="Yes",Projects!$M$37="Yes",94&gt;=Projects!$C$37,94&lt;Projects!$C$37+Projects!$D$37),Projects!$B$37*INDEX(Curves!$B$4:$AR$4,1,94-Projects!$C$37+1),0)+IF(AND(Projects!$G$38="Yes",Projects!$M$38="Yes",94&gt;=Projects!$C$38,94&lt;Projects!$C$38+Projects!$D$38),Projects!$B$38*INDEX(Curves!$B$4:$AR$4,1,94-Projects!$C$38+1),0)+IF(AND(Projects!$G$39="Yes",Projects!$M$39="Yes",94&gt;=Projects!$C$39,94&lt;Projects!$C$39+Projects!$D$39),Projects!$B$39*INDEX(Curves!$B$4:$AR$4,1,94-Projects!$C$39+1),0)+IF(AND(Projects!$G$40="Yes",Projects!$M$40="Yes",94&gt;=Projects!$C$40,94&lt;Projects!$C$40+Projects!$D$40),Projects!$B$40*INDEX(Curves!$B$4:$AR$4,1,94-Projects!$C$40+1),0)+IF(AND(Projects!$G$41="Yes",Projects!$M$41="Yes",94&gt;=Projects!$C$41,94&lt;Projects!$C$41+Projects!$D$41),Projects!$B$41*INDEX(Curves!$B$4:$AR$4,1,94-Projects!$C$41+1),0)+IF(AND(Projects!$G$42="Yes",Projects!$M$42="Yes",94&gt;=Projects!$C$42,94&lt;Projects!$C$42+Projects!$D$42),Projects!$B$42*INDEX(Curves!$B$4:$AR$4,1,94-Projects!$C$42+1),0)+IF(AND(Projects!$G$43="Yes",Projects!$M$43="Yes",94&gt;=Projects!$C$43,94&lt;Projects!$C$43+Projects!$D$43),Projects!$B$43*INDEX(Curves!$B$4:$AR$4,1,94-Projects!$C$43+1),0)+IF(AND(Projects!$G$44="Yes",Projects!$M$44="Yes",94&gt;=Projects!$C$44,94&lt;Projects!$C$44+Projects!$D$44),Projects!$B$44*INDEX(Curves!$B$4:$AR$4,1,94-Projects!$C$44+1),0)+IF(AND(Projects!$G$45="Yes",Projects!$M$45="Yes",94&gt;=Projects!$C$45,94&lt;Projects!$C$45+Projects!$D$45),Projects!$B$45*INDEX(Curves!$B$4:$AR$4,1,94-Projects!$C$45+1),0)+IF(AND(Projects!$G$46="Yes",Projects!$M$46="Yes",94&gt;=Projects!$C$46,94&lt;Projects!$C$46+Projects!$D$46),Projects!$B$46*INDEX(Curves!$B$4:$AR$4,1,94-Projects!$C$46+1),0)</f>
        <v/>
      </c>
      <c r="CV101" s="691">
        <f>IF(AND(Projects!$G$17="Yes",Projects!$M$17="Yes",95&gt;=Projects!$C$17,95&lt;Projects!$C$17+Projects!$D$17),Projects!$B$17*INDEX(Curves!$B$4:$AR$4,1,95-Projects!$C$17+1),0)+IF(AND(Projects!$G$18="Yes",Projects!$M$18="Yes",95&gt;=Projects!$C$18,95&lt;Projects!$C$18+Projects!$D$18),Projects!$B$18*INDEX(Curves!$B$4:$AR$4,1,95-Projects!$C$18+1),0)+IF(AND(Projects!$G$19="Yes",Projects!$M$19="Yes",95&gt;=Projects!$C$19,95&lt;Projects!$C$19+Projects!$D$19),Projects!$B$19*INDEX(Curves!$B$4:$AR$4,1,95-Projects!$C$19+1),0)+IF(AND(Projects!$G$20="Yes",Projects!$M$20="Yes",95&gt;=Projects!$C$20,95&lt;Projects!$C$20+Projects!$D$20),Projects!$B$20*INDEX(Curves!$B$4:$AR$4,1,95-Projects!$C$20+1),0)+IF(AND(Projects!$G$21="Yes",Projects!$M$21="Yes",95&gt;=Projects!$C$21,95&lt;Projects!$C$21+Projects!$D$21),Projects!$B$21*INDEX(Curves!$B$4:$AR$4,1,95-Projects!$C$21+1),0)+IF(AND(Projects!$G$22="Yes",Projects!$M$22="Yes",95&gt;=Projects!$C$22,95&lt;Projects!$C$22+Projects!$D$22),Projects!$B$22*INDEX(Curves!$B$4:$AR$4,1,95-Projects!$C$22+1),0)+IF(AND(Projects!$G$23="Yes",Projects!$M$23="Yes",95&gt;=Projects!$C$23,95&lt;Projects!$C$23+Projects!$D$23),Projects!$B$23*INDEX(Curves!$B$4:$AR$4,1,95-Projects!$C$23+1),0)+IF(AND(Projects!$G$24="Yes",Projects!$M$24="Yes",95&gt;=Projects!$C$24,95&lt;Projects!$C$24+Projects!$D$24),Projects!$B$24*INDEX(Curves!$B$4:$AR$4,1,95-Projects!$C$24+1),0)+IF(AND(Projects!$G$25="Yes",Projects!$M$25="Yes",95&gt;=Projects!$C$25,95&lt;Projects!$C$25+Projects!$D$25),Projects!$B$25*INDEX(Curves!$B$4:$AR$4,1,95-Projects!$C$25+1),0)+IF(AND(Projects!$G$26="Yes",Projects!$M$26="Yes",95&gt;=Projects!$C$26,95&lt;Projects!$C$26+Projects!$D$26),Projects!$B$26*INDEX(Curves!$B$4:$AR$4,1,95-Projects!$C$26+1),0)+IF(AND(Projects!$G$27="Yes",Projects!$M$27="Yes",95&gt;=Projects!$C$27,95&lt;Projects!$C$27+Projects!$D$27),Projects!$B$27*INDEX(Curves!$B$4:$AR$4,1,95-Projects!$C$27+1),0)+IF(AND(Projects!$G$28="Yes",Projects!$M$28="Yes",95&gt;=Projects!$C$28,95&lt;Projects!$C$28+Projects!$D$28),Projects!$B$28*INDEX(Curves!$B$4:$AR$4,1,95-Projects!$C$28+1),0)+IF(AND(Projects!$G$29="Yes",Projects!$M$29="Yes",95&gt;=Projects!$C$29,95&lt;Projects!$C$29+Projects!$D$29),Projects!$B$29*INDEX(Curves!$B$4:$AR$4,1,95-Projects!$C$29+1),0)+IF(AND(Projects!$G$30="Yes",Projects!$M$30="Yes",95&gt;=Projects!$C$30,95&lt;Projects!$C$30+Projects!$D$30),Projects!$B$30*INDEX(Curves!$B$4:$AR$4,1,95-Projects!$C$30+1),0)+IF(AND(Projects!$G$31="Yes",Projects!$M$31="Yes",95&gt;=Projects!$C$31,95&lt;Projects!$C$31+Projects!$D$31),Projects!$B$31*INDEX(Curves!$B$4:$AR$4,1,95-Projects!$C$31+1),0)+IF(AND(Projects!$G$32="Yes",Projects!$M$32="Yes",95&gt;=Projects!$C$32,95&lt;Projects!$C$32+Projects!$D$32),Projects!$B$32*INDEX(Curves!$B$4:$AR$4,1,95-Projects!$C$32+1),0)+IF(AND(Projects!$G$33="Yes",Projects!$M$33="Yes",95&gt;=Projects!$C$33,95&lt;Projects!$C$33+Projects!$D$33),Projects!$B$33*INDEX(Curves!$B$4:$AR$4,1,95-Projects!$C$33+1),0)+IF(AND(Projects!$G$34="Yes",Projects!$M$34="Yes",95&gt;=Projects!$C$34,95&lt;Projects!$C$34+Projects!$D$34),Projects!$B$34*INDEX(Curves!$B$4:$AR$4,1,95-Projects!$C$34+1),0)+IF(AND(Projects!$G$35="Yes",Projects!$M$35="Yes",95&gt;=Projects!$C$35,95&lt;Projects!$C$35+Projects!$D$35),Projects!$B$35*INDEX(Curves!$B$4:$AR$4,1,95-Projects!$C$35+1),0)+IF(AND(Projects!$G$36="Yes",Projects!$M$36="Yes",95&gt;=Projects!$C$36,95&lt;Projects!$C$36+Projects!$D$36),Projects!$B$36*INDEX(Curves!$B$4:$AR$4,1,95-Projects!$C$36+1),0)+IF(AND(Projects!$G$37="Yes",Projects!$M$37="Yes",95&gt;=Projects!$C$37,95&lt;Projects!$C$37+Projects!$D$37),Projects!$B$37*INDEX(Curves!$B$4:$AR$4,1,95-Projects!$C$37+1),0)+IF(AND(Projects!$G$38="Yes",Projects!$M$38="Yes",95&gt;=Projects!$C$38,95&lt;Projects!$C$38+Projects!$D$38),Projects!$B$38*INDEX(Curves!$B$4:$AR$4,1,95-Projects!$C$38+1),0)+IF(AND(Projects!$G$39="Yes",Projects!$M$39="Yes",95&gt;=Projects!$C$39,95&lt;Projects!$C$39+Projects!$D$39),Projects!$B$39*INDEX(Curves!$B$4:$AR$4,1,95-Projects!$C$39+1),0)+IF(AND(Projects!$G$40="Yes",Projects!$M$40="Yes",95&gt;=Projects!$C$40,95&lt;Projects!$C$40+Projects!$D$40),Projects!$B$40*INDEX(Curves!$B$4:$AR$4,1,95-Projects!$C$40+1),0)+IF(AND(Projects!$G$41="Yes",Projects!$M$41="Yes",95&gt;=Projects!$C$41,95&lt;Projects!$C$41+Projects!$D$41),Projects!$B$41*INDEX(Curves!$B$4:$AR$4,1,95-Projects!$C$41+1),0)+IF(AND(Projects!$G$42="Yes",Projects!$M$42="Yes",95&gt;=Projects!$C$42,95&lt;Projects!$C$42+Projects!$D$42),Projects!$B$42*INDEX(Curves!$B$4:$AR$4,1,95-Projects!$C$42+1),0)+IF(AND(Projects!$G$43="Yes",Projects!$M$43="Yes",95&gt;=Projects!$C$43,95&lt;Projects!$C$43+Projects!$D$43),Projects!$B$43*INDEX(Curves!$B$4:$AR$4,1,95-Projects!$C$43+1),0)+IF(AND(Projects!$G$44="Yes",Projects!$M$44="Yes",95&gt;=Projects!$C$44,95&lt;Projects!$C$44+Projects!$D$44),Projects!$B$44*INDEX(Curves!$B$4:$AR$4,1,95-Projects!$C$44+1),0)+IF(AND(Projects!$G$45="Yes",Projects!$M$45="Yes",95&gt;=Projects!$C$45,95&lt;Projects!$C$45+Projects!$D$45),Projects!$B$45*INDEX(Curves!$B$4:$AR$4,1,95-Projects!$C$45+1),0)+IF(AND(Projects!$G$46="Yes",Projects!$M$46="Yes",95&gt;=Projects!$C$46,95&lt;Projects!$C$46+Projects!$D$46),Projects!$B$46*INDEX(Curves!$B$4:$AR$4,1,95-Projects!$C$46+1),0)</f>
        <v/>
      </c>
      <c r="CW101" s="691">
        <f>IF(AND(Projects!$G$17="Yes",Projects!$M$17="Yes",96&gt;=Projects!$C$17,96&lt;Projects!$C$17+Projects!$D$17),Projects!$B$17*INDEX(Curves!$B$4:$AR$4,1,96-Projects!$C$17+1),0)+IF(AND(Projects!$G$18="Yes",Projects!$M$18="Yes",96&gt;=Projects!$C$18,96&lt;Projects!$C$18+Projects!$D$18),Projects!$B$18*INDEX(Curves!$B$4:$AR$4,1,96-Projects!$C$18+1),0)+IF(AND(Projects!$G$19="Yes",Projects!$M$19="Yes",96&gt;=Projects!$C$19,96&lt;Projects!$C$19+Projects!$D$19),Projects!$B$19*INDEX(Curves!$B$4:$AR$4,1,96-Projects!$C$19+1),0)+IF(AND(Projects!$G$20="Yes",Projects!$M$20="Yes",96&gt;=Projects!$C$20,96&lt;Projects!$C$20+Projects!$D$20),Projects!$B$20*INDEX(Curves!$B$4:$AR$4,1,96-Projects!$C$20+1),0)+IF(AND(Projects!$G$21="Yes",Projects!$M$21="Yes",96&gt;=Projects!$C$21,96&lt;Projects!$C$21+Projects!$D$21),Projects!$B$21*INDEX(Curves!$B$4:$AR$4,1,96-Projects!$C$21+1),0)+IF(AND(Projects!$G$22="Yes",Projects!$M$22="Yes",96&gt;=Projects!$C$22,96&lt;Projects!$C$22+Projects!$D$22),Projects!$B$22*INDEX(Curves!$B$4:$AR$4,1,96-Projects!$C$22+1),0)+IF(AND(Projects!$G$23="Yes",Projects!$M$23="Yes",96&gt;=Projects!$C$23,96&lt;Projects!$C$23+Projects!$D$23),Projects!$B$23*INDEX(Curves!$B$4:$AR$4,1,96-Projects!$C$23+1),0)+IF(AND(Projects!$G$24="Yes",Projects!$M$24="Yes",96&gt;=Projects!$C$24,96&lt;Projects!$C$24+Projects!$D$24),Projects!$B$24*INDEX(Curves!$B$4:$AR$4,1,96-Projects!$C$24+1),0)+IF(AND(Projects!$G$25="Yes",Projects!$M$25="Yes",96&gt;=Projects!$C$25,96&lt;Projects!$C$25+Projects!$D$25),Projects!$B$25*INDEX(Curves!$B$4:$AR$4,1,96-Projects!$C$25+1),0)+IF(AND(Projects!$G$26="Yes",Projects!$M$26="Yes",96&gt;=Projects!$C$26,96&lt;Projects!$C$26+Projects!$D$26),Projects!$B$26*INDEX(Curves!$B$4:$AR$4,1,96-Projects!$C$26+1),0)+IF(AND(Projects!$G$27="Yes",Projects!$M$27="Yes",96&gt;=Projects!$C$27,96&lt;Projects!$C$27+Projects!$D$27),Projects!$B$27*INDEX(Curves!$B$4:$AR$4,1,96-Projects!$C$27+1),0)+IF(AND(Projects!$G$28="Yes",Projects!$M$28="Yes",96&gt;=Projects!$C$28,96&lt;Projects!$C$28+Projects!$D$28),Projects!$B$28*INDEX(Curves!$B$4:$AR$4,1,96-Projects!$C$28+1),0)+IF(AND(Projects!$G$29="Yes",Projects!$M$29="Yes",96&gt;=Projects!$C$29,96&lt;Projects!$C$29+Projects!$D$29),Projects!$B$29*INDEX(Curves!$B$4:$AR$4,1,96-Projects!$C$29+1),0)+IF(AND(Projects!$G$30="Yes",Projects!$M$30="Yes",96&gt;=Projects!$C$30,96&lt;Projects!$C$30+Projects!$D$30),Projects!$B$30*INDEX(Curves!$B$4:$AR$4,1,96-Projects!$C$30+1),0)+IF(AND(Projects!$G$31="Yes",Projects!$M$31="Yes",96&gt;=Projects!$C$31,96&lt;Projects!$C$31+Projects!$D$31),Projects!$B$31*INDEX(Curves!$B$4:$AR$4,1,96-Projects!$C$31+1),0)+IF(AND(Projects!$G$32="Yes",Projects!$M$32="Yes",96&gt;=Projects!$C$32,96&lt;Projects!$C$32+Projects!$D$32),Projects!$B$32*INDEX(Curves!$B$4:$AR$4,1,96-Projects!$C$32+1),0)+IF(AND(Projects!$G$33="Yes",Projects!$M$33="Yes",96&gt;=Projects!$C$33,96&lt;Projects!$C$33+Projects!$D$33),Projects!$B$33*INDEX(Curves!$B$4:$AR$4,1,96-Projects!$C$33+1),0)+IF(AND(Projects!$G$34="Yes",Projects!$M$34="Yes",96&gt;=Projects!$C$34,96&lt;Projects!$C$34+Projects!$D$34),Projects!$B$34*INDEX(Curves!$B$4:$AR$4,1,96-Projects!$C$34+1),0)+IF(AND(Projects!$G$35="Yes",Projects!$M$35="Yes",96&gt;=Projects!$C$35,96&lt;Projects!$C$35+Projects!$D$35),Projects!$B$35*INDEX(Curves!$B$4:$AR$4,1,96-Projects!$C$35+1),0)+IF(AND(Projects!$G$36="Yes",Projects!$M$36="Yes",96&gt;=Projects!$C$36,96&lt;Projects!$C$36+Projects!$D$36),Projects!$B$36*INDEX(Curves!$B$4:$AR$4,1,96-Projects!$C$36+1),0)+IF(AND(Projects!$G$37="Yes",Projects!$M$37="Yes",96&gt;=Projects!$C$37,96&lt;Projects!$C$37+Projects!$D$37),Projects!$B$37*INDEX(Curves!$B$4:$AR$4,1,96-Projects!$C$37+1),0)+IF(AND(Projects!$G$38="Yes",Projects!$M$38="Yes",96&gt;=Projects!$C$38,96&lt;Projects!$C$38+Projects!$D$38),Projects!$B$38*INDEX(Curves!$B$4:$AR$4,1,96-Projects!$C$38+1),0)+IF(AND(Projects!$G$39="Yes",Projects!$M$39="Yes",96&gt;=Projects!$C$39,96&lt;Projects!$C$39+Projects!$D$39),Projects!$B$39*INDEX(Curves!$B$4:$AR$4,1,96-Projects!$C$39+1),0)+IF(AND(Projects!$G$40="Yes",Projects!$M$40="Yes",96&gt;=Projects!$C$40,96&lt;Projects!$C$40+Projects!$D$40),Projects!$B$40*INDEX(Curves!$B$4:$AR$4,1,96-Projects!$C$40+1),0)+IF(AND(Projects!$G$41="Yes",Projects!$M$41="Yes",96&gt;=Projects!$C$41,96&lt;Projects!$C$41+Projects!$D$41),Projects!$B$41*INDEX(Curves!$B$4:$AR$4,1,96-Projects!$C$41+1),0)+IF(AND(Projects!$G$42="Yes",Projects!$M$42="Yes",96&gt;=Projects!$C$42,96&lt;Projects!$C$42+Projects!$D$42),Projects!$B$42*INDEX(Curves!$B$4:$AR$4,1,96-Projects!$C$42+1),0)+IF(AND(Projects!$G$43="Yes",Projects!$M$43="Yes",96&gt;=Projects!$C$43,96&lt;Projects!$C$43+Projects!$D$43),Projects!$B$43*INDEX(Curves!$B$4:$AR$4,1,96-Projects!$C$43+1),0)+IF(AND(Projects!$G$44="Yes",Projects!$M$44="Yes",96&gt;=Projects!$C$44,96&lt;Projects!$C$44+Projects!$D$44),Projects!$B$44*INDEX(Curves!$B$4:$AR$4,1,96-Projects!$C$44+1),0)+IF(AND(Projects!$G$45="Yes",Projects!$M$45="Yes",96&gt;=Projects!$C$45,96&lt;Projects!$C$45+Projects!$D$45),Projects!$B$45*INDEX(Curves!$B$4:$AR$4,1,96-Projects!$C$45+1),0)+IF(AND(Projects!$G$46="Yes",Projects!$M$46="Yes",96&gt;=Projects!$C$46,96&lt;Projects!$C$46+Projects!$D$46),Projects!$B$46*INDEX(Curves!$B$4:$AR$4,1,96-Projects!$C$46+1),0)</f>
        <v/>
      </c>
      <c r="CX101" s="691">
        <f>IF(AND(Projects!$G$17="Yes",Projects!$M$17="Yes",97&gt;=Projects!$C$17,97&lt;Projects!$C$17+Projects!$D$17),Projects!$B$17*INDEX(Curves!$B$4:$AR$4,1,97-Projects!$C$17+1),0)+IF(AND(Projects!$G$18="Yes",Projects!$M$18="Yes",97&gt;=Projects!$C$18,97&lt;Projects!$C$18+Projects!$D$18),Projects!$B$18*INDEX(Curves!$B$4:$AR$4,1,97-Projects!$C$18+1),0)+IF(AND(Projects!$G$19="Yes",Projects!$M$19="Yes",97&gt;=Projects!$C$19,97&lt;Projects!$C$19+Projects!$D$19),Projects!$B$19*INDEX(Curves!$B$4:$AR$4,1,97-Projects!$C$19+1),0)+IF(AND(Projects!$G$20="Yes",Projects!$M$20="Yes",97&gt;=Projects!$C$20,97&lt;Projects!$C$20+Projects!$D$20),Projects!$B$20*INDEX(Curves!$B$4:$AR$4,1,97-Projects!$C$20+1),0)+IF(AND(Projects!$G$21="Yes",Projects!$M$21="Yes",97&gt;=Projects!$C$21,97&lt;Projects!$C$21+Projects!$D$21),Projects!$B$21*INDEX(Curves!$B$4:$AR$4,1,97-Projects!$C$21+1),0)+IF(AND(Projects!$G$22="Yes",Projects!$M$22="Yes",97&gt;=Projects!$C$22,97&lt;Projects!$C$22+Projects!$D$22),Projects!$B$22*INDEX(Curves!$B$4:$AR$4,1,97-Projects!$C$22+1),0)+IF(AND(Projects!$G$23="Yes",Projects!$M$23="Yes",97&gt;=Projects!$C$23,97&lt;Projects!$C$23+Projects!$D$23),Projects!$B$23*INDEX(Curves!$B$4:$AR$4,1,97-Projects!$C$23+1),0)+IF(AND(Projects!$G$24="Yes",Projects!$M$24="Yes",97&gt;=Projects!$C$24,97&lt;Projects!$C$24+Projects!$D$24),Projects!$B$24*INDEX(Curves!$B$4:$AR$4,1,97-Projects!$C$24+1),0)+IF(AND(Projects!$G$25="Yes",Projects!$M$25="Yes",97&gt;=Projects!$C$25,97&lt;Projects!$C$25+Projects!$D$25),Projects!$B$25*INDEX(Curves!$B$4:$AR$4,1,97-Projects!$C$25+1),0)+IF(AND(Projects!$G$26="Yes",Projects!$M$26="Yes",97&gt;=Projects!$C$26,97&lt;Projects!$C$26+Projects!$D$26),Projects!$B$26*INDEX(Curves!$B$4:$AR$4,1,97-Projects!$C$26+1),0)+IF(AND(Projects!$G$27="Yes",Projects!$M$27="Yes",97&gt;=Projects!$C$27,97&lt;Projects!$C$27+Projects!$D$27),Projects!$B$27*INDEX(Curves!$B$4:$AR$4,1,97-Projects!$C$27+1),0)+IF(AND(Projects!$G$28="Yes",Projects!$M$28="Yes",97&gt;=Projects!$C$28,97&lt;Projects!$C$28+Projects!$D$28),Projects!$B$28*INDEX(Curves!$B$4:$AR$4,1,97-Projects!$C$28+1),0)+IF(AND(Projects!$G$29="Yes",Projects!$M$29="Yes",97&gt;=Projects!$C$29,97&lt;Projects!$C$29+Projects!$D$29),Projects!$B$29*INDEX(Curves!$B$4:$AR$4,1,97-Projects!$C$29+1),0)+IF(AND(Projects!$G$30="Yes",Projects!$M$30="Yes",97&gt;=Projects!$C$30,97&lt;Projects!$C$30+Projects!$D$30),Projects!$B$30*INDEX(Curves!$B$4:$AR$4,1,97-Projects!$C$30+1),0)+IF(AND(Projects!$G$31="Yes",Projects!$M$31="Yes",97&gt;=Projects!$C$31,97&lt;Projects!$C$31+Projects!$D$31),Projects!$B$31*INDEX(Curves!$B$4:$AR$4,1,97-Projects!$C$31+1),0)+IF(AND(Projects!$G$32="Yes",Projects!$M$32="Yes",97&gt;=Projects!$C$32,97&lt;Projects!$C$32+Projects!$D$32),Projects!$B$32*INDEX(Curves!$B$4:$AR$4,1,97-Projects!$C$32+1),0)+IF(AND(Projects!$G$33="Yes",Projects!$M$33="Yes",97&gt;=Projects!$C$33,97&lt;Projects!$C$33+Projects!$D$33),Projects!$B$33*INDEX(Curves!$B$4:$AR$4,1,97-Projects!$C$33+1),0)+IF(AND(Projects!$G$34="Yes",Projects!$M$34="Yes",97&gt;=Projects!$C$34,97&lt;Projects!$C$34+Projects!$D$34),Projects!$B$34*INDEX(Curves!$B$4:$AR$4,1,97-Projects!$C$34+1),0)+IF(AND(Projects!$G$35="Yes",Projects!$M$35="Yes",97&gt;=Projects!$C$35,97&lt;Projects!$C$35+Projects!$D$35),Projects!$B$35*INDEX(Curves!$B$4:$AR$4,1,97-Projects!$C$35+1),0)+IF(AND(Projects!$G$36="Yes",Projects!$M$36="Yes",97&gt;=Projects!$C$36,97&lt;Projects!$C$36+Projects!$D$36),Projects!$B$36*INDEX(Curves!$B$4:$AR$4,1,97-Projects!$C$36+1),0)+IF(AND(Projects!$G$37="Yes",Projects!$M$37="Yes",97&gt;=Projects!$C$37,97&lt;Projects!$C$37+Projects!$D$37),Projects!$B$37*INDEX(Curves!$B$4:$AR$4,1,97-Projects!$C$37+1),0)+IF(AND(Projects!$G$38="Yes",Projects!$M$38="Yes",97&gt;=Projects!$C$38,97&lt;Projects!$C$38+Projects!$D$38),Projects!$B$38*INDEX(Curves!$B$4:$AR$4,1,97-Projects!$C$38+1),0)+IF(AND(Projects!$G$39="Yes",Projects!$M$39="Yes",97&gt;=Projects!$C$39,97&lt;Projects!$C$39+Projects!$D$39),Projects!$B$39*INDEX(Curves!$B$4:$AR$4,1,97-Projects!$C$39+1),0)+IF(AND(Projects!$G$40="Yes",Projects!$M$40="Yes",97&gt;=Projects!$C$40,97&lt;Projects!$C$40+Projects!$D$40),Projects!$B$40*INDEX(Curves!$B$4:$AR$4,1,97-Projects!$C$40+1),0)+IF(AND(Projects!$G$41="Yes",Projects!$M$41="Yes",97&gt;=Projects!$C$41,97&lt;Projects!$C$41+Projects!$D$41),Projects!$B$41*INDEX(Curves!$B$4:$AR$4,1,97-Projects!$C$41+1),0)+IF(AND(Projects!$G$42="Yes",Projects!$M$42="Yes",97&gt;=Projects!$C$42,97&lt;Projects!$C$42+Projects!$D$42),Projects!$B$42*INDEX(Curves!$B$4:$AR$4,1,97-Projects!$C$42+1),0)+IF(AND(Projects!$G$43="Yes",Projects!$M$43="Yes",97&gt;=Projects!$C$43,97&lt;Projects!$C$43+Projects!$D$43),Projects!$B$43*INDEX(Curves!$B$4:$AR$4,1,97-Projects!$C$43+1),0)+IF(AND(Projects!$G$44="Yes",Projects!$M$44="Yes",97&gt;=Projects!$C$44,97&lt;Projects!$C$44+Projects!$D$44),Projects!$B$44*INDEX(Curves!$B$4:$AR$4,1,97-Projects!$C$44+1),0)+IF(AND(Projects!$G$45="Yes",Projects!$M$45="Yes",97&gt;=Projects!$C$45,97&lt;Projects!$C$45+Projects!$D$45),Projects!$B$45*INDEX(Curves!$B$4:$AR$4,1,97-Projects!$C$45+1),0)+IF(AND(Projects!$G$46="Yes",Projects!$M$46="Yes",97&gt;=Projects!$C$46,97&lt;Projects!$C$46+Projects!$D$46),Projects!$B$46*INDEX(Curves!$B$4:$AR$4,1,97-Projects!$C$46+1),0)</f>
        <v/>
      </c>
      <c r="CY101" s="691">
        <f>IF(AND(Projects!$G$17="Yes",Projects!$M$17="Yes",98&gt;=Projects!$C$17,98&lt;Projects!$C$17+Projects!$D$17),Projects!$B$17*INDEX(Curves!$B$4:$AR$4,1,98-Projects!$C$17+1),0)+IF(AND(Projects!$G$18="Yes",Projects!$M$18="Yes",98&gt;=Projects!$C$18,98&lt;Projects!$C$18+Projects!$D$18),Projects!$B$18*INDEX(Curves!$B$4:$AR$4,1,98-Projects!$C$18+1),0)+IF(AND(Projects!$G$19="Yes",Projects!$M$19="Yes",98&gt;=Projects!$C$19,98&lt;Projects!$C$19+Projects!$D$19),Projects!$B$19*INDEX(Curves!$B$4:$AR$4,1,98-Projects!$C$19+1),0)+IF(AND(Projects!$G$20="Yes",Projects!$M$20="Yes",98&gt;=Projects!$C$20,98&lt;Projects!$C$20+Projects!$D$20),Projects!$B$20*INDEX(Curves!$B$4:$AR$4,1,98-Projects!$C$20+1),0)+IF(AND(Projects!$G$21="Yes",Projects!$M$21="Yes",98&gt;=Projects!$C$21,98&lt;Projects!$C$21+Projects!$D$21),Projects!$B$21*INDEX(Curves!$B$4:$AR$4,1,98-Projects!$C$21+1),0)+IF(AND(Projects!$G$22="Yes",Projects!$M$22="Yes",98&gt;=Projects!$C$22,98&lt;Projects!$C$22+Projects!$D$22),Projects!$B$22*INDEX(Curves!$B$4:$AR$4,1,98-Projects!$C$22+1),0)+IF(AND(Projects!$G$23="Yes",Projects!$M$23="Yes",98&gt;=Projects!$C$23,98&lt;Projects!$C$23+Projects!$D$23),Projects!$B$23*INDEX(Curves!$B$4:$AR$4,1,98-Projects!$C$23+1),0)+IF(AND(Projects!$G$24="Yes",Projects!$M$24="Yes",98&gt;=Projects!$C$24,98&lt;Projects!$C$24+Projects!$D$24),Projects!$B$24*INDEX(Curves!$B$4:$AR$4,1,98-Projects!$C$24+1),0)+IF(AND(Projects!$G$25="Yes",Projects!$M$25="Yes",98&gt;=Projects!$C$25,98&lt;Projects!$C$25+Projects!$D$25),Projects!$B$25*INDEX(Curves!$B$4:$AR$4,1,98-Projects!$C$25+1),0)+IF(AND(Projects!$G$26="Yes",Projects!$M$26="Yes",98&gt;=Projects!$C$26,98&lt;Projects!$C$26+Projects!$D$26),Projects!$B$26*INDEX(Curves!$B$4:$AR$4,1,98-Projects!$C$26+1),0)+IF(AND(Projects!$G$27="Yes",Projects!$M$27="Yes",98&gt;=Projects!$C$27,98&lt;Projects!$C$27+Projects!$D$27),Projects!$B$27*INDEX(Curves!$B$4:$AR$4,1,98-Projects!$C$27+1),0)+IF(AND(Projects!$G$28="Yes",Projects!$M$28="Yes",98&gt;=Projects!$C$28,98&lt;Projects!$C$28+Projects!$D$28),Projects!$B$28*INDEX(Curves!$B$4:$AR$4,1,98-Projects!$C$28+1),0)+IF(AND(Projects!$G$29="Yes",Projects!$M$29="Yes",98&gt;=Projects!$C$29,98&lt;Projects!$C$29+Projects!$D$29),Projects!$B$29*INDEX(Curves!$B$4:$AR$4,1,98-Projects!$C$29+1),0)+IF(AND(Projects!$G$30="Yes",Projects!$M$30="Yes",98&gt;=Projects!$C$30,98&lt;Projects!$C$30+Projects!$D$30),Projects!$B$30*INDEX(Curves!$B$4:$AR$4,1,98-Projects!$C$30+1),0)+IF(AND(Projects!$G$31="Yes",Projects!$M$31="Yes",98&gt;=Projects!$C$31,98&lt;Projects!$C$31+Projects!$D$31),Projects!$B$31*INDEX(Curves!$B$4:$AR$4,1,98-Projects!$C$31+1),0)+IF(AND(Projects!$G$32="Yes",Projects!$M$32="Yes",98&gt;=Projects!$C$32,98&lt;Projects!$C$32+Projects!$D$32),Projects!$B$32*INDEX(Curves!$B$4:$AR$4,1,98-Projects!$C$32+1),0)+IF(AND(Projects!$G$33="Yes",Projects!$M$33="Yes",98&gt;=Projects!$C$33,98&lt;Projects!$C$33+Projects!$D$33),Projects!$B$33*INDEX(Curves!$B$4:$AR$4,1,98-Projects!$C$33+1),0)+IF(AND(Projects!$G$34="Yes",Projects!$M$34="Yes",98&gt;=Projects!$C$34,98&lt;Projects!$C$34+Projects!$D$34),Projects!$B$34*INDEX(Curves!$B$4:$AR$4,1,98-Projects!$C$34+1),0)+IF(AND(Projects!$G$35="Yes",Projects!$M$35="Yes",98&gt;=Projects!$C$35,98&lt;Projects!$C$35+Projects!$D$35),Projects!$B$35*INDEX(Curves!$B$4:$AR$4,1,98-Projects!$C$35+1),0)+IF(AND(Projects!$G$36="Yes",Projects!$M$36="Yes",98&gt;=Projects!$C$36,98&lt;Projects!$C$36+Projects!$D$36),Projects!$B$36*INDEX(Curves!$B$4:$AR$4,1,98-Projects!$C$36+1),0)+IF(AND(Projects!$G$37="Yes",Projects!$M$37="Yes",98&gt;=Projects!$C$37,98&lt;Projects!$C$37+Projects!$D$37),Projects!$B$37*INDEX(Curves!$B$4:$AR$4,1,98-Projects!$C$37+1),0)+IF(AND(Projects!$G$38="Yes",Projects!$M$38="Yes",98&gt;=Projects!$C$38,98&lt;Projects!$C$38+Projects!$D$38),Projects!$B$38*INDEX(Curves!$B$4:$AR$4,1,98-Projects!$C$38+1),0)+IF(AND(Projects!$G$39="Yes",Projects!$M$39="Yes",98&gt;=Projects!$C$39,98&lt;Projects!$C$39+Projects!$D$39),Projects!$B$39*INDEX(Curves!$B$4:$AR$4,1,98-Projects!$C$39+1),0)+IF(AND(Projects!$G$40="Yes",Projects!$M$40="Yes",98&gt;=Projects!$C$40,98&lt;Projects!$C$40+Projects!$D$40),Projects!$B$40*INDEX(Curves!$B$4:$AR$4,1,98-Projects!$C$40+1),0)+IF(AND(Projects!$G$41="Yes",Projects!$M$41="Yes",98&gt;=Projects!$C$41,98&lt;Projects!$C$41+Projects!$D$41),Projects!$B$41*INDEX(Curves!$B$4:$AR$4,1,98-Projects!$C$41+1),0)+IF(AND(Projects!$G$42="Yes",Projects!$M$42="Yes",98&gt;=Projects!$C$42,98&lt;Projects!$C$42+Projects!$D$42),Projects!$B$42*INDEX(Curves!$B$4:$AR$4,1,98-Projects!$C$42+1),0)+IF(AND(Projects!$G$43="Yes",Projects!$M$43="Yes",98&gt;=Projects!$C$43,98&lt;Projects!$C$43+Projects!$D$43),Projects!$B$43*INDEX(Curves!$B$4:$AR$4,1,98-Projects!$C$43+1),0)+IF(AND(Projects!$G$44="Yes",Projects!$M$44="Yes",98&gt;=Projects!$C$44,98&lt;Projects!$C$44+Projects!$D$44),Projects!$B$44*INDEX(Curves!$B$4:$AR$4,1,98-Projects!$C$44+1),0)+IF(AND(Projects!$G$45="Yes",Projects!$M$45="Yes",98&gt;=Projects!$C$45,98&lt;Projects!$C$45+Projects!$D$45),Projects!$B$45*INDEX(Curves!$B$4:$AR$4,1,98-Projects!$C$45+1),0)+IF(AND(Projects!$G$46="Yes",Projects!$M$46="Yes",98&gt;=Projects!$C$46,98&lt;Projects!$C$46+Projects!$D$46),Projects!$B$46*INDEX(Curves!$B$4:$AR$4,1,98-Projects!$C$46+1),0)</f>
        <v/>
      </c>
      <c r="CZ101" s="691">
        <f>IF(AND(Projects!$G$17="Yes",Projects!$M$17="Yes",99&gt;=Projects!$C$17,99&lt;Projects!$C$17+Projects!$D$17),Projects!$B$17*INDEX(Curves!$B$4:$AR$4,1,99-Projects!$C$17+1),0)+IF(AND(Projects!$G$18="Yes",Projects!$M$18="Yes",99&gt;=Projects!$C$18,99&lt;Projects!$C$18+Projects!$D$18),Projects!$B$18*INDEX(Curves!$B$4:$AR$4,1,99-Projects!$C$18+1),0)+IF(AND(Projects!$G$19="Yes",Projects!$M$19="Yes",99&gt;=Projects!$C$19,99&lt;Projects!$C$19+Projects!$D$19),Projects!$B$19*INDEX(Curves!$B$4:$AR$4,1,99-Projects!$C$19+1),0)+IF(AND(Projects!$G$20="Yes",Projects!$M$20="Yes",99&gt;=Projects!$C$20,99&lt;Projects!$C$20+Projects!$D$20),Projects!$B$20*INDEX(Curves!$B$4:$AR$4,1,99-Projects!$C$20+1),0)+IF(AND(Projects!$G$21="Yes",Projects!$M$21="Yes",99&gt;=Projects!$C$21,99&lt;Projects!$C$21+Projects!$D$21),Projects!$B$21*INDEX(Curves!$B$4:$AR$4,1,99-Projects!$C$21+1),0)+IF(AND(Projects!$G$22="Yes",Projects!$M$22="Yes",99&gt;=Projects!$C$22,99&lt;Projects!$C$22+Projects!$D$22),Projects!$B$22*INDEX(Curves!$B$4:$AR$4,1,99-Projects!$C$22+1),0)+IF(AND(Projects!$G$23="Yes",Projects!$M$23="Yes",99&gt;=Projects!$C$23,99&lt;Projects!$C$23+Projects!$D$23),Projects!$B$23*INDEX(Curves!$B$4:$AR$4,1,99-Projects!$C$23+1),0)+IF(AND(Projects!$G$24="Yes",Projects!$M$24="Yes",99&gt;=Projects!$C$24,99&lt;Projects!$C$24+Projects!$D$24),Projects!$B$24*INDEX(Curves!$B$4:$AR$4,1,99-Projects!$C$24+1),0)+IF(AND(Projects!$G$25="Yes",Projects!$M$25="Yes",99&gt;=Projects!$C$25,99&lt;Projects!$C$25+Projects!$D$25),Projects!$B$25*INDEX(Curves!$B$4:$AR$4,1,99-Projects!$C$25+1),0)+IF(AND(Projects!$G$26="Yes",Projects!$M$26="Yes",99&gt;=Projects!$C$26,99&lt;Projects!$C$26+Projects!$D$26),Projects!$B$26*INDEX(Curves!$B$4:$AR$4,1,99-Projects!$C$26+1),0)+IF(AND(Projects!$G$27="Yes",Projects!$M$27="Yes",99&gt;=Projects!$C$27,99&lt;Projects!$C$27+Projects!$D$27),Projects!$B$27*INDEX(Curves!$B$4:$AR$4,1,99-Projects!$C$27+1),0)+IF(AND(Projects!$G$28="Yes",Projects!$M$28="Yes",99&gt;=Projects!$C$28,99&lt;Projects!$C$28+Projects!$D$28),Projects!$B$28*INDEX(Curves!$B$4:$AR$4,1,99-Projects!$C$28+1),0)+IF(AND(Projects!$G$29="Yes",Projects!$M$29="Yes",99&gt;=Projects!$C$29,99&lt;Projects!$C$29+Projects!$D$29),Projects!$B$29*INDEX(Curves!$B$4:$AR$4,1,99-Projects!$C$29+1),0)+IF(AND(Projects!$G$30="Yes",Projects!$M$30="Yes",99&gt;=Projects!$C$30,99&lt;Projects!$C$30+Projects!$D$30),Projects!$B$30*INDEX(Curves!$B$4:$AR$4,1,99-Projects!$C$30+1),0)+IF(AND(Projects!$G$31="Yes",Projects!$M$31="Yes",99&gt;=Projects!$C$31,99&lt;Projects!$C$31+Projects!$D$31),Projects!$B$31*INDEX(Curves!$B$4:$AR$4,1,99-Projects!$C$31+1),0)+IF(AND(Projects!$G$32="Yes",Projects!$M$32="Yes",99&gt;=Projects!$C$32,99&lt;Projects!$C$32+Projects!$D$32),Projects!$B$32*INDEX(Curves!$B$4:$AR$4,1,99-Projects!$C$32+1),0)+IF(AND(Projects!$G$33="Yes",Projects!$M$33="Yes",99&gt;=Projects!$C$33,99&lt;Projects!$C$33+Projects!$D$33),Projects!$B$33*INDEX(Curves!$B$4:$AR$4,1,99-Projects!$C$33+1),0)+IF(AND(Projects!$G$34="Yes",Projects!$M$34="Yes",99&gt;=Projects!$C$34,99&lt;Projects!$C$34+Projects!$D$34),Projects!$B$34*INDEX(Curves!$B$4:$AR$4,1,99-Projects!$C$34+1),0)+IF(AND(Projects!$G$35="Yes",Projects!$M$35="Yes",99&gt;=Projects!$C$35,99&lt;Projects!$C$35+Projects!$D$35),Projects!$B$35*INDEX(Curves!$B$4:$AR$4,1,99-Projects!$C$35+1),0)+IF(AND(Projects!$G$36="Yes",Projects!$M$36="Yes",99&gt;=Projects!$C$36,99&lt;Projects!$C$36+Projects!$D$36),Projects!$B$36*INDEX(Curves!$B$4:$AR$4,1,99-Projects!$C$36+1),0)+IF(AND(Projects!$G$37="Yes",Projects!$M$37="Yes",99&gt;=Projects!$C$37,99&lt;Projects!$C$37+Projects!$D$37),Projects!$B$37*INDEX(Curves!$B$4:$AR$4,1,99-Projects!$C$37+1),0)+IF(AND(Projects!$G$38="Yes",Projects!$M$38="Yes",99&gt;=Projects!$C$38,99&lt;Projects!$C$38+Projects!$D$38),Projects!$B$38*INDEX(Curves!$B$4:$AR$4,1,99-Projects!$C$38+1),0)+IF(AND(Projects!$G$39="Yes",Projects!$M$39="Yes",99&gt;=Projects!$C$39,99&lt;Projects!$C$39+Projects!$D$39),Projects!$B$39*INDEX(Curves!$B$4:$AR$4,1,99-Projects!$C$39+1),0)+IF(AND(Projects!$G$40="Yes",Projects!$M$40="Yes",99&gt;=Projects!$C$40,99&lt;Projects!$C$40+Projects!$D$40),Projects!$B$40*INDEX(Curves!$B$4:$AR$4,1,99-Projects!$C$40+1),0)+IF(AND(Projects!$G$41="Yes",Projects!$M$41="Yes",99&gt;=Projects!$C$41,99&lt;Projects!$C$41+Projects!$D$41),Projects!$B$41*INDEX(Curves!$B$4:$AR$4,1,99-Projects!$C$41+1),0)+IF(AND(Projects!$G$42="Yes",Projects!$M$42="Yes",99&gt;=Projects!$C$42,99&lt;Projects!$C$42+Projects!$D$42),Projects!$B$42*INDEX(Curves!$B$4:$AR$4,1,99-Projects!$C$42+1),0)+IF(AND(Projects!$G$43="Yes",Projects!$M$43="Yes",99&gt;=Projects!$C$43,99&lt;Projects!$C$43+Projects!$D$43),Projects!$B$43*INDEX(Curves!$B$4:$AR$4,1,99-Projects!$C$43+1),0)+IF(AND(Projects!$G$44="Yes",Projects!$M$44="Yes",99&gt;=Projects!$C$44,99&lt;Projects!$C$44+Projects!$D$44),Projects!$B$44*INDEX(Curves!$B$4:$AR$4,1,99-Projects!$C$44+1),0)+IF(AND(Projects!$G$45="Yes",Projects!$M$45="Yes",99&gt;=Projects!$C$45,99&lt;Projects!$C$45+Projects!$D$45),Projects!$B$45*INDEX(Curves!$B$4:$AR$4,1,99-Projects!$C$45+1),0)+IF(AND(Projects!$G$46="Yes",Projects!$M$46="Yes",99&gt;=Projects!$C$46,99&lt;Projects!$C$46+Projects!$D$46),Projects!$B$46*INDEX(Curves!$B$4:$AR$4,1,99-Projects!$C$46+1),0)</f>
        <v/>
      </c>
      <c r="DA101" s="691">
        <f>IF(AND(Projects!$G$17="Yes",Projects!$M$17="Yes",100&gt;=Projects!$C$17,100&lt;Projects!$C$17+Projects!$D$17),Projects!$B$17*INDEX(Curves!$B$4:$AR$4,1,100-Projects!$C$17+1),0)+IF(AND(Projects!$G$18="Yes",Projects!$M$18="Yes",100&gt;=Projects!$C$18,100&lt;Projects!$C$18+Projects!$D$18),Projects!$B$18*INDEX(Curves!$B$4:$AR$4,1,100-Projects!$C$18+1),0)+IF(AND(Projects!$G$19="Yes",Projects!$M$19="Yes",100&gt;=Projects!$C$19,100&lt;Projects!$C$19+Projects!$D$19),Projects!$B$19*INDEX(Curves!$B$4:$AR$4,1,100-Projects!$C$19+1),0)+IF(AND(Projects!$G$20="Yes",Projects!$M$20="Yes",100&gt;=Projects!$C$20,100&lt;Projects!$C$20+Projects!$D$20),Projects!$B$20*INDEX(Curves!$B$4:$AR$4,1,100-Projects!$C$20+1),0)+IF(AND(Projects!$G$21="Yes",Projects!$M$21="Yes",100&gt;=Projects!$C$21,100&lt;Projects!$C$21+Projects!$D$21),Projects!$B$21*INDEX(Curves!$B$4:$AR$4,1,100-Projects!$C$21+1),0)+IF(AND(Projects!$G$22="Yes",Projects!$M$22="Yes",100&gt;=Projects!$C$22,100&lt;Projects!$C$22+Projects!$D$22),Projects!$B$22*INDEX(Curves!$B$4:$AR$4,1,100-Projects!$C$22+1),0)+IF(AND(Projects!$G$23="Yes",Projects!$M$23="Yes",100&gt;=Projects!$C$23,100&lt;Projects!$C$23+Projects!$D$23),Projects!$B$23*INDEX(Curves!$B$4:$AR$4,1,100-Projects!$C$23+1),0)+IF(AND(Projects!$G$24="Yes",Projects!$M$24="Yes",100&gt;=Projects!$C$24,100&lt;Projects!$C$24+Projects!$D$24),Projects!$B$24*INDEX(Curves!$B$4:$AR$4,1,100-Projects!$C$24+1),0)+IF(AND(Projects!$G$25="Yes",Projects!$M$25="Yes",100&gt;=Projects!$C$25,100&lt;Projects!$C$25+Projects!$D$25),Projects!$B$25*INDEX(Curves!$B$4:$AR$4,1,100-Projects!$C$25+1),0)+IF(AND(Projects!$G$26="Yes",Projects!$M$26="Yes",100&gt;=Projects!$C$26,100&lt;Projects!$C$26+Projects!$D$26),Projects!$B$26*INDEX(Curves!$B$4:$AR$4,1,100-Projects!$C$26+1),0)+IF(AND(Projects!$G$27="Yes",Projects!$M$27="Yes",100&gt;=Projects!$C$27,100&lt;Projects!$C$27+Projects!$D$27),Projects!$B$27*INDEX(Curves!$B$4:$AR$4,1,100-Projects!$C$27+1),0)+IF(AND(Projects!$G$28="Yes",Projects!$M$28="Yes",100&gt;=Projects!$C$28,100&lt;Projects!$C$28+Projects!$D$28),Projects!$B$28*INDEX(Curves!$B$4:$AR$4,1,100-Projects!$C$28+1),0)+IF(AND(Projects!$G$29="Yes",Projects!$M$29="Yes",100&gt;=Projects!$C$29,100&lt;Projects!$C$29+Projects!$D$29),Projects!$B$29*INDEX(Curves!$B$4:$AR$4,1,100-Projects!$C$29+1),0)+IF(AND(Projects!$G$30="Yes",Projects!$M$30="Yes",100&gt;=Projects!$C$30,100&lt;Projects!$C$30+Projects!$D$30),Projects!$B$30*INDEX(Curves!$B$4:$AR$4,1,100-Projects!$C$30+1),0)+IF(AND(Projects!$G$31="Yes",Projects!$M$31="Yes",100&gt;=Projects!$C$31,100&lt;Projects!$C$31+Projects!$D$31),Projects!$B$31*INDEX(Curves!$B$4:$AR$4,1,100-Projects!$C$31+1),0)+IF(AND(Projects!$G$32="Yes",Projects!$M$32="Yes",100&gt;=Projects!$C$32,100&lt;Projects!$C$32+Projects!$D$32),Projects!$B$32*INDEX(Curves!$B$4:$AR$4,1,100-Projects!$C$32+1),0)+IF(AND(Projects!$G$33="Yes",Projects!$M$33="Yes",100&gt;=Projects!$C$33,100&lt;Projects!$C$33+Projects!$D$33),Projects!$B$33*INDEX(Curves!$B$4:$AR$4,1,100-Projects!$C$33+1),0)+IF(AND(Projects!$G$34="Yes",Projects!$M$34="Yes",100&gt;=Projects!$C$34,100&lt;Projects!$C$34+Projects!$D$34),Projects!$B$34*INDEX(Curves!$B$4:$AR$4,1,100-Projects!$C$34+1),0)+IF(AND(Projects!$G$35="Yes",Projects!$M$35="Yes",100&gt;=Projects!$C$35,100&lt;Projects!$C$35+Projects!$D$35),Projects!$B$35*INDEX(Curves!$B$4:$AR$4,1,100-Projects!$C$35+1),0)+IF(AND(Projects!$G$36="Yes",Projects!$M$36="Yes",100&gt;=Projects!$C$36,100&lt;Projects!$C$36+Projects!$D$36),Projects!$B$36*INDEX(Curves!$B$4:$AR$4,1,100-Projects!$C$36+1),0)+IF(AND(Projects!$G$37="Yes",Projects!$M$37="Yes",100&gt;=Projects!$C$37,100&lt;Projects!$C$37+Projects!$D$37),Projects!$B$37*INDEX(Curves!$B$4:$AR$4,1,100-Projects!$C$37+1),0)+IF(AND(Projects!$G$38="Yes",Projects!$M$38="Yes",100&gt;=Projects!$C$38,100&lt;Projects!$C$38+Projects!$D$38),Projects!$B$38*INDEX(Curves!$B$4:$AR$4,1,100-Projects!$C$38+1),0)+IF(AND(Projects!$G$39="Yes",Projects!$M$39="Yes",100&gt;=Projects!$C$39,100&lt;Projects!$C$39+Projects!$D$39),Projects!$B$39*INDEX(Curves!$B$4:$AR$4,1,100-Projects!$C$39+1),0)+IF(AND(Projects!$G$40="Yes",Projects!$M$40="Yes",100&gt;=Projects!$C$40,100&lt;Projects!$C$40+Projects!$D$40),Projects!$B$40*INDEX(Curves!$B$4:$AR$4,1,100-Projects!$C$40+1),0)+IF(AND(Projects!$G$41="Yes",Projects!$M$41="Yes",100&gt;=Projects!$C$41,100&lt;Projects!$C$41+Projects!$D$41),Projects!$B$41*INDEX(Curves!$B$4:$AR$4,1,100-Projects!$C$41+1),0)+IF(AND(Projects!$G$42="Yes",Projects!$M$42="Yes",100&gt;=Projects!$C$42,100&lt;Projects!$C$42+Projects!$D$42),Projects!$B$42*INDEX(Curves!$B$4:$AR$4,1,100-Projects!$C$42+1),0)+IF(AND(Projects!$G$43="Yes",Projects!$M$43="Yes",100&gt;=Projects!$C$43,100&lt;Projects!$C$43+Projects!$D$43),Projects!$B$43*INDEX(Curves!$B$4:$AR$4,1,100-Projects!$C$43+1),0)+IF(AND(Projects!$G$44="Yes",Projects!$M$44="Yes",100&gt;=Projects!$C$44,100&lt;Projects!$C$44+Projects!$D$44),Projects!$B$44*INDEX(Curves!$B$4:$AR$4,1,100-Projects!$C$44+1),0)+IF(AND(Projects!$G$45="Yes",Projects!$M$45="Yes",100&gt;=Projects!$C$45,100&lt;Projects!$C$45+Projects!$D$45),Projects!$B$45*INDEX(Curves!$B$4:$AR$4,1,100-Projects!$C$45+1),0)+IF(AND(Projects!$G$46="Yes",Projects!$M$46="Yes",100&gt;=Projects!$C$46,100&lt;Projects!$C$46+Projects!$D$46),Projects!$B$46*INDEX(Curves!$B$4:$AR$4,1,100-Projects!$C$46+1),0)</f>
        <v/>
      </c>
      <c r="DB101" s="691">
        <f>IF(AND(Projects!$G$17="Yes",Projects!$M$17="Yes",101&gt;=Projects!$C$17,101&lt;Projects!$C$17+Projects!$D$17),Projects!$B$17*INDEX(Curves!$B$4:$AR$4,1,101-Projects!$C$17+1),0)+IF(AND(Projects!$G$18="Yes",Projects!$M$18="Yes",101&gt;=Projects!$C$18,101&lt;Projects!$C$18+Projects!$D$18),Projects!$B$18*INDEX(Curves!$B$4:$AR$4,1,101-Projects!$C$18+1),0)+IF(AND(Projects!$G$19="Yes",Projects!$M$19="Yes",101&gt;=Projects!$C$19,101&lt;Projects!$C$19+Projects!$D$19),Projects!$B$19*INDEX(Curves!$B$4:$AR$4,1,101-Projects!$C$19+1),0)+IF(AND(Projects!$G$20="Yes",Projects!$M$20="Yes",101&gt;=Projects!$C$20,101&lt;Projects!$C$20+Projects!$D$20),Projects!$B$20*INDEX(Curves!$B$4:$AR$4,1,101-Projects!$C$20+1),0)+IF(AND(Projects!$G$21="Yes",Projects!$M$21="Yes",101&gt;=Projects!$C$21,101&lt;Projects!$C$21+Projects!$D$21),Projects!$B$21*INDEX(Curves!$B$4:$AR$4,1,101-Projects!$C$21+1),0)+IF(AND(Projects!$G$22="Yes",Projects!$M$22="Yes",101&gt;=Projects!$C$22,101&lt;Projects!$C$22+Projects!$D$22),Projects!$B$22*INDEX(Curves!$B$4:$AR$4,1,101-Projects!$C$22+1),0)+IF(AND(Projects!$G$23="Yes",Projects!$M$23="Yes",101&gt;=Projects!$C$23,101&lt;Projects!$C$23+Projects!$D$23),Projects!$B$23*INDEX(Curves!$B$4:$AR$4,1,101-Projects!$C$23+1),0)+IF(AND(Projects!$G$24="Yes",Projects!$M$24="Yes",101&gt;=Projects!$C$24,101&lt;Projects!$C$24+Projects!$D$24),Projects!$B$24*INDEX(Curves!$B$4:$AR$4,1,101-Projects!$C$24+1),0)+IF(AND(Projects!$G$25="Yes",Projects!$M$25="Yes",101&gt;=Projects!$C$25,101&lt;Projects!$C$25+Projects!$D$25),Projects!$B$25*INDEX(Curves!$B$4:$AR$4,1,101-Projects!$C$25+1),0)+IF(AND(Projects!$G$26="Yes",Projects!$M$26="Yes",101&gt;=Projects!$C$26,101&lt;Projects!$C$26+Projects!$D$26),Projects!$B$26*INDEX(Curves!$B$4:$AR$4,1,101-Projects!$C$26+1),0)+IF(AND(Projects!$G$27="Yes",Projects!$M$27="Yes",101&gt;=Projects!$C$27,101&lt;Projects!$C$27+Projects!$D$27),Projects!$B$27*INDEX(Curves!$B$4:$AR$4,1,101-Projects!$C$27+1),0)+IF(AND(Projects!$G$28="Yes",Projects!$M$28="Yes",101&gt;=Projects!$C$28,101&lt;Projects!$C$28+Projects!$D$28),Projects!$B$28*INDEX(Curves!$B$4:$AR$4,1,101-Projects!$C$28+1),0)+IF(AND(Projects!$G$29="Yes",Projects!$M$29="Yes",101&gt;=Projects!$C$29,101&lt;Projects!$C$29+Projects!$D$29),Projects!$B$29*INDEX(Curves!$B$4:$AR$4,1,101-Projects!$C$29+1),0)+IF(AND(Projects!$G$30="Yes",Projects!$M$30="Yes",101&gt;=Projects!$C$30,101&lt;Projects!$C$30+Projects!$D$30),Projects!$B$30*INDEX(Curves!$B$4:$AR$4,1,101-Projects!$C$30+1),0)+IF(AND(Projects!$G$31="Yes",Projects!$M$31="Yes",101&gt;=Projects!$C$31,101&lt;Projects!$C$31+Projects!$D$31),Projects!$B$31*INDEX(Curves!$B$4:$AR$4,1,101-Projects!$C$31+1),0)+IF(AND(Projects!$G$32="Yes",Projects!$M$32="Yes",101&gt;=Projects!$C$32,101&lt;Projects!$C$32+Projects!$D$32),Projects!$B$32*INDEX(Curves!$B$4:$AR$4,1,101-Projects!$C$32+1),0)+IF(AND(Projects!$G$33="Yes",Projects!$M$33="Yes",101&gt;=Projects!$C$33,101&lt;Projects!$C$33+Projects!$D$33),Projects!$B$33*INDEX(Curves!$B$4:$AR$4,1,101-Projects!$C$33+1),0)+IF(AND(Projects!$G$34="Yes",Projects!$M$34="Yes",101&gt;=Projects!$C$34,101&lt;Projects!$C$34+Projects!$D$34),Projects!$B$34*INDEX(Curves!$B$4:$AR$4,1,101-Projects!$C$34+1),0)+IF(AND(Projects!$G$35="Yes",Projects!$M$35="Yes",101&gt;=Projects!$C$35,101&lt;Projects!$C$35+Projects!$D$35),Projects!$B$35*INDEX(Curves!$B$4:$AR$4,1,101-Projects!$C$35+1),0)+IF(AND(Projects!$G$36="Yes",Projects!$M$36="Yes",101&gt;=Projects!$C$36,101&lt;Projects!$C$36+Projects!$D$36),Projects!$B$36*INDEX(Curves!$B$4:$AR$4,1,101-Projects!$C$36+1),0)+IF(AND(Projects!$G$37="Yes",Projects!$M$37="Yes",101&gt;=Projects!$C$37,101&lt;Projects!$C$37+Projects!$D$37),Projects!$B$37*INDEX(Curves!$B$4:$AR$4,1,101-Projects!$C$37+1),0)+IF(AND(Projects!$G$38="Yes",Projects!$M$38="Yes",101&gt;=Projects!$C$38,101&lt;Projects!$C$38+Projects!$D$38),Projects!$B$38*INDEX(Curves!$B$4:$AR$4,1,101-Projects!$C$38+1),0)+IF(AND(Projects!$G$39="Yes",Projects!$M$39="Yes",101&gt;=Projects!$C$39,101&lt;Projects!$C$39+Projects!$D$39),Projects!$B$39*INDEX(Curves!$B$4:$AR$4,1,101-Projects!$C$39+1),0)+IF(AND(Projects!$G$40="Yes",Projects!$M$40="Yes",101&gt;=Projects!$C$40,101&lt;Projects!$C$40+Projects!$D$40),Projects!$B$40*INDEX(Curves!$B$4:$AR$4,1,101-Projects!$C$40+1),0)+IF(AND(Projects!$G$41="Yes",Projects!$M$41="Yes",101&gt;=Projects!$C$41,101&lt;Projects!$C$41+Projects!$D$41),Projects!$B$41*INDEX(Curves!$B$4:$AR$4,1,101-Projects!$C$41+1),0)+IF(AND(Projects!$G$42="Yes",Projects!$M$42="Yes",101&gt;=Projects!$C$42,101&lt;Projects!$C$42+Projects!$D$42),Projects!$B$42*INDEX(Curves!$B$4:$AR$4,1,101-Projects!$C$42+1),0)+IF(AND(Projects!$G$43="Yes",Projects!$M$43="Yes",101&gt;=Projects!$C$43,101&lt;Projects!$C$43+Projects!$D$43),Projects!$B$43*INDEX(Curves!$B$4:$AR$4,1,101-Projects!$C$43+1),0)+IF(AND(Projects!$G$44="Yes",Projects!$M$44="Yes",101&gt;=Projects!$C$44,101&lt;Projects!$C$44+Projects!$D$44),Projects!$B$44*INDEX(Curves!$B$4:$AR$4,1,101-Projects!$C$44+1),0)+IF(AND(Projects!$G$45="Yes",Projects!$M$45="Yes",101&gt;=Projects!$C$45,101&lt;Projects!$C$45+Projects!$D$45),Projects!$B$45*INDEX(Curves!$B$4:$AR$4,1,101-Projects!$C$45+1),0)+IF(AND(Projects!$G$46="Yes",Projects!$M$46="Yes",101&gt;=Projects!$C$46,101&lt;Projects!$C$46+Projects!$D$46),Projects!$B$46*INDEX(Curves!$B$4:$AR$4,1,101-Projects!$C$46+1),0)</f>
        <v/>
      </c>
      <c r="DC101" s="691">
        <f>IF(AND(Projects!$G$17="Yes",Projects!$M$17="Yes",102&gt;=Projects!$C$17,102&lt;Projects!$C$17+Projects!$D$17),Projects!$B$17*INDEX(Curves!$B$4:$AR$4,1,102-Projects!$C$17+1),0)+IF(AND(Projects!$G$18="Yes",Projects!$M$18="Yes",102&gt;=Projects!$C$18,102&lt;Projects!$C$18+Projects!$D$18),Projects!$B$18*INDEX(Curves!$B$4:$AR$4,1,102-Projects!$C$18+1),0)+IF(AND(Projects!$G$19="Yes",Projects!$M$19="Yes",102&gt;=Projects!$C$19,102&lt;Projects!$C$19+Projects!$D$19),Projects!$B$19*INDEX(Curves!$B$4:$AR$4,1,102-Projects!$C$19+1),0)+IF(AND(Projects!$G$20="Yes",Projects!$M$20="Yes",102&gt;=Projects!$C$20,102&lt;Projects!$C$20+Projects!$D$20),Projects!$B$20*INDEX(Curves!$B$4:$AR$4,1,102-Projects!$C$20+1),0)+IF(AND(Projects!$G$21="Yes",Projects!$M$21="Yes",102&gt;=Projects!$C$21,102&lt;Projects!$C$21+Projects!$D$21),Projects!$B$21*INDEX(Curves!$B$4:$AR$4,1,102-Projects!$C$21+1),0)+IF(AND(Projects!$G$22="Yes",Projects!$M$22="Yes",102&gt;=Projects!$C$22,102&lt;Projects!$C$22+Projects!$D$22),Projects!$B$22*INDEX(Curves!$B$4:$AR$4,1,102-Projects!$C$22+1),0)+IF(AND(Projects!$G$23="Yes",Projects!$M$23="Yes",102&gt;=Projects!$C$23,102&lt;Projects!$C$23+Projects!$D$23),Projects!$B$23*INDEX(Curves!$B$4:$AR$4,1,102-Projects!$C$23+1),0)+IF(AND(Projects!$G$24="Yes",Projects!$M$24="Yes",102&gt;=Projects!$C$24,102&lt;Projects!$C$24+Projects!$D$24),Projects!$B$24*INDEX(Curves!$B$4:$AR$4,1,102-Projects!$C$24+1),0)+IF(AND(Projects!$G$25="Yes",Projects!$M$25="Yes",102&gt;=Projects!$C$25,102&lt;Projects!$C$25+Projects!$D$25),Projects!$B$25*INDEX(Curves!$B$4:$AR$4,1,102-Projects!$C$25+1),0)+IF(AND(Projects!$G$26="Yes",Projects!$M$26="Yes",102&gt;=Projects!$C$26,102&lt;Projects!$C$26+Projects!$D$26),Projects!$B$26*INDEX(Curves!$B$4:$AR$4,1,102-Projects!$C$26+1),0)+IF(AND(Projects!$G$27="Yes",Projects!$M$27="Yes",102&gt;=Projects!$C$27,102&lt;Projects!$C$27+Projects!$D$27),Projects!$B$27*INDEX(Curves!$B$4:$AR$4,1,102-Projects!$C$27+1),0)+IF(AND(Projects!$G$28="Yes",Projects!$M$28="Yes",102&gt;=Projects!$C$28,102&lt;Projects!$C$28+Projects!$D$28),Projects!$B$28*INDEX(Curves!$B$4:$AR$4,1,102-Projects!$C$28+1),0)+IF(AND(Projects!$G$29="Yes",Projects!$M$29="Yes",102&gt;=Projects!$C$29,102&lt;Projects!$C$29+Projects!$D$29),Projects!$B$29*INDEX(Curves!$B$4:$AR$4,1,102-Projects!$C$29+1),0)+IF(AND(Projects!$G$30="Yes",Projects!$M$30="Yes",102&gt;=Projects!$C$30,102&lt;Projects!$C$30+Projects!$D$30),Projects!$B$30*INDEX(Curves!$B$4:$AR$4,1,102-Projects!$C$30+1),0)+IF(AND(Projects!$G$31="Yes",Projects!$M$31="Yes",102&gt;=Projects!$C$31,102&lt;Projects!$C$31+Projects!$D$31),Projects!$B$31*INDEX(Curves!$B$4:$AR$4,1,102-Projects!$C$31+1),0)+IF(AND(Projects!$G$32="Yes",Projects!$M$32="Yes",102&gt;=Projects!$C$32,102&lt;Projects!$C$32+Projects!$D$32),Projects!$B$32*INDEX(Curves!$B$4:$AR$4,1,102-Projects!$C$32+1),0)+IF(AND(Projects!$G$33="Yes",Projects!$M$33="Yes",102&gt;=Projects!$C$33,102&lt;Projects!$C$33+Projects!$D$33),Projects!$B$33*INDEX(Curves!$B$4:$AR$4,1,102-Projects!$C$33+1),0)+IF(AND(Projects!$G$34="Yes",Projects!$M$34="Yes",102&gt;=Projects!$C$34,102&lt;Projects!$C$34+Projects!$D$34),Projects!$B$34*INDEX(Curves!$B$4:$AR$4,1,102-Projects!$C$34+1),0)+IF(AND(Projects!$G$35="Yes",Projects!$M$35="Yes",102&gt;=Projects!$C$35,102&lt;Projects!$C$35+Projects!$D$35),Projects!$B$35*INDEX(Curves!$B$4:$AR$4,1,102-Projects!$C$35+1),0)+IF(AND(Projects!$G$36="Yes",Projects!$M$36="Yes",102&gt;=Projects!$C$36,102&lt;Projects!$C$36+Projects!$D$36),Projects!$B$36*INDEX(Curves!$B$4:$AR$4,1,102-Projects!$C$36+1),0)+IF(AND(Projects!$G$37="Yes",Projects!$M$37="Yes",102&gt;=Projects!$C$37,102&lt;Projects!$C$37+Projects!$D$37),Projects!$B$37*INDEX(Curves!$B$4:$AR$4,1,102-Projects!$C$37+1),0)+IF(AND(Projects!$G$38="Yes",Projects!$M$38="Yes",102&gt;=Projects!$C$38,102&lt;Projects!$C$38+Projects!$D$38),Projects!$B$38*INDEX(Curves!$B$4:$AR$4,1,102-Projects!$C$38+1),0)+IF(AND(Projects!$G$39="Yes",Projects!$M$39="Yes",102&gt;=Projects!$C$39,102&lt;Projects!$C$39+Projects!$D$39),Projects!$B$39*INDEX(Curves!$B$4:$AR$4,1,102-Projects!$C$39+1),0)+IF(AND(Projects!$G$40="Yes",Projects!$M$40="Yes",102&gt;=Projects!$C$40,102&lt;Projects!$C$40+Projects!$D$40),Projects!$B$40*INDEX(Curves!$B$4:$AR$4,1,102-Projects!$C$40+1),0)+IF(AND(Projects!$G$41="Yes",Projects!$M$41="Yes",102&gt;=Projects!$C$41,102&lt;Projects!$C$41+Projects!$D$41),Projects!$B$41*INDEX(Curves!$B$4:$AR$4,1,102-Projects!$C$41+1),0)+IF(AND(Projects!$G$42="Yes",Projects!$M$42="Yes",102&gt;=Projects!$C$42,102&lt;Projects!$C$42+Projects!$D$42),Projects!$B$42*INDEX(Curves!$B$4:$AR$4,1,102-Projects!$C$42+1),0)+IF(AND(Projects!$G$43="Yes",Projects!$M$43="Yes",102&gt;=Projects!$C$43,102&lt;Projects!$C$43+Projects!$D$43),Projects!$B$43*INDEX(Curves!$B$4:$AR$4,1,102-Projects!$C$43+1),0)+IF(AND(Projects!$G$44="Yes",Projects!$M$44="Yes",102&gt;=Projects!$C$44,102&lt;Projects!$C$44+Projects!$D$44),Projects!$B$44*INDEX(Curves!$B$4:$AR$4,1,102-Projects!$C$44+1),0)+IF(AND(Projects!$G$45="Yes",Projects!$M$45="Yes",102&gt;=Projects!$C$45,102&lt;Projects!$C$45+Projects!$D$45),Projects!$B$45*INDEX(Curves!$B$4:$AR$4,1,102-Projects!$C$45+1),0)+IF(AND(Projects!$G$46="Yes",Projects!$M$46="Yes",102&gt;=Projects!$C$46,102&lt;Projects!$C$46+Projects!$D$46),Projects!$B$46*INDEX(Curves!$B$4:$AR$4,1,102-Projects!$C$46+1),0)</f>
        <v/>
      </c>
      <c r="DD101" s="691">
        <f>IF(AND(Projects!$G$17="Yes",Projects!$M$17="Yes",103&gt;=Projects!$C$17,103&lt;Projects!$C$17+Projects!$D$17),Projects!$B$17*INDEX(Curves!$B$4:$AR$4,1,103-Projects!$C$17+1),0)+IF(AND(Projects!$G$18="Yes",Projects!$M$18="Yes",103&gt;=Projects!$C$18,103&lt;Projects!$C$18+Projects!$D$18),Projects!$B$18*INDEX(Curves!$B$4:$AR$4,1,103-Projects!$C$18+1),0)+IF(AND(Projects!$G$19="Yes",Projects!$M$19="Yes",103&gt;=Projects!$C$19,103&lt;Projects!$C$19+Projects!$D$19),Projects!$B$19*INDEX(Curves!$B$4:$AR$4,1,103-Projects!$C$19+1),0)+IF(AND(Projects!$G$20="Yes",Projects!$M$20="Yes",103&gt;=Projects!$C$20,103&lt;Projects!$C$20+Projects!$D$20),Projects!$B$20*INDEX(Curves!$B$4:$AR$4,1,103-Projects!$C$20+1),0)+IF(AND(Projects!$G$21="Yes",Projects!$M$21="Yes",103&gt;=Projects!$C$21,103&lt;Projects!$C$21+Projects!$D$21),Projects!$B$21*INDEX(Curves!$B$4:$AR$4,1,103-Projects!$C$21+1),0)+IF(AND(Projects!$G$22="Yes",Projects!$M$22="Yes",103&gt;=Projects!$C$22,103&lt;Projects!$C$22+Projects!$D$22),Projects!$B$22*INDEX(Curves!$B$4:$AR$4,1,103-Projects!$C$22+1),0)+IF(AND(Projects!$G$23="Yes",Projects!$M$23="Yes",103&gt;=Projects!$C$23,103&lt;Projects!$C$23+Projects!$D$23),Projects!$B$23*INDEX(Curves!$B$4:$AR$4,1,103-Projects!$C$23+1),0)+IF(AND(Projects!$G$24="Yes",Projects!$M$24="Yes",103&gt;=Projects!$C$24,103&lt;Projects!$C$24+Projects!$D$24),Projects!$B$24*INDEX(Curves!$B$4:$AR$4,1,103-Projects!$C$24+1),0)+IF(AND(Projects!$G$25="Yes",Projects!$M$25="Yes",103&gt;=Projects!$C$25,103&lt;Projects!$C$25+Projects!$D$25),Projects!$B$25*INDEX(Curves!$B$4:$AR$4,1,103-Projects!$C$25+1),0)+IF(AND(Projects!$G$26="Yes",Projects!$M$26="Yes",103&gt;=Projects!$C$26,103&lt;Projects!$C$26+Projects!$D$26),Projects!$B$26*INDEX(Curves!$B$4:$AR$4,1,103-Projects!$C$26+1),0)+IF(AND(Projects!$G$27="Yes",Projects!$M$27="Yes",103&gt;=Projects!$C$27,103&lt;Projects!$C$27+Projects!$D$27),Projects!$B$27*INDEX(Curves!$B$4:$AR$4,1,103-Projects!$C$27+1),0)+IF(AND(Projects!$G$28="Yes",Projects!$M$28="Yes",103&gt;=Projects!$C$28,103&lt;Projects!$C$28+Projects!$D$28),Projects!$B$28*INDEX(Curves!$B$4:$AR$4,1,103-Projects!$C$28+1),0)+IF(AND(Projects!$G$29="Yes",Projects!$M$29="Yes",103&gt;=Projects!$C$29,103&lt;Projects!$C$29+Projects!$D$29),Projects!$B$29*INDEX(Curves!$B$4:$AR$4,1,103-Projects!$C$29+1),0)+IF(AND(Projects!$G$30="Yes",Projects!$M$30="Yes",103&gt;=Projects!$C$30,103&lt;Projects!$C$30+Projects!$D$30),Projects!$B$30*INDEX(Curves!$B$4:$AR$4,1,103-Projects!$C$30+1),0)+IF(AND(Projects!$G$31="Yes",Projects!$M$31="Yes",103&gt;=Projects!$C$31,103&lt;Projects!$C$31+Projects!$D$31),Projects!$B$31*INDEX(Curves!$B$4:$AR$4,1,103-Projects!$C$31+1),0)+IF(AND(Projects!$G$32="Yes",Projects!$M$32="Yes",103&gt;=Projects!$C$32,103&lt;Projects!$C$32+Projects!$D$32),Projects!$B$32*INDEX(Curves!$B$4:$AR$4,1,103-Projects!$C$32+1),0)+IF(AND(Projects!$G$33="Yes",Projects!$M$33="Yes",103&gt;=Projects!$C$33,103&lt;Projects!$C$33+Projects!$D$33),Projects!$B$33*INDEX(Curves!$B$4:$AR$4,1,103-Projects!$C$33+1),0)+IF(AND(Projects!$G$34="Yes",Projects!$M$34="Yes",103&gt;=Projects!$C$34,103&lt;Projects!$C$34+Projects!$D$34),Projects!$B$34*INDEX(Curves!$B$4:$AR$4,1,103-Projects!$C$34+1),0)+IF(AND(Projects!$G$35="Yes",Projects!$M$35="Yes",103&gt;=Projects!$C$35,103&lt;Projects!$C$35+Projects!$D$35),Projects!$B$35*INDEX(Curves!$B$4:$AR$4,1,103-Projects!$C$35+1),0)+IF(AND(Projects!$G$36="Yes",Projects!$M$36="Yes",103&gt;=Projects!$C$36,103&lt;Projects!$C$36+Projects!$D$36),Projects!$B$36*INDEX(Curves!$B$4:$AR$4,1,103-Projects!$C$36+1),0)+IF(AND(Projects!$G$37="Yes",Projects!$M$37="Yes",103&gt;=Projects!$C$37,103&lt;Projects!$C$37+Projects!$D$37),Projects!$B$37*INDEX(Curves!$B$4:$AR$4,1,103-Projects!$C$37+1),0)+IF(AND(Projects!$G$38="Yes",Projects!$M$38="Yes",103&gt;=Projects!$C$38,103&lt;Projects!$C$38+Projects!$D$38),Projects!$B$38*INDEX(Curves!$B$4:$AR$4,1,103-Projects!$C$38+1),0)+IF(AND(Projects!$G$39="Yes",Projects!$M$39="Yes",103&gt;=Projects!$C$39,103&lt;Projects!$C$39+Projects!$D$39),Projects!$B$39*INDEX(Curves!$B$4:$AR$4,1,103-Projects!$C$39+1),0)+IF(AND(Projects!$G$40="Yes",Projects!$M$40="Yes",103&gt;=Projects!$C$40,103&lt;Projects!$C$40+Projects!$D$40),Projects!$B$40*INDEX(Curves!$B$4:$AR$4,1,103-Projects!$C$40+1),0)+IF(AND(Projects!$G$41="Yes",Projects!$M$41="Yes",103&gt;=Projects!$C$41,103&lt;Projects!$C$41+Projects!$D$41),Projects!$B$41*INDEX(Curves!$B$4:$AR$4,1,103-Projects!$C$41+1),0)+IF(AND(Projects!$G$42="Yes",Projects!$M$42="Yes",103&gt;=Projects!$C$42,103&lt;Projects!$C$42+Projects!$D$42),Projects!$B$42*INDEX(Curves!$B$4:$AR$4,1,103-Projects!$C$42+1),0)+IF(AND(Projects!$G$43="Yes",Projects!$M$43="Yes",103&gt;=Projects!$C$43,103&lt;Projects!$C$43+Projects!$D$43),Projects!$B$43*INDEX(Curves!$B$4:$AR$4,1,103-Projects!$C$43+1),0)+IF(AND(Projects!$G$44="Yes",Projects!$M$44="Yes",103&gt;=Projects!$C$44,103&lt;Projects!$C$44+Projects!$D$44),Projects!$B$44*INDEX(Curves!$B$4:$AR$4,1,103-Projects!$C$44+1),0)+IF(AND(Projects!$G$45="Yes",Projects!$M$45="Yes",103&gt;=Projects!$C$45,103&lt;Projects!$C$45+Projects!$D$45),Projects!$B$45*INDEX(Curves!$B$4:$AR$4,1,103-Projects!$C$45+1),0)+IF(AND(Projects!$G$46="Yes",Projects!$M$46="Yes",103&gt;=Projects!$C$46,103&lt;Projects!$C$46+Projects!$D$46),Projects!$B$46*INDEX(Curves!$B$4:$AR$4,1,103-Projects!$C$46+1),0)</f>
        <v/>
      </c>
      <c r="DE101" s="691">
        <f>IF(AND(Projects!$G$17="Yes",Projects!$M$17="Yes",104&gt;=Projects!$C$17,104&lt;Projects!$C$17+Projects!$D$17),Projects!$B$17*INDEX(Curves!$B$4:$AR$4,1,104-Projects!$C$17+1),0)+IF(AND(Projects!$G$18="Yes",Projects!$M$18="Yes",104&gt;=Projects!$C$18,104&lt;Projects!$C$18+Projects!$D$18),Projects!$B$18*INDEX(Curves!$B$4:$AR$4,1,104-Projects!$C$18+1),0)+IF(AND(Projects!$G$19="Yes",Projects!$M$19="Yes",104&gt;=Projects!$C$19,104&lt;Projects!$C$19+Projects!$D$19),Projects!$B$19*INDEX(Curves!$B$4:$AR$4,1,104-Projects!$C$19+1),0)+IF(AND(Projects!$G$20="Yes",Projects!$M$20="Yes",104&gt;=Projects!$C$20,104&lt;Projects!$C$20+Projects!$D$20),Projects!$B$20*INDEX(Curves!$B$4:$AR$4,1,104-Projects!$C$20+1),0)+IF(AND(Projects!$G$21="Yes",Projects!$M$21="Yes",104&gt;=Projects!$C$21,104&lt;Projects!$C$21+Projects!$D$21),Projects!$B$21*INDEX(Curves!$B$4:$AR$4,1,104-Projects!$C$21+1),0)+IF(AND(Projects!$G$22="Yes",Projects!$M$22="Yes",104&gt;=Projects!$C$22,104&lt;Projects!$C$22+Projects!$D$22),Projects!$B$22*INDEX(Curves!$B$4:$AR$4,1,104-Projects!$C$22+1),0)+IF(AND(Projects!$G$23="Yes",Projects!$M$23="Yes",104&gt;=Projects!$C$23,104&lt;Projects!$C$23+Projects!$D$23),Projects!$B$23*INDEX(Curves!$B$4:$AR$4,1,104-Projects!$C$23+1),0)+IF(AND(Projects!$G$24="Yes",Projects!$M$24="Yes",104&gt;=Projects!$C$24,104&lt;Projects!$C$24+Projects!$D$24),Projects!$B$24*INDEX(Curves!$B$4:$AR$4,1,104-Projects!$C$24+1),0)+IF(AND(Projects!$G$25="Yes",Projects!$M$25="Yes",104&gt;=Projects!$C$25,104&lt;Projects!$C$25+Projects!$D$25),Projects!$B$25*INDEX(Curves!$B$4:$AR$4,1,104-Projects!$C$25+1),0)+IF(AND(Projects!$G$26="Yes",Projects!$M$26="Yes",104&gt;=Projects!$C$26,104&lt;Projects!$C$26+Projects!$D$26),Projects!$B$26*INDEX(Curves!$B$4:$AR$4,1,104-Projects!$C$26+1),0)+IF(AND(Projects!$G$27="Yes",Projects!$M$27="Yes",104&gt;=Projects!$C$27,104&lt;Projects!$C$27+Projects!$D$27),Projects!$B$27*INDEX(Curves!$B$4:$AR$4,1,104-Projects!$C$27+1),0)+IF(AND(Projects!$G$28="Yes",Projects!$M$28="Yes",104&gt;=Projects!$C$28,104&lt;Projects!$C$28+Projects!$D$28),Projects!$B$28*INDEX(Curves!$B$4:$AR$4,1,104-Projects!$C$28+1),0)+IF(AND(Projects!$G$29="Yes",Projects!$M$29="Yes",104&gt;=Projects!$C$29,104&lt;Projects!$C$29+Projects!$D$29),Projects!$B$29*INDEX(Curves!$B$4:$AR$4,1,104-Projects!$C$29+1),0)+IF(AND(Projects!$G$30="Yes",Projects!$M$30="Yes",104&gt;=Projects!$C$30,104&lt;Projects!$C$30+Projects!$D$30),Projects!$B$30*INDEX(Curves!$B$4:$AR$4,1,104-Projects!$C$30+1),0)+IF(AND(Projects!$G$31="Yes",Projects!$M$31="Yes",104&gt;=Projects!$C$31,104&lt;Projects!$C$31+Projects!$D$31),Projects!$B$31*INDEX(Curves!$B$4:$AR$4,1,104-Projects!$C$31+1),0)+IF(AND(Projects!$G$32="Yes",Projects!$M$32="Yes",104&gt;=Projects!$C$32,104&lt;Projects!$C$32+Projects!$D$32),Projects!$B$32*INDEX(Curves!$B$4:$AR$4,1,104-Projects!$C$32+1),0)+IF(AND(Projects!$G$33="Yes",Projects!$M$33="Yes",104&gt;=Projects!$C$33,104&lt;Projects!$C$33+Projects!$D$33),Projects!$B$33*INDEX(Curves!$B$4:$AR$4,1,104-Projects!$C$33+1),0)+IF(AND(Projects!$G$34="Yes",Projects!$M$34="Yes",104&gt;=Projects!$C$34,104&lt;Projects!$C$34+Projects!$D$34),Projects!$B$34*INDEX(Curves!$B$4:$AR$4,1,104-Projects!$C$34+1),0)+IF(AND(Projects!$G$35="Yes",Projects!$M$35="Yes",104&gt;=Projects!$C$35,104&lt;Projects!$C$35+Projects!$D$35),Projects!$B$35*INDEX(Curves!$B$4:$AR$4,1,104-Projects!$C$35+1),0)+IF(AND(Projects!$G$36="Yes",Projects!$M$36="Yes",104&gt;=Projects!$C$36,104&lt;Projects!$C$36+Projects!$D$36),Projects!$B$36*INDEX(Curves!$B$4:$AR$4,1,104-Projects!$C$36+1),0)+IF(AND(Projects!$G$37="Yes",Projects!$M$37="Yes",104&gt;=Projects!$C$37,104&lt;Projects!$C$37+Projects!$D$37),Projects!$B$37*INDEX(Curves!$B$4:$AR$4,1,104-Projects!$C$37+1),0)+IF(AND(Projects!$G$38="Yes",Projects!$M$38="Yes",104&gt;=Projects!$C$38,104&lt;Projects!$C$38+Projects!$D$38),Projects!$B$38*INDEX(Curves!$B$4:$AR$4,1,104-Projects!$C$38+1),0)+IF(AND(Projects!$G$39="Yes",Projects!$M$39="Yes",104&gt;=Projects!$C$39,104&lt;Projects!$C$39+Projects!$D$39),Projects!$B$39*INDEX(Curves!$B$4:$AR$4,1,104-Projects!$C$39+1),0)+IF(AND(Projects!$G$40="Yes",Projects!$M$40="Yes",104&gt;=Projects!$C$40,104&lt;Projects!$C$40+Projects!$D$40),Projects!$B$40*INDEX(Curves!$B$4:$AR$4,1,104-Projects!$C$40+1),0)+IF(AND(Projects!$G$41="Yes",Projects!$M$41="Yes",104&gt;=Projects!$C$41,104&lt;Projects!$C$41+Projects!$D$41),Projects!$B$41*INDEX(Curves!$B$4:$AR$4,1,104-Projects!$C$41+1),0)+IF(AND(Projects!$G$42="Yes",Projects!$M$42="Yes",104&gt;=Projects!$C$42,104&lt;Projects!$C$42+Projects!$D$42),Projects!$B$42*INDEX(Curves!$B$4:$AR$4,1,104-Projects!$C$42+1),0)+IF(AND(Projects!$G$43="Yes",Projects!$M$43="Yes",104&gt;=Projects!$C$43,104&lt;Projects!$C$43+Projects!$D$43),Projects!$B$43*INDEX(Curves!$B$4:$AR$4,1,104-Projects!$C$43+1),0)+IF(AND(Projects!$G$44="Yes",Projects!$M$44="Yes",104&gt;=Projects!$C$44,104&lt;Projects!$C$44+Projects!$D$44),Projects!$B$44*INDEX(Curves!$B$4:$AR$4,1,104-Projects!$C$44+1),0)+IF(AND(Projects!$G$45="Yes",Projects!$M$45="Yes",104&gt;=Projects!$C$45,104&lt;Projects!$C$45+Projects!$D$45),Projects!$B$45*INDEX(Curves!$B$4:$AR$4,1,104-Projects!$C$45+1),0)+IF(AND(Projects!$G$46="Yes",Projects!$M$46="Yes",104&gt;=Projects!$C$46,104&lt;Projects!$C$46+Projects!$D$46),Projects!$B$46*INDEX(Curves!$B$4:$AR$4,1,104-Projects!$C$46+1),0)</f>
        <v/>
      </c>
      <c r="DF101" s="691">
        <f>IF(AND(Projects!$G$17="Yes",Projects!$M$17="Yes",105&gt;=Projects!$C$17,105&lt;Projects!$C$17+Projects!$D$17),Projects!$B$17*INDEX(Curves!$B$4:$AR$4,1,105-Projects!$C$17+1),0)+IF(AND(Projects!$G$18="Yes",Projects!$M$18="Yes",105&gt;=Projects!$C$18,105&lt;Projects!$C$18+Projects!$D$18),Projects!$B$18*INDEX(Curves!$B$4:$AR$4,1,105-Projects!$C$18+1),0)+IF(AND(Projects!$G$19="Yes",Projects!$M$19="Yes",105&gt;=Projects!$C$19,105&lt;Projects!$C$19+Projects!$D$19),Projects!$B$19*INDEX(Curves!$B$4:$AR$4,1,105-Projects!$C$19+1),0)+IF(AND(Projects!$G$20="Yes",Projects!$M$20="Yes",105&gt;=Projects!$C$20,105&lt;Projects!$C$20+Projects!$D$20),Projects!$B$20*INDEX(Curves!$B$4:$AR$4,1,105-Projects!$C$20+1),0)+IF(AND(Projects!$G$21="Yes",Projects!$M$21="Yes",105&gt;=Projects!$C$21,105&lt;Projects!$C$21+Projects!$D$21),Projects!$B$21*INDEX(Curves!$B$4:$AR$4,1,105-Projects!$C$21+1),0)+IF(AND(Projects!$G$22="Yes",Projects!$M$22="Yes",105&gt;=Projects!$C$22,105&lt;Projects!$C$22+Projects!$D$22),Projects!$B$22*INDEX(Curves!$B$4:$AR$4,1,105-Projects!$C$22+1),0)+IF(AND(Projects!$G$23="Yes",Projects!$M$23="Yes",105&gt;=Projects!$C$23,105&lt;Projects!$C$23+Projects!$D$23),Projects!$B$23*INDEX(Curves!$B$4:$AR$4,1,105-Projects!$C$23+1),0)+IF(AND(Projects!$G$24="Yes",Projects!$M$24="Yes",105&gt;=Projects!$C$24,105&lt;Projects!$C$24+Projects!$D$24),Projects!$B$24*INDEX(Curves!$B$4:$AR$4,1,105-Projects!$C$24+1),0)+IF(AND(Projects!$G$25="Yes",Projects!$M$25="Yes",105&gt;=Projects!$C$25,105&lt;Projects!$C$25+Projects!$D$25),Projects!$B$25*INDEX(Curves!$B$4:$AR$4,1,105-Projects!$C$25+1),0)+IF(AND(Projects!$G$26="Yes",Projects!$M$26="Yes",105&gt;=Projects!$C$26,105&lt;Projects!$C$26+Projects!$D$26),Projects!$B$26*INDEX(Curves!$B$4:$AR$4,1,105-Projects!$C$26+1),0)+IF(AND(Projects!$G$27="Yes",Projects!$M$27="Yes",105&gt;=Projects!$C$27,105&lt;Projects!$C$27+Projects!$D$27),Projects!$B$27*INDEX(Curves!$B$4:$AR$4,1,105-Projects!$C$27+1),0)+IF(AND(Projects!$G$28="Yes",Projects!$M$28="Yes",105&gt;=Projects!$C$28,105&lt;Projects!$C$28+Projects!$D$28),Projects!$B$28*INDEX(Curves!$B$4:$AR$4,1,105-Projects!$C$28+1),0)+IF(AND(Projects!$G$29="Yes",Projects!$M$29="Yes",105&gt;=Projects!$C$29,105&lt;Projects!$C$29+Projects!$D$29),Projects!$B$29*INDEX(Curves!$B$4:$AR$4,1,105-Projects!$C$29+1),0)+IF(AND(Projects!$G$30="Yes",Projects!$M$30="Yes",105&gt;=Projects!$C$30,105&lt;Projects!$C$30+Projects!$D$30),Projects!$B$30*INDEX(Curves!$B$4:$AR$4,1,105-Projects!$C$30+1),0)+IF(AND(Projects!$G$31="Yes",Projects!$M$31="Yes",105&gt;=Projects!$C$31,105&lt;Projects!$C$31+Projects!$D$31),Projects!$B$31*INDEX(Curves!$B$4:$AR$4,1,105-Projects!$C$31+1),0)+IF(AND(Projects!$G$32="Yes",Projects!$M$32="Yes",105&gt;=Projects!$C$32,105&lt;Projects!$C$32+Projects!$D$32),Projects!$B$32*INDEX(Curves!$B$4:$AR$4,1,105-Projects!$C$32+1),0)+IF(AND(Projects!$G$33="Yes",Projects!$M$33="Yes",105&gt;=Projects!$C$33,105&lt;Projects!$C$33+Projects!$D$33),Projects!$B$33*INDEX(Curves!$B$4:$AR$4,1,105-Projects!$C$33+1),0)+IF(AND(Projects!$G$34="Yes",Projects!$M$34="Yes",105&gt;=Projects!$C$34,105&lt;Projects!$C$34+Projects!$D$34),Projects!$B$34*INDEX(Curves!$B$4:$AR$4,1,105-Projects!$C$34+1),0)+IF(AND(Projects!$G$35="Yes",Projects!$M$35="Yes",105&gt;=Projects!$C$35,105&lt;Projects!$C$35+Projects!$D$35),Projects!$B$35*INDEX(Curves!$B$4:$AR$4,1,105-Projects!$C$35+1),0)+IF(AND(Projects!$G$36="Yes",Projects!$M$36="Yes",105&gt;=Projects!$C$36,105&lt;Projects!$C$36+Projects!$D$36),Projects!$B$36*INDEX(Curves!$B$4:$AR$4,1,105-Projects!$C$36+1),0)+IF(AND(Projects!$G$37="Yes",Projects!$M$37="Yes",105&gt;=Projects!$C$37,105&lt;Projects!$C$37+Projects!$D$37),Projects!$B$37*INDEX(Curves!$B$4:$AR$4,1,105-Projects!$C$37+1),0)+IF(AND(Projects!$G$38="Yes",Projects!$M$38="Yes",105&gt;=Projects!$C$38,105&lt;Projects!$C$38+Projects!$D$38),Projects!$B$38*INDEX(Curves!$B$4:$AR$4,1,105-Projects!$C$38+1),0)+IF(AND(Projects!$G$39="Yes",Projects!$M$39="Yes",105&gt;=Projects!$C$39,105&lt;Projects!$C$39+Projects!$D$39),Projects!$B$39*INDEX(Curves!$B$4:$AR$4,1,105-Projects!$C$39+1),0)+IF(AND(Projects!$G$40="Yes",Projects!$M$40="Yes",105&gt;=Projects!$C$40,105&lt;Projects!$C$40+Projects!$D$40),Projects!$B$40*INDEX(Curves!$B$4:$AR$4,1,105-Projects!$C$40+1),0)+IF(AND(Projects!$G$41="Yes",Projects!$M$41="Yes",105&gt;=Projects!$C$41,105&lt;Projects!$C$41+Projects!$D$41),Projects!$B$41*INDEX(Curves!$B$4:$AR$4,1,105-Projects!$C$41+1),0)+IF(AND(Projects!$G$42="Yes",Projects!$M$42="Yes",105&gt;=Projects!$C$42,105&lt;Projects!$C$42+Projects!$D$42),Projects!$B$42*INDEX(Curves!$B$4:$AR$4,1,105-Projects!$C$42+1),0)+IF(AND(Projects!$G$43="Yes",Projects!$M$43="Yes",105&gt;=Projects!$C$43,105&lt;Projects!$C$43+Projects!$D$43),Projects!$B$43*INDEX(Curves!$B$4:$AR$4,1,105-Projects!$C$43+1),0)+IF(AND(Projects!$G$44="Yes",Projects!$M$44="Yes",105&gt;=Projects!$C$44,105&lt;Projects!$C$44+Projects!$D$44),Projects!$B$44*INDEX(Curves!$B$4:$AR$4,1,105-Projects!$C$44+1),0)+IF(AND(Projects!$G$45="Yes",Projects!$M$45="Yes",105&gt;=Projects!$C$45,105&lt;Projects!$C$45+Projects!$D$45),Projects!$B$45*INDEX(Curves!$B$4:$AR$4,1,105-Projects!$C$45+1),0)+IF(AND(Projects!$G$46="Yes",Projects!$M$46="Yes",105&gt;=Projects!$C$46,105&lt;Projects!$C$46+Projects!$D$46),Projects!$B$46*INDEX(Curves!$B$4:$AR$4,1,105-Projects!$C$46+1),0)</f>
        <v/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2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4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30" customWidth="1" style="380" min="1" max="1"/>
    <col width="16" customWidth="1" style="380" min="2" max="4"/>
    <col width="12" customWidth="1" style="380" min="5" max="86"/>
  </cols>
  <sheetData>
    <row r="1" ht="15.75" customFormat="1" customHeight="1" s="380">
      <c r="A1" s="476" t="inlineStr">
        <is>
          <t>Project P&amp;L — Development Fee Income</t>
        </is>
      </c>
      <c r="B1" s="468" t="n"/>
      <c r="C1" s="468" t="n"/>
      <c r="D1" s="468" t="n"/>
      <c r="E1" s="468" t="n"/>
      <c r="F1" s="468" t="n"/>
      <c r="G1" s="468" t="n"/>
      <c r="H1" s="468" t="n"/>
      <c r="I1" s="468" t="n"/>
      <c r="J1" s="468" t="n"/>
      <c r="K1" s="468" t="n"/>
      <c r="L1" s="468" t="n"/>
      <c r="M1" s="468" t="n"/>
      <c r="N1" s="468" t="n"/>
      <c r="O1" s="468" t="n"/>
      <c r="P1" s="468" t="n"/>
      <c r="Q1" s="468" t="n"/>
      <c r="R1" s="468" t="n"/>
      <c r="S1" s="468" t="n"/>
      <c r="T1" s="468" t="n"/>
      <c r="U1" s="468" t="n"/>
      <c r="V1" s="468" t="n"/>
      <c r="W1" s="468" t="n"/>
      <c r="X1" s="468" t="n"/>
      <c r="Y1" s="468" t="n"/>
      <c r="Z1" s="468" t="n"/>
      <c r="AA1" s="468" t="n"/>
      <c r="AB1" s="468" t="n"/>
      <c r="AC1" s="468" t="n"/>
      <c r="AD1" s="468" t="n"/>
      <c r="AE1" s="468" t="n"/>
      <c r="AF1" s="468" t="n"/>
      <c r="AG1" s="468" t="n"/>
      <c r="AH1" s="468" t="n"/>
      <c r="AI1" s="468" t="n"/>
      <c r="AJ1" s="468" t="n"/>
      <c r="AK1" s="468" t="n"/>
      <c r="AL1" s="468" t="n"/>
      <c r="AM1" s="468" t="n"/>
      <c r="AN1" s="468" t="n"/>
      <c r="AO1" s="468" t="n"/>
      <c r="AP1" s="468" t="n"/>
      <c r="AQ1" s="468" t="n"/>
      <c r="AR1" s="468" t="n"/>
      <c r="AS1" s="468" t="n"/>
      <c r="AT1" s="468" t="n"/>
      <c r="AU1" s="468" t="n"/>
      <c r="AV1" s="468" t="n"/>
      <c r="AW1" s="468" t="n"/>
      <c r="AX1" s="468" t="n"/>
      <c r="AY1" s="468" t="n"/>
      <c r="AZ1" s="468" t="n"/>
      <c r="BA1" s="468" t="n"/>
      <c r="BB1" s="468" t="n"/>
      <c r="BC1" s="468" t="n"/>
      <c r="BD1" s="468" t="n"/>
      <c r="BE1" s="468" t="n"/>
      <c r="BF1" s="468" t="n"/>
      <c r="BG1" s="468" t="n"/>
      <c r="BH1" s="468" t="n"/>
      <c r="BI1" s="468" t="n"/>
      <c r="BJ1" s="468" t="n"/>
      <c r="BK1" s="468" t="n"/>
      <c r="BL1" s="468" t="n"/>
      <c r="BM1" s="468" t="n"/>
      <c r="BN1" s="468" t="n"/>
      <c r="BO1" s="468" t="n"/>
      <c r="BP1" s="468" t="n"/>
      <c r="BQ1" s="468" t="n"/>
      <c r="BR1" s="468" t="n"/>
      <c r="BS1" s="468" t="n"/>
      <c r="BT1" s="468" t="n"/>
      <c r="BU1" s="468" t="n"/>
      <c r="BV1" s="468" t="n"/>
      <c r="BW1" s="468" t="n"/>
      <c r="BX1" s="468" t="n"/>
      <c r="BY1" s="468" t="n"/>
      <c r="BZ1" s="468" t="n"/>
      <c r="CA1" s="468" t="n"/>
      <c r="CB1" s="468" t="n"/>
      <c r="CC1" s="468" t="n"/>
      <c r="CD1" s="468" t="n"/>
      <c r="CE1" s="468" t="n"/>
      <c r="CF1" s="468" t="n"/>
      <c r="CG1" s="468" t="n"/>
      <c r="CH1" s="468" t="n"/>
    </row>
    <row r="2" ht="15" customFormat="1" customHeight="1" s="380">
      <c r="A2" s="468" t="n"/>
      <c r="B2" s="468" t="n"/>
      <c r="C2" s="692" t="n"/>
      <c r="D2" s="692" t="n"/>
      <c r="E2" s="692" t="n"/>
      <c r="F2" s="692" t="n"/>
      <c r="G2" s="692" t="n"/>
      <c r="H2" s="692" t="n"/>
      <c r="I2" s="692" t="n"/>
      <c r="J2" s="692" t="n"/>
      <c r="K2" s="692" t="n"/>
      <c r="L2" s="692" t="n"/>
      <c r="M2" s="692" t="n"/>
      <c r="N2" s="692" t="n"/>
      <c r="O2" s="692" t="n"/>
      <c r="P2" s="692" t="n"/>
      <c r="Q2" s="692" t="n"/>
      <c r="R2" s="692" t="n"/>
      <c r="S2" s="692" t="n"/>
      <c r="T2" s="692" t="n"/>
      <c r="U2" s="692" t="n"/>
      <c r="V2" s="692" t="n"/>
      <c r="W2" s="692" t="n"/>
      <c r="X2" s="692" t="n"/>
      <c r="Y2" s="692" t="n"/>
      <c r="Z2" s="692" t="n"/>
      <c r="AA2" s="692" t="n"/>
      <c r="AB2" s="692" t="n"/>
      <c r="AC2" s="692" t="n"/>
      <c r="AD2" s="692" t="n"/>
      <c r="AE2" s="692" t="n"/>
      <c r="AF2" s="692" t="n"/>
      <c r="AG2" s="692" t="n"/>
      <c r="AH2" s="692" t="n"/>
      <c r="AI2" s="692" t="n"/>
      <c r="AJ2" s="692" t="n"/>
      <c r="AK2" s="692" t="n"/>
      <c r="AL2" s="692" t="n"/>
      <c r="AM2" s="692" t="n"/>
      <c r="AN2" s="692" t="n"/>
      <c r="AO2" s="692" t="n"/>
      <c r="AP2" s="692" t="n"/>
      <c r="AQ2" s="692" t="n"/>
      <c r="AR2" s="692" t="n"/>
      <c r="AS2" s="692" t="n"/>
      <c r="AT2" s="692" t="n"/>
      <c r="AU2" s="692" t="n"/>
      <c r="AV2" s="692" t="n"/>
      <c r="AW2" s="692" t="n"/>
      <c r="AX2" s="692" t="n"/>
      <c r="AY2" s="692" t="n"/>
      <c r="AZ2" s="692" t="n"/>
      <c r="BA2" s="692" t="n"/>
      <c r="BB2" s="692" t="n"/>
      <c r="BC2" s="692" t="n"/>
      <c r="BD2" s="692" t="n"/>
      <c r="BE2" s="692" t="n"/>
      <c r="BF2" s="692" t="n"/>
      <c r="BG2" s="692" t="n"/>
      <c r="BH2" s="692" t="n"/>
      <c r="BI2" s="692" t="n"/>
      <c r="BJ2" s="692" t="n"/>
      <c r="BK2" s="692" t="n"/>
      <c r="BL2" s="692" t="n"/>
      <c r="BM2" s="692" t="n"/>
      <c r="BN2" s="692" t="n"/>
      <c r="BO2" s="692" t="n"/>
      <c r="BP2" s="692" t="n"/>
      <c r="BQ2" s="692" t="n"/>
      <c r="BR2" s="692" t="n"/>
      <c r="BS2" s="692" t="n"/>
      <c r="BT2" s="692" t="n"/>
      <c r="BU2" s="692" t="n"/>
      <c r="BV2" s="692" t="n"/>
      <c r="BW2" s="692" t="n"/>
      <c r="BX2" s="692" t="n"/>
      <c r="BY2" s="692" t="n"/>
      <c r="BZ2" s="692" t="n"/>
      <c r="CA2" s="692" t="n"/>
      <c r="CB2" s="692" t="n"/>
      <c r="CC2" s="692" t="n"/>
      <c r="CD2" s="692" t="n"/>
      <c r="CE2" s="692" t="n"/>
      <c r="CF2" s="692" t="n"/>
      <c r="CG2" s="692" t="n"/>
      <c r="CH2" s="692" t="n"/>
    </row>
    <row r="3" ht="15" customFormat="1" customHeight="1" s="380">
      <c r="A3" s="693" t="n"/>
      <c r="B3" s="694" t="inlineStr">
        <is>
          <t>In-Model</t>
        </is>
      </c>
      <c r="C3" s="694" t="inlineStr">
        <is>
          <t>Post-Model</t>
        </is>
      </c>
      <c r="D3" s="694" t="inlineStr">
        <is>
          <t>Lifetime Total</t>
        </is>
      </c>
      <c r="E3" s="468" t="n"/>
      <c r="F3" s="468" t="n"/>
      <c r="G3" s="468" t="n"/>
      <c r="H3" s="468" t="n"/>
      <c r="I3" s="468" t="n"/>
      <c r="J3" s="468" t="n"/>
      <c r="K3" s="468" t="n"/>
      <c r="L3" s="468" t="n"/>
      <c r="M3" s="468" t="n"/>
      <c r="N3" s="468" t="n"/>
      <c r="O3" s="468" t="n"/>
      <c r="P3" s="468" t="n"/>
      <c r="Q3" s="468" t="n"/>
      <c r="R3" s="468" t="n"/>
      <c r="S3" s="468" t="n"/>
      <c r="T3" s="468" t="n"/>
      <c r="U3" s="468" t="n"/>
      <c r="V3" s="468" t="n"/>
      <c r="W3" s="468" t="n"/>
      <c r="X3" s="468" t="n"/>
      <c r="Y3" s="468" t="n"/>
      <c r="Z3" s="468" t="n"/>
      <c r="AA3" s="468" t="n"/>
      <c r="AB3" s="468" t="n"/>
      <c r="AC3" s="468" t="n"/>
      <c r="AD3" s="468" t="n"/>
      <c r="AE3" s="468" t="n"/>
      <c r="AF3" s="468" t="n"/>
      <c r="AG3" s="468" t="n"/>
      <c r="AH3" s="468" t="n"/>
      <c r="AI3" s="468" t="n"/>
      <c r="AJ3" s="468" t="n"/>
      <c r="AK3" s="468" t="n"/>
      <c r="AL3" s="468" t="n"/>
      <c r="AM3" s="468" t="n"/>
      <c r="AN3" s="468" t="n"/>
      <c r="AO3" s="468" t="n"/>
      <c r="AP3" s="468" t="n"/>
      <c r="AQ3" s="468" t="n"/>
      <c r="AR3" s="468" t="n"/>
      <c r="AS3" s="468" t="n"/>
      <c r="AT3" s="468" t="n"/>
      <c r="AU3" s="468" t="n"/>
      <c r="AV3" s="468" t="n"/>
      <c r="AW3" s="468" t="n"/>
      <c r="AX3" s="468" t="n"/>
      <c r="AY3" s="468" t="n"/>
      <c r="AZ3" s="468" t="n"/>
      <c r="BA3" s="468" t="n"/>
      <c r="BB3" s="468" t="n"/>
      <c r="BC3" s="468" t="n"/>
      <c r="BD3" s="468" t="n"/>
      <c r="BE3" s="468" t="n"/>
      <c r="BF3" s="468" t="n"/>
      <c r="BG3" s="468" t="n"/>
      <c r="BH3" s="468" t="n"/>
      <c r="BI3" s="468" t="n"/>
      <c r="BJ3" s="468" t="n"/>
      <c r="BK3" s="468" t="n"/>
      <c r="BL3" s="468" t="n"/>
      <c r="BM3" s="468" t="n"/>
      <c r="BN3" s="468" t="n"/>
      <c r="BO3" s="468" t="n"/>
      <c r="BP3" s="468" t="n"/>
      <c r="BQ3" s="468" t="n"/>
      <c r="BR3" s="468" t="n"/>
      <c r="BS3" s="468" t="n"/>
      <c r="BT3" s="468" t="n"/>
      <c r="BU3" s="468" t="n"/>
      <c r="BV3" s="468" t="n"/>
      <c r="BW3" s="468" t="n"/>
      <c r="BX3" s="468" t="n"/>
      <c r="BY3" s="468" t="n"/>
      <c r="BZ3" s="468" t="n"/>
      <c r="CA3" s="468" t="n"/>
      <c r="CB3" s="468" t="n"/>
      <c r="CC3" s="468" t="n"/>
      <c r="CD3" s="468" t="n"/>
      <c r="CE3" s="468" t="n"/>
      <c r="CF3" s="468" t="n"/>
      <c r="CG3" s="468" t="n"/>
      <c r="CH3" s="468" t="n"/>
    </row>
    <row r="4" ht="15" customFormat="1" customHeight="1" s="380">
      <c r="A4" s="468" t="n"/>
      <c r="B4" s="595" t="n"/>
      <c r="C4" s="595" t="n"/>
      <c r="D4" s="595" t="n"/>
      <c r="E4" s="468" t="n"/>
      <c r="F4" s="468" t="n"/>
      <c r="G4" s="468" t="n"/>
      <c r="H4" s="468" t="n"/>
      <c r="I4" s="468" t="n"/>
      <c r="J4" s="468" t="n"/>
      <c r="K4" s="468" t="n"/>
      <c r="L4" s="468" t="n"/>
      <c r="M4" s="468" t="n"/>
      <c r="N4" s="468" t="n"/>
      <c r="O4" s="468" t="n"/>
      <c r="P4" s="468" t="n"/>
      <c r="Q4" s="468" t="n"/>
      <c r="R4" s="468" t="n"/>
      <c r="S4" s="468" t="n"/>
      <c r="T4" s="468" t="n"/>
      <c r="U4" s="468" t="n"/>
      <c r="V4" s="468" t="n"/>
      <c r="W4" s="468" t="n"/>
      <c r="X4" s="468" t="n"/>
      <c r="Y4" s="468" t="n"/>
      <c r="Z4" s="468" t="n"/>
      <c r="AA4" s="468" t="n"/>
      <c r="AB4" s="468" t="n"/>
      <c r="AC4" s="468" t="n"/>
      <c r="AD4" s="468" t="n"/>
      <c r="AE4" s="468" t="n"/>
      <c r="AF4" s="468" t="n"/>
      <c r="AG4" s="468" t="n"/>
      <c r="AH4" s="468" t="n"/>
      <c r="AI4" s="468" t="n"/>
      <c r="AJ4" s="468" t="n"/>
      <c r="AK4" s="468" t="n"/>
      <c r="AL4" s="468" t="n"/>
      <c r="AM4" s="468" t="n"/>
      <c r="AN4" s="468" t="n"/>
      <c r="AO4" s="468" t="n"/>
      <c r="AP4" s="468" t="n"/>
      <c r="AQ4" s="468" t="n"/>
      <c r="AR4" s="468" t="n"/>
      <c r="AS4" s="468" t="n"/>
      <c r="AT4" s="468" t="n"/>
      <c r="AU4" s="468" t="n"/>
      <c r="AV4" s="468" t="n"/>
      <c r="AW4" s="468" t="n"/>
      <c r="AX4" s="468" t="n"/>
      <c r="AY4" s="468" t="n"/>
      <c r="AZ4" s="468" t="n"/>
      <c r="BA4" s="468" t="n"/>
      <c r="BB4" s="468" t="n"/>
      <c r="BC4" s="468" t="n"/>
      <c r="BD4" s="468" t="n"/>
      <c r="BE4" s="468" t="n"/>
      <c r="BF4" s="468" t="n"/>
      <c r="BG4" s="468" t="n"/>
      <c r="BH4" s="468" t="n"/>
      <c r="BI4" s="468" t="n"/>
      <c r="BJ4" s="468" t="n"/>
      <c r="BK4" s="468" t="n"/>
      <c r="BL4" s="468" t="n"/>
      <c r="BM4" s="468" t="n"/>
      <c r="BN4" s="468" t="n"/>
      <c r="BO4" s="468" t="n"/>
      <c r="BP4" s="468" t="n"/>
      <c r="BQ4" s="468" t="n"/>
      <c r="BR4" s="468" t="n"/>
      <c r="BS4" s="468" t="n"/>
      <c r="BT4" s="468" t="n"/>
      <c r="BU4" s="468" t="n"/>
      <c r="BV4" s="468" t="n"/>
      <c r="BW4" s="468" t="n"/>
      <c r="BX4" s="468" t="n"/>
      <c r="BY4" s="468" t="n"/>
      <c r="BZ4" s="468" t="n"/>
      <c r="CA4" s="468" t="n"/>
      <c r="CB4" s="468" t="n"/>
      <c r="CC4" s="468" t="n"/>
      <c r="CD4" s="468" t="n"/>
      <c r="CE4" s="468" t="n"/>
      <c r="CF4" s="468" t="n"/>
      <c r="CG4" s="468" t="n"/>
      <c r="CH4" s="468" t="n"/>
    </row>
    <row r="5" ht="15" customFormat="1" customHeight="1" s="380">
      <c r="A5" s="695" t="inlineStr">
        <is>
          <t>Francis</t>
        </is>
      </c>
      <c r="B5" s="696" t="n"/>
      <c r="C5" s="696" t="n"/>
      <c r="D5" s="696" t="n"/>
      <c r="E5" s="595" t="n"/>
      <c r="F5" s="595" t="n"/>
      <c r="G5" s="595" t="n"/>
      <c r="H5" s="595" t="n"/>
      <c r="I5" s="595" t="n"/>
      <c r="J5" s="595" t="n"/>
      <c r="K5" s="595" t="n"/>
      <c r="L5" s="595" t="n"/>
      <c r="M5" s="595" t="n"/>
      <c r="N5" s="595" t="n"/>
      <c r="O5" s="595" t="n"/>
      <c r="P5" s="595" t="n"/>
      <c r="Q5" s="595" t="n"/>
      <c r="R5" s="595" t="n"/>
      <c r="S5" s="595" t="n"/>
      <c r="T5" s="595" t="n"/>
      <c r="U5" s="595" t="n"/>
      <c r="V5" s="595" t="n"/>
      <c r="W5" s="595" t="n"/>
      <c r="X5" s="595" t="n"/>
      <c r="Y5" s="595" t="n"/>
      <c r="Z5" s="595" t="n"/>
      <c r="AA5" s="595" t="n"/>
      <c r="AB5" s="595" t="n"/>
      <c r="AC5" s="595" t="n"/>
      <c r="AD5" s="595" t="n"/>
      <c r="AE5" s="595" t="n"/>
      <c r="AF5" s="595" t="n"/>
      <c r="AG5" s="595" t="n"/>
      <c r="AH5" s="595" t="n"/>
      <c r="AI5" s="595" t="n"/>
      <c r="AJ5" s="595" t="n"/>
      <c r="AK5" s="595" t="n"/>
      <c r="AL5" s="595" t="n"/>
      <c r="AM5" s="595" t="n"/>
      <c r="AN5" s="595" t="n"/>
      <c r="AO5" s="595" t="n"/>
      <c r="AP5" s="595" t="n"/>
      <c r="AQ5" s="595" t="n"/>
      <c r="AR5" s="595" t="n"/>
      <c r="AS5" s="595" t="n"/>
      <c r="AT5" s="595" t="n"/>
      <c r="AU5" s="595" t="n"/>
      <c r="AV5" s="595" t="n"/>
      <c r="AW5" s="595" t="n"/>
      <c r="AX5" s="595" t="n"/>
      <c r="AY5" s="595" t="n"/>
      <c r="AZ5" s="595" t="n"/>
      <c r="BA5" s="595" t="n"/>
      <c r="BB5" s="595" t="n"/>
      <c r="BC5" s="595" t="n"/>
      <c r="BD5" s="595" t="n"/>
      <c r="BE5" s="595" t="n"/>
      <c r="BF5" s="595" t="n"/>
      <c r="BG5" s="595" t="n"/>
      <c r="BH5" s="595" t="n"/>
      <c r="BI5" s="595" t="n"/>
      <c r="BJ5" s="595" t="n"/>
      <c r="BK5" s="595" t="n"/>
      <c r="BL5" s="595" t="n"/>
      <c r="BM5" s="595" t="n"/>
      <c r="BN5" s="595" t="n"/>
      <c r="BO5" s="595" t="n"/>
      <c r="BP5" s="595" t="n"/>
      <c r="BQ5" s="595" t="n"/>
      <c r="BR5" s="595" t="n"/>
      <c r="BS5" s="595" t="n"/>
      <c r="BT5" s="595" t="n"/>
      <c r="BU5" s="595" t="n"/>
      <c r="BV5" s="595" t="n"/>
      <c r="BW5" s="595" t="n"/>
      <c r="BX5" s="595" t="n"/>
      <c r="BY5" s="595" t="n"/>
      <c r="BZ5" s="595" t="n"/>
      <c r="CA5" s="595" t="n"/>
      <c r="CB5" s="595" t="n"/>
      <c r="CC5" s="595" t="n"/>
      <c r="CD5" s="595" t="n"/>
      <c r="CE5" s="595" t="n"/>
      <c r="CF5" s="595" t="n"/>
      <c r="CG5" s="595" t="n"/>
      <c r="CH5" s="595" t="n"/>
    </row>
    <row r="6" ht="15" customFormat="1" customHeight="1" s="380">
      <c r="A6" s="697" t="inlineStr">
        <is>
          <t>LIHTC Revenue</t>
        </is>
      </c>
      <c r="B6" s="698">
        <f>SUM(Model!E164:CG164)</f>
        <v/>
      </c>
      <c r="C6" s="698">
        <f>Helpers!B47</f>
        <v/>
      </c>
      <c r="D6" s="698">
        <f>B6+C6</f>
        <v/>
      </c>
      <c r="E6" s="595" t="n"/>
      <c r="F6" s="595" t="n"/>
      <c r="G6" s="595" t="n"/>
      <c r="H6" s="595" t="n"/>
      <c r="I6" s="595" t="n"/>
      <c r="J6" s="595" t="n"/>
      <c r="K6" s="595" t="n"/>
      <c r="L6" s="595" t="n"/>
      <c r="M6" s="595" t="n"/>
      <c r="N6" s="595" t="n"/>
      <c r="O6" s="595" t="n"/>
      <c r="P6" s="595" t="n"/>
      <c r="Q6" s="595" t="n"/>
      <c r="R6" s="595" t="n"/>
      <c r="S6" s="595" t="n"/>
      <c r="T6" s="595" t="n"/>
      <c r="U6" s="595" t="n"/>
      <c r="V6" s="595" t="n"/>
      <c r="W6" s="595" t="n"/>
      <c r="X6" s="595" t="n"/>
      <c r="Y6" s="595" t="n"/>
      <c r="Z6" s="595" t="n"/>
      <c r="AA6" s="595" t="n"/>
      <c r="AB6" s="595" t="n"/>
      <c r="AC6" s="595" t="n"/>
      <c r="AD6" s="595" t="n"/>
      <c r="AE6" s="595" t="n"/>
      <c r="AF6" s="595" t="n"/>
      <c r="AG6" s="595" t="n"/>
      <c r="AH6" s="595" t="n"/>
      <c r="AI6" s="595" t="n"/>
      <c r="AJ6" s="595" t="n"/>
      <c r="AK6" s="595" t="n"/>
      <c r="AL6" s="595" t="n"/>
      <c r="AM6" s="595" t="n"/>
      <c r="AN6" s="595" t="n"/>
      <c r="AO6" s="595" t="n"/>
      <c r="AP6" s="595" t="n"/>
      <c r="AQ6" s="595" t="n"/>
      <c r="AR6" s="595" t="n"/>
      <c r="AS6" s="595" t="n"/>
      <c r="AT6" s="595" t="n"/>
      <c r="AU6" s="595" t="n"/>
      <c r="AV6" s="595" t="n"/>
      <c r="AW6" s="595" t="n"/>
      <c r="AX6" s="595" t="n"/>
      <c r="AY6" s="595" t="n"/>
      <c r="AZ6" s="595" t="n"/>
      <c r="BA6" s="595" t="n"/>
      <c r="BB6" s="595" t="n"/>
      <c r="BC6" s="595" t="n"/>
      <c r="BD6" s="595" t="n"/>
      <c r="BE6" s="595" t="n"/>
      <c r="BF6" s="595" t="n"/>
      <c r="BG6" s="595" t="n"/>
      <c r="BH6" s="595" t="n"/>
      <c r="BI6" s="595" t="n"/>
      <c r="BJ6" s="595" t="n"/>
      <c r="BK6" s="595" t="n"/>
      <c r="BL6" s="595" t="n"/>
      <c r="BM6" s="595" t="n"/>
      <c r="BN6" s="595" t="n"/>
      <c r="BO6" s="595" t="n"/>
      <c r="BP6" s="595" t="n"/>
      <c r="BQ6" s="595" t="n"/>
      <c r="BR6" s="595" t="n"/>
      <c r="BS6" s="595" t="n"/>
      <c r="BT6" s="595" t="n"/>
      <c r="BU6" s="595" t="n"/>
      <c r="BV6" s="595" t="n"/>
      <c r="BW6" s="595" t="n"/>
      <c r="BX6" s="595" t="n"/>
      <c r="BY6" s="595" t="n"/>
      <c r="BZ6" s="595" t="n"/>
      <c r="CA6" s="595" t="n"/>
      <c r="CB6" s="595" t="n"/>
      <c r="CC6" s="595" t="n"/>
      <c r="CD6" s="595" t="n"/>
      <c r="CE6" s="595" t="n"/>
      <c r="CF6" s="595" t="n"/>
      <c r="CG6" s="595" t="n"/>
      <c r="CH6" s="595" t="n"/>
    </row>
    <row r="7" ht="15" customFormat="1" customHeight="1" s="380">
      <c r="A7" s="468" t="inlineStr">
        <is>
          <t>GMP Fee (1%)</t>
        </is>
      </c>
      <c r="B7" s="595">
        <f>-Projects!$B$7*Assumptions!$B$47</f>
        <v/>
      </c>
      <c r="C7" s="595" t="n">
        <v>0</v>
      </c>
      <c r="D7" s="595">
        <f>B7+C7</f>
        <v/>
      </c>
      <c r="E7" s="595" t="n"/>
      <c r="F7" s="595" t="n"/>
      <c r="G7" s="595" t="n"/>
      <c r="H7" s="595" t="n"/>
      <c r="I7" s="595" t="n"/>
      <c r="J7" s="595" t="n"/>
      <c r="K7" s="595" t="n"/>
      <c r="L7" s="595" t="n"/>
      <c r="M7" s="595" t="n"/>
      <c r="N7" s="595" t="n"/>
      <c r="O7" s="595" t="n"/>
      <c r="P7" s="595" t="n"/>
      <c r="Q7" s="595" t="n"/>
      <c r="R7" s="595" t="n"/>
      <c r="S7" s="595" t="n"/>
      <c r="T7" s="595" t="n"/>
      <c r="U7" s="595" t="n"/>
      <c r="V7" s="595" t="n"/>
      <c r="W7" s="595" t="n"/>
      <c r="X7" s="595" t="n"/>
      <c r="Y7" s="595" t="n"/>
      <c r="Z7" s="595" t="n"/>
      <c r="AA7" s="595" t="n"/>
      <c r="AB7" s="595" t="n"/>
      <c r="AC7" s="595" t="n"/>
      <c r="AD7" s="595" t="n"/>
      <c r="AE7" s="595" t="n"/>
      <c r="AF7" s="595" t="n"/>
      <c r="AG7" s="595" t="n"/>
      <c r="AH7" s="595" t="n"/>
      <c r="AI7" s="595" t="n"/>
      <c r="AJ7" s="595" t="n"/>
      <c r="AK7" s="595" t="n"/>
      <c r="AL7" s="595" t="n"/>
      <c r="AM7" s="595" t="n"/>
      <c r="AN7" s="595" t="n"/>
      <c r="AO7" s="595" t="n"/>
      <c r="AP7" s="595" t="n"/>
      <c r="AQ7" s="595" t="n"/>
      <c r="AR7" s="595" t="n"/>
      <c r="AS7" s="595" t="n"/>
      <c r="AT7" s="595" t="n"/>
      <c r="AU7" s="595" t="n"/>
      <c r="AV7" s="595" t="n"/>
      <c r="AW7" s="595" t="n"/>
      <c r="AX7" s="595" t="n"/>
      <c r="AY7" s="595" t="n"/>
      <c r="AZ7" s="595" t="n"/>
      <c r="BA7" s="595" t="n"/>
      <c r="BB7" s="595" t="n"/>
      <c r="BC7" s="595" t="n"/>
      <c r="BD7" s="595" t="n"/>
      <c r="BE7" s="595" t="n"/>
      <c r="BF7" s="595" t="n"/>
      <c r="BG7" s="595" t="n"/>
      <c r="BH7" s="595" t="n"/>
      <c r="BI7" s="595" t="n"/>
      <c r="BJ7" s="595" t="n"/>
      <c r="BK7" s="595" t="n"/>
      <c r="BL7" s="595" t="n"/>
      <c r="BM7" s="595" t="n"/>
      <c r="BN7" s="595" t="n"/>
      <c r="BO7" s="595" t="n"/>
      <c r="BP7" s="595" t="n"/>
      <c r="BQ7" s="595" t="n"/>
      <c r="BR7" s="595" t="n"/>
      <c r="BS7" s="595" t="n"/>
      <c r="BT7" s="595" t="n"/>
      <c r="BU7" s="595" t="n"/>
      <c r="BV7" s="595" t="n"/>
      <c r="BW7" s="595" t="n"/>
      <c r="BX7" s="595" t="n"/>
      <c r="BY7" s="595" t="n"/>
      <c r="BZ7" s="595" t="n"/>
      <c r="CA7" s="595" t="n"/>
      <c r="CB7" s="595" t="n"/>
      <c r="CC7" s="595" t="n"/>
      <c r="CD7" s="595" t="n"/>
      <c r="CE7" s="595" t="n"/>
      <c r="CF7" s="595" t="n"/>
      <c r="CG7" s="595" t="n"/>
      <c r="CH7" s="595" t="n"/>
    </row>
    <row r="8" ht="15" customFormat="1" customHeight="1" s="380">
      <c r="A8" s="697" t="inlineStr">
        <is>
          <t>Liquidity Guarantee Fee (3%)</t>
        </is>
      </c>
      <c r="B8" s="698">
        <f>-Assumptions!$B$53*Assumptions!$B$48</f>
        <v/>
      </c>
      <c r="C8" s="698" t="n">
        <v>0</v>
      </c>
      <c r="D8" s="698">
        <f>B8+C8</f>
        <v/>
      </c>
      <c r="E8" s="468" t="n"/>
      <c r="F8" s="468" t="n"/>
      <c r="G8" s="468" t="n"/>
      <c r="H8" s="468" t="n"/>
      <c r="I8" s="468" t="n"/>
      <c r="J8" s="468" t="n"/>
      <c r="K8" s="468" t="n"/>
      <c r="L8" s="468" t="n"/>
      <c r="M8" s="468" t="n"/>
      <c r="N8" s="468" t="n"/>
      <c r="O8" s="468" t="n"/>
      <c r="P8" s="468" t="n"/>
      <c r="Q8" s="468" t="n"/>
      <c r="R8" s="468" t="n"/>
      <c r="S8" s="468" t="n"/>
      <c r="T8" s="468" t="n"/>
      <c r="U8" s="468" t="n"/>
      <c r="V8" s="468" t="n"/>
      <c r="W8" s="468" t="n"/>
      <c r="X8" s="468" t="n"/>
      <c r="Y8" s="468" t="n"/>
      <c r="Z8" s="468" t="n"/>
      <c r="AA8" s="468" t="n"/>
      <c r="AB8" s="468" t="n"/>
      <c r="AC8" s="468" t="n"/>
      <c r="AD8" s="468" t="n"/>
      <c r="AE8" s="468" t="n"/>
      <c r="AF8" s="468" t="n"/>
      <c r="AG8" s="468" t="n"/>
      <c r="AH8" s="468" t="n"/>
      <c r="AI8" s="468" t="n"/>
      <c r="AJ8" s="468" t="n"/>
      <c r="AK8" s="468" t="n"/>
      <c r="AL8" s="468" t="n"/>
      <c r="AM8" s="468" t="n"/>
      <c r="AN8" s="468" t="n"/>
      <c r="AO8" s="468" t="n"/>
      <c r="AP8" s="468" t="n"/>
      <c r="AQ8" s="468" t="n"/>
      <c r="AR8" s="468" t="n"/>
      <c r="AS8" s="468" t="n"/>
      <c r="AT8" s="468" t="n"/>
      <c r="AU8" s="468" t="n"/>
      <c r="AV8" s="468" t="n"/>
      <c r="AW8" s="468" t="n"/>
      <c r="AX8" s="468" t="n"/>
      <c r="AY8" s="468" t="n"/>
      <c r="AZ8" s="468" t="n"/>
      <c r="BA8" s="468" t="n"/>
      <c r="BB8" s="468" t="n"/>
      <c r="BC8" s="468" t="n"/>
      <c r="BD8" s="468" t="n"/>
      <c r="BE8" s="468" t="n"/>
      <c r="BF8" s="468" t="n"/>
      <c r="BG8" s="468" t="n"/>
      <c r="BH8" s="468" t="n"/>
      <c r="BI8" s="468" t="n"/>
      <c r="BJ8" s="468" t="n"/>
      <c r="BK8" s="468" t="n"/>
      <c r="BL8" s="468" t="n"/>
      <c r="BM8" s="468" t="n"/>
      <c r="BN8" s="468" t="n"/>
      <c r="BO8" s="468" t="n"/>
      <c r="BP8" s="468" t="n"/>
      <c r="BQ8" s="468" t="n"/>
      <c r="BR8" s="468" t="n"/>
      <c r="BS8" s="468" t="n"/>
      <c r="BT8" s="468" t="n"/>
      <c r="BU8" s="468" t="n"/>
      <c r="BV8" s="468" t="n"/>
      <c r="BW8" s="468" t="n"/>
      <c r="BX8" s="468" t="n"/>
      <c r="BY8" s="468" t="n"/>
      <c r="BZ8" s="468" t="n"/>
      <c r="CA8" s="468" t="n"/>
      <c r="CB8" s="468" t="n"/>
      <c r="CC8" s="468" t="n"/>
      <c r="CD8" s="468" t="n"/>
      <c r="CE8" s="468" t="n"/>
      <c r="CF8" s="468" t="n"/>
      <c r="CG8" s="468" t="n"/>
      <c r="CH8" s="468" t="n"/>
    </row>
    <row r="9" ht="15" customFormat="1" customHeight="1" s="380">
      <c r="A9" s="468" t="inlineStr">
        <is>
          <t>PIK Interest</t>
        </is>
      </c>
      <c r="B9" s="595" t="n">
        <v>0</v>
      </c>
      <c r="C9" s="595" t="n">
        <v>0</v>
      </c>
      <c r="D9" s="595">
        <f>B9+C9</f>
        <v/>
      </c>
      <c r="E9" s="468" t="n"/>
      <c r="F9" s="468" t="n"/>
      <c r="G9" s="468" t="n"/>
      <c r="H9" s="468" t="n"/>
      <c r="I9" s="468" t="n"/>
      <c r="J9" s="468" t="n"/>
      <c r="K9" s="468" t="n"/>
      <c r="L9" s="468" t="n"/>
      <c r="M9" s="468" t="n"/>
      <c r="N9" s="468" t="n"/>
      <c r="O9" s="468" t="n"/>
      <c r="P9" s="468" t="n"/>
      <c r="Q9" s="468" t="n"/>
      <c r="R9" s="468" t="n"/>
      <c r="S9" s="468" t="n"/>
      <c r="T9" s="468" t="n"/>
      <c r="U9" s="468" t="n"/>
      <c r="V9" s="468" t="n"/>
      <c r="W9" s="468" t="n"/>
      <c r="X9" s="468" t="n"/>
      <c r="Y9" s="468" t="n"/>
      <c r="Z9" s="468" t="n"/>
      <c r="AA9" s="468" t="n"/>
      <c r="AB9" s="468" t="n"/>
      <c r="AC9" s="468" t="n"/>
      <c r="AD9" s="468" t="n"/>
      <c r="AE9" s="468" t="n"/>
      <c r="AF9" s="468" t="n"/>
      <c r="AG9" s="468" t="n"/>
      <c r="AH9" s="468" t="n"/>
      <c r="AI9" s="468" t="n"/>
      <c r="AJ9" s="468" t="n"/>
      <c r="AK9" s="468" t="n"/>
      <c r="AL9" s="468" t="n"/>
      <c r="AM9" s="468" t="n"/>
      <c r="AN9" s="468" t="n"/>
      <c r="AO9" s="468" t="n"/>
      <c r="AP9" s="468" t="n"/>
      <c r="AQ9" s="468" t="n"/>
      <c r="AR9" s="468" t="n"/>
      <c r="AS9" s="468" t="n"/>
      <c r="AT9" s="468" t="n"/>
      <c r="AU9" s="468" t="n"/>
      <c r="AV9" s="468" t="n"/>
      <c r="AW9" s="468" t="n"/>
      <c r="AX9" s="468" t="n"/>
      <c r="AY9" s="468" t="n"/>
      <c r="AZ9" s="468" t="n"/>
      <c r="BA9" s="468" t="n"/>
      <c r="BB9" s="468" t="n"/>
      <c r="BC9" s="468" t="n"/>
      <c r="BD9" s="468" t="n"/>
      <c r="BE9" s="468" t="n"/>
      <c r="BF9" s="468" t="n"/>
      <c r="BG9" s="468" t="n"/>
      <c r="BH9" s="468" t="n"/>
      <c r="BI9" s="468" t="n"/>
      <c r="BJ9" s="468" t="n"/>
      <c r="BK9" s="468" t="n"/>
      <c r="BL9" s="468" t="n"/>
      <c r="BM9" s="468" t="n"/>
      <c r="BN9" s="468" t="n"/>
      <c r="BO9" s="468" t="n"/>
      <c r="BP9" s="468" t="n"/>
      <c r="BQ9" s="468" t="n"/>
      <c r="BR9" s="468" t="n"/>
      <c r="BS9" s="468" t="n"/>
      <c r="BT9" s="468" t="n"/>
      <c r="BU9" s="468" t="n"/>
      <c r="BV9" s="468" t="n"/>
      <c r="BW9" s="468" t="n"/>
      <c r="BX9" s="468" t="n"/>
      <c r="BY9" s="468" t="n"/>
      <c r="BZ9" s="468" t="n"/>
      <c r="CA9" s="468" t="n"/>
      <c r="CB9" s="468" t="n"/>
      <c r="CC9" s="468" t="n"/>
      <c r="CD9" s="468" t="n"/>
      <c r="CE9" s="468" t="n"/>
      <c r="CF9" s="468" t="n"/>
      <c r="CG9" s="468" t="n"/>
      <c r="CH9" s="468" t="n"/>
    </row>
    <row r="10" ht="15" customFormat="1" customHeight="1" s="380">
      <c r="A10" s="604" t="inlineStr">
        <is>
          <t>Net Income to Six Peak</t>
        </is>
      </c>
      <c r="B10" s="607">
        <f>SUM(B6:B9)</f>
        <v/>
      </c>
      <c r="C10" s="607">
        <f>SUM(C6:C9)</f>
        <v/>
      </c>
      <c r="D10" s="607">
        <f>SUM(D6:D9)</f>
        <v/>
      </c>
      <c r="E10" s="595" t="n"/>
      <c r="F10" s="595" t="n"/>
      <c r="G10" s="595" t="n"/>
      <c r="H10" s="595" t="n"/>
      <c r="I10" s="595" t="n"/>
      <c r="J10" s="595" t="n"/>
      <c r="K10" s="595" t="n"/>
      <c r="L10" s="595" t="n"/>
      <c r="M10" s="595" t="n"/>
      <c r="N10" s="595" t="n"/>
      <c r="O10" s="595" t="n"/>
      <c r="P10" s="595" t="n"/>
      <c r="Q10" s="595" t="n"/>
      <c r="R10" s="595" t="n"/>
      <c r="S10" s="595" t="n"/>
      <c r="T10" s="595" t="n"/>
      <c r="U10" s="595" t="n"/>
      <c r="V10" s="595" t="n"/>
      <c r="W10" s="595" t="n"/>
      <c r="X10" s="595" t="n"/>
      <c r="Y10" s="595" t="n"/>
      <c r="Z10" s="595" t="n"/>
      <c r="AA10" s="595" t="n"/>
      <c r="AB10" s="595" t="n"/>
      <c r="AC10" s="595" t="n"/>
      <c r="AD10" s="595" t="n"/>
      <c r="AE10" s="595" t="n"/>
      <c r="AF10" s="595" t="n"/>
      <c r="AG10" s="595" t="n"/>
      <c r="AH10" s="595" t="n"/>
      <c r="AI10" s="595" t="n"/>
      <c r="AJ10" s="595" t="n"/>
      <c r="AK10" s="595" t="n"/>
      <c r="AL10" s="595" t="n"/>
      <c r="AM10" s="595" t="n"/>
      <c r="AN10" s="595" t="n"/>
      <c r="AO10" s="595" t="n"/>
      <c r="AP10" s="595" t="n"/>
      <c r="AQ10" s="595" t="n"/>
      <c r="AR10" s="595" t="n"/>
      <c r="AS10" s="595" t="n"/>
      <c r="AT10" s="595" t="n"/>
      <c r="AU10" s="595" t="n"/>
      <c r="AV10" s="595" t="n"/>
      <c r="AW10" s="595" t="n"/>
      <c r="AX10" s="595" t="n"/>
      <c r="AY10" s="595" t="n"/>
      <c r="AZ10" s="595" t="n"/>
      <c r="BA10" s="595" t="n"/>
      <c r="BB10" s="595" t="n"/>
      <c r="BC10" s="595" t="n"/>
      <c r="BD10" s="595" t="n"/>
      <c r="BE10" s="595" t="n"/>
      <c r="BF10" s="595" t="n"/>
      <c r="BG10" s="595" t="n"/>
      <c r="BH10" s="595" t="n"/>
      <c r="BI10" s="595" t="n"/>
      <c r="BJ10" s="595" t="n"/>
      <c r="BK10" s="595" t="n"/>
      <c r="BL10" s="595" t="n"/>
      <c r="BM10" s="595" t="n"/>
      <c r="BN10" s="595" t="n"/>
      <c r="BO10" s="595" t="n"/>
      <c r="BP10" s="595" t="n"/>
      <c r="BQ10" s="595" t="n"/>
      <c r="BR10" s="595" t="n"/>
      <c r="BS10" s="595" t="n"/>
      <c r="BT10" s="595" t="n"/>
      <c r="BU10" s="595" t="n"/>
      <c r="BV10" s="595" t="n"/>
      <c r="BW10" s="595" t="n"/>
      <c r="BX10" s="595" t="n"/>
      <c r="BY10" s="595" t="n"/>
      <c r="BZ10" s="595" t="n"/>
      <c r="CA10" s="595" t="n"/>
      <c r="CB10" s="595" t="n"/>
      <c r="CC10" s="595" t="n"/>
      <c r="CD10" s="595" t="n"/>
      <c r="CE10" s="595" t="n"/>
      <c r="CF10" s="595" t="n"/>
      <c r="CG10" s="595" t="n"/>
      <c r="CH10" s="595" t="n"/>
    </row>
    <row r="11" ht="15" customFormat="1" customHeight="1" s="380">
      <c r="A11" s="699" t="n"/>
      <c r="B11" s="700" t="n"/>
      <c r="C11" s="700" t="n"/>
      <c r="D11" s="700" t="n"/>
      <c r="E11" s="595" t="n"/>
      <c r="F11" s="595" t="n"/>
      <c r="G11" s="595" t="n"/>
      <c r="H11" s="595" t="n"/>
      <c r="I11" s="595" t="n"/>
      <c r="J11" s="595" t="n"/>
      <c r="K11" s="595" t="n"/>
      <c r="L11" s="595" t="n"/>
      <c r="M11" s="595" t="n"/>
      <c r="N11" s="595" t="n"/>
      <c r="O11" s="595" t="n"/>
      <c r="P11" s="595" t="n"/>
      <c r="Q11" s="595" t="n"/>
      <c r="R11" s="595" t="n"/>
      <c r="S11" s="595" t="n"/>
      <c r="T11" s="595" t="n"/>
      <c r="U11" s="595" t="n"/>
      <c r="V11" s="595" t="n"/>
      <c r="W11" s="595" t="n"/>
      <c r="X11" s="595" t="n"/>
      <c r="Y11" s="595" t="n"/>
      <c r="Z11" s="595" t="n"/>
      <c r="AA11" s="595" t="n"/>
      <c r="AB11" s="595" t="n"/>
      <c r="AC11" s="595" t="n"/>
      <c r="AD11" s="595" t="n"/>
      <c r="AE11" s="595" t="n"/>
      <c r="AF11" s="595" t="n"/>
      <c r="AG11" s="595" t="n"/>
      <c r="AH11" s="595" t="n"/>
      <c r="AI11" s="595" t="n"/>
      <c r="AJ11" s="595" t="n"/>
      <c r="AK11" s="595" t="n"/>
      <c r="AL11" s="595" t="n"/>
      <c r="AM11" s="595" t="n"/>
      <c r="AN11" s="595" t="n"/>
      <c r="AO11" s="595" t="n"/>
      <c r="AP11" s="595" t="n"/>
      <c r="AQ11" s="595" t="n"/>
      <c r="AR11" s="595" t="n"/>
      <c r="AS11" s="595" t="n"/>
      <c r="AT11" s="595" t="n"/>
      <c r="AU11" s="595" t="n"/>
      <c r="AV11" s="595" t="n"/>
      <c r="AW11" s="595" t="n"/>
      <c r="AX11" s="595" t="n"/>
      <c r="AY11" s="595" t="n"/>
      <c r="AZ11" s="595" t="n"/>
      <c r="BA11" s="595" t="n"/>
      <c r="BB11" s="595" t="n"/>
      <c r="BC11" s="595" t="n"/>
      <c r="BD11" s="595" t="n"/>
      <c r="BE11" s="595" t="n"/>
      <c r="BF11" s="595" t="n"/>
      <c r="BG11" s="595" t="n"/>
      <c r="BH11" s="595" t="n"/>
      <c r="BI11" s="595" t="n"/>
      <c r="BJ11" s="595" t="n"/>
      <c r="BK11" s="595" t="n"/>
      <c r="BL11" s="595" t="n"/>
      <c r="BM11" s="595" t="n"/>
      <c r="BN11" s="595" t="n"/>
      <c r="BO11" s="595" t="n"/>
      <c r="BP11" s="595" t="n"/>
      <c r="BQ11" s="595" t="n"/>
      <c r="BR11" s="595" t="n"/>
      <c r="BS11" s="595" t="n"/>
      <c r="BT11" s="595" t="n"/>
      <c r="BU11" s="595" t="n"/>
      <c r="BV11" s="595" t="n"/>
      <c r="BW11" s="595" t="n"/>
      <c r="BX11" s="595" t="n"/>
      <c r="BY11" s="595" t="n"/>
      <c r="BZ11" s="595" t="n"/>
      <c r="CA11" s="595" t="n"/>
      <c r="CB11" s="595" t="n"/>
      <c r="CC11" s="595" t="n"/>
      <c r="CD11" s="595" t="n"/>
      <c r="CE11" s="595" t="n"/>
      <c r="CF11" s="595" t="n"/>
      <c r="CG11" s="595" t="n"/>
      <c r="CH11" s="595" t="n"/>
    </row>
    <row r="12" ht="15" customFormat="1" customHeight="1" s="380">
      <c r="A12" s="667" t="inlineStr">
        <is>
          <t>3rd Street</t>
        </is>
      </c>
      <c r="B12" s="667" t="n"/>
      <c r="C12" s="701" t="n"/>
      <c r="D12" s="701" t="n"/>
      <c r="E12" s="595" t="n"/>
      <c r="F12" s="595" t="n"/>
      <c r="G12" s="595" t="n"/>
      <c r="H12" s="595" t="n"/>
      <c r="I12" s="595" t="n"/>
      <c r="J12" s="595" t="n"/>
      <c r="K12" s="595" t="n"/>
      <c r="L12" s="595" t="n"/>
      <c r="M12" s="595" t="n"/>
      <c r="N12" s="595" t="n"/>
      <c r="O12" s="595" t="n"/>
      <c r="P12" s="595" t="n"/>
      <c r="Q12" s="595" t="n"/>
      <c r="R12" s="595" t="n"/>
      <c r="S12" s="595" t="n"/>
      <c r="T12" s="595" t="n"/>
      <c r="U12" s="595" t="n"/>
      <c r="V12" s="595" t="n"/>
      <c r="W12" s="595" t="n"/>
      <c r="X12" s="595" t="n"/>
      <c r="Y12" s="595" t="n"/>
      <c r="Z12" s="595" t="n"/>
      <c r="AA12" s="595" t="n"/>
      <c r="AB12" s="595" t="n"/>
      <c r="AC12" s="595" t="n"/>
      <c r="AD12" s="595" t="n"/>
      <c r="AE12" s="595" t="n"/>
      <c r="AF12" s="595" t="n"/>
      <c r="AG12" s="595" t="n"/>
      <c r="AH12" s="595" t="n"/>
      <c r="AI12" s="595" t="n"/>
      <c r="AJ12" s="595" t="n"/>
      <c r="AK12" s="595" t="n"/>
      <c r="AL12" s="595" t="n"/>
      <c r="AM12" s="595" t="n"/>
      <c r="AN12" s="595" t="n"/>
      <c r="AO12" s="595" t="n"/>
      <c r="AP12" s="595" t="n"/>
      <c r="AQ12" s="595" t="n"/>
      <c r="AR12" s="595" t="n"/>
      <c r="AS12" s="595" t="n"/>
      <c r="AT12" s="595" t="n"/>
      <c r="AU12" s="595" t="n"/>
      <c r="AV12" s="595" t="n"/>
      <c r="AW12" s="595" t="n"/>
      <c r="AX12" s="595" t="n"/>
      <c r="AY12" s="595" t="n"/>
      <c r="AZ12" s="595" t="n"/>
      <c r="BA12" s="595" t="n"/>
      <c r="BB12" s="595" t="n"/>
      <c r="BC12" s="595" t="n"/>
      <c r="BD12" s="595" t="n"/>
      <c r="BE12" s="595" t="n"/>
      <c r="BF12" s="595" t="n"/>
      <c r="BG12" s="595" t="n"/>
      <c r="BH12" s="595" t="n"/>
      <c r="BI12" s="595" t="n"/>
      <c r="BJ12" s="595" t="n"/>
      <c r="BK12" s="595" t="n"/>
      <c r="BL12" s="595" t="n"/>
      <c r="BM12" s="595" t="n"/>
      <c r="BN12" s="595" t="n"/>
      <c r="BO12" s="595" t="n"/>
      <c r="BP12" s="595" t="n"/>
      <c r="BQ12" s="595" t="n"/>
      <c r="BR12" s="595" t="n"/>
      <c r="BS12" s="595" t="n"/>
      <c r="BT12" s="595" t="n"/>
      <c r="BU12" s="595" t="n"/>
      <c r="BV12" s="595" t="n"/>
      <c r="BW12" s="595" t="n"/>
      <c r="BX12" s="595" t="n"/>
      <c r="BY12" s="595" t="n"/>
      <c r="BZ12" s="595" t="n"/>
      <c r="CA12" s="595" t="n"/>
      <c r="CB12" s="595" t="n"/>
      <c r="CC12" s="595" t="n"/>
      <c r="CD12" s="595" t="n"/>
      <c r="CE12" s="595" t="n"/>
      <c r="CF12" s="595" t="n"/>
      <c r="CG12" s="595" t="n"/>
      <c r="CH12" s="595" t="n"/>
    </row>
    <row r="13" ht="15" customFormat="1" customHeight="1" s="380">
      <c r="A13" s="697" t="inlineStr">
        <is>
          <t>LIHTC Revenue</t>
        </is>
      </c>
      <c r="B13" s="698">
        <f>SUM(Model!E166:CG166)</f>
        <v/>
      </c>
      <c r="C13" s="698">
        <f>Helpers!B48</f>
        <v/>
      </c>
      <c r="D13" s="698">
        <f>B13+C13</f>
        <v/>
      </c>
      <c r="E13" s="595" t="n"/>
      <c r="F13" s="595" t="n"/>
      <c r="G13" s="595" t="n"/>
      <c r="H13" s="595" t="n"/>
      <c r="I13" s="595" t="n"/>
      <c r="J13" s="595" t="n"/>
      <c r="K13" s="595" t="n"/>
      <c r="L13" s="595" t="n"/>
      <c r="M13" s="595" t="n"/>
      <c r="N13" s="595" t="n"/>
      <c r="O13" s="595" t="n"/>
      <c r="P13" s="595" t="n"/>
      <c r="Q13" s="595" t="n"/>
      <c r="R13" s="595" t="n"/>
      <c r="S13" s="595" t="n"/>
      <c r="T13" s="595" t="n"/>
      <c r="U13" s="595" t="n"/>
      <c r="V13" s="595" t="n"/>
      <c r="W13" s="595" t="n"/>
      <c r="X13" s="595" t="n"/>
      <c r="Y13" s="595" t="n"/>
      <c r="Z13" s="595" t="n"/>
      <c r="AA13" s="595" t="n"/>
      <c r="AB13" s="595" t="n"/>
      <c r="AC13" s="595" t="n"/>
      <c r="AD13" s="595" t="n"/>
      <c r="AE13" s="595" t="n"/>
      <c r="AF13" s="595" t="n"/>
      <c r="AG13" s="595" t="n"/>
      <c r="AH13" s="595" t="n"/>
      <c r="AI13" s="595" t="n"/>
      <c r="AJ13" s="595" t="n"/>
      <c r="AK13" s="595" t="n"/>
      <c r="AL13" s="595" t="n"/>
      <c r="AM13" s="595" t="n"/>
      <c r="AN13" s="595" t="n"/>
      <c r="AO13" s="595" t="n"/>
      <c r="AP13" s="595" t="n"/>
      <c r="AQ13" s="595" t="n"/>
      <c r="AR13" s="595" t="n"/>
      <c r="AS13" s="595" t="n"/>
      <c r="AT13" s="595" t="n"/>
      <c r="AU13" s="595" t="n"/>
      <c r="AV13" s="595" t="n"/>
      <c r="AW13" s="595" t="n"/>
      <c r="AX13" s="595" t="n"/>
      <c r="AY13" s="595" t="n"/>
      <c r="AZ13" s="595" t="n"/>
      <c r="BA13" s="595" t="n"/>
      <c r="BB13" s="595" t="n"/>
      <c r="BC13" s="595" t="n"/>
      <c r="BD13" s="595" t="n"/>
      <c r="BE13" s="595" t="n"/>
      <c r="BF13" s="595" t="n"/>
      <c r="BG13" s="595" t="n"/>
      <c r="BH13" s="595" t="n"/>
      <c r="BI13" s="595" t="n"/>
      <c r="BJ13" s="595" t="n"/>
      <c r="BK13" s="595" t="n"/>
      <c r="BL13" s="595" t="n"/>
      <c r="BM13" s="595" t="n"/>
      <c r="BN13" s="595" t="n"/>
      <c r="BO13" s="595" t="n"/>
      <c r="BP13" s="595" t="n"/>
      <c r="BQ13" s="595" t="n"/>
      <c r="BR13" s="595" t="n"/>
      <c r="BS13" s="595" t="n"/>
      <c r="BT13" s="595" t="n"/>
      <c r="BU13" s="595" t="n"/>
      <c r="BV13" s="595" t="n"/>
      <c r="BW13" s="595" t="n"/>
      <c r="BX13" s="595" t="n"/>
      <c r="BY13" s="595" t="n"/>
      <c r="BZ13" s="595" t="n"/>
      <c r="CA13" s="595" t="n"/>
      <c r="CB13" s="595" t="n"/>
      <c r="CC13" s="595" t="n"/>
      <c r="CD13" s="595" t="n"/>
      <c r="CE13" s="595" t="n"/>
      <c r="CF13" s="595" t="n"/>
      <c r="CG13" s="595" t="n"/>
      <c r="CH13" s="595" t="n"/>
    </row>
    <row r="14" ht="15" customFormat="1" customHeight="1" s="380">
      <c r="A14" s="702" t="inlineStr">
        <is>
          <t>GMP Fee (1%)</t>
        </is>
      </c>
      <c r="B14" s="703">
        <f>-Projects!$B$14*Assumptions!$B$47</f>
        <v/>
      </c>
      <c r="C14" s="703" t="n">
        <v>0</v>
      </c>
      <c r="D14" s="703">
        <f>B14+C14</f>
        <v/>
      </c>
      <c r="E14" s="595" t="n"/>
      <c r="F14" s="595" t="n"/>
      <c r="G14" s="595" t="n"/>
      <c r="H14" s="595" t="n"/>
      <c r="I14" s="595" t="n"/>
      <c r="J14" s="595" t="n"/>
      <c r="K14" s="595" t="n"/>
      <c r="L14" s="595" t="n"/>
      <c r="M14" s="595" t="n"/>
      <c r="N14" s="595" t="n"/>
      <c r="O14" s="595" t="n"/>
      <c r="P14" s="595" t="n"/>
      <c r="Q14" s="595" t="n"/>
      <c r="R14" s="595" t="n"/>
      <c r="S14" s="595" t="n"/>
      <c r="T14" s="595" t="n"/>
      <c r="U14" s="595" t="n"/>
      <c r="V14" s="595" t="n"/>
      <c r="W14" s="595" t="n"/>
      <c r="X14" s="595" t="n"/>
      <c r="Y14" s="595" t="n"/>
      <c r="Z14" s="595" t="n"/>
      <c r="AA14" s="595" t="n"/>
      <c r="AB14" s="595" t="n"/>
      <c r="AC14" s="595" t="n"/>
      <c r="AD14" s="595" t="n"/>
      <c r="AE14" s="595" t="n"/>
      <c r="AF14" s="595" t="n"/>
      <c r="AG14" s="595" t="n"/>
      <c r="AH14" s="595" t="n"/>
      <c r="AI14" s="595" t="n"/>
      <c r="AJ14" s="595" t="n"/>
      <c r="AK14" s="595" t="n"/>
      <c r="AL14" s="595" t="n"/>
      <c r="AM14" s="595" t="n"/>
      <c r="AN14" s="595" t="n"/>
      <c r="AO14" s="595" t="n"/>
      <c r="AP14" s="595" t="n"/>
      <c r="AQ14" s="595" t="n"/>
      <c r="AR14" s="595" t="n"/>
      <c r="AS14" s="595" t="n"/>
      <c r="AT14" s="595" t="n"/>
      <c r="AU14" s="595" t="n"/>
      <c r="AV14" s="595" t="n"/>
      <c r="AW14" s="595" t="n"/>
      <c r="AX14" s="595" t="n"/>
      <c r="AY14" s="595" t="n"/>
      <c r="AZ14" s="595" t="n"/>
      <c r="BA14" s="595" t="n"/>
      <c r="BB14" s="595" t="n"/>
      <c r="BC14" s="595" t="n"/>
      <c r="BD14" s="595" t="n"/>
      <c r="BE14" s="595" t="n"/>
      <c r="BF14" s="595" t="n"/>
      <c r="BG14" s="595" t="n"/>
      <c r="BH14" s="595" t="n"/>
      <c r="BI14" s="595" t="n"/>
      <c r="BJ14" s="595" t="n"/>
      <c r="BK14" s="595" t="n"/>
      <c r="BL14" s="595" t="n"/>
      <c r="BM14" s="595" t="n"/>
      <c r="BN14" s="595" t="n"/>
      <c r="BO14" s="595" t="n"/>
      <c r="BP14" s="595" t="n"/>
      <c r="BQ14" s="595" t="n"/>
      <c r="BR14" s="595" t="n"/>
      <c r="BS14" s="595" t="n"/>
      <c r="BT14" s="595" t="n"/>
      <c r="BU14" s="595" t="n"/>
      <c r="BV14" s="595" t="n"/>
      <c r="BW14" s="595" t="n"/>
      <c r="BX14" s="595" t="n"/>
      <c r="BY14" s="595" t="n"/>
      <c r="BZ14" s="595" t="n"/>
      <c r="CA14" s="595" t="n"/>
      <c r="CB14" s="595" t="n"/>
      <c r="CC14" s="595" t="n"/>
      <c r="CD14" s="595" t="n"/>
      <c r="CE14" s="595" t="n"/>
      <c r="CF14" s="595" t="n"/>
      <c r="CG14" s="595" t="n"/>
      <c r="CH14" s="595" t="n"/>
    </row>
    <row r="15" ht="15" customFormat="1" customHeight="1" s="380">
      <c r="A15" s="697" t="inlineStr">
        <is>
          <t>Liquidity Guarantee Fee (3%)</t>
        </is>
      </c>
      <c r="B15" s="698">
        <f>-Assumptions!$B$55*Assumptions!$B$48</f>
        <v/>
      </c>
      <c r="C15" s="698" t="n">
        <v>0</v>
      </c>
      <c r="D15" s="698">
        <f>B15+C15</f>
        <v/>
      </c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468" t="n"/>
      <c r="U15" s="468" t="n"/>
      <c r="V15" s="468" t="n"/>
      <c r="W15" s="468" t="n"/>
      <c r="X15" s="468" t="n"/>
      <c r="Y15" s="468" t="n"/>
      <c r="Z15" s="468" t="n"/>
      <c r="AA15" s="468" t="n"/>
      <c r="AB15" s="468" t="n"/>
      <c r="AC15" s="468" t="n"/>
      <c r="AD15" s="468" t="n"/>
      <c r="AE15" s="468" t="n"/>
      <c r="AF15" s="468" t="n"/>
      <c r="AG15" s="468" t="n"/>
      <c r="AH15" s="468" t="n"/>
      <c r="AI15" s="468" t="n"/>
      <c r="AJ15" s="468" t="n"/>
      <c r="AK15" s="468" t="n"/>
      <c r="AL15" s="468" t="n"/>
      <c r="AM15" s="468" t="n"/>
      <c r="AN15" s="468" t="n"/>
      <c r="AO15" s="468" t="n"/>
      <c r="AP15" s="468" t="n"/>
      <c r="AQ15" s="468" t="n"/>
      <c r="AR15" s="468" t="n"/>
      <c r="AS15" s="468" t="n"/>
      <c r="AT15" s="468" t="n"/>
      <c r="AU15" s="468" t="n"/>
      <c r="AV15" s="468" t="n"/>
      <c r="AW15" s="468" t="n"/>
      <c r="AX15" s="468" t="n"/>
      <c r="AY15" s="468" t="n"/>
      <c r="AZ15" s="468" t="n"/>
      <c r="BA15" s="468" t="n"/>
      <c r="BB15" s="468" t="n"/>
      <c r="BC15" s="468" t="n"/>
      <c r="BD15" s="468" t="n"/>
      <c r="BE15" s="468" t="n"/>
      <c r="BF15" s="468" t="n"/>
      <c r="BG15" s="468" t="n"/>
      <c r="BH15" s="468" t="n"/>
      <c r="BI15" s="468" t="n"/>
      <c r="BJ15" s="468" t="n"/>
      <c r="BK15" s="468" t="n"/>
      <c r="BL15" s="468" t="n"/>
      <c r="BM15" s="468" t="n"/>
      <c r="BN15" s="468" t="n"/>
      <c r="BO15" s="468" t="n"/>
      <c r="BP15" s="468" t="n"/>
      <c r="BQ15" s="468" t="n"/>
      <c r="BR15" s="468" t="n"/>
      <c r="BS15" s="468" t="n"/>
      <c r="BT15" s="468" t="n"/>
      <c r="BU15" s="468" t="n"/>
      <c r="BV15" s="468" t="n"/>
      <c r="BW15" s="468" t="n"/>
      <c r="BX15" s="468" t="n"/>
      <c r="BY15" s="468" t="n"/>
      <c r="BZ15" s="468" t="n"/>
      <c r="CA15" s="468" t="n"/>
      <c r="CB15" s="468" t="n"/>
      <c r="CC15" s="468" t="n"/>
      <c r="CD15" s="468" t="n"/>
      <c r="CE15" s="468" t="n"/>
      <c r="CF15" s="468" t="n"/>
      <c r="CG15" s="468" t="n"/>
      <c r="CH15" s="468" t="n"/>
    </row>
    <row r="16" ht="15" customFormat="1" customHeight="1" s="380">
      <c r="A16" s="702" t="inlineStr">
        <is>
          <t>PIK Interest</t>
        </is>
      </c>
      <c r="B16" s="703">
        <f>-SUM(Model!E241:CG241)</f>
        <v/>
      </c>
      <c r="C16" s="703">
        <f>-Helpers!F93</f>
        <v/>
      </c>
      <c r="D16" s="703">
        <f>B16+C16</f>
        <v/>
      </c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468" t="n"/>
      <c r="N16" s="468" t="n"/>
      <c r="O16" s="468" t="n"/>
      <c r="P16" s="468" t="n"/>
      <c r="Q16" s="468" t="n"/>
      <c r="R16" s="468" t="n"/>
      <c r="S16" s="468" t="n"/>
      <c r="T16" s="468" t="n"/>
      <c r="U16" s="468" t="n"/>
      <c r="V16" s="468" t="n"/>
      <c r="W16" s="468" t="n"/>
      <c r="X16" s="468" t="n"/>
      <c r="Y16" s="468" t="n"/>
      <c r="Z16" s="468" t="n"/>
      <c r="AA16" s="468" t="n"/>
      <c r="AB16" s="468" t="n"/>
      <c r="AC16" s="468" t="n"/>
      <c r="AD16" s="468" t="n"/>
      <c r="AE16" s="468" t="n"/>
      <c r="AF16" s="468" t="n"/>
      <c r="AG16" s="468" t="n"/>
      <c r="AH16" s="468" t="n"/>
      <c r="AI16" s="468" t="n"/>
      <c r="AJ16" s="468" t="n"/>
      <c r="AK16" s="468" t="n"/>
      <c r="AL16" s="468" t="n"/>
      <c r="AM16" s="468" t="n"/>
      <c r="AN16" s="468" t="n"/>
      <c r="AO16" s="468" t="n"/>
      <c r="AP16" s="468" t="n"/>
      <c r="AQ16" s="468" t="n"/>
      <c r="AR16" s="468" t="n"/>
      <c r="AS16" s="468" t="n"/>
      <c r="AT16" s="468" t="n"/>
      <c r="AU16" s="468" t="n"/>
      <c r="AV16" s="468" t="n"/>
      <c r="AW16" s="468" t="n"/>
      <c r="AX16" s="468" t="n"/>
      <c r="AY16" s="468" t="n"/>
      <c r="AZ16" s="468" t="n"/>
      <c r="BA16" s="468" t="n"/>
      <c r="BB16" s="468" t="n"/>
      <c r="BC16" s="468" t="n"/>
      <c r="BD16" s="468" t="n"/>
      <c r="BE16" s="468" t="n"/>
      <c r="BF16" s="468" t="n"/>
      <c r="BG16" s="468" t="n"/>
      <c r="BH16" s="468" t="n"/>
      <c r="BI16" s="468" t="n"/>
      <c r="BJ16" s="468" t="n"/>
      <c r="BK16" s="468" t="n"/>
      <c r="BL16" s="468" t="n"/>
      <c r="BM16" s="468" t="n"/>
      <c r="BN16" s="468" t="n"/>
      <c r="BO16" s="468" t="n"/>
      <c r="BP16" s="468" t="n"/>
      <c r="BQ16" s="468" t="n"/>
      <c r="BR16" s="468" t="n"/>
      <c r="BS16" s="468" t="n"/>
      <c r="BT16" s="468" t="n"/>
      <c r="BU16" s="468" t="n"/>
      <c r="BV16" s="468" t="n"/>
      <c r="BW16" s="468" t="n"/>
      <c r="BX16" s="468" t="n"/>
      <c r="BY16" s="468" t="n"/>
      <c r="BZ16" s="468" t="n"/>
      <c r="CA16" s="468" t="n"/>
      <c r="CB16" s="468" t="n"/>
      <c r="CC16" s="468" t="n"/>
      <c r="CD16" s="468" t="n"/>
      <c r="CE16" s="468" t="n"/>
      <c r="CF16" s="468" t="n"/>
      <c r="CG16" s="468" t="n"/>
      <c r="CH16" s="468" t="n"/>
    </row>
    <row r="17" ht="15" customFormat="1" customHeight="1" s="380">
      <c r="A17" s="476" t="inlineStr">
        <is>
          <t>Net Income to Six Peak</t>
        </is>
      </c>
      <c r="B17" s="596">
        <f>SUM(B13:B16)</f>
        <v/>
      </c>
      <c r="C17" s="596">
        <f>SUM(C13:C16)</f>
        <v/>
      </c>
      <c r="D17" s="596">
        <f>SUM(D13:D16)</f>
        <v/>
      </c>
      <c r="E17" s="595" t="n"/>
      <c r="F17" s="595" t="n"/>
      <c r="G17" s="595" t="n"/>
      <c r="H17" s="595" t="n"/>
      <c r="I17" s="595" t="n"/>
      <c r="J17" s="595" t="n"/>
      <c r="K17" s="595" t="n"/>
      <c r="L17" s="595" t="n"/>
      <c r="M17" s="595" t="n"/>
      <c r="N17" s="595" t="n"/>
      <c r="O17" s="595" t="n"/>
      <c r="P17" s="595" t="n"/>
      <c r="Q17" s="595" t="n"/>
      <c r="R17" s="595" t="n"/>
      <c r="S17" s="595" t="n"/>
      <c r="T17" s="595" t="n"/>
      <c r="U17" s="595" t="n"/>
      <c r="V17" s="595" t="n"/>
      <c r="W17" s="595" t="n"/>
      <c r="X17" s="595" t="n"/>
      <c r="Y17" s="595" t="n"/>
      <c r="Z17" s="595" t="n"/>
      <c r="AA17" s="595" t="n"/>
      <c r="AB17" s="595" t="n"/>
      <c r="AC17" s="595" t="n"/>
      <c r="AD17" s="595" t="n"/>
      <c r="AE17" s="595" t="n"/>
      <c r="AF17" s="595" t="n"/>
      <c r="AG17" s="595" t="n"/>
      <c r="AH17" s="595" t="n"/>
      <c r="AI17" s="595" t="n"/>
      <c r="AJ17" s="595" t="n"/>
      <c r="AK17" s="595" t="n"/>
      <c r="AL17" s="595" t="n"/>
      <c r="AM17" s="595" t="n"/>
      <c r="AN17" s="595" t="n"/>
      <c r="AO17" s="595" t="n"/>
      <c r="AP17" s="595" t="n"/>
      <c r="AQ17" s="595" t="n"/>
      <c r="AR17" s="595" t="n"/>
      <c r="AS17" s="595" t="n"/>
      <c r="AT17" s="595" t="n"/>
      <c r="AU17" s="595" t="n"/>
      <c r="AV17" s="595" t="n"/>
      <c r="AW17" s="595" t="n"/>
      <c r="AX17" s="595" t="n"/>
      <c r="AY17" s="595" t="n"/>
      <c r="AZ17" s="595" t="n"/>
      <c r="BA17" s="595" t="n"/>
      <c r="BB17" s="595" t="n"/>
      <c r="BC17" s="595" t="n"/>
      <c r="BD17" s="595" t="n"/>
      <c r="BE17" s="595" t="n"/>
      <c r="BF17" s="595" t="n"/>
      <c r="BG17" s="595" t="n"/>
      <c r="BH17" s="595" t="n"/>
      <c r="BI17" s="595" t="n"/>
      <c r="BJ17" s="595" t="n"/>
      <c r="BK17" s="595" t="n"/>
      <c r="BL17" s="595" t="n"/>
      <c r="BM17" s="595" t="n"/>
      <c r="BN17" s="595" t="n"/>
      <c r="BO17" s="595" t="n"/>
      <c r="BP17" s="595" t="n"/>
      <c r="BQ17" s="595" t="n"/>
      <c r="BR17" s="595" t="n"/>
      <c r="BS17" s="595" t="n"/>
      <c r="BT17" s="595" t="n"/>
      <c r="BU17" s="595" t="n"/>
      <c r="BV17" s="595" t="n"/>
      <c r="BW17" s="595" t="n"/>
      <c r="BX17" s="595" t="n"/>
      <c r="BY17" s="595" t="n"/>
      <c r="BZ17" s="595" t="n"/>
      <c r="CA17" s="595" t="n"/>
      <c r="CB17" s="595" t="n"/>
      <c r="CC17" s="595" t="n"/>
      <c r="CD17" s="595" t="n"/>
      <c r="CE17" s="595" t="n"/>
      <c r="CF17" s="595" t="n"/>
      <c r="CG17" s="595" t="n"/>
      <c r="CH17" s="595" t="n"/>
    </row>
    <row r="18" ht="15" customFormat="1" customHeight="1" s="380">
      <c r="A18" s="704" t="n"/>
      <c r="B18" s="705" t="n"/>
      <c r="C18" s="705" t="n"/>
      <c r="D18" s="705" t="n"/>
      <c r="E18" s="595" t="n"/>
      <c r="F18" s="595" t="n"/>
      <c r="G18" s="595" t="n"/>
      <c r="H18" s="595" t="n"/>
      <c r="I18" s="595" t="n"/>
      <c r="J18" s="595" t="n"/>
      <c r="K18" s="595" t="n"/>
      <c r="L18" s="595" t="n"/>
      <c r="M18" s="595" t="n"/>
      <c r="N18" s="595" t="n"/>
      <c r="O18" s="595" t="n"/>
      <c r="P18" s="595" t="n"/>
      <c r="Q18" s="595" t="n"/>
      <c r="R18" s="595" t="n"/>
      <c r="S18" s="595" t="n"/>
      <c r="T18" s="595" t="n"/>
      <c r="U18" s="595" t="n"/>
      <c r="V18" s="595" t="n"/>
      <c r="W18" s="595" t="n"/>
      <c r="X18" s="595" t="n"/>
      <c r="Y18" s="595" t="n"/>
      <c r="Z18" s="595" t="n"/>
      <c r="AA18" s="595" t="n"/>
      <c r="AB18" s="595" t="n"/>
      <c r="AC18" s="595" t="n"/>
      <c r="AD18" s="595" t="n"/>
      <c r="AE18" s="595" t="n"/>
      <c r="AF18" s="595" t="n"/>
      <c r="AG18" s="595" t="n"/>
      <c r="AH18" s="595" t="n"/>
      <c r="AI18" s="595" t="n"/>
      <c r="AJ18" s="595" t="n"/>
      <c r="AK18" s="595" t="n"/>
      <c r="AL18" s="595" t="n"/>
      <c r="AM18" s="595" t="n"/>
      <c r="AN18" s="595" t="n"/>
      <c r="AO18" s="595" t="n"/>
      <c r="AP18" s="595" t="n"/>
      <c r="AQ18" s="595" t="n"/>
      <c r="AR18" s="595" t="n"/>
      <c r="AS18" s="595" t="n"/>
      <c r="AT18" s="595" t="n"/>
      <c r="AU18" s="595" t="n"/>
      <c r="AV18" s="595" t="n"/>
      <c r="AW18" s="595" t="n"/>
      <c r="AX18" s="595" t="n"/>
      <c r="AY18" s="595" t="n"/>
      <c r="AZ18" s="595" t="n"/>
      <c r="BA18" s="595" t="n"/>
      <c r="BB18" s="595" t="n"/>
      <c r="BC18" s="595" t="n"/>
      <c r="BD18" s="595" t="n"/>
      <c r="BE18" s="595" t="n"/>
      <c r="BF18" s="595" t="n"/>
      <c r="BG18" s="595" t="n"/>
      <c r="BH18" s="595" t="n"/>
      <c r="BI18" s="595" t="n"/>
      <c r="BJ18" s="595" t="n"/>
      <c r="BK18" s="595" t="n"/>
      <c r="BL18" s="595" t="n"/>
      <c r="BM18" s="595" t="n"/>
      <c r="BN18" s="595" t="n"/>
      <c r="BO18" s="595" t="n"/>
      <c r="BP18" s="595" t="n"/>
      <c r="BQ18" s="595" t="n"/>
      <c r="BR18" s="595" t="n"/>
      <c r="BS18" s="595" t="n"/>
      <c r="BT18" s="595" t="n"/>
      <c r="BU18" s="595" t="n"/>
      <c r="BV18" s="595" t="n"/>
      <c r="BW18" s="595" t="n"/>
      <c r="BX18" s="595" t="n"/>
      <c r="BY18" s="595" t="n"/>
      <c r="BZ18" s="595" t="n"/>
      <c r="CA18" s="595" t="n"/>
      <c r="CB18" s="595" t="n"/>
      <c r="CC18" s="595" t="n"/>
      <c r="CD18" s="595" t="n"/>
      <c r="CE18" s="595" t="n"/>
      <c r="CF18" s="595" t="n"/>
      <c r="CG18" s="595" t="n"/>
      <c r="CH18" s="595" t="n"/>
    </row>
    <row r="19" ht="15" customFormat="1" customHeight="1" s="380">
      <c r="A19" s="706" t="inlineStr">
        <is>
          <t>Reseda</t>
        </is>
      </c>
      <c r="B19" s="707" t="n"/>
      <c r="C19" s="707" t="n"/>
      <c r="D19" s="707" t="n"/>
      <c r="E19" s="595" t="n"/>
      <c r="F19" s="595" t="n"/>
      <c r="G19" s="595" t="n"/>
      <c r="H19" s="595" t="n"/>
      <c r="I19" s="595" t="n"/>
      <c r="J19" s="595" t="n"/>
      <c r="K19" s="595" t="n"/>
      <c r="L19" s="595" t="n"/>
      <c r="M19" s="595" t="n"/>
      <c r="N19" s="595" t="n"/>
      <c r="O19" s="595" t="n"/>
      <c r="P19" s="595" t="n"/>
      <c r="Q19" s="595" t="n"/>
      <c r="R19" s="595" t="n"/>
      <c r="S19" s="595" t="n"/>
      <c r="T19" s="595" t="n"/>
      <c r="U19" s="595" t="n"/>
      <c r="V19" s="595" t="n"/>
      <c r="W19" s="595" t="n"/>
      <c r="X19" s="595" t="n"/>
      <c r="Y19" s="595" t="n"/>
      <c r="Z19" s="595" t="n"/>
      <c r="AA19" s="595" t="n"/>
      <c r="AB19" s="595" t="n"/>
      <c r="AC19" s="595" t="n"/>
      <c r="AD19" s="595" t="n"/>
      <c r="AE19" s="595" t="n"/>
      <c r="AF19" s="595" t="n"/>
      <c r="AG19" s="595" t="n"/>
      <c r="AH19" s="595" t="n"/>
      <c r="AI19" s="595" t="n"/>
      <c r="AJ19" s="595" t="n"/>
      <c r="AK19" s="595" t="n"/>
      <c r="AL19" s="595" t="n"/>
      <c r="AM19" s="595" t="n"/>
      <c r="AN19" s="595" t="n"/>
      <c r="AO19" s="595" t="n"/>
      <c r="AP19" s="595" t="n"/>
      <c r="AQ19" s="595" t="n"/>
      <c r="AR19" s="595" t="n"/>
      <c r="AS19" s="595" t="n"/>
      <c r="AT19" s="595" t="n"/>
      <c r="AU19" s="595" t="n"/>
      <c r="AV19" s="595" t="n"/>
      <c r="AW19" s="595" t="n"/>
      <c r="AX19" s="595" t="n"/>
      <c r="AY19" s="595" t="n"/>
      <c r="AZ19" s="595" t="n"/>
      <c r="BA19" s="595" t="n"/>
      <c r="BB19" s="595" t="n"/>
      <c r="BC19" s="595" t="n"/>
      <c r="BD19" s="595" t="n"/>
      <c r="BE19" s="595" t="n"/>
      <c r="BF19" s="595" t="n"/>
      <c r="BG19" s="595" t="n"/>
      <c r="BH19" s="595" t="n"/>
      <c r="BI19" s="595" t="n"/>
      <c r="BJ19" s="595" t="n"/>
      <c r="BK19" s="595" t="n"/>
      <c r="BL19" s="595" t="n"/>
      <c r="BM19" s="595" t="n"/>
      <c r="BN19" s="595" t="n"/>
      <c r="BO19" s="595" t="n"/>
      <c r="BP19" s="595" t="n"/>
      <c r="BQ19" s="595" t="n"/>
      <c r="BR19" s="595" t="n"/>
      <c r="BS19" s="595" t="n"/>
      <c r="BT19" s="595" t="n"/>
      <c r="BU19" s="595" t="n"/>
      <c r="BV19" s="595" t="n"/>
      <c r="BW19" s="595" t="n"/>
      <c r="BX19" s="595" t="n"/>
      <c r="BY19" s="595" t="n"/>
      <c r="BZ19" s="595" t="n"/>
      <c r="CA19" s="595" t="n"/>
      <c r="CB19" s="595" t="n"/>
      <c r="CC19" s="595" t="n"/>
      <c r="CD19" s="595" t="n"/>
      <c r="CE19" s="595" t="n"/>
      <c r="CF19" s="595" t="n"/>
      <c r="CG19" s="595" t="n"/>
      <c r="CH19" s="595" t="n"/>
    </row>
    <row r="20" ht="15" customFormat="1" customHeight="1" s="380">
      <c r="A20" s="708" t="inlineStr">
        <is>
          <t>LIHTC Revenue</t>
        </is>
      </c>
      <c r="B20" s="709">
        <f>SUM(Model!E165:CG165)</f>
        <v/>
      </c>
      <c r="C20" s="709">
        <f>Helpers!B49</f>
        <v/>
      </c>
      <c r="D20" s="709">
        <f>B20+C20</f>
        <v/>
      </c>
      <c r="E20" s="468" t="n"/>
      <c r="F20" s="468" t="n"/>
      <c r="G20" s="468" t="n"/>
      <c r="H20" s="468" t="n"/>
      <c r="I20" s="468" t="n"/>
      <c r="J20" s="468" t="n"/>
      <c r="K20" s="468" t="n"/>
      <c r="L20" s="468" t="n"/>
      <c r="M20" s="468" t="n"/>
      <c r="N20" s="468" t="n"/>
      <c r="O20" s="468" t="n"/>
      <c r="P20" s="468" t="n"/>
      <c r="Q20" s="468" t="n"/>
      <c r="R20" s="468" t="n"/>
      <c r="S20" s="468" t="n"/>
      <c r="T20" s="468" t="n"/>
      <c r="U20" s="468" t="n"/>
      <c r="V20" s="468" t="n"/>
      <c r="W20" s="468" t="n"/>
      <c r="X20" s="468" t="n"/>
      <c r="Y20" s="468" t="n"/>
      <c r="Z20" s="468" t="n"/>
      <c r="AA20" s="468" t="n"/>
      <c r="AB20" s="468" t="n"/>
      <c r="AC20" s="468" t="n"/>
      <c r="AD20" s="468" t="n"/>
      <c r="AE20" s="468" t="n"/>
      <c r="AF20" s="468" t="n"/>
      <c r="AG20" s="468" t="n"/>
      <c r="AH20" s="468" t="n"/>
      <c r="AI20" s="468" t="n"/>
      <c r="AJ20" s="468" t="n"/>
      <c r="AK20" s="468" t="n"/>
      <c r="AL20" s="468" t="n"/>
      <c r="AM20" s="468" t="n"/>
      <c r="AN20" s="468" t="n"/>
      <c r="AO20" s="468" t="n"/>
      <c r="AP20" s="468" t="n"/>
      <c r="AQ20" s="468" t="n"/>
      <c r="AR20" s="468" t="n"/>
      <c r="AS20" s="468" t="n"/>
      <c r="AT20" s="468" t="n"/>
      <c r="AU20" s="468" t="n"/>
      <c r="AV20" s="468" t="n"/>
      <c r="AW20" s="468" t="n"/>
      <c r="AX20" s="468" t="n"/>
      <c r="AY20" s="468" t="n"/>
      <c r="AZ20" s="468" t="n"/>
      <c r="BA20" s="468" t="n"/>
      <c r="BB20" s="468" t="n"/>
      <c r="BC20" s="468" t="n"/>
      <c r="BD20" s="468" t="n"/>
      <c r="BE20" s="468" t="n"/>
      <c r="BF20" s="468" t="n"/>
      <c r="BG20" s="468" t="n"/>
      <c r="BH20" s="468" t="n"/>
      <c r="BI20" s="468" t="n"/>
      <c r="BJ20" s="468" t="n"/>
      <c r="BK20" s="468" t="n"/>
      <c r="BL20" s="468" t="n"/>
      <c r="BM20" s="468" t="n"/>
      <c r="BN20" s="468" t="n"/>
      <c r="BO20" s="468" t="n"/>
      <c r="BP20" s="468" t="n"/>
      <c r="BQ20" s="468" t="n"/>
      <c r="BR20" s="468" t="n"/>
      <c r="BS20" s="468" t="n"/>
      <c r="BT20" s="468" t="n"/>
      <c r="BU20" s="468" t="n"/>
      <c r="BV20" s="468" t="n"/>
      <c r="BW20" s="468" t="n"/>
      <c r="BX20" s="468" t="n"/>
      <c r="BY20" s="468" t="n"/>
      <c r="BZ20" s="468" t="n"/>
      <c r="CA20" s="468" t="n"/>
      <c r="CB20" s="468" t="n"/>
      <c r="CC20" s="468" t="n"/>
      <c r="CD20" s="468" t="n"/>
      <c r="CE20" s="468" t="n"/>
      <c r="CF20" s="468" t="n"/>
      <c r="CG20" s="468" t="n"/>
      <c r="CH20" s="468" t="n"/>
    </row>
    <row r="21" ht="15" customFormat="1" customHeight="1" s="380">
      <c r="A21" s="710" t="inlineStr">
        <is>
          <t>GMP Fee (1%)</t>
        </is>
      </c>
      <c r="B21" s="711">
        <f>-Projects!$B$13*Assumptions!$B$47</f>
        <v/>
      </c>
      <c r="C21" s="711" t="n">
        <v>0</v>
      </c>
      <c r="D21" s="711">
        <f>B21+C21</f>
        <v/>
      </c>
      <c r="E21" s="468" t="n"/>
      <c r="F21" s="468" t="n"/>
      <c r="G21" s="468" t="n"/>
      <c r="H21" s="468" t="n"/>
      <c r="I21" s="468" t="n"/>
      <c r="J21" s="468" t="n"/>
      <c r="K21" s="468" t="n"/>
      <c r="L21" s="468" t="n"/>
      <c r="M21" s="468" t="n"/>
      <c r="N21" s="468" t="n"/>
      <c r="O21" s="468" t="n"/>
      <c r="P21" s="468" t="n"/>
      <c r="Q21" s="468" t="n"/>
      <c r="R21" s="468" t="n"/>
      <c r="S21" s="468" t="n"/>
      <c r="T21" s="468" t="n"/>
      <c r="U21" s="468" t="n"/>
      <c r="V21" s="468" t="n"/>
      <c r="W21" s="468" t="n"/>
      <c r="X21" s="468" t="n"/>
      <c r="Y21" s="468" t="n"/>
      <c r="Z21" s="468" t="n"/>
      <c r="AA21" s="468" t="n"/>
      <c r="AB21" s="468" t="n"/>
      <c r="AC21" s="468" t="n"/>
      <c r="AD21" s="468" t="n"/>
      <c r="AE21" s="468" t="n"/>
      <c r="AF21" s="468" t="n"/>
      <c r="AG21" s="468" t="n"/>
      <c r="AH21" s="468" t="n"/>
      <c r="AI21" s="468" t="n"/>
      <c r="AJ21" s="468" t="n"/>
      <c r="AK21" s="468" t="n"/>
      <c r="AL21" s="468" t="n"/>
      <c r="AM21" s="468" t="n"/>
      <c r="AN21" s="468" t="n"/>
      <c r="AO21" s="468" t="n"/>
      <c r="AP21" s="468" t="n"/>
      <c r="AQ21" s="468" t="n"/>
      <c r="AR21" s="468" t="n"/>
      <c r="AS21" s="468" t="n"/>
      <c r="AT21" s="468" t="n"/>
      <c r="AU21" s="468" t="n"/>
      <c r="AV21" s="468" t="n"/>
      <c r="AW21" s="468" t="n"/>
      <c r="AX21" s="468" t="n"/>
      <c r="AY21" s="468" t="n"/>
      <c r="AZ21" s="468" t="n"/>
      <c r="BA21" s="468" t="n"/>
      <c r="BB21" s="468" t="n"/>
      <c r="BC21" s="468" t="n"/>
      <c r="BD21" s="468" t="n"/>
      <c r="BE21" s="468" t="n"/>
      <c r="BF21" s="468" t="n"/>
      <c r="BG21" s="468" t="n"/>
      <c r="BH21" s="468" t="n"/>
      <c r="BI21" s="468" t="n"/>
      <c r="BJ21" s="468" t="n"/>
      <c r="BK21" s="468" t="n"/>
      <c r="BL21" s="468" t="n"/>
      <c r="BM21" s="468" t="n"/>
      <c r="BN21" s="468" t="n"/>
      <c r="BO21" s="468" t="n"/>
      <c r="BP21" s="468" t="n"/>
      <c r="BQ21" s="468" t="n"/>
      <c r="BR21" s="468" t="n"/>
      <c r="BS21" s="468" t="n"/>
      <c r="BT21" s="468" t="n"/>
      <c r="BU21" s="468" t="n"/>
      <c r="BV21" s="468" t="n"/>
      <c r="BW21" s="468" t="n"/>
      <c r="BX21" s="468" t="n"/>
      <c r="BY21" s="468" t="n"/>
      <c r="BZ21" s="468" t="n"/>
      <c r="CA21" s="468" t="n"/>
      <c r="CB21" s="468" t="n"/>
      <c r="CC21" s="468" t="n"/>
      <c r="CD21" s="468" t="n"/>
      <c r="CE21" s="468" t="n"/>
      <c r="CF21" s="468" t="n"/>
      <c r="CG21" s="468" t="n"/>
      <c r="CH21" s="468" t="n"/>
    </row>
    <row r="22" ht="15" customFormat="1" customHeight="1" s="380">
      <c r="A22" s="708" t="inlineStr">
        <is>
          <t>Liquidity Guarantee Fee (3%)</t>
        </is>
      </c>
      <c r="B22" s="709">
        <f>-Assumptions!$B$54*Assumptions!$B$48</f>
        <v/>
      </c>
      <c r="C22" s="709" t="n">
        <v>0</v>
      </c>
      <c r="D22" s="709">
        <f>B22+C22</f>
        <v/>
      </c>
      <c r="E22" s="595" t="n"/>
      <c r="F22" s="595" t="n"/>
      <c r="G22" s="595" t="n"/>
      <c r="H22" s="595" t="n"/>
      <c r="I22" s="595" t="n"/>
      <c r="J22" s="595" t="n"/>
      <c r="K22" s="595" t="n"/>
      <c r="L22" s="595" t="n"/>
      <c r="M22" s="595" t="n"/>
      <c r="N22" s="595" t="n"/>
      <c r="O22" s="595" t="n"/>
      <c r="P22" s="595" t="n"/>
      <c r="Q22" s="595" t="n"/>
      <c r="R22" s="595" t="n"/>
      <c r="S22" s="595" t="n"/>
      <c r="T22" s="595" t="n"/>
      <c r="U22" s="595" t="n"/>
      <c r="V22" s="595" t="n"/>
      <c r="W22" s="595" t="n"/>
      <c r="X22" s="595" t="n"/>
      <c r="Y22" s="595" t="n"/>
      <c r="Z22" s="595" t="n"/>
      <c r="AA22" s="595" t="n"/>
      <c r="AB22" s="595" t="n"/>
      <c r="AC22" s="595" t="n"/>
      <c r="AD22" s="595" t="n"/>
      <c r="AE22" s="595" t="n"/>
      <c r="AF22" s="595" t="n"/>
      <c r="AG22" s="595" t="n"/>
      <c r="AH22" s="595" t="n"/>
      <c r="AI22" s="595" t="n"/>
      <c r="AJ22" s="595" t="n"/>
      <c r="AK22" s="595" t="n"/>
      <c r="AL22" s="595" t="n"/>
      <c r="AM22" s="595" t="n"/>
      <c r="AN22" s="595" t="n"/>
      <c r="AO22" s="595" t="n"/>
      <c r="AP22" s="595" t="n"/>
      <c r="AQ22" s="595" t="n"/>
      <c r="AR22" s="595" t="n"/>
      <c r="AS22" s="595" t="n"/>
      <c r="AT22" s="595" t="n"/>
      <c r="AU22" s="595" t="n"/>
      <c r="AV22" s="595" t="n"/>
      <c r="AW22" s="595" t="n"/>
      <c r="AX22" s="595" t="n"/>
      <c r="AY22" s="595" t="n"/>
      <c r="AZ22" s="595" t="n"/>
      <c r="BA22" s="595" t="n"/>
      <c r="BB22" s="595" t="n"/>
      <c r="BC22" s="595" t="n"/>
      <c r="BD22" s="595" t="n"/>
      <c r="BE22" s="595" t="n"/>
      <c r="BF22" s="595" t="n"/>
      <c r="BG22" s="595" t="n"/>
      <c r="BH22" s="595" t="n"/>
      <c r="BI22" s="595" t="n"/>
      <c r="BJ22" s="595" t="n"/>
      <c r="BK22" s="595" t="n"/>
      <c r="BL22" s="595" t="n"/>
      <c r="BM22" s="595" t="n"/>
      <c r="BN22" s="595" t="n"/>
      <c r="BO22" s="595" t="n"/>
      <c r="BP22" s="595" t="n"/>
      <c r="BQ22" s="595" t="n"/>
      <c r="BR22" s="595" t="n"/>
      <c r="BS22" s="595" t="n"/>
      <c r="BT22" s="595" t="n"/>
      <c r="BU22" s="595" t="n"/>
      <c r="BV22" s="595" t="n"/>
      <c r="BW22" s="595" t="n"/>
      <c r="BX22" s="595" t="n"/>
      <c r="BY22" s="595" t="n"/>
      <c r="BZ22" s="595" t="n"/>
      <c r="CA22" s="595" t="n"/>
      <c r="CB22" s="595" t="n"/>
      <c r="CC22" s="595" t="n"/>
      <c r="CD22" s="595" t="n"/>
      <c r="CE22" s="595" t="n"/>
      <c r="CF22" s="595" t="n"/>
      <c r="CG22" s="595" t="n"/>
      <c r="CH22" s="595" t="n"/>
    </row>
    <row r="23" ht="15" customFormat="1" customHeight="1" s="380">
      <c r="A23" s="468" t="inlineStr">
        <is>
          <t>PIK Interest</t>
        </is>
      </c>
      <c r="B23" s="595">
        <f>-SUM(Model!E246:CG246)</f>
        <v/>
      </c>
      <c r="C23" s="595" t="n">
        <v>0</v>
      </c>
      <c r="D23" s="595">
        <f>B23+C23</f>
        <v/>
      </c>
      <c r="E23" s="595" t="n"/>
      <c r="F23" s="595" t="n"/>
      <c r="G23" s="595" t="n"/>
      <c r="H23" s="595" t="n"/>
      <c r="I23" s="595" t="n"/>
      <c r="J23" s="595" t="n"/>
      <c r="K23" s="595" t="n"/>
      <c r="L23" s="595" t="n"/>
      <c r="M23" s="595" t="n"/>
      <c r="N23" s="595" t="n"/>
      <c r="O23" s="595" t="n"/>
      <c r="P23" s="595" t="n"/>
      <c r="Q23" s="595" t="n"/>
      <c r="R23" s="595" t="n"/>
      <c r="S23" s="595" t="n"/>
      <c r="T23" s="595" t="n"/>
      <c r="U23" s="595" t="n"/>
      <c r="V23" s="595" t="n"/>
      <c r="W23" s="595" t="n"/>
      <c r="X23" s="595" t="n"/>
      <c r="Y23" s="595" t="n"/>
      <c r="Z23" s="595" t="n"/>
      <c r="AA23" s="595" t="n"/>
      <c r="AB23" s="595" t="n"/>
      <c r="AC23" s="595" t="n"/>
      <c r="AD23" s="595" t="n"/>
      <c r="AE23" s="595" t="n"/>
      <c r="AF23" s="595" t="n"/>
      <c r="AG23" s="595" t="n"/>
      <c r="AH23" s="595" t="n"/>
      <c r="AI23" s="595" t="n"/>
      <c r="AJ23" s="595" t="n"/>
      <c r="AK23" s="595" t="n"/>
      <c r="AL23" s="595" t="n"/>
      <c r="AM23" s="595" t="n"/>
      <c r="AN23" s="595" t="n"/>
      <c r="AO23" s="595" t="n"/>
      <c r="AP23" s="595" t="n"/>
      <c r="AQ23" s="595" t="n"/>
      <c r="AR23" s="595" t="n"/>
      <c r="AS23" s="595" t="n"/>
      <c r="AT23" s="595" t="n"/>
      <c r="AU23" s="595" t="n"/>
      <c r="AV23" s="595" t="n"/>
      <c r="AW23" s="595" t="n"/>
      <c r="AX23" s="595" t="n"/>
      <c r="AY23" s="595" t="n"/>
      <c r="AZ23" s="595" t="n"/>
      <c r="BA23" s="595" t="n"/>
      <c r="BB23" s="595" t="n"/>
      <c r="BC23" s="595" t="n"/>
      <c r="BD23" s="595" t="n"/>
      <c r="BE23" s="595" t="n"/>
      <c r="BF23" s="595" t="n"/>
      <c r="BG23" s="595" t="n"/>
      <c r="BH23" s="595" t="n"/>
      <c r="BI23" s="595" t="n"/>
      <c r="BJ23" s="595" t="n"/>
      <c r="BK23" s="595" t="n"/>
      <c r="BL23" s="595" t="n"/>
      <c r="BM23" s="595" t="n"/>
      <c r="BN23" s="595" t="n"/>
      <c r="BO23" s="595" t="n"/>
      <c r="BP23" s="595" t="n"/>
      <c r="BQ23" s="595" t="n"/>
      <c r="BR23" s="595" t="n"/>
      <c r="BS23" s="595" t="n"/>
      <c r="BT23" s="595" t="n"/>
      <c r="BU23" s="595" t="n"/>
      <c r="BV23" s="595" t="n"/>
      <c r="BW23" s="595" t="n"/>
      <c r="BX23" s="595" t="n"/>
      <c r="BY23" s="595" t="n"/>
      <c r="BZ23" s="595" t="n"/>
      <c r="CA23" s="595" t="n"/>
      <c r="CB23" s="595" t="n"/>
      <c r="CC23" s="595" t="n"/>
      <c r="CD23" s="595" t="n"/>
      <c r="CE23" s="595" t="n"/>
      <c r="CF23" s="595" t="n"/>
      <c r="CG23" s="595" t="n"/>
      <c r="CH23" s="595" t="n"/>
    </row>
    <row r="24" ht="15" customFormat="1" customHeight="1" s="380">
      <c r="A24" s="609" t="inlineStr">
        <is>
          <t>Net Income to Six Peak</t>
        </is>
      </c>
      <c r="B24" s="610">
        <f>SUM(B20:B23)</f>
        <v/>
      </c>
      <c r="C24" s="610">
        <f>SUM(C20:C23)</f>
        <v/>
      </c>
      <c r="D24" s="610">
        <f>SUM(D20:D23)</f>
        <v/>
      </c>
      <c r="E24" s="595" t="n"/>
      <c r="F24" s="595" t="n"/>
      <c r="G24" s="595" t="n"/>
      <c r="H24" s="595" t="n"/>
      <c r="I24" s="595" t="n"/>
      <c r="J24" s="595" t="n"/>
      <c r="K24" s="595" t="n"/>
      <c r="L24" s="595" t="n"/>
      <c r="M24" s="595" t="n"/>
      <c r="N24" s="595" t="n"/>
      <c r="O24" s="595" t="n"/>
      <c r="P24" s="595" t="n"/>
      <c r="Q24" s="595" t="n"/>
      <c r="R24" s="595" t="n"/>
      <c r="S24" s="595" t="n"/>
      <c r="T24" s="595" t="n"/>
      <c r="U24" s="595" t="n"/>
      <c r="V24" s="595" t="n"/>
      <c r="W24" s="595" t="n"/>
      <c r="X24" s="595" t="n"/>
      <c r="Y24" s="595" t="n"/>
      <c r="Z24" s="595" t="n"/>
      <c r="AA24" s="595" t="n"/>
      <c r="AB24" s="595" t="n"/>
      <c r="AC24" s="595" t="n"/>
      <c r="AD24" s="595" t="n"/>
      <c r="AE24" s="595" t="n"/>
      <c r="AF24" s="595" t="n"/>
      <c r="AG24" s="595" t="n"/>
      <c r="AH24" s="595" t="n"/>
      <c r="AI24" s="595" t="n"/>
      <c r="AJ24" s="595" t="n"/>
      <c r="AK24" s="595" t="n"/>
      <c r="AL24" s="595" t="n"/>
      <c r="AM24" s="595" t="n"/>
      <c r="AN24" s="595" t="n"/>
      <c r="AO24" s="595" t="n"/>
      <c r="AP24" s="595" t="n"/>
      <c r="AQ24" s="595" t="n"/>
      <c r="AR24" s="595" t="n"/>
      <c r="AS24" s="595" t="n"/>
      <c r="AT24" s="595" t="n"/>
      <c r="AU24" s="595" t="n"/>
      <c r="AV24" s="595" t="n"/>
      <c r="AW24" s="595" t="n"/>
      <c r="AX24" s="595" t="n"/>
      <c r="AY24" s="595" t="n"/>
      <c r="AZ24" s="595" t="n"/>
      <c r="BA24" s="595" t="n"/>
      <c r="BB24" s="595" t="n"/>
      <c r="BC24" s="595" t="n"/>
      <c r="BD24" s="595" t="n"/>
      <c r="BE24" s="595" t="n"/>
      <c r="BF24" s="595" t="n"/>
      <c r="BG24" s="595" t="n"/>
      <c r="BH24" s="595" t="n"/>
      <c r="BI24" s="595" t="n"/>
      <c r="BJ24" s="595" t="n"/>
      <c r="BK24" s="595" t="n"/>
      <c r="BL24" s="595" t="n"/>
      <c r="BM24" s="595" t="n"/>
      <c r="BN24" s="595" t="n"/>
      <c r="BO24" s="595" t="n"/>
      <c r="BP24" s="595" t="n"/>
      <c r="BQ24" s="595" t="n"/>
      <c r="BR24" s="595" t="n"/>
      <c r="BS24" s="595" t="n"/>
      <c r="BT24" s="595" t="n"/>
      <c r="BU24" s="595" t="n"/>
      <c r="BV24" s="595" t="n"/>
      <c r="BW24" s="595" t="n"/>
      <c r="BX24" s="595" t="n"/>
      <c r="BY24" s="595" t="n"/>
      <c r="BZ24" s="595" t="n"/>
      <c r="CA24" s="595" t="n"/>
      <c r="CB24" s="595" t="n"/>
      <c r="CC24" s="595" t="n"/>
      <c r="CD24" s="595" t="n"/>
      <c r="CE24" s="595" t="n"/>
      <c r="CF24" s="595" t="n"/>
      <c r="CG24" s="595" t="n"/>
      <c r="CH24" s="595" t="n"/>
    </row>
    <row r="25" ht="15" customFormat="1" customHeight="1" s="380">
      <c r="A25" s="685" t="n"/>
      <c r="B25" s="712" t="n"/>
      <c r="C25" s="712" t="n"/>
      <c r="D25" s="712" t="n"/>
      <c r="E25" s="595" t="n"/>
      <c r="F25" s="595" t="n"/>
      <c r="G25" s="595" t="n"/>
      <c r="H25" s="595" t="n"/>
      <c r="I25" s="595" t="n"/>
      <c r="J25" s="595" t="n"/>
      <c r="K25" s="595" t="n"/>
      <c r="L25" s="595" t="n"/>
      <c r="M25" s="595" t="n"/>
      <c r="N25" s="595" t="n"/>
      <c r="O25" s="595" t="n"/>
      <c r="P25" s="595" t="n"/>
      <c r="Q25" s="595" t="n"/>
      <c r="R25" s="595" t="n"/>
      <c r="S25" s="595" t="n"/>
      <c r="T25" s="595" t="n"/>
      <c r="U25" s="595" t="n"/>
      <c r="V25" s="595" t="n"/>
      <c r="W25" s="595" t="n"/>
      <c r="X25" s="595" t="n"/>
      <c r="Y25" s="595" t="n"/>
      <c r="Z25" s="595" t="n"/>
      <c r="AA25" s="595" t="n"/>
      <c r="AB25" s="595" t="n"/>
      <c r="AC25" s="595" t="n"/>
      <c r="AD25" s="595" t="n"/>
      <c r="AE25" s="595" t="n"/>
      <c r="AF25" s="595" t="n"/>
      <c r="AG25" s="595" t="n"/>
      <c r="AH25" s="595" t="n"/>
      <c r="AI25" s="595" t="n"/>
      <c r="AJ25" s="595" t="n"/>
      <c r="AK25" s="595" t="n"/>
      <c r="AL25" s="595" t="n"/>
      <c r="AM25" s="595" t="n"/>
      <c r="AN25" s="595" t="n"/>
      <c r="AO25" s="595" t="n"/>
      <c r="AP25" s="595" t="n"/>
      <c r="AQ25" s="595" t="n"/>
      <c r="AR25" s="595" t="n"/>
      <c r="AS25" s="595" t="n"/>
      <c r="AT25" s="595" t="n"/>
      <c r="AU25" s="595" t="n"/>
      <c r="AV25" s="595" t="n"/>
      <c r="AW25" s="595" t="n"/>
      <c r="AX25" s="595" t="n"/>
      <c r="AY25" s="595" t="n"/>
      <c r="AZ25" s="595" t="n"/>
      <c r="BA25" s="595" t="n"/>
      <c r="BB25" s="595" t="n"/>
      <c r="BC25" s="595" t="n"/>
      <c r="BD25" s="595" t="n"/>
      <c r="BE25" s="595" t="n"/>
      <c r="BF25" s="595" t="n"/>
      <c r="BG25" s="595" t="n"/>
      <c r="BH25" s="595" t="n"/>
      <c r="BI25" s="595" t="n"/>
      <c r="BJ25" s="595" t="n"/>
      <c r="BK25" s="595" t="n"/>
      <c r="BL25" s="595" t="n"/>
      <c r="BM25" s="595" t="n"/>
      <c r="BN25" s="595" t="n"/>
      <c r="BO25" s="595" t="n"/>
      <c r="BP25" s="595" t="n"/>
      <c r="BQ25" s="595" t="n"/>
      <c r="BR25" s="595" t="n"/>
      <c r="BS25" s="595" t="n"/>
      <c r="BT25" s="595" t="n"/>
      <c r="BU25" s="595" t="n"/>
      <c r="BV25" s="595" t="n"/>
      <c r="BW25" s="595" t="n"/>
      <c r="BX25" s="595" t="n"/>
      <c r="BY25" s="595" t="n"/>
      <c r="BZ25" s="595" t="n"/>
      <c r="CA25" s="595" t="n"/>
      <c r="CB25" s="595" t="n"/>
      <c r="CC25" s="595" t="n"/>
      <c r="CD25" s="595" t="n"/>
      <c r="CE25" s="595" t="n"/>
      <c r="CF25" s="595" t="n"/>
      <c r="CG25" s="595" t="n"/>
      <c r="CH25" s="595" t="n"/>
    </row>
    <row r="26" ht="15" customFormat="1" customHeight="1" s="380">
      <c r="A26" s="713" t="inlineStr">
        <is>
          <t>COMBINED</t>
        </is>
      </c>
      <c r="B26" s="714" t="n"/>
      <c r="C26" s="714" t="n"/>
      <c r="D26" s="714" t="n"/>
      <c r="E26" s="595" t="n"/>
      <c r="F26" s="595" t="n"/>
      <c r="G26" s="595" t="n"/>
      <c r="H26" s="595" t="n"/>
      <c r="I26" s="595" t="n"/>
      <c r="J26" s="595" t="n"/>
      <c r="K26" s="595" t="n"/>
      <c r="L26" s="595" t="n"/>
      <c r="M26" s="595" t="n"/>
      <c r="N26" s="595" t="n"/>
      <c r="O26" s="595" t="n"/>
      <c r="P26" s="595" t="n"/>
      <c r="Q26" s="595" t="n"/>
      <c r="R26" s="595" t="n"/>
      <c r="S26" s="595" t="n"/>
      <c r="T26" s="595" t="n"/>
      <c r="U26" s="595" t="n"/>
      <c r="V26" s="595" t="n"/>
      <c r="W26" s="595" t="n"/>
      <c r="X26" s="595" t="n"/>
      <c r="Y26" s="595" t="n"/>
      <c r="Z26" s="595" t="n"/>
      <c r="AA26" s="595" t="n"/>
      <c r="AB26" s="595" t="n"/>
      <c r="AC26" s="595" t="n"/>
      <c r="AD26" s="595" t="n"/>
      <c r="AE26" s="595" t="n"/>
      <c r="AF26" s="595" t="n"/>
      <c r="AG26" s="595" t="n"/>
      <c r="AH26" s="595" t="n"/>
      <c r="AI26" s="595" t="n"/>
      <c r="AJ26" s="595" t="n"/>
      <c r="AK26" s="595" t="n"/>
      <c r="AL26" s="595" t="n"/>
      <c r="AM26" s="595" t="n"/>
      <c r="AN26" s="595" t="n"/>
      <c r="AO26" s="595" t="n"/>
      <c r="AP26" s="595" t="n"/>
      <c r="AQ26" s="595" t="n"/>
      <c r="AR26" s="595" t="n"/>
      <c r="AS26" s="595" t="n"/>
      <c r="AT26" s="595" t="n"/>
      <c r="AU26" s="595" t="n"/>
      <c r="AV26" s="595" t="n"/>
      <c r="AW26" s="595" t="n"/>
      <c r="AX26" s="595" t="n"/>
      <c r="AY26" s="595" t="n"/>
      <c r="AZ26" s="595" t="n"/>
      <c r="BA26" s="595" t="n"/>
      <c r="BB26" s="595" t="n"/>
      <c r="BC26" s="595" t="n"/>
      <c r="BD26" s="595" t="n"/>
      <c r="BE26" s="595" t="n"/>
      <c r="BF26" s="595" t="n"/>
      <c r="BG26" s="595" t="n"/>
      <c r="BH26" s="595" t="n"/>
      <c r="BI26" s="595" t="n"/>
      <c r="BJ26" s="595" t="n"/>
      <c r="BK26" s="595" t="n"/>
      <c r="BL26" s="595" t="n"/>
      <c r="BM26" s="595" t="n"/>
      <c r="BN26" s="595" t="n"/>
      <c r="BO26" s="595" t="n"/>
      <c r="BP26" s="595" t="n"/>
      <c r="BQ26" s="595" t="n"/>
      <c r="BR26" s="595" t="n"/>
      <c r="BS26" s="595" t="n"/>
      <c r="BT26" s="595" t="n"/>
      <c r="BU26" s="595" t="n"/>
      <c r="BV26" s="595" t="n"/>
      <c r="BW26" s="595" t="n"/>
      <c r="BX26" s="595" t="n"/>
      <c r="BY26" s="595" t="n"/>
      <c r="BZ26" s="595" t="n"/>
      <c r="CA26" s="595" t="n"/>
      <c r="CB26" s="595" t="n"/>
      <c r="CC26" s="595" t="n"/>
      <c r="CD26" s="595" t="n"/>
      <c r="CE26" s="595" t="n"/>
      <c r="CF26" s="595" t="n"/>
      <c r="CG26" s="595" t="n"/>
      <c r="CH26" s="595" t="n"/>
    </row>
    <row r="27" ht="15" customFormat="1" customHeight="1" s="380">
      <c r="A27" s="715" t="inlineStr">
        <is>
          <t>Total LIHTC Revenue</t>
        </is>
      </c>
      <c r="B27" s="716">
        <f>B6+B13+B20</f>
        <v/>
      </c>
      <c r="C27" s="716">
        <f>C6+C13+C20</f>
        <v/>
      </c>
      <c r="D27" s="716">
        <f>D6+D13+D20</f>
        <v/>
      </c>
      <c r="E27" s="468" t="n"/>
      <c r="F27" s="468" t="n"/>
      <c r="G27" s="468" t="n"/>
      <c r="H27" s="468" t="n"/>
      <c r="I27" s="468" t="n"/>
      <c r="J27" s="468" t="n"/>
      <c r="K27" s="468" t="n"/>
      <c r="L27" s="468" t="n"/>
      <c r="M27" s="468" t="n"/>
      <c r="N27" s="468" t="n"/>
      <c r="O27" s="468" t="n"/>
      <c r="P27" s="468" t="n"/>
      <c r="Q27" s="468" t="n"/>
      <c r="R27" s="468" t="n"/>
      <c r="S27" s="468" t="n"/>
      <c r="T27" s="468" t="n"/>
      <c r="U27" s="468" t="n"/>
      <c r="V27" s="468" t="n"/>
      <c r="W27" s="468" t="n"/>
      <c r="X27" s="468" t="n"/>
      <c r="Y27" s="468" t="n"/>
      <c r="Z27" s="468" t="n"/>
      <c r="AA27" s="468" t="n"/>
      <c r="AB27" s="468" t="n"/>
      <c r="AC27" s="468" t="n"/>
      <c r="AD27" s="468" t="n"/>
      <c r="AE27" s="468" t="n"/>
      <c r="AF27" s="468" t="n"/>
      <c r="AG27" s="468" t="n"/>
      <c r="AH27" s="468" t="n"/>
      <c r="AI27" s="468" t="n"/>
      <c r="AJ27" s="468" t="n"/>
      <c r="AK27" s="468" t="n"/>
      <c r="AL27" s="468" t="n"/>
      <c r="AM27" s="468" t="n"/>
      <c r="AN27" s="468" t="n"/>
      <c r="AO27" s="468" t="n"/>
      <c r="AP27" s="468" t="n"/>
      <c r="AQ27" s="468" t="n"/>
      <c r="AR27" s="468" t="n"/>
      <c r="AS27" s="468" t="n"/>
      <c r="AT27" s="468" t="n"/>
      <c r="AU27" s="468" t="n"/>
      <c r="AV27" s="468" t="n"/>
      <c r="AW27" s="468" t="n"/>
      <c r="AX27" s="468" t="n"/>
      <c r="AY27" s="468" t="n"/>
      <c r="AZ27" s="468" t="n"/>
      <c r="BA27" s="468" t="n"/>
      <c r="BB27" s="468" t="n"/>
      <c r="BC27" s="468" t="n"/>
      <c r="BD27" s="468" t="n"/>
      <c r="BE27" s="468" t="n"/>
      <c r="BF27" s="468" t="n"/>
      <c r="BG27" s="468" t="n"/>
      <c r="BH27" s="468" t="n"/>
      <c r="BI27" s="468" t="n"/>
      <c r="BJ27" s="468" t="n"/>
      <c r="BK27" s="468" t="n"/>
      <c r="BL27" s="468" t="n"/>
      <c r="BM27" s="468" t="n"/>
      <c r="BN27" s="468" t="n"/>
      <c r="BO27" s="468" t="n"/>
      <c r="BP27" s="468" t="n"/>
      <c r="BQ27" s="468" t="n"/>
      <c r="BR27" s="468" t="n"/>
      <c r="BS27" s="468" t="n"/>
      <c r="BT27" s="468" t="n"/>
      <c r="BU27" s="468" t="n"/>
      <c r="BV27" s="468" t="n"/>
      <c r="BW27" s="468" t="n"/>
      <c r="BX27" s="468" t="n"/>
      <c r="BY27" s="468" t="n"/>
      <c r="BZ27" s="468" t="n"/>
      <c r="CA27" s="468" t="n"/>
      <c r="CB27" s="468" t="n"/>
      <c r="CC27" s="468" t="n"/>
      <c r="CD27" s="468" t="n"/>
      <c r="CE27" s="468" t="n"/>
      <c r="CF27" s="468" t="n"/>
      <c r="CG27" s="468" t="n"/>
      <c r="CH27" s="468" t="n"/>
    </row>
    <row r="28" ht="15" customFormat="1" customHeight="1" s="380">
      <c r="A28" s="468" t="inlineStr">
        <is>
          <t>Total GMP Fees</t>
        </is>
      </c>
      <c r="B28" s="595">
        <f>B7+B14+B21</f>
        <v/>
      </c>
      <c r="C28" s="595">
        <f>C7+C14+C21</f>
        <v/>
      </c>
      <c r="D28" s="595">
        <f>D7+D14+D21</f>
        <v/>
      </c>
      <c r="E28" s="468" t="n"/>
      <c r="F28" s="468" t="n"/>
      <c r="G28" s="468" t="n"/>
      <c r="H28" s="468" t="n"/>
      <c r="I28" s="468" t="n"/>
      <c r="J28" s="468" t="n"/>
      <c r="K28" s="468" t="n"/>
      <c r="L28" s="468" t="n"/>
      <c r="M28" s="468" t="n"/>
      <c r="N28" s="468" t="n"/>
      <c r="O28" s="468" t="n"/>
      <c r="P28" s="468" t="n"/>
      <c r="Q28" s="468" t="n"/>
      <c r="R28" s="468" t="n"/>
      <c r="S28" s="468" t="n"/>
      <c r="T28" s="468" t="n"/>
      <c r="U28" s="468" t="n"/>
      <c r="V28" s="468" t="n"/>
      <c r="W28" s="468" t="n"/>
      <c r="X28" s="468" t="n"/>
      <c r="Y28" s="468" t="n"/>
      <c r="Z28" s="468" t="n"/>
      <c r="AA28" s="468" t="n"/>
      <c r="AB28" s="468" t="n"/>
      <c r="AC28" s="468" t="n"/>
      <c r="AD28" s="468" t="n"/>
      <c r="AE28" s="468" t="n"/>
      <c r="AF28" s="468" t="n"/>
      <c r="AG28" s="468" t="n"/>
      <c r="AH28" s="468" t="n"/>
      <c r="AI28" s="468" t="n"/>
      <c r="AJ28" s="468" t="n"/>
      <c r="AK28" s="468" t="n"/>
      <c r="AL28" s="468" t="n"/>
      <c r="AM28" s="468" t="n"/>
      <c r="AN28" s="468" t="n"/>
      <c r="AO28" s="468" t="n"/>
      <c r="AP28" s="468" t="n"/>
      <c r="AQ28" s="468" t="n"/>
      <c r="AR28" s="468" t="n"/>
      <c r="AS28" s="468" t="n"/>
      <c r="AT28" s="468" t="n"/>
      <c r="AU28" s="468" t="n"/>
      <c r="AV28" s="468" t="n"/>
      <c r="AW28" s="468" t="n"/>
      <c r="AX28" s="468" t="n"/>
      <c r="AY28" s="468" t="n"/>
      <c r="AZ28" s="468" t="n"/>
      <c r="BA28" s="468" t="n"/>
      <c r="BB28" s="468" t="n"/>
      <c r="BC28" s="468" t="n"/>
      <c r="BD28" s="468" t="n"/>
      <c r="BE28" s="468" t="n"/>
      <c r="BF28" s="468" t="n"/>
      <c r="BG28" s="468" t="n"/>
      <c r="BH28" s="468" t="n"/>
      <c r="BI28" s="468" t="n"/>
      <c r="BJ28" s="468" t="n"/>
      <c r="BK28" s="468" t="n"/>
      <c r="BL28" s="468" t="n"/>
      <c r="BM28" s="468" t="n"/>
      <c r="BN28" s="468" t="n"/>
      <c r="BO28" s="468" t="n"/>
      <c r="BP28" s="468" t="n"/>
      <c r="BQ28" s="468" t="n"/>
      <c r="BR28" s="468" t="n"/>
      <c r="BS28" s="468" t="n"/>
      <c r="BT28" s="468" t="n"/>
      <c r="BU28" s="468" t="n"/>
      <c r="BV28" s="468" t="n"/>
      <c r="BW28" s="468" t="n"/>
      <c r="BX28" s="468" t="n"/>
      <c r="BY28" s="468" t="n"/>
      <c r="BZ28" s="468" t="n"/>
      <c r="CA28" s="468" t="n"/>
      <c r="CB28" s="468" t="n"/>
      <c r="CC28" s="468" t="n"/>
      <c r="CD28" s="468" t="n"/>
      <c r="CE28" s="468" t="n"/>
      <c r="CF28" s="468" t="n"/>
      <c r="CG28" s="468" t="n"/>
      <c r="CH28" s="468" t="n"/>
    </row>
    <row r="29" ht="15" customFormat="1" customHeight="1" s="380">
      <c r="A29" s="717" t="inlineStr">
        <is>
          <t>Total Liquidity Fees</t>
        </is>
      </c>
      <c r="B29" s="718">
        <f>B8+B15+B22</f>
        <v/>
      </c>
      <c r="C29" s="718">
        <f>C8+C15+C22</f>
        <v/>
      </c>
      <c r="D29" s="718">
        <f>D8+D15+D22</f>
        <v/>
      </c>
      <c r="E29" s="595" t="n"/>
      <c r="F29" s="595" t="n"/>
      <c r="G29" s="595" t="n"/>
      <c r="H29" s="595" t="n"/>
      <c r="I29" s="595" t="n"/>
      <c r="J29" s="595" t="n"/>
      <c r="K29" s="595" t="n"/>
      <c r="L29" s="595" t="n"/>
      <c r="M29" s="595" t="n"/>
      <c r="N29" s="595" t="n"/>
      <c r="O29" s="595" t="n"/>
      <c r="P29" s="595" t="n"/>
      <c r="Q29" s="595" t="n"/>
      <c r="R29" s="595" t="n"/>
      <c r="S29" s="595" t="n"/>
      <c r="T29" s="595" t="n"/>
      <c r="U29" s="595" t="n"/>
      <c r="V29" s="595" t="n"/>
      <c r="W29" s="595" t="n"/>
      <c r="X29" s="595" t="n"/>
      <c r="Y29" s="595" t="n"/>
      <c r="Z29" s="595" t="n"/>
      <c r="AA29" s="595" t="n"/>
      <c r="AB29" s="595" t="n"/>
      <c r="AC29" s="595" t="n"/>
      <c r="AD29" s="595" t="n"/>
      <c r="AE29" s="595" t="n"/>
      <c r="AF29" s="595" t="n"/>
      <c r="AG29" s="595" t="n"/>
      <c r="AH29" s="595" t="n"/>
      <c r="AI29" s="595" t="n"/>
      <c r="AJ29" s="595" t="n"/>
      <c r="AK29" s="595" t="n"/>
      <c r="AL29" s="595" t="n"/>
      <c r="AM29" s="595" t="n"/>
      <c r="AN29" s="595" t="n"/>
      <c r="AO29" s="595" t="n"/>
      <c r="AP29" s="595" t="n"/>
      <c r="AQ29" s="595" t="n"/>
      <c r="AR29" s="595" t="n"/>
      <c r="AS29" s="595" t="n"/>
      <c r="AT29" s="595" t="n"/>
      <c r="AU29" s="595" t="n"/>
      <c r="AV29" s="595" t="n"/>
      <c r="AW29" s="595" t="n"/>
      <c r="AX29" s="595" t="n"/>
      <c r="AY29" s="595" t="n"/>
      <c r="AZ29" s="595" t="n"/>
      <c r="BA29" s="595" t="n"/>
      <c r="BB29" s="595" t="n"/>
      <c r="BC29" s="595" t="n"/>
      <c r="BD29" s="595" t="n"/>
      <c r="BE29" s="595" t="n"/>
      <c r="BF29" s="595" t="n"/>
      <c r="BG29" s="595" t="n"/>
      <c r="BH29" s="595" t="n"/>
      <c r="BI29" s="595" t="n"/>
      <c r="BJ29" s="595" t="n"/>
      <c r="BK29" s="595" t="n"/>
      <c r="BL29" s="595" t="n"/>
      <c r="BM29" s="595" t="n"/>
      <c r="BN29" s="595" t="n"/>
      <c r="BO29" s="595" t="n"/>
      <c r="BP29" s="595" t="n"/>
      <c r="BQ29" s="595" t="n"/>
      <c r="BR29" s="595" t="n"/>
      <c r="BS29" s="595" t="n"/>
      <c r="BT29" s="595" t="n"/>
      <c r="BU29" s="595" t="n"/>
      <c r="BV29" s="595" t="n"/>
      <c r="BW29" s="595" t="n"/>
      <c r="BX29" s="595" t="n"/>
      <c r="BY29" s="595" t="n"/>
      <c r="BZ29" s="595" t="n"/>
      <c r="CA29" s="595" t="n"/>
      <c r="CB29" s="595" t="n"/>
      <c r="CC29" s="595" t="n"/>
      <c r="CD29" s="595" t="n"/>
      <c r="CE29" s="595" t="n"/>
      <c r="CF29" s="595" t="n"/>
      <c r="CG29" s="595" t="n"/>
      <c r="CH29" s="595" t="n"/>
    </row>
    <row r="30" ht="15" customFormat="1" customHeight="1" s="380">
      <c r="A30" s="719" t="inlineStr">
        <is>
          <t>Total PIK Interest</t>
        </is>
      </c>
      <c r="B30" s="720">
        <f>B9+B16+B23</f>
        <v/>
      </c>
      <c r="C30" s="720">
        <f>C9+C16+C23</f>
        <v/>
      </c>
      <c r="D30" s="720">
        <f>D9+D16+D23</f>
        <v/>
      </c>
      <c r="E30" s="595" t="n"/>
      <c r="F30" s="595" t="n"/>
      <c r="G30" s="595" t="n"/>
      <c r="H30" s="595" t="n"/>
      <c r="I30" s="595" t="n"/>
      <c r="J30" s="595" t="n"/>
      <c r="K30" s="595" t="n"/>
      <c r="L30" s="595" t="n"/>
      <c r="M30" s="595" t="n"/>
      <c r="N30" s="595" t="n"/>
      <c r="O30" s="595" t="n"/>
      <c r="P30" s="595" t="n"/>
      <c r="Q30" s="595" t="n"/>
      <c r="R30" s="595" t="n"/>
      <c r="S30" s="595" t="n"/>
      <c r="T30" s="595" t="n"/>
      <c r="U30" s="595" t="n"/>
      <c r="V30" s="595" t="n"/>
      <c r="W30" s="595" t="n"/>
      <c r="X30" s="595" t="n"/>
      <c r="Y30" s="595" t="n"/>
      <c r="Z30" s="595" t="n"/>
      <c r="AA30" s="595" t="n"/>
      <c r="AB30" s="595" t="n"/>
      <c r="AC30" s="595" t="n"/>
      <c r="AD30" s="595" t="n"/>
      <c r="AE30" s="595" t="n"/>
      <c r="AF30" s="595" t="n"/>
      <c r="AG30" s="595" t="n"/>
      <c r="AH30" s="595" t="n"/>
      <c r="AI30" s="595" t="n"/>
      <c r="AJ30" s="595" t="n"/>
      <c r="AK30" s="595" t="n"/>
      <c r="AL30" s="595" t="n"/>
      <c r="AM30" s="595" t="n"/>
      <c r="AN30" s="595" t="n"/>
      <c r="AO30" s="595" t="n"/>
      <c r="AP30" s="595" t="n"/>
      <c r="AQ30" s="595" t="n"/>
      <c r="AR30" s="595" t="n"/>
      <c r="AS30" s="595" t="n"/>
      <c r="AT30" s="595" t="n"/>
      <c r="AU30" s="595" t="n"/>
      <c r="AV30" s="595" t="n"/>
      <c r="AW30" s="595" t="n"/>
      <c r="AX30" s="595" t="n"/>
      <c r="AY30" s="595" t="n"/>
      <c r="AZ30" s="595" t="n"/>
      <c r="BA30" s="595" t="n"/>
      <c r="BB30" s="595" t="n"/>
      <c r="BC30" s="595" t="n"/>
      <c r="BD30" s="595" t="n"/>
      <c r="BE30" s="595" t="n"/>
      <c r="BF30" s="595" t="n"/>
      <c r="BG30" s="595" t="n"/>
      <c r="BH30" s="595" t="n"/>
      <c r="BI30" s="595" t="n"/>
      <c r="BJ30" s="595" t="n"/>
      <c r="BK30" s="595" t="n"/>
      <c r="BL30" s="595" t="n"/>
      <c r="BM30" s="595" t="n"/>
      <c r="BN30" s="595" t="n"/>
      <c r="BO30" s="595" t="n"/>
      <c r="BP30" s="595" t="n"/>
      <c r="BQ30" s="595" t="n"/>
      <c r="BR30" s="595" t="n"/>
      <c r="BS30" s="595" t="n"/>
      <c r="BT30" s="595" t="n"/>
      <c r="BU30" s="595" t="n"/>
      <c r="BV30" s="595" t="n"/>
      <c r="BW30" s="595" t="n"/>
      <c r="BX30" s="595" t="n"/>
      <c r="BY30" s="595" t="n"/>
      <c r="BZ30" s="595" t="n"/>
      <c r="CA30" s="595" t="n"/>
      <c r="CB30" s="595" t="n"/>
      <c r="CC30" s="595" t="n"/>
      <c r="CD30" s="595" t="n"/>
      <c r="CE30" s="595" t="n"/>
      <c r="CF30" s="595" t="n"/>
      <c r="CG30" s="595" t="n"/>
      <c r="CH30" s="595" t="n"/>
    </row>
    <row r="31" ht="15" customFormat="1" customHeight="1" s="380">
      <c r="A31" s="476" t="inlineStr">
        <is>
          <t>Combined Net Income to Six Peak</t>
        </is>
      </c>
      <c r="B31" s="596">
        <f>B10+B17+B24</f>
        <v/>
      </c>
      <c r="C31" s="596">
        <f>C10+C17+C24</f>
        <v/>
      </c>
      <c r="D31" s="596">
        <f>D10+D17+D24</f>
        <v/>
      </c>
      <c r="E31" s="595" t="n"/>
      <c r="F31" s="595" t="n"/>
      <c r="G31" s="595" t="n"/>
      <c r="H31" s="595" t="n"/>
      <c r="I31" s="595" t="n"/>
      <c r="J31" s="595" t="n"/>
      <c r="K31" s="595" t="n"/>
      <c r="L31" s="595" t="n"/>
      <c r="M31" s="595" t="n"/>
      <c r="N31" s="595" t="n"/>
      <c r="O31" s="595" t="n"/>
      <c r="P31" s="595" t="n"/>
      <c r="Q31" s="595" t="n"/>
      <c r="R31" s="595" t="n"/>
      <c r="S31" s="595" t="n"/>
      <c r="T31" s="595" t="n"/>
      <c r="U31" s="595" t="n"/>
      <c r="V31" s="595" t="n"/>
      <c r="W31" s="595" t="n"/>
      <c r="X31" s="595" t="n"/>
      <c r="Y31" s="595" t="n"/>
      <c r="Z31" s="595" t="n"/>
      <c r="AA31" s="595" t="n"/>
      <c r="AB31" s="595" t="n"/>
      <c r="AC31" s="595" t="n"/>
      <c r="AD31" s="595" t="n"/>
      <c r="AE31" s="595" t="n"/>
      <c r="AF31" s="595" t="n"/>
      <c r="AG31" s="595" t="n"/>
      <c r="AH31" s="595" t="n"/>
      <c r="AI31" s="595" t="n"/>
      <c r="AJ31" s="595" t="n"/>
      <c r="AK31" s="595" t="n"/>
      <c r="AL31" s="595" t="n"/>
      <c r="AM31" s="595" t="n"/>
      <c r="AN31" s="595" t="n"/>
      <c r="AO31" s="595" t="n"/>
      <c r="AP31" s="595" t="n"/>
      <c r="AQ31" s="595" t="n"/>
      <c r="AR31" s="595" t="n"/>
      <c r="AS31" s="595" t="n"/>
      <c r="AT31" s="595" t="n"/>
      <c r="AU31" s="595" t="n"/>
      <c r="AV31" s="595" t="n"/>
      <c r="AW31" s="595" t="n"/>
      <c r="AX31" s="595" t="n"/>
      <c r="AY31" s="595" t="n"/>
      <c r="AZ31" s="595" t="n"/>
      <c r="BA31" s="595" t="n"/>
      <c r="BB31" s="595" t="n"/>
      <c r="BC31" s="595" t="n"/>
      <c r="BD31" s="595" t="n"/>
      <c r="BE31" s="595" t="n"/>
      <c r="BF31" s="595" t="n"/>
      <c r="BG31" s="595" t="n"/>
      <c r="BH31" s="595" t="n"/>
      <c r="BI31" s="595" t="n"/>
      <c r="BJ31" s="595" t="n"/>
      <c r="BK31" s="595" t="n"/>
      <c r="BL31" s="595" t="n"/>
      <c r="BM31" s="595" t="n"/>
      <c r="BN31" s="595" t="n"/>
      <c r="BO31" s="595" t="n"/>
      <c r="BP31" s="595" t="n"/>
      <c r="BQ31" s="595" t="n"/>
      <c r="BR31" s="595" t="n"/>
      <c r="BS31" s="595" t="n"/>
      <c r="BT31" s="595" t="n"/>
      <c r="BU31" s="595" t="n"/>
      <c r="BV31" s="595" t="n"/>
      <c r="BW31" s="595" t="n"/>
      <c r="BX31" s="595" t="n"/>
      <c r="BY31" s="595" t="n"/>
      <c r="BZ31" s="595" t="n"/>
      <c r="CA31" s="595" t="n"/>
      <c r="CB31" s="595" t="n"/>
      <c r="CC31" s="595" t="n"/>
      <c r="CD31" s="595" t="n"/>
      <c r="CE31" s="595" t="n"/>
      <c r="CF31" s="595" t="n"/>
      <c r="CG31" s="595" t="n"/>
      <c r="CH31" s="595" t="n"/>
    </row>
    <row r="32" ht="15" customFormat="1" customHeight="1" s="380">
      <c r="A32" s="721" t="n"/>
      <c r="B32" s="722" t="n"/>
      <c r="C32" s="722" t="n"/>
      <c r="D32" s="722" t="n"/>
      <c r="E32" s="468" t="n"/>
      <c r="F32" s="468" t="n"/>
      <c r="G32" s="468" t="n"/>
      <c r="H32" s="468" t="n"/>
      <c r="I32" s="468" t="n"/>
      <c r="J32" s="468" t="n"/>
      <c r="K32" s="468" t="n"/>
      <c r="L32" s="468" t="n"/>
      <c r="M32" s="468" t="n"/>
      <c r="N32" s="468" t="n"/>
      <c r="O32" s="468" t="n"/>
      <c r="P32" s="468" t="n"/>
      <c r="Q32" s="468" t="n"/>
      <c r="R32" s="468" t="n"/>
      <c r="S32" s="468" t="n"/>
      <c r="T32" s="468" t="n"/>
      <c r="U32" s="468" t="n"/>
      <c r="V32" s="468" t="n"/>
      <c r="W32" s="468" t="n"/>
      <c r="X32" s="468" t="n"/>
      <c r="Y32" s="468" t="n"/>
      <c r="Z32" s="468" t="n"/>
      <c r="AA32" s="468" t="n"/>
      <c r="AB32" s="468" t="n"/>
      <c r="AC32" s="468" t="n"/>
      <c r="AD32" s="468" t="n"/>
      <c r="AE32" s="468" t="n"/>
      <c r="AF32" s="468" t="n"/>
      <c r="AG32" s="468" t="n"/>
      <c r="AH32" s="468" t="n"/>
      <c r="AI32" s="468" t="n"/>
      <c r="AJ32" s="468" t="n"/>
      <c r="AK32" s="468" t="n"/>
      <c r="AL32" s="468" t="n"/>
      <c r="AM32" s="468" t="n"/>
      <c r="AN32" s="468" t="n"/>
      <c r="AO32" s="468" t="n"/>
      <c r="AP32" s="468" t="n"/>
      <c r="AQ32" s="468" t="n"/>
      <c r="AR32" s="468" t="n"/>
      <c r="AS32" s="468" t="n"/>
      <c r="AT32" s="468" t="n"/>
      <c r="AU32" s="468" t="n"/>
      <c r="AV32" s="468" t="n"/>
      <c r="AW32" s="468" t="n"/>
      <c r="AX32" s="468" t="n"/>
      <c r="AY32" s="468" t="n"/>
      <c r="AZ32" s="468" t="n"/>
      <c r="BA32" s="468" t="n"/>
      <c r="BB32" s="468" t="n"/>
      <c r="BC32" s="468" t="n"/>
      <c r="BD32" s="468" t="n"/>
      <c r="BE32" s="468" t="n"/>
      <c r="BF32" s="468" t="n"/>
      <c r="BG32" s="468" t="n"/>
      <c r="BH32" s="468" t="n"/>
      <c r="BI32" s="468" t="n"/>
      <c r="BJ32" s="468" t="n"/>
      <c r="BK32" s="468" t="n"/>
      <c r="BL32" s="468" t="n"/>
      <c r="BM32" s="468" t="n"/>
      <c r="BN32" s="468" t="n"/>
      <c r="BO32" s="468" t="n"/>
      <c r="BP32" s="468" t="n"/>
      <c r="BQ32" s="468" t="n"/>
      <c r="BR32" s="468" t="n"/>
      <c r="BS32" s="468" t="n"/>
      <c r="BT32" s="468" t="n"/>
      <c r="BU32" s="468" t="n"/>
      <c r="BV32" s="468" t="n"/>
      <c r="BW32" s="468" t="n"/>
      <c r="BX32" s="468" t="n"/>
      <c r="BY32" s="468" t="n"/>
      <c r="BZ32" s="468" t="n"/>
      <c r="CA32" s="468" t="n"/>
      <c r="CB32" s="468" t="n"/>
      <c r="CC32" s="468" t="n"/>
      <c r="CD32" s="468" t="n"/>
      <c r="CE32" s="468" t="n"/>
      <c r="CF32" s="468" t="n"/>
      <c r="CG32" s="468" t="n"/>
      <c r="CH32" s="468" t="n"/>
    </row>
    <row r="33" ht="15" customFormat="1" customHeight="1" s="380">
      <c r="A33" s="685" t="n"/>
      <c r="B33" s="712" t="n"/>
      <c r="C33" s="712" t="n"/>
      <c r="D33" s="712" t="n"/>
      <c r="E33" s="595" t="n"/>
      <c r="F33" s="595" t="n"/>
      <c r="G33" s="595" t="n"/>
      <c r="H33" s="595" t="n"/>
      <c r="I33" s="595" t="n"/>
      <c r="J33" s="595" t="n"/>
      <c r="K33" s="595" t="n"/>
      <c r="L33" s="595" t="n"/>
      <c r="M33" s="595" t="n"/>
      <c r="N33" s="595" t="n"/>
      <c r="O33" s="595" t="n"/>
      <c r="P33" s="595" t="n"/>
      <c r="Q33" s="595" t="n"/>
      <c r="R33" s="595" t="n"/>
      <c r="S33" s="595" t="n"/>
      <c r="T33" s="595" t="n"/>
      <c r="U33" s="595" t="n"/>
      <c r="V33" s="595" t="n"/>
      <c r="W33" s="595" t="n"/>
      <c r="X33" s="595" t="n"/>
      <c r="Y33" s="595" t="n"/>
      <c r="Z33" s="595" t="n"/>
      <c r="AA33" s="595" t="n"/>
      <c r="AB33" s="595" t="n"/>
      <c r="AC33" s="595" t="n"/>
      <c r="AD33" s="595" t="n"/>
      <c r="AE33" s="595" t="n"/>
      <c r="AF33" s="595" t="n"/>
      <c r="AG33" s="595" t="n"/>
      <c r="AH33" s="595" t="n"/>
      <c r="AI33" s="595" t="n"/>
      <c r="AJ33" s="595" t="n"/>
      <c r="AK33" s="595" t="n"/>
      <c r="AL33" s="595" t="n"/>
      <c r="AM33" s="595" t="n"/>
      <c r="AN33" s="595" t="n"/>
      <c r="AO33" s="595" t="n"/>
      <c r="AP33" s="595" t="n"/>
      <c r="AQ33" s="595" t="n"/>
      <c r="AR33" s="595" t="n"/>
      <c r="AS33" s="595" t="n"/>
      <c r="AT33" s="595" t="n"/>
      <c r="AU33" s="595" t="n"/>
      <c r="AV33" s="595" t="n"/>
      <c r="AW33" s="595" t="n"/>
      <c r="AX33" s="595" t="n"/>
      <c r="AY33" s="595" t="n"/>
      <c r="AZ33" s="595" t="n"/>
      <c r="BA33" s="595" t="n"/>
      <c r="BB33" s="595" t="n"/>
      <c r="BC33" s="595" t="n"/>
      <c r="BD33" s="595" t="n"/>
      <c r="BE33" s="595" t="n"/>
      <c r="BF33" s="595" t="n"/>
      <c r="BG33" s="595" t="n"/>
      <c r="BH33" s="595" t="n"/>
      <c r="BI33" s="595" t="n"/>
      <c r="BJ33" s="595" t="n"/>
      <c r="BK33" s="595" t="n"/>
      <c r="BL33" s="595" t="n"/>
      <c r="BM33" s="595" t="n"/>
      <c r="BN33" s="595" t="n"/>
      <c r="BO33" s="595" t="n"/>
      <c r="BP33" s="595" t="n"/>
      <c r="BQ33" s="595" t="n"/>
      <c r="BR33" s="595" t="n"/>
      <c r="BS33" s="595" t="n"/>
      <c r="BT33" s="595" t="n"/>
      <c r="BU33" s="595" t="n"/>
      <c r="BV33" s="595" t="n"/>
      <c r="BW33" s="595" t="n"/>
      <c r="BX33" s="595" t="n"/>
      <c r="BY33" s="595" t="n"/>
      <c r="BZ33" s="595" t="n"/>
      <c r="CA33" s="595" t="n"/>
      <c r="CB33" s="595" t="n"/>
      <c r="CC33" s="595" t="n"/>
      <c r="CD33" s="595" t="n"/>
      <c r="CE33" s="595" t="n"/>
      <c r="CF33" s="595" t="n"/>
      <c r="CG33" s="595" t="n"/>
      <c r="CH33" s="595" t="n"/>
    </row>
    <row r="34" ht="15" customFormat="1" customHeight="1" s="380">
      <c r="A34" s="721" t="n"/>
      <c r="B34" s="722" t="n"/>
      <c r="C34" s="722" t="n"/>
      <c r="D34" s="722" t="n"/>
    </row>
    <row r="35" ht="15" customFormat="1" customHeight="1" s="380">
      <c r="A35" s="699" t="n"/>
      <c r="B35" s="700" t="n"/>
      <c r="C35" s="700" t="n"/>
      <c r="D35" s="700" t="n"/>
    </row>
    <row r="37" ht="15" customFormat="1" customHeight="1" s="380">
      <c r="A37" s="723" t="n"/>
    </row>
    <row r="38" ht="15" customFormat="1" customHeight="1" s="380">
      <c r="A38" s="724" t="n"/>
    </row>
    <row r="39" ht="15" customFormat="1" customHeight="1" s="380">
      <c r="A39" s="724" t="n"/>
    </row>
    <row r="40" ht="15" customFormat="1" customHeight="1" s="380">
      <c r="A40" s="724" t="inlineStr">
        <is>
          <t>Interest Carry = Steyn balance accrual (GMP + Liquidity unpaid balance interest)</t>
        </is>
      </c>
    </row>
    <row r="41" ht="15" customFormat="1" customHeight="1" s="380">
      <c r="A41" s="724" t="inlineStr">
        <is>
          <t>PIK Interest = 15% annual (3.75% quarterly) on Project Investment Capital</t>
        </is>
      </c>
    </row>
    <row r="42" ht="15" customFormat="1" customHeight="1" s="380">
      <c r="A42" s="724" t="inlineStr">
        <is>
          <t>3rd St: 36 remaining quarterly LIHTC payments at $73,155; PIK balance of $570K fully repaid post-model</t>
        </is>
      </c>
    </row>
    <row r="43" ht="15" customFormat="1" customHeight="1" s="380">
      <c r="A43" s="724" t="inlineStr">
        <is>
          <t>Reseda: 28 remaining quarterly LIHTC payments at $81,362; PIK and Steyn fully repaid in-model</t>
        </is>
      </c>
    </row>
    <row r="44" ht="15" customFormat="1" customHeight="1" s="380">
      <c r="A44" s="724" t="inlineStr">
        <is>
          <t>Reseda: 28 post-model quarterly LIHTC payments at $81,362; PIK and Steyn fully repaid in-model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F5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2" customWidth="1" style="380" min="1" max="1"/>
    <col width="15" customWidth="1" style="380" min="2" max="2"/>
    <col width="12" customWidth="1" style="380" min="3" max="3"/>
    <col width="14" customWidth="1" style="380" min="4" max="6"/>
    <col width="12" customWidth="1" style="380" min="7" max="7"/>
    <col width="11" customWidth="1" style="380" min="8" max="10"/>
    <col width="14" customWidth="1" style="380" min="11" max="97"/>
    <col width="12" customWidth="1" style="380" min="98" max="110"/>
  </cols>
  <sheetData>
    <row r="1" ht="17.25" customFormat="1" customHeight="1" s="380">
      <c r="A1" s="473" t="inlineStr">
        <is>
          <t>BD COMMISSION — PER-DEAL ENGINE</t>
        </is>
      </c>
    </row>
    <row r="2" ht="15" customFormat="1" customHeight="1" s="380">
      <c r="A2" s="468" t="inlineStr">
        <is>
          <t>Advance rate (x GMP)</t>
        </is>
      </c>
      <c r="B2" s="725" t="n">
        <v>0.0025</v>
      </c>
    </row>
    <row r="3" ht="15" customFormat="1" customHeight="1" s="380">
      <c r="A3" s="468" t="inlineStr">
        <is>
          <t>Profit commission rate</t>
        </is>
      </c>
      <c r="B3" s="726" t="n">
        <v>0.1</v>
      </c>
    </row>
    <row r="4" ht="15" customFormat="1" customHeight="1" s="380"/>
    <row r="5" ht="30" customFormat="1" customHeight="1" s="380">
      <c r="A5" s="727" t="inlineStr">
        <is>
          <t>FY</t>
        </is>
      </c>
      <c r="B5" s="727" t="inlineStr">
        <is>
          <t>First m#</t>
        </is>
      </c>
      <c r="C5" s="727" t="inlineStr">
        <is>
          <t>Last m#</t>
        </is>
      </c>
      <c r="D5" s="728" t="inlineStr">
        <is>
          <t>BD Constr Billing</t>
        </is>
      </c>
      <c r="E5" s="728" t="inlineStr">
        <is>
          <t>HVN Billing</t>
        </is>
      </c>
      <c r="F5" s="728" t="inlineStr">
        <is>
          <t>Non-HVN Billing</t>
        </is>
      </c>
      <c r="G5" s="729" t="inlineStr">
        <is>
          <t>HVN Tier Rate</t>
        </is>
      </c>
    </row>
    <row r="6" ht="15" customFormat="1" customHeight="1" s="380">
      <c r="A6" s="385" t="n">
        <v>2026</v>
      </c>
      <c r="B6" s="385" t="n">
        <v>-2</v>
      </c>
      <c r="C6" s="385" t="n">
        <v>9</v>
      </c>
      <c r="D6" s="483">
        <f>SUM(Helpers!C96:N96)</f>
        <v/>
      </c>
      <c r="E6" s="483">
        <f>SUM(Helpers!C101:N101)</f>
        <v/>
      </c>
      <c r="F6" s="483">
        <f>D6-E6</f>
        <v/>
      </c>
      <c r="G6" s="730">
        <f>IF(F6&gt;=Assumptions!$B$86,Assumptions!$C$86,IF(F6&gt;=Assumptions!$B$85,Assumptions!$C$85,IF(F6&gt;=Assumptions!$B$84,Assumptions!$C$84,Assumptions!$C$83)))</f>
        <v/>
      </c>
    </row>
    <row r="7" ht="15" customFormat="1" customHeight="1" s="380">
      <c r="A7" s="385" t="n">
        <v>2027</v>
      </c>
      <c r="B7" s="385" t="n">
        <v>10</v>
      </c>
      <c r="C7" s="385" t="n">
        <v>21</v>
      </c>
      <c r="D7" s="483">
        <f>SUM(Helpers!O96:Z96)</f>
        <v/>
      </c>
      <c r="E7" s="483">
        <f>SUM(Helpers!O101:Z101)</f>
        <v/>
      </c>
      <c r="F7" s="483">
        <f>D7-E7</f>
        <v/>
      </c>
      <c r="G7" s="730">
        <f>IF(F7&gt;=Assumptions!$B$86,Assumptions!$C$86,IF(F7&gt;=Assumptions!$B$85,Assumptions!$C$85,IF(F7&gt;=Assumptions!$B$84,Assumptions!$C$84,Assumptions!$C$83)))</f>
        <v/>
      </c>
    </row>
    <row r="8" ht="15" customFormat="1" customHeight="1" s="380">
      <c r="A8" s="385" t="n">
        <v>2028</v>
      </c>
      <c r="B8" s="385" t="n">
        <v>22</v>
      </c>
      <c r="C8" s="385" t="n">
        <v>33</v>
      </c>
      <c r="D8" s="483">
        <f>SUM(Helpers!AA96:AL96)</f>
        <v/>
      </c>
      <c r="E8" s="483">
        <f>SUM(Helpers!AA101:AL101)</f>
        <v/>
      </c>
      <c r="F8" s="483">
        <f>D8-E8</f>
        <v/>
      </c>
      <c r="G8" s="730">
        <f>IF(F8&gt;=Assumptions!$B$86,Assumptions!$C$86,IF(F8&gt;=Assumptions!$B$85,Assumptions!$C$85,IF(F8&gt;=Assumptions!$B$84,Assumptions!$C$84,Assumptions!$C$83)))</f>
        <v/>
      </c>
    </row>
    <row r="9" ht="15" customFormat="1" customHeight="1" s="380">
      <c r="A9" s="385" t="n">
        <v>2029</v>
      </c>
      <c r="B9" s="385" t="n">
        <v>34</v>
      </c>
      <c r="C9" s="385" t="n">
        <v>45</v>
      </c>
      <c r="D9" s="483">
        <f>SUM(Helpers!AM96:AX96)</f>
        <v/>
      </c>
      <c r="E9" s="483">
        <f>SUM(Helpers!AM101:AX101)</f>
        <v/>
      </c>
      <c r="F9" s="483">
        <f>D9-E9</f>
        <v/>
      </c>
      <c r="G9" s="730">
        <f>IF(F9&gt;=Assumptions!$B$86,Assumptions!$C$86,IF(F9&gt;=Assumptions!$B$85,Assumptions!$C$85,IF(F9&gt;=Assumptions!$B$84,Assumptions!$C$84,Assumptions!$C$83)))</f>
        <v/>
      </c>
    </row>
    <row r="10" ht="15" customFormat="1" customHeight="1" s="380">
      <c r="A10" s="385" t="n">
        <v>2030</v>
      </c>
      <c r="B10" s="385" t="n">
        <v>46</v>
      </c>
      <c r="C10" s="385" t="n">
        <v>57</v>
      </c>
      <c r="D10" s="483">
        <f>SUM(Helpers!AY96:BJ96)</f>
        <v/>
      </c>
      <c r="E10" s="483">
        <f>SUM(Helpers!AY101:BJ101)</f>
        <v/>
      </c>
      <c r="F10" s="483">
        <f>D10-E10</f>
        <v/>
      </c>
      <c r="G10" s="730">
        <f>IF(F10&gt;=Assumptions!$B$86,Assumptions!$C$86,IF(F10&gt;=Assumptions!$B$85,Assumptions!$C$85,IF(F10&gt;=Assumptions!$B$84,Assumptions!$C$84,Assumptions!$C$83)))</f>
        <v/>
      </c>
    </row>
    <row r="11" ht="15" customFormat="1" customHeight="1" s="380">
      <c r="A11" s="385" t="n">
        <v>2031</v>
      </c>
      <c r="B11" s="385" t="n">
        <v>58</v>
      </c>
      <c r="C11" s="385" t="n">
        <v>69</v>
      </c>
      <c r="D11" s="483">
        <f>SUM(Helpers!BK96:BV96)</f>
        <v/>
      </c>
      <c r="E11" s="483">
        <f>SUM(Helpers!BK101:BV101)</f>
        <v/>
      </c>
      <c r="F11" s="483">
        <f>D11-E11</f>
        <v/>
      </c>
      <c r="G11" s="730">
        <f>IF(F11&gt;=Assumptions!$B$86,Assumptions!$C$86,IF(F11&gt;=Assumptions!$B$85,Assumptions!$C$85,IF(F11&gt;=Assumptions!$B$84,Assumptions!$C$84,Assumptions!$C$83)))</f>
        <v/>
      </c>
    </row>
    <row r="12" ht="15" customFormat="1" customHeight="1" s="380">
      <c r="A12" s="385" t="n">
        <v>2032</v>
      </c>
      <c r="B12" s="385" t="n">
        <v>70</v>
      </c>
      <c r="C12" s="385" t="n">
        <v>81</v>
      </c>
      <c r="D12" s="483">
        <f>SUM(Helpers!BW96:CH96)</f>
        <v/>
      </c>
      <c r="E12" s="483">
        <f>SUM(Helpers!BW101:CH101)</f>
        <v/>
      </c>
      <c r="F12" s="483">
        <f>D12-E12</f>
        <v/>
      </c>
      <c r="G12" s="730">
        <f>IF(F12&gt;=Assumptions!$B$86,Assumptions!$C$86,IF(F12&gt;=Assumptions!$B$85,Assumptions!$C$85,IF(F12&gt;=Assumptions!$B$84,Assumptions!$C$84,Assumptions!$C$83)))</f>
        <v/>
      </c>
    </row>
    <row r="13" ht="15" customFormat="1" customHeight="1" s="380">
      <c r="A13" s="385" t="n">
        <v>2033</v>
      </c>
      <c r="B13" s="385" t="n">
        <v>82</v>
      </c>
      <c r="C13" s="385" t="n">
        <v>93</v>
      </c>
      <c r="D13" s="483">
        <f>SUM(Helpers!CI96:CT96)</f>
        <v/>
      </c>
      <c r="E13" s="483">
        <f>SUM(Helpers!CI101:CT101)</f>
        <v/>
      </c>
      <c r="F13" s="483">
        <f>D13-E13</f>
        <v/>
      </c>
      <c r="G13" s="730">
        <f>IF(F13&gt;=Assumptions!$B$86,Assumptions!$C$86,IF(F13&gt;=Assumptions!$B$85,Assumptions!$C$85,IF(F13&gt;=Assumptions!$B$84,Assumptions!$C$84,Assumptions!$C$83)))</f>
        <v/>
      </c>
    </row>
    <row r="14" ht="15" customFormat="1" customHeight="1" s="380">
      <c r="A14" s="385" t="n">
        <v>2034</v>
      </c>
      <c r="B14" s="385" t="n">
        <v>94</v>
      </c>
      <c r="C14" s="385" t="n">
        <v>105</v>
      </c>
      <c r="D14" s="483">
        <f>SUM(Helpers!CU96:DF96)</f>
        <v/>
      </c>
      <c r="E14" s="483">
        <f>SUM(Helpers!CU101:DF101)</f>
        <v/>
      </c>
      <c r="F14" s="483">
        <f>D14-E14</f>
        <v/>
      </c>
      <c r="G14" s="730">
        <f>IF(F14&gt;=Assumptions!$B$86,Assumptions!$C$86,IF(F14&gt;=Assumptions!$B$85,Assumptions!$C$85,IF(F14&gt;=Assumptions!$B$84,Assumptions!$C$84,Assumptions!$C$83)))</f>
        <v/>
      </c>
    </row>
    <row r="15" ht="15" customFormat="1" customHeight="1" s="380">
      <c r="A15" s="605" t="inlineStr">
        <is>
          <t>Month #</t>
        </is>
      </c>
      <c r="C15" s="385">
        <f>Model!B3</f>
        <v/>
      </c>
      <c r="D15" s="385">
        <f>Model!C3</f>
        <v/>
      </c>
      <c r="E15" s="385">
        <f>Model!D3</f>
        <v/>
      </c>
      <c r="F15" s="385">
        <f>Model!E3</f>
        <v/>
      </c>
      <c r="G15" s="385">
        <f>Model!F3</f>
        <v/>
      </c>
      <c r="H15" s="385">
        <f>Model!G3</f>
        <v/>
      </c>
      <c r="I15" s="385">
        <f>Model!H3</f>
        <v/>
      </c>
      <c r="J15" s="385">
        <f>Model!I3</f>
        <v/>
      </c>
      <c r="K15" s="385">
        <f>Model!J3</f>
        <v/>
      </c>
      <c r="L15" s="385">
        <f>Model!K3</f>
        <v/>
      </c>
      <c r="M15" s="385">
        <f>Model!L3</f>
        <v/>
      </c>
      <c r="N15" s="385">
        <f>Model!M3</f>
        <v/>
      </c>
      <c r="O15" s="385">
        <f>Model!N3</f>
        <v/>
      </c>
      <c r="P15" s="385">
        <f>Model!O3</f>
        <v/>
      </c>
      <c r="Q15" s="385">
        <f>Model!P3</f>
        <v/>
      </c>
      <c r="R15" s="385">
        <f>Model!Q3</f>
        <v/>
      </c>
      <c r="S15" s="385">
        <f>Model!R3</f>
        <v/>
      </c>
      <c r="T15" s="385">
        <f>Model!S3</f>
        <v/>
      </c>
      <c r="U15" s="385">
        <f>Model!T3</f>
        <v/>
      </c>
      <c r="V15" s="385">
        <f>Model!U3</f>
        <v/>
      </c>
      <c r="W15" s="385">
        <f>Model!V3</f>
        <v/>
      </c>
      <c r="X15" s="385">
        <f>Model!W3</f>
        <v/>
      </c>
      <c r="Y15" s="385">
        <f>Model!X3</f>
        <v/>
      </c>
      <c r="Z15" s="385">
        <f>Model!Y3</f>
        <v/>
      </c>
      <c r="AA15" s="385">
        <f>Model!Z3</f>
        <v/>
      </c>
      <c r="AB15" s="385">
        <f>Model!AA3</f>
        <v/>
      </c>
      <c r="AC15" s="385">
        <f>Model!AB3</f>
        <v/>
      </c>
      <c r="AD15" s="385">
        <f>Model!AC3</f>
        <v/>
      </c>
      <c r="AE15" s="385">
        <f>Model!AD3</f>
        <v/>
      </c>
      <c r="AF15" s="385">
        <f>Model!AE3</f>
        <v/>
      </c>
      <c r="AG15" s="385">
        <f>Model!AF3</f>
        <v/>
      </c>
      <c r="AH15" s="385">
        <f>Model!AG3</f>
        <v/>
      </c>
      <c r="AI15" s="385">
        <f>Model!AH3</f>
        <v/>
      </c>
      <c r="AJ15" s="385">
        <f>Model!AI3</f>
        <v/>
      </c>
      <c r="AK15" s="385">
        <f>Model!AJ3</f>
        <v/>
      </c>
      <c r="AL15" s="385">
        <f>Model!AK3</f>
        <v/>
      </c>
      <c r="AM15" s="385">
        <f>Model!AL3</f>
        <v/>
      </c>
      <c r="AN15" s="385">
        <f>Model!AM3</f>
        <v/>
      </c>
      <c r="AO15" s="385">
        <f>Model!AN3</f>
        <v/>
      </c>
      <c r="AP15" s="385">
        <f>Model!AO3</f>
        <v/>
      </c>
      <c r="AQ15" s="385">
        <f>Model!AP3</f>
        <v/>
      </c>
      <c r="AR15" s="385">
        <f>Model!AQ3</f>
        <v/>
      </c>
      <c r="AS15" s="385">
        <f>Model!AR3</f>
        <v/>
      </c>
      <c r="AT15" s="385">
        <f>Model!AS3</f>
        <v/>
      </c>
      <c r="AU15" s="385">
        <f>Model!AT3</f>
        <v/>
      </c>
      <c r="AV15" s="385">
        <f>Model!AU3</f>
        <v/>
      </c>
      <c r="AW15" s="385">
        <f>Model!AV3</f>
        <v/>
      </c>
      <c r="AX15" s="385">
        <f>Model!AW3</f>
        <v/>
      </c>
      <c r="AY15" s="385">
        <f>Model!AX3</f>
        <v/>
      </c>
      <c r="AZ15" s="385">
        <f>Model!AY3</f>
        <v/>
      </c>
      <c r="BA15" s="385">
        <f>Model!AZ3</f>
        <v/>
      </c>
      <c r="BB15" s="385">
        <f>Model!BA3</f>
        <v/>
      </c>
      <c r="BC15" s="385">
        <f>Model!BB3</f>
        <v/>
      </c>
      <c r="BD15" s="385">
        <f>Model!BC3</f>
        <v/>
      </c>
      <c r="BE15" s="385">
        <f>Model!BD3</f>
        <v/>
      </c>
      <c r="BF15" s="385">
        <f>Model!BE3</f>
        <v/>
      </c>
      <c r="BG15" s="385">
        <f>Model!BF3</f>
        <v/>
      </c>
      <c r="BH15" s="385">
        <f>Model!BG3</f>
        <v/>
      </c>
      <c r="BI15" s="385">
        <f>Model!BH3</f>
        <v/>
      </c>
      <c r="BJ15" s="385">
        <f>Model!BI3</f>
        <v/>
      </c>
      <c r="BK15" s="385">
        <f>Model!BJ3</f>
        <v/>
      </c>
      <c r="BL15" s="385">
        <f>Model!BK3</f>
        <v/>
      </c>
      <c r="BM15" s="385">
        <f>Model!BL3</f>
        <v/>
      </c>
      <c r="BN15" s="385">
        <f>Model!BM3</f>
        <v/>
      </c>
      <c r="BO15" s="385">
        <f>Model!BN3</f>
        <v/>
      </c>
      <c r="BP15" s="385">
        <f>Model!BO3</f>
        <v/>
      </c>
      <c r="BQ15" s="385">
        <f>Model!BP3</f>
        <v/>
      </c>
      <c r="BR15" s="385">
        <f>Model!BQ3</f>
        <v/>
      </c>
      <c r="BS15" s="385">
        <f>Model!BR3</f>
        <v/>
      </c>
      <c r="BT15" s="385">
        <f>Model!BS3</f>
        <v/>
      </c>
      <c r="BU15" s="385">
        <f>Model!BT3</f>
        <v/>
      </c>
      <c r="BV15" s="385">
        <f>Model!BU3</f>
        <v/>
      </c>
      <c r="BW15" s="385">
        <f>Model!BV3</f>
        <v/>
      </c>
      <c r="BX15" s="385">
        <f>Model!BW3</f>
        <v/>
      </c>
      <c r="BY15" s="385">
        <f>Model!BX3</f>
        <v/>
      </c>
      <c r="BZ15" s="385">
        <f>Model!BY3</f>
        <v/>
      </c>
      <c r="CA15" s="385">
        <f>Model!BZ3</f>
        <v/>
      </c>
      <c r="CB15" s="385">
        <f>Model!CA3</f>
        <v/>
      </c>
      <c r="CC15" s="385">
        <f>Model!CB3</f>
        <v/>
      </c>
      <c r="CD15" s="385">
        <f>Model!CC3</f>
        <v/>
      </c>
      <c r="CE15" s="385">
        <f>Model!CD3</f>
        <v/>
      </c>
      <c r="CF15" s="385">
        <f>Model!CE3</f>
        <v/>
      </c>
      <c r="CG15" s="385">
        <f>Model!CF3</f>
        <v/>
      </c>
      <c r="CH15" s="385">
        <f>Model!CG3</f>
        <v/>
      </c>
      <c r="CI15" s="385">
        <f>Model!CH3</f>
        <v/>
      </c>
      <c r="CJ15" s="385">
        <f>Model!CI3</f>
        <v/>
      </c>
      <c r="CK15" s="385">
        <f>Model!CJ3</f>
        <v/>
      </c>
      <c r="CL15" s="385">
        <f>Model!CK3</f>
        <v/>
      </c>
      <c r="CM15" s="385">
        <f>Model!CL3</f>
        <v/>
      </c>
      <c r="CN15" s="385">
        <f>Model!CM3</f>
        <v/>
      </c>
      <c r="CO15" s="385">
        <f>Model!CN3</f>
        <v/>
      </c>
      <c r="CP15" s="385">
        <f>Model!CO3</f>
        <v/>
      </c>
      <c r="CQ15" s="385">
        <f>Model!CP3</f>
        <v/>
      </c>
      <c r="CR15" s="385">
        <f>Model!CQ3</f>
        <v/>
      </c>
      <c r="CS15" s="385">
        <f>Model!CR3</f>
        <v/>
      </c>
      <c r="CT15" s="385">
        <f>Model!CS3</f>
        <v/>
      </c>
      <c r="CU15" s="385">
        <f>Model!CT3</f>
        <v/>
      </c>
      <c r="CV15" s="385">
        <f>Model!CU3</f>
        <v/>
      </c>
      <c r="CW15" s="385">
        <f>Model!CV3</f>
        <v/>
      </c>
      <c r="CX15" s="385">
        <f>Model!CW3</f>
        <v/>
      </c>
      <c r="CY15" s="385">
        <f>Model!CX3</f>
        <v/>
      </c>
      <c r="CZ15" s="385">
        <f>Model!CY3</f>
        <v/>
      </c>
      <c r="DA15" s="385">
        <f>Model!CZ3</f>
        <v/>
      </c>
      <c r="DB15" s="385">
        <f>Model!DA3</f>
        <v/>
      </c>
      <c r="DC15" s="385">
        <f>Model!DB3</f>
        <v/>
      </c>
      <c r="DD15" s="385">
        <f>Model!DC3</f>
        <v/>
      </c>
      <c r="DE15" s="385">
        <f>Model!DD3</f>
        <v/>
      </c>
      <c r="DF15" s="385">
        <f>Model!DE3</f>
        <v/>
      </c>
    </row>
    <row r="16" ht="15" customFormat="1" customHeight="1" s="380">
      <c r="A16" s="605" t="inlineStr">
        <is>
          <t>Total GC opex (rows23-55, incl BD comm + State Tax, +)</t>
        </is>
      </c>
      <c r="C16" s="483">
        <f>-SUM(Model!B113:B143)-Model!B145</f>
        <v/>
      </c>
      <c r="D16" s="483">
        <f>-SUM(Model!C113:C143)-Model!C145</f>
        <v/>
      </c>
      <c r="E16" s="483">
        <f>-SUM(Model!D113:D143)-Model!D145</f>
        <v/>
      </c>
      <c r="F16" s="483">
        <f>-SUM(Model!E113:E143)-Model!E145</f>
        <v/>
      </c>
      <c r="G16" s="483">
        <f>-SUM(Model!F113:F143)-Model!F145</f>
        <v/>
      </c>
      <c r="H16" s="483">
        <f>-SUM(Model!G113:G143)-Model!G145</f>
        <v/>
      </c>
      <c r="I16" s="483">
        <f>-SUM(Model!H113:H143)-Model!H145</f>
        <v/>
      </c>
      <c r="J16" s="483">
        <f>-SUM(Model!I113:I143)-Model!I145</f>
        <v/>
      </c>
      <c r="K16" s="483">
        <f>-SUM(Model!J113:J143)-Model!J145</f>
        <v/>
      </c>
      <c r="L16" s="483">
        <f>-SUM(Model!K113:K143)-Model!K145</f>
        <v/>
      </c>
      <c r="M16" s="483">
        <f>-SUM(Model!L113:L143)-Model!L145</f>
        <v/>
      </c>
      <c r="N16" s="483">
        <f>-SUM(Model!M113:M143)-Model!M145</f>
        <v/>
      </c>
      <c r="O16" s="483">
        <f>-SUM(Model!N113:N143)-Model!N145</f>
        <v/>
      </c>
      <c r="P16" s="483">
        <f>-SUM(Model!O113:O143)-Model!O145</f>
        <v/>
      </c>
      <c r="Q16" s="483">
        <f>-SUM(Model!P113:P143)-Model!P145</f>
        <v/>
      </c>
      <c r="R16" s="483">
        <f>-SUM(Model!Q113:Q143)-Model!Q145</f>
        <v/>
      </c>
      <c r="S16" s="483">
        <f>-SUM(Model!R113:R143)-Model!R145</f>
        <v/>
      </c>
      <c r="T16" s="483">
        <f>-SUM(Model!S113:S143)-Model!S145</f>
        <v/>
      </c>
      <c r="U16" s="483">
        <f>-SUM(Model!T113:T143)-Model!T145</f>
        <v/>
      </c>
      <c r="V16" s="483">
        <f>-SUM(Model!U113:U143)-Model!U145</f>
        <v/>
      </c>
      <c r="W16" s="483">
        <f>-SUM(Model!V113:V143)-Model!V145</f>
        <v/>
      </c>
      <c r="X16" s="483">
        <f>-SUM(Model!W113:W143)-Model!W145</f>
        <v/>
      </c>
      <c r="Y16" s="483">
        <f>-SUM(Model!X113:X143)-Model!X145</f>
        <v/>
      </c>
      <c r="Z16" s="483">
        <f>-SUM(Model!Y113:Y143)-Model!Y145</f>
        <v/>
      </c>
      <c r="AA16" s="483">
        <f>-SUM(Model!Z113:Z143)-Model!Z145</f>
        <v/>
      </c>
      <c r="AB16" s="483">
        <f>-SUM(Model!AA113:AA143)-Model!AA145</f>
        <v/>
      </c>
      <c r="AC16" s="483">
        <f>-SUM(Model!AB113:AB143)-Model!AB145</f>
        <v/>
      </c>
      <c r="AD16" s="483">
        <f>-SUM(Model!AC113:AC143)-Model!AC145</f>
        <v/>
      </c>
      <c r="AE16" s="483">
        <f>-SUM(Model!AD113:AD143)-Model!AD145</f>
        <v/>
      </c>
      <c r="AF16" s="483">
        <f>-SUM(Model!AE113:AE143)-Model!AE145</f>
        <v/>
      </c>
      <c r="AG16" s="483">
        <f>-SUM(Model!AF113:AF143)-Model!AF145</f>
        <v/>
      </c>
      <c r="AH16" s="483">
        <f>-SUM(Model!AG113:AG143)-Model!AG145</f>
        <v/>
      </c>
      <c r="AI16" s="483">
        <f>-SUM(Model!AH113:AH143)-Model!AH145</f>
        <v/>
      </c>
      <c r="AJ16" s="483">
        <f>-SUM(Model!AI113:AI143)-Model!AI145</f>
        <v/>
      </c>
      <c r="AK16" s="483">
        <f>-SUM(Model!AJ113:AJ143)-Model!AJ145</f>
        <v/>
      </c>
      <c r="AL16" s="483">
        <f>-SUM(Model!AK113:AK143)-Model!AK145</f>
        <v/>
      </c>
      <c r="AM16" s="483">
        <f>-SUM(Model!AL113:AL143)-Model!AL145</f>
        <v/>
      </c>
      <c r="AN16" s="483">
        <f>-SUM(Model!AM113:AM143)-Model!AM145</f>
        <v/>
      </c>
      <c r="AO16" s="483">
        <f>-SUM(Model!AN113:AN143)-Model!AN145</f>
        <v/>
      </c>
      <c r="AP16" s="483">
        <f>-SUM(Model!AO113:AO143)-Model!AO145</f>
        <v/>
      </c>
      <c r="AQ16" s="483">
        <f>-SUM(Model!AP113:AP143)-Model!AP145</f>
        <v/>
      </c>
      <c r="AR16" s="483">
        <f>-SUM(Model!AQ113:AQ143)-Model!AQ145</f>
        <v/>
      </c>
      <c r="AS16" s="483">
        <f>-SUM(Model!AR113:AR143)-Model!AR145</f>
        <v/>
      </c>
      <c r="AT16" s="483">
        <f>-SUM(Model!AS113:AS143)-Model!AS145</f>
        <v/>
      </c>
      <c r="AU16" s="483">
        <f>-SUM(Model!AT113:AT143)-Model!AT145</f>
        <v/>
      </c>
      <c r="AV16" s="483">
        <f>-SUM(Model!AU113:AU143)-Model!AU145</f>
        <v/>
      </c>
      <c r="AW16" s="483">
        <f>-SUM(Model!AV113:AV143)-Model!AV145</f>
        <v/>
      </c>
      <c r="AX16" s="483">
        <f>-SUM(Model!AW113:AW143)-Model!AW145</f>
        <v/>
      </c>
      <c r="AY16" s="483">
        <f>-SUM(Model!AX113:AX143)-Model!AX145</f>
        <v/>
      </c>
      <c r="AZ16" s="483">
        <f>-SUM(Model!AY113:AY143)-Model!AY145</f>
        <v/>
      </c>
      <c r="BA16" s="483">
        <f>-SUM(Model!AZ113:AZ143)-Model!AZ145</f>
        <v/>
      </c>
      <c r="BB16" s="483">
        <f>-SUM(Model!BA113:BA143)-Model!BA145</f>
        <v/>
      </c>
      <c r="BC16" s="483">
        <f>-SUM(Model!BB113:BB143)-Model!BB145</f>
        <v/>
      </c>
      <c r="BD16" s="483">
        <f>-SUM(Model!BC113:BC143)-Model!BC145</f>
        <v/>
      </c>
      <c r="BE16" s="483">
        <f>-SUM(Model!BD113:BD143)-Model!BD145</f>
        <v/>
      </c>
      <c r="BF16" s="483">
        <f>-SUM(Model!BE113:BE143)-Model!BE145</f>
        <v/>
      </c>
      <c r="BG16" s="483">
        <f>-SUM(Model!BF113:BF143)-Model!BF145</f>
        <v/>
      </c>
      <c r="BH16" s="483">
        <f>-SUM(Model!BG113:BG143)-Model!BG145</f>
        <v/>
      </c>
      <c r="BI16" s="483">
        <f>-SUM(Model!BH113:BH143)-Model!BH145</f>
        <v/>
      </c>
      <c r="BJ16" s="483">
        <f>-SUM(Model!BI113:BI143)-Model!BI145</f>
        <v/>
      </c>
      <c r="BK16" s="483">
        <f>-SUM(Model!BJ113:BJ143)-Model!BJ145</f>
        <v/>
      </c>
      <c r="BL16" s="483">
        <f>-SUM(Model!BK113:BK143)-Model!BK145</f>
        <v/>
      </c>
      <c r="BM16" s="483">
        <f>-SUM(Model!BL113:BL143)-Model!BL145</f>
        <v/>
      </c>
      <c r="BN16" s="483">
        <f>-SUM(Model!BM113:BM143)-Model!BM145</f>
        <v/>
      </c>
      <c r="BO16" s="483">
        <f>-SUM(Model!BN113:BN143)-Model!BN145</f>
        <v/>
      </c>
      <c r="BP16" s="483">
        <f>-SUM(Model!BO113:BO143)-Model!BO145</f>
        <v/>
      </c>
      <c r="BQ16" s="483">
        <f>-SUM(Model!BP113:BP143)-Model!BP145</f>
        <v/>
      </c>
      <c r="BR16" s="483">
        <f>-SUM(Model!BQ113:BQ143)-Model!BQ145</f>
        <v/>
      </c>
      <c r="BS16" s="483">
        <f>-SUM(Model!BR113:BR143)-Model!BR145</f>
        <v/>
      </c>
      <c r="BT16" s="483">
        <f>-SUM(Model!BS113:BS143)-Model!BS145</f>
        <v/>
      </c>
      <c r="BU16" s="483">
        <f>-SUM(Model!BT113:BT143)-Model!BT145</f>
        <v/>
      </c>
      <c r="BV16" s="483">
        <f>-SUM(Model!BU113:BU143)-Model!BU145</f>
        <v/>
      </c>
      <c r="BW16" s="483">
        <f>-SUM(Model!BV113:BV143)-Model!BV145</f>
        <v/>
      </c>
      <c r="BX16" s="483">
        <f>-SUM(Model!BW113:BW143)-Model!BW145</f>
        <v/>
      </c>
      <c r="BY16" s="483">
        <f>-SUM(Model!BX113:BX143)-Model!BX145</f>
        <v/>
      </c>
      <c r="BZ16" s="483">
        <f>-SUM(Model!BY113:BY143)-Model!BY145</f>
        <v/>
      </c>
      <c r="CA16" s="483">
        <f>-SUM(Model!BZ113:BZ143)-Model!BZ145</f>
        <v/>
      </c>
      <c r="CB16" s="483">
        <f>-SUM(Model!CA113:CA143)-Model!CA145</f>
        <v/>
      </c>
      <c r="CC16" s="483">
        <f>-SUM(Model!CB113:CB143)-Model!CB145</f>
        <v/>
      </c>
      <c r="CD16" s="483">
        <f>-SUM(Model!CC113:CC143)-Model!CC145</f>
        <v/>
      </c>
      <c r="CE16" s="483">
        <f>-SUM(Model!CD113:CD143)-Model!CD145</f>
        <v/>
      </c>
      <c r="CF16" s="483">
        <f>-SUM(Model!CE113:CE143)-Model!CE145</f>
        <v/>
      </c>
      <c r="CG16" s="483">
        <f>-SUM(Model!CF113:CF143)-Model!CF145</f>
        <v/>
      </c>
      <c r="CH16" s="483">
        <f>-SUM(Model!CG113:CG143)-Model!CG145</f>
        <v/>
      </c>
      <c r="CI16" s="483">
        <f>-SUM(Model!CH113:CH143)-Model!CH145</f>
        <v/>
      </c>
      <c r="CJ16" s="483">
        <f>-SUM(Model!CI113:CI143)-Model!CI145</f>
        <v/>
      </c>
      <c r="CK16" s="483">
        <f>-SUM(Model!CJ113:CJ143)-Model!CJ145</f>
        <v/>
      </c>
      <c r="CL16" s="483">
        <f>-SUM(Model!CK113:CK143)-Model!CK145</f>
        <v/>
      </c>
      <c r="CM16" s="483">
        <f>-SUM(Model!CL113:CL143)-Model!CL145</f>
        <v/>
      </c>
      <c r="CN16" s="483">
        <f>-SUM(Model!CM113:CM143)-Model!CM145</f>
        <v/>
      </c>
      <c r="CO16" s="483">
        <f>-SUM(Model!CN113:CN143)-Model!CN145</f>
        <v/>
      </c>
      <c r="CP16" s="483">
        <f>-SUM(Model!CO113:CO143)-Model!CO145</f>
        <v/>
      </c>
      <c r="CQ16" s="483">
        <f>-SUM(Model!CP113:CP143)-Model!CP145</f>
        <v/>
      </c>
      <c r="CR16" s="483">
        <f>-SUM(Model!CQ113:CQ143)-Model!CQ145</f>
        <v/>
      </c>
      <c r="CS16" s="483">
        <f>-SUM(Model!CR113:CR143)-Model!CR145</f>
        <v/>
      </c>
      <c r="CT16" s="483">
        <f>-SUM(Model!CS113:CS143)-Model!CS145</f>
        <v/>
      </c>
      <c r="CU16" s="483">
        <f>-SUM(Model!CT113:CT143)-Model!CT145</f>
        <v/>
      </c>
      <c r="CV16" s="483">
        <f>-SUM(Model!CU113:CU143)-Model!CU145</f>
        <v/>
      </c>
      <c r="CW16" s="483">
        <f>-SUM(Model!CV113:CV143)-Model!CV145</f>
        <v/>
      </c>
      <c r="CX16" s="483">
        <f>-SUM(Model!CW113:CW143)-Model!CW145</f>
        <v/>
      </c>
      <c r="CY16" s="483">
        <f>-SUM(Model!CX113:CX143)-Model!CX145</f>
        <v/>
      </c>
      <c r="CZ16" s="483">
        <f>-SUM(Model!CY113:CY143)-Model!CY145</f>
        <v/>
      </c>
      <c r="DA16" s="483">
        <f>-SUM(Model!CZ113:CZ143)-Model!CZ145</f>
        <v/>
      </c>
      <c r="DB16" s="483">
        <f>-SUM(Model!DA113:DA143)-Model!DA145</f>
        <v/>
      </c>
      <c r="DC16" s="483">
        <f>-SUM(Model!DB113:DB143)-Model!DB145</f>
        <v/>
      </c>
      <c r="DD16" s="483">
        <f>-SUM(Model!DC113:DC143)-Model!DC145</f>
        <v/>
      </c>
      <c r="DE16" s="483">
        <f>-SUM(Model!DD113:DD143)-Model!DD145</f>
        <v/>
      </c>
      <c r="DF16" s="483">
        <f>-SUM(Model!DE113:DE143)-Model!DE145</f>
        <v/>
      </c>
    </row>
    <row r="17" ht="15" customFormat="1" customHeight="1" s="380">
      <c r="A17" s="605" t="inlineStr">
        <is>
          <t># under construction</t>
        </is>
      </c>
      <c r="C17" s="385">
        <f>SUMPRODUCT((Projects!$G$2:$G$14="Yes")*(C$15&gt;=Projects!$C$2:$C$14)*(C$15&lt;Projects!$C$2:$C$14+Projects!$D$2:$D$14))+SUMPRODUCT((Projects!$G$17:$G$46="Yes")*(C$15&gt;=Projects!$C$17:$C$46)*(C$15&lt;Projects!$C$17:$C$46+Projects!$D$17:$D$46))</f>
        <v/>
      </c>
      <c r="D17" s="385">
        <f>SUMPRODUCT((Projects!$G$2:$G$14="Yes")*(D$15&gt;=Projects!$C$2:$C$14)*(D$15&lt;Projects!$C$2:$C$14+Projects!$D$2:$D$14))+SUMPRODUCT((Projects!$G$17:$G$46="Yes")*(D$15&gt;=Projects!$C$17:$C$46)*(D$15&lt;Projects!$C$17:$C$46+Projects!$D$17:$D$46))</f>
        <v/>
      </c>
      <c r="E17" s="385">
        <f>SUMPRODUCT((Projects!$G$2:$G$14="Yes")*(E$15&gt;=Projects!$C$2:$C$14)*(E$15&lt;Projects!$C$2:$C$14+Projects!$D$2:$D$14))+SUMPRODUCT((Projects!$G$17:$G$46="Yes")*(E$15&gt;=Projects!$C$17:$C$46)*(E$15&lt;Projects!$C$17:$C$46+Projects!$D$17:$D$46))</f>
        <v/>
      </c>
      <c r="F17" s="385">
        <f>SUMPRODUCT((Projects!$G$2:$G$14="Yes")*(F$15&gt;=Projects!$C$2:$C$14)*(F$15&lt;Projects!$C$2:$C$14+Projects!$D$2:$D$14))+SUMPRODUCT((Projects!$G$17:$G$46="Yes")*(F$15&gt;=Projects!$C$17:$C$46)*(F$15&lt;Projects!$C$17:$C$46+Projects!$D$17:$D$46))</f>
        <v/>
      </c>
      <c r="G17" s="385">
        <f>SUMPRODUCT((Projects!$G$2:$G$14="Yes")*(G$15&gt;=Projects!$C$2:$C$14)*(G$15&lt;Projects!$C$2:$C$14+Projects!$D$2:$D$14))+SUMPRODUCT((Projects!$G$17:$G$46="Yes")*(G$15&gt;=Projects!$C$17:$C$46)*(G$15&lt;Projects!$C$17:$C$46+Projects!$D$17:$D$46))</f>
        <v/>
      </c>
      <c r="H17" s="385">
        <f>SUMPRODUCT((Projects!$G$2:$G$14="Yes")*(H$15&gt;=Projects!$C$2:$C$14)*(H$15&lt;Projects!$C$2:$C$14+Projects!$D$2:$D$14))+SUMPRODUCT((Projects!$G$17:$G$46="Yes")*(H$15&gt;=Projects!$C$17:$C$46)*(H$15&lt;Projects!$C$17:$C$46+Projects!$D$17:$D$46))</f>
        <v/>
      </c>
      <c r="I17" s="385">
        <f>SUMPRODUCT((Projects!$G$2:$G$14="Yes")*(I$15&gt;=Projects!$C$2:$C$14)*(I$15&lt;Projects!$C$2:$C$14+Projects!$D$2:$D$14))+SUMPRODUCT((Projects!$G$17:$G$46="Yes")*(I$15&gt;=Projects!$C$17:$C$46)*(I$15&lt;Projects!$C$17:$C$46+Projects!$D$17:$D$46))</f>
        <v/>
      </c>
      <c r="J17" s="385">
        <f>SUMPRODUCT((Projects!$G$2:$G$14="Yes")*(J$15&gt;=Projects!$C$2:$C$14)*(J$15&lt;Projects!$C$2:$C$14+Projects!$D$2:$D$14))+SUMPRODUCT((Projects!$G$17:$G$46="Yes")*(J$15&gt;=Projects!$C$17:$C$46)*(J$15&lt;Projects!$C$17:$C$46+Projects!$D$17:$D$46))</f>
        <v/>
      </c>
      <c r="K17" s="385">
        <f>SUMPRODUCT((Projects!$G$2:$G$14="Yes")*(K$15&gt;=Projects!$C$2:$C$14)*(K$15&lt;Projects!$C$2:$C$14+Projects!$D$2:$D$14))+SUMPRODUCT((Projects!$G$17:$G$46="Yes")*(K$15&gt;=Projects!$C$17:$C$46)*(K$15&lt;Projects!$C$17:$C$46+Projects!$D$17:$D$46))</f>
        <v/>
      </c>
      <c r="L17" s="385">
        <f>SUMPRODUCT((Projects!$G$2:$G$14="Yes")*(L$15&gt;=Projects!$C$2:$C$14)*(L$15&lt;Projects!$C$2:$C$14+Projects!$D$2:$D$14))+SUMPRODUCT((Projects!$G$17:$G$46="Yes")*(L$15&gt;=Projects!$C$17:$C$46)*(L$15&lt;Projects!$C$17:$C$46+Projects!$D$17:$D$46))</f>
        <v/>
      </c>
      <c r="M17" s="385">
        <f>SUMPRODUCT((Projects!$G$2:$G$14="Yes")*(M$15&gt;=Projects!$C$2:$C$14)*(M$15&lt;Projects!$C$2:$C$14+Projects!$D$2:$D$14))+SUMPRODUCT((Projects!$G$17:$G$46="Yes")*(M$15&gt;=Projects!$C$17:$C$46)*(M$15&lt;Projects!$C$17:$C$46+Projects!$D$17:$D$46))</f>
        <v/>
      </c>
      <c r="N17" s="385">
        <f>SUMPRODUCT((Projects!$G$2:$G$14="Yes")*(N$15&gt;=Projects!$C$2:$C$14)*(N$15&lt;Projects!$C$2:$C$14+Projects!$D$2:$D$14))+SUMPRODUCT((Projects!$G$17:$G$46="Yes")*(N$15&gt;=Projects!$C$17:$C$46)*(N$15&lt;Projects!$C$17:$C$46+Projects!$D$17:$D$46))</f>
        <v/>
      </c>
      <c r="O17" s="385">
        <f>SUMPRODUCT((Projects!$G$2:$G$14="Yes")*(O$15&gt;=Projects!$C$2:$C$14)*(O$15&lt;Projects!$C$2:$C$14+Projects!$D$2:$D$14))+SUMPRODUCT((Projects!$G$17:$G$46="Yes")*(O$15&gt;=Projects!$C$17:$C$46)*(O$15&lt;Projects!$C$17:$C$46+Projects!$D$17:$D$46))</f>
        <v/>
      </c>
      <c r="P17" s="385">
        <f>SUMPRODUCT((Projects!$G$2:$G$14="Yes")*(P$15&gt;=Projects!$C$2:$C$14)*(P$15&lt;Projects!$C$2:$C$14+Projects!$D$2:$D$14))+SUMPRODUCT((Projects!$G$17:$G$46="Yes")*(P$15&gt;=Projects!$C$17:$C$46)*(P$15&lt;Projects!$C$17:$C$46+Projects!$D$17:$D$46))</f>
        <v/>
      </c>
      <c r="Q17" s="385">
        <f>SUMPRODUCT((Projects!$G$2:$G$14="Yes")*(Q$15&gt;=Projects!$C$2:$C$14)*(Q$15&lt;Projects!$C$2:$C$14+Projects!$D$2:$D$14))+SUMPRODUCT((Projects!$G$17:$G$46="Yes")*(Q$15&gt;=Projects!$C$17:$C$46)*(Q$15&lt;Projects!$C$17:$C$46+Projects!$D$17:$D$46))</f>
        <v/>
      </c>
      <c r="R17" s="385">
        <f>SUMPRODUCT((Projects!$G$2:$G$14="Yes")*(R$15&gt;=Projects!$C$2:$C$14)*(R$15&lt;Projects!$C$2:$C$14+Projects!$D$2:$D$14))+SUMPRODUCT((Projects!$G$17:$G$46="Yes")*(R$15&gt;=Projects!$C$17:$C$46)*(R$15&lt;Projects!$C$17:$C$46+Projects!$D$17:$D$46))</f>
        <v/>
      </c>
      <c r="S17" s="385">
        <f>SUMPRODUCT((Projects!$G$2:$G$14="Yes")*(S$15&gt;=Projects!$C$2:$C$14)*(S$15&lt;Projects!$C$2:$C$14+Projects!$D$2:$D$14))+SUMPRODUCT((Projects!$G$17:$G$46="Yes")*(S$15&gt;=Projects!$C$17:$C$46)*(S$15&lt;Projects!$C$17:$C$46+Projects!$D$17:$D$46))</f>
        <v/>
      </c>
      <c r="T17" s="385">
        <f>SUMPRODUCT((Projects!$G$2:$G$14="Yes")*(T$15&gt;=Projects!$C$2:$C$14)*(T$15&lt;Projects!$C$2:$C$14+Projects!$D$2:$D$14))+SUMPRODUCT((Projects!$G$17:$G$46="Yes")*(T$15&gt;=Projects!$C$17:$C$46)*(T$15&lt;Projects!$C$17:$C$46+Projects!$D$17:$D$46))</f>
        <v/>
      </c>
      <c r="U17" s="385">
        <f>SUMPRODUCT((Projects!$G$2:$G$14="Yes")*(U$15&gt;=Projects!$C$2:$C$14)*(U$15&lt;Projects!$C$2:$C$14+Projects!$D$2:$D$14))+SUMPRODUCT((Projects!$G$17:$G$46="Yes")*(U$15&gt;=Projects!$C$17:$C$46)*(U$15&lt;Projects!$C$17:$C$46+Projects!$D$17:$D$46))</f>
        <v/>
      </c>
      <c r="V17" s="385">
        <f>SUMPRODUCT((Projects!$G$2:$G$14="Yes")*(V$15&gt;=Projects!$C$2:$C$14)*(V$15&lt;Projects!$C$2:$C$14+Projects!$D$2:$D$14))+SUMPRODUCT((Projects!$G$17:$G$46="Yes")*(V$15&gt;=Projects!$C$17:$C$46)*(V$15&lt;Projects!$C$17:$C$46+Projects!$D$17:$D$46))</f>
        <v/>
      </c>
      <c r="W17" s="385">
        <f>SUMPRODUCT((Projects!$G$2:$G$14="Yes")*(W$15&gt;=Projects!$C$2:$C$14)*(W$15&lt;Projects!$C$2:$C$14+Projects!$D$2:$D$14))+SUMPRODUCT((Projects!$G$17:$G$46="Yes")*(W$15&gt;=Projects!$C$17:$C$46)*(W$15&lt;Projects!$C$17:$C$46+Projects!$D$17:$D$46))</f>
        <v/>
      </c>
      <c r="X17" s="385">
        <f>SUMPRODUCT((Projects!$G$2:$G$14="Yes")*(X$15&gt;=Projects!$C$2:$C$14)*(X$15&lt;Projects!$C$2:$C$14+Projects!$D$2:$D$14))+SUMPRODUCT((Projects!$G$17:$G$46="Yes")*(X$15&gt;=Projects!$C$17:$C$46)*(X$15&lt;Projects!$C$17:$C$46+Projects!$D$17:$D$46))</f>
        <v/>
      </c>
      <c r="Y17" s="385">
        <f>SUMPRODUCT((Projects!$G$2:$G$14="Yes")*(Y$15&gt;=Projects!$C$2:$C$14)*(Y$15&lt;Projects!$C$2:$C$14+Projects!$D$2:$D$14))+SUMPRODUCT((Projects!$G$17:$G$46="Yes")*(Y$15&gt;=Projects!$C$17:$C$46)*(Y$15&lt;Projects!$C$17:$C$46+Projects!$D$17:$D$46))</f>
        <v/>
      </c>
      <c r="Z17" s="385">
        <f>SUMPRODUCT((Projects!$G$2:$G$14="Yes")*(Z$15&gt;=Projects!$C$2:$C$14)*(Z$15&lt;Projects!$C$2:$C$14+Projects!$D$2:$D$14))+SUMPRODUCT((Projects!$G$17:$G$46="Yes")*(Z$15&gt;=Projects!$C$17:$C$46)*(Z$15&lt;Projects!$C$17:$C$46+Projects!$D$17:$D$46))</f>
        <v/>
      </c>
      <c r="AA17" s="385">
        <f>SUMPRODUCT((Projects!$G$2:$G$14="Yes")*(AA$15&gt;=Projects!$C$2:$C$14)*(AA$15&lt;Projects!$C$2:$C$14+Projects!$D$2:$D$14))+SUMPRODUCT((Projects!$G$17:$G$46="Yes")*(AA$15&gt;=Projects!$C$17:$C$46)*(AA$15&lt;Projects!$C$17:$C$46+Projects!$D$17:$D$46))</f>
        <v/>
      </c>
      <c r="AB17" s="385">
        <f>SUMPRODUCT((Projects!$G$2:$G$14="Yes")*(AB$15&gt;=Projects!$C$2:$C$14)*(AB$15&lt;Projects!$C$2:$C$14+Projects!$D$2:$D$14))+SUMPRODUCT((Projects!$G$17:$G$46="Yes")*(AB$15&gt;=Projects!$C$17:$C$46)*(AB$15&lt;Projects!$C$17:$C$46+Projects!$D$17:$D$46))</f>
        <v/>
      </c>
      <c r="AC17" s="385">
        <f>SUMPRODUCT((Projects!$G$2:$G$14="Yes")*(AC$15&gt;=Projects!$C$2:$C$14)*(AC$15&lt;Projects!$C$2:$C$14+Projects!$D$2:$D$14))+SUMPRODUCT((Projects!$G$17:$G$46="Yes")*(AC$15&gt;=Projects!$C$17:$C$46)*(AC$15&lt;Projects!$C$17:$C$46+Projects!$D$17:$D$46))</f>
        <v/>
      </c>
      <c r="AD17" s="385">
        <f>SUMPRODUCT((Projects!$G$2:$G$14="Yes")*(AD$15&gt;=Projects!$C$2:$C$14)*(AD$15&lt;Projects!$C$2:$C$14+Projects!$D$2:$D$14))+SUMPRODUCT((Projects!$G$17:$G$46="Yes")*(AD$15&gt;=Projects!$C$17:$C$46)*(AD$15&lt;Projects!$C$17:$C$46+Projects!$D$17:$D$46))</f>
        <v/>
      </c>
      <c r="AE17" s="385">
        <f>SUMPRODUCT((Projects!$G$2:$G$14="Yes")*(AE$15&gt;=Projects!$C$2:$C$14)*(AE$15&lt;Projects!$C$2:$C$14+Projects!$D$2:$D$14))+SUMPRODUCT((Projects!$G$17:$G$46="Yes")*(AE$15&gt;=Projects!$C$17:$C$46)*(AE$15&lt;Projects!$C$17:$C$46+Projects!$D$17:$D$46))</f>
        <v/>
      </c>
      <c r="AF17" s="385">
        <f>SUMPRODUCT((Projects!$G$2:$G$14="Yes")*(AF$15&gt;=Projects!$C$2:$C$14)*(AF$15&lt;Projects!$C$2:$C$14+Projects!$D$2:$D$14))+SUMPRODUCT((Projects!$G$17:$G$46="Yes")*(AF$15&gt;=Projects!$C$17:$C$46)*(AF$15&lt;Projects!$C$17:$C$46+Projects!$D$17:$D$46))</f>
        <v/>
      </c>
      <c r="AG17" s="385">
        <f>SUMPRODUCT((Projects!$G$2:$G$14="Yes")*(AG$15&gt;=Projects!$C$2:$C$14)*(AG$15&lt;Projects!$C$2:$C$14+Projects!$D$2:$D$14))+SUMPRODUCT((Projects!$G$17:$G$46="Yes")*(AG$15&gt;=Projects!$C$17:$C$46)*(AG$15&lt;Projects!$C$17:$C$46+Projects!$D$17:$D$46))</f>
        <v/>
      </c>
      <c r="AH17" s="385">
        <f>SUMPRODUCT((Projects!$G$2:$G$14="Yes")*(AH$15&gt;=Projects!$C$2:$C$14)*(AH$15&lt;Projects!$C$2:$C$14+Projects!$D$2:$D$14))+SUMPRODUCT((Projects!$G$17:$G$46="Yes")*(AH$15&gt;=Projects!$C$17:$C$46)*(AH$15&lt;Projects!$C$17:$C$46+Projects!$D$17:$D$46))</f>
        <v/>
      </c>
      <c r="AI17" s="385">
        <f>SUMPRODUCT((Projects!$G$2:$G$14="Yes")*(AI$15&gt;=Projects!$C$2:$C$14)*(AI$15&lt;Projects!$C$2:$C$14+Projects!$D$2:$D$14))+SUMPRODUCT((Projects!$G$17:$G$46="Yes")*(AI$15&gt;=Projects!$C$17:$C$46)*(AI$15&lt;Projects!$C$17:$C$46+Projects!$D$17:$D$46))</f>
        <v/>
      </c>
      <c r="AJ17" s="385">
        <f>SUMPRODUCT((Projects!$G$2:$G$14="Yes")*(AJ$15&gt;=Projects!$C$2:$C$14)*(AJ$15&lt;Projects!$C$2:$C$14+Projects!$D$2:$D$14))+SUMPRODUCT((Projects!$G$17:$G$46="Yes")*(AJ$15&gt;=Projects!$C$17:$C$46)*(AJ$15&lt;Projects!$C$17:$C$46+Projects!$D$17:$D$46))</f>
        <v/>
      </c>
      <c r="AK17" s="385">
        <f>SUMPRODUCT((Projects!$G$2:$G$14="Yes")*(AK$15&gt;=Projects!$C$2:$C$14)*(AK$15&lt;Projects!$C$2:$C$14+Projects!$D$2:$D$14))+SUMPRODUCT((Projects!$G$17:$G$46="Yes")*(AK$15&gt;=Projects!$C$17:$C$46)*(AK$15&lt;Projects!$C$17:$C$46+Projects!$D$17:$D$46))</f>
        <v/>
      </c>
      <c r="AL17" s="385">
        <f>SUMPRODUCT((Projects!$G$2:$G$14="Yes")*(AL$15&gt;=Projects!$C$2:$C$14)*(AL$15&lt;Projects!$C$2:$C$14+Projects!$D$2:$D$14))+SUMPRODUCT((Projects!$G$17:$G$46="Yes")*(AL$15&gt;=Projects!$C$17:$C$46)*(AL$15&lt;Projects!$C$17:$C$46+Projects!$D$17:$D$46))</f>
        <v/>
      </c>
      <c r="AM17" s="385">
        <f>SUMPRODUCT((Projects!$G$2:$G$14="Yes")*(AM$15&gt;=Projects!$C$2:$C$14)*(AM$15&lt;Projects!$C$2:$C$14+Projects!$D$2:$D$14))+SUMPRODUCT((Projects!$G$17:$G$46="Yes")*(AM$15&gt;=Projects!$C$17:$C$46)*(AM$15&lt;Projects!$C$17:$C$46+Projects!$D$17:$D$46))</f>
        <v/>
      </c>
      <c r="AN17" s="385">
        <f>SUMPRODUCT((Projects!$G$2:$G$14="Yes")*(AN$15&gt;=Projects!$C$2:$C$14)*(AN$15&lt;Projects!$C$2:$C$14+Projects!$D$2:$D$14))+SUMPRODUCT((Projects!$G$17:$G$46="Yes")*(AN$15&gt;=Projects!$C$17:$C$46)*(AN$15&lt;Projects!$C$17:$C$46+Projects!$D$17:$D$46))</f>
        <v/>
      </c>
      <c r="AO17" s="385">
        <f>SUMPRODUCT((Projects!$G$2:$G$14="Yes")*(AO$15&gt;=Projects!$C$2:$C$14)*(AO$15&lt;Projects!$C$2:$C$14+Projects!$D$2:$D$14))+SUMPRODUCT((Projects!$G$17:$G$46="Yes")*(AO$15&gt;=Projects!$C$17:$C$46)*(AO$15&lt;Projects!$C$17:$C$46+Projects!$D$17:$D$46))</f>
        <v/>
      </c>
      <c r="AP17" s="385">
        <f>SUMPRODUCT((Projects!$G$2:$G$14="Yes")*(AP$15&gt;=Projects!$C$2:$C$14)*(AP$15&lt;Projects!$C$2:$C$14+Projects!$D$2:$D$14))+SUMPRODUCT((Projects!$G$17:$G$46="Yes")*(AP$15&gt;=Projects!$C$17:$C$46)*(AP$15&lt;Projects!$C$17:$C$46+Projects!$D$17:$D$46))</f>
        <v/>
      </c>
      <c r="AQ17" s="385">
        <f>SUMPRODUCT((Projects!$G$2:$G$14="Yes")*(AQ$15&gt;=Projects!$C$2:$C$14)*(AQ$15&lt;Projects!$C$2:$C$14+Projects!$D$2:$D$14))+SUMPRODUCT((Projects!$G$17:$G$46="Yes")*(AQ$15&gt;=Projects!$C$17:$C$46)*(AQ$15&lt;Projects!$C$17:$C$46+Projects!$D$17:$D$46))</f>
        <v/>
      </c>
      <c r="AR17" s="385">
        <f>SUMPRODUCT((Projects!$G$2:$G$14="Yes")*(AR$15&gt;=Projects!$C$2:$C$14)*(AR$15&lt;Projects!$C$2:$C$14+Projects!$D$2:$D$14))+SUMPRODUCT((Projects!$G$17:$G$46="Yes")*(AR$15&gt;=Projects!$C$17:$C$46)*(AR$15&lt;Projects!$C$17:$C$46+Projects!$D$17:$D$46))</f>
        <v/>
      </c>
      <c r="AS17" s="385">
        <f>SUMPRODUCT((Projects!$G$2:$G$14="Yes")*(AS$15&gt;=Projects!$C$2:$C$14)*(AS$15&lt;Projects!$C$2:$C$14+Projects!$D$2:$D$14))+SUMPRODUCT((Projects!$G$17:$G$46="Yes")*(AS$15&gt;=Projects!$C$17:$C$46)*(AS$15&lt;Projects!$C$17:$C$46+Projects!$D$17:$D$46))</f>
        <v/>
      </c>
      <c r="AT17" s="385">
        <f>SUMPRODUCT((Projects!$G$2:$G$14="Yes")*(AT$15&gt;=Projects!$C$2:$C$14)*(AT$15&lt;Projects!$C$2:$C$14+Projects!$D$2:$D$14))+SUMPRODUCT((Projects!$G$17:$G$46="Yes")*(AT$15&gt;=Projects!$C$17:$C$46)*(AT$15&lt;Projects!$C$17:$C$46+Projects!$D$17:$D$46))</f>
        <v/>
      </c>
      <c r="AU17" s="385">
        <f>SUMPRODUCT((Projects!$G$2:$G$14="Yes")*(AU$15&gt;=Projects!$C$2:$C$14)*(AU$15&lt;Projects!$C$2:$C$14+Projects!$D$2:$D$14))+SUMPRODUCT((Projects!$G$17:$G$46="Yes")*(AU$15&gt;=Projects!$C$17:$C$46)*(AU$15&lt;Projects!$C$17:$C$46+Projects!$D$17:$D$46))</f>
        <v/>
      </c>
      <c r="AV17" s="385">
        <f>SUMPRODUCT((Projects!$G$2:$G$14="Yes")*(AV$15&gt;=Projects!$C$2:$C$14)*(AV$15&lt;Projects!$C$2:$C$14+Projects!$D$2:$D$14))+SUMPRODUCT((Projects!$G$17:$G$46="Yes")*(AV$15&gt;=Projects!$C$17:$C$46)*(AV$15&lt;Projects!$C$17:$C$46+Projects!$D$17:$D$46))</f>
        <v/>
      </c>
      <c r="AW17" s="385">
        <f>SUMPRODUCT((Projects!$G$2:$G$14="Yes")*(AW$15&gt;=Projects!$C$2:$C$14)*(AW$15&lt;Projects!$C$2:$C$14+Projects!$D$2:$D$14))+SUMPRODUCT((Projects!$G$17:$G$46="Yes")*(AW$15&gt;=Projects!$C$17:$C$46)*(AW$15&lt;Projects!$C$17:$C$46+Projects!$D$17:$D$46))</f>
        <v/>
      </c>
      <c r="AX17" s="385">
        <f>SUMPRODUCT((Projects!$G$2:$G$14="Yes")*(AX$15&gt;=Projects!$C$2:$C$14)*(AX$15&lt;Projects!$C$2:$C$14+Projects!$D$2:$D$14))+SUMPRODUCT((Projects!$G$17:$G$46="Yes")*(AX$15&gt;=Projects!$C$17:$C$46)*(AX$15&lt;Projects!$C$17:$C$46+Projects!$D$17:$D$46))</f>
        <v/>
      </c>
      <c r="AY17" s="385">
        <f>SUMPRODUCT((Projects!$G$2:$G$14="Yes")*(AY$15&gt;=Projects!$C$2:$C$14)*(AY$15&lt;Projects!$C$2:$C$14+Projects!$D$2:$D$14))+SUMPRODUCT((Projects!$G$17:$G$46="Yes")*(AY$15&gt;=Projects!$C$17:$C$46)*(AY$15&lt;Projects!$C$17:$C$46+Projects!$D$17:$D$46))</f>
        <v/>
      </c>
      <c r="AZ17" s="385">
        <f>SUMPRODUCT((Projects!$G$2:$G$14="Yes")*(AZ$15&gt;=Projects!$C$2:$C$14)*(AZ$15&lt;Projects!$C$2:$C$14+Projects!$D$2:$D$14))+SUMPRODUCT((Projects!$G$17:$G$46="Yes")*(AZ$15&gt;=Projects!$C$17:$C$46)*(AZ$15&lt;Projects!$C$17:$C$46+Projects!$D$17:$D$46))</f>
        <v/>
      </c>
      <c r="BA17" s="385">
        <f>SUMPRODUCT((Projects!$G$2:$G$14="Yes")*(BA$15&gt;=Projects!$C$2:$C$14)*(BA$15&lt;Projects!$C$2:$C$14+Projects!$D$2:$D$14))+SUMPRODUCT((Projects!$G$17:$G$46="Yes")*(BA$15&gt;=Projects!$C$17:$C$46)*(BA$15&lt;Projects!$C$17:$C$46+Projects!$D$17:$D$46))</f>
        <v/>
      </c>
      <c r="BB17" s="385">
        <f>SUMPRODUCT((Projects!$G$2:$G$14="Yes")*(BB$15&gt;=Projects!$C$2:$C$14)*(BB$15&lt;Projects!$C$2:$C$14+Projects!$D$2:$D$14))+SUMPRODUCT((Projects!$G$17:$G$46="Yes")*(BB$15&gt;=Projects!$C$17:$C$46)*(BB$15&lt;Projects!$C$17:$C$46+Projects!$D$17:$D$46))</f>
        <v/>
      </c>
      <c r="BC17" s="385">
        <f>SUMPRODUCT((Projects!$G$2:$G$14="Yes")*(BC$15&gt;=Projects!$C$2:$C$14)*(BC$15&lt;Projects!$C$2:$C$14+Projects!$D$2:$D$14))+SUMPRODUCT((Projects!$G$17:$G$46="Yes")*(BC$15&gt;=Projects!$C$17:$C$46)*(BC$15&lt;Projects!$C$17:$C$46+Projects!$D$17:$D$46))</f>
        <v/>
      </c>
      <c r="BD17" s="385">
        <f>SUMPRODUCT((Projects!$G$2:$G$14="Yes")*(BD$15&gt;=Projects!$C$2:$C$14)*(BD$15&lt;Projects!$C$2:$C$14+Projects!$D$2:$D$14))+SUMPRODUCT((Projects!$G$17:$G$46="Yes")*(BD$15&gt;=Projects!$C$17:$C$46)*(BD$15&lt;Projects!$C$17:$C$46+Projects!$D$17:$D$46))</f>
        <v/>
      </c>
      <c r="BE17" s="385">
        <f>SUMPRODUCT((Projects!$G$2:$G$14="Yes")*(BE$15&gt;=Projects!$C$2:$C$14)*(BE$15&lt;Projects!$C$2:$C$14+Projects!$D$2:$D$14))+SUMPRODUCT((Projects!$G$17:$G$46="Yes")*(BE$15&gt;=Projects!$C$17:$C$46)*(BE$15&lt;Projects!$C$17:$C$46+Projects!$D$17:$D$46))</f>
        <v/>
      </c>
      <c r="BF17" s="385">
        <f>SUMPRODUCT((Projects!$G$2:$G$14="Yes")*(BF$15&gt;=Projects!$C$2:$C$14)*(BF$15&lt;Projects!$C$2:$C$14+Projects!$D$2:$D$14))+SUMPRODUCT((Projects!$G$17:$G$46="Yes")*(BF$15&gt;=Projects!$C$17:$C$46)*(BF$15&lt;Projects!$C$17:$C$46+Projects!$D$17:$D$46))</f>
        <v/>
      </c>
      <c r="BG17" s="385">
        <f>SUMPRODUCT((Projects!$G$2:$G$14="Yes")*(BG$15&gt;=Projects!$C$2:$C$14)*(BG$15&lt;Projects!$C$2:$C$14+Projects!$D$2:$D$14))+SUMPRODUCT((Projects!$G$17:$G$46="Yes")*(BG$15&gt;=Projects!$C$17:$C$46)*(BG$15&lt;Projects!$C$17:$C$46+Projects!$D$17:$D$46))</f>
        <v/>
      </c>
      <c r="BH17" s="385">
        <f>SUMPRODUCT((Projects!$G$2:$G$14="Yes")*(BH$15&gt;=Projects!$C$2:$C$14)*(BH$15&lt;Projects!$C$2:$C$14+Projects!$D$2:$D$14))+SUMPRODUCT((Projects!$G$17:$G$46="Yes")*(BH$15&gt;=Projects!$C$17:$C$46)*(BH$15&lt;Projects!$C$17:$C$46+Projects!$D$17:$D$46))</f>
        <v/>
      </c>
      <c r="BI17" s="385">
        <f>SUMPRODUCT((Projects!$G$2:$G$14="Yes")*(BI$15&gt;=Projects!$C$2:$C$14)*(BI$15&lt;Projects!$C$2:$C$14+Projects!$D$2:$D$14))+SUMPRODUCT((Projects!$G$17:$G$46="Yes")*(BI$15&gt;=Projects!$C$17:$C$46)*(BI$15&lt;Projects!$C$17:$C$46+Projects!$D$17:$D$46))</f>
        <v/>
      </c>
      <c r="BJ17" s="385">
        <f>SUMPRODUCT((Projects!$G$2:$G$14="Yes")*(BJ$15&gt;=Projects!$C$2:$C$14)*(BJ$15&lt;Projects!$C$2:$C$14+Projects!$D$2:$D$14))+SUMPRODUCT((Projects!$G$17:$G$46="Yes")*(BJ$15&gt;=Projects!$C$17:$C$46)*(BJ$15&lt;Projects!$C$17:$C$46+Projects!$D$17:$D$46))</f>
        <v/>
      </c>
      <c r="BK17" s="385">
        <f>SUMPRODUCT((Projects!$G$2:$G$14="Yes")*(BK$15&gt;=Projects!$C$2:$C$14)*(BK$15&lt;Projects!$C$2:$C$14+Projects!$D$2:$D$14))+SUMPRODUCT((Projects!$G$17:$G$46="Yes")*(BK$15&gt;=Projects!$C$17:$C$46)*(BK$15&lt;Projects!$C$17:$C$46+Projects!$D$17:$D$46))</f>
        <v/>
      </c>
      <c r="BL17" s="385">
        <f>SUMPRODUCT((Projects!$G$2:$G$14="Yes")*(BL$15&gt;=Projects!$C$2:$C$14)*(BL$15&lt;Projects!$C$2:$C$14+Projects!$D$2:$D$14))+SUMPRODUCT((Projects!$G$17:$G$46="Yes")*(BL$15&gt;=Projects!$C$17:$C$46)*(BL$15&lt;Projects!$C$17:$C$46+Projects!$D$17:$D$46))</f>
        <v/>
      </c>
      <c r="BM17" s="385">
        <f>SUMPRODUCT((Projects!$G$2:$G$14="Yes")*(BM$15&gt;=Projects!$C$2:$C$14)*(BM$15&lt;Projects!$C$2:$C$14+Projects!$D$2:$D$14))+SUMPRODUCT((Projects!$G$17:$G$46="Yes")*(BM$15&gt;=Projects!$C$17:$C$46)*(BM$15&lt;Projects!$C$17:$C$46+Projects!$D$17:$D$46))</f>
        <v/>
      </c>
      <c r="BN17" s="385">
        <f>SUMPRODUCT((Projects!$G$2:$G$14="Yes")*(BN$15&gt;=Projects!$C$2:$C$14)*(BN$15&lt;Projects!$C$2:$C$14+Projects!$D$2:$D$14))+SUMPRODUCT((Projects!$G$17:$G$46="Yes")*(BN$15&gt;=Projects!$C$17:$C$46)*(BN$15&lt;Projects!$C$17:$C$46+Projects!$D$17:$D$46))</f>
        <v/>
      </c>
      <c r="BO17" s="385">
        <f>SUMPRODUCT((Projects!$G$2:$G$14="Yes")*(BO$15&gt;=Projects!$C$2:$C$14)*(BO$15&lt;Projects!$C$2:$C$14+Projects!$D$2:$D$14))+SUMPRODUCT((Projects!$G$17:$G$46="Yes")*(BO$15&gt;=Projects!$C$17:$C$46)*(BO$15&lt;Projects!$C$17:$C$46+Projects!$D$17:$D$46))</f>
        <v/>
      </c>
      <c r="BP17" s="385">
        <f>SUMPRODUCT((Projects!$G$2:$G$14="Yes")*(BP$15&gt;=Projects!$C$2:$C$14)*(BP$15&lt;Projects!$C$2:$C$14+Projects!$D$2:$D$14))+SUMPRODUCT((Projects!$G$17:$G$46="Yes")*(BP$15&gt;=Projects!$C$17:$C$46)*(BP$15&lt;Projects!$C$17:$C$46+Projects!$D$17:$D$46))</f>
        <v/>
      </c>
      <c r="BQ17" s="385">
        <f>SUMPRODUCT((Projects!$G$2:$G$14="Yes")*(BQ$15&gt;=Projects!$C$2:$C$14)*(BQ$15&lt;Projects!$C$2:$C$14+Projects!$D$2:$D$14))+SUMPRODUCT((Projects!$G$17:$G$46="Yes")*(BQ$15&gt;=Projects!$C$17:$C$46)*(BQ$15&lt;Projects!$C$17:$C$46+Projects!$D$17:$D$46))</f>
        <v/>
      </c>
      <c r="BR17" s="385">
        <f>SUMPRODUCT((Projects!$G$2:$G$14="Yes")*(BR$15&gt;=Projects!$C$2:$C$14)*(BR$15&lt;Projects!$C$2:$C$14+Projects!$D$2:$D$14))+SUMPRODUCT((Projects!$G$17:$G$46="Yes")*(BR$15&gt;=Projects!$C$17:$C$46)*(BR$15&lt;Projects!$C$17:$C$46+Projects!$D$17:$D$46))</f>
        <v/>
      </c>
      <c r="BS17" s="385">
        <f>SUMPRODUCT((Projects!$G$2:$G$14="Yes")*(BS$15&gt;=Projects!$C$2:$C$14)*(BS$15&lt;Projects!$C$2:$C$14+Projects!$D$2:$D$14))+SUMPRODUCT((Projects!$G$17:$G$46="Yes")*(BS$15&gt;=Projects!$C$17:$C$46)*(BS$15&lt;Projects!$C$17:$C$46+Projects!$D$17:$D$46))</f>
        <v/>
      </c>
      <c r="BT17" s="385">
        <f>SUMPRODUCT((Projects!$G$2:$G$14="Yes")*(BT$15&gt;=Projects!$C$2:$C$14)*(BT$15&lt;Projects!$C$2:$C$14+Projects!$D$2:$D$14))+SUMPRODUCT((Projects!$G$17:$G$46="Yes")*(BT$15&gt;=Projects!$C$17:$C$46)*(BT$15&lt;Projects!$C$17:$C$46+Projects!$D$17:$D$46))</f>
        <v/>
      </c>
      <c r="BU17" s="385">
        <f>SUMPRODUCT((Projects!$G$2:$G$14="Yes")*(BU$15&gt;=Projects!$C$2:$C$14)*(BU$15&lt;Projects!$C$2:$C$14+Projects!$D$2:$D$14))+SUMPRODUCT((Projects!$G$17:$G$46="Yes")*(BU$15&gt;=Projects!$C$17:$C$46)*(BU$15&lt;Projects!$C$17:$C$46+Projects!$D$17:$D$46))</f>
        <v/>
      </c>
      <c r="BV17" s="385">
        <f>SUMPRODUCT((Projects!$G$2:$G$14="Yes")*(BV$15&gt;=Projects!$C$2:$C$14)*(BV$15&lt;Projects!$C$2:$C$14+Projects!$D$2:$D$14))+SUMPRODUCT((Projects!$G$17:$G$46="Yes")*(BV$15&gt;=Projects!$C$17:$C$46)*(BV$15&lt;Projects!$C$17:$C$46+Projects!$D$17:$D$46))</f>
        <v/>
      </c>
      <c r="BW17" s="385">
        <f>SUMPRODUCT((Projects!$G$2:$G$14="Yes")*(BW$15&gt;=Projects!$C$2:$C$14)*(BW$15&lt;Projects!$C$2:$C$14+Projects!$D$2:$D$14))+SUMPRODUCT((Projects!$G$17:$G$46="Yes")*(BW$15&gt;=Projects!$C$17:$C$46)*(BW$15&lt;Projects!$C$17:$C$46+Projects!$D$17:$D$46))</f>
        <v/>
      </c>
      <c r="BX17" s="385">
        <f>SUMPRODUCT((Projects!$G$2:$G$14="Yes")*(BX$15&gt;=Projects!$C$2:$C$14)*(BX$15&lt;Projects!$C$2:$C$14+Projects!$D$2:$D$14))+SUMPRODUCT((Projects!$G$17:$G$46="Yes")*(BX$15&gt;=Projects!$C$17:$C$46)*(BX$15&lt;Projects!$C$17:$C$46+Projects!$D$17:$D$46))</f>
        <v/>
      </c>
      <c r="BY17" s="385">
        <f>SUMPRODUCT((Projects!$G$2:$G$14="Yes")*(BY$15&gt;=Projects!$C$2:$C$14)*(BY$15&lt;Projects!$C$2:$C$14+Projects!$D$2:$D$14))+SUMPRODUCT((Projects!$G$17:$G$46="Yes")*(BY$15&gt;=Projects!$C$17:$C$46)*(BY$15&lt;Projects!$C$17:$C$46+Projects!$D$17:$D$46))</f>
        <v/>
      </c>
      <c r="BZ17" s="385">
        <f>SUMPRODUCT((Projects!$G$2:$G$14="Yes")*(BZ$15&gt;=Projects!$C$2:$C$14)*(BZ$15&lt;Projects!$C$2:$C$14+Projects!$D$2:$D$14))+SUMPRODUCT((Projects!$G$17:$G$46="Yes")*(BZ$15&gt;=Projects!$C$17:$C$46)*(BZ$15&lt;Projects!$C$17:$C$46+Projects!$D$17:$D$46))</f>
        <v/>
      </c>
      <c r="CA17" s="385">
        <f>SUMPRODUCT((Projects!$G$2:$G$14="Yes")*(CA$15&gt;=Projects!$C$2:$C$14)*(CA$15&lt;Projects!$C$2:$C$14+Projects!$D$2:$D$14))+SUMPRODUCT((Projects!$G$17:$G$46="Yes")*(CA$15&gt;=Projects!$C$17:$C$46)*(CA$15&lt;Projects!$C$17:$C$46+Projects!$D$17:$D$46))</f>
        <v/>
      </c>
      <c r="CB17" s="385">
        <f>SUMPRODUCT((Projects!$G$2:$G$14="Yes")*(CB$15&gt;=Projects!$C$2:$C$14)*(CB$15&lt;Projects!$C$2:$C$14+Projects!$D$2:$D$14))+SUMPRODUCT((Projects!$G$17:$G$46="Yes")*(CB$15&gt;=Projects!$C$17:$C$46)*(CB$15&lt;Projects!$C$17:$C$46+Projects!$D$17:$D$46))</f>
        <v/>
      </c>
      <c r="CC17" s="385">
        <f>SUMPRODUCT((Projects!$G$2:$G$14="Yes")*(CC$15&gt;=Projects!$C$2:$C$14)*(CC$15&lt;Projects!$C$2:$C$14+Projects!$D$2:$D$14))+SUMPRODUCT((Projects!$G$17:$G$46="Yes")*(CC$15&gt;=Projects!$C$17:$C$46)*(CC$15&lt;Projects!$C$17:$C$46+Projects!$D$17:$D$46))</f>
        <v/>
      </c>
      <c r="CD17" s="385">
        <f>SUMPRODUCT((Projects!$G$2:$G$14="Yes")*(CD$15&gt;=Projects!$C$2:$C$14)*(CD$15&lt;Projects!$C$2:$C$14+Projects!$D$2:$D$14))+SUMPRODUCT((Projects!$G$17:$G$46="Yes")*(CD$15&gt;=Projects!$C$17:$C$46)*(CD$15&lt;Projects!$C$17:$C$46+Projects!$D$17:$D$46))</f>
        <v/>
      </c>
      <c r="CE17" s="385">
        <f>SUMPRODUCT((Projects!$G$2:$G$14="Yes")*(CE$15&gt;=Projects!$C$2:$C$14)*(CE$15&lt;Projects!$C$2:$C$14+Projects!$D$2:$D$14))+SUMPRODUCT((Projects!$G$17:$G$46="Yes")*(CE$15&gt;=Projects!$C$17:$C$46)*(CE$15&lt;Projects!$C$17:$C$46+Projects!$D$17:$D$46))</f>
        <v/>
      </c>
      <c r="CF17" s="385">
        <f>SUMPRODUCT((Projects!$G$2:$G$14="Yes")*(CF$15&gt;=Projects!$C$2:$C$14)*(CF$15&lt;Projects!$C$2:$C$14+Projects!$D$2:$D$14))+SUMPRODUCT((Projects!$G$17:$G$46="Yes")*(CF$15&gt;=Projects!$C$17:$C$46)*(CF$15&lt;Projects!$C$17:$C$46+Projects!$D$17:$D$46))</f>
        <v/>
      </c>
      <c r="CG17" s="385">
        <f>SUMPRODUCT((Projects!$G$2:$G$14="Yes")*(CG$15&gt;=Projects!$C$2:$C$14)*(CG$15&lt;Projects!$C$2:$C$14+Projects!$D$2:$D$14))+SUMPRODUCT((Projects!$G$17:$G$46="Yes")*(CG$15&gt;=Projects!$C$17:$C$46)*(CG$15&lt;Projects!$C$17:$C$46+Projects!$D$17:$D$46))</f>
        <v/>
      </c>
      <c r="CH17" s="385">
        <f>SUMPRODUCT((Projects!$G$2:$G$14="Yes")*(CH$15&gt;=Projects!$C$2:$C$14)*(CH$15&lt;Projects!$C$2:$C$14+Projects!$D$2:$D$14))+SUMPRODUCT((Projects!$G$17:$G$46="Yes")*(CH$15&gt;=Projects!$C$17:$C$46)*(CH$15&lt;Projects!$C$17:$C$46+Projects!$D$17:$D$46))</f>
        <v/>
      </c>
      <c r="CI17" s="385">
        <f>SUMPRODUCT((Projects!$G$2:$G$14="Yes")*(CI$15&gt;=Projects!$C$2:$C$14)*(CI$15&lt;Projects!$C$2:$C$14+Projects!$D$2:$D$14))+SUMPRODUCT((Projects!$G$17:$G$46="Yes")*(CI$15&gt;=Projects!$C$17:$C$46)*(CI$15&lt;Projects!$C$17:$C$46+Projects!$D$17:$D$46))</f>
        <v/>
      </c>
      <c r="CJ17" s="385">
        <f>SUMPRODUCT((Projects!$G$2:$G$14="Yes")*(CJ$15&gt;=Projects!$C$2:$C$14)*(CJ$15&lt;Projects!$C$2:$C$14+Projects!$D$2:$D$14))+SUMPRODUCT((Projects!$G$17:$G$46="Yes")*(CJ$15&gt;=Projects!$C$17:$C$46)*(CJ$15&lt;Projects!$C$17:$C$46+Projects!$D$17:$D$46))</f>
        <v/>
      </c>
      <c r="CK17" s="385">
        <f>SUMPRODUCT((Projects!$G$2:$G$14="Yes")*(CK$15&gt;=Projects!$C$2:$C$14)*(CK$15&lt;Projects!$C$2:$C$14+Projects!$D$2:$D$14))+SUMPRODUCT((Projects!$G$17:$G$46="Yes")*(CK$15&gt;=Projects!$C$17:$C$46)*(CK$15&lt;Projects!$C$17:$C$46+Projects!$D$17:$D$46))</f>
        <v/>
      </c>
      <c r="CL17" s="385">
        <f>SUMPRODUCT((Projects!$G$2:$G$14="Yes")*(CL$15&gt;=Projects!$C$2:$C$14)*(CL$15&lt;Projects!$C$2:$C$14+Projects!$D$2:$D$14))+SUMPRODUCT((Projects!$G$17:$G$46="Yes")*(CL$15&gt;=Projects!$C$17:$C$46)*(CL$15&lt;Projects!$C$17:$C$46+Projects!$D$17:$D$46))</f>
        <v/>
      </c>
      <c r="CM17" s="385">
        <f>SUMPRODUCT((Projects!$G$2:$G$14="Yes")*(CM$15&gt;=Projects!$C$2:$C$14)*(CM$15&lt;Projects!$C$2:$C$14+Projects!$D$2:$D$14))+SUMPRODUCT((Projects!$G$17:$G$46="Yes")*(CM$15&gt;=Projects!$C$17:$C$46)*(CM$15&lt;Projects!$C$17:$C$46+Projects!$D$17:$D$46))</f>
        <v/>
      </c>
      <c r="CN17" s="385">
        <f>SUMPRODUCT((Projects!$G$2:$G$14="Yes")*(CN$15&gt;=Projects!$C$2:$C$14)*(CN$15&lt;Projects!$C$2:$C$14+Projects!$D$2:$D$14))+SUMPRODUCT((Projects!$G$17:$G$46="Yes")*(CN$15&gt;=Projects!$C$17:$C$46)*(CN$15&lt;Projects!$C$17:$C$46+Projects!$D$17:$D$46))</f>
        <v/>
      </c>
      <c r="CO17" s="385">
        <f>SUMPRODUCT((Projects!$G$2:$G$14="Yes")*(CO$15&gt;=Projects!$C$2:$C$14)*(CO$15&lt;Projects!$C$2:$C$14+Projects!$D$2:$D$14))+SUMPRODUCT((Projects!$G$17:$G$46="Yes")*(CO$15&gt;=Projects!$C$17:$C$46)*(CO$15&lt;Projects!$C$17:$C$46+Projects!$D$17:$D$46))</f>
        <v/>
      </c>
      <c r="CP17" s="385">
        <f>SUMPRODUCT((Projects!$G$2:$G$14="Yes")*(CP$15&gt;=Projects!$C$2:$C$14)*(CP$15&lt;Projects!$C$2:$C$14+Projects!$D$2:$D$14))+SUMPRODUCT((Projects!$G$17:$G$46="Yes")*(CP$15&gt;=Projects!$C$17:$C$46)*(CP$15&lt;Projects!$C$17:$C$46+Projects!$D$17:$D$46))</f>
        <v/>
      </c>
      <c r="CQ17" s="385">
        <f>SUMPRODUCT((Projects!$G$2:$G$14="Yes")*(CQ$15&gt;=Projects!$C$2:$C$14)*(CQ$15&lt;Projects!$C$2:$C$14+Projects!$D$2:$D$14))+SUMPRODUCT((Projects!$G$17:$G$46="Yes")*(CQ$15&gt;=Projects!$C$17:$C$46)*(CQ$15&lt;Projects!$C$17:$C$46+Projects!$D$17:$D$46))</f>
        <v/>
      </c>
      <c r="CR17" s="385">
        <f>SUMPRODUCT((Projects!$G$2:$G$14="Yes")*(CR$15&gt;=Projects!$C$2:$C$14)*(CR$15&lt;Projects!$C$2:$C$14+Projects!$D$2:$D$14))+SUMPRODUCT((Projects!$G$17:$G$46="Yes")*(CR$15&gt;=Projects!$C$17:$C$46)*(CR$15&lt;Projects!$C$17:$C$46+Projects!$D$17:$D$46))</f>
        <v/>
      </c>
      <c r="CS17" s="385">
        <f>SUMPRODUCT((Projects!$G$2:$G$14="Yes")*(CS$15&gt;=Projects!$C$2:$C$14)*(CS$15&lt;Projects!$C$2:$C$14+Projects!$D$2:$D$14))+SUMPRODUCT((Projects!$G$17:$G$46="Yes")*(CS$15&gt;=Projects!$C$17:$C$46)*(CS$15&lt;Projects!$C$17:$C$46+Projects!$D$17:$D$46))</f>
        <v/>
      </c>
      <c r="CT17" s="385">
        <f>SUMPRODUCT((Projects!$G$2:$G$14="Yes")*(CT$15&gt;=Projects!$C$2:$C$14)*(CT$15&lt;Projects!$C$2:$C$14+Projects!$D$2:$D$14))+SUMPRODUCT((Projects!$G$17:$G$46="Yes")*(CT$15&gt;=Projects!$C$17:$C$46)*(CT$15&lt;Projects!$C$17:$C$46+Projects!$D$17:$D$46))</f>
        <v/>
      </c>
      <c r="CU17" s="385">
        <f>SUMPRODUCT((Projects!$G$2:$G$14="Yes")*(CU$15&gt;=Projects!$C$2:$C$14)*(CU$15&lt;Projects!$C$2:$C$14+Projects!$D$2:$D$14))+SUMPRODUCT((Projects!$G$17:$G$46="Yes")*(CU$15&gt;=Projects!$C$17:$C$46)*(CU$15&lt;Projects!$C$17:$C$46+Projects!$D$17:$D$46))</f>
        <v/>
      </c>
      <c r="CV17" s="385">
        <f>SUMPRODUCT((Projects!$G$2:$G$14="Yes")*(CV$15&gt;=Projects!$C$2:$C$14)*(CV$15&lt;Projects!$C$2:$C$14+Projects!$D$2:$D$14))+SUMPRODUCT((Projects!$G$17:$G$46="Yes")*(CV$15&gt;=Projects!$C$17:$C$46)*(CV$15&lt;Projects!$C$17:$C$46+Projects!$D$17:$D$46))</f>
        <v/>
      </c>
      <c r="CW17" s="385">
        <f>SUMPRODUCT((Projects!$G$2:$G$14="Yes")*(CW$15&gt;=Projects!$C$2:$C$14)*(CW$15&lt;Projects!$C$2:$C$14+Projects!$D$2:$D$14))+SUMPRODUCT((Projects!$G$17:$G$46="Yes")*(CW$15&gt;=Projects!$C$17:$C$46)*(CW$15&lt;Projects!$C$17:$C$46+Projects!$D$17:$D$46))</f>
        <v/>
      </c>
      <c r="CX17" s="385">
        <f>SUMPRODUCT((Projects!$G$2:$G$14="Yes")*(CX$15&gt;=Projects!$C$2:$C$14)*(CX$15&lt;Projects!$C$2:$C$14+Projects!$D$2:$D$14))+SUMPRODUCT((Projects!$G$17:$G$46="Yes")*(CX$15&gt;=Projects!$C$17:$C$46)*(CX$15&lt;Projects!$C$17:$C$46+Projects!$D$17:$D$46))</f>
        <v/>
      </c>
      <c r="CY17" s="385">
        <f>SUMPRODUCT((Projects!$G$2:$G$14="Yes")*(CY$15&gt;=Projects!$C$2:$C$14)*(CY$15&lt;Projects!$C$2:$C$14+Projects!$D$2:$D$14))+SUMPRODUCT((Projects!$G$17:$G$46="Yes")*(CY$15&gt;=Projects!$C$17:$C$46)*(CY$15&lt;Projects!$C$17:$C$46+Projects!$D$17:$D$46))</f>
        <v/>
      </c>
      <c r="CZ17" s="385">
        <f>SUMPRODUCT((Projects!$G$2:$G$14="Yes")*(CZ$15&gt;=Projects!$C$2:$C$14)*(CZ$15&lt;Projects!$C$2:$C$14+Projects!$D$2:$D$14))+SUMPRODUCT((Projects!$G$17:$G$46="Yes")*(CZ$15&gt;=Projects!$C$17:$C$46)*(CZ$15&lt;Projects!$C$17:$C$46+Projects!$D$17:$D$46))</f>
        <v/>
      </c>
      <c r="DA17" s="385">
        <f>SUMPRODUCT((Projects!$G$2:$G$14="Yes")*(DA$15&gt;=Projects!$C$2:$C$14)*(DA$15&lt;Projects!$C$2:$C$14+Projects!$D$2:$D$14))+SUMPRODUCT((Projects!$G$17:$G$46="Yes")*(DA$15&gt;=Projects!$C$17:$C$46)*(DA$15&lt;Projects!$C$17:$C$46+Projects!$D$17:$D$46))</f>
        <v/>
      </c>
      <c r="DB17" s="385">
        <f>SUMPRODUCT((Projects!$G$2:$G$14="Yes")*(DB$15&gt;=Projects!$C$2:$C$14)*(DB$15&lt;Projects!$C$2:$C$14+Projects!$D$2:$D$14))+SUMPRODUCT((Projects!$G$17:$G$46="Yes")*(DB$15&gt;=Projects!$C$17:$C$46)*(DB$15&lt;Projects!$C$17:$C$46+Projects!$D$17:$D$46))</f>
        <v/>
      </c>
      <c r="DC17" s="385">
        <f>SUMPRODUCT((Projects!$G$2:$G$14="Yes")*(DC$15&gt;=Projects!$C$2:$C$14)*(DC$15&lt;Projects!$C$2:$C$14+Projects!$D$2:$D$14))+SUMPRODUCT((Projects!$G$17:$G$46="Yes")*(DC$15&gt;=Projects!$C$17:$C$46)*(DC$15&lt;Projects!$C$17:$C$46+Projects!$D$17:$D$46))</f>
        <v/>
      </c>
      <c r="DD17" s="385">
        <f>SUMPRODUCT((Projects!$G$2:$G$14="Yes")*(DD$15&gt;=Projects!$C$2:$C$14)*(DD$15&lt;Projects!$C$2:$C$14+Projects!$D$2:$D$14))+SUMPRODUCT((Projects!$G$17:$G$46="Yes")*(DD$15&gt;=Projects!$C$17:$C$46)*(DD$15&lt;Projects!$C$17:$C$46+Projects!$D$17:$D$46))</f>
        <v/>
      </c>
      <c r="DE17" s="385">
        <f>SUMPRODUCT((Projects!$G$2:$G$14="Yes")*(DE$15&gt;=Projects!$C$2:$C$14)*(DE$15&lt;Projects!$C$2:$C$14+Projects!$D$2:$D$14))+SUMPRODUCT((Projects!$G$17:$G$46="Yes")*(DE$15&gt;=Projects!$C$17:$C$46)*(DE$15&lt;Projects!$C$17:$C$46+Projects!$D$17:$D$46))</f>
        <v/>
      </c>
      <c r="DF17" s="385">
        <f>SUMPRODUCT((Projects!$G$2:$G$14="Yes")*(DF$15&gt;=Projects!$C$2:$C$14)*(DF$15&lt;Projects!$C$2:$C$14+Projects!$D$2:$D$14))+SUMPRODUCT((Projects!$G$17:$G$46="Yes")*(DF$15&gt;=Projects!$C$17:$C$46)*(DF$15&lt;Projects!$C$17:$C$46+Projects!$D$17:$D$46))</f>
        <v/>
      </c>
    </row>
    <row r="18" ht="15" customFormat="1" customHeight="1" s="380">
      <c r="A18" s="605" t="inlineStr">
        <is>
          <t>Alloc cost / project</t>
        </is>
      </c>
      <c r="C18" s="483">
        <f>IFERROR(C16/C17,0)</f>
        <v/>
      </c>
      <c r="D18" s="483">
        <f>IFERROR(D16/D17,0)</f>
        <v/>
      </c>
      <c r="E18" s="483">
        <f>IFERROR(E16/E17,0)</f>
        <v/>
      </c>
      <c r="F18" s="483">
        <f>IFERROR(F16/F17,0)</f>
        <v/>
      </c>
      <c r="G18" s="483">
        <f>IFERROR(G16/G17,0)</f>
        <v/>
      </c>
      <c r="H18" s="483">
        <f>IFERROR(H16/H17,0)</f>
        <v/>
      </c>
      <c r="I18" s="483">
        <f>IFERROR(I16/I17,0)</f>
        <v/>
      </c>
      <c r="J18" s="483">
        <f>IFERROR(J16/J17,0)</f>
        <v/>
      </c>
      <c r="K18" s="483">
        <f>IFERROR(K16/K17,0)</f>
        <v/>
      </c>
      <c r="L18" s="483">
        <f>IFERROR(L16/L17,0)</f>
        <v/>
      </c>
      <c r="M18" s="483">
        <f>IFERROR(M16/M17,0)</f>
        <v/>
      </c>
      <c r="N18" s="483">
        <f>IFERROR(N16/N17,0)</f>
        <v/>
      </c>
      <c r="O18" s="483">
        <f>IFERROR(O16/O17,0)</f>
        <v/>
      </c>
      <c r="P18" s="483">
        <f>IFERROR(P16/P17,0)</f>
        <v/>
      </c>
      <c r="Q18" s="483">
        <f>IFERROR(Q16/Q17,0)</f>
        <v/>
      </c>
      <c r="R18" s="483">
        <f>IFERROR(R16/R17,0)</f>
        <v/>
      </c>
      <c r="S18" s="483">
        <f>IFERROR(S16/S17,0)</f>
        <v/>
      </c>
      <c r="T18" s="483">
        <f>IFERROR(T16/T17,0)</f>
        <v/>
      </c>
      <c r="U18" s="483">
        <f>IFERROR(U16/U17,0)</f>
        <v/>
      </c>
      <c r="V18" s="483">
        <f>IFERROR(V16/V17,0)</f>
        <v/>
      </c>
      <c r="W18" s="483">
        <f>IFERROR(W16/W17,0)</f>
        <v/>
      </c>
      <c r="X18" s="483">
        <f>IFERROR(X16/X17,0)</f>
        <v/>
      </c>
      <c r="Y18" s="483">
        <f>IFERROR(Y16/Y17,0)</f>
        <v/>
      </c>
      <c r="Z18" s="483">
        <f>IFERROR(Z16/Z17,0)</f>
        <v/>
      </c>
      <c r="AA18" s="483">
        <f>IFERROR(AA16/AA17,0)</f>
        <v/>
      </c>
      <c r="AB18" s="483">
        <f>IFERROR(AB16/AB17,0)</f>
        <v/>
      </c>
      <c r="AC18" s="483">
        <f>IFERROR(AC16/AC17,0)</f>
        <v/>
      </c>
      <c r="AD18" s="483">
        <f>IFERROR(AD16/AD17,0)</f>
        <v/>
      </c>
      <c r="AE18" s="483">
        <f>IFERROR(AE16/AE17,0)</f>
        <v/>
      </c>
      <c r="AF18" s="483">
        <f>IFERROR(AF16/AF17,0)</f>
        <v/>
      </c>
      <c r="AG18" s="483">
        <f>IFERROR(AG16/AG17,0)</f>
        <v/>
      </c>
      <c r="AH18" s="483">
        <f>IFERROR(AH16/AH17,0)</f>
        <v/>
      </c>
      <c r="AI18" s="483">
        <f>IFERROR(AI16/AI17,0)</f>
        <v/>
      </c>
      <c r="AJ18" s="483">
        <f>IFERROR(AJ16/AJ17,0)</f>
        <v/>
      </c>
      <c r="AK18" s="483">
        <f>IFERROR(AK16/AK17,0)</f>
        <v/>
      </c>
      <c r="AL18" s="483">
        <f>IFERROR(AL16/AL17,0)</f>
        <v/>
      </c>
      <c r="AM18" s="483">
        <f>IFERROR(AM16/AM17,0)</f>
        <v/>
      </c>
      <c r="AN18" s="483">
        <f>IFERROR(AN16/AN17,0)</f>
        <v/>
      </c>
      <c r="AO18" s="483">
        <f>IFERROR(AO16/AO17,0)</f>
        <v/>
      </c>
      <c r="AP18" s="483">
        <f>IFERROR(AP16/AP17,0)</f>
        <v/>
      </c>
      <c r="AQ18" s="483">
        <f>IFERROR(AQ16/AQ17,0)</f>
        <v/>
      </c>
      <c r="AR18" s="483">
        <f>IFERROR(AR16/AR17,0)</f>
        <v/>
      </c>
      <c r="AS18" s="483">
        <f>IFERROR(AS16/AS17,0)</f>
        <v/>
      </c>
      <c r="AT18" s="483">
        <f>IFERROR(AT16/AT17,0)</f>
        <v/>
      </c>
      <c r="AU18" s="483">
        <f>IFERROR(AU16/AU17,0)</f>
        <v/>
      </c>
      <c r="AV18" s="483">
        <f>IFERROR(AV16/AV17,0)</f>
        <v/>
      </c>
      <c r="AW18" s="483">
        <f>IFERROR(AW16/AW17,0)</f>
        <v/>
      </c>
      <c r="AX18" s="483">
        <f>IFERROR(AX16/AX17,0)</f>
        <v/>
      </c>
      <c r="AY18" s="483">
        <f>IFERROR(AY16/AY17,0)</f>
        <v/>
      </c>
      <c r="AZ18" s="483">
        <f>IFERROR(AZ16/AZ17,0)</f>
        <v/>
      </c>
      <c r="BA18" s="483">
        <f>IFERROR(BA16/BA17,0)</f>
        <v/>
      </c>
      <c r="BB18" s="483">
        <f>IFERROR(BB16/BB17,0)</f>
        <v/>
      </c>
      <c r="BC18" s="483">
        <f>IFERROR(BC16/BC17,0)</f>
        <v/>
      </c>
      <c r="BD18" s="483">
        <f>IFERROR(BD16/BD17,0)</f>
        <v/>
      </c>
      <c r="BE18" s="483">
        <f>IFERROR(BE16/BE17,0)</f>
        <v/>
      </c>
      <c r="BF18" s="483">
        <f>IFERROR(BF16/BF17,0)</f>
        <v/>
      </c>
      <c r="BG18" s="483">
        <f>IFERROR(BG16/BG17,0)</f>
        <v/>
      </c>
      <c r="BH18" s="483">
        <f>IFERROR(BH16/BH17,0)</f>
        <v/>
      </c>
      <c r="BI18" s="483">
        <f>IFERROR(BI16/BI17,0)</f>
        <v/>
      </c>
      <c r="BJ18" s="483">
        <f>IFERROR(BJ16/BJ17,0)</f>
        <v/>
      </c>
      <c r="BK18" s="483">
        <f>IFERROR(BK16/BK17,0)</f>
        <v/>
      </c>
      <c r="BL18" s="483">
        <f>IFERROR(BL16/BL17,0)</f>
        <v/>
      </c>
      <c r="BM18" s="483">
        <f>IFERROR(BM16/BM17,0)</f>
        <v/>
      </c>
      <c r="BN18" s="483">
        <f>IFERROR(BN16/BN17,0)</f>
        <v/>
      </c>
      <c r="BO18" s="483">
        <f>IFERROR(BO16/BO17,0)</f>
        <v/>
      </c>
      <c r="BP18" s="483">
        <f>IFERROR(BP16/BP17,0)</f>
        <v/>
      </c>
      <c r="BQ18" s="483">
        <f>IFERROR(BQ16/BQ17,0)</f>
        <v/>
      </c>
      <c r="BR18" s="483">
        <f>IFERROR(BR16/BR17,0)</f>
        <v/>
      </c>
      <c r="BS18" s="483">
        <f>IFERROR(BS16/BS17,0)</f>
        <v/>
      </c>
      <c r="BT18" s="483">
        <f>IFERROR(BT16/BT17,0)</f>
        <v/>
      </c>
      <c r="BU18" s="483">
        <f>IFERROR(BU16/BU17,0)</f>
        <v/>
      </c>
      <c r="BV18" s="483">
        <f>IFERROR(BV16/BV17,0)</f>
        <v/>
      </c>
      <c r="BW18" s="483">
        <f>IFERROR(BW16/BW17,0)</f>
        <v/>
      </c>
      <c r="BX18" s="483">
        <f>IFERROR(BX16/BX17,0)</f>
        <v/>
      </c>
      <c r="BY18" s="483">
        <f>IFERROR(BY16/BY17,0)</f>
        <v/>
      </c>
      <c r="BZ18" s="483">
        <f>IFERROR(BZ16/BZ17,0)</f>
        <v/>
      </c>
      <c r="CA18" s="483">
        <f>IFERROR(CA16/CA17,0)</f>
        <v/>
      </c>
      <c r="CB18" s="483">
        <f>IFERROR(CB16/CB17,0)</f>
        <v/>
      </c>
      <c r="CC18" s="483">
        <f>IFERROR(CC16/CC17,0)</f>
        <v/>
      </c>
      <c r="CD18" s="483">
        <f>IFERROR(CD16/CD17,0)</f>
        <v/>
      </c>
      <c r="CE18" s="483">
        <f>IFERROR(CE16/CE17,0)</f>
        <v/>
      </c>
      <c r="CF18" s="483">
        <f>IFERROR(CF16/CF17,0)</f>
        <v/>
      </c>
      <c r="CG18" s="483">
        <f>IFERROR(CG16/CG17,0)</f>
        <v/>
      </c>
      <c r="CH18" s="483">
        <f>IFERROR(CH16/CH17,0)</f>
        <v/>
      </c>
      <c r="CI18" s="483">
        <f>IFERROR(CI16/CI17,0)</f>
        <v/>
      </c>
      <c r="CJ18" s="483">
        <f>IFERROR(CJ16/CJ17,0)</f>
        <v/>
      </c>
      <c r="CK18" s="483">
        <f>IFERROR(CK16/CK17,0)</f>
        <v/>
      </c>
      <c r="CL18" s="483">
        <f>IFERROR(CL16/CL17,0)</f>
        <v/>
      </c>
      <c r="CM18" s="483">
        <f>IFERROR(CM16/CM17,0)</f>
        <v/>
      </c>
      <c r="CN18" s="483">
        <f>IFERROR(CN16/CN17,0)</f>
        <v/>
      </c>
      <c r="CO18" s="483">
        <f>IFERROR(CO16/CO17,0)</f>
        <v/>
      </c>
      <c r="CP18" s="483">
        <f>IFERROR(CP16/CP17,0)</f>
        <v/>
      </c>
      <c r="CQ18" s="483">
        <f>IFERROR(CQ16/CQ17,0)</f>
        <v/>
      </c>
      <c r="CR18" s="483">
        <f>IFERROR(CR16/CR17,0)</f>
        <v/>
      </c>
      <c r="CS18" s="483">
        <f>IFERROR(CS16/CS17,0)</f>
        <v/>
      </c>
      <c r="CT18" s="483">
        <f>IFERROR(CT16/CT17,0)</f>
        <v/>
      </c>
      <c r="CU18" s="483">
        <f>IFERROR(CU16/CU17,0)</f>
        <v/>
      </c>
      <c r="CV18" s="483">
        <f>IFERROR(CV16/CV17,0)</f>
        <v/>
      </c>
      <c r="CW18" s="483">
        <f>IFERROR(CW16/CW17,0)</f>
        <v/>
      </c>
      <c r="CX18" s="483">
        <f>IFERROR(CX16/CX17,0)</f>
        <v/>
      </c>
      <c r="CY18" s="483">
        <f>IFERROR(CY16/CY17,0)</f>
        <v/>
      </c>
      <c r="CZ18" s="483">
        <f>IFERROR(CZ16/CZ17,0)</f>
        <v/>
      </c>
      <c r="DA18" s="483">
        <f>IFERROR(DA16/DA17,0)</f>
        <v/>
      </c>
      <c r="DB18" s="483">
        <f>IFERROR(DB16/DB17,0)</f>
        <v/>
      </c>
      <c r="DC18" s="483">
        <f>IFERROR(DC16/DC17,0)</f>
        <v/>
      </c>
      <c r="DD18" s="483">
        <f>IFERROR(DD16/DD17,0)</f>
        <v/>
      </c>
      <c r="DE18" s="483">
        <f>IFERROR(DE16/DE17,0)</f>
        <v/>
      </c>
      <c r="DF18" s="483">
        <f>IFERROR(DF16/DF17,0)</f>
        <v/>
      </c>
    </row>
    <row r="19" ht="15" customFormat="1" customHeight="1" s="380"/>
    <row r="20" ht="30" customFormat="1" customHeight="1" s="380">
      <c r="A20" s="731" t="inlineStr">
        <is>
          <t>Deal</t>
        </is>
      </c>
      <c r="B20" s="731" t="inlineStr">
        <is>
          <t>GMP</t>
        </is>
      </c>
      <c r="C20" s="731" t="inlineStr">
        <is>
          <t>Start</t>
        </is>
      </c>
      <c r="D20" s="731" t="inlineStr">
        <is>
          <t>Dur</t>
        </is>
      </c>
      <c r="E20" s="731" t="inlineStr">
        <is>
          <t>Active</t>
        </is>
      </c>
      <c r="F20" s="731" t="inlineStr">
        <is>
          <t>HVN</t>
        </is>
      </c>
      <c r="G20" s="731" t="inlineStr">
        <is>
          <t>Completion</t>
        </is>
      </c>
      <c r="H20" s="731" t="inlineStr">
        <is>
          <t>Adv Month</t>
        </is>
      </c>
      <c r="I20" s="731" t="inlineStr">
        <is>
          <t>Tier Rate</t>
        </is>
      </c>
      <c r="J20" s="731" t="inlineStr">
        <is>
          <t>Life GP</t>
        </is>
      </c>
      <c r="K20" s="731" t="inlineStr">
        <is>
          <t>Life Alloc Cost</t>
        </is>
      </c>
      <c r="L20" s="731" t="inlineStr">
        <is>
          <t>Life NI</t>
        </is>
      </c>
      <c r="M20" s="731" t="inlineStr">
        <is>
          <t>Eff Rate</t>
        </is>
      </c>
      <c r="N20" s="731" t="inlineStr">
        <is>
          <t>Advance</t>
        </is>
      </c>
      <c r="O20" s="731" t="inlineStr">
        <is>
          <t>Earned (E)</t>
        </is>
      </c>
      <c r="P20" s="731" t="inlineStr">
        <is>
          <t>Total</t>
        </is>
      </c>
      <c r="Q20" s="731" t="inlineStr">
        <is>
          <t>True-Up</t>
        </is>
      </c>
    </row>
    <row r="21" ht="15" customFormat="1" customHeight="1" s="380">
      <c r="A21" s="380">
        <f>Projects!A17</f>
        <v/>
      </c>
      <c r="B21" s="483">
        <f>Projects!B17</f>
        <v/>
      </c>
      <c r="C21" s="385">
        <f>Projects!C17</f>
        <v/>
      </c>
      <c r="D21" s="385">
        <f>Projects!D17</f>
        <v/>
      </c>
      <c r="E21" s="380">
        <f>Projects!G17</f>
        <v/>
      </c>
      <c r="F21" s="380">
        <f>Projects!M17</f>
        <v/>
      </c>
      <c r="G21" s="385">
        <f>C21+D21-1</f>
        <v/>
      </c>
      <c r="H21" s="385">
        <f>C21+1</f>
        <v/>
      </c>
      <c r="I21" s="726">
        <f>IF($F21="Yes",INDEX($G$6:$G$14,MATCH(MIN($G21,105),$B$6:$B$14,1)),1)</f>
        <v/>
      </c>
      <c r="J21" s="483">
        <f>IF($E21="Yes",$B21*Assumptions!$B$9*0.95/$D21*SUMPRODUCT(($C$15:$DF$15&gt;=$C21)*($C$15:$DF$15&lt;$C21+$D21))+$B21*Assumptions!$B$9*0.05*SUMPRODUCT(--($C$15:$DF$15=$G21)),0)</f>
        <v/>
      </c>
      <c r="K21" s="483">
        <f>IF($E21="Yes",SUMPRODUCT(($C$15:$DF$15&gt;=$C21)*($C$15:$DF$15&lt;$C21+$D21)*$C$18:$DF$18),0)</f>
        <v/>
      </c>
      <c r="L21" s="483">
        <f>J21-K21</f>
        <v/>
      </c>
      <c r="M21" s="726">
        <f>$B$3*I21</f>
        <v/>
      </c>
      <c r="N21" s="483">
        <f>IF($E21="Yes",$B$2*$B21,0)</f>
        <v/>
      </c>
      <c r="O21" s="483">
        <f>M21*MAX(0,L21)</f>
        <v/>
      </c>
      <c r="P21" s="483">
        <f>N21+Q21</f>
        <v/>
      </c>
      <c r="Q21" s="483">
        <f>MAX(0,O21-N21)</f>
        <v/>
      </c>
    </row>
    <row r="22" ht="15" customFormat="1" customHeight="1" s="380">
      <c r="A22" s="380">
        <f>Projects!A18</f>
        <v/>
      </c>
      <c r="B22" s="483">
        <f>Projects!B18</f>
        <v/>
      </c>
      <c r="C22" s="385">
        <f>Projects!C18</f>
        <v/>
      </c>
      <c r="D22" s="385">
        <f>Projects!D18</f>
        <v/>
      </c>
      <c r="E22" s="380">
        <f>Projects!G18</f>
        <v/>
      </c>
      <c r="F22" s="380">
        <f>Projects!M18</f>
        <v/>
      </c>
      <c r="G22" s="385">
        <f>C22+D22-1</f>
        <v/>
      </c>
      <c r="H22" s="385">
        <f>C22+1</f>
        <v/>
      </c>
      <c r="I22" s="726">
        <f>IF($F22="Yes",INDEX($G$6:$G$14,MATCH(MIN($G22,105),$B$6:$B$14,1)),1)</f>
        <v/>
      </c>
      <c r="J22" s="483">
        <f>IF($E22="Yes",$B22*Assumptions!$B$9*0.95/$D22*SUMPRODUCT(($C$15:$DF$15&gt;=$C22)*($C$15:$DF$15&lt;$C22+$D22))+$B22*Assumptions!$B$9*0.05*SUMPRODUCT(--($C$15:$DF$15=$G22)),0)</f>
        <v/>
      </c>
      <c r="K22" s="483">
        <f>IF($E22="Yes",SUMPRODUCT(($C$15:$DF$15&gt;=$C22)*($C$15:$DF$15&lt;$C22+$D22)*$C$18:$DF$18),0)</f>
        <v/>
      </c>
      <c r="L22" s="483">
        <f>J22-K22</f>
        <v/>
      </c>
      <c r="M22" s="726">
        <f>$B$3*I22</f>
        <v/>
      </c>
      <c r="N22" s="483">
        <f>IF($E22="Yes",$B$2*$B22,0)</f>
        <v/>
      </c>
      <c r="O22" s="483">
        <f>M22*MAX(0,L22)</f>
        <v/>
      </c>
      <c r="P22" s="483">
        <f>N22+Q22</f>
        <v/>
      </c>
      <c r="Q22" s="483">
        <f>MAX(0,O22-N22)</f>
        <v/>
      </c>
    </row>
    <row r="23" ht="15" customFormat="1" customHeight="1" s="380">
      <c r="A23" s="380">
        <f>Projects!A19</f>
        <v/>
      </c>
      <c r="B23" s="483">
        <f>Projects!B19</f>
        <v/>
      </c>
      <c r="C23" s="385">
        <f>Projects!C19</f>
        <v/>
      </c>
      <c r="D23" s="385">
        <f>Projects!D19</f>
        <v/>
      </c>
      <c r="E23" s="380">
        <f>Projects!G19</f>
        <v/>
      </c>
      <c r="F23" s="380">
        <f>Projects!M19</f>
        <v/>
      </c>
      <c r="G23" s="385">
        <f>C23+D23-1</f>
        <v/>
      </c>
      <c r="H23" s="385">
        <f>C23+1</f>
        <v/>
      </c>
      <c r="I23" s="726">
        <f>IF($F23="Yes",INDEX($G$6:$G$14,MATCH(MIN($G23,105),$B$6:$B$14,1)),1)</f>
        <v/>
      </c>
      <c r="J23" s="483">
        <f>IF($E23="Yes",$B23*Assumptions!$B$9*0.95/$D23*SUMPRODUCT(($C$15:$DF$15&gt;=$C23)*($C$15:$DF$15&lt;$C23+$D23))+$B23*Assumptions!$B$9*0.05*SUMPRODUCT(--($C$15:$DF$15=$G23)),0)</f>
        <v/>
      </c>
      <c r="K23" s="483">
        <f>IF($E23="Yes",SUMPRODUCT(($C$15:$DF$15&gt;=$C23)*($C$15:$DF$15&lt;$C23+$D23)*$C$18:$DF$18),0)</f>
        <v/>
      </c>
      <c r="L23" s="483">
        <f>J23-K23</f>
        <v/>
      </c>
      <c r="M23" s="726">
        <f>$B$3*I23</f>
        <v/>
      </c>
      <c r="N23" s="483">
        <f>IF($E23="Yes",$B$2*$B23,0)</f>
        <v/>
      </c>
      <c r="O23" s="483">
        <f>M23*MAX(0,L23)</f>
        <v/>
      </c>
      <c r="P23" s="483">
        <f>N23+Q23</f>
        <v/>
      </c>
      <c r="Q23" s="483">
        <f>MAX(0,O23-N23)</f>
        <v/>
      </c>
    </row>
    <row r="24" ht="15" customFormat="1" customHeight="1" s="380">
      <c r="A24" s="380">
        <f>Projects!A20</f>
        <v/>
      </c>
      <c r="B24" s="483">
        <f>Projects!B20</f>
        <v/>
      </c>
      <c r="C24" s="385">
        <f>Projects!C20</f>
        <v/>
      </c>
      <c r="D24" s="385">
        <f>Projects!D20</f>
        <v/>
      </c>
      <c r="E24" s="380">
        <f>Projects!G20</f>
        <v/>
      </c>
      <c r="F24" s="380">
        <f>Projects!M20</f>
        <v/>
      </c>
      <c r="G24" s="385">
        <f>C24+D24-1</f>
        <v/>
      </c>
      <c r="H24" s="385">
        <f>C24+1</f>
        <v/>
      </c>
      <c r="I24" s="726">
        <f>IF($F24="Yes",INDEX($G$6:$G$14,MATCH(MIN($G24,105),$B$6:$B$14,1)),1)</f>
        <v/>
      </c>
      <c r="J24" s="483">
        <f>IF($E24="Yes",$B24*Assumptions!$B$9*0.95/$D24*SUMPRODUCT(($C$15:$DF$15&gt;=$C24)*($C$15:$DF$15&lt;$C24+$D24))+$B24*Assumptions!$B$9*0.05*SUMPRODUCT(--($C$15:$DF$15=$G24)),0)</f>
        <v/>
      </c>
      <c r="K24" s="483">
        <f>IF($E24="Yes",SUMPRODUCT(($C$15:$DF$15&gt;=$C24)*($C$15:$DF$15&lt;$C24+$D24)*$C$18:$DF$18),0)</f>
        <v/>
      </c>
      <c r="L24" s="483">
        <f>J24-K24</f>
        <v/>
      </c>
      <c r="M24" s="726">
        <f>$B$3*I24</f>
        <v/>
      </c>
      <c r="N24" s="483">
        <f>IF($E24="Yes",$B$2*$B24,0)</f>
        <v/>
      </c>
      <c r="O24" s="483">
        <f>M24*MAX(0,L24)</f>
        <v/>
      </c>
      <c r="P24" s="483">
        <f>N24+Q24</f>
        <v/>
      </c>
      <c r="Q24" s="483">
        <f>MAX(0,O24-N24)</f>
        <v/>
      </c>
    </row>
    <row r="25" ht="15" customFormat="1" customHeight="1" s="380">
      <c r="A25" s="380">
        <f>Projects!A21</f>
        <v/>
      </c>
      <c r="B25" s="483">
        <f>Projects!B21</f>
        <v/>
      </c>
      <c r="C25" s="385">
        <f>Projects!C21</f>
        <v/>
      </c>
      <c r="D25" s="385">
        <f>Projects!D21</f>
        <v/>
      </c>
      <c r="E25" s="380">
        <f>Projects!G21</f>
        <v/>
      </c>
      <c r="F25" s="380">
        <f>Projects!M21</f>
        <v/>
      </c>
      <c r="G25" s="385">
        <f>C25+D25-1</f>
        <v/>
      </c>
      <c r="H25" s="385">
        <f>C25+1</f>
        <v/>
      </c>
      <c r="I25" s="726">
        <f>IF($F25="Yes",INDEX($G$6:$G$14,MATCH(MIN($G25,105),$B$6:$B$14,1)),1)</f>
        <v/>
      </c>
      <c r="J25" s="483">
        <f>IF($E25="Yes",$B25*Assumptions!$B$9*0.95/$D25*SUMPRODUCT(($C$15:$DF$15&gt;=$C25)*($C$15:$DF$15&lt;$C25+$D25))+$B25*Assumptions!$B$9*0.05*SUMPRODUCT(--($C$15:$DF$15=$G25)),0)</f>
        <v/>
      </c>
      <c r="K25" s="483">
        <f>IF($E25="Yes",SUMPRODUCT(($C$15:$DF$15&gt;=$C25)*($C$15:$DF$15&lt;$C25+$D25)*$C$18:$DF$18),0)</f>
        <v/>
      </c>
      <c r="L25" s="483">
        <f>J25-K25</f>
        <v/>
      </c>
      <c r="M25" s="726">
        <f>$B$3*I25</f>
        <v/>
      </c>
      <c r="N25" s="483">
        <f>IF($E25="Yes",$B$2*$B25,0)</f>
        <v/>
      </c>
      <c r="O25" s="483">
        <f>M25*MAX(0,L25)</f>
        <v/>
      </c>
      <c r="P25" s="483">
        <f>N25+Q25</f>
        <v/>
      </c>
      <c r="Q25" s="483">
        <f>MAX(0,O25-N25)</f>
        <v/>
      </c>
    </row>
    <row r="26" ht="15" customFormat="1" customHeight="1" s="380">
      <c r="A26" s="380">
        <f>Projects!A22</f>
        <v/>
      </c>
      <c r="B26" s="483">
        <f>Projects!B22</f>
        <v/>
      </c>
      <c r="C26" s="385">
        <f>Projects!C22</f>
        <v/>
      </c>
      <c r="D26" s="385">
        <f>Projects!D22</f>
        <v/>
      </c>
      <c r="E26" s="380">
        <f>Projects!G22</f>
        <v/>
      </c>
      <c r="F26" s="380">
        <f>Projects!M22</f>
        <v/>
      </c>
      <c r="G26" s="385">
        <f>C26+D26-1</f>
        <v/>
      </c>
      <c r="H26" s="385">
        <f>C26+1</f>
        <v/>
      </c>
      <c r="I26" s="726">
        <f>IF($F26="Yes",INDEX($G$6:$G$14,MATCH(MIN($G26,105),$B$6:$B$14,1)),1)</f>
        <v/>
      </c>
      <c r="J26" s="483">
        <f>IF($E26="Yes",$B26*Assumptions!$B$9*0.95/$D26*SUMPRODUCT(($C$15:$DF$15&gt;=$C26)*($C$15:$DF$15&lt;$C26+$D26))+$B26*Assumptions!$B$9*0.05*SUMPRODUCT(--($C$15:$DF$15=$G26)),0)</f>
        <v/>
      </c>
      <c r="K26" s="483">
        <f>IF($E26="Yes",SUMPRODUCT(($C$15:$DF$15&gt;=$C26)*($C$15:$DF$15&lt;$C26+$D26)*$C$18:$DF$18),0)</f>
        <v/>
      </c>
      <c r="L26" s="483">
        <f>J26-K26</f>
        <v/>
      </c>
      <c r="M26" s="726">
        <f>$B$3*I26</f>
        <v/>
      </c>
      <c r="N26" s="483">
        <f>IF($E26="Yes",$B$2*$B26,0)</f>
        <v/>
      </c>
      <c r="O26" s="483">
        <f>M26*MAX(0,L26)</f>
        <v/>
      </c>
      <c r="P26" s="483">
        <f>N26+Q26</f>
        <v/>
      </c>
      <c r="Q26" s="483">
        <f>MAX(0,O26-N26)</f>
        <v/>
      </c>
    </row>
    <row r="27" ht="15" customFormat="1" customHeight="1" s="380">
      <c r="A27" s="380">
        <f>Projects!A23</f>
        <v/>
      </c>
      <c r="B27" s="483">
        <f>Projects!B23</f>
        <v/>
      </c>
      <c r="C27" s="385">
        <f>Projects!C23</f>
        <v/>
      </c>
      <c r="D27" s="385">
        <f>Projects!D23</f>
        <v/>
      </c>
      <c r="E27" s="380">
        <f>Projects!G23</f>
        <v/>
      </c>
      <c r="F27" s="380">
        <f>Projects!M23</f>
        <v/>
      </c>
      <c r="G27" s="385">
        <f>C27+D27-1</f>
        <v/>
      </c>
      <c r="H27" s="385">
        <f>C27+1</f>
        <v/>
      </c>
      <c r="I27" s="726">
        <f>IF($F27="Yes",INDEX($G$6:$G$14,MATCH(MIN($G27,105),$B$6:$B$14,1)),1)</f>
        <v/>
      </c>
      <c r="J27" s="483">
        <f>IF($E27="Yes",$B27*Assumptions!$B$9*0.95/$D27*SUMPRODUCT(($C$15:$DF$15&gt;=$C27)*($C$15:$DF$15&lt;$C27+$D27))+$B27*Assumptions!$B$9*0.05*SUMPRODUCT(--($C$15:$DF$15=$G27)),0)</f>
        <v/>
      </c>
      <c r="K27" s="483">
        <f>IF($E27="Yes",SUMPRODUCT(($C$15:$DF$15&gt;=$C27)*($C$15:$DF$15&lt;$C27+$D27)*$C$18:$DF$18),0)</f>
        <v/>
      </c>
      <c r="L27" s="483">
        <f>J27-K27</f>
        <v/>
      </c>
      <c r="M27" s="726">
        <f>$B$3*I27</f>
        <v/>
      </c>
      <c r="N27" s="483">
        <f>IF($E27="Yes",$B$2*$B27,0)</f>
        <v/>
      </c>
      <c r="O27" s="483">
        <f>M27*MAX(0,L27)</f>
        <v/>
      </c>
      <c r="P27" s="483">
        <f>N27+Q27</f>
        <v/>
      </c>
      <c r="Q27" s="483">
        <f>MAX(0,O27-N27)</f>
        <v/>
      </c>
    </row>
    <row r="28" ht="15" customFormat="1" customHeight="1" s="380">
      <c r="A28" s="380">
        <f>Projects!A24</f>
        <v/>
      </c>
      <c r="B28" s="483">
        <f>Projects!B24</f>
        <v/>
      </c>
      <c r="C28" s="385">
        <f>Projects!C24</f>
        <v/>
      </c>
      <c r="D28" s="385">
        <f>Projects!D24</f>
        <v/>
      </c>
      <c r="E28" s="380">
        <f>Projects!G24</f>
        <v/>
      </c>
      <c r="F28" s="380">
        <f>Projects!M24</f>
        <v/>
      </c>
      <c r="G28" s="385">
        <f>C28+D28-1</f>
        <v/>
      </c>
      <c r="H28" s="385">
        <f>C28+1</f>
        <v/>
      </c>
      <c r="I28" s="726">
        <f>IF($F28="Yes",INDEX($G$6:$G$14,MATCH(MIN($G28,105),$B$6:$B$14,1)),1)</f>
        <v/>
      </c>
      <c r="J28" s="483">
        <f>IF($E28="Yes",$B28*Assumptions!$B$9*0.95/$D28*SUMPRODUCT(($C$15:$DF$15&gt;=$C28)*($C$15:$DF$15&lt;$C28+$D28))+$B28*Assumptions!$B$9*0.05*SUMPRODUCT(--($C$15:$DF$15=$G28)),0)</f>
        <v/>
      </c>
      <c r="K28" s="483">
        <f>IF($E28="Yes",SUMPRODUCT(($C$15:$DF$15&gt;=$C28)*($C$15:$DF$15&lt;$C28+$D28)*$C$18:$DF$18),0)</f>
        <v/>
      </c>
      <c r="L28" s="483">
        <f>J28-K28</f>
        <v/>
      </c>
      <c r="M28" s="726">
        <f>$B$3*I28</f>
        <v/>
      </c>
      <c r="N28" s="483">
        <f>IF($E28="Yes",$B$2*$B28,0)</f>
        <v/>
      </c>
      <c r="O28" s="483">
        <f>M28*MAX(0,L28)</f>
        <v/>
      </c>
      <c r="P28" s="483">
        <f>N28+Q28</f>
        <v/>
      </c>
      <c r="Q28" s="483">
        <f>MAX(0,O28-N28)</f>
        <v/>
      </c>
    </row>
    <row r="29" ht="15" customFormat="1" customHeight="1" s="380">
      <c r="A29" s="380">
        <f>Projects!A25</f>
        <v/>
      </c>
      <c r="B29" s="483">
        <f>Projects!B25</f>
        <v/>
      </c>
      <c r="C29" s="385">
        <f>Projects!C25</f>
        <v/>
      </c>
      <c r="D29" s="385">
        <f>Projects!D25</f>
        <v/>
      </c>
      <c r="E29" s="380">
        <f>Projects!G25</f>
        <v/>
      </c>
      <c r="F29" s="380">
        <f>Projects!M25</f>
        <v/>
      </c>
      <c r="G29" s="385">
        <f>C29+D29-1</f>
        <v/>
      </c>
      <c r="H29" s="385">
        <f>C29+1</f>
        <v/>
      </c>
      <c r="I29" s="726">
        <f>IF($F29="Yes",INDEX($G$6:$G$14,MATCH(MIN($G29,105),$B$6:$B$14,1)),1)</f>
        <v/>
      </c>
      <c r="J29" s="483">
        <f>IF($E29="Yes",$B29*Assumptions!$B$9*0.95/$D29*SUMPRODUCT(($C$15:$DF$15&gt;=$C29)*($C$15:$DF$15&lt;$C29+$D29))+$B29*Assumptions!$B$9*0.05*SUMPRODUCT(--($C$15:$DF$15=$G29)),0)</f>
        <v/>
      </c>
      <c r="K29" s="483">
        <f>IF($E29="Yes",SUMPRODUCT(($C$15:$DF$15&gt;=$C29)*($C$15:$DF$15&lt;$C29+$D29)*$C$18:$DF$18),0)</f>
        <v/>
      </c>
      <c r="L29" s="483">
        <f>J29-K29</f>
        <v/>
      </c>
      <c r="M29" s="726">
        <f>$B$3*I29</f>
        <v/>
      </c>
      <c r="N29" s="483">
        <f>IF($E29="Yes",$B$2*$B29,0)</f>
        <v/>
      </c>
      <c r="O29" s="483">
        <f>M29*MAX(0,L29)</f>
        <v/>
      </c>
      <c r="P29" s="483">
        <f>N29+Q29</f>
        <v/>
      </c>
      <c r="Q29" s="483">
        <f>MAX(0,O29-N29)</f>
        <v/>
      </c>
    </row>
    <row r="30" ht="15" customFormat="1" customHeight="1" s="380">
      <c r="A30" s="380">
        <f>Projects!A26</f>
        <v/>
      </c>
      <c r="B30" s="483">
        <f>Projects!B26</f>
        <v/>
      </c>
      <c r="C30" s="385">
        <f>Projects!C26</f>
        <v/>
      </c>
      <c r="D30" s="385">
        <f>Projects!D26</f>
        <v/>
      </c>
      <c r="E30" s="380">
        <f>Projects!G26</f>
        <v/>
      </c>
      <c r="F30" s="380">
        <f>Projects!M26</f>
        <v/>
      </c>
      <c r="G30" s="385">
        <f>C30+D30-1</f>
        <v/>
      </c>
      <c r="H30" s="385">
        <f>C30+1</f>
        <v/>
      </c>
      <c r="I30" s="726">
        <f>IF($F30="Yes",INDEX($G$6:$G$14,MATCH(MIN($G30,105),$B$6:$B$14,1)),1)</f>
        <v/>
      </c>
      <c r="J30" s="483">
        <f>IF($E30="Yes",$B30*Assumptions!$B$9*0.95/$D30*SUMPRODUCT(($C$15:$DF$15&gt;=$C30)*($C$15:$DF$15&lt;$C30+$D30))+$B30*Assumptions!$B$9*0.05*SUMPRODUCT(--($C$15:$DF$15=$G30)),0)</f>
        <v/>
      </c>
      <c r="K30" s="483">
        <f>IF($E30="Yes",SUMPRODUCT(($C$15:$DF$15&gt;=$C30)*($C$15:$DF$15&lt;$C30+$D30)*$C$18:$DF$18),0)</f>
        <v/>
      </c>
      <c r="L30" s="483">
        <f>J30-K30</f>
        <v/>
      </c>
      <c r="M30" s="726">
        <f>$B$3*I30</f>
        <v/>
      </c>
      <c r="N30" s="483">
        <f>IF($E30="Yes",$B$2*$B30,0)</f>
        <v/>
      </c>
      <c r="O30" s="483">
        <f>M30*MAX(0,L30)</f>
        <v/>
      </c>
      <c r="P30" s="483">
        <f>N30+Q30</f>
        <v/>
      </c>
      <c r="Q30" s="483">
        <f>MAX(0,O30-N30)</f>
        <v/>
      </c>
    </row>
    <row r="31" ht="15" customFormat="1" customHeight="1" s="380">
      <c r="A31" s="380">
        <f>Projects!A27</f>
        <v/>
      </c>
      <c r="B31" s="483">
        <f>Projects!B27</f>
        <v/>
      </c>
      <c r="C31" s="385">
        <f>Projects!C27</f>
        <v/>
      </c>
      <c r="D31" s="385">
        <f>Projects!D27</f>
        <v/>
      </c>
      <c r="E31" s="380">
        <f>Projects!G27</f>
        <v/>
      </c>
      <c r="F31" s="380">
        <f>Projects!M27</f>
        <v/>
      </c>
      <c r="G31" s="385">
        <f>C31+D31-1</f>
        <v/>
      </c>
      <c r="H31" s="385">
        <f>C31+1</f>
        <v/>
      </c>
      <c r="I31" s="726">
        <f>IF($F31="Yes",INDEX($G$6:$G$14,MATCH(MIN($G31,105),$B$6:$B$14,1)),1)</f>
        <v/>
      </c>
      <c r="J31" s="483">
        <f>IF($E31="Yes",$B31*Assumptions!$B$9*0.95/$D31*SUMPRODUCT(($C$15:$DF$15&gt;=$C31)*($C$15:$DF$15&lt;$C31+$D31))+$B31*Assumptions!$B$9*0.05*SUMPRODUCT(--($C$15:$DF$15=$G31)),0)</f>
        <v/>
      </c>
      <c r="K31" s="483">
        <f>IF($E31="Yes",SUMPRODUCT(($C$15:$DF$15&gt;=$C31)*($C$15:$DF$15&lt;$C31+$D31)*$C$18:$DF$18),0)</f>
        <v/>
      </c>
      <c r="L31" s="483">
        <f>J31-K31</f>
        <v/>
      </c>
      <c r="M31" s="726">
        <f>$B$3*I31</f>
        <v/>
      </c>
      <c r="N31" s="483">
        <f>IF($E31="Yes",$B$2*$B31,0)</f>
        <v/>
      </c>
      <c r="O31" s="483">
        <f>M31*MAX(0,L31)</f>
        <v/>
      </c>
      <c r="P31" s="483">
        <f>N31+Q31</f>
        <v/>
      </c>
      <c r="Q31" s="483">
        <f>MAX(0,O31-N31)</f>
        <v/>
      </c>
    </row>
    <row r="32" ht="15" customFormat="1" customHeight="1" s="380">
      <c r="A32" s="380">
        <f>Projects!A28</f>
        <v/>
      </c>
      <c r="B32" s="483">
        <f>Projects!B28</f>
        <v/>
      </c>
      <c r="C32" s="385">
        <f>Projects!C28</f>
        <v/>
      </c>
      <c r="D32" s="385">
        <f>Projects!D28</f>
        <v/>
      </c>
      <c r="E32" s="380">
        <f>Projects!G28</f>
        <v/>
      </c>
      <c r="F32" s="380">
        <f>Projects!M28</f>
        <v/>
      </c>
      <c r="G32" s="385">
        <f>C32+D32-1</f>
        <v/>
      </c>
      <c r="H32" s="385">
        <f>C32+1</f>
        <v/>
      </c>
      <c r="I32" s="726">
        <f>IF($F32="Yes",INDEX($G$6:$G$14,MATCH(MIN($G32,105),$B$6:$B$14,1)),1)</f>
        <v/>
      </c>
      <c r="J32" s="483">
        <f>IF($E32="Yes",$B32*Assumptions!$B$9*0.95/$D32*SUMPRODUCT(($C$15:$DF$15&gt;=$C32)*($C$15:$DF$15&lt;$C32+$D32))+$B32*Assumptions!$B$9*0.05*SUMPRODUCT(--($C$15:$DF$15=$G32)),0)</f>
        <v/>
      </c>
      <c r="K32" s="483">
        <f>IF($E32="Yes",SUMPRODUCT(($C$15:$DF$15&gt;=$C32)*($C$15:$DF$15&lt;$C32+$D32)*$C$18:$DF$18),0)</f>
        <v/>
      </c>
      <c r="L32" s="483">
        <f>J32-K32</f>
        <v/>
      </c>
      <c r="M32" s="726">
        <f>$B$3*I32</f>
        <v/>
      </c>
      <c r="N32" s="483">
        <f>IF($E32="Yes",$B$2*$B32,0)</f>
        <v/>
      </c>
      <c r="O32" s="483">
        <f>M32*MAX(0,L32)</f>
        <v/>
      </c>
      <c r="P32" s="483">
        <f>N32+Q32</f>
        <v/>
      </c>
      <c r="Q32" s="483">
        <f>MAX(0,O32-N32)</f>
        <v/>
      </c>
    </row>
    <row r="33" ht="15" customFormat="1" customHeight="1" s="380">
      <c r="A33" s="380">
        <f>Projects!A29</f>
        <v/>
      </c>
      <c r="B33" s="483">
        <f>Projects!B29</f>
        <v/>
      </c>
      <c r="C33" s="385">
        <f>Projects!C29</f>
        <v/>
      </c>
      <c r="D33" s="385">
        <f>Projects!D29</f>
        <v/>
      </c>
      <c r="E33" s="380">
        <f>Projects!G29</f>
        <v/>
      </c>
      <c r="F33" s="380">
        <f>Projects!M29</f>
        <v/>
      </c>
      <c r="G33" s="385">
        <f>C33+D33-1</f>
        <v/>
      </c>
      <c r="H33" s="385">
        <f>C33+1</f>
        <v/>
      </c>
      <c r="I33" s="726">
        <f>IF($F33="Yes",INDEX($G$6:$G$14,MATCH(MIN($G33,105),$B$6:$B$14,1)),1)</f>
        <v/>
      </c>
      <c r="J33" s="483">
        <f>IF($E33="Yes",$B33*Assumptions!$B$9*0.95/$D33*SUMPRODUCT(($C$15:$DF$15&gt;=$C33)*($C$15:$DF$15&lt;$C33+$D33))+$B33*Assumptions!$B$9*0.05*SUMPRODUCT(--($C$15:$DF$15=$G33)),0)</f>
        <v/>
      </c>
      <c r="K33" s="483">
        <f>IF($E33="Yes",SUMPRODUCT(($C$15:$DF$15&gt;=$C33)*($C$15:$DF$15&lt;$C33+$D33)*$C$18:$DF$18),0)</f>
        <v/>
      </c>
      <c r="L33" s="483">
        <f>J33-K33</f>
        <v/>
      </c>
      <c r="M33" s="726">
        <f>$B$3*I33</f>
        <v/>
      </c>
      <c r="N33" s="483">
        <f>IF($E33="Yes",$B$2*$B33,0)</f>
        <v/>
      </c>
      <c r="O33" s="483">
        <f>M33*MAX(0,L33)</f>
        <v/>
      </c>
      <c r="P33" s="483">
        <f>N33+Q33</f>
        <v/>
      </c>
      <c r="Q33" s="483">
        <f>MAX(0,O33-N33)</f>
        <v/>
      </c>
    </row>
    <row r="34" ht="15" customFormat="1" customHeight="1" s="380">
      <c r="A34" s="380">
        <f>Projects!A30</f>
        <v/>
      </c>
      <c r="B34" s="483">
        <f>Projects!B30</f>
        <v/>
      </c>
      <c r="C34" s="385">
        <f>Projects!C30</f>
        <v/>
      </c>
      <c r="D34" s="385">
        <f>Projects!D30</f>
        <v/>
      </c>
      <c r="E34" s="380">
        <f>Projects!G30</f>
        <v/>
      </c>
      <c r="F34" s="380">
        <f>Projects!M30</f>
        <v/>
      </c>
      <c r="G34" s="385">
        <f>C34+D34-1</f>
        <v/>
      </c>
      <c r="H34" s="385">
        <f>C34+1</f>
        <v/>
      </c>
      <c r="I34" s="726">
        <f>IF($F34="Yes",INDEX($G$6:$G$14,MATCH(MIN($G34,105),$B$6:$B$14,1)),1)</f>
        <v/>
      </c>
      <c r="J34" s="483">
        <f>IF($E34="Yes",$B34*Assumptions!$B$9*0.95/$D34*SUMPRODUCT(($C$15:$DF$15&gt;=$C34)*($C$15:$DF$15&lt;$C34+$D34))+$B34*Assumptions!$B$9*0.05*SUMPRODUCT(--($C$15:$DF$15=$G34)),0)</f>
        <v/>
      </c>
      <c r="K34" s="483">
        <f>IF($E34="Yes",SUMPRODUCT(($C$15:$DF$15&gt;=$C34)*($C$15:$DF$15&lt;$C34+$D34)*$C$18:$DF$18),0)</f>
        <v/>
      </c>
      <c r="L34" s="483">
        <f>J34-K34</f>
        <v/>
      </c>
      <c r="M34" s="726">
        <f>$B$3*I34</f>
        <v/>
      </c>
      <c r="N34" s="483">
        <f>IF($E34="Yes",$B$2*$B34,0)</f>
        <v/>
      </c>
      <c r="O34" s="483">
        <f>M34*MAX(0,L34)</f>
        <v/>
      </c>
      <c r="P34" s="483">
        <f>N34+Q34</f>
        <v/>
      </c>
      <c r="Q34" s="483">
        <f>MAX(0,O34-N34)</f>
        <v/>
      </c>
    </row>
    <row r="35" ht="15" customFormat="1" customHeight="1" s="380">
      <c r="A35" s="380">
        <f>Projects!A31</f>
        <v/>
      </c>
      <c r="B35" s="483">
        <f>Projects!B31</f>
        <v/>
      </c>
      <c r="C35" s="385">
        <f>Projects!C31</f>
        <v/>
      </c>
      <c r="D35" s="385">
        <f>Projects!D31</f>
        <v/>
      </c>
      <c r="E35" s="380">
        <f>Projects!G31</f>
        <v/>
      </c>
      <c r="F35" s="380">
        <f>Projects!M31</f>
        <v/>
      </c>
      <c r="G35" s="385">
        <f>C35+D35-1</f>
        <v/>
      </c>
      <c r="H35" s="385">
        <f>C35+1</f>
        <v/>
      </c>
      <c r="I35" s="726">
        <f>IF($F35="Yes",INDEX($G$6:$G$14,MATCH(MIN($G35,105),$B$6:$B$14,1)),1)</f>
        <v/>
      </c>
      <c r="J35" s="483">
        <f>IF($E35="Yes",$B35*Assumptions!$B$9*0.95/$D35*SUMPRODUCT(($C$15:$DF$15&gt;=$C35)*($C$15:$DF$15&lt;$C35+$D35))+$B35*Assumptions!$B$9*0.05*SUMPRODUCT(--($C$15:$DF$15=$G35)),0)</f>
        <v/>
      </c>
      <c r="K35" s="483">
        <f>IF($E35="Yes",SUMPRODUCT(($C$15:$DF$15&gt;=$C35)*($C$15:$DF$15&lt;$C35+$D35)*$C$18:$DF$18),0)</f>
        <v/>
      </c>
      <c r="L35" s="483">
        <f>J35-K35</f>
        <v/>
      </c>
      <c r="M35" s="726">
        <f>$B$3*I35</f>
        <v/>
      </c>
      <c r="N35" s="483">
        <f>IF($E35="Yes",$B$2*$B35,0)</f>
        <v/>
      </c>
      <c r="O35" s="483">
        <f>M35*MAX(0,L35)</f>
        <v/>
      </c>
      <c r="P35" s="483">
        <f>N35+Q35</f>
        <v/>
      </c>
      <c r="Q35" s="483">
        <f>MAX(0,O35-N35)</f>
        <v/>
      </c>
    </row>
    <row r="36" ht="15" customFormat="1" customHeight="1" s="380">
      <c r="A36" s="380">
        <f>Projects!A32</f>
        <v/>
      </c>
      <c r="B36" s="483">
        <f>Projects!B32</f>
        <v/>
      </c>
      <c r="C36" s="385">
        <f>Projects!C32</f>
        <v/>
      </c>
      <c r="D36" s="385">
        <f>Projects!D32</f>
        <v/>
      </c>
      <c r="E36" s="380">
        <f>Projects!G32</f>
        <v/>
      </c>
      <c r="F36" s="380">
        <f>Projects!M32</f>
        <v/>
      </c>
      <c r="G36" s="385">
        <f>C36+D36-1</f>
        <v/>
      </c>
      <c r="H36" s="385">
        <f>C36+1</f>
        <v/>
      </c>
      <c r="I36" s="726">
        <f>IF($F36="Yes",INDEX($G$6:$G$14,MATCH(MIN($G36,105),$B$6:$B$14,1)),1)</f>
        <v/>
      </c>
      <c r="J36" s="483">
        <f>IF($E36="Yes",$B36*Assumptions!$B$9*0.95/$D36*SUMPRODUCT(($C$15:$DF$15&gt;=$C36)*($C$15:$DF$15&lt;$C36+$D36))+$B36*Assumptions!$B$9*0.05*SUMPRODUCT(--($C$15:$DF$15=$G36)),0)</f>
        <v/>
      </c>
      <c r="K36" s="483">
        <f>IF($E36="Yes",SUMPRODUCT(($C$15:$DF$15&gt;=$C36)*($C$15:$DF$15&lt;$C36+$D36)*$C$18:$DF$18),0)</f>
        <v/>
      </c>
      <c r="L36" s="483">
        <f>J36-K36</f>
        <v/>
      </c>
      <c r="M36" s="726">
        <f>$B$3*I36</f>
        <v/>
      </c>
      <c r="N36" s="483">
        <f>IF($E36="Yes",$B$2*$B36,0)</f>
        <v/>
      </c>
      <c r="O36" s="483">
        <f>M36*MAX(0,L36)</f>
        <v/>
      </c>
      <c r="P36" s="483">
        <f>N36+Q36</f>
        <v/>
      </c>
      <c r="Q36" s="483">
        <f>MAX(0,O36-N36)</f>
        <v/>
      </c>
    </row>
    <row r="37" ht="15" customFormat="1" customHeight="1" s="380">
      <c r="A37" s="380">
        <f>Projects!A33</f>
        <v/>
      </c>
      <c r="B37" s="483">
        <f>Projects!B33</f>
        <v/>
      </c>
      <c r="C37" s="385">
        <f>Projects!C33</f>
        <v/>
      </c>
      <c r="D37" s="385">
        <f>Projects!D33</f>
        <v/>
      </c>
      <c r="E37" s="380">
        <f>Projects!G33</f>
        <v/>
      </c>
      <c r="F37" s="380">
        <f>Projects!M33</f>
        <v/>
      </c>
      <c r="G37" s="385">
        <f>C37+D37-1</f>
        <v/>
      </c>
      <c r="H37" s="385">
        <f>C37+1</f>
        <v/>
      </c>
      <c r="I37" s="726">
        <f>IF($F37="Yes",INDEX($G$6:$G$14,MATCH(MIN($G37,105),$B$6:$B$14,1)),1)</f>
        <v/>
      </c>
      <c r="J37" s="483">
        <f>IF($E37="Yes",$B37*Assumptions!$B$9*0.95/$D37*SUMPRODUCT(($C$15:$DF$15&gt;=$C37)*($C$15:$DF$15&lt;$C37+$D37))+$B37*Assumptions!$B$9*0.05*SUMPRODUCT(--($C$15:$DF$15=$G37)),0)</f>
        <v/>
      </c>
      <c r="K37" s="483">
        <f>IF($E37="Yes",SUMPRODUCT(($C$15:$DF$15&gt;=$C37)*($C$15:$DF$15&lt;$C37+$D37)*$C$18:$DF$18),0)</f>
        <v/>
      </c>
      <c r="L37" s="483">
        <f>J37-K37</f>
        <v/>
      </c>
      <c r="M37" s="726">
        <f>$B$3*I37</f>
        <v/>
      </c>
      <c r="N37" s="483">
        <f>IF($E37="Yes",$B$2*$B37,0)</f>
        <v/>
      </c>
      <c r="O37" s="483">
        <f>M37*MAX(0,L37)</f>
        <v/>
      </c>
      <c r="P37" s="483">
        <f>N37+Q37</f>
        <v/>
      </c>
      <c r="Q37" s="483">
        <f>MAX(0,O37-N37)</f>
        <v/>
      </c>
    </row>
    <row r="38" ht="15" customFormat="1" customHeight="1" s="380">
      <c r="A38" s="380">
        <f>Projects!A34</f>
        <v/>
      </c>
      <c r="B38" s="483">
        <f>Projects!B34</f>
        <v/>
      </c>
      <c r="C38" s="385">
        <f>Projects!C34</f>
        <v/>
      </c>
      <c r="D38" s="385">
        <f>Projects!D34</f>
        <v/>
      </c>
      <c r="E38" s="380">
        <f>Projects!G34</f>
        <v/>
      </c>
      <c r="F38" s="380">
        <f>Projects!M34</f>
        <v/>
      </c>
      <c r="G38" s="385">
        <f>C38+D38-1</f>
        <v/>
      </c>
      <c r="H38" s="385">
        <f>C38+1</f>
        <v/>
      </c>
      <c r="I38" s="726">
        <f>IF($F38="Yes",INDEX($G$6:$G$14,MATCH(MIN($G38,105),$B$6:$B$14,1)),1)</f>
        <v/>
      </c>
      <c r="J38" s="483">
        <f>IF($E38="Yes",$B38*Assumptions!$B$9*0.95/$D38*SUMPRODUCT(($C$15:$DF$15&gt;=$C38)*($C$15:$DF$15&lt;$C38+$D38))+$B38*Assumptions!$B$9*0.05*SUMPRODUCT(--($C$15:$DF$15=$G38)),0)</f>
        <v/>
      </c>
      <c r="K38" s="483">
        <f>IF($E38="Yes",SUMPRODUCT(($C$15:$DF$15&gt;=$C38)*($C$15:$DF$15&lt;$C38+$D38)*$C$18:$DF$18),0)</f>
        <v/>
      </c>
      <c r="L38" s="483">
        <f>J38-K38</f>
        <v/>
      </c>
      <c r="M38" s="726">
        <f>$B$3*I38</f>
        <v/>
      </c>
      <c r="N38" s="483">
        <f>IF($E38="Yes",$B$2*$B38,0)</f>
        <v/>
      </c>
      <c r="O38" s="483">
        <f>M38*MAX(0,L38)</f>
        <v/>
      </c>
      <c r="P38" s="483">
        <f>N38+Q38</f>
        <v/>
      </c>
      <c r="Q38" s="483">
        <f>MAX(0,O38-N38)</f>
        <v/>
      </c>
    </row>
    <row r="39" ht="15" customFormat="1" customHeight="1" s="380">
      <c r="A39" s="380">
        <f>Projects!A35</f>
        <v/>
      </c>
      <c r="B39" s="483">
        <f>Projects!B35</f>
        <v/>
      </c>
      <c r="C39" s="385">
        <f>Projects!C35</f>
        <v/>
      </c>
      <c r="D39" s="385">
        <f>Projects!D35</f>
        <v/>
      </c>
      <c r="E39" s="380">
        <f>Projects!G35</f>
        <v/>
      </c>
      <c r="F39" s="380">
        <f>Projects!M35</f>
        <v/>
      </c>
      <c r="G39" s="385">
        <f>C39+D39-1</f>
        <v/>
      </c>
      <c r="H39" s="385">
        <f>C39+1</f>
        <v/>
      </c>
      <c r="I39" s="726">
        <f>IF($F39="Yes",INDEX($G$6:$G$14,MATCH(MIN($G39,105),$B$6:$B$14,1)),1)</f>
        <v/>
      </c>
      <c r="J39" s="483">
        <f>IF($E39="Yes",$B39*Assumptions!$B$9*0.95/$D39*SUMPRODUCT(($C$15:$DF$15&gt;=$C39)*($C$15:$DF$15&lt;$C39+$D39))+$B39*Assumptions!$B$9*0.05*SUMPRODUCT(--($C$15:$DF$15=$G39)),0)</f>
        <v/>
      </c>
      <c r="K39" s="483">
        <f>IF($E39="Yes",SUMPRODUCT(($C$15:$DF$15&gt;=$C39)*($C$15:$DF$15&lt;$C39+$D39)*$C$18:$DF$18),0)</f>
        <v/>
      </c>
      <c r="L39" s="483">
        <f>J39-K39</f>
        <v/>
      </c>
      <c r="M39" s="726">
        <f>$B$3*I39</f>
        <v/>
      </c>
      <c r="N39" s="483">
        <f>IF($E39="Yes",$B$2*$B39,0)</f>
        <v/>
      </c>
      <c r="O39" s="483">
        <f>M39*MAX(0,L39)</f>
        <v/>
      </c>
      <c r="P39" s="483">
        <f>N39+Q39</f>
        <v/>
      </c>
      <c r="Q39" s="483">
        <f>MAX(0,O39-N39)</f>
        <v/>
      </c>
    </row>
    <row r="40" ht="15" customFormat="1" customHeight="1" s="380">
      <c r="A40" s="380">
        <f>Projects!A36</f>
        <v/>
      </c>
      <c r="B40" s="483">
        <f>Projects!B36</f>
        <v/>
      </c>
      <c r="C40" s="385">
        <f>Projects!C36</f>
        <v/>
      </c>
      <c r="D40" s="385">
        <f>Projects!D36</f>
        <v/>
      </c>
      <c r="E40" s="380">
        <f>Projects!G36</f>
        <v/>
      </c>
      <c r="F40" s="380">
        <f>Projects!M36</f>
        <v/>
      </c>
      <c r="G40" s="385">
        <f>C40+D40-1</f>
        <v/>
      </c>
      <c r="H40" s="385">
        <f>C40+1</f>
        <v/>
      </c>
      <c r="I40" s="726">
        <f>IF($F40="Yes",INDEX($G$6:$G$14,MATCH(MIN($G40,105),$B$6:$B$14,1)),1)</f>
        <v/>
      </c>
      <c r="J40" s="483">
        <f>IF($E40="Yes",$B40*Assumptions!$B$9*0.95/$D40*SUMPRODUCT(($C$15:$DF$15&gt;=$C40)*($C$15:$DF$15&lt;$C40+$D40))+$B40*Assumptions!$B$9*0.05*SUMPRODUCT(--($C$15:$DF$15=$G40)),0)</f>
        <v/>
      </c>
      <c r="K40" s="483">
        <f>IF($E40="Yes",SUMPRODUCT(($C$15:$DF$15&gt;=$C40)*($C$15:$DF$15&lt;$C40+$D40)*$C$18:$DF$18),0)</f>
        <v/>
      </c>
      <c r="L40" s="483">
        <f>J40-K40</f>
        <v/>
      </c>
      <c r="M40" s="726">
        <f>$B$3*I40</f>
        <v/>
      </c>
      <c r="N40" s="483">
        <f>IF($E40="Yes",$B$2*$B40,0)</f>
        <v/>
      </c>
      <c r="O40" s="483">
        <f>M40*MAX(0,L40)</f>
        <v/>
      </c>
      <c r="P40" s="483">
        <f>N40+Q40</f>
        <v/>
      </c>
      <c r="Q40" s="483">
        <f>MAX(0,O40-N40)</f>
        <v/>
      </c>
    </row>
    <row r="41" ht="15" customFormat="1" customHeight="1" s="380">
      <c r="A41" s="380">
        <f>Projects!A37</f>
        <v/>
      </c>
      <c r="B41" s="483">
        <f>Projects!B37</f>
        <v/>
      </c>
      <c r="C41" s="385">
        <f>Projects!C37</f>
        <v/>
      </c>
      <c r="D41" s="385">
        <f>Projects!D37</f>
        <v/>
      </c>
      <c r="E41" s="380">
        <f>Projects!G37</f>
        <v/>
      </c>
      <c r="F41" s="380">
        <f>Projects!M37</f>
        <v/>
      </c>
      <c r="G41" s="385">
        <f>C41+D41-1</f>
        <v/>
      </c>
      <c r="H41" s="385">
        <f>C41+1</f>
        <v/>
      </c>
      <c r="I41" s="726">
        <f>IF($F41="Yes",INDEX($G$6:$G$14,MATCH(MIN($G41,105),$B$6:$B$14,1)),1)</f>
        <v/>
      </c>
      <c r="J41" s="483">
        <f>IF($E41="Yes",$B41*Assumptions!$B$9*0.95/$D41*SUMPRODUCT(($C$15:$DF$15&gt;=$C41)*($C$15:$DF$15&lt;$C41+$D41))+$B41*Assumptions!$B$9*0.05*SUMPRODUCT(--($C$15:$DF$15=$G41)),0)</f>
        <v/>
      </c>
      <c r="K41" s="483">
        <f>IF($E41="Yes",SUMPRODUCT(($C$15:$DF$15&gt;=$C41)*($C$15:$DF$15&lt;$C41+$D41)*$C$18:$DF$18),0)</f>
        <v/>
      </c>
      <c r="L41" s="483">
        <f>J41-K41</f>
        <v/>
      </c>
      <c r="M41" s="726">
        <f>$B$3*I41</f>
        <v/>
      </c>
      <c r="N41" s="483">
        <f>IF($E41="Yes",$B$2*$B41,0)</f>
        <v/>
      </c>
      <c r="O41" s="483">
        <f>M41*MAX(0,L41)</f>
        <v/>
      </c>
      <c r="P41" s="483">
        <f>N41+Q41</f>
        <v/>
      </c>
      <c r="Q41" s="483">
        <f>MAX(0,O41-N41)</f>
        <v/>
      </c>
    </row>
    <row r="42" ht="15" customFormat="1" customHeight="1" s="380">
      <c r="A42" s="380">
        <f>Projects!A38</f>
        <v/>
      </c>
      <c r="B42" s="483">
        <f>Projects!B38</f>
        <v/>
      </c>
      <c r="C42" s="385">
        <f>Projects!C38</f>
        <v/>
      </c>
      <c r="D42" s="385">
        <f>Projects!D38</f>
        <v/>
      </c>
      <c r="E42" s="380">
        <f>Projects!G38</f>
        <v/>
      </c>
      <c r="F42" s="380">
        <f>Projects!M38</f>
        <v/>
      </c>
      <c r="G42" s="385">
        <f>C42+D42-1</f>
        <v/>
      </c>
      <c r="H42" s="385">
        <f>C42+1</f>
        <v/>
      </c>
      <c r="I42" s="726">
        <f>IF($F42="Yes",INDEX($G$6:$G$14,MATCH(MIN($G42,105),$B$6:$B$14,1)),1)</f>
        <v/>
      </c>
      <c r="J42" s="483">
        <f>IF($E42="Yes",$B42*Assumptions!$B$9*0.95/$D42*SUMPRODUCT(($C$15:$DF$15&gt;=$C42)*($C$15:$DF$15&lt;$C42+$D42))+$B42*Assumptions!$B$9*0.05*SUMPRODUCT(--($C$15:$DF$15=$G42)),0)</f>
        <v/>
      </c>
      <c r="K42" s="483">
        <f>IF($E42="Yes",SUMPRODUCT(($C$15:$DF$15&gt;=$C42)*($C$15:$DF$15&lt;$C42+$D42)*$C$18:$DF$18),0)</f>
        <v/>
      </c>
      <c r="L42" s="483">
        <f>J42-K42</f>
        <v/>
      </c>
      <c r="M42" s="726">
        <f>$B$3*I42</f>
        <v/>
      </c>
      <c r="N42" s="483">
        <f>IF($E42="Yes",$B$2*$B42,0)</f>
        <v/>
      </c>
      <c r="O42" s="483">
        <f>M42*MAX(0,L42)</f>
        <v/>
      </c>
      <c r="P42" s="483">
        <f>N42+Q42</f>
        <v/>
      </c>
      <c r="Q42" s="483">
        <f>MAX(0,O42-N42)</f>
        <v/>
      </c>
    </row>
    <row r="43" ht="15" customFormat="1" customHeight="1" s="380">
      <c r="A43" s="380">
        <f>Projects!A39</f>
        <v/>
      </c>
      <c r="B43" s="483">
        <f>Projects!B39</f>
        <v/>
      </c>
      <c r="C43" s="385">
        <f>Projects!C39</f>
        <v/>
      </c>
      <c r="D43" s="385">
        <f>Projects!D39</f>
        <v/>
      </c>
      <c r="E43" s="380">
        <f>Projects!G39</f>
        <v/>
      </c>
      <c r="F43" s="380">
        <f>Projects!M39</f>
        <v/>
      </c>
      <c r="G43" s="385">
        <f>C43+D43-1</f>
        <v/>
      </c>
      <c r="H43" s="385">
        <f>C43+1</f>
        <v/>
      </c>
      <c r="I43" s="726">
        <f>IF($F43="Yes",INDEX($G$6:$G$14,MATCH(MIN($G43,105),$B$6:$B$14,1)),1)</f>
        <v/>
      </c>
      <c r="J43" s="483">
        <f>IF($E43="Yes",$B43*Assumptions!$B$9*0.95/$D43*SUMPRODUCT(($C$15:$DF$15&gt;=$C43)*($C$15:$DF$15&lt;$C43+$D43))+$B43*Assumptions!$B$9*0.05*SUMPRODUCT(--($C$15:$DF$15=$G43)),0)</f>
        <v/>
      </c>
      <c r="K43" s="483">
        <f>IF($E43="Yes",SUMPRODUCT(($C$15:$DF$15&gt;=$C43)*($C$15:$DF$15&lt;$C43+$D43)*$C$18:$DF$18),0)</f>
        <v/>
      </c>
      <c r="L43" s="483">
        <f>J43-K43</f>
        <v/>
      </c>
      <c r="M43" s="726">
        <f>$B$3*I43</f>
        <v/>
      </c>
      <c r="N43" s="483">
        <f>IF($E43="Yes",$B$2*$B43,0)</f>
        <v/>
      </c>
      <c r="O43" s="483">
        <f>M43*MAX(0,L43)</f>
        <v/>
      </c>
      <c r="P43" s="483">
        <f>N43+Q43</f>
        <v/>
      </c>
      <c r="Q43" s="483">
        <f>MAX(0,O43-N43)</f>
        <v/>
      </c>
    </row>
    <row r="44" ht="15" customFormat="1" customHeight="1" s="380">
      <c r="A44" s="380">
        <f>Projects!A40</f>
        <v/>
      </c>
      <c r="B44" s="483">
        <f>Projects!B40</f>
        <v/>
      </c>
      <c r="C44" s="385">
        <f>Projects!C40</f>
        <v/>
      </c>
      <c r="D44" s="385">
        <f>Projects!D40</f>
        <v/>
      </c>
      <c r="E44" s="380">
        <f>Projects!G40</f>
        <v/>
      </c>
      <c r="F44" s="380">
        <f>Projects!M40</f>
        <v/>
      </c>
      <c r="G44" s="385">
        <f>C44+D44-1</f>
        <v/>
      </c>
      <c r="H44" s="385">
        <f>C44+1</f>
        <v/>
      </c>
      <c r="I44" s="726">
        <f>IF($F44="Yes",INDEX($G$6:$G$14,MATCH(MIN($G44,105),$B$6:$B$14,1)),1)</f>
        <v/>
      </c>
      <c r="J44" s="483">
        <f>IF($E44="Yes",$B44*Assumptions!$B$9*0.95/$D44*SUMPRODUCT(($C$15:$DF$15&gt;=$C44)*($C$15:$DF$15&lt;$C44+$D44))+$B44*Assumptions!$B$9*0.05*SUMPRODUCT(--($C$15:$DF$15=$G44)),0)</f>
        <v/>
      </c>
      <c r="K44" s="483">
        <f>IF($E44="Yes",SUMPRODUCT(($C$15:$DF$15&gt;=$C44)*($C$15:$DF$15&lt;$C44+$D44)*$C$18:$DF$18),0)</f>
        <v/>
      </c>
      <c r="L44" s="483">
        <f>J44-K44</f>
        <v/>
      </c>
      <c r="M44" s="726">
        <f>$B$3*I44</f>
        <v/>
      </c>
      <c r="N44" s="483">
        <f>IF($E44="Yes",$B$2*$B44,0)</f>
        <v/>
      </c>
      <c r="O44" s="483">
        <f>M44*MAX(0,L44)</f>
        <v/>
      </c>
      <c r="P44" s="483">
        <f>N44+Q44</f>
        <v/>
      </c>
      <c r="Q44" s="483">
        <f>MAX(0,O44-N44)</f>
        <v/>
      </c>
    </row>
    <row r="45" ht="15" customFormat="1" customHeight="1" s="380">
      <c r="A45" s="380">
        <f>Projects!A41</f>
        <v/>
      </c>
      <c r="B45" s="483">
        <f>Projects!B41</f>
        <v/>
      </c>
      <c r="C45" s="385">
        <f>Projects!C41</f>
        <v/>
      </c>
      <c r="D45" s="385">
        <f>Projects!D41</f>
        <v/>
      </c>
      <c r="E45" s="380">
        <f>Projects!G41</f>
        <v/>
      </c>
      <c r="F45" s="380">
        <f>Projects!M41</f>
        <v/>
      </c>
      <c r="G45" s="385">
        <f>C45+D45-1</f>
        <v/>
      </c>
      <c r="H45" s="385">
        <f>C45+1</f>
        <v/>
      </c>
      <c r="I45" s="726">
        <f>IF($F45="Yes",INDEX($G$6:$G$14,MATCH(MIN($G45,105),$B$6:$B$14,1)),1)</f>
        <v/>
      </c>
      <c r="J45" s="483">
        <f>IF($E45="Yes",$B45*Assumptions!$B$9*0.95/$D45*SUMPRODUCT(($C$15:$DF$15&gt;=$C45)*($C$15:$DF$15&lt;$C45+$D45))+$B45*Assumptions!$B$9*0.05*SUMPRODUCT(--($C$15:$DF$15=$G45)),0)</f>
        <v/>
      </c>
      <c r="K45" s="483">
        <f>IF($E45="Yes",SUMPRODUCT(($C$15:$DF$15&gt;=$C45)*($C$15:$DF$15&lt;$C45+$D45)*$C$18:$DF$18),0)</f>
        <v/>
      </c>
      <c r="L45" s="483">
        <f>J45-K45</f>
        <v/>
      </c>
      <c r="M45" s="726">
        <f>$B$3*I45</f>
        <v/>
      </c>
      <c r="N45" s="483">
        <f>IF($E45="Yes",$B$2*$B45,0)</f>
        <v/>
      </c>
      <c r="O45" s="483">
        <f>M45*MAX(0,L45)</f>
        <v/>
      </c>
      <c r="P45" s="483">
        <f>N45+Q45</f>
        <v/>
      </c>
      <c r="Q45" s="483">
        <f>MAX(0,O45-N45)</f>
        <v/>
      </c>
    </row>
    <row r="46" ht="15" customFormat="1" customHeight="1" s="380">
      <c r="A46" s="380">
        <f>Projects!A42</f>
        <v/>
      </c>
      <c r="B46" s="483">
        <f>Projects!B42</f>
        <v/>
      </c>
      <c r="C46" s="385">
        <f>Projects!C42</f>
        <v/>
      </c>
      <c r="D46" s="385">
        <f>Projects!D42</f>
        <v/>
      </c>
      <c r="E46" s="380">
        <f>Projects!G42</f>
        <v/>
      </c>
      <c r="F46" s="380">
        <f>Projects!M42</f>
        <v/>
      </c>
      <c r="G46" s="385">
        <f>C46+D46-1</f>
        <v/>
      </c>
      <c r="H46" s="385">
        <f>C46+1</f>
        <v/>
      </c>
      <c r="I46" s="726">
        <f>IF($F46="Yes",INDEX($G$6:$G$14,MATCH(MIN($G46,105),$B$6:$B$14,1)),1)</f>
        <v/>
      </c>
      <c r="J46" s="483">
        <f>IF($E46="Yes",$B46*Assumptions!$B$9*0.95/$D46*SUMPRODUCT(($C$15:$DF$15&gt;=$C46)*($C$15:$DF$15&lt;$C46+$D46))+$B46*Assumptions!$B$9*0.05*SUMPRODUCT(--($C$15:$DF$15=$G46)),0)</f>
        <v/>
      </c>
      <c r="K46" s="483">
        <f>IF($E46="Yes",SUMPRODUCT(($C$15:$DF$15&gt;=$C46)*($C$15:$DF$15&lt;$C46+$D46)*$C$18:$DF$18),0)</f>
        <v/>
      </c>
      <c r="L46" s="483">
        <f>J46-K46</f>
        <v/>
      </c>
      <c r="M46" s="726">
        <f>$B$3*I46</f>
        <v/>
      </c>
      <c r="N46" s="483">
        <f>IF($E46="Yes",$B$2*$B46,0)</f>
        <v/>
      </c>
      <c r="O46" s="483">
        <f>M46*MAX(0,L46)</f>
        <v/>
      </c>
      <c r="P46" s="483">
        <f>N46+Q46</f>
        <v/>
      </c>
      <c r="Q46" s="483">
        <f>MAX(0,O46-N46)</f>
        <v/>
      </c>
    </row>
    <row r="47" ht="15" customFormat="1" customHeight="1" s="380">
      <c r="A47" s="380">
        <f>Projects!A43</f>
        <v/>
      </c>
      <c r="B47" s="483">
        <f>Projects!B43</f>
        <v/>
      </c>
      <c r="C47" s="385">
        <f>Projects!C43</f>
        <v/>
      </c>
      <c r="D47" s="385">
        <f>Projects!D43</f>
        <v/>
      </c>
      <c r="E47" s="380">
        <f>Projects!G43</f>
        <v/>
      </c>
      <c r="F47" s="380">
        <f>Projects!M43</f>
        <v/>
      </c>
      <c r="G47" s="385">
        <f>C47+D47-1</f>
        <v/>
      </c>
      <c r="H47" s="385">
        <f>C47+1</f>
        <v/>
      </c>
      <c r="I47" s="726">
        <f>IF($F47="Yes",INDEX($G$6:$G$14,MATCH(MIN($G47,105),$B$6:$B$14,1)),1)</f>
        <v/>
      </c>
      <c r="J47" s="483">
        <f>IF($E47="Yes",$B47*Assumptions!$B$9*0.95/$D47*SUMPRODUCT(($C$15:$DF$15&gt;=$C47)*($C$15:$DF$15&lt;$C47+$D47))+$B47*Assumptions!$B$9*0.05*SUMPRODUCT(--($C$15:$DF$15=$G47)),0)</f>
        <v/>
      </c>
      <c r="K47" s="483">
        <f>IF($E47="Yes",SUMPRODUCT(($C$15:$DF$15&gt;=$C47)*($C$15:$DF$15&lt;$C47+$D47)*$C$18:$DF$18),0)</f>
        <v/>
      </c>
      <c r="L47" s="483">
        <f>J47-K47</f>
        <v/>
      </c>
      <c r="M47" s="726">
        <f>$B$3*I47</f>
        <v/>
      </c>
      <c r="N47" s="483">
        <f>IF($E47="Yes",$B$2*$B47,0)</f>
        <v/>
      </c>
      <c r="O47" s="483">
        <f>M47*MAX(0,L47)</f>
        <v/>
      </c>
      <c r="P47" s="483">
        <f>N47+Q47</f>
        <v/>
      </c>
      <c r="Q47" s="483">
        <f>MAX(0,O47-N47)</f>
        <v/>
      </c>
    </row>
    <row r="48" ht="15" customFormat="1" customHeight="1" s="380">
      <c r="A48" s="380">
        <f>Projects!A44</f>
        <v/>
      </c>
      <c r="B48" s="483">
        <f>Projects!B44</f>
        <v/>
      </c>
      <c r="C48" s="385">
        <f>Projects!C44</f>
        <v/>
      </c>
      <c r="D48" s="385">
        <f>Projects!D44</f>
        <v/>
      </c>
      <c r="E48" s="380">
        <f>Projects!G44</f>
        <v/>
      </c>
      <c r="F48" s="380">
        <f>Projects!M44</f>
        <v/>
      </c>
      <c r="G48" s="385">
        <f>C48+D48-1</f>
        <v/>
      </c>
      <c r="H48" s="385">
        <f>C48+1</f>
        <v/>
      </c>
      <c r="I48" s="726">
        <f>IF($F48="Yes",INDEX($G$6:$G$14,MATCH(MIN($G48,105),$B$6:$B$14,1)),1)</f>
        <v/>
      </c>
      <c r="J48" s="483">
        <f>IF($E48="Yes",$B48*Assumptions!$B$9*0.95/$D48*SUMPRODUCT(($C$15:$DF$15&gt;=$C48)*($C$15:$DF$15&lt;$C48+$D48))+$B48*Assumptions!$B$9*0.05*SUMPRODUCT(--($C$15:$DF$15=$G48)),0)</f>
        <v/>
      </c>
      <c r="K48" s="483">
        <f>IF($E48="Yes",SUMPRODUCT(($C$15:$DF$15&gt;=$C48)*($C$15:$DF$15&lt;$C48+$D48)*$C$18:$DF$18),0)</f>
        <v/>
      </c>
      <c r="L48" s="483">
        <f>J48-K48</f>
        <v/>
      </c>
      <c r="M48" s="726">
        <f>$B$3*I48</f>
        <v/>
      </c>
      <c r="N48" s="483">
        <f>IF($E48="Yes",$B$2*$B48,0)</f>
        <v/>
      </c>
      <c r="O48" s="483">
        <f>M48*MAX(0,L48)</f>
        <v/>
      </c>
      <c r="P48" s="483">
        <f>N48+Q48</f>
        <v/>
      </c>
      <c r="Q48" s="483">
        <f>MAX(0,O48-N48)</f>
        <v/>
      </c>
    </row>
    <row r="49" ht="15" customFormat="1" customHeight="1" s="380">
      <c r="A49" s="380">
        <f>Projects!A45</f>
        <v/>
      </c>
      <c r="B49" s="483">
        <f>Projects!B45</f>
        <v/>
      </c>
      <c r="C49" s="385">
        <f>Projects!C45</f>
        <v/>
      </c>
      <c r="D49" s="385">
        <f>Projects!D45</f>
        <v/>
      </c>
      <c r="E49" s="380">
        <f>Projects!G45</f>
        <v/>
      </c>
      <c r="F49" s="380">
        <f>Projects!M45</f>
        <v/>
      </c>
      <c r="G49" s="385">
        <f>C49+D49-1</f>
        <v/>
      </c>
      <c r="H49" s="385">
        <f>C49+1</f>
        <v/>
      </c>
      <c r="I49" s="726">
        <f>IF($F49="Yes",INDEX($G$6:$G$14,MATCH(MIN($G49,105),$B$6:$B$14,1)),1)</f>
        <v/>
      </c>
      <c r="J49" s="483">
        <f>IF($E49="Yes",$B49*Assumptions!$B$9*0.95/$D49*SUMPRODUCT(($C$15:$DF$15&gt;=$C49)*($C$15:$DF$15&lt;$C49+$D49))+$B49*Assumptions!$B$9*0.05*SUMPRODUCT(--($C$15:$DF$15=$G49)),0)</f>
        <v/>
      </c>
      <c r="K49" s="483">
        <f>IF($E49="Yes",SUMPRODUCT(($C$15:$DF$15&gt;=$C49)*($C$15:$DF$15&lt;$C49+$D49)*$C$18:$DF$18),0)</f>
        <v/>
      </c>
      <c r="L49" s="483">
        <f>J49-K49</f>
        <v/>
      </c>
      <c r="M49" s="726">
        <f>$B$3*I49</f>
        <v/>
      </c>
      <c r="N49" s="483">
        <f>IF($E49="Yes",$B$2*$B49,0)</f>
        <v/>
      </c>
      <c r="O49" s="483">
        <f>M49*MAX(0,L49)</f>
        <v/>
      </c>
      <c r="P49" s="483">
        <f>N49+Q49</f>
        <v/>
      </c>
      <c r="Q49" s="483">
        <f>MAX(0,O49-N49)</f>
        <v/>
      </c>
    </row>
    <row r="50" ht="15" customFormat="1" customHeight="1" s="380">
      <c r="A50" s="380">
        <f>Projects!A46</f>
        <v/>
      </c>
      <c r="B50" s="483">
        <f>Projects!B46</f>
        <v/>
      </c>
      <c r="C50" s="385">
        <f>Projects!C46</f>
        <v/>
      </c>
      <c r="D50" s="385">
        <f>Projects!D46</f>
        <v/>
      </c>
      <c r="E50" s="380">
        <f>Projects!G46</f>
        <v/>
      </c>
      <c r="F50" s="380">
        <f>Projects!M46</f>
        <v/>
      </c>
      <c r="G50" s="385">
        <f>C50+D50-1</f>
        <v/>
      </c>
      <c r="H50" s="385">
        <f>C50+1</f>
        <v/>
      </c>
      <c r="I50" s="726">
        <f>IF($F50="Yes",INDEX($G$6:$G$14,MATCH(MIN($G50,105),$B$6:$B$14,1)),1)</f>
        <v/>
      </c>
      <c r="J50" s="483">
        <f>IF($E50="Yes",$B50*Assumptions!$B$9*0.95/$D50*SUMPRODUCT(($C$15:$DF$15&gt;=$C50)*($C$15:$DF$15&lt;$C50+$D50))+$B50*Assumptions!$B$9*0.05*SUMPRODUCT(--($C$15:$DF$15=$G50)),0)</f>
        <v/>
      </c>
      <c r="K50" s="483">
        <f>IF($E50="Yes",SUMPRODUCT(($C$15:$DF$15&gt;=$C50)*($C$15:$DF$15&lt;$C50+$D50)*$C$18:$DF$18),0)</f>
        <v/>
      </c>
      <c r="L50" s="483">
        <f>J50-K50</f>
        <v/>
      </c>
      <c r="M50" s="726">
        <f>$B$3*I50</f>
        <v/>
      </c>
      <c r="N50" s="483">
        <f>IF($E50="Yes",$B$2*$B50,0)</f>
        <v/>
      </c>
      <c r="O50" s="483">
        <f>M50*MAX(0,L50)</f>
        <v/>
      </c>
      <c r="P50" s="483">
        <f>N50+Q50</f>
        <v/>
      </c>
      <c r="Q50" s="483">
        <f>MAX(0,O50-N50)</f>
        <v/>
      </c>
    </row>
    <row r="51" ht="15" customFormat="1" customHeight="1" s="380"/>
    <row r="52" ht="15" customFormat="1" customHeight="1" s="380"/>
    <row r="53" ht="15" customFormat="1" customHeight="1" s="380">
      <c r="A53" s="480" t="inlineStr">
        <is>
          <t>BD commission (positive) / month</t>
        </is>
      </c>
      <c r="C53" s="483">
        <f>SUMPRODUCT(($H$21:$H$50=C$15)*$N$21:$N$50)+SUMPRODUCT(($G$21:$G$50=C$15)*$Q$21:$Q$50)</f>
        <v/>
      </c>
      <c r="D53" s="483">
        <f>SUMPRODUCT(($H$21:$H$50=D$15)*$N$21:$N$50)+SUMPRODUCT(($G$21:$G$50=D$15)*$Q$21:$Q$50)</f>
        <v/>
      </c>
      <c r="E53" s="483">
        <f>SUMPRODUCT(($H$21:$H$50=E$15)*$N$21:$N$50)+SUMPRODUCT(($G$21:$G$50=E$15)*$Q$21:$Q$50)</f>
        <v/>
      </c>
      <c r="F53" s="483">
        <f>SUMPRODUCT(($H$21:$H$50=F$15)*$N$21:$N$50)+SUMPRODUCT(($G$21:$G$50=F$15)*$Q$21:$Q$50)</f>
        <v/>
      </c>
      <c r="G53" s="483">
        <f>SUMPRODUCT(($H$21:$H$50=G$15)*$N$21:$N$50)+SUMPRODUCT(($G$21:$G$50=G$15)*$Q$21:$Q$50)</f>
        <v/>
      </c>
      <c r="H53" s="483">
        <f>SUMPRODUCT(($H$21:$H$50=H$15)*$N$21:$N$50)+SUMPRODUCT(($G$21:$G$50=H$15)*$Q$21:$Q$50)</f>
        <v/>
      </c>
      <c r="I53" s="483">
        <f>SUMPRODUCT(($H$21:$H$50=I$15)*$N$21:$N$50)+SUMPRODUCT(($G$21:$G$50=I$15)*$Q$21:$Q$50)</f>
        <v/>
      </c>
      <c r="J53" s="483">
        <f>SUMPRODUCT(($H$21:$H$50=J$15)*$N$21:$N$50)+SUMPRODUCT(($G$21:$G$50=J$15)*$Q$21:$Q$50)</f>
        <v/>
      </c>
      <c r="K53" s="483">
        <f>SUMPRODUCT(($H$21:$H$50=K$15)*$N$21:$N$50)+SUMPRODUCT(($G$21:$G$50=K$15)*$Q$21:$Q$50)</f>
        <v/>
      </c>
      <c r="L53" s="483">
        <f>SUMPRODUCT(($H$21:$H$50=L$15)*$N$21:$N$50)+SUMPRODUCT(($G$21:$G$50=L$15)*$Q$21:$Q$50)</f>
        <v/>
      </c>
      <c r="M53" s="483">
        <f>SUMPRODUCT(($H$21:$H$50=M$15)*$N$21:$N$50)+SUMPRODUCT(($G$21:$G$50=M$15)*$Q$21:$Q$50)</f>
        <v/>
      </c>
      <c r="N53" s="483">
        <f>SUMPRODUCT(($H$21:$H$50=N$15)*$N$21:$N$50)+SUMPRODUCT(($G$21:$G$50=N$15)*$Q$21:$Q$50)</f>
        <v/>
      </c>
      <c r="O53" s="483">
        <f>SUMPRODUCT(($H$21:$H$50=O$15)*$N$21:$N$50)+SUMPRODUCT(($G$21:$G$50=O$15)*$Q$21:$Q$50)</f>
        <v/>
      </c>
      <c r="P53" s="483">
        <f>SUMPRODUCT(($H$21:$H$50=P$15)*$N$21:$N$50)+SUMPRODUCT(($G$21:$G$50=P$15)*$Q$21:$Q$50)</f>
        <v/>
      </c>
      <c r="Q53" s="483">
        <f>SUMPRODUCT(($H$21:$H$50=Q$15)*$N$21:$N$50)+SUMPRODUCT(($G$21:$G$50=Q$15)*$Q$21:$Q$50)</f>
        <v/>
      </c>
      <c r="R53" s="483">
        <f>SUMPRODUCT(($H$21:$H$50=R$15)*$N$21:$N$50)+SUMPRODUCT(($G$21:$G$50=R$15)*$Q$21:$Q$50)</f>
        <v/>
      </c>
      <c r="S53" s="483">
        <f>SUMPRODUCT(($H$21:$H$50=S$15)*$N$21:$N$50)+SUMPRODUCT(($G$21:$G$50=S$15)*$Q$21:$Q$50)</f>
        <v/>
      </c>
      <c r="T53" s="483">
        <f>SUMPRODUCT(($H$21:$H$50=T$15)*$N$21:$N$50)+SUMPRODUCT(($G$21:$G$50=T$15)*$Q$21:$Q$50)</f>
        <v/>
      </c>
      <c r="U53" s="483">
        <f>SUMPRODUCT(($H$21:$H$50=U$15)*$N$21:$N$50)+SUMPRODUCT(($G$21:$G$50=U$15)*$Q$21:$Q$50)</f>
        <v/>
      </c>
      <c r="V53" s="483">
        <f>SUMPRODUCT(($H$21:$H$50=V$15)*$N$21:$N$50)+SUMPRODUCT(($G$21:$G$50=V$15)*$Q$21:$Q$50)</f>
        <v/>
      </c>
      <c r="W53" s="483">
        <f>SUMPRODUCT(($H$21:$H$50=W$15)*$N$21:$N$50)+SUMPRODUCT(($G$21:$G$50=W$15)*$Q$21:$Q$50)</f>
        <v/>
      </c>
      <c r="X53" s="483">
        <f>SUMPRODUCT(($H$21:$H$50=X$15)*$N$21:$N$50)+SUMPRODUCT(($G$21:$G$50=X$15)*$Q$21:$Q$50)</f>
        <v/>
      </c>
      <c r="Y53" s="483">
        <f>SUMPRODUCT(($H$21:$H$50=Y$15)*$N$21:$N$50)+SUMPRODUCT(($G$21:$G$50=Y$15)*$Q$21:$Q$50)</f>
        <v/>
      </c>
      <c r="Z53" s="483">
        <f>SUMPRODUCT(($H$21:$H$50=Z$15)*$N$21:$N$50)+SUMPRODUCT(($G$21:$G$50=Z$15)*$Q$21:$Q$50)</f>
        <v/>
      </c>
      <c r="AA53" s="483">
        <f>SUMPRODUCT(($H$21:$H$50=AA$15)*$N$21:$N$50)+SUMPRODUCT(($G$21:$G$50=AA$15)*$Q$21:$Q$50)</f>
        <v/>
      </c>
      <c r="AB53" s="483">
        <f>SUMPRODUCT(($H$21:$H$50=AB$15)*$N$21:$N$50)+SUMPRODUCT(($G$21:$G$50=AB$15)*$Q$21:$Q$50)</f>
        <v/>
      </c>
      <c r="AC53" s="483">
        <f>SUMPRODUCT(($H$21:$H$50=AC$15)*$N$21:$N$50)+SUMPRODUCT(($G$21:$G$50=AC$15)*$Q$21:$Q$50)</f>
        <v/>
      </c>
      <c r="AD53" s="483">
        <f>SUMPRODUCT(($H$21:$H$50=AD$15)*$N$21:$N$50)+SUMPRODUCT(($G$21:$G$50=AD$15)*$Q$21:$Q$50)</f>
        <v/>
      </c>
      <c r="AE53" s="483">
        <f>SUMPRODUCT(($H$21:$H$50=AE$15)*$N$21:$N$50)+SUMPRODUCT(($G$21:$G$50=AE$15)*$Q$21:$Q$50)</f>
        <v/>
      </c>
      <c r="AF53" s="483">
        <f>SUMPRODUCT(($H$21:$H$50=AF$15)*$N$21:$N$50)+SUMPRODUCT(($G$21:$G$50=AF$15)*$Q$21:$Q$50)</f>
        <v/>
      </c>
      <c r="AG53" s="483">
        <f>SUMPRODUCT(($H$21:$H$50=AG$15)*$N$21:$N$50)+SUMPRODUCT(($G$21:$G$50=AG$15)*$Q$21:$Q$50)</f>
        <v/>
      </c>
      <c r="AH53" s="483">
        <f>SUMPRODUCT(($H$21:$H$50=AH$15)*$N$21:$N$50)+SUMPRODUCT(($G$21:$G$50=AH$15)*$Q$21:$Q$50)</f>
        <v/>
      </c>
      <c r="AI53" s="483">
        <f>SUMPRODUCT(($H$21:$H$50=AI$15)*$N$21:$N$50)+SUMPRODUCT(($G$21:$G$50=AI$15)*$Q$21:$Q$50)</f>
        <v/>
      </c>
      <c r="AJ53" s="483">
        <f>SUMPRODUCT(($H$21:$H$50=AJ$15)*$N$21:$N$50)+SUMPRODUCT(($G$21:$G$50=AJ$15)*$Q$21:$Q$50)</f>
        <v/>
      </c>
      <c r="AK53" s="483">
        <f>SUMPRODUCT(($H$21:$H$50=AK$15)*$N$21:$N$50)+SUMPRODUCT(($G$21:$G$50=AK$15)*$Q$21:$Q$50)</f>
        <v/>
      </c>
      <c r="AL53" s="483">
        <f>SUMPRODUCT(($H$21:$H$50=AL$15)*$N$21:$N$50)+SUMPRODUCT(($G$21:$G$50=AL$15)*$Q$21:$Q$50)</f>
        <v/>
      </c>
      <c r="AM53" s="483">
        <f>SUMPRODUCT(($H$21:$H$50=AM$15)*$N$21:$N$50)+SUMPRODUCT(($G$21:$G$50=AM$15)*$Q$21:$Q$50)</f>
        <v/>
      </c>
      <c r="AN53" s="483">
        <f>SUMPRODUCT(($H$21:$H$50=AN$15)*$N$21:$N$50)+SUMPRODUCT(($G$21:$G$50=AN$15)*$Q$21:$Q$50)</f>
        <v/>
      </c>
      <c r="AO53" s="483">
        <f>SUMPRODUCT(($H$21:$H$50=AO$15)*$N$21:$N$50)+SUMPRODUCT(($G$21:$G$50=AO$15)*$Q$21:$Q$50)</f>
        <v/>
      </c>
      <c r="AP53" s="483">
        <f>SUMPRODUCT(($H$21:$H$50=AP$15)*$N$21:$N$50)+SUMPRODUCT(($G$21:$G$50=AP$15)*$Q$21:$Q$50)</f>
        <v/>
      </c>
      <c r="AQ53" s="483">
        <f>SUMPRODUCT(($H$21:$H$50=AQ$15)*$N$21:$N$50)+SUMPRODUCT(($G$21:$G$50=AQ$15)*$Q$21:$Q$50)</f>
        <v/>
      </c>
      <c r="AR53" s="483">
        <f>SUMPRODUCT(($H$21:$H$50=AR$15)*$N$21:$N$50)+SUMPRODUCT(($G$21:$G$50=AR$15)*$Q$21:$Q$50)</f>
        <v/>
      </c>
      <c r="AS53" s="483">
        <f>SUMPRODUCT(($H$21:$H$50=AS$15)*$N$21:$N$50)+SUMPRODUCT(($G$21:$G$50=AS$15)*$Q$21:$Q$50)</f>
        <v/>
      </c>
      <c r="AT53" s="483">
        <f>SUMPRODUCT(($H$21:$H$50=AT$15)*$N$21:$N$50)+SUMPRODUCT(($G$21:$G$50=AT$15)*$Q$21:$Q$50)</f>
        <v/>
      </c>
      <c r="AU53" s="483">
        <f>SUMPRODUCT(($H$21:$H$50=AU$15)*$N$21:$N$50)+SUMPRODUCT(($G$21:$G$50=AU$15)*$Q$21:$Q$50)</f>
        <v/>
      </c>
      <c r="AV53" s="483">
        <f>SUMPRODUCT(($H$21:$H$50=AV$15)*$N$21:$N$50)+SUMPRODUCT(($G$21:$G$50=AV$15)*$Q$21:$Q$50)</f>
        <v/>
      </c>
      <c r="AW53" s="483">
        <f>SUMPRODUCT(($H$21:$H$50=AW$15)*$N$21:$N$50)+SUMPRODUCT(($G$21:$G$50=AW$15)*$Q$21:$Q$50)</f>
        <v/>
      </c>
      <c r="AX53" s="483">
        <f>SUMPRODUCT(($H$21:$H$50=AX$15)*$N$21:$N$50)+SUMPRODUCT(($G$21:$G$50=AX$15)*$Q$21:$Q$50)</f>
        <v/>
      </c>
      <c r="AY53" s="483">
        <f>SUMPRODUCT(($H$21:$H$50=AY$15)*$N$21:$N$50)+SUMPRODUCT(($G$21:$G$50=AY$15)*$Q$21:$Q$50)</f>
        <v/>
      </c>
      <c r="AZ53" s="483">
        <f>SUMPRODUCT(($H$21:$H$50=AZ$15)*$N$21:$N$50)+SUMPRODUCT(($G$21:$G$50=AZ$15)*$Q$21:$Q$50)</f>
        <v/>
      </c>
      <c r="BA53" s="483">
        <f>SUMPRODUCT(($H$21:$H$50=BA$15)*$N$21:$N$50)+SUMPRODUCT(($G$21:$G$50=BA$15)*$Q$21:$Q$50)</f>
        <v/>
      </c>
      <c r="BB53" s="483">
        <f>SUMPRODUCT(($H$21:$H$50=BB$15)*$N$21:$N$50)+SUMPRODUCT(($G$21:$G$50=BB$15)*$Q$21:$Q$50)</f>
        <v/>
      </c>
      <c r="BC53" s="483">
        <f>SUMPRODUCT(($H$21:$H$50=BC$15)*$N$21:$N$50)+SUMPRODUCT(($G$21:$G$50=BC$15)*$Q$21:$Q$50)</f>
        <v/>
      </c>
      <c r="BD53" s="483">
        <f>SUMPRODUCT(($H$21:$H$50=BD$15)*$N$21:$N$50)+SUMPRODUCT(($G$21:$G$50=BD$15)*$Q$21:$Q$50)</f>
        <v/>
      </c>
      <c r="BE53" s="483">
        <f>SUMPRODUCT(($H$21:$H$50=BE$15)*$N$21:$N$50)+SUMPRODUCT(($G$21:$G$50=BE$15)*$Q$21:$Q$50)</f>
        <v/>
      </c>
      <c r="BF53" s="483">
        <f>SUMPRODUCT(($H$21:$H$50=BF$15)*$N$21:$N$50)+SUMPRODUCT(($G$21:$G$50=BF$15)*$Q$21:$Q$50)</f>
        <v/>
      </c>
      <c r="BG53" s="483">
        <f>SUMPRODUCT(($H$21:$H$50=BG$15)*$N$21:$N$50)+SUMPRODUCT(($G$21:$G$50=BG$15)*$Q$21:$Q$50)</f>
        <v/>
      </c>
      <c r="BH53" s="483">
        <f>SUMPRODUCT(($H$21:$H$50=BH$15)*$N$21:$N$50)+SUMPRODUCT(($G$21:$G$50=BH$15)*$Q$21:$Q$50)</f>
        <v/>
      </c>
      <c r="BI53" s="483">
        <f>SUMPRODUCT(($H$21:$H$50=BI$15)*$N$21:$N$50)+SUMPRODUCT(($G$21:$G$50=BI$15)*$Q$21:$Q$50)</f>
        <v/>
      </c>
      <c r="BJ53" s="483">
        <f>SUMPRODUCT(($H$21:$H$50=BJ$15)*$N$21:$N$50)+SUMPRODUCT(($G$21:$G$50=BJ$15)*$Q$21:$Q$50)</f>
        <v/>
      </c>
      <c r="BK53" s="483">
        <f>SUMPRODUCT(($H$21:$H$50=BK$15)*$N$21:$N$50)+SUMPRODUCT(($G$21:$G$50=BK$15)*$Q$21:$Q$50)</f>
        <v/>
      </c>
      <c r="BL53" s="483">
        <f>SUMPRODUCT(($H$21:$H$50=BL$15)*$N$21:$N$50)+SUMPRODUCT(($G$21:$G$50=BL$15)*$Q$21:$Q$50)</f>
        <v/>
      </c>
      <c r="BM53" s="483">
        <f>SUMPRODUCT(($H$21:$H$50=BM$15)*$N$21:$N$50)+SUMPRODUCT(($G$21:$G$50=BM$15)*$Q$21:$Q$50)</f>
        <v/>
      </c>
      <c r="BN53" s="483">
        <f>SUMPRODUCT(($H$21:$H$50=BN$15)*$N$21:$N$50)+SUMPRODUCT(($G$21:$G$50=BN$15)*$Q$21:$Q$50)</f>
        <v/>
      </c>
      <c r="BO53" s="483">
        <f>SUMPRODUCT(($H$21:$H$50=BO$15)*$N$21:$N$50)+SUMPRODUCT(($G$21:$G$50=BO$15)*$Q$21:$Q$50)</f>
        <v/>
      </c>
      <c r="BP53" s="483">
        <f>SUMPRODUCT(($H$21:$H$50=BP$15)*$N$21:$N$50)+SUMPRODUCT(($G$21:$G$50=BP$15)*$Q$21:$Q$50)</f>
        <v/>
      </c>
      <c r="BQ53" s="483">
        <f>SUMPRODUCT(($H$21:$H$50=BQ$15)*$N$21:$N$50)+SUMPRODUCT(($G$21:$G$50=BQ$15)*$Q$21:$Q$50)</f>
        <v/>
      </c>
      <c r="BR53" s="483">
        <f>SUMPRODUCT(($H$21:$H$50=BR$15)*$N$21:$N$50)+SUMPRODUCT(($G$21:$G$50=BR$15)*$Q$21:$Q$50)</f>
        <v/>
      </c>
      <c r="BS53" s="483">
        <f>SUMPRODUCT(($H$21:$H$50=BS$15)*$N$21:$N$50)+SUMPRODUCT(($G$21:$G$50=BS$15)*$Q$21:$Q$50)</f>
        <v/>
      </c>
      <c r="BT53" s="483">
        <f>SUMPRODUCT(($H$21:$H$50=BT$15)*$N$21:$N$50)+SUMPRODUCT(($G$21:$G$50=BT$15)*$Q$21:$Q$50)</f>
        <v/>
      </c>
      <c r="BU53" s="483">
        <f>SUMPRODUCT(($H$21:$H$50=BU$15)*$N$21:$N$50)+SUMPRODUCT(($G$21:$G$50=BU$15)*$Q$21:$Q$50)</f>
        <v/>
      </c>
      <c r="BV53" s="483">
        <f>SUMPRODUCT(($H$21:$H$50=BV$15)*$N$21:$N$50)+SUMPRODUCT(($G$21:$G$50=BV$15)*$Q$21:$Q$50)</f>
        <v/>
      </c>
      <c r="BW53" s="483">
        <f>SUMPRODUCT(($H$21:$H$50=BW$15)*$N$21:$N$50)+SUMPRODUCT(($G$21:$G$50=BW$15)*$Q$21:$Q$50)</f>
        <v/>
      </c>
      <c r="BX53" s="483">
        <f>SUMPRODUCT(($H$21:$H$50=BX$15)*$N$21:$N$50)+SUMPRODUCT(($G$21:$G$50=BX$15)*$Q$21:$Q$50)</f>
        <v/>
      </c>
      <c r="BY53" s="483">
        <f>SUMPRODUCT(($H$21:$H$50=BY$15)*$N$21:$N$50)+SUMPRODUCT(($G$21:$G$50=BY$15)*$Q$21:$Q$50)</f>
        <v/>
      </c>
      <c r="BZ53" s="483">
        <f>SUMPRODUCT(($H$21:$H$50=BZ$15)*$N$21:$N$50)+SUMPRODUCT(($G$21:$G$50=BZ$15)*$Q$21:$Q$50)</f>
        <v/>
      </c>
      <c r="CA53" s="483">
        <f>SUMPRODUCT(($H$21:$H$50=CA$15)*$N$21:$N$50)+SUMPRODUCT(($G$21:$G$50=CA$15)*$Q$21:$Q$50)</f>
        <v/>
      </c>
      <c r="CB53" s="483">
        <f>SUMPRODUCT(($H$21:$H$50=CB$15)*$N$21:$N$50)+SUMPRODUCT(($G$21:$G$50=CB$15)*$Q$21:$Q$50)</f>
        <v/>
      </c>
      <c r="CC53" s="483">
        <f>SUMPRODUCT(($H$21:$H$50=CC$15)*$N$21:$N$50)+SUMPRODUCT(($G$21:$G$50=CC$15)*$Q$21:$Q$50)</f>
        <v/>
      </c>
      <c r="CD53" s="483">
        <f>SUMPRODUCT(($H$21:$H$50=CD$15)*$N$21:$N$50)+SUMPRODUCT(($G$21:$G$50=CD$15)*$Q$21:$Q$50)</f>
        <v/>
      </c>
      <c r="CE53" s="483">
        <f>SUMPRODUCT(($H$21:$H$50=CE$15)*$N$21:$N$50)+SUMPRODUCT(($G$21:$G$50=CE$15)*$Q$21:$Q$50)</f>
        <v/>
      </c>
      <c r="CF53" s="483">
        <f>SUMPRODUCT(($H$21:$H$50=CF$15)*$N$21:$N$50)+SUMPRODUCT(($G$21:$G$50=CF$15)*$Q$21:$Q$50)</f>
        <v/>
      </c>
      <c r="CG53" s="483">
        <f>SUMPRODUCT(($H$21:$H$50=CG$15)*$N$21:$N$50)+SUMPRODUCT(($G$21:$G$50=CG$15)*$Q$21:$Q$50)</f>
        <v/>
      </c>
      <c r="CH53" s="483">
        <f>SUMPRODUCT(($H$21:$H$50=CH$15)*$N$21:$N$50)+SUMPRODUCT(($G$21:$G$50=CH$15)*$Q$21:$Q$50)</f>
        <v/>
      </c>
      <c r="CI53" s="483">
        <f>SUMPRODUCT(($H$21:$H$50=CI$15)*$N$21:$N$50)+SUMPRODUCT(($G$21:$G$50=CI$15)*$Q$21:$Q$50)</f>
        <v/>
      </c>
      <c r="CJ53" s="483">
        <f>SUMPRODUCT(($H$21:$H$50=CJ$15)*$N$21:$N$50)+SUMPRODUCT(($G$21:$G$50=CJ$15)*$Q$21:$Q$50)</f>
        <v/>
      </c>
      <c r="CK53" s="483">
        <f>SUMPRODUCT(($H$21:$H$50=CK$15)*$N$21:$N$50)+SUMPRODUCT(($G$21:$G$50=CK$15)*$Q$21:$Q$50)</f>
        <v/>
      </c>
      <c r="CL53" s="483">
        <f>SUMPRODUCT(($H$21:$H$50=CL$15)*$N$21:$N$50)+SUMPRODUCT(($G$21:$G$50=CL$15)*$Q$21:$Q$50)</f>
        <v/>
      </c>
      <c r="CM53" s="483">
        <f>SUMPRODUCT(($H$21:$H$50=CM$15)*$N$21:$N$50)+SUMPRODUCT(($G$21:$G$50=CM$15)*$Q$21:$Q$50)</f>
        <v/>
      </c>
      <c r="CN53" s="483">
        <f>SUMPRODUCT(($H$21:$H$50=CN$15)*$N$21:$N$50)+SUMPRODUCT(($G$21:$G$50=CN$15)*$Q$21:$Q$50)</f>
        <v/>
      </c>
      <c r="CO53" s="483">
        <f>SUMPRODUCT(($H$21:$H$50=CO$15)*$N$21:$N$50)+SUMPRODUCT(($G$21:$G$50=CO$15)*$Q$21:$Q$50)</f>
        <v/>
      </c>
      <c r="CP53" s="483">
        <f>SUMPRODUCT(($H$21:$H$50=CP$15)*$N$21:$N$50)+SUMPRODUCT(($G$21:$G$50=CP$15)*$Q$21:$Q$50)</f>
        <v/>
      </c>
      <c r="CQ53" s="483">
        <f>SUMPRODUCT(($H$21:$H$50=CQ$15)*$N$21:$N$50)+SUMPRODUCT(($G$21:$G$50=CQ$15)*$Q$21:$Q$50)</f>
        <v/>
      </c>
      <c r="CR53" s="483">
        <f>SUMPRODUCT(($H$21:$H$50=CR$15)*$N$21:$N$50)+SUMPRODUCT(($G$21:$G$50=CR$15)*$Q$21:$Q$50)</f>
        <v/>
      </c>
      <c r="CS53" s="483">
        <f>SUMPRODUCT(($H$21:$H$50=CS$15)*$N$21:$N$50)+SUMPRODUCT(($G$21:$G$50=CS$15)*$Q$21:$Q$50)</f>
        <v/>
      </c>
      <c r="CT53" s="483">
        <f>SUMPRODUCT(($H$21:$H$50=CT$15)*$N$21:$N$50)+SUMPRODUCT(($G$21:$G$50=CT$15)*$Q$21:$Q$50)</f>
        <v/>
      </c>
      <c r="CU53" s="483">
        <f>SUMPRODUCT(($H$21:$H$50=CU$15)*$N$21:$N$50)+SUMPRODUCT(($G$21:$G$50=CU$15)*$Q$21:$Q$50)</f>
        <v/>
      </c>
      <c r="CV53" s="483">
        <f>SUMPRODUCT(($H$21:$H$50=CV$15)*$N$21:$N$50)+SUMPRODUCT(($G$21:$G$50=CV$15)*$Q$21:$Q$50)</f>
        <v/>
      </c>
      <c r="CW53" s="483">
        <f>SUMPRODUCT(($H$21:$H$50=CW$15)*$N$21:$N$50)+SUMPRODUCT(($G$21:$G$50=CW$15)*$Q$21:$Q$50)</f>
        <v/>
      </c>
      <c r="CX53" s="483">
        <f>SUMPRODUCT(($H$21:$H$50=CX$15)*$N$21:$N$50)+SUMPRODUCT(($G$21:$G$50=CX$15)*$Q$21:$Q$50)</f>
        <v/>
      </c>
      <c r="CY53" s="483">
        <f>SUMPRODUCT(($H$21:$H$50=CY$15)*$N$21:$N$50)+SUMPRODUCT(($G$21:$G$50=CY$15)*$Q$21:$Q$50)</f>
        <v/>
      </c>
      <c r="CZ53" s="483">
        <f>SUMPRODUCT(($H$21:$H$50=CZ$15)*$N$21:$N$50)+SUMPRODUCT(($G$21:$G$50=CZ$15)*$Q$21:$Q$50)</f>
        <v/>
      </c>
      <c r="DA53" s="483">
        <f>SUMPRODUCT(($H$21:$H$50=DA$15)*$N$21:$N$50)+SUMPRODUCT(($G$21:$G$50=DA$15)*$Q$21:$Q$50)</f>
        <v/>
      </c>
      <c r="DB53" s="483">
        <f>SUMPRODUCT(($H$21:$H$50=DB$15)*$N$21:$N$50)+SUMPRODUCT(($G$21:$G$50=DB$15)*$Q$21:$Q$50)</f>
        <v/>
      </c>
      <c r="DC53" s="483">
        <f>SUMPRODUCT(($H$21:$H$50=DC$15)*$N$21:$N$50)+SUMPRODUCT(($G$21:$G$50=DC$15)*$Q$21:$Q$50)</f>
        <v/>
      </c>
      <c r="DD53" s="483">
        <f>SUMPRODUCT(($H$21:$H$50=DD$15)*$N$21:$N$50)+SUMPRODUCT(($G$21:$G$50=DD$15)*$Q$21:$Q$50)</f>
        <v/>
      </c>
      <c r="DE53" s="483">
        <f>SUMPRODUCT(($H$21:$H$50=DE$15)*$N$21:$N$50)+SUMPRODUCT(($G$21:$G$50=DE$15)*$Q$21:$Q$50)</f>
        <v/>
      </c>
      <c r="DF53" s="483">
        <f>SUMPRODUCT(($H$21:$H$50=DF$15)*$N$21:$N$50)+SUMPRODUCT(($G$21:$G$50=DF$15)*$Q$21:$Q$50)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4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G44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O40" activeCellId="0" sqref="O40"/>
    </sheetView>
  </sheetViews>
  <sheetFormatPr baseColWidth="8" defaultColWidth="8.71875" defaultRowHeight="15" zeroHeight="0" outlineLevelRow="0"/>
  <cols>
    <col width="20" customWidth="1" style="380" min="1" max="1"/>
    <col width="22" customWidth="1" style="380" min="2" max="2"/>
    <col width="23" customWidth="1" style="380" min="3" max="3"/>
    <col width="17.57" customWidth="1" style="380" min="4" max="4"/>
    <col width="16.84" customWidth="1" style="380" min="5" max="5"/>
    <col width="21.84" customWidth="1" style="380" min="6" max="6"/>
    <col width="18.14" customWidth="1" style="380" min="7" max="7"/>
  </cols>
  <sheetData>
    <row r="1" ht="15" customFormat="1" customHeight="1" s="732">
      <c r="A1" s="733" t="inlineStr">
        <is>
          <t>Project</t>
        </is>
      </c>
      <c r="B1" s="733" t="inlineStr">
        <is>
          <t>Beginning Retention</t>
        </is>
      </c>
      <c r="C1" s="733" t="inlineStr">
        <is>
          <t>Forecast Fee Revenue</t>
        </is>
      </c>
      <c r="D1" s="733" t="inlineStr">
        <is>
          <t>Retention @ 5%</t>
        </is>
      </c>
      <c r="E1" s="733" t="inlineStr">
        <is>
          <t>Total Retention</t>
        </is>
      </c>
      <c r="F1" s="733" t="inlineStr">
        <is>
          <t>Completion Month #</t>
        </is>
      </c>
      <c r="G1" s="733" t="inlineStr">
        <is>
          <t>Completion Date</t>
        </is>
      </c>
    </row>
    <row r="2" ht="15" customFormat="1" customHeight="1" s="380">
      <c r="A2" s="550" t="inlineStr">
        <is>
          <t>Crenshaw</t>
        </is>
      </c>
      <c r="B2" s="551" t="n">
        <v>52965.93</v>
      </c>
      <c r="C2" s="551" t="n">
        <v>484492.55</v>
      </c>
      <c r="D2" s="734">
        <f>C2*0.05</f>
        <v/>
      </c>
      <c r="E2" s="734">
        <f>B2+D2</f>
        <v/>
      </c>
      <c r="F2" s="735">
        <f>Projects!$C$2+Projects!$D$2-1</f>
        <v/>
      </c>
      <c r="G2" s="736">
        <f>EDATE(DATE(2026,4,1),F2-1)</f>
        <v/>
      </c>
    </row>
    <row r="3" ht="15" customFormat="1" customHeight="1" s="380">
      <c r="A3" s="550" t="inlineStr">
        <is>
          <t>Ramsgate</t>
        </is>
      </c>
      <c r="B3" s="551" t="n">
        <v>56550.1</v>
      </c>
      <c r="C3" s="551" t="n">
        <v>1618053.66</v>
      </c>
      <c r="D3" s="734">
        <f>C3*0.05</f>
        <v/>
      </c>
      <c r="E3" s="734">
        <f>B3+D3</f>
        <v/>
      </c>
      <c r="F3" s="735" t="n">
        <v>18</v>
      </c>
      <c r="G3" s="736">
        <f>EDATE(DATE(2026,4,1),F3-1)</f>
        <v/>
      </c>
    </row>
    <row r="4" ht="15" customFormat="1" customHeight="1" s="380">
      <c r="A4" s="550" t="inlineStr">
        <is>
          <t>Califa</t>
        </is>
      </c>
      <c r="B4" s="551" t="n">
        <v>28618.65</v>
      </c>
      <c r="C4" s="551" t="n">
        <v>1427191.97</v>
      </c>
      <c r="D4" s="734">
        <f>C4*0.05</f>
        <v/>
      </c>
      <c r="E4" s="734">
        <f>B4+D4</f>
        <v/>
      </c>
      <c r="F4" s="735" t="n">
        <v>17</v>
      </c>
      <c r="G4" s="736">
        <f>EDATE(DATE(2026,4,1),F4-1)</f>
        <v/>
      </c>
    </row>
    <row r="5" ht="15" customFormat="1" customHeight="1" s="380">
      <c r="A5" s="550" t="inlineStr">
        <is>
          <t>Whipple</t>
        </is>
      </c>
      <c r="B5" s="551" t="n">
        <v>28203</v>
      </c>
      <c r="C5" s="551" t="n">
        <v>1760934.2</v>
      </c>
      <c r="D5" s="734">
        <f>C5*0.05</f>
        <v/>
      </c>
      <c r="E5" s="734">
        <f>B5+D5</f>
        <v/>
      </c>
      <c r="F5" s="735" t="n">
        <v>19</v>
      </c>
      <c r="G5" s="736">
        <f>EDATE(DATE(2026,4,1),F5-1)</f>
        <v/>
      </c>
    </row>
    <row r="6" ht="15" customFormat="1" customHeight="1" s="380">
      <c r="A6" s="550" t="inlineStr">
        <is>
          <t>Nelrose</t>
        </is>
      </c>
      <c r="B6" s="551" t="n">
        <v>10538.39</v>
      </c>
      <c r="C6" s="551" t="n">
        <v>391271.27</v>
      </c>
      <c r="D6" s="734">
        <f>C6*0.05</f>
        <v/>
      </c>
      <c r="E6" s="734">
        <f>B6+D6</f>
        <v/>
      </c>
      <c r="F6" s="735" t="n">
        <v>15</v>
      </c>
      <c r="G6" s="736">
        <f>EDATE(DATE(2026,4,1),F6-1)</f>
        <v/>
      </c>
    </row>
    <row r="7" ht="15" customFormat="1" customHeight="1" s="380">
      <c r="A7" s="550" t="inlineStr">
        <is>
          <t>Francis</t>
        </is>
      </c>
      <c r="B7" s="551" t="n">
        <v>0</v>
      </c>
      <c r="C7" s="734">
        <f>IF(Projects!$G$7="Yes",Projects!$B$7*(Assumptions!$B$10+Assumptions!$B$11+Assumptions!$B$12),0)</f>
        <v/>
      </c>
      <c r="D7" s="734">
        <f>C7*0.05</f>
        <v/>
      </c>
      <c r="E7" s="734">
        <f>B7+D7</f>
        <v/>
      </c>
      <c r="F7" s="735" t="n">
        <v>36</v>
      </c>
      <c r="G7" s="736">
        <f>EDATE(DATE(2026,4,1),F7-1)</f>
        <v/>
      </c>
    </row>
    <row r="8" ht="15" customFormat="1" customHeight="1" s="380">
      <c r="A8" s="550" t="inlineStr">
        <is>
          <t>Lexington</t>
        </is>
      </c>
      <c r="B8" s="551" t="n">
        <v>0</v>
      </c>
      <c r="C8" s="734">
        <f>IF(Projects!$G$8="Yes",Projects!$B$8*(Assumptions!$B$10+Assumptions!$B$11+Assumptions!$B$12),0)</f>
        <v/>
      </c>
      <c r="D8" s="734">
        <f>C8*0.05</f>
        <v/>
      </c>
      <c r="E8" s="734">
        <f>B8+D8</f>
        <v/>
      </c>
      <c r="F8" s="735">
        <f>Projects!$C$8+Projects!$D$8-1</f>
        <v/>
      </c>
      <c r="G8" s="736">
        <f>EDATE(DATE(2026,4,1),F8-1)</f>
        <v/>
      </c>
    </row>
    <row r="9" ht="15" customFormat="1" customHeight="1" s="380">
      <c r="A9" s="550" t="inlineStr">
        <is>
          <t>Denny</t>
        </is>
      </c>
      <c r="B9" s="551" t="n">
        <v>0</v>
      </c>
      <c r="C9" s="734">
        <f>IF(Projects!$G$9="Yes",Projects!$B$9*(Assumptions!$B$10+Assumptions!$B$11+Assumptions!$B$12),0)</f>
        <v/>
      </c>
      <c r="D9" s="734">
        <f>C9*0.05</f>
        <v/>
      </c>
      <c r="E9" s="734">
        <f>B9+D9</f>
        <v/>
      </c>
      <c r="F9" s="735">
        <f>Projects!$C$9+Projects!$D$9-1</f>
        <v/>
      </c>
      <c r="G9" s="736">
        <f>EDATE(DATE(2026,4,1),F9-1)</f>
        <v/>
      </c>
    </row>
    <row r="10" ht="15" customFormat="1" customHeight="1" s="380">
      <c r="A10" s="550" t="inlineStr">
        <is>
          <t>Acama</t>
        </is>
      </c>
      <c r="B10" s="551" t="n">
        <v>0</v>
      </c>
      <c r="C10" s="734">
        <f>IF(Projects!$G$10="Yes",Projects!$B$10*(Assumptions!$B$10+Assumptions!$B$11+Assumptions!$B$12),0)</f>
        <v/>
      </c>
      <c r="D10" s="734">
        <f>C10*0.05</f>
        <v/>
      </c>
      <c r="E10" s="734">
        <f>B10+D10</f>
        <v/>
      </c>
      <c r="F10" s="735">
        <f>Projects!$C$10+Projects!$D$10-1</f>
        <v/>
      </c>
      <c r="G10" s="736">
        <f>EDATE(DATE(2026,4,1),F10-1)</f>
        <v/>
      </c>
    </row>
    <row r="11" ht="15" customFormat="1" customHeight="1" s="380">
      <c r="A11" s="550" t="inlineStr">
        <is>
          <t>Klump</t>
        </is>
      </c>
      <c r="B11" s="551" t="n">
        <v>0</v>
      </c>
      <c r="C11" s="734">
        <f>IF(Projects!$G$11="Yes",Projects!$B$11*(Assumptions!$B$10+Assumptions!$B$11+Assumptions!$B$12),0)</f>
        <v/>
      </c>
      <c r="D11" s="734">
        <f>C11*0.05</f>
        <v/>
      </c>
      <c r="E11" s="734">
        <f>B11+D11</f>
        <v/>
      </c>
      <c r="F11" s="735">
        <f>Projects!$C$11+Projects!$D$11-1</f>
        <v/>
      </c>
      <c r="G11" s="736">
        <f>EDATE(DATE(2026,4,1),F11-1)</f>
        <v/>
      </c>
    </row>
    <row r="12" ht="15" customFormat="1" customHeight="1" s="380">
      <c r="A12" s="550" t="inlineStr">
        <is>
          <t>Scott</t>
        </is>
      </c>
      <c r="B12" s="551" t="n">
        <v>0</v>
      </c>
      <c r="C12" s="734">
        <f>IF(Projects!$G$12="Yes",Projects!$B$12*(Assumptions!$B$10+Assumptions!$B$11+Assumptions!$B$12),0)</f>
        <v/>
      </c>
      <c r="D12" s="734">
        <f>C12*0.05</f>
        <v/>
      </c>
      <c r="E12" s="734">
        <f>B12+D12</f>
        <v/>
      </c>
      <c r="F12" s="735">
        <f>Projects!$C$12+Projects!$D$12-1</f>
        <v/>
      </c>
      <c r="G12" s="736">
        <f>EDATE(DATE(2026,4,1),F12-1)</f>
        <v/>
      </c>
    </row>
    <row r="13" ht="15" customFormat="1" customHeight="1" s="380">
      <c r="A13" s="550" t="inlineStr">
        <is>
          <t>Reseda</t>
        </is>
      </c>
      <c r="B13" s="551" t="n">
        <v>0</v>
      </c>
      <c r="C13" s="734">
        <f>IF(Projects!$G$13="Yes",Projects!$B$13*(Assumptions!$B$10+Assumptions!$B$11+Assumptions!$B$12),0)</f>
        <v/>
      </c>
      <c r="D13" s="734">
        <f>C13*0.05</f>
        <v/>
      </c>
      <c r="E13" s="734">
        <f>B13+D13</f>
        <v/>
      </c>
      <c r="F13" s="735">
        <f>Projects!$C$13+Projects!$D$13-1</f>
        <v/>
      </c>
      <c r="G13" s="736">
        <f>EDATE(DATE(2026,4,1),F13-1)</f>
        <v/>
      </c>
    </row>
    <row r="14" ht="15" customFormat="1" customHeight="1" s="380">
      <c r="A14" s="550" t="inlineStr">
        <is>
          <t>3rd St</t>
        </is>
      </c>
      <c r="B14" s="551" t="n">
        <v>0</v>
      </c>
      <c r="C14" s="734">
        <f>IF(Projects!$G$14="Yes",Projects!$B$14*(Assumptions!$B$10+Assumptions!$B$11+Assumptions!$B$12),0)</f>
        <v/>
      </c>
      <c r="D14" s="734">
        <f>C14*0.05</f>
        <v/>
      </c>
      <c r="E14" s="734">
        <f>B14+D14</f>
        <v/>
      </c>
      <c r="F14" s="735">
        <f>Projects!$C$14+Projects!$D$14-1</f>
        <v/>
      </c>
      <c r="G14" s="736">
        <f>EDATE(DATE(2026,4,1),F14-1)</f>
        <v/>
      </c>
    </row>
    <row r="15" ht="15" customFormat="1" customHeight="1" s="380">
      <c r="A15" s="550" t="inlineStr">
        <is>
          <t>BD-01</t>
        </is>
      </c>
      <c r="B15" s="551" t="n">
        <v>0</v>
      </c>
      <c r="C15" s="734">
        <f>IF(Projects!$G$17="Yes",Projects!$B$17*(Assumptions!$B$10+Assumptions!$B$11+Assumptions!$B$12),0)</f>
        <v/>
      </c>
      <c r="D15" s="734">
        <f>C15*0.05</f>
        <v/>
      </c>
      <c r="E15" s="734">
        <f>B15+D15</f>
        <v/>
      </c>
      <c r="F15" s="735">
        <f>Projects!$C$17+Projects!$D$17-1</f>
        <v/>
      </c>
      <c r="G15" s="736">
        <f>EDATE(DATE(2026,4,1),F15-1)</f>
        <v/>
      </c>
    </row>
    <row r="16" ht="15" customFormat="1" customHeight="1" s="380">
      <c r="A16" s="550" t="inlineStr">
        <is>
          <t>BD-02</t>
        </is>
      </c>
      <c r="B16" s="551" t="n">
        <v>0</v>
      </c>
      <c r="C16" s="734">
        <f>IF(Projects!$G$18="Yes",Projects!$B$18*(Assumptions!$B$10+Assumptions!$B$11+Assumptions!$B$12),0)</f>
        <v/>
      </c>
      <c r="D16" s="734">
        <f>C16*0.05</f>
        <v/>
      </c>
      <c r="E16" s="734">
        <f>B16+D16</f>
        <v/>
      </c>
      <c r="F16" s="735">
        <f>Projects!$C$18+Projects!$D$18-1</f>
        <v/>
      </c>
      <c r="G16" s="736">
        <f>EDATE(DATE(2026,4,1),F16-1)</f>
        <v/>
      </c>
    </row>
    <row r="17" ht="15" customFormat="1" customHeight="1" s="380">
      <c r="A17" s="550" t="inlineStr">
        <is>
          <t>BD-03</t>
        </is>
      </c>
      <c r="B17" s="551" t="n">
        <v>0</v>
      </c>
      <c r="C17" s="734">
        <f>IF(Projects!$G$19="Yes",Projects!$B$19*(Assumptions!$B$10+Assumptions!$B$11+Assumptions!$B$12),0)</f>
        <v/>
      </c>
      <c r="D17" s="734">
        <f>C17*0.05</f>
        <v/>
      </c>
      <c r="E17" s="734">
        <f>B17+D17</f>
        <v/>
      </c>
      <c r="F17" s="735">
        <f>Projects!$C$19+Projects!$D$19-1</f>
        <v/>
      </c>
      <c r="G17" s="736">
        <f>EDATE(DATE(2026,4,1),F17-1)</f>
        <v/>
      </c>
    </row>
    <row r="18" ht="15" customFormat="1" customHeight="1" s="380">
      <c r="A18" s="550" t="inlineStr">
        <is>
          <t>Beverly (BD-04)</t>
        </is>
      </c>
      <c r="B18" s="551" t="n">
        <v>0</v>
      </c>
      <c r="C18" s="734">
        <f>IF(Projects!$G$20="Yes",Projects!$B$20*(Assumptions!$B$10+Assumptions!$B$11+Assumptions!$B$12),0)</f>
        <v/>
      </c>
      <c r="D18" s="734">
        <f>C18*0.05</f>
        <v/>
      </c>
      <c r="E18" s="734">
        <f>B18+D18</f>
        <v/>
      </c>
      <c r="F18" s="735">
        <f>Projects!$C$20+Projects!$D$20-1</f>
        <v/>
      </c>
      <c r="G18" s="736">
        <f>EDATE(DATE(2026,4,1),F18-1)</f>
        <v/>
      </c>
    </row>
    <row r="19" ht="15" customFormat="1" customHeight="1" s="380">
      <c r="A19" s="550" t="inlineStr">
        <is>
          <t>Troost</t>
        </is>
      </c>
      <c r="B19" s="551" t="n">
        <v>0</v>
      </c>
      <c r="C19" s="734">
        <f>IF(Projects!$G$21="Yes",Projects!$B$21*(Assumptions!$B$10+Assumptions!$B$11+Assumptions!$B$12),0)</f>
        <v/>
      </c>
      <c r="D19" s="734">
        <f>C19*0.05</f>
        <v/>
      </c>
      <c r="E19" s="734">
        <f>B19+D19</f>
        <v/>
      </c>
      <c r="F19" s="735">
        <f>Projects!$C$21+Projects!$D$21-1</f>
        <v/>
      </c>
      <c r="G19" s="736">
        <f>EDATE(DATE(2026,4,1),F19-1)</f>
        <v/>
      </c>
    </row>
    <row r="20" ht="15" customFormat="1" customHeight="1" s="380">
      <c r="A20" s="550" t="inlineStr">
        <is>
          <t>BD-06</t>
        </is>
      </c>
      <c r="B20" s="551" t="n">
        <v>0</v>
      </c>
      <c r="C20" s="734">
        <f>IF(Projects!$G$22="Yes",Projects!$B$22*(Assumptions!$B$10+Assumptions!$B$11+Assumptions!$B$12),0)</f>
        <v/>
      </c>
      <c r="D20" s="734">
        <f>C20*0.05</f>
        <v/>
      </c>
      <c r="E20" s="734">
        <f>B20+D20</f>
        <v/>
      </c>
      <c r="F20" s="735">
        <f>Projects!$C$22+Projects!$D$22-1</f>
        <v/>
      </c>
      <c r="G20" s="736">
        <f>EDATE(DATE(2026,4,1),F20-1)</f>
        <v/>
      </c>
    </row>
    <row r="21" ht="15" customFormat="1" customHeight="1" s="380">
      <c r="A21" s="550" t="inlineStr">
        <is>
          <t>BD-07</t>
        </is>
      </c>
      <c r="B21" s="551" t="n">
        <v>0</v>
      </c>
      <c r="C21" s="734">
        <f>IF(Projects!$G$23="Yes",Projects!$B$23*(Assumptions!$B$10+Assumptions!$B$11+Assumptions!$B$12),0)</f>
        <v/>
      </c>
      <c r="D21" s="734">
        <f>C21*0.05</f>
        <v/>
      </c>
      <c r="E21" s="734">
        <f>B21+D21</f>
        <v/>
      </c>
      <c r="F21" s="735">
        <f>Projects!$C$23+Projects!$D$23-1</f>
        <v/>
      </c>
      <c r="G21" s="736">
        <f>EDATE(DATE(2026,4,1),F21-1)</f>
        <v/>
      </c>
    </row>
    <row r="22" ht="15" customFormat="1" customHeight="1" s="380">
      <c r="A22" s="550" t="inlineStr">
        <is>
          <t>BD-08</t>
        </is>
      </c>
      <c r="B22" s="551" t="n">
        <v>0</v>
      </c>
      <c r="C22" s="734">
        <f>IF(Projects!$G$24="Yes",Projects!$B$24*(Assumptions!$B$10+Assumptions!$B$11+Assumptions!$B$12),0)</f>
        <v/>
      </c>
      <c r="D22" s="734">
        <f>C22*0.05</f>
        <v/>
      </c>
      <c r="E22" s="734">
        <f>B22+D22</f>
        <v/>
      </c>
      <c r="F22" s="735">
        <f>Projects!$C$24+Projects!$D$24-1</f>
        <v/>
      </c>
      <c r="G22" s="736">
        <f>EDATE(DATE(2026,4,1),F22-1)</f>
        <v/>
      </c>
    </row>
    <row r="23" ht="15" customFormat="1" customHeight="1" s="380">
      <c r="A23" s="550" t="inlineStr">
        <is>
          <t>BD-09</t>
        </is>
      </c>
      <c r="B23" s="551" t="n">
        <v>0</v>
      </c>
      <c r="C23" s="734">
        <f>IF(Projects!$G$25="Yes",Projects!$B$25*(Assumptions!$B$10+Assumptions!$B$11+Assumptions!$B$12),0)</f>
        <v/>
      </c>
      <c r="D23" s="734">
        <f>C23*0.05</f>
        <v/>
      </c>
      <c r="E23" s="734">
        <f>B23+D23</f>
        <v/>
      </c>
      <c r="F23" s="735">
        <f>Projects!$C$25+Projects!$D$25-1</f>
        <v/>
      </c>
      <c r="G23" s="736">
        <f>EDATE(DATE(2026,4,1),F23-1)</f>
        <v/>
      </c>
    </row>
    <row r="24" ht="15" customFormat="1" customHeight="1" s="380">
      <c r="A24" s="550" t="inlineStr">
        <is>
          <t>BD-10</t>
        </is>
      </c>
      <c r="B24" s="551" t="n">
        <v>0</v>
      </c>
      <c r="C24" s="734">
        <f>IF(Projects!$G$26="Yes",Projects!$B$26*(Assumptions!$B$10+Assumptions!$B$11+Assumptions!$B$12),0)</f>
        <v/>
      </c>
      <c r="D24" s="734">
        <f>C24*0.05</f>
        <v/>
      </c>
      <c r="E24" s="734">
        <f>B24+D24</f>
        <v/>
      </c>
      <c r="F24" s="735">
        <f>Projects!$C$26+Projects!$D$26-1</f>
        <v/>
      </c>
      <c r="G24" s="736">
        <f>EDATE(DATE(2026,4,1),F24-1)</f>
        <v/>
      </c>
    </row>
    <row r="25" ht="15" customFormat="1" customHeight="1" s="380">
      <c r="A25" s="550" t="inlineStr">
        <is>
          <t>BD-11</t>
        </is>
      </c>
      <c r="B25" s="551" t="n">
        <v>0</v>
      </c>
      <c r="C25" s="734">
        <f>IF(Projects!$G$27="Yes",Projects!$B$27*(Assumptions!$B$10+Assumptions!$B$11+Assumptions!$B$12),0)</f>
        <v/>
      </c>
      <c r="D25" s="734">
        <f>C25*0.05</f>
        <v/>
      </c>
      <c r="E25" s="734">
        <f>B25+D25</f>
        <v/>
      </c>
      <c r="F25" s="735">
        <f>Projects!$C$27+Projects!$D$27-1</f>
        <v/>
      </c>
      <c r="G25" s="736">
        <f>EDATE(DATE(2026,4,1),F25-1)</f>
        <v/>
      </c>
    </row>
    <row r="26" ht="15" customFormat="1" customHeight="1" s="380">
      <c r="A26" s="550" t="inlineStr">
        <is>
          <t>BD-12</t>
        </is>
      </c>
      <c r="B26" s="551" t="n">
        <v>0</v>
      </c>
      <c r="C26" s="734">
        <f>IF(Projects!$G$28="Yes",Projects!$B$28*(Assumptions!$B$10+Assumptions!$B$11+Assumptions!$B$12),0)</f>
        <v/>
      </c>
      <c r="D26" s="734">
        <f>C26*0.05</f>
        <v/>
      </c>
      <c r="E26" s="734">
        <f>B26+D26</f>
        <v/>
      </c>
      <c r="F26" s="735">
        <f>Projects!$C$28+Projects!$D$28-1</f>
        <v/>
      </c>
      <c r="G26" s="736">
        <f>EDATE(DATE(2026,4,1),F26-1)</f>
        <v/>
      </c>
    </row>
    <row r="27" ht="15" customFormat="1" customHeight="1" s="380">
      <c r="A27" s="550" t="inlineStr">
        <is>
          <t>BD-13</t>
        </is>
      </c>
      <c r="B27" s="551" t="n">
        <v>0</v>
      </c>
      <c r="C27" s="734">
        <f>IF(Projects!$G$29="Yes",Projects!$B$29*(Assumptions!$B$10+Assumptions!$B$11+Assumptions!$B$12),0)</f>
        <v/>
      </c>
      <c r="D27" s="734">
        <f>C27*0.05</f>
        <v/>
      </c>
      <c r="E27" s="734">
        <f>B27+D27</f>
        <v/>
      </c>
      <c r="F27" s="735">
        <f>Projects!$C$29+Projects!$D$29-1</f>
        <v/>
      </c>
      <c r="G27" s="736">
        <f>EDATE(DATE(2026,4,1),F27-1)</f>
        <v/>
      </c>
    </row>
    <row r="28" ht="15" customFormat="1" customHeight="1" s="380">
      <c r="A28" s="550" t="inlineStr">
        <is>
          <t>BD-14</t>
        </is>
      </c>
      <c r="B28" s="551" t="n">
        <v>0</v>
      </c>
      <c r="C28" s="734">
        <f>IF(Projects!$G$30="Yes",Projects!$B$30*(Assumptions!$B$10+Assumptions!$B$11+Assumptions!$B$12),0)</f>
        <v/>
      </c>
      <c r="D28" s="734">
        <f>C28*0.05</f>
        <v/>
      </c>
      <c r="E28" s="734">
        <f>B28+D28</f>
        <v/>
      </c>
      <c r="F28" s="735">
        <f>Projects!$C$30+Projects!$D$30-1</f>
        <v/>
      </c>
      <c r="G28" s="736">
        <f>EDATE(DATE(2026,4,1),F28-1)</f>
        <v/>
      </c>
    </row>
    <row r="29" ht="15" customFormat="1" customHeight="1" s="380">
      <c r="A29" s="550" t="inlineStr">
        <is>
          <t>BD-15</t>
        </is>
      </c>
      <c r="B29" s="551" t="n">
        <v>0</v>
      </c>
      <c r="C29" s="734">
        <f>IF(Projects!$G$31="Yes",Projects!$B$31*(Assumptions!$B$10+Assumptions!$B$11+Assumptions!$B$12),0)</f>
        <v/>
      </c>
      <c r="D29" s="734">
        <f>C29*0.05</f>
        <v/>
      </c>
      <c r="E29" s="734">
        <f>B29+D29</f>
        <v/>
      </c>
      <c r="F29" s="735">
        <f>Projects!$C$31+Projects!$D$31-1</f>
        <v/>
      </c>
      <c r="G29" s="736">
        <f>EDATE(DATE(2026,4,1),F29-1)</f>
        <v/>
      </c>
    </row>
    <row r="30" ht="15" customFormat="1" customHeight="1" s="380">
      <c r="A30" s="550" t="inlineStr">
        <is>
          <t>BD-16</t>
        </is>
      </c>
      <c r="B30" s="551" t="n">
        <v>0</v>
      </c>
      <c r="C30" s="734">
        <f>IF(Projects!$G$32="Yes",Projects!$B$32*(Assumptions!$B$10+Assumptions!$B$11+Assumptions!$B$12),0)</f>
        <v/>
      </c>
      <c r="D30" s="734">
        <f>C30*0.05</f>
        <v/>
      </c>
      <c r="E30" s="734">
        <f>B30+D30</f>
        <v/>
      </c>
      <c r="F30" s="735">
        <f>Projects!$C$32+Projects!$D$32-1</f>
        <v/>
      </c>
      <c r="G30" s="736">
        <f>EDATE(DATE(2026,4,1),F30-1)</f>
        <v/>
      </c>
    </row>
    <row r="31" ht="15" customFormat="1" customHeight="1" s="380">
      <c r="A31" s="550" t="inlineStr">
        <is>
          <t>BD-17</t>
        </is>
      </c>
      <c r="B31" s="551" t="n">
        <v>0</v>
      </c>
      <c r="C31" s="734">
        <f>IF(Projects!$G$33="Yes",Projects!$B$33*(Assumptions!$B$10+Assumptions!$B$11+Assumptions!$B$12),0)</f>
        <v/>
      </c>
      <c r="D31" s="734">
        <f>C31*0.05</f>
        <v/>
      </c>
      <c r="E31" s="734">
        <f>B31+D31</f>
        <v/>
      </c>
      <c r="F31" s="735">
        <f>Projects!$C$33+Projects!$D$33-1</f>
        <v/>
      </c>
      <c r="G31" s="736">
        <f>EDATE(DATE(2026,4,1),F31-1)</f>
        <v/>
      </c>
    </row>
    <row r="32" ht="15" customFormat="1" customHeight="1" s="380">
      <c r="A32" s="550" t="inlineStr">
        <is>
          <t>BD-18</t>
        </is>
      </c>
      <c r="B32" s="551" t="n">
        <v>0</v>
      </c>
      <c r="C32" s="734">
        <f>IF(Projects!$G$34="Yes",Projects!$B$34*(Assumptions!$B$10+Assumptions!$B$11+Assumptions!$B$12),0)</f>
        <v/>
      </c>
      <c r="D32" s="734">
        <f>C32*0.05</f>
        <v/>
      </c>
      <c r="E32" s="734">
        <f>B32+D32</f>
        <v/>
      </c>
      <c r="F32" s="735">
        <f>Projects!$C$34+Projects!$D$34-1</f>
        <v/>
      </c>
      <c r="G32" s="736">
        <f>EDATE(DATE(2026,4,1),F32-1)</f>
        <v/>
      </c>
    </row>
    <row r="33" ht="15" customFormat="1" customHeight="1" s="380">
      <c r="A33" s="550" t="inlineStr">
        <is>
          <t>BD-19</t>
        </is>
      </c>
      <c r="B33" s="551" t="n">
        <v>0</v>
      </c>
      <c r="C33" s="734">
        <f>IF(Projects!$G$35="Yes",Projects!$B$35*(Assumptions!$B$10+Assumptions!$B$11+Assumptions!$B$12),0)</f>
        <v/>
      </c>
      <c r="D33" s="734">
        <f>C33*0.05</f>
        <v/>
      </c>
      <c r="E33" s="734">
        <f>B33+D33</f>
        <v/>
      </c>
      <c r="F33" s="735">
        <f>Projects!$C$35+Projects!$D$35-1</f>
        <v/>
      </c>
      <c r="G33" s="736">
        <f>EDATE(DATE(2026,4,1),F33-1)</f>
        <v/>
      </c>
    </row>
    <row r="34" ht="15" customFormat="1" customHeight="1" s="380">
      <c r="A34" s="550" t="inlineStr">
        <is>
          <t>BD-20</t>
        </is>
      </c>
      <c r="B34" s="551" t="n">
        <v>0</v>
      </c>
      <c r="C34" s="734">
        <f>IF(Projects!$G$36="Yes",Projects!$B$36*(Assumptions!$B$10+Assumptions!$B$11+Assumptions!$B$12),0)</f>
        <v/>
      </c>
      <c r="D34" s="734">
        <f>C34*0.05</f>
        <v/>
      </c>
      <c r="E34" s="734">
        <f>B34+D34</f>
        <v/>
      </c>
      <c r="F34" s="735">
        <f>Projects!$C$36+Projects!$D$36-1</f>
        <v/>
      </c>
      <c r="G34" s="736">
        <f>EDATE(DATE(2026,4,1),F34-1)</f>
        <v/>
      </c>
    </row>
    <row r="35" ht="15" customFormat="1" customHeight="1" s="380">
      <c r="A35" s="550" t="inlineStr">
        <is>
          <t>BD-21</t>
        </is>
      </c>
      <c r="B35" s="551" t="n">
        <v>0</v>
      </c>
      <c r="C35" s="734">
        <f>IF(Projects!$G$37="Yes",Projects!$B$37*(Assumptions!$B$10+Assumptions!$B$11+Assumptions!$B$12),0)</f>
        <v/>
      </c>
      <c r="D35" s="734">
        <f>C35*0.05</f>
        <v/>
      </c>
      <c r="E35" s="734">
        <f>B35+D35</f>
        <v/>
      </c>
      <c r="F35" s="735">
        <f>Projects!$C$37+Projects!$D$37-1</f>
        <v/>
      </c>
      <c r="G35" s="736">
        <f>EDATE(DATE(2026,4,1),F35-1)</f>
        <v/>
      </c>
    </row>
    <row r="36" ht="15" customFormat="1" customHeight="1" s="380">
      <c r="A36" s="550" t="inlineStr">
        <is>
          <t>BD-22</t>
        </is>
      </c>
      <c r="B36" s="551" t="n">
        <v>0</v>
      </c>
      <c r="C36" s="734">
        <f>IF(Projects!$G$38="Yes",Projects!$B$38*(Assumptions!$B$10+Assumptions!$B$11+Assumptions!$B$12),0)</f>
        <v/>
      </c>
      <c r="D36" s="734">
        <f>C36*0.05</f>
        <v/>
      </c>
      <c r="E36" s="734">
        <f>B36+D36</f>
        <v/>
      </c>
      <c r="F36" s="735">
        <f>Projects!$C$38+Projects!$D$38-1</f>
        <v/>
      </c>
      <c r="G36" s="736">
        <f>EDATE(DATE(2026,4,1),F36-1)</f>
        <v/>
      </c>
    </row>
    <row r="37" ht="15" customFormat="1" customHeight="1" s="380">
      <c r="A37" s="550" t="inlineStr">
        <is>
          <t>BD-23</t>
        </is>
      </c>
      <c r="B37" s="551" t="n">
        <v>0</v>
      </c>
      <c r="C37" s="734">
        <f>IF(Projects!$G$39="Yes",Projects!$B$39*(Assumptions!$B$10+Assumptions!$B$11+Assumptions!$B$12),0)</f>
        <v/>
      </c>
      <c r="D37" s="734">
        <f>C37*0.05</f>
        <v/>
      </c>
      <c r="E37" s="734">
        <f>B37+D37</f>
        <v/>
      </c>
      <c r="F37" s="735">
        <f>Projects!$C$39+Projects!$D$39-1</f>
        <v/>
      </c>
      <c r="G37" s="736">
        <f>EDATE(DATE(2026,4,1),F37-1)</f>
        <v/>
      </c>
    </row>
    <row r="38" ht="15" customFormat="1" customHeight="1" s="380">
      <c r="A38" s="550" t="inlineStr">
        <is>
          <t>BD-24</t>
        </is>
      </c>
      <c r="B38" s="551" t="n">
        <v>0</v>
      </c>
      <c r="C38" s="734">
        <f>IF(Projects!$G$40="Yes",Projects!$B$40*(Assumptions!$B$10+Assumptions!$B$11+Assumptions!$B$12),0)</f>
        <v/>
      </c>
      <c r="D38" s="734">
        <f>C38*0.05</f>
        <v/>
      </c>
      <c r="E38" s="734">
        <f>B38+D38</f>
        <v/>
      </c>
      <c r="F38" s="735">
        <f>Projects!$C$40+Projects!$D$40-1</f>
        <v/>
      </c>
      <c r="G38" s="736">
        <f>EDATE(DATE(2026,4,1),F38-1)</f>
        <v/>
      </c>
    </row>
    <row r="39" ht="15" customFormat="1" customHeight="1" s="380">
      <c r="A39" s="550" t="inlineStr">
        <is>
          <t>BD-25</t>
        </is>
      </c>
      <c r="B39" s="551" t="n">
        <v>0</v>
      </c>
      <c r="C39" s="734">
        <f>IF(Projects!$G$41="Yes",Projects!$B$41*(Assumptions!$B$10+Assumptions!$B$11+Assumptions!$B$12),0)</f>
        <v/>
      </c>
      <c r="D39" s="734">
        <f>C39*0.05</f>
        <v/>
      </c>
      <c r="E39" s="734">
        <f>B39+D39</f>
        <v/>
      </c>
      <c r="F39" s="735">
        <f>Projects!$C$41+Projects!$D$41-1</f>
        <v/>
      </c>
      <c r="G39" s="736">
        <f>EDATE(DATE(2026,4,1),F39-1)</f>
        <v/>
      </c>
    </row>
    <row r="40" ht="15" customFormat="1" customHeight="1" s="380">
      <c r="A40" s="550" t="inlineStr">
        <is>
          <t>BD-26</t>
        </is>
      </c>
      <c r="B40" s="551" t="n">
        <v>0</v>
      </c>
      <c r="C40" s="734">
        <f>IF(Projects!$G$42="Yes",Projects!$B$42*(Assumptions!$B$10+Assumptions!$B$11+Assumptions!$B$12),0)</f>
        <v/>
      </c>
      <c r="D40" s="734">
        <f>C40*0.05</f>
        <v/>
      </c>
      <c r="E40" s="734">
        <f>B40+D40</f>
        <v/>
      </c>
      <c r="F40" s="735">
        <f>Projects!$C$42+Projects!$D$42-1</f>
        <v/>
      </c>
      <c r="G40" s="736">
        <f>EDATE(DATE(2026,4,1),F40-1)</f>
        <v/>
      </c>
    </row>
    <row r="41" ht="15" customFormat="1" customHeight="1" s="380">
      <c r="A41" s="550" t="inlineStr">
        <is>
          <t>BD-27</t>
        </is>
      </c>
      <c r="B41" s="551" t="n">
        <v>0</v>
      </c>
      <c r="C41" s="734">
        <f>IF(Projects!$G$43="Yes",Projects!$B$43*(Assumptions!$B$10+Assumptions!$B$11+Assumptions!$B$12),0)</f>
        <v/>
      </c>
      <c r="D41" s="734">
        <f>C41*0.05</f>
        <v/>
      </c>
      <c r="E41" s="734">
        <f>B41+D41</f>
        <v/>
      </c>
      <c r="F41" s="735">
        <f>Projects!$C$43+Projects!$D$43-1</f>
        <v/>
      </c>
      <c r="G41" s="736">
        <f>EDATE(DATE(2026,4,1),F41-1)</f>
        <v/>
      </c>
    </row>
    <row r="42" ht="15" customFormat="1" customHeight="1" s="380">
      <c r="A42" s="550" t="inlineStr">
        <is>
          <t>BD-28</t>
        </is>
      </c>
      <c r="B42" s="551" t="n">
        <v>0</v>
      </c>
      <c r="C42" s="734">
        <f>IF(Projects!$G$44="Yes",Projects!$B$44*(Assumptions!$B$10+Assumptions!$B$11+Assumptions!$B$12),0)</f>
        <v/>
      </c>
      <c r="D42" s="734">
        <f>C42*0.05</f>
        <v/>
      </c>
      <c r="E42" s="734">
        <f>B42+D42</f>
        <v/>
      </c>
      <c r="F42" s="735">
        <f>Projects!$C$44+Projects!$D$44-1</f>
        <v/>
      </c>
      <c r="G42" s="736">
        <f>EDATE(DATE(2026,4,1),F42-1)</f>
        <v/>
      </c>
    </row>
    <row r="43" ht="15" customFormat="1" customHeight="1" s="380">
      <c r="A43" s="550" t="inlineStr">
        <is>
          <t>BD-29</t>
        </is>
      </c>
      <c r="B43" s="551" t="n">
        <v>0</v>
      </c>
      <c r="C43" s="734">
        <f>IF(Projects!$G$45="Yes",Projects!$B$45*(Assumptions!$B$10+Assumptions!$B$11+Assumptions!$B$12),0)</f>
        <v/>
      </c>
      <c r="D43" s="734">
        <f>C43*0.05</f>
        <v/>
      </c>
      <c r="E43" s="734">
        <f>B43+D43</f>
        <v/>
      </c>
      <c r="F43" s="735">
        <f>Projects!$C$45+Projects!$D$45-1</f>
        <v/>
      </c>
      <c r="G43" s="736">
        <f>EDATE(DATE(2026,4,1),F43-1)</f>
        <v/>
      </c>
    </row>
    <row r="44" ht="15" customFormat="1" customHeight="1" s="380">
      <c r="A44" s="550" t="inlineStr">
        <is>
          <t>BD-30</t>
        </is>
      </c>
      <c r="B44" s="551" t="n">
        <v>0</v>
      </c>
      <c r="C44" s="734">
        <f>IF(Projects!$G$46="Yes",Projects!$B$46*(Assumptions!$B$10+Assumptions!$B$11+Assumptions!$B$12),0)</f>
        <v/>
      </c>
      <c r="D44" s="734">
        <f>C44*0.05</f>
        <v/>
      </c>
      <c r="E44" s="734">
        <f>B44+D44</f>
        <v/>
      </c>
      <c r="F44" s="735">
        <f>Projects!$C$46+Projects!$D$46-1</f>
        <v/>
      </c>
      <c r="G44" s="736">
        <f>EDATE(DATE(2026,4,1),F44-1)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5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C40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6" customWidth="1" style="380" min="1" max="1"/>
    <col width="12" customWidth="1" style="380" min="2" max="2"/>
    <col width="58" customWidth="1" style="380" min="3" max="3"/>
  </cols>
  <sheetData>
    <row r="1" ht="15.75" customFormat="1" customHeight="1" s="380">
      <c r="A1" s="473" t="inlineStr">
        <is>
          <t>Adam Polk Architect LLP: Projection Assumptions</t>
        </is>
      </c>
    </row>
    <row r="2" ht="15" customFormat="1" customHeight="1" s="380">
      <c r="A2" s="452" t="inlineStr">
        <is>
          <t>Blue cells are inputs; black cells are calculated. Month 1 = Jul 2026.</t>
        </is>
      </c>
    </row>
    <row r="4" ht="15" customFormat="1" customHeight="1" s="380">
      <c r="A4" s="402" t="inlineStr">
        <is>
          <t>REVENUE</t>
        </is>
      </c>
      <c r="B4" s="402" t="n"/>
      <c r="C4" s="402" t="n"/>
    </row>
    <row r="5" ht="15" customFormat="1" customHeight="1" s="380">
      <c r="A5" s="550" t="inlineStr">
        <is>
          <t>Reseda: Permit/Bid/CD contract (reduced)</t>
        </is>
      </c>
      <c r="B5" s="551" t="n">
        <v>180000</v>
      </c>
      <c r="C5" s="452" t="inlineStr">
        <is>
          <t>Per Chris 7/3/26; billed evenly through Jan 2027</t>
        </is>
      </c>
    </row>
    <row r="6" ht="15" customFormat="1" customHeight="1" s="380">
      <c r="A6" s="550" t="inlineStr">
        <is>
          <t>Reseda: Permit/Bid/CD start month</t>
        </is>
      </c>
      <c r="B6" s="737" t="n">
        <v>1</v>
      </c>
      <c r="C6" s="452" t="inlineStr">
        <is>
          <t>Jul 2026</t>
        </is>
      </c>
    </row>
    <row r="7" ht="15" customFormat="1" customHeight="1" s="380">
      <c r="A7" s="550" t="inlineStr">
        <is>
          <t>Reseda: Permit/Bid/CD months</t>
        </is>
      </c>
      <c r="B7" s="737" t="n">
        <v>7</v>
      </c>
      <c r="C7" s="452" t="inlineStr">
        <is>
          <t>Jul 2026 - Jan 2027</t>
        </is>
      </c>
    </row>
    <row r="8" ht="15" customFormat="1" customHeight="1" s="380">
      <c r="A8" s="550" t="inlineStr">
        <is>
          <t>Reseda: Permit/Bid/CD monthly</t>
        </is>
      </c>
      <c r="B8" s="734">
        <f>B5/B7</f>
        <v/>
      </c>
      <c r="C8" s="452" t="inlineStr">
        <is>
          <t>Calculated</t>
        </is>
      </c>
    </row>
    <row r="9" ht="15" customFormat="1" customHeight="1" s="380">
      <c r="A9" s="550" t="inlineStr">
        <is>
          <t>Reseda: Constr. Admin monthly</t>
        </is>
      </c>
      <c r="B9" s="551" t="n">
        <v>2500</v>
      </c>
      <c r="C9" s="452" t="inlineStr">
        <is>
          <t>Term Sheet 3.1(a)</t>
        </is>
      </c>
    </row>
    <row r="10" ht="15" customFormat="1" customHeight="1" s="380">
      <c r="A10" s="550" t="inlineStr">
        <is>
          <t>Reseda: Constr. Admin start month</t>
        </is>
      </c>
      <c r="B10" s="737" t="n">
        <v>9</v>
      </c>
      <c r="C10" s="452" t="inlineStr">
        <is>
          <t>Mar 2027</t>
        </is>
      </c>
    </row>
    <row r="11" ht="15" customFormat="1" customHeight="1" s="380">
      <c r="A11" s="550" t="inlineStr">
        <is>
          <t>Reseda: Constr. Admin months</t>
        </is>
      </c>
      <c r="B11" s="737" t="n">
        <v>30</v>
      </c>
      <c r="C11" s="452" t="inlineStr">
        <is>
          <t>Mar 2027 - Aug 2029</t>
        </is>
      </c>
    </row>
    <row r="12" ht="15" customFormat="1" customHeight="1" s="380">
      <c r="A12" s="550" t="inlineStr">
        <is>
          <t>Ramsgate: Constr. Admin monthly</t>
        </is>
      </c>
      <c r="B12" s="551" t="n">
        <v>2694</v>
      </c>
      <c r="C12" s="452" t="inlineStr">
        <is>
          <t>Term Sheet 3.1(b)</t>
        </is>
      </c>
    </row>
    <row r="13" ht="15" customFormat="1" customHeight="1" s="380">
      <c r="A13" s="550" t="inlineStr">
        <is>
          <t>Ramsgate: start month</t>
        </is>
      </c>
      <c r="B13" s="737" t="n">
        <v>2</v>
      </c>
      <c r="C13" s="452" t="inlineStr">
        <is>
          <t>Aug 2026</t>
        </is>
      </c>
    </row>
    <row r="14" ht="15" customFormat="1" customHeight="1" s="380">
      <c r="A14" s="550" t="inlineStr">
        <is>
          <t>Ramsgate: months</t>
        </is>
      </c>
      <c r="B14" s="737" t="n">
        <v>15</v>
      </c>
      <c r="C14" s="452" t="inlineStr">
        <is>
          <t>Aug 2026 - Oct 2027</t>
        </is>
      </c>
    </row>
    <row r="15" ht="15" customFormat="1" customHeight="1" s="380">
      <c r="A15" s="550" t="inlineStr">
        <is>
          <t>Francis: Constr. Admin monthly</t>
        </is>
      </c>
      <c r="B15" s="551" t="n">
        <v>2500</v>
      </c>
      <c r="C15" s="452" t="inlineStr">
        <is>
          <t>Term Sheet 3.1(c)</t>
        </is>
      </c>
    </row>
    <row r="16" ht="15" customFormat="1" customHeight="1" s="380">
      <c r="A16" s="550" t="inlineStr">
        <is>
          <t>Francis: start month</t>
        </is>
      </c>
      <c r="B16" s="737" t="n">
        <v>2</v>
      </c>
      <c r="C16" s="452" t="inlineStr">
        <is>
          <t>Aug 2026</t>
        </is>
      </c>
    </row>
    <row r="17" ht="15" customFormat="1" customHeight="1" s="380">
      <c r="A17" s="550" t="inlineStr">
        <is>
          <t>Francis: months</t>
        </is>
      </c>
      <c r="B17" s="737" t="n">
        <v>30</v>
      </c>
      <c r="C17" s="452" t="inlineStr">
        <is>
          <t>Aug 2026 - Jan 2029</t>
        </is>
      </c>
    </row>
    <row r="18" ht="15" customFormat="1" customHeight="1" s="380">
      <c r="A18" s="550" t="inlineStr">
        <is>
          <t>3rd Street: SD monthly</t>
        </is>
      </c>
      <c r="B18" s="551" t="n">
        <v>7500</v>
      </c>
      <c r="C18" s="452" t="inlineStr">
        <is>
          <t>Term Sheet 3.1(d); zero out if SD phase not billed</t>
        </is>
      </c>
    </row>
    <row r="19" ht="15" customFormat="1" customHeight="1" s="380">
      <c r="A19" s="550" t="inlineStr">
        <is>
          <t>3rd Street: SD start month</t>
        </is>
      </c>
      <c r="B19" s="737" t="n">
        <v>2</v>
      </c>
      <c r="C19" s="452" t="inlineStr">
        <is>
          <t>Aug 2026</t>
        </is>
      </c>
    </row>
    <row r="20" ht="15" customFormat="1" customHeight="1" s="380">
      <c r="A20" s="550" t="inlineStr">
        <is>
          <t>3rd Street: SD contract cap</t>
        </is>
      </c>
      <c r="B20" s="551" t="n">
        <v>32000</v>
      </c>
      <c r="C20" s="452" t="inlineStr">
        <is>
          <t>Term Sheet 3.2(d)</t>
        </is>
      </c>
    </row>
    <row r="21" ht="15" customFormat="1" customHeight="1" s="380">
      <c r="A21" s="550" t="inlineStr">
        <is>
          <t>3rd Street: CD/Bid/Permit contract</t>
        </is>
      </c>
      <c r="B21" s="551" t="n">
        <v>600000</v>
      </c>
      <c r="C21" s="452" t="inlineStr">
        <is>
          <t>Per Chris 7/3/26</t>
        </is>
      </c>
    </row>
    <row r="22" ht="15" customFormat="1" customHeight="1" s="380">
      <c r="A22" s="550" t="inlineStr">
        <is>
          <t>3rd Street: CD/Bid/Permit start month</t>
        </is>
      </c>
      <c r="B22" s="737" t="n">
        <v>7</v>
      </c>
      <c r="C22" s="452" t="inlineStr">
        <is>
          <t>Jan 2027</t>
        </is>
      </c>
    </row>
    <row r="23" ht="15" customFormat="1" customHeight="1" s="380">
      <c r="A23" s="550" t="inlineStr">
        <is>
          <t>3rd Street: CD/Bid/Permit months</t>
        </is>
      </c>
      <c r="B23" s="737" t="n">
        <v>12</v>
      </c>
      <c r="C23" s="452" t="inlineStr">
        <is>
          <t>Jan 2027 - Dec 2027</t>
        </is>
      </c>
    </row>
    <row r="24" ht="15" customFormat="1" customHeight="1" s="380">
      <c r="A24" s="550" t="inlineStr">
        <is>
          <t>3rd Street: CD/Bid/Permit monthly</t>
        </is>
      </c>
      <c r="B24" s="734">
        <f>B21/B23</f>
        <v/>
      </c>
      <c r="C24" s="452" t="inlineStr">
        <is>
          <t>Calculated</t>
        </is>
      </c>
    </row>
    <row r="25" ht="15" customFormat="1" customHeight="1" s="380">
      <c r="A25" s="550" t="inlineStr">
        <is>
          <t>3rd Street: Constr. Admin monthly</t>
        </is>
      </c>
      <c r="B25" s="551" t="n">
        <v>2500</v>
      </c>
      <c r="C25" s="452" t="inlineStr">
        <is>
          <t>Per Chris 7/3/26</t>
        </is>
      </c>
    </row>
    <row r="26" ht="15" customFormat="1" customHeight="1" s="380">
      <c r="A26" s="550" t="inlineStr">
        <is>
          <t>3rd Street: Constr. Admin start month</t>
        </is>
      </c>
      <c r="B26" s="737" t="n">
        <v>22</v>
      </c>
      <c r="C26" s="452" t="inlineStr">
        <is>
          <t>Apr 2028</t>
        </is>
      </c>
    </row>
    <row r="27" ht="15" customFormat="1" customHeight="1" s="380">
      <c r="A27" s="550" t="inlineStr">
        <is>
          <t>3rd Street: Constr. Admin months</t>
        </is>
      </c>
      <c r="B27" s="737" t="n">
        <v>30</v>
      </c>
      <c r="C27" s="452" t="inlineStr">
        <is>
          <t>Runs past model end (Aug 2029); shown through model horizon only</t>
        </is>
      </c>
    </row>
    <row r="28" ht="15" customFormat="1" customHeight="1" s="380">
      <c r="A28" s="402" t="inlineStr">
        <is>
          <t>EXPENSES</t>
        </is>
      </c>
      <c r="B28" s="402" t="n"/>
      <c r="C28" s="402" t="n"/>
    </row>
    <row r="29" ht="15" customFormat="1" customHeight="1" s="380">
      <c r="A29" s="550" t="inlineStr">
        <is>
          <t>Partner draw (Adam Polk Architects, Inc.), monthly</t>
        </is>
      </c>
      <c r="B29" s="551" t="n">
        <v>12500</v>
      </c>
      <c r="C29" s="452" t="inlineStr">
        <is>
          <t>Term Sheet 2.1; paid to APA Inc., Adam's CA S corp</t>
        </is>
      </c>
    </row>
    <row r="30" ht="15" customFormat="1" customHeight="1" s="380">
      <c r="A30" s="550" t="inlineStr">
        <is>
          <t>Partner draw, monthly from increase</t>
        </is>
      </c>
      <c r="B30" s="737" t="n">
        <v>18750</v>
      </c>
      <c r="C30" s="452" t="inlineStr">
        <is>
          <t>$225,000 per year; adjusts when the 3rd St contract is signed</t>
        </is>
      </c>
    </row>
    <row r="31" ht="15" customFormat="1" customHeight="1" s="380">
      <c r="A31" s="550" t="inlineStr">
        <is>
          <t>Draw increase start month</t>
        </is>
      </c>
      <c r="B31" s="735">
        <f>B22</f>
        <v/>
      </c>
      <c r="C31" s="452" t="inlineStr">
        <is>
          <t>Linked to 3rd Street CD/Bid/Permit start (contract signing)</t>
        </is>
      </c>
    </row>
    <row r="32" ht="15" customFormat="1" customHeight="1" s="380">
      <c r="A32" s="550" t="inlineStr">
        <is>
          <t>Software, monthly</t>
        </is>
      </c>
      <c r="B32" s="551" t="n">
        <v>365</v>
      </c>
      <c r="C32" s="452" t="inlineStr">
        <is>
          <t>Term Sheet 5.1(a)</t>
        </is>
      </c>
    </row>
    <row r="33" ht="15" customFormat="1" customHeight="1" s="380">
      <c r="A33" s="550" t="inlineStr">
        <is>
          <t>E&amp;O insurance, annual (paid Jul)</t>
        </is>
      </c>
      <c r="B33" s="551" t="n">
        <v>8000</v>
      </c>
      <c r="C33" s="452" t="inlineStr">
        <is>
          <t>Term Sheet 5.1(b)</t>
        </is>
      </c>
    </row>
    <row r="34" ht="15" customFormat="1" customHeight="1" s="380">
      <c r="A34" s="550" t="inlineStr">
        <is>
          <t>Startup reimbursement: APA Inc.</t>
        </is>
      </c>
      <c r="B34" s="737" t="n">
        <v>5000</v>
      </c>
      <c r="C34" s="452" t="inlineStr">
        <is>
          <t>Get-started costs, reimbursed Aug 2026</t>
        </is>
      </c>
    </row>
    <row r="35" ht="15" customFormat="1" customHeight="1" s="380">
      <c r="A35" s="550" t="inlineStr">
        <is>
          <t>Startup reimbursement: Six Peak</t>
        </is>
      </c>
      <c r="B35" s="737" t="n">
        <v>2500</v>
      </c>
      <c r="C35" s="452" t="inlineStr">
        <is>
          <t>Reimbursed Aug 2026</t>
        </is>
      </c>
    </row>
    <row r="36" ht="15" customFormat="1" customHeight="1" s="380">
      <c r="A36" s="550" t="inlineStr">
        <is>
          <t>Startup reimbursement month</t>
        </is>
      </c>
      <c r="B36" s="737" t="n">
        <v>2</v>
      </c>
      <c r="C36" s="452" t="inlineStr">
        <is>
          <t>Aug 2026</t>
        </is>
      </c>
    </row>
    <row r="38" ht="15" customHeight="1" s="410">
      <c r="A38" s="402" t="inlineStr">
        <is>
          <t>SIX PEAK RECOGNITION</t>
        </is>
      </c>
    </row>
    <row r="39" ht="15" customHeight="1" s="410">
      <c r="A39" s="550" t="inlineStr">
        <is>
          <t>Reserve % of APA cash for post-2027 expenses</t>
        </is>
      </c>
      <c r="B39" s="738" t="n">
        <v>0.6</v>
      </c>
      <c r="C39" s="452" t="inlineStr">
        <is>
          <t>Per Chris 9/1/26; funds the Six Peak share of the post-2027 expense tail</t>
        </is>
      </c>
    </row>
    <row r="40" ht="15" customHeight="1" s="410">
      <c r="A40" s="550" t="inlineStr">
        <is>
          <t>Six Peak income start month #</t>
        </is>
      </c>
      <c r="B40" s="551" t="n">
        <v>10</v>
      </c>
      <c r="C40" s="452" t="inlineStr">
        <is>
          <t>Model row 3 month #; 10 = Jan 2027, so no APA income in 2026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6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AN3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36" customWidth="1" style="380" min="1" max="1"/>
    <col width="12.42" customWidth="1" style="380" min="2" max="40"/>
  </cols>
  <sheetData>
    <row r="1" ht="15.75" customFormat="1" customHeight="1" s="380">
      <c r="A1" s="473" t="inlineStr">
        <is>
          <t>Adam Polk Architect LLP: Cash Flow Projection (Jul 2026 - Aug 2029)</t>
        </is>
      </c>
    </row>
    <row r="3" ht="15" customFormat="1" customHeight="1" s="380">
      <c r="A3" s="429" t="inlineStr">
        <is>
          <t>Month #</t>
        </is>
      </c>
      <c r="B3" s="739" t="n">
        <v>1</v>
      </c>
      <c r="C3" s="739" t="n">
        <v>2</v>
      </c>
      <c r="D3" s="739" t="n">
        <v>3</v>
      </c>
      <c r="E3" s="739" t="n">
        <v>4</v>
      </c>
      <c r="F3" s="739" t="n">
        <v>5</v>
      </c>
      <c r="G3" s="739" t="n">
        <v>6</v>
      </c>
      <c r="H3" s="739" t="n">
        <v>7</v>
      </c>
      <c r="I3" s="739" t="n">
        <v>8</v>
      </c>
      <c r="J3" s="739" t="n">
        <v>9</v>
      </c>
      <c r="K3" s="739" t="n">
        <v>10</v>
      </c>
      <c r="L3" s="739" t="n">
        <v>11</v>
      </c>
      <c r="M3" s="739" t="n">
        <v>12</v>
      </c>
      <c r="N3" s="739" t="n">
        <v>13</v>
      </c>
      <c r="O3" s="739" t="n">
        <v>14</v>
      </c>
      <c r="P3" s="739" t="n">
        <v>15</v>
      </c>
      <c r="Q3" s="739" t="n">
        <v>16</v>
      </c>
      <c r="R3" s="739" t="n">
        <v>17</v>
      </c>
      <c r="S3" s="739" t="n">
        <v>18</v>
      </c>
      <c r="T3" s="739" t="n">
        <v>19</v>
      </c>
      <c r="U3" s="739" t="n">
        <v>20</v>
      </c>
      <c r="V3" s="739" t="n">
        <v>21</v>
      </c>
      <c r="W3" s="739" t="n">
        <v>22</v>
      </c>
      <c r="X3" s="739" t="n">
        <v>23</v>
      </c>
      <c r="Y3" s="739" t="n">
        <v>24</v>
      </c>
      <c r="Z3" s="739" t="n">
        <v>25</v>
      </c>
      <c r="AA3" s="739" t="n">
        <v>26</v>
      </c>
      <c r="AB3" s="739" t="n">
        <v>27</v>
      </c>
      <c r="AC3" s="739" t="n">
        <v>28</v>
      </c>
      <c r="AD3" s="739" t="n">
        <v>29</v>
      </c>
      <c r="AE3" s="739" t="n">
        <v>30</v>
      </c>
      <c r="AF3" s="739" t="n">
        <v>31</v>
      </c>
      <c r="AG3" s="739" t="n">
        <v>32</v>
      </c>
      <c r="AH3" s="739" t="n">
        <v>33</v>
      </c>
      <c r="AI3" s="739" t="n">
        <v>34</v>
      </c>
      <c r="AJ3" s="739" t="n">
        <v>35</v>
      </c>
      <c r="AK3" s="739" t="n">
        <v>36</v>
      </c>
      <c r="AL3" s="739" t="n">
        <v>37</v>
      </c>
      <c r="AM3" s="739" t="n">
        <v>38</v>
      </c>
      <c r="AN3" s="739" t="n"/>
    </row>
    <row r="4" ht="15" customFormat="1" customHeight="1" s="380">
      <c r="A4" s="384" t="n"/>
      <c r="B4" s="384" t="n">
        <v>46204</v>
      </c>
      <c r="C4" s="384" t="n">
        <v>46235</v>
      </c>
      <c r="D4" s="384" t="n">
        <v>46266</v>
      </c>
      <c r="E4" s="384" t="n">
        <v>46296</v>
      </c>
      <c r="F4" s="384" t="n">
        <v>46327</v>
      </c>
      <c r="G4" s="384" t="n">
        <v>46357</v>
      </c>
      <c r="H4" s="384" t="n">
        <v>46388</v>
      </c>
      <c r="I4" s="384" t="n">
        <v>46419</v>
      </c>
      <c r="J4" s="384" t="n">
        <v>46447</v>
      </c>
      <c r="K4" s="384" t="n">
        <v>46478</v>
      </c>
      <c r="L4" s="384" t="n">
        <v>46508</v>
      </c>
      <c r="M4" s="384" t="n">
        <v>46539</v>
      </c>
      <c r="N4" s="384" t="n">
        <v>46569</v>
      </c>
      <c r="O4" s="384" t="n">
        <v>46600</v>
      </c>
      <c r="P4" s="384" t="n">
        <v>46631</v>
      </c>
      <c r="Q4" s="384" t="n">
        <v>46661</v>
      </c>
      <c r="R4" s="384" t="n">
        <v>46692</v>
      </c>
      <c r="S4" s="384" t="n">
        <v>46722</v>
      </c>
      <c r="T4" s="384" t="n">
        <v>46753</v>
      </c>
      <c r="U4" s="384" t="n">
        <v>46784</v>
      </c>
      <c r="V4" s="384" t="n">
        <v>46813</v>
      </c>
      <c r="W4" s="384" t="n">
        <v>46844</v>
      </c>
      <c r="X4" s="384" t="n">
        <v>46874</v>
      </c>
      <c r="Y4" s="384" t="n">
        <v>46905</v>
      </c>
      <c r="Z4" s="384" t="n">
        <v>46935</v>
      </c>
      <c r="AA4" s="384" t="n">
        <v>46966</v>
      </c>
      <c r="AB4" s="384" t="n">
        <v>46997</v>
      </c>
      <c r="AC4" s="384" t="n">
        <v>47027</v>
      </c>
      <c r="AD4" s="384" t="n">
        <v>47058</v>
      </c>
      <c r="AE4" s="384" t="n">
        <v>47088</v>
      </c>
      <c r="AF4" s="384" t="n">
        <v>47119</v>
      </c>
      <c r="AG4" s="384" t="n">
        <v>47150</v>
      </c>
      <c r="AH4" s="384" t="n">
        <v>47178</v>
      </c>
      <c r="AI4" s="384" t="n">
        <v>47209</v>
      </c>
      <c r="AJ4" s="384" t="n">
        <v>47239</v>
      </c>
      <c r="AK4" s="384" t="n">
        <v>47270</v>
      </c>
      <c r="AL4" s="384" t="n">
        <v>47300</v>
      </c>
      <c r="AM4" s="384" t="n">
        <v>47331</v>
      </c>
      <c r="AN4" s="384" t="inlineStr">
        <is>
          <t>Total</t>
        </is>
      </c>
    </row>
    <row r="6" ht="15" customFormat="1" customHeight="1" s="380">
      <c r="A6" s="402" t="inlineStr">
        <is>
          <t>REVENUE</t>
        </is>
      </c>
      <c r="B6" s="402" t="n"/>
      <c r="C6" s="402" t="n"/>
      <c r="D6" s="402" t="n"/>
      <c r="E6" s="402" t="n"/>
      <c r="F6" s="402" t="n"/>
      <c r="G6" s="402" t="n"/>
      <c r="H6" s="402" t="n"/>
      <c r="I6" s="402" t="n"/>
      <c r="J6" s="402" t="n"/>
      <c r="K6" s="402" t="n"/>
      <c r="L6" s="402" t="n"/>
      <c r="M6" s="402" t="n"/>
      <c r="N6" s="402" t="n"/>
      <c r="O6" s="402" t="n"/>
      <c r="P6" s="402" t="n"/>
      <c r="Q6" s="402" t="n"/>
      <c r="R6" s="402" t="n"/>
      <c r="S6" s="402" t="n"/>
      <c r="T6" s="402" t="n"/>
      <c r="U6" s="402" t="n"/>
      <c r="V6" s="402" t="n"/>
      <c r="W6" s="402" t="n"/>
      <c r="X6" s="402" t="n"/>
      <c r="Y6" s="402" t="n"/>
      <c r="Z6" s="402" t="n"/>
      <c r="AA6" s="402" t="n"/>
      <c r="AB6" s="402" t="n"/>
      <c r="AC6" s="402" t="n"/>
      <c r="AD6" s="402" t="n"/>
      <c r="AE6" s="402" t="n"/>
      <c r="AF6" s="402" t="n"/>
      <c r="AG6" s="402" t="n"/>
      <c r="AH6" s="402" t="n"/>
      <c r="AI6" s="402" t="n"/>
      <c r="AJ6" s="402" t="n"/>
      <c r="AK6" s="402" t="n"/>
      <c r="AL6" s="402" t="n"/>
      <c r="AM6" s="402" t="n"/>
      <c r="AN6" s="402" t="n"/>
    </row>
    <row r="7" ht="15" customFormat="1" customHeight="1" s="380">
      <c r="A7" s="563" t="inlineStr">
        <is>
          <t>Reseda: Permit / Bid / CD</t>
        </is>
      </c>
      <c r="B7" s="734">
        <f>IF(AND(B$3&gt;='APA Assumptions'!$B$6,B$3&lt;'APA Assumptions'!$B$6+'APA Assumptions'!$B$7),'APA Assumptions'!$B$8,0)</f>
        <v/>
      </c>
      <c r="C7" s="734">
        <f>IF(AND(C$3&gt;='APA Assumptions'!$B$6,C$3&lt;'APA Assumptions'!$B$6+'APA Assumptions'!$B$7),'APA Assumptions'!$B$8,0)</f>
        <v/>
      </c>
      <c r="D7" s="734">
        <f>IF(AND(D$3&gt;='APA Assumptions'!$B$6,D$3&lt;'APA Assumptions'!$B$6+'APA Assumptions'!$B$7),'APA Assumptions'!$B$8,0)</f>
        <v/>
      </c>
      <c r="E7" s="734">
        <f>IF(AND(E$3&gt;='APA Assumptions'!$B$6,E$3&lt;'APA Assumptions'!$B$6+'APA Assumptions'!$B$7),'APA Assumptions'!$B$8,0)</f>
        <v/>
      </c>
      <c r="F7" s="734">
        <f>IF(AND(F$3&gt;='APA Assumptions'!$B$6,F$3&lt;'APA Assumptions'!$B$6+'APA Assumptions'!$B$7),'APA Assumptions'!$B$8,0)</f>
        <v/>
      </c>
      <c r="G7" s="734">
        <f>IF(AND(G$3&gt;='APA Assumptions'!$B$6,G$3&lt;'APA Assumptions'!$B$6+'APA Assumptions'!$B$7),'APA Assumptions'!$B$8,0)</f>
        <v/>
      </c>
      <c r="H7" s="734">
        <f>IF(AND(H$3&gt;='APA Assumptions'!$B$6,H$3&lt;'APA Assumptions'!$B$6+'APA Assumptions'!$B$7),'APA Assumptions'!$B$8,0)</f>
        <v/>
      </c>
      <c r="I7" s="734">
        <f>IF(AND(I$3&gt;='APA Assumptions'!$B$6,I$3&lt;'APA Assumptions'!$B$6+'APA Assumptions'!$B$7),'APA Assumptions'!$B$8,0)</f>
        <v/>
      </c>
      <c r="J7" s="734">
        <f>IF(AND(J$3&gt;='APA Assumptions'!$B$6,J$3&lt;'APA Assumptions'!$B$6+'APA Assumptions'!$B$7),'APA Assumptions'!$B$8,0)</f>
        <v/>
      </c>
      <c r="K7" s="734">
        <f>IF(AND(K$3&gt;='APA Assumptions'!$B$6,K$3&lt;'APA Assumptions'!$B$6+'APA Assumptions'!$B$7),'APA Assumptions'!$B$8,0)</f>
        <v/>
      </c>
      <c r="L7" s="734">
        <f>IF(AND(L$3&gt;='APA Assumptions'!$B$6,L$3&lt;'APA Assumptions'!$B$6+'APA Assumptions'!$B$7),'APA Assumptions'!$B$8,0)</f>
        <v/>
      </c>
      <c r="M7" s="734">
        <f>IF(AND(M$3&gt;='APA Assumptions'!$B$6,M$3&lt;'APA Assumptions'!$B$6+'APA Assumptions'!$B$7),'APA Assumptions'!$B$8,0)</f>
        <v/>
      </c>
      <c r="N7" s="734">
        <f>IF(AND(N$3&gt;='APA Assumptions'!$B$6,N$3&lt;'APA Assumptions'!$B$6+'APA Assumptions'!$B$7),'APA Assumptions'!$B$8,0)</f>
        <v/>
      </c>
      <c r="O7" s="734">
        <f>IF(AND(O$3&gt;='APA Assumptions'!$B$6,O$3&lt;'APA Assumptions'!$B$6+'APA Assumptions'!$B$7),'APA Assumptions'!$B$8,0)</f>
        <v/>
      </c>
      <c r="P7" s="734">
        <f>IF(AND(P$3&gt;='APA Assumptions'!$B$6,P$3&lt;'APA Assumptions'!$B$6+'APA Assumptions'!$B$7),'APA Assumptions'!$B$8,0)</f>
        <v/>
      </c>
      <c r="Q7" s="734">
        <f>IF(AND(Q$3&gt;='APA Assumptions'!$B$6,Q$3&lt;'APA Assumptions'!$B$6+'APA Assumptions'!$B$7),'APA Assumptions'!$B$8,0)</f>
        <v/>
      </c>
      <c r="R7" s="734">
        <f>IF(AND(R$3&gt;='APA Assumptions'!$B$6,R$3&lt;'APA Assumptions'!$B$6+'APA Assumptions'!$B$7),'APA Assumptions'!$B$8,0)</f>
        <v/>
      </c>
      <c r="S7" s="734">
        <f>IF(AND(S$3&gt;='APA Assumptions'!$B$6,S$3&lt;'APA Assumptions'!$B$6+'APA Assumptions'!$B$7),'APA Assumptions'!$B$8,0)</f>
        <v/>
      </c>
      <c r="T7" s="734">
        <f>IF(AND(T$3&gt;='APA Assumptions'!$B$6,T$3&lt;'APA Assumptions'!$B$6+'APA Assumptions'!$B$7),'APA Assumptions'!$B$8,0)</f>
        <v/>
      </c>
      <c r="U7" s="734">
        <f>IF(AND(U$3&gt;='APA Assumptions'!$B$6,U$3&lt;'APA Assumptions'!$B$6+'APA Assumptions'!$B$7),'APA Assumptions'!$B$8,0)</f>
        <v/>
      </c>
      <c r="V7" s="734">
        <f>IF(AND(V$3&gt;='APA Assumptions'!$B$6,V$3&lt;'APA Assumptions'!$B$6+'APA Assumptions'!$B$7),'APA Assumptions'!$B$8,0)</f>
        <v/>
      </c>
      <c r="W7" s="734">
        <f>IF(AND(W$3&gt;='APA Assumptions'!$B$6,W$3&lt;'APA Assumptions'!$B$6+'APA Assumptions'!$B$7),'APA Assumptions'!$B$8,0)</f>
        <v/>
      </c>
      <c r="X7" s="734">
        <f>IF(AND(X$3&gt;='APA Assumptions'!$B$6,X$3&lt;'APA Assumptions'!$B$6+'APA Assumptions'!$B$7),'APA Assumptions'!$B$8,0)</f>
        <v/>
      </c>
      <c r="Y7" s="734">
        <f>IF(AND(Y$3&gt;='APA Assumptions'!$B$6,Y$3&lt;'APA Assumptions'!$B$6+'APA Assumptions'!$B$7),'APA Assumptions'!$B$8,0)</f>
        <v/>
      </c>
      <c r="Z7" s="734">
        <f>IF(AND(Z$3&gt;='APA Assumptions'!$B$6,Z$3&lt;'APA Assumptions'!$B$6+'APA Assumptions'!$B$7),'APA Assumptions'!$B$8,0)</f>
        <v/>
      </c>
      <c r="AA7" s="734">
        <f>IF(AND(AA$3&gt;='APA Assumptions'!$B$6,AA$3&lt;'APA Assumptions'!$B$6+'APA Assumptions'!$B$7),'APA Assumptions'!$B$8,0)</f>
        <v/>
      </c>
      <c r="AB7" s="734">
        <f>IF(AND(AB$3&gt;='APA Assumptions'!$B$6,AB$3&lt;'APA Assumptions'!$B$6+'APA Assumptions'!$B$7),'APA Assumptions'!$B$8,0)</f>
        <v/>
      </c>
      <c r="AC7" s="734">
        <f>IF(AND(AC$3&gt;='APA Assumptions'!$B$6,AC$3&lt;'APA Assumptions'!$B$6+'APA Assumptions'!$B$7),'APA Assumptions'!$B$8,0)</f>
        <v/>
      </c>
      <c r="AD7" s="734">
        <f>IF(AND(AD$3&gt;='APA Assumptions'!$B$6,AD$3&lt;'APA Assumptions'!$B$6+'APA Assumptions'!$B$7),'APA Assumptions'!$B$8,0)</f>
        <v/>
      </c>
      <c r="AE7" s="734">
        <f>IF(AND(AE$3&gt;='APA Assumptions'!$B$6,AE$3&lt;'APA Assumptions'!$B$6+'APA Assumptions'!$B$7),'APA Assumptions'!$B$8,0)</f>
        <v/>
      </c>
      <c r="AF7" s="734">
        <f>IF(AND(AF$3&gt;='APA Assumptions'!$B$6,AF$3&lt;'APA Assumptions'!$B$6+'APA Assumptions'!$B$7),'APA Assumptions'!$B$8,0)</f>
        <v/>
      </c>
      <c r="AG7" s="734">
        <f>IF(AND(AG$3&gt;='APA Assumptions'!$B$6,AG$3&lt;'APA Assumptions'!$B$6+'APA Assumptions'!$B$7),'APA Assumptions'!$B$8,0)</f>
        <v/>
      </c>
      <c r="AH7" s="734">
        <f>IF(AND(AH$3&gt;='APA Assumptions'!$B$6,AH$3&lt;'APA Assumptions'!$B$6+'APA Assumptions'!$B$7),'APA Assumptions'!$B$8,0)</f>
        <v/>
      </c>
      <c r="AI7" s="734">
        <f>IF(AND(AI$3&gt;='APA Assumptions'!$B$6,AI$3&lt;'APA Assumptions'!$B$6+'APA Assumptions'!$B$7),'APA Assumptions'!$B$8,0)</f>
        <v/>
      </c>
      <c r="AJ7" s="734">
        <f>IF(AND(AJ$3&gt;='APA Assumptions'!$B$6,AJ$3&lt;'APA Assumptions'!$B$6+'APA Assumptions'!$B$7),'APA Assumptions'!$B$8,0)</f>
        <v/>
      </c>
      <c r="AK7" s="734">
        <f>IF(AND(AK$3&gt;='APA Assumptions'!$B$6,AK$3&lt;'APA Assumptions'!$B$6+'APA Assumptions'!$B$7),'APA Assumptions'!$B$8,0)</f>
        <v/>
      </c>
      <c r="AL7" s="734">
        <f>IF(AND(AL$3&gt;='APA Assumptions'!$B$6,AL$3&lt;'APA Assumptions'!$B$6+'APA Assumptions'!$B$7),'APA Assumptions'!$B$8,0)</f>
        <v/>
      </c>
      <c r="AM7" s="734">
        <f>IF(AND(AM$3&gt;='APA Assumptions'!$B$6,AM$3&lt;'APA Assumptions'!$B$6+'APA Assumptions'!$B$7),'APA Assumptions'!$B$8,0)</f>
        <v/>
      </c>
      <c r="AN7" s="734">
        <f>SUM(B7:AM7)</f>
        <v/>
      </c>
    </row>
    <row r="8" ht="15" customFormat="1" customHeight="1" s="380">
      <c r="A8" s="563" t="inlineStr">
        <is>
          <t>Reseda: Construction Admin</t>
        </is>
      </c>
      <c r="B8" s="734">
        <f>IF(AND(B$3&gt;='APA Assumptions'!$B$10,B$3&lt;'APA Assumptions'!$B$10+'APA Assumptions'!$B$11),'APA Assumptions'!$B$9,0)</f>
        <v/>
      </c>
      <c r="C8" s="734">
        <f>IF(AND(C$3&gt;='APA Assumptions'!$B$10,C$3&lt;'APA Assumptions'!$B$10+'APA Assumptions'!$B$11),'APA Assumptions'!$B$9,0)</f>
        <v/>
      </c>
      <c r="D8" s="734">
        <f>IF(AND(D$3&gt;='APA Assumptions'!$B$10,D$3&lt;'APA Assumptions'!$B$10+'APA Assumptions'!$B$11),'APA Assumptions'!$B$9,0)</f>
        <v/>
      </c>
      <c r="E8" s="734">
        <f>IF(AND(E$3&gt;='APA Assumptions'!$B$10,E$3&lt;'APA Assumptions'!$B$10+'APA Assumptions'!$B$11),'APA Assumptions'!$B$9,0)</f>
        <v/>
      </c>
      <c r="F8" s="734">
        <f>IF(AND(F$3&gt;='APA Assumptions'!$B$10,F$3&lt;'APA Assumptions'!$B$10+'APA Assumptions'!$B$11),'APA Assumptions'!$B$9,0)</f>
        <v/>
      </c>
      <c r="G8" s="734">
        <f>IF(AND(G$3&gt;='APA Assumptions'!$B$10,G$3&lt;'APA Assumptions'!$B$10+'APA Assumptions'!$B$11),'APA Assumptions'!$B$9,0)</f>
        <v/>
      </c>
      <c r="H8" s="734">
        <f>IF(AND(H$3&gt;='APA Assumptions'!$B$10,H$3&lt;'APA Assumptions'!$B$10+'APA Assumptions'!$B$11),'APA Assumptions'!$B$9,0)</f>
        <v/>
      </c>
      <c r="I8" s="734">
        <f>IF(AND(I$3&gt;='APA Assumptions'!$B$10,I$3&lt;'APA Assumptions'!$B$10+'APA Assumptions'!$B$11),'APA Assumptions'!$B$9,0)</f>
        <v/>
      </c>
      <c r="J8" s="734">
        <f>IF(AND(J$3&gt;='APA Assumptions'!$B$10,J$3&lt;'APA Assumptions'!$B$10+'APA Assumptions'!$B$11),'APA Assumptions'!$B$9,0)</f>
        <v/>
      </c>
      <c r="K8" s="734">
        <f>IF(AND(K$3&gt;='APA Assumptions'!$B$10,K$3&lt;'APA Assumptions'!$B$10+'APA Assumptions'!$B$11),'APA Assumptions'!$B$9,0)</f>
        <v/>
      </c>
      <c r="L8" s="734">
        <f>IF(AND(L$3&gt;='APA Assumptions'!$B$10,L$3&lt;'APA Assumptions'!$B$10+'APA Assumptions'!$B$11),'APA Assumptions'!$B$9,0)</f>
        <v/>
      </c>
      <c r="M8" s="734">
        <f>IF(AND(M$3&gt;='APA Assumptions'!$B$10,M$3&lt;'APA Assumptions'!$B$10+'APA Assumptions'!$B$11),'APA Assumptions'!$B$9,0)</f>
        <v/>
      </c>
      <c r="N8" s="734">
        <f>IF(AND(N$3&gt;='APA Assumptions'!$B$10,N$3&lt;'APA Assumptions'!$B$10+'APA Assumptions'!$B$11),'APA Assumptions'!$B$9,0)</f>
        <v/>
      </c>
      <c r="O8" s="734">
        <f>IF(AND(O$3&gt;='APA Assumptions'!$B$10,O$3&lt;'APA Assumptions'!$B$10+'APA Assumptions'!$B$11),'APA Assumptions'!$B$9,0)</f>
        <v/>
      </c>
      <c r="P8" s="734">
        <f>IF(AND(P$3&gt;='APA Assumptions'!$B$10,P$3&lt;'APA Assumptions'!$B$10+'APA Assumptions'!$B$11),'APA Assumptions'!$B$9,0)</f>
        <v/>
      </c>
      <c r="Q8" s="734">
        <f>IF(AND(Q$3&gt;='APA Assumptions'!$B$10,Q$3&lt;'APA Assumptions'!$B$10+'APA Assumptions'!$B$11),'APA Assumptions'!$B$9,0)</f>
        <v/>
      </c>
      <c r="R8" s="734">
        <f>IF(AND(R$3&gt;='APA Assumptions'!$B$10,R$3&lt;'APA Assumptions'!$B$10+'APA Assumptions'!$B$11),'APA Assumptions'!$B$9,0)</f>
        <v/>
      </c>
      <c r="S8" s="734">
        <f>IF(AND(S$3&gt;='APA Assumptions'!$B$10,S$3&lt;'APA Assumptions'!$B$10+'APA Assumptions'!$B$11),'APA Assumptions'!$B$9,0)</f>
        <v/>
      </c>
      <c r="T8" s="734">
        <f>IF(AND(T$3&gt;='APA Assumptions'!$B$10,T$3&lt;'APA Assumptions'!$B$10+'APA Assumptions'!$B$11),'APA Assumptions'!$B$9,0)</f>
        <v/>
      </c>
      <c r="U8" s="734">
        <f>IF(AND(U$3&gt;='APA Assumptions'!$B$10,U$3&lt;'APA Assumptions'!$B$10+'APA Assumptions'!$B$11),'APA Assumptions'!$B$9,0)</f>
        <v/>
      </c>
      <c r="V8" s="734">
        <f>IF(AND(V$3&gt;='APA Assumptions'!$B$10,V$3&lt;'APA Assumptions'!$B$10+'APA Assumptions'!$B$11),'APA Assumptions'!$B$9,0)</f>
        <v/>
      </c>
      <c r="W8" s="734">
        <f>IF(AND(W$3&gt;='APA Assumptions'!$B$10,W$3&lt;'APA Assumptions'!$B$10+'APA Assumptions'!$B$11),'APA Assumptions'!$B$9,0)</f>
        <v/>
      </c>
      <c r="X8" s="734">
        <f>IF(AND(X$3&gt;='APA Assumptions'!$B$10,X$3&lt;'APA Assumptions'!$B$10+'APA Assumptions'!$B$11),'APA Assumptions'!$B$9,0)</f>
        <v/>
      </c>
      <c r="Y8" s="734">
        <f>IF(AND(Y$3&gt;='APA Assumptions'!$B$10,Y$3&lt;'APA Assumptions'!$B$10+'APA Assumptions'!$B$11),'APA Assumptions'!$B$9,0)</f>
        <v/>
      </c>
      <c r="Z8" s="734">
        <f>IF(AND(Z$3&gt;='APA Assumptions'!$B$10,Z$3&lt;'APA Assumptions'!$B$10+'APA Assumptions'!$B$11),'APA Assumptions'!$B$9,0)</f>
        <v/>
      </c>
      <c r="AA8" s="734">
        <f>IF(AND(AA$3&gt;='APA Assumptions'!$B$10,AA$3&lt;'APA Assumptions'!$B$10+'APA Assumptions'!$B$11),'APA Assumptions'!$B$9,0)</f>
        <v/>
      </c>
      <c r="AB8" s="734">
        <f>IF(AND(AB$3&gt;='APA Assumptions'!$B$10,AB$3&lt;'APA Assumptions'!$B$10+'APA Assumptions'!$B$11),'APA Assumptions'!$B$9,0)</f>
        <v/>
      </c>
      <c r="AC8" s="734">
        <f>IF(AND(AC$3&gt;='APA Assumptions'!$B$10,AC$3&lt;'APA Assumptions'!$B$10+'APA Assumptions'!$B$11),'APA Assumptions'!$B$9,0)</f>
        <v/>
      </c>
      <c r="AD8" s="734">
        <f>IF(AND(AD$3&gt;='APA Assumptions'!$B$10,AD$3&lt;'APA Assumptions'!$B$10+'APA Assumptions'!$B$11),'APA Assumptions'!$B$9,0)</f>
        <v/>
      </c>
      <c r="AE8" s="734">
        <f>IF(AND(AE$3&gt;='APA Assumptions'!$B$10,AE$3&lt;'APA Assumptions'!$B$10+'APA Assumptions'!$B$11),'APA Assumptions'!$B$9,0)</f>
        <v/>
      </c>
      <c r="AF8" s="734">
        <f>IF(AND(AF$3&gt;='APA Assumptions'!$B$10,AF$3&lt;'APA Assumptions'!$B$10+'APA Assumptions'!$B$11),'APA Assumptions'!$B$9,0)</f>
        <v/>
      </c>
      <c r="AG8" s="734">
        <f>IF(AND(AG$3&gt;='APA Assumptions'!$B$10,AG$3&lt;'APA Assumptions'!$B$10+'APA Assumptions'!$B$11),'APA Assumptions'!$B$9,0)</f>
        <v/>
      </c>
      <c r="AH8" s="734">
        <f>IF(AND(AH$3&gt;='APA Assumptions'!$B$10,AH$3&lt;'APA Assumptions'!$B$10+'APA Assumptions'!$B$11),'APA Assumptions'!$B$9,0)</f>
        <v/>
      </c>
      <c r="AI8" s="734">
        <f>IF(AND(AI$3&gt;='APA Assumptions'!$B$10,AI$3&lt;'APA Assumptions'!$B$10+'APA Assumptions'!$B$11),'APA Assumptions'!$B$9,0)</f>
        <v/>
      </c>
      <c r="AJ8" s="734">
        <f>IF(AND(AJ$3&gt;='APA Assumptions'!$B$10,AJ$3&lt;'APA Assumptions'!$B$10+'APA Assumptions'!$B$11),'APA Assumptions'!$B$9,0)</f>
        <v/>
      </c>
      <c r="AK8" s="734">
        <f>IF(AND(AK$3&gt;='APA Assumptions'!$B$10,AK$3&lt;'APA Assumptions'!$B$10+'APA Assumptions'!$B$11),'APA Assumptions'!$B$9,0)</f>
        <v/>
      </c>
      <c r="AL8" s="734">
        <f>IF(AND(AL$3&gt;='APA Assumptions'!$B$10,AL$3&lt;'APA Assumptions'!$B$10+'APA Assumptions'!$B$11),'APA Assumptions'!$B$9,0)</f>
        <v/>
      </c>
      <c r="AM8" s="734">
        <f>IF(AND(AM$3&gt;='APA Assumptions'!$B$10,AM$3&lt;'APA Assumptions'!$B$10+'APA Assumptions'!$B$11),'APA Assumptions'!$B$9,0)</f>
        <v/>
      </c>
      <c r="AN8" s="734">
        <f>SUM(B8:AM8)</f>
        <v/>
      </c>
    </row>
    <row r="9" ht="15" customFormat="1" customHeight="1" s="380">
      <c r="A9" s="563" t="inlineStr">
        <is>
          <t>Ramsgate: Construction Admin</t>
        </is>
      </c>
      <c r="B9" s="734">
        <f>IF(AND(B$3&gt;='APA Assumptions'!$B$13,B$3&lt;'APA Assumptions'!$B$13+'APA Assumptions'!$B$14),'APA Assumptions'!$B$12,0)</f>
        <v/>
      </c>
      <c r="C9" s="734">
        <f>IF(AND(C$3&gt;='APA Assumptions'!$B$13,C$3&lt;'APA Assumptions'!$B$13+'APA Assumptions'!$B$14),'APA Assumptions'!$B$12,0)</f>
        <v/>
      </c>
      <c r="D9" s="734">
        <f>IF(AND(D$3&gt;='APA Assumptions'!$B$13,D$3&lt;'APA Assumptions'!$B$13+'APA Assumptions'!$B$14),'APA Assumptions'!$B$12,0)</f>
        <v/>
      </c>
      <c r="E9" s="734">
        <f>IF(AND(E$3&gt;='APA Assumptions'!$B$13,E$3&lt;'APA Assumptions'!$B$13+'APA Assumptions'!$B$14),'APA Assumptions'!$B$12,0)</f>
        <v/>
      </c>
      <c r="F9" s="734">
        <f>IF(AND(F$3&gt;='APA Assumptions'!$B$13,F$3&lt;'APA Assumptions'!$B$13+'APA Assumptions'!$B$14),'APA Assumptions'!$B$12,0)</f>
        <v/>
      </c>
      <c r="G9" s="734">
        <f>IF(AND(G$3&gt;='APA Assumptions'!$B$13,G$3&lt;'APA Assumptions'!$B$13+'APA Assumptions'!$B$14),'APA Assumptions'!$B$12,0)</f>
        <v/>
      </c>
      <c r="H9" s="734">
        <f>IF(AND(H$3&gt;='APA Assumptions'!$B$13,H$3&lt;'APA Assumptions'!$B$13+'APA Assumptions'!$B$14),'APA Assumptions'!$B$12,0)</f>
        <v/>
      </c>
      <c r="I9" s="734">
        <f>IF(AND(I$3&gt;='APA Assumptions'!$B$13,I$3&lt;'APA Assumptions'!$B$13+'APA Assumptions'!$B$14),'APA Assumptions'!$B$12,0)</f>
        <v/>
      </c>
      <c r="J9" s="734">
        <f>IF(AND(J$3&gt;='APA Assumptions'!$B$13,J$3&lt;'APA Assumptions'!$B$13+'APA Assumptions'!$B$14),'APA Assumptions'!$B$12,0)</f>
        <v/>
      </c>
      <c r="K9" s="734">
        <f>IF(AND(K$3&gt;='APA Assumptions'!$B$13,K$3&lt;'APA Assumptions'!$B$13+'APA Assumptions'!$B$14),'APA Assumptions'!$B$12,0)</f>
        <v/>
      </c>
      <c r="L9" s="734">
        <f>IF(AND(L$3&gt;='APA Assumptions'!$B$13,L$3&lt;'APA Assumptions'!$B$13+'APA Assumptions'!$B$14),'APA Assumptions'!$B$12,0)</f>
        <v/>
      </c>
      <c r="M9" s="734">
        <f>IF(AND(M$3&gt;='APA Assumptions'!$B$13,M$3&lt;'APA Assumptions'!$B$13+'APA Assumptions'!$B$14),'APA Assumptions'!$B$12,0)</f>
        <v/>
      </c>
      <c r="N9" s="734">
        <f>IF(AND(N$3&gt;='APA Assumptions'!$B$13,N$3&lt;'APA Assumptions'!$B$13+'APA Assumptions'!$B$14),'APA Assumptions'!$B$12,0)</f>
        <v/>
      </c>
      <c r="O9" s="734">
        <f>IF(AND(O$3&gt;='APA Assumptions'!$B$13,O$3&lt;'APA Assumptions'!$B$13+'APA Assumptions'!$B$14),'APA Assumptions'!$B$12,0)</f>
        <v/>
      </c>
      <c r="P9" s="734">
        <f>IF(AND(P$3&gt;='APA Assumptions'!$B$13,P$3&lt;'APA Assumptions'!$B$13+'APA Assumptions'!$B$14),'APA Assumptions'!$B$12,0)</f>
        <v/>
      </c>
      <c r="Q9" s="734">
        <f>IF(AND(Q$3&gt;='APA Assumptions'!$B$13,Q$3&lt;'APA Assumptions'!$B$13+'APA Assumptions'!$B$14),'APA Assumptions'!$B$12,0)</f>
        <v/>
      </c>
      <c r="R9" s="734">
        <f>IF(AND(R$3&gt;='APA Assumptions'!$B$13,R$3&lt;'APA Assumptions'!$B$13+'APA Assumptions'!$B$14),'APA Assumptions'!$B$12,0)</f>
        <v/>
      </c>
      <c r="S9" s="734">
        <f>IF(AND(S$3&gt;='APA Assumptions'!$B$13,S$3&lt;'APA Assumptions'!$B$13+'APA Assumptions'!$B$14),'APA Assumptions'!$B$12,0)</f>
        <v/>
      </c>
      <c r="T9" s="734">
        <f>IF(AND(T$3&gt;='APA Assumptions'!$B$13,T$3&lt;'APA Assumptions'!$B$13+'APA Assumptions'!$B$14),'APA Assumptions'!$B$12,0)</f>
        <v/>
      </c>
      <c r="U9" s="734">
        <f>IF(AND(U$3&gt;='APA Assumptions'!$B$13,U$3&lt;'APA Assumptions'!$B$13+'APA Assumptions'!$B$14),'APA Assumptions'!$B$12,0)</f>
        <v/>
      </c>
      <c r="V9" s="734">
        <f>IF(AND(V$3&gt;='APA Assumptions'!$B$13,V$3&lt;'APA Assumptions'!$B$13+'APA Assumptions'!$B$14),'APA Assumptions'!$B$12,0)</f>
        <v/>
      </c>
      <c r="W9" s="734">
        <f>IF(AND(W$3&gt;='APA Assumptions'!$B$13,W$3&lt;'APA Assumptions'!$B$13+'APA Assumptions'!$B$14),'APA Assumptions'!$B$12,0)</f>
        <v/>
      </c>
      <c r="X9" s="734">
        <f>IF(AND(X$3&gt;='APA Assumptions'!$B$13,X$3&lt;'APA Assumptions'!$B$13+'APA Assumptions'!$B$14),'APA Assumptions'!$B$12,0)</f>
        <v/>
      </c>
      <c r="Y9" s="734">
        <f>IF(AND(Y$3&gt;='APA Assumptions'!$B$13,Y$3&lt;'APA Assumptions'!$B$13+'APA Assumptions'!$B$14),'APA Assumptions'!$B$12,0)</f>
        <v/>
      </c>
      <c r="Z9" s="734">
        <f>IF(AND(Z$3&gt;='APA Assumptions'!$B$13,Z$3&lt;'APA Assumptions'!$B$13+'APA Assumptions'!$B$14),'APA Assumptions'!$B$12,0)</f>
        <v/>
      </c>
      <c r="AA9" s="734">
        <f>IF(AND(AA$3&gt;='APA Assumptions'!$B$13,AA$3&lt;'APA Assumptions'!$B$13+'APA Assumptions'!$B$14),'APA Assumptions'!$B$12,0)</f>
        <v/>
      </c>
      <c r="AB9" s="734">
        <f>IF(AND(AB$3&gt;='APA Assumptions'!$B$13,AB$3&lt;'APA Assumptions'!$B$13+'APA Assumptions'!$B$14),'APA Assumptions'!$B$12,0)</f>
        <v/>
      </c>
      <c r="AC9" s="734">
        <f>IF(AND(AC$3&gt;='APA Assumptions'!$B$13,AC$3&lt;'APA Assumptions'!$B$13+'APA Assumptions'!$B$14),'APA Assumptions'!$B$12,0)</f>
        <v/>
      </c>
      <c r="AD9" s="734">
        <f>IF(AND(AD$3&gt;='APA Assumptions'!$B$13,AD$3&lt;'APA Assumptions'!$B$13+'APA Assumptions'!$B$14),'APA Assumptions'!$B$12,0)</f>
        <v/>
      </c>
      <c r="AE9" s="734">
        <f>IF(AND(AE$3&gt;='APA Assumptions'!$B$13,AE$3&lt;'APA Assumptions'!$B$13+'APA Assumptions'!$B$14),'APA Assumptions'!$B$12,0)</f>
        <v/>
      </c>
      <c r="AF9" s="734">
        <f>IF(AND(AF$3&gt;='APA Assumptions'!$B$13,AF$3&lt;'APA Assumptions'!$B$13+'APA Assumptions'!$B$14),'APA Assumptions'!$B$12,0)</f>
        <v/>
      </c>
      <c r="AG9" s="734">
        <f>IF(AND(AG$3&gt;='APA Assumptions'!$B$13,AG$3&lt;'APA Assumptions'!$B$13+'APA Assumptions'!$B$14),'APA Assumptions'!$B$12,0)</f>
        <v/>
      </c>
      <c r="AH9" s="734">
        <f>IF(AND(AH$3&gt;='APA Assumptions'!$B$13,AH$3&lt;'APA Assumptions'!$B$13+'APA Assumptions'!$B$14),'APA Assumptions'!$B$12,0)</f>
        <v/>
      </c>
      <c r="AI9" s="734">
        <f>IF(AND(AI$3&gt;='APA Assumptions'!$B$13,AI$3&lt;'APA Assumptions'!$B$13+'APA Assumptions'!$B$14),'APA Assumptions'!$B$12,0)</f>
        <v/>
      </c>
      <c r="AJ9" s="734">
        <f>IF(AND(AJ$3&gt;='APA Assumptions'!$B$13,AJ$3&lt;'APA Assumptions'!$B$13+'APA Assumptions'!$B$14),'APA Assumptions'!$B$12,0)</f>
        <v/>
      </c>
      <c r="AK9" s="734">
        <f>IF(AND(AK$3&gt;='APA Assumptions'!$B$13,AK$3&lt;'APA Assumptions'!$B$13+'APA Assumptions'!$B$14),'APA Assumptions'!$B$12,0)</f>
        <v/>
      </c>
      <c r="AL9" s="734">
        <f>IF(AND(AL$3&gt;='APA Assumptions'!$B$13,AL$3&lt;'APA Assumptions'!$B$13+'APA Assumptions'!$B$14),'APA Assumptions'!$B$12,0)</f>
        <v/>
      </c>
      <c r="AM9" s="734">
        <f>IF(AND(AM$3&gt;='APA Assumptions'!$B$13,AM$3&lt;'APA Assumptions'!$B$13+'APA Assumptions'!$B$14),'APA Assumptions'!$B$12,0)</f>
        <v/>
      </c>
      <c r="AN9" s="734">
        <f>SUM(B9:AM9)</f>
        <v/>
      </c>
    </row>
    <row r="10" ht="15" customFormat="1" customHeight="1" s="380">
      <c r="A10" s="563" t="inlineStr">
        <is>
          <t>Francis: Construction Admin</t>
        </is>
      </c>
      <c r="B10" s="734">
        <f>IF(AND(B$3&gt;='APA Assumptions'!$B$16,B$3&lt;'APA Assumptions'!$B$16+'APA Assumptions'!$B$17),'APA Assumptions'!$B$15,0)</f>
        <v/>
      </c>
      <c r="C10" s="734">
        <f>IF(AND(C$3&gt;='APA Assumptions'!$B$16,C$3&lt;'APA Assumptions'!$B$16+'APA Assumptions'!$B$17),'APA Assumptions'!$B$15,0)</f>
        <v/>
      </c>
      <c r="D10" s="734">
        <f>IF(AND(D$3&gt;='APA Assumptions'!$B$16,D$3&lt;'APA Assumptions'!$B$16+'APA Assumptions'!$B$17),'APA Assumptions'!$B$15,0)</f>
        <v/>
      </c>
      <c r="E10" s="734">
        <f>IF(AND(E$3&gt;='APA Assumptions'!$B$16,E$3&lt;'APA Assumptions'!$B$16+'APA Assumptions'!$B$17),'APA Assumptions'!$B$15,0)</f>
        <v/>
      </c>
      <c r="F10" s="734">
        <f>IF(AND(F$3&gt;='APA Assumptions'!$B$16,F$3&lt;'APA Assumptions'!$B$16+'APA Assumptions'!$B$17),'APA Assumptions'!$B$15,0)</f>
        <v/>
      </c>
      <c r="G10" s="734">
        <f>IF(AND(G$3&gt;='APA Assumptions'!$B$16,G$3&lt;'APA Assumptions'!$B$16+'APA Assumptions'!$B$17),'APA Assumptions'!$B$15,0)</f>
        <v/>
      </c>
      <c r="H10" s="734">
        <f>IF(AND(H$3&gt;='APA Assumptions'!$B$16,H$3&lt;'APA Assumptions'!$B$16+'APA Assumptions'!$B$17),'APA Assumptions'!$B$15,0)</f>
        <v/>
      </c>
      <c r="I10" s="734">
        <f>IF(AND(I$3&gt;='APA Assumptions'!$B$16,I$3&lt;'APA Assumptions'!$B$16+'APA Assumptions'!$B$17),'APA Assumptions'!$B$15,0)</f>
        <v/>
      </c>
      <c r="J10" s="734">
        <f>IF(AND(J$3&gt;='APA Assumptions'!$B$16,J$3&lt;'APA Assumptions'!$B$16+'APA Assumptions'!$B$17),'APA Assumptions'!$B$15,0)</f>
        <v/>
      </c>
      <c r="K10" s="734">
        <f>IF(AND(K$3&gt;='APA Assumptions'!$B$16,K$3&lt;'APA Assumptions'!$B$16+'APA Assumptions'!$B$17),'APA Assumptions'!$B$15,0)</f>
        <v/>
      </c>
      <c r="L10" s="734">
        <f>IF(AND(L$3&gt;='APA Assumptions'!$B$16,L$3&lt;'APA Assumptions'!$B$16+'APA Assumptions'!$B$17),'APA Assumptions'!$B$15,0)</f>
        <v/>
      </c>
      <c r="M10" s="734">
        <f>IF(AND(M$3&gt;='APA Assumptions'!$B$16,M$3&lt;'APA Assumptions'!$B$16+'APA Assumptions'!$B$17),'APA Assumptions'!$B$15,0)</f>
        <v/>
      </c>
      <c r="N10" s="734">
        <f>IF(AND(N$3&gt;='APA Assumptions'!$B$16,N$3&lt;'APA Assumptions'!$B$16+'APA Assumptions'!$B$17),'APA Assumptions'!$B$15,0)</f>
        <v/>
      </c>
      <c r="O10" s="734">
        <f>IF(AND(O$3&gt;='APA Assumptions'!$B$16,O$3&lt;'APA Assumptions'!$B$16+'APA Assumptions'!$B$17),'APA Assumptions'!$B$15,0)</f>
        <v/>
      </c>
      <c r="P10" s="734">
        <f>IF(AND(P$3&gt;='APA Assumptions'!$B$16,P$3&lt;'APA Assumptions'!$B$16+'APA Assumptions'!$B$17),'APA Assumptions'!$B$15,0)</f>
        <v/>
      </c>
      <c r="Q10" s="734">
        <f>IF(AND(Q$3&gt;='APA Assumptions'!$B$16,Q$3&lt;'APA Assumptions'!$B$16+'APA Assumptions'!$B$17),'APA Assumptions'!$B$15,0)</f>
        <v/>
      </c>
      <c r="R10" s="734">
        <f>IF(AND(R$3&gt;='APA Assumptions'!$B$16,R$3&lt;'APA Assumptions'!$B$16+'APA Assumptions'!$B$17),'APA Assumptions'!$B$15,0)</f>
        <v/>
      </c>
      <c r="S10" s="734">
        <f>IF(AND(S$3&gt;='APA Assumptions'!$B$16,S$3&lt;'APA Assumptions'!$B$16+'APA Assumptions'!$B$17),'APA Assumptions'!$B$15,0)</f>
        <v/>
      </c>
      <c r="T10" s="734">
        <f>IF(AND(T$3&gt;='APA Assumptions'!$B$16,T$3&lt;'APA Assumptions'!$B$16+'APA Assumptions'!$B$17),'APA Assumptions'!$B$15,0)</f>
        <v/>
      </c>
      <c r="U10" s="734">
        <f>IF(AND(U$3&gt;='APA Assumptions'!$B$16,U$3&lt;'APA Assumptions'!$B$16+'APA Assumptions'!$B$17),'APA Assumptions'!$B$15,0)</f>
        <v/>
      </c>
      <c r="V10" s="734">
        <f>IF(AND(V$3&gt;='APA Assumptions'!$B$16,V$3&lt;'APA Assumptions'!$B$16+'APA Assumptions'!$B$17),'APA Assumptions'!$B$15,0)</f>
        <v/>
      </c>
      <c r="W10" s="734">
        <f>IF(AND(W$3&gt;='APA Assumptions'!$B$16,W$3&lt;'APA Assumptions'!$B$16+'APA Assumptions'!$B$17),'APA Assumptions'!$B$15,0)</f>
        <v/>
      </c>
      <c r="X10" s="734">
        <f>IF(AND(X$3&gt;='APA Assumptions'!$B$16,X$3&lt;'APA Assumptions'!$B$16+'APA Assumptions'!$B$17),'APA Assumptions'!$B$15,0)</f>
        <v/>
      </c>
      <c r="Y10" s="734">
        <f>IF(AND(Y$3&gt;='APA Assumptions'!$B$16,Y$3&lt;'APA Assumptions'!$B$16+'APA Assumptions'!$B$17),'APA Assumptions'!$B$15,0)</f>
        <v/>
      </c>
      <c r="Z10" s="734">
        <f>IF(AND(Z$3&gt;='APA Assumptions'!$B$16,Z$3&lt;'APA Assumptions'!$B$16+'APA Assumptions'!$B$17),'APA Assumptions'!$B$15,0)</f>
        <v/>
      </c>
      <c r="AA10" s="734">
        <f>IF(AND(AA$3&gt;='APA Assumptions'!$B$16,AA$3&lt;'APA Assumptions'!$B$16+'APA Assumptions'!$B$17),'APA Assumptions'!$B$15,0)</f>
        <v/>
      </c>
      <c r="AB10" s="734">
        <f>IF(AND(AB$3&gt;='APA Assumptions'!$B$16,AB$3&lt;'APA Assumptions'!$B$16+'APA Assumptions'!$B$17),'APA Assumptions'!$B$15,0)</f>
        <v/>
      </c>
      <c r="AC10" s="734">
        <f>IF(AND(AC$3&gt;='APA Assumptions'!$B$16,AC$3&lt;'APA Assumptions'!$B$16+'APA Assumptions'!$B$17),'APA Assumptions'!$B$15,0)</f>
        <v/>
      </c>
      <c r="AD10" s="734">
        <f>IF(AND(AD$3&gt;='APA Assumptions'!$B$16,AD$3&lt;'APA Assumptions'!$B$16+'APA Assumptions'!$B$17),'APA Assumptions'!$B$15,0)</f>
        <v/>
      </c>
      <c r="AE10" s="734">
        <f>IF(AND(AE$3&gt;='APA Assumptions'!$B$16,AE$3&lt;'APA Assumptions'!$B$16+'APA Assumptions'!$B$17),'APA Assumptions'!$B$15,0)</f>
        <v/>
      </c>
      <c r="AF10" s="734">
        <f>IF(AND(AF$3&gt;='APA Assumptions'!$B$16,AF$3&lt;'APA Assumptions'!$B$16+'APA Assumptions'!$B$17),'APA Assumptions'!$B$15,0)</f>
        <v/>
      </c>
      <c r="AG10" s="734">
        <f>IF(AND(AG$3&gt;='APA Assumptions'!$B$16,AG$3&lt;'APA Assumptions'!$B$16+'APA Assumptions'!$B$17),'APA Assumptions'!$B$15,0)</f>
        <v/>
      </c>
      <c r="AH10" s="734">
        <f>IF(AND(AH$3&gt;='APA Assumptions'!$B$16,AH$3&lt;'APA Assumptions'!$B$16+'APA Assumptions'!$B$17),'APA Assumptions'!$B$15,0)</f>
        <v/>
      </c>
      <c r="AI10" s="734">
        <f>IF(AND(AI$3&gt;='APA Assumptions'!$B$16,AI$3&lt;'APA Assumptions'!$B$16+'APA Assumptions'!$B$17),'APA Assumptions'!$B$15,0)</f>
        <v/>
      </c>
      <c r="AJ10" s="734">
        <f>IF(AND(AJ$3&gt;='APA Assumptions'!$B$16,AJ$3&lt;'APA Assumptions'!$B$16+'APA Assumptions'!$B$17),'APA Assumptions'!$B$15,0)</f>
        <v/>
      </c>
      <c r="AK10" s="734">
        <f>IF(AND(AK$3&gt;='APA Assumptions'!$B$16,AK$3&lt;'APA Assumptions'!$B$16+'APA Assumptions'!$B$17),'APA Assumptions'!$B$15,0)</f>
        <v/>
      </c>
      <c r="AL10" s="734">
        <f>IF(AND(AL$3&gt;='APA Assumptions'!$B$16,AL$3&lt;'APA Assumptions'!$B$16+'APA Assumptions'!$B$17),'APA Assumptions'!$B$15,0)</f>
        <v/>
      </c>
      <c r="AM10" s="734">
        <f>IF(AND(AM$3&gt;='APA Assumptions'!$B$16,AM$3&lt;'APA Assumptions'!$B$16+'APA Assumptions'!$B$17),'APA Assumptions'!$B$15,0)</f>
        <v/>
      </c>
      <c r="AN10" s="734">
        <f>SUM(B10:AM10)</f>
        <v/>
      </c>
    </row>
    <row r="11" ht="15" customFormat="1" customHeight="1" s="380">
      <c r="A11" s="563" t="inlineStr">
        <is>
          <t>3rd Street: Schematic Design</t>
        </is>
      </c>
      <c r="B11" s="734">
        <f>IF(B$3&gt;='APA Assumptions'!$B$19,MAX(0,MIN('APA Assumptions'!$B$18,'APA Assumptions'!$B$20-'APA Assumptions'!$B$18*(B$3-'APA Assumptions'!$B$19))),0)</f>
        <v/>
      </c>
      <c r="C11" s="734">
        <f>IF(C$3&gt;='APA Assumptions'!$B$19,MAX(0,MIN('APA Assumptions'!$B$18,'APA Assumptions'!$B$20-'APA Assumptions'!$B$18*(C$3-'APA Assumptions'!$B$19))),0)</f>
        <v/>
      </c>
      <c r="D11" s="734">
        <f>IF(D$3&gt;='APA Assumptions'!$B$19,MAX(0,MIN('APA Assumptions'!$B$18,'APA Assumptions'!$B$20-'APA Assumptions'!$B$18*(D$3-'APA Assumptions'!$B$19))),0)</f>
        <v/>
      </c>
      <c r="E11" s="734">
        <f>IF(E$3&gt;='APA Assumptions'!$B$19,MAX(0,MIN('APA Assumptions'!$B$18,'APA Assumptions'!$B$20-'APA Assumptions'!$B$18*(E$3-'APA Assumptions'!$B$19))),0)</f>
        <v/>
      </c>
      <c r="F11" s="734">
        <f>IF(F$3&gt;='APA Assumptions'!$B$19,MAX(0,MIN('APA Assumptions'!$B$18,'APA Assumptions'!$B$20-'APA Assumptions'!$B$18*(F$3-'APA Assumptions'!$B$19))),0)</f>
        <v/>
      </c>
      <c r="G11" s="734">
        <f>IF(G$3&gt;='APA Assumptions'!$B$19,MAX(0,MIN('APA Assumptions'!$B$18,'APA Assumptions'!$B$20-'APA Assumptions'!$B$18*(G$3-'APA Assumptions'!$B$19))),0)</f>
        <v/>
      </c>
      <c r="H11" s="734">
        <f>IF(H$3&gt;='APA Assumptions'!$B$19,MAX(0,MIN('APA Assumptions'!$B$18,'APA Assumptions'!$B$20-'APA Assumptions'!$B$18*(H$3-'APA Assumptions'!$B$19))),0)</f>
        <v/>
      </c>
      <c r="I11" s="734">
        <f>IF(I$3&gt;='APA Assumptions'!$B$19,MAX(0,MIN('APA Assumptions'!$B$18,'APA Assumptions'!$B$20-'APA Assumptions'!$B$18*(I$3-'APA Assumptions'!$B$19))),0)</f>
        <v/>
      </c>
      <c r="J11" s="734">
        <f>IF(J$3&gt;='APA Assumptions'!$B$19,MAX(0,MIN('APA Assumptions'!$B$18,'APA Assumptions'!$B$20-'APA Assumptions'!$B$18*(J$3-'APA Assumptions'!$B$19))),0)</f>
        <v/>
      </c>
      <c r="K11" s="734">
        <f>IF(K$3&gt;='APA Assumptions'!$B$19,MAX(0,MIN('APA Assumptions'!$B$18,'APA Assumptions'!$B$20-'APA Assumptions'!$B$18*(K$3-'APA Assumptions'!$B$19))),0)</f>
        <v/>
      </c>
      <c r="L11" s="734">
        <f>IF(L$3&gt;='APA Assumptions'!$B$19,MAX(0,MIN('APA Assumptions'!$B$18,'APA Assumptions'!$B$20-'APA Assumptions'!$B$18*(L$3-'APA Assumptions'!$B$19))),0)</f>
        <v/>
      </c>
      <c r="M11" s="734">
        <f>IF(M$3&gt;='APA Assumptions'!$B$19,MAX(0,MIN('APA Assumptions'!$B$18,'APA Assumptions'!$B$20-'APA Assumptions'!$B$18*(M$3-'APA Assumptions'!$B$19))),0)</f>
        <v/>
      </c>
      <c r="N11" s="734">
        <f>IF(N$3&gt;='APA Assumptions'!$B$19,MAX(0,MIN('APA Assumptions'!$B$18,'APA Assumptions'!$B$20-'APA Assumptions'!$B$18*(N$3-'APA Assumptions'!$B$19))),0)</f>
        <v/>
      </c>
      <c r="O11" s="734">
        <f>IF(O$3&gt;='APA Assumptions'!$B$19,MAX(0,MIN('APA Assumptions'!$B$18,'APA Assumptions'!$B$20-'APA Assumptions'!$B$18*(O$3-'APA Assumptions'!$B$19))),0)</f>
        <v/>
      </c>
      <c r="P11" s="734">
        <f>IF(P$3&gt;='APA Assumptions'!$B$19,MAX(0,MIN('APA Assumptions'!$B$18,'APA Assumptions'!$B$20-'APA Assumptions'!$B$18*(P$3-'APA Assumptions'!$B$19))),0)</f>
        <v/>
      </c>
      <c r="Q11" s="734">
        <f>IF(Q$3&gt;='APA Assumptions'!$B$19,MAX(0,MIN('APA Assumptions'!$B$18,'APA Assumptions'!$B$20-'APA Assumptions'!$B$18*(Q$3-'APA Assumptions'!$B$19))),0)</f>
        <v/>
      </c>
      <c r="R11" s="734">
        <f>IF(R$3&gt;='APA Assumptions'!$B$19,MAX(0,MIN('APA Assumptions'!$B$18,'APA Assumptions'!$B$20-'APA Assumptions'!$B$18*(R$3-'APA Assumptions'!$B$19))),0)</f>
        <v/>
      </c>
      <c r="S11" s="734">
        <f>IF(S$3&gt;='APA Assumptions'!$B$19,MAX(0,MIN('APA Assumptions'!$B$18,'APA Assumptions'!$B$20-'APA Assumptions'!$B$18*(S$3-'APA Assumptions'!$B$19))),0)</f>
        <v/>
      </c>
      <c r="T11" s="734">
        <f>IF(T$3&gt;='APA Assumptions'!$B$19,MAX(0,MIN('APA Assumptions'!$B$18,'APA Assumptions'!$B$20-'APA Assumptions'!$B$18*(T$3-'APA Assumptions'!$B$19))),0)</f>
        <v/>
      </c>
      <c r="U11" s="734">
        <f>IF(U$3&gt;='APA Assumptions'!$B$19,MAX(0,MIN('APA Assumptions'!$B$18,'APA Assumptions'!$B$20-'APA Assumptions'!$B$18*(U$3-'APA Assumptions'!$B$19))),0)</f>
        <v/>
      </c>
      <c r="V11" s="734">
        <f>IF(V$3&gt;='APA Assumptions'!$B$19,MAX(0,MIN('APA Assumptions'!$B$18,'APA Assumptions'!$B$20-'APA Assumptions'!$B$18*(V$3-'APA Assumptions'!$B$19))),0)</f>
        <v/>
      </c>
      <c r="W11" s="734">
        <f>IF(W$3&gt;='APA Assumptions'!$B$19,MAX(0,MIN('APA Assumptions'!$B$18,'APA Assumptions'!$B$20-'APA Assumptions'!$B$18*(W$3-'APA Assumptions'!$B$19))),0)</f>
        <v/>
      </c>
      <c r="X11" s="734">
        <f>IF(X$3&gt;='APA Assumptions'!$B$19,MAX(0,MIN('APA Assumptions'!$B$18,'APA Assumptions'!$B$20-'APA Assumptions'!$B$18*(X$3-'APA Assumptions'!$B$19))),0)</f>
        <v/>
      </c>
      <c r="Y11" s="734">
        <f>IF(Y$3&gt;='APA Assumptions'!$B$19,MAX(0,MIN('APA Assumptions'!$B$18,'APA Assumptions'!$B$20-'APA Assumptions'!$B$18*(Y$3-'APA Assumptions'!$B$19))),0)</f>
        <v/>
      </c>
      <c r="Z11" s="734">
        <f>IF(Z$3&gt;='APA Assumptions'!$B$19,MAX(0,MIN('APA Assumptions'!$B$18,'APA Assumptions'!$B$20-'APA Assumptions'!$B$18*(Z$3-'APA Assumptions'!$B$19))),0)</f>
        <v/>
      </c>
      <c r="AA11" s="734">
        <f>IF(AA$3&gt;='APA Assumptions'!$B$19,MAX(0,MIN('APA Assumptions'!$B$18,'APA Assumptions'!$B$20-'APA Assumptions'!$B$18*(AA$3-'APA Assumptions'!$B$19))),0)</f>
        <v/>
      </c>
      <c r="AB11" s="734">
        <f>IF(AB$3&gt;='APA Assumptions'!$B$19,MAX(0,MIN('APA Assumptions'!$B$18,'APA Assumptions'!$B$20-'APA Assumptions'!$B$18*(AB$3-'APA Assumptions'!$B$19))),0)</f>
        <v/>
      </c>
      <c r="AC11" s="734">
        <f>IF(AC$3&gt;='APA Assumptions'!$B$19,MAX(0,MIN('APA Assumptions'!$B$18,'APA Assumptions'!$B$20-'APA Assumptions'!$B$18*(AC$3-'APA Assumptions'!$B$19))),0)</f>
        <v/>
      </c>
      <c r="AD11" s="734">
        <f>IF(AD$3&gt;='APA Assumptions'!$B$19,MAX(0,MIN('APA Assumptions'!$B$18,'APA Assumptions'!$B$20-'APA Assumptions'!$B$18*(AD$3-'APA Assumptions'!$B$19))),0)</f>
        <v/>
      </c>
      <c r="AE11" s="734">
        <f>IF(AE$3&gt;='APA Assumptions'!$B$19,MAX(0,MIN('APA Assumptions'!$B$18,'APA Assumptions'!$B$20-'APA Assumptions'!$B$18*(AE$3-'APA Assumptions'!$B$19))),0)</f>
        <v/>
      </c>
      <c r="AF11" s="734">
        <f>IF(AF$3&gt;='APA Assumptions'!$B$19,MAX(0,MIN('APA Assumptions'!$B$18,'APA Assumptions'!$B$20-'APA Assumptions'!$B$18*(AF$3-'APA Assumptions'!$B$19))),0)</f>
        <v/>
      </c>
      <c r="AG11" s="734">
        <f>IF(AG$3&gt;='APA Assumptions'!$B$19,MAX(0,MIN('APA Assumptions'!$B$18,'APA Assumptions'!$B$20-'APA Assumptions'!$B$18*(AG$3-'APA Assumptions'!$B$19))),0)</f>
        <v/>
      </c>
      <c r="AH11" s="734">
        <f>IF(AH$3&gt;='APA Assumptions'!$B$19,MAX(0,MIN('APA Assumptions'!$B$18,'APA Assumptions'!$B$20-'APA Assumptions'!$B$18*(AH$3-'APA Assumptions'!$B$19))),0)</f>
        <v/>
      </c>
      <c r="AI11" s="734">
        <f>IF(AI$3&gt;='APA Assumptions'!$B$19,MAX(0,MIN('APA Assumptions'!$B$18,'APA Assumptions'!$B$20-'APA Assumptions'!$B$18*(AI$3-'APA Assumptions'!$B$19))),0)</f>
        <v/>
      </c>
      <c r="AJ11" s="734">
        <f>IF(AJ$3&gt;='APA Assumptions'!$B$19,MAX(0,MIN('APA Assumptions'!$B$18,'APA Assumptions'!$B$20-'APA Assumptions'!$B$18*(AJ$3-'APA Assumptions'!$B$19))),0)</f>
        <v/>
      </c>
      <c r="AK11" s="734">
        <f>IF(AK$3&gt;='APA Assumptions'!$B$19,MAX(0,MIN('APA Assumptions'!$B$18,'APA Assumptions'!$B$20-'APA Assumptions'!$B$18*(AK$3-'APA Assumptions'!$B$19))),0)</f>
        <v/>
      </c>
      <c r="AL11" s="734">
        <f>IF(AL$3&gt;='APA Assumptions'!$B$19,MAX(0,MIN('APA Assumptions'!$B$18,'APA Assumptions'!$B$20-'APA Assumptions'!$B$18*(AL$3-'APA Assumptions'!$B$19))),0)</f>
        <v/>
      </c>
      <c r="AM11" s="734">
        <f>IF(AM$3&gt;='APA Assumptions'!$B$19,MAX(0,MIN('APA Assumptions'!$B$18,'APA Assumptions'!$B$20-'APA Assumptions'!$B$18*(AM$3-'APA Assumptions'!$B$19))),0)</f>
        <v/>
      </c>
      <c r="AN11" s="734">
        <f>SUM(B11:AM11)</f>
        <v/>
      </c>
    </row>
    <row r="12" ht="15" customFormat="1" customHeight="1" s="380">
      <c r="A12" s="563" t="inlineStr">
        <is>
          <t>3rd Street: CD / Bid / Permit</t>
        </is>
      </c>
      <c r="B12" s="734">
        <f>IF(AND(B$3&gt;='APA Assumptions'!$B$22,B$3&lt;'APA Assumptions'!$B$22+'APA Assumptions'!$B$23),'APA Assumptions'!$B$24,0)</f>
        <v/>
      </c>
      <c r="C12" s="734">
        <f>IF(AND(C$3&gt;='APA Assumptions'!$B$22,C$3&lt;'APA Assumptions'!$B$22+'APA Assumptions'!$B$23),'APA Assumptions'!$B$24,0)</f>
        <v/>
      </c>
      <c r="D12" s="734">
        <f>IF(AND(D$3&gt;='APA Assumptions'!$B$22,D$3&lt;'APA Assumptions'!$B$22+'APA Assumptions'!$B$23),'APA Assumptions'!$B$24,0)</f>
        <v/>
      </c>
      <c r="E12" s="734">
        <f>IF(AND(E$3&gt;='APA Assumptions'!$B$22,E$3&lt;'APA Assumptions'!$B$22+'APA Assumptions'!$B$23),'APA Assumptions'!$B$24,0)</f>
        <v/>
      </c>
      <c r="F12" s="734">
        <f>IF(AND(F$3&gt;='APA Assumptions'!$B$22,F$3&lt;'APA Assumptions'!$B$22+'APA Assumptions'!$B$23),'APA Assumptions'!$B$24,0)</f>
        <v/>
      </c>
      <c r="G12" s="734">
        <f>IF(AND(G$3&gt;='APA Assumptions'!$B$22,G$3&lt;'APA Assumptions'!$B$22+'APA Assumptions'!$B$23),'APA Assumptions'!$B$24,0)</f>
        <v/>
      </c>
      <c r="H12" s="734">
        <f>IF(AND(H$3&gt;='APA Assumptions'!$B$22,H$3&lt;'APA Assumptions'!$B$22+'APA Assumptions'!$B$23),'APA Assumptions'!$B$24,0)</f>
        <v/>
      </c>
      <c r="I12" s="734">
        <f>IF(AND(I$3&gt;='APA Assumptions'!$B$22,I$3&lt;'APA Assumptions'!$B$22+'APA Assumptions'!$B$23),'APA Assumptions'!$B$24,0)</f>
        <v/>
      </c>
      <c r="J12" s="734">
        <f>IF(AND(J$3&gt;='APA Assumptions'!$B$22,J$3&lt;'APA Assumptions'!$B$22+'APA Assumptions'!$B$23),'APA Assumptions'!$B$24,0)</f>
        <v/>
      </c>
      <c r="K12" s="734">
        <f>IF(AND(K$3&gt;='APA Assumptions'!$B$22,K$3&lt;'APA Assumptions'!$B$22+'APA Assumptions'!$B$23),'APA Assumptions'!$B$24,0)</f>
        <v/>
      </c>
      <c r="L12" s="734">
        <f>IF(AND(L$3&gt;='APA Assumptions'!$B$22,L$3&lt;'APA Assumptions'!$B$22+'APA Assumptions'!$B$23),'APA Assumptions'!$B$24,0)</f>
        <v/>
      </c>
      <c r="M12" s="734">
        <f>IF(AND(M$3&gt;='APA Assumptions'!$B$22,M$3&lt;'APA Assumptions'!$B$22+'APA Assumptions'!$B$23),'APA Assumptions'!$B$24,0)</f>
        <v/>
      </c>
      <c r="N12" s="734">
        <f>IF(AND(N$3&gt;='APA Assumptions'!$B$22,N$3&lt;'APA Assumptions'!$B$22+'APA Assumptions'!$B$23),'APA Assumptions'!$B$24,0)</f>
        <v/>
      </c>
      <c r="O12" s="734">
        <f>IF(AND(O$3&gt;='APA Assumptions'!$B$22,O$3&lt;'APA Assumptions'!$B$22+'APA Assumptions'!$B$23),'APA Assumptions'!$B$24,0)</f>
        <v/>
      </c>
      <c r="P12" s="734">
        <f>IF(AND(P$3&gt;='APA Assumptions'!$B$22,P$3&lt;'APA Assumptions'!$B$22+'APA Assumptions'!$B$23),'APA Assumptions'!$B$24,0)</f>
        <v/>
      </c>
      <c r="Q12" s="734">
        <f>IF(AND(Q$3&gt;='APA Assumptions'!$B$22,Q$3&lt;'APA Assumptions'!$B$22+'APA Assumptions'!$B$23),'APA Assumptions'!$B$24,0)</f>
        <v/>
      </c>
      <c r="R12" s="734">
        <f>IF(AND(R$3&gt;='APA Assumptions'!$B$22,R$3&lt;'APA Assumptions'!$B$22+'APA Assumptions'!$B$23),'APA Assumptions'!$B$24,0)</f>
        <v/>
      </c>
      <c r="S12" s="734">
        <f>IF(AND(S$3&gt;='APA Assumptions'!$B$22,S$3&lt;'APA Assumptions'!$B$22+'APA Assumptions'!$B$23),'APA Assumptions'!$B$24,0)</f>
        <v/>
      </c>
      <c r="T12" s="734">
        <f>IF(AND(T$3&gt;='APA Assumptions'!$B$22,T$3&lt;'APA Assumptions'!$B$22+'APA Assumptions'!$B$23),'APA Assumptions'!$B$24,0)</f>
        <v/>
      </c>
      <c r="U12" s="734">
        <f>IF(AND(U$3&gt;='APA Assumptions'!$B$22,U$3&lt;'APA Assumptions'!$B$22+'APA Assumptions'!$B$23),'APA Assumptions'!$B$24,0)</f>
        <v/>
      </c>
      <c r="V12" s="734">
        <f>IF(AND(V$3&gt;='APA Assumptions'!$B$22,V$3&lt;'APA Assumptions'!$B$22+'APA Assumptions'!$B$23),'APA Assumptions'!$B$24,0)</f>
        <v/>
      </c>
      <c r="W12" s="734">
        <f>IF(AND(W$3&gt;='APA Assumptions'!$B$22,W$3&lt;'APA Assumptions'!$B$22+'APA Assumptions'!$B$23),'APA Assumptions'!$B$24,0)</f>
        <v/>
      </c>
      <c r="X12" s="734">
        <f>IF(AND(X$3&gt;='APA Assumptions'!$B$22,X$3&lt;'APA Assumptions'!$B$22+'APA Assumptions'!$B$23),'APA Assumptions'!$B$24,0)</f>
        <v/>
      </c>
      <c r="Y12" s="734">
        <f>IF(AND(Y$3&gt;='APA Assumptions'!$B$22,Y$3&lt;'APA Assumptions'!$B$22+'APA Assumptions'!$B$23),'APA Assumptions'!$B$24,0)</f>
        <v/>
      </c>
      <c r="Z12" s="734">
        <f>IF(AND(Z$3&gt;='APA Assumptions'!$B$22,Z$3&lt;'APA Assumptions'!$B$22+'APA Assumptions'!$B$23),'APA Assumptions'!$B$24,0)</f>
        <v/>
      </c>
      <c r="AA12" s="734">
        <f>IF(AND(AA$3&gt;='APA Assumptions'!$B$22,AA$3&lt;'APA Assumptions'!$B$22+'APA Assumptions'!$B$23),'APA Assumptions'!$B$24,0)</f>
        <v/>
      </c>
      <c r="AB12" s="734">
        <f>IF(AND(AB$3&gt;='APA Assumptions'!$B$22,AB$3&lt;'APA Assumptions'!$B$22+'APA Assumptions'!$B$23),'APA Assumptions'!$B$24,0)</f>
        <v/>
      </c>
      <c r="AC12" s="734">
        <f>IF(AND(AC$3&gt;='APA Assumptions'!$B$22,AC$3&lt;'APA Assumptions'!$B$22+'APA Assumptions'!$B$23),'APA Assumptions'!$B$24,0)</f>
        <v/>
      </c>
      <c r="AD12" s="734">
        <f>IF(AND(AD$3&gt;='APA Assumptions'!$B$22,AD$3&lt;'APA Assumptions'!$B$22+'APA Assumptions'!$B$23),'APA Assumptions'!$B$24,0)</f>
        <v/>
      </c>
      <c r="AE12" s="734">
        <f>IF(AND(AE$3&gt;='APA Assumptions'!$B$22,AE$3&lt;'APA Assumptions'!$B$22+'APA Assumptions'!$B$23),'APA Assumptions'!$B$24,0)</f>
        <v/>
      </c>
      <c r="AF12" s="734">
        <f>IF(AND(AF$3&gt;='APA Assumptions'!$B$22,AF$3&lt;'APA Assumptions'!$B$22+'APA Assumptions'!$B$23),'APA Assumptions'!$B$24,0)</f>
        <v/>
      </c>
      <c r="AG12" s="734">
        <f>IF(AND(AG$3&gt;='APA Assumptions'!$B$22,AG$3&lt;'APA Assumptions'!$B$22+'APA Assumptions'!$B$23),'APA Assumptions'!$B$24,0)</f>
        <v/>
      </c>
      <c r="AH12" s="734">
        <f>IF(AND(AH$3&gt;='APA Assumptions'!$B$22,AH$3&lt;'APA Assumptions'!$B$22+'APA Assumptions'!$B$23),'APA Assumptions'!$B$24,0)</f>
        <v/>
      </c>
      <c r="AI12" s="734">
        <f>IF(AND(AI$3&gt;='APA Assumptions'!$B$22,AI$3&lt;'APA Assumptions'!$B$22+'APA Assumptions'!$B$23),'APA Assumptions'!$B$24,0)</f>
        <v/>
      </c>
      <c r="AJ12" s="734">
        <f>IF(AND(AJ$3&gt;='APA Assumptions'!$B$22,AJ$3&lt;'APA Assumptions'!$B$22+'APA Assumptions'!$B$23),'APA Assumptions'!$B$24,0)</f>
        <v/>
      </c>
      <c r="AK12" s="734">
        <f>IF(AND(AK$3&gt;='APA Assumptions'!$B$22,AK$3&lt;'APA Assumptions'!$B$22+'APA Assumptions'!$B$23),'APA Assumptions'!$B$24,0)</f>
        <v/>
      </c>
      <c r="AL12" s="734">
        <f>IF(AND(AL$3&gt;='APA Assumptions'!$B$22,AL$3&lt;'APA Assumptions'!$B$22+'APA Assumptions'!$B$23),'APA Assumptions'!$B$24,0)</f>
        <v/>
      </c>
      <c r="AM12" s="734">
        <f>IF(AND(AM$3&gt;='APA Assumptions'!$B$22,AM$3&lt;'APA Assumptions'!$B$22+'APA Assumptions'!$B$23),'APA Assumptions'!$B$24,0)</f>
        <v/>
      </c>
      <c r="AN12" s="734">
        <f>SUM(B12:AM12)</f>
        <v/>
      </c>
    </row>
    <row r="13" ht="15" customFormat="1" customHeight="1" s="380">
      <c r="A13" s="563" t="inlineStr">
        <is>
          <t>3rd Street: Construction Admin</t>
        </is>
      </c>
      <c r="B13" s="734">
        <f>IF(AND(B$3&gt;='APA Assumptions'!$B$26,B$3&lt;'APA Assumptions'!$B$26+'APA Assumptions'!$B$27),'APA Assumptions'!$B$25,0)</f>
        <v/>
      </c>
      <c r="C13" s="734">
        <f>IF(AND(C$3&gt;='APA Assumptions'!$B$26,C$3&lt;'APA Assumptions'!$B$26+'APA Assumptions'!$B$27),'APA Assumptions'!$B$25,0)</f>
        <v/>
      </c>
      <c r="D13" s="734">
        <f>IF(AND(D$3&gt;='APA Assumptions'!$B$26,D$3&lt;'APA Assumptions'!$B$26+'APA Assumptions'!$B$27),'APA Assumptions'!$B$25,0)</f>
        <v/>
      </c>
      <c r="E13" s="734">
        <f>IF(AND(E$3&gt;='APA Assumptions'!$B$26,E$3&lt;'APA Assumptions'!$B$26+'APA Assumptions'!$B$27),'APA Assumptions'!$B$25,0)</f>
        <v/>
      </c>
      <c r="F13" s="734">
        <f>IF(AND(F$3&gt;='APA Assumptions'!$B$26,F$3&lt;'APA Assumptions'!$B$26+'APA Assumptions'!$B$27),'APA Assumptions'!$B$25,0)</f>
        <v/>
      </c>
      <c r="G13" s="734">
        <f>IF(AND(G$3&gt;='APA Assumptions'!$B$26,G$3&lt;'APA Assumptions'!$B$26+'APA Assumptions'!$B$27),'APA Assumptions'!$B$25,0)</f>
        <v/>
      </c>
      <c r="H13" s="734">
        <f>IF(AND(H$3&gt;='APA Assumptions'!$B$26,H$3&lt;'APA Assumptions'!$B$26+'APA Assumptions'!$B$27),'APA Assumptions'!$B$25,0)</f>
        <v/>
      </c>
      <c r="I13" s="734">
        <f>IF(AND(I$3&gt;='APA Assumptions'!$B$26,I$3&lt;'APA Assumptions'!$B$26+'APA Assumptions'!$B$27),'APA Assumptions'!$B$25,0)</f>
        <v/>
      </c>
      <c r="J13" s="734">
        <f>IF(AND(J$3&gt;='APA Assumptions'!$B$26,J$3&lt;'APA Assumptions'!$B$26+'APA Assumptions'!$B$27),'APA Assumptions'!$B$25,0)</f>
        <v/>
      </c>
      <c r="K13" s="734">
        <f>IF(AND(K$3&gt;='APA Assumptions'!$B$26,K$3&lt;'APA Assumptions'!$B$26+'APA Assumptions'!$B$27),'APA Assumptions'!$B$25,0)</f>
        <v/>
      </c>
      <c r="L13" s="734">
        <f>IF(AND(L$3&gt;='APA Assumptions'!$B$26,L$3&lt;'APA Assumptions'!$B$26+'APA Assumptions'!$B$27),'APA Assumptions'!$B$25,0)</f>
        <v/>
      </c>
      <c r="M13" s="734">
        <f>IF(AND(M$3&gt;='APA Assumptions'!$B$26,M$3&lt;'APA Assumptions'!$B$26+'APA Assumptions'!$B$27),'APA Assumptions'!$B$25,0)</f>
        <v/>
      </c>
      <c r="N13" s="734">
        <f>IF(AND(N$3&gt;='APA Assumptions'!$B$26,N$3&lt;'APA Assumptions'!$B$26+'APA Assumptions'!$B$27),'APA Assumptions'!$B$25,0)</f>
        <v/>
      </c>
      <c r="O13" s="734">
        <f>IF(AND(O$3&gt;='APA Assumptions'!$B$26,O$3&lt;'APA Assumptions'!$B$26+'APA Assumptions'!$B$27),'APA Assumptions'!$B$25,0)</f>
        <v/>
      </c>
      <c r="P13" s="734">
        <f>IF(AND(P$3&gt;='APA Assumptions'!$B$26,P$3&lt;'APA Assumptions'!$B$26+'APA Assumptions'!$B$27),'APA Assumptions'!$B$25,0)</f>
        <v/>
      </c>
      <c r="Q13" s="734">
        <f>IF(AND(Q$3&gt;='APA Assumptions'!$B$26,Q$3&lt;'APA Assumptions'!$B$26+'APA Assumptions'!$B$27),'APA Assumptions'!$B$25,0)</f>
        <v/>
      </c>
      <c r="R13" s="734">
        <f>IF(AND(R$3&gt;='APA Assumptions'!$B$26,R$3&lt;'APA Assumptions'!$B$26+'APA Assumptions'!$B$27),'APA Assumptions'!$B$25,0)</f>
        <v/>
      </c>
      <c r="S13" s="734">
        <f>IF(AND(S$3&gt;='APA Assumptions'!$B$26,S$3&lt;'APA Assumptions'!$B$26+'APA Assumptions'!$B$27),'APA Assumptions'!$B$25,0)</f>
        <v/>
      </c>
      <c r="T13" s="734">
        <f>IF(AND(T$3&gt;='APA Assumptions'!$B$26,T$3&lt;'APA Assumptions'!$B$26+'APA Assumptions'!$B$27),'APA Assumptions'!$B$25,0)</f>
        <v/>
      </c>
      <c r="U13" s="734">
        <f>IF(AND(U$3&gt;='APA Assumptions'!$B$26,U$3&lt;'APA Assumptions'!$B$26+'APA Assumptions'!$B$27),'APA Assumptions'!$B$25,0)</f>
        <v/>
      </c>
      <c r="V13" s="734">
        <f>IF(AND(V$3&gt;='APA Assumptions'!$B$26,V$3&lt;'APA Assumptions'!$B$26+'APA Assumptions'!$B$27),'APA Assumptions'!$B$25,0)</f>
        <v/>
      </c>
      <c r="W13" s="734">
        <f>IF(AND(W$3&gt;='APA Assumptions'!$B$26,W$3&lt;'APA Assumptions'!$B$26+'APA Assumptions'!$B$27),'APA Assumptions'!$B$25,0)</f>
        <v/>
      </c>
      <c r="X13" s="734">
        <f>IF(AND(X$3&gt;='APA Assumptions'!$B$26,X$3&lt;'APA Assumptions'!$B$26+'APA Assumptions'!$B$27),'APA Assumptions'!$B$25,0)</f>
        <v/>
      </c>
      <c r="Y13" s="734">
        <f>IF(AND(Y$3&gt;='APA Assumptions'!$B$26,Y$3&lt;'APA Assumptions'!$B$26+'APA Assumptions'!$B$27),'APA Assumptions'!$B$25,0)</f>
        <v/>
      </c>
      <c r="Z13" s="734">
        <f>IF(AND(Z$3&gt;='APA Assumptions'!$B$26,Z$3&lt;'APA Assumptions'!$B$26+'APA Assumptions'!$B$27),'APA Assumptions'!$B$25,0)</f>
        <v/>
      </c>
      <c r="AA13" s="734">
        <f>IF(AND(AA$3&gt;='APA Assumptions'!$B$26,AA$3&lt;'APA Assumptions'!$B$26+'APA Assumptions'!$B$27),'APA Assumptions'!$B$25,0)</f>
        <v/>
      </c>
      <c r="AB13" s="734">
        <f>IF(AND(AB$3&gt;='APA Assumptions'!$B$26,AB$3&lt;'APA Assumptions'!$B$26+'APA Assumptions'!$B$27),'APA Assumptions'!$B$25,0)</f>
        <v/>
      </c>
      <c r="AC13" s="734">
        <f>IF(AND(AC$3&gt;='APA Assumptions'!$B$26,AC$3&lt;'APA Assumptions'!$B$26+'APA Assumptions'!$B$27),'APA Assumptions'!$B$25,0)</f>
        <v/>
      </c>
      <c r="AD13" s="734">
        <f>IF(AND(AD$3&gt;='APA Assumptions'!$B$26,AD$3&lt;'APA Assumptions'!$B$26+'APA Assumptions'!$B$27),'APA Assumptions'!$B$25,0)</f>
        <v/>
      </c>
      <c r="AE13" s="734">
        <f>IF(AND(AE$3&gt;='APA Assumptions'!$B$26,AE$3&lt;'APA Assumptions'!$B$26+'APA Assumptions'!$B$27),'APA Assumptions'!$B$25,0)</f>
        <v/>
      </c>
      <c r="AF13" s="734">
        <f>IF(AND(AF$3&gt;='APA Assumptions'!$B$26,AF$3&lt;'APA Assumptions'!$B$26+'APA Assumptions'!$B$27),'APA Assumptions'!$B$25,0)</f>
        <v/>
      </c>
      <c r="AG13" s="734">
        <f>IF(AND(AG$3&gt;='APA Assumptions'!$B$26,AG$3&lt;'APA Assumptions'!$B$26+'APA Assumptions'!$B$27),'APA Assumptions'!$B$25,0)</f>
        <v/>
      </c>
      <c r="AH13" s="734">
        <f>IF(AND(AH$3&gt;='APA Assumptions'!$B$26,AH$3&lt;'APA Assumptions'!$B$26+'APA Assumptions'!$B$27),'APA Assumptions'!$B$25,0)</f>
        <v/>
      </c>
      <c r="AI13" s="734">
        <f>IF(AND(AI$3&gt;='APA Assumptions'!$B$26,AI$3&lt;'APA Assumptions'!$B$26+'APA Assumptions'!$B$27),'APA Assumptions'!$B$25,0)</f>
        <v/>
      </c>
      <c r="AJ13" s="734">
        <f>IF(AND(AJ$3&gt;='APA Assumptions'!$B$26,AJ$3&lt;'APA Assumptions'!$B$26+'APA Assumptions'!$B$27),'APA Assumptions'!$B$25,0)</f>
        <v/>
      </c>
      <c r="AK13" s="734">
        <f>IF(AND(AK$3&gt;='APA Assumptions'!$B$26,AK$3&lt;'APA Assumptions'!$B$26+'APA Assumptions'!$B$27),'APA Assumptions'!$B$25,0)</f>
        <v/>
      </c>
      <c r="AL13" s="734">
        <f>IF(AND(AL$3&gt;='APA Assumptions'!$B$26,AL$3&lt;'APA Assumptions'!$B$26+'APA Assumptions'!$B$27),'APA Assumptions'!$B$25,0)</f>
        <v/>
      </c>
      <c r="AM13" s="734">
        <f>IF(AND(AM$3&gt;='APA Assumptions'!$B$26,AM$3&lt;'APA Assumptions'!$B$26+'APA Assumptions'!$B$27),'APA Assumptions'!$B$25,0)</f>
        <v/>
      </c>
      <c r="AN13" s="734">
        <f>SUM(B13:AM13)</f>
        <v/>
      </c>
    </row>
    <row r="14" ht="15" customFormat="1" customHeight="1" s="380">
      <c r="A14" s="740" t="inlineStr">
        <is>
          <t>Total revenue</t>
        </is>
      </c>
      <c r="B14" s="741">
        <f>SUM(B7:B13)</f>
        <v/>
      </c>
      <c r="C14" s="741">
        <f>SUM(C7:C13)</f>
        <v/>
      </c>
      <c r="D14" s="741">
        <f>SUM(D7:D13)</f>
        <v/>
      </c>
      <c r="E14" s="741">
        <f>SUM(E7:E13)</f>
        <v/>
      </c>
      <c r="F14" s="741">
        <f>SUM(F7:F13)</f>
        <v/>
      </c>
      <c r="G14" s="741">
        <f>SUM(G7:G13)</f>
        <v/>
      </c>
      <c r="H14" s="741">
        <f>SUM(H7:H13)</f>
        <v/>
      </c>
      <c r="I14" s="741">
        <f>SUM(I7:I13)</f>
        <v/>
      </c>
      <c r="J14" s="741">
        <f>SUM(J7:J13)</f>
        <v/>
      </c>
      <c r="K14" s="741">
        <f>SUM(K7:K13)</f>
        <v/>
      </c>
      <c r="L14" s="741">
        <f>SUM(L7:L13)</f>
        <v/>
      </c>
      <c r="M14" s="741">
        <f>SUM(M7:M13)</f>
        <v/>
      </c>
      <c r="N14" s="741">
        <f>SUM(N7:N13)</f>
        <v/>
      </c>
      <c r="O14" s="741">
        <f>SUM(O7:O13)</f>
        <v/>
      </c>
      <c r="P14" s="741">
        <f>SUM(P7:P13)</f>
        <v/>
      </c>
      <c r="Q14" s="741">
        <f>SUM(Q7:Q13)</f>
        <v/>
      </c>
      <c r="R14" s="741">
        <f>SUM(R7:R13)</f>
        <v/>
      </c>
      <c r="S14" s="741">
        <f>SUM(S7:S13)</f>
        <v/>
      </c>
      <c r="T14" s="741">
        <f>SUM(T7:T13)</f>
        <v/>
      </c>
      <c r="U14" s="741">
        <f>SUM(U7:U13)</f>
        <v/>
      </c>
      <c r="V14" s="741">
        <f>SUM(V7:V13)</f>
        <v/>
      </c>
      <c r="W14" s="741">
        <f>SUM(W7:W13)</f>
        <v/>
      </c>
      <c r="X14" s="741">
        <f>SUM(X7:X13)</f>
        <v/>
      </c>
      <c r="Y14" s="741">
        <f>SUM(Y7:Y13)</f>
        <v/>
      </c>
      <c r="Z14" s="741">
        <f>SUM(Z7:Z13)</f>
        <v/>
      </c>
      <c r="AA14" s="741">
        <f>SUM(AA7:AA13)</f>
        <v/>
      </c>
      <c r="AB14" s="741">
        <f>SUM(AB7:AB13)</f>
        <v/>
      </c>
      <c r="AC14" s="741">
        <f>SUM(AC7:AC13)</f>
        <v/>
      </c>
      <c r="AD14" s="741">
        <f>SUM(AD7:AD13)</f>
        <v/>
      </c>
      <c r="AE14" s="741">
        <f>SUM(AE7:AE13)</f>
        <v/>
      </c>
      <c r="AF14" s="741">
        <f>SUM(AF7:AF13)</f>
        <v/>
      </c>
      <c r="AG14" s="741">
        <f>SUM(AG7:AG13)</f>
        <v/>
      </c>
      <c r="AH14" s="741">
        <f>SUM(AH7:AH13)</f>
        <v/>
      </c>
      <c r="AI14" s="741">
        <f>SUM(AI7:AI13)</f>
        <v/>
      </c>
      <c r="AJ14" s="741">
        <f>SUM(AJ7:AJ13)</f>
        <v/>
      </c>
      <c r="AK14" s="741">
        <f>SUM(AK7:AK13)</f>
        <v/>
      </c>
      <c r="AL14" s="741">
        <f>SUM(AL7:AL13)</f>
        <v/>
      </c>
      <c r="AM14" s="741">
        <f>SUM(AM7:AM13)</f>
        <v/>
      </c>
      <c r="AN14" s="741">
        <f>SUM(B14:AM14)</f>
        <v/>
      </c>
    </row>
    <row r="16" ht="15" customFormat="1" customHeight="1" s="380">
      <c r="A16" s="402" t="inlineStr">
        <is>
          <t>EXPENSES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  <c r="AL16" s="402" t="n"/>
      <c r="AM16" s="402" t="n"/>
      <c r="AN16" s="402" t="n"/>
    </row>
    <row r="17" ht="15" customFormat="1" customHeight="1" s="380">
      <c r="A17" s="563" t="inlineStr">
        <is>
          <t>Partner draw (APA Inc.)</t>
        </is>
      </c>
      <c r="B17" s="734">
        <f>IF(B$3&gt;='APA Assumptions'!$B$31,'APA Assumptions'!$B$30,'APA Assumptions'!$B$29)</f>
        <v/>
      </c>
      <c r="C17" s="734">
        <f>IF(C$3&gt;='APA Assumptions'!$B$31,'APA Assumptions'!$B$30,'APA Assumptions'!$B$29)</f>
        <v/>
      </c>
      <c r="D17" s="734">
        <f>IF(D$3&gt;='APA Assumptions'!$B$31,'APA Assumptions'!$B$30,'APA Assumptions'!$B$29)</f>
        <v/>
      </c>
      <c r="E17" s="734">
        <f>IF(E$3&gt;='APA Assumptions'!$B$31,'APA Assumptions'!$B$30,'APA Assumptions'!$B$29)</f>
        <v/>
      </c>
      <c r="F17" s="734">
        <f>IF(F$3&gt;='APA Assumptions'!$B$31,'APA Assumptions'!$B$30,'APA Assumptions'!$B$29)</f>
        <v/>
      </c>
      <c r="G17" s="734">
        <f>IF(G$3&gt;='APA Assumptions'!$B$31,'APA Assumptions'!$B$30,'APA Assumptions'!$B$29)</f>
        <v/>
      </c>
      <c r="H17" s="734">
        <f>IF(H$3&gt;='APA Assumptions'!$B$31,'APA Assumptions'!$B$30,'APA Assumptions'!$B$29)</f>
        <v/>
      </c>
      <c r="I17" s="734">
        <f>IF(I$3&gt;='APA Assumptions'!$B$31,'APA Assumptions'!$B$30,'APA Assumptions'!$B$29)</f>
        <v/>
      </c>
      <c r="J17" s="734">
        <f>IF(J$3&gt;='APA Assumptions'!$B$31,'APA Assumptions'!$B$30,'APA Assumptions'!$B$29)</f>
        <v/>
      </c>
      <c r="K17" s="734">
        <f>IF(K$3&gt;='APA Assumptions'!$B$31,'APA Assumptions'!$B$30,'APA Assumptions'!$B$29)</f>
        <v/>
      </c>
      <c r="L17" s="734">
        <f>IF(L$3&gt;='APA Assumptions'!$B$31,'APA Assumptions'!$B$30,'APA Assumptions'!$B$29)</f>
        <v/>
      </c>
      <c r="M17" s="734">
        <f>IF(M$3&gt;='APA Assumptions'!$B$31,'APA Assumptions'!$B$30,'APA Assumptions'!$B$29)</f>
        <v/>
      </c>
      <c r="N17" s="734">
        <f>IF(N$3&gt;='APA Assumptions'!$B$31,'APA Assumptions'!$B$30,'APA Assumptions'!$B$29)</f>
        <v/>
      </c>
      <c r="O17" s="734">
        <f>IF(O$3&gt;='APA Assumptions'!$B$31,'APA Assumptions'!$B$30,'APA Assumptions'!$B$29)</f>
        <v/>
      </c>
      <c r="P17" s="734">
        <f>IF(P$3&gt;='APA Assumptions'!$B$31,'APA Assumptions'!$B$30,'APA Assumptions'!$B$29)</f>
        <v/>
      </c>
      <c r="Q17" s="734">
        <f>IF(Q$3&gt;='APA Assumptions'!$B$31,'APA Assumptions'!$B$30,'APA Assumptions'!$B$29)</f>
        <v/>
      </c>
      <c r="R17" s="734">
        <f>IF(R$3&gt;='APA Assumptions'!$B$31,'APA Assumptions'!$B$30,'APA Assumptions'!$B$29)</f>
        <v/>
      </c>
      <c r="S17" s="734">
        <f>IF(S$3&gt;='APA Assumptions'!$B$31,'APA Assumptions'!$B$30,'APA Assumptions'!$B$29)</f>
        <v/>
      </c>
      <c r="T17" s="734">
        <f>IF(T$3&gt;='APA Assumptions'!$B$31,'APA Assumptions'!$B$30,'APA Assumptions'!$B$29)</f>
        <v/>
      </c>
      <c r="U17" s="734">
        <f>IF(U$3&gt;='APA Assumptions'!$B$31,'APA Assumptions'!$B$30,'APA Assumptions'!$B$29)</f>
        <v/>
      </c>
      <c r="V17" s="734">
        <f>IF(V$3&gt;='APA Assumptions'!$B$31,'APA Assumptions'!$B$30,'APA Assumptions'!$B$29)</f>
        <v/>
      </c>
      <c r="W17" s="734">
        <f>IF(W$3&gt;='APA Assumptions'!$B$31,'APA Assumptions'!$B$30,'APA Assumptions'!$B$29)</f>
        <v/>
      </c>
      <c r="X17" s="734">
        <f>IF(X$3&gt;='APA Assumptions'!$B$31,'APA Assumptions'!$B$30,'APA Assumptions'!$B$29)</f>
        <v/>
      </c>
      <c r="Y17" s="734">
        <f>IF(Y$3&gt;='APA Assumptions'!$B$31,'APA Assumptions'!$B$30,'APA Assumptions'!$B$29)</f>
        <v/>
      </c>
      <c r="Z17" s="734">
        <f>IF(Z$3&gt;='APA Assumptions'!$B$31,'APA Assumptions'!$B$30,'APA Assumptions'!$B$29)</f>
        <v/>
      </c>
      <c r="AA17" s="734">
        <f>IF(AA$3&gt;='APA Assumptions'!$B$31,'APA Assumptions'!$B$30,'APA Assumptions'!$B$29)</f>
        <v/>
      </c>
      <c r="AB17" s="734">
        <f>IF(AB$3&gt;='APA Assumptions'!$B$31,'APA Assumptions'!$B$30,'APA Assumptions'!$B$29)</f>
        <v/>
      </c>
      <c r="AC17" s="734">
        <f>IF(AC$3&gt;='APA Assumptions'!$B$31,'APA Assumptions'!$B$30,'APA Assumptions'!$B$29)</f>
        <v/>
      </c>
      <c r="AD17" s="734">
        <f>IF(AD$3&gt;='APA Assumptions'!$B$31,'APA Assumptions'!$B$30,'APA Assumptions'!$B$29)</f>
        <v/>
      </c>
      <c r="AE17" s="734">
        <f>IF(AE$3&gt;='APA Assumptions'!$B$31,'APA Assumptions'!$B$30,'APA Assumptions'!$B$29)</f>
        <v/>
      </c>
      <c r="AF17" s="734">
        <f>IF(AF$3&gt;='APA Assumptions'!$B$31,'APA Assumptions'!$B$30,'APA Assumptions'!$B$29)</f>
        <v/>
      </c>
      <c r="AG17" s="734">
        <f>IF(AG$3&gt;='APA Assumptions'!$B$31,'APA Assumptions'!$B$30,'APA Assumptions'!$B$29)</f>
        <v/>
      </c>
      <c r="AH17" s="734">
        <f>IF(AH$3&gt;='APA Assumptions'!$B$31,'APA Assumptions'!$B$30,'APA Assumptions'!$B$29)</f>
        <v/>
      </c>
      <c r="AI17" s="734">
        <f>IF(AI$3&gt;='APA Assumptions'!$B$31,'APA Assumptions'!$B$30,'APA Assumptions'!$B$29)</f>
        <v/>
      </c>
      <c r="AJ17" s="734">
        <f>IF(AJ$3&gt;='APA Assumptions'!$B$31,'APA Assumptions'!$B$30,'APA Assumptions'!$B$29)</f>
        <v/>
      </c>
      <c r="AK17" s="734">
        <f>IF(AK$3&gt;='APA Assumptions'!$B$31,'APA Assumptions'!$B$30,'APA Assumptions'!$B$29)</f>
        <v/>
      </c>
      <c r="AL17" s="734">
        <f>IF(AL$3&gt;='APA Assumptions'!$B$31,'APA Assumptions'!$B$30,'APA Assumptions'!$B$29)</f>
        <v/>
      </c>
      <c r="AM17" s="734">
        <f>IF(AM$3&gt;='APA Assumptions'!$B$31,'APA Assumptions'!$B$30,'APA Assumptions'!$B$29)</f>
        <v/>
      </c>
      <c r="AN17" s="734">
        <f>SUM(B17:AM17)</f>
        <v/>
      </c>
    </row>
    <row r="18" ht="15" customFormat="1" customHeight="1" s="380">
      <c r="A18" s="563" t="inlineStr">
        <is>
          <t>Software subscriptions</t>
        </is>
      </c>
      <c r="B18" s="734">
        <f>'APA Assumptions'!$B$32</f>
        <v/>
      </c>
      <c r="C18" s="734">
        <f>'APA Assumptions'!$B$32</f>
        <v/>
      </c>
      <c r="D18" s="734">
        <f>'APA Assumptions'!$B$32</f>
        <v/>
      </c>
      <c r="E18" s="734">
        <f>'APA Assumptions'!$B$32</f>
        <v/>
      </c>
      <c r="F18" s="734">
        <f>'APA Assumptions'!$B$32</f>
        <v/>
      </c>
      <c r="G18" s="734">
        <f>'APA Assumptions'!$B$32</f>
        <v/>
      </c>
      <c r="H18" s="734">
        <f>'APA Assumptions'!$B$32</f>
        <v/>
      </c>
      <c r="I18" s="734">
        <f>'APA Assumptions'!$B$32</f>
        <v/>
      </c>
      <c r="J18" s="734">
        <f>'APA Assumptions'!$B$32</f>
        <v/>
      </c>
      <c r="K18" s="734">
        <f>'APA Assumptions'!$B$32</f>
        <v/>
      </c>
      <c r="L18" s="734">
        <f>'APA Assumptions'!$B$32</f>
        <v/>
      </c>
      <c r="M18" s="734">
        <f>'APA Assumptions'!$B$32</f>
        <v/>
      </c>
      <c r="N18" s="734">
        <f>'APA Assumptions'!$B$32</f>
        <v/>
      </c>
      <c r="O18" s="734">
        <f>'APA Assumptions'!$B$32</f>
        <v/>
      </c>
      <c r="P18" s="734">
        <f>'APA Assumptions'!$B$32</f>
        <v/>
      </c>
      <c r="Q18" s="734">
        <f>'APA Assumptions'!$B$32</f>
        <v/>
      </c>
      <c r="R18" s="734">
        <f>'APA Assumptions'!$B$32</f>
        <v/>
      </c>
      <c r="S18" s="734">
        <f>'APA Assumptions'!$B$32</f>
        <v/>
      </c>
      <c r="T18" s="734">
        <f>'APA Assumptions'!$B$32</f>
        <v/>
      </c>
      <c r="U18" s="734">
        <f>'APA Assumptions'!$B$32</f>
        <v/>
      </c>
      <c r="V18" s="734">
        <f>'APA Assumptions'!$B$32</f>
        <v/>
      </c>
      <c r="W18" s="734">
        <f>'APA Assumptions'!$B$32</f>
        <v/>
      </c>
      <c r="X18" s="734">
        <f>'APA Assumptions'!$B$32</f>
        <v/>
      </c>
      <c r="Y18" s="734">
        <f>'APA Assumptions'!$B$32</f>
        <v/>
      </c>
      <c r="Z18" s="734">
        <f>'APA Assumptions'!$B$32</f>
        <v/>
      </c>
      <c r="AA18" s="734">
        <f>'APA Assumptions'!$B$32</f>
        <v/>
      </c>
      <c r="AB18" s="734">
        <f>'APA Assumptions'!$B$32</f>
        <v/>
      </c>
      <c r="AC18" s="734">
        <f>'APA Assumptions'!$B$32</f>
        <v/>
      </c>
      <c r="AD18" s="734">
        <f>'APA Assumptions'!$B$32</f>
        <v/>
      </c>
      <c r="AE18" s="734">
        <f>'APA Assumptions'!$B$32</f>
        <v/>
      </c>
      <c r="AF18" s="734">
        <f>'APA Assumptions'!$B$32</f>
        <v/>
      </c>
      <c r="AG18" s="734">
        <f>'APA Assumptions'!$B$32</f>
        <v/>
      </c>
      <c r="AH18" s="734">
        <f>'APA Assumptions'!$B$32</f>
        <v/>
      </c>
      <c r="AI18" s="734">
        <f>'APA Assumptions'!$B$32</f>
        <v/>
      </c>
      <c r="AJ18" s="734">
        <f>'APA Assumptions'!$B$32</f>
        <v/>
      </c>
      <c r="AK18" s="734">
        <f>'APA Assumptions'!$B$32</f>
        <v/>
      </c>
      <c r="AL18" s="734">
        <f>'APA Assumptions'!$B$32</f>
        <v/>
      </c>
      <c r="AM18" s="734">
        <f>'APA Assumptions'!$B$32</f>
        <v/>
      </c>
      <c r="AN18" s="734">
        <f>SUM(B18:AM18)</f>
        <v/>
      </c>
    </row>
    <row r="19" ht="15" customFormat="1" customHeight="1" s="380">
      <c r="A19" s="563" t="inlineStr">
        <is>
          <t>E&amp;O insurance (annual)</t>
        </is>
      </c>
      <c r="B19" s="734">
        <f>IF(MOD(B$3-1,12)=0,'APA Assumptions'!$B$33,0)</f>
        <v/>
      </c>
      <c r="C19" s="734">
        <f>IF(MOD(C$3-1,12)=0,'APA Assumptions'!$B$33,0)</f>
        <v/>
      </c>
      <c r="D19" s="734">
        <f>IF(MOD(D$3-1,12)=0,'APA Assumptions'!$B$33,0)</f>
        <v/>
      </c>
      <c r="E19" s="734">
        <f>IF(MOD(E$3-1,12)=0,'APA Assumptions'!$B$33,0)</f>
        <v/>
      </c>
      <c r="F19" s="734">
        <f>IF(MOD(F$3-1,12)=0,'APA Assumptions'!$B$33,0)</f>
        <v/>
      </c>
      <c r="G19" s="734">
        <f>IF(MOD(G$3-1,12)=0,'APA Assumptions'!$B$33,0)</f>
        <v/>
      </c>
      <c r="H19" s="734">
        <f>IF(MOD(H$3-1,12)=0,'APA Assumptions'!$B$33,0)</f>
        <v/>
      </c>
      <c r="I19" s="734">
        <f>IF(MOD(I$3-1,12)=0,'APA Assumptions'!$B$33,0)</f>
        <v/>
      </c>
      <c r="J19" s="734">
        <f>IF(MOD(J$3-1,12)=0,'APA Assumptions'!$B$33,0)</f>
        <v/>
      </c>
      <c r="K19" s="734">
        <f>IF(MOD(K$3-1,12)=0,'APA Assumptions'!$B$33,0)</f>
        <v/>
      </c>
      <c r="L19" s="734">
        <f>IF(MOD(L$3-1,12)=0,'APA Assumptions'!$B$33,0)</f>
        <v/>
      </c>
      <c r="M19" s="734">
        <f>IF(MOD(M$3-1,12)=0,'APA Assumptions'!$B$33,0)</f>
        <v/>
      </c>
      <c r="N19" s="734">
        <f>IF(MOD(N$3-1,12)=0,'APA Assumptions'!$B$33,0)</f>
        <v/>
      </c>
      <c r="O19" s="734">
        <f>IF(MOD(O$3-1,12)=0,'APA Assumptions'!$B$33,0)</f>
        <v/>
      </c>
      <c r="P19" s="734">
        <f>IF(MOD(P$3-1,12)=0,'APA Assumptions'!$B$33,0)</f>
        <v/>
      </c>
      <c r="Q19" s="734">
        <f>IF(MOD(Q$3-1,12)=0,'APA Assumptions'!$B$33,0)</f>
        <v/>
      </c>
      <c r="R19" s="734">
        <f>IF(MOD(R$3-1,12)=0,'APA Assumptions'!$B$33,0)</f>
        <v/>
      </c>
      <c r="S19" s="734">
        <f>IF(MOD(S$3-1,12)=0,'APA Assumptions'!$B$33,0)</f>
        <v/>
      </c>
      <c r="T19" s="734">
        <f>IF(MOD(T$3-1,12)=0,'APA Assumptions'!$B$33,0)</f>
        <v/>
      </c>
      <c r="U19" s="734">
        <f>IF(MOD(U$3-1,12)=0,'APA Assumptions'!$B$33,0)</f>
        <v/>
      </c>
      <c r="V19" s="734">
        <f>IF(MOD(V$3-1,12)=0,'APA Assumptions'!$B$33,0)</f>
        <v/>
      </c>
      <c r="W19" s="734">
        <f>IF(MOD(W$3-1,12)=0,'APA Assumptions'!$B$33,0)</f>
        <v/>
      </c>
      <c r="X19" s="734">
        <f>IF(MOD(X$3-1,12)=0,'APA Assumptions'!$B$33,0)</f>
        <v/>
      </c>
      <c r="Y19" s="734">
        <f>IF(MOD(Y$3-1,12)=0,'APA Assumptions'!$B$33,0)</f>
        <v/>
      </c>
      <c r="Z19" s="734">
        <f>IF(MOD(Z$3-1,12)=0,'APA Assumptions'!$B$33,0)</f>
        <v/>
      </c>
      <c r="AA19" s="734">
        <f>IF(MOD(AA$3-1,12)=0,'APA Assumptions'!$B$33,0)</f>
        <v/>
      </c>
      <c r="AB19" s="734">
        <f>IF(MOD(AB$3-1,12)=0,'APA Assumptions'!$B$33,0)</f>
        <v/>
      </c>
      <c r="AC19" s="734">
        <f>IF(MOD(AC$3-1,12)=0,'APA Assumptions'!$B$33,0)</f>
        <v/>
      </c>
      <c r="AD19" s="734">
        <f>IF(MOD(AD$3-1,12)=0,'APA Assumptions'!$B$33,0)</f>
        <v/>
      </c>
      <c r="AE19" s="734">
        <f>IF(MOD(AE$3-1,12)=0,'APA Assumptions'!$B$33,0)</f>
        <v/>
      </c>
      <c r="AF19" s="734">
        <f>IF(MOD(AF$3-1,12)=0,'APA Assumptions'!$B$33,0)</f>
        <v/>
      </c>
      <c r="AG19" s="734">
        <f>IF(MOD(AG$3-1,12)=0,'APA Assumptions'!$B$33,0)</f>
        <v/>
      </c>
      <c r="AH19" s="734">
        <f>IF(MOD(AH$3-1,12)=0,'APA Assumptions'!$B$33,0)</f>
        <v/>
      </c>
      <c r="AI19" s="734">
        <f>IF(MOD(AI$3-1,12)=0,'APA Assumptions'!$B$33,0)</f>
        <v/>
      </c>
      <c r="AJ19" s="734">
        <f>IF(MOD(AJ$3-1,12)=0,'APA Assumptions'!$B$33,0)</f>
        <v/>
      </c>
      <c r="AK19" s="734">
        <f>IF(MOD(AK$3-1,12)=0,'APA Assumptions'!$B$33,0)</f>
        <v/>
      </c>
      <c r="AL19" s="734">
        <f>IF(MOD(AL$3-1,12)=0,'APA Assumptions'!$B$33,0)</f>
        <v/>
      </c>
      <c r="AM19" s="734">
        <f>IF(MOD(AM$3-1,12)=0,'APA Assumptions'!$B$33,0)</f>
        <v/>
      </c>
      <c r="AN19" s="734">
        <f>SUM(B19:AM19)</f>
        <v/>
      </c>
    </row>
    <row r="20" ht="15" customFormat="1" customHeight="1" s="380">
      <c r="A20" s="563" t="inlineStr">
        <is>
          <t>Startup reimbursements (APA + Six Peak)</t>
        </is>
      </c>
      <c r="B20" s="734">
        <f>IF(B$3='APA Assumptions'!$B$36,'APA Assumptions'!$B$34+'APA Assumptions'!$B$35,0)</f>
        <v/>
      </c>
      <c r="C20" s="734">
        <f>IF(C$3='APA Assumptions'!$B$36,'APA Assumptions'!$B$34+'APA Assumptions'!$B$35,0)</f>
        <v/>
      </c>
      <c r="D20" s="734">
        <f>IF(D$3='APA Assumptions'!$B$36,'APA Assumptions'!$B$34+'APA Assumptions'!$B$35,0)</f>
        <v/>
      </c>
      <c r="E20" s="734">
        <f>IF(E$3='APA Assumptions'!$B$36,'APA Assumptions'!$B$34+'APA Assumptions'!$B$35,0)</f>
        <v/>
      </c>
      <c r="F20" s="734">
        <f>IF(F$3='APA Assumptions'!$B$36,'APA Assumptions'!$B$34+'APA Assumptions'!$B$35,0)</f>
        <v/>
      </c>
      <c r="G20" s="734">
        <f>IF(G$3='APA Assumptions'!$B$36,'APA Assumptions'!$B$34+'APA Assumptions'!$B$35,0)</f>
        <v/>
      </c>
      <c r="H20" s="734">
        <f>IF(H$3='APA Assumptions'!$B$36,'APA Assumptions'!$B$34+'APA Assumptions'!$B$35,0)</f>
        <v/>
      </c>
      <c r="I20" s="734">
        <f>IF(I$3='APA Assumptions'!$B$36,'APA Assumptions'!$B$34+'APA Assumptions'!$B$35,0)</f>
        <v/>
      </c>
      <c r="J20" s="734">
        <f>IF(J$3='APA Assumptions'!$B$36,'APA Assumptions'!$B$34+'APA Assumptions'!$B$35,0)</f>
        <v/>
      </c>
      <c r="K20" s="734">
        <f>IF(K$3='APA Assumptions'!$B$36,'APA Assumptions'!$B$34+'APA Assumptions'!$B$35,0)</f>
        <v/>
      </c>
      <c r="L20" s="734">
        <f>IF(L$3='APA Assumptions'!$B$36,'APA Assumptions'!$B$34+'APA Assumptions'!$B$35,0)</f>
        <v/>
      </c>
      <c r="M20" s="734">
        <f>IF(M$3='APA Assumptions'!$B$36,'APA Assumptions'!$B$34+'APA Assumptions'!$B$35,0)</f>
        <v/>
      </c>
      <c r="N20" s="734">
        <f>IF(N$3='APA Assumptions'!$B$36,'APA Assumptions'!$B$34+'APA Assumptions'!$B$35,0)</f>
        <v/>
      </c>
      <c r="O20" s="734">
        <f>IF(O$3='APA Assumptions'!$B$36,'APA Assumptions'!$B$34+'APA Assumptions'!$B$35,0)</f>
        <v/>
      </c>
      <c r="P20" s="734">
        <f>IF(P$3='APA Assumptions'!$B$36,'APA Assumptions'!$B$34+'APA Assumptions'!$B$35,0)</f>
        <v/>
      </c>
      <c r="Q20" s="734">
        <f>IF(Q$3='APA Assumptions'!$B$36,'APA Assumptions'!$B$34+'APA Assumptions'!$B$35,0)</f>
        <v/>
      </c>
      <c r="R20" s="734">
        <f>IF(R$3='APA Assumptions'!$B$36,'APA Assumptions'!$B$34+'APA Assumptions'!$B$35,0)</f>
        <v/>
      </c>
      <c r="S20" s="734">
        <f>IF(S$3='APA Assumptions'!$B$36,'APA Assumptions'!$B$34+'APA Assumptions'!$B$35,0)</f>
        <v/>
      </c>
      <c r="T20" s="734">
        <f>IF(T$3='APA Assumptions'!$B$36,'APA Assumptions'!$B$34+'APA Assumptions'!$B$35,0)</f>
        <v/>
      </c>
      <c r="U20" s="734">
        <f>IF(U$3='APA Assumptions'!$B$36,'APA Assumptions'!$B$34+'APA Assumptions'!$B$35,0)</f>
        <v/>
      </c>
      <c r="V20" s="734">
        <f>IF(V$3='APA Assumptions'!$B$36,'APA Assumptions'!$B$34+'APA Assumptions'!$B$35,0)</f>
        <v/>
      </c>
      <c r="W20" s="734">
        <f>IF(W$3='APA Assumptions'!$B$36,'APA Assumptions'!$B$34+'APA Assumptions'!$B$35,0)</f>
        <v/>
      </c>
      <c r="X20" s="734">
        <f>IF(X$3='APA Assumptions'!$B$36,'APA Assumptions'!$B$34+'APA Assumptions'!$B$35,0)</f>
        <v/>
      </c>
      <c r="Y20" s="734">
        <f>IF(Y$3='APA Assumptions'!$B$36,'APA Assumptions'!$B$34+'APA Assumptions'!$B$35,0)</f>
        <v/>
      </c>
      <c r="Z20" s="734">
        <f>IF(Z$3='APA Assumptions'!$B$36,'APA Assumptions'!$B$34+'APA Assumptions'!$B$35,0)</f>
        <v/>
      </c>
      <c r="AA20" s="734">
        <f>IF(AA$3='APA Assumptions'!$B$36,'APA Assumptions'!$B$34+'APA Assumptions'!$B$35,0)</f>
        <v/>
      </c>
      <c r="AB20" s="734">
        <f>IF(AB$3='APA Assumptions'!$B$36,'APA Assumptions'!$B$34+'APA Assumptions'!$B$35,0)</f>
        <v/>
      </c>
      <c r="AC20" s="734">
        <f>IF(AC$3='APA Assumptions'!$B$36,'APA Assumptions'!$B$34+'APA Assumptions'!$B$35,0)</f>
        <v/>
      </c>
      <c r="AD20" s="734">
        <f>IF(AD$3='APA Assumptions'!$B$36,'APA Assumptions'!$B$34+'APA Assumptions'!$B$35,0)</f>
        <v/>
      </c>
      <c r="AE20" s="734">
        <f>IF(AE$3='APA Assumptions'!$B$36,'APA Assumptions'!$B$34+'APA Assumptions'!$B$35,0)</f>
        <v/>
      </c>
      <c r="AF20" s="734">
        <f>IF(AF$3='APA Assumptions'!$B$36,'APA Assumptions'!$B$34+'APA Assumptions'!$B$35,0)</f>
        <v/>
      </c>
      <c r="AG20" s="734">
        <f>IF(AG$3='APA Assumptions'!$B$36,'APA Assumptions'!$B$34+'APA Assumptions'!$B$35,0)</f>
        <v/>
      </c>
      <c r="AH20" s="734">
        <f>IF(AH$3='APA Assumptions'!$B$36,'APA Assumptions'!$B$34+'APA Assumptions'!$B$35,0)</f>
        <v/>
      </c>
      <c r="AI20" s="734">
        <f>IF(AI$3='APA Assumptions'!$B$36,'APA Assumptions'!$B$34+'APA Assumptions'!$B$35,0)</f>
        <v/>
      </c>
      <c r="AJ20" s="734">
        <f>IF(AJ$3='APA Assumptions'!$B$36,'APA Assumptions'!$B$34+'APA Assumptions'!$B$35,0)</f>
        <v/>
      </c>
      <c r="AK20" s="734">
        <f>IF(AK$3='APA Assumptions'!$B$36,'APA Assumptions'!$B$34+'APA Assumptions'!$B$35,0)</f>
        <v/>
      </c>
      <c r="AL20" s="734">
        <f>IF(AL$3='APA Assumptions'!$B$36,'APA Assumptions'!$B$34+'APA Assumptions'!$B$35,0)</f>
        <v/>
      </c>
      <c r="AM20" s="734">
        <f>IF(AM$3='APA Assumptions'!$B$36,'APA Assumptions'!$B$34+'APA Assumptions'!$B$35,0)</f>
        <v/>
      </c>
      <c r="AN20" s="734">
        <f>SUM(B20:AM20)</f>
        <v/>
      </c>
    </row>
    <row r="21" ht="15" customFormat="1" customHeight="1" s="380">
      <c r="A21" s="740" t="inlineStr">
        <is>
          <t>Total expenses</t>
        </is>
      </c>
      <c r="B21" s="741">
        <f>SUM(B17:B20)</f>
        <v/>
      </c>
      <c r="C21" s="741">
        <f>SUM(C17:C20)</f>
        <v/>
      </c>
      <c r="D21" s="741">
        <f>SUM(D17:D20)</f>
        <v/>
      </c>
      <c r="E21" s="741">
        <f>SUM(E17:E20)</f>
        <v/>
      </c>
      <c r="F21" s="741">
        <f>SUM(F17:F20)</f>
        <v/>
      </c>
      <c r="G21" s="741">
        <f>SUM(G17:G20)</f>
        <v/>
      </c>
      <c r="H21" s="741">
        <f>SUM(H17:H20)</f>
        <v/>
      </c>
      <c r="I21" s="741">
        <f>SUM(I17:I20)</f>
        <v/>
      </c>
      <c r="J21" s="741">
        <f>SUM(J17:J20)</f>
        <v/>
      </c>
      <c r="K21" s="741">
        <f>SUM(K17:K20)</f>
        <v/>
      </c>
      <c r="L21" s="741">
        <f>SUM(L17:L20)</f>
        <v/>
      </c>
      <c r="M21" s="741">
        <f>SUM(M17:M20)</f>
        <v/>
      </c>
      <c r="N21" s="741">
        <f>SUM(N17:N20)</f>
        <v/>
      </c>
      <c r="O21" s="741">
        <f>SUM(O17:O20)</f>
        <v/>
      </c>
      <c r="P21" s="741">
        <f>SUM(P17:P20)</f>
        <v/>
      </c>
      <c r="Q21" s="741">
        <f>SUM(Q17:Q20)</f>
        <v/>
      </c>
      <c r="R21" s="741">
        <f>SUM(R17:R20)</f>
        <v/>
      </c>
      <c r="S21" s="741">
        <f>SUM(S17:S20)</f>
        <v/>
      </c>
      <c r="T21" s="741">
        <f>SUM(T17:T20)</f>
        <v/>
      </c>
      <c r="U21" s="741">
        <f>SUM(U17:U20)</f>
        <v/>
      </c>
      <c r="V21" s="741">
        <f>SUM(V17:V20)</f>
        <v/>
      </c>
      <c r="W21" s="741">
        <f>SUM(W17:W20)</f>
        <v/>
      </c>
      <c r="X21" s="741">
        <f>SUM(X17:X20)</f>
        <v/>
      </c>
      <c r="Y21" s="741">
        <f>SUM(Y17:Y20)</f>
        <v/>
      </c>
      <c r="Z21" s="741">
        <f>SUM(Z17:Z20)</f>
        <v/>
      </c>
      <c r="AA21" s="741">
        <f>SUM(AA17:AA20)</f>
        <v/>
      </c>
      <c r="AB21" s="741">
        <f>SUM(AB17:AB20)</f>
        <v/>
      </c>
      <c r="AC21" s="741">
        <f>SUM(AC17:AC20)</f>
        <v/>
      </c>
      <c r="AD21" s="741">
        <f>SUM(AD17:AD20)</f>
        <v/>
      </c>
      <c r="AE21" s="741">
        <f>SUM(AE17:AE20)</f>
        <v/>
      </c>
      <c r="AF21" s="741">
        <f>SUM(AF17:AF20)</f>
        <v/>
      </c>
      <c r="AG21" s="741">
        <f>SUM(AG17:AG20)</f>
        <v/>
      </c>
      <c r="AH21" s="741">
        <f>SUM(AH17:AH20)</f>
        <v/>
      </c>
      <c r="AI21" s="741">
        <f>SUM(AI17:AI20)</f>
        <v/>
      </c>
      <c r="AJ21" s="741">
        <f>SUM(AJ17:AJ20)</f>
        <v/>
      </c>
      <c r="AK21" s="741">
        <f>SUM(AK17:AK20)</f>
        <v/>
      </c>
      <c r="AL21" s="741">
        <f>SUM(AL17:AL20)</f>
        <v/>
      </c>
      <c r="AM21" s="741">
        <f>SUM(AM17:AM20)</f>
        <v/>
      </c>
      <c r="AN21" s="741">
        <f>SUM(B21:AM21)</f>
        <v/>
      </c>
    </row>
    <row r="23" ht="15" customFormat="1" customHeight="1" s="380">
      <c r="A23" s="742" t="inlineStr">
        <is>
          <t>Net cash flow</t>
        </is>
      </c>
      <c r="B23" s="743">
        <f>B14-B21</f>
        <v/>
      </c>
      <c r="C23" s="743">
        <f>C14-C21</f>
        <v/>
      </c>
      <c r="D23" s="743">
        <f>D14-D21</f>
        <v/>
      </c>
      <c r="E23" s="743">
        <f>E14-E21</f>
        <v/>
      </c>
      <c r="F23" s="743">
        <f>F14-F21</f>
        <v/>
      </c>
      <c r="G23" s="743">
        <f>G14-G21</f>
        <v/>
      </c>
      <c r="H23" s="743">
        <f>H14-H21</f>
        <v/>
      </c>
      <c r="I23" s="743">
        <f>I14-I21</f>
        <v/>
      </c>
      <c r="J23" s="743">
        <f>J14-J21</f>
        <v/>
      </c>
      <c r="K23" s="743">
        <f>K14-K21</f>
        <v/>
      </c>
      <c r="L23" s="743">
        <f>L14-L21</f>
        <v/>
      </c>
      <c r="M23" s="743">
        <f>M14-M21</f>
        <v/>
      </c>
      <c r="N23" s="743">
        <f>N14-N21</f>
        <v/>
      </c>
      <c r="O23" s="743">
        <f>O14-O21</f>
        <v/>
      </c>
      <c r="P23" s="743">
        <f>P14-P21</f>
        <v/>
      </c>
      <c r="Q23" s="743">
        <f>Q14-Q21</f>
        <v/>
      </c>
      <c r="R23" s="743">
        <f>R14-R21</f>
        <v/>
      </c>
      <c r="S23" s="743">
        <f>S14-S21</f>
        <v/>
      </c>
      <c r="T23" s="743">
        <f>T14-T21</f>
        <v/>
      </c>
      <c r="U23" s="743">
        <f>U14-U21</f>
        <v/>
      </c>
      <c r="V23" s="743">
        <f>V14-V21</f>
        <v/>
      </c>
      <c r="W23" s="743">
        <f>W14-W21</f>
        <v/>
      </c>
      <c r="X23" s="743">
        <f>X14-X21</f>
        <v/>
      </c>
      <c r="Y23" s="743">
        <f>Y14-Y21</f>
        <v/>
      </c>
      <c r="Z23" s="743">
        <f>Z14-Z21</f>
        <v/>
      </c>
      <c r="AA23" s="743">
        <f>AA14-AA21</f>
        <v/>
      </c>
      <c r="AB23" s="743">
        <f>AB14-AB21</f>
        <v/>
      </c>
      <c r="AC23" s="743">
        <f>AC14-AC21</f>
        <v/>
      </c>
      <c r="AD23" s="743">
        <f>AD14-AD21</f>
        <v/>
      </c>
      <c r="AE23" s="743">
        <f>AE14-AE21</f>
        <v/>
      </c>
      <c r="AF23" s="743">
        <f>AF14-AF21</f>
        <v/>
      </c>
      <c r="AG23" s="743">
        <f>AG14-AG21</f>
        <v/>
      </c>
      <c r="AH23" s="743">
        <f>AH14-AH21</f>
        <v/>
      </c>
      <c r="AI23" s="743">
        <f>AI14-AI21</f>
        <v/>
      </c>
      <c r="AJ23" s="743">
        <f>AJ14-AJ21</f>
        <v/>
      </c>
      <c r="AK23" s="743">
        <f>AK14-AK21</f>
        <v/>
      </c>
      <c r="AL23" s="743">
        <f>AL14-AL21</f>
        <v/>
      </c>
      <c r="AM23" s="743">
        <f>AM14-AM21</f>
        <v/>
      </c>
      <c r="AN23" s="743">
        <f>AN14-AN21</f>
        <v/>
      </c>
    </row>
    <row r="24" ht="15" customFormat="1" customHeight="1" s="380">
      <c r="A24" s="563" t="inlineStr">
        <is>
          <t>Cumulative net cash flow</t>
        </is>
      </c>
      <c r="B24" s="734">
        <f>B23</f>
        <v/>
      </c>
      <c r="C24" s="734">
        <f>B24+C23</f>
        <v/>
      </c>
      <c r="D24" s="734">
        <f>C24+D23</f>
        <v/>
      </c>
      <c r="E24" s="734">
        <f>D24+E23</f>
        <v/>
      </c>
      <c r="F24" s="734">
        <f>E24+F23</f>
        <v/>
      </c>
      <c r="G24" s="734">
        <f>F24+G23</f>
        <v/>
      </c>
      <c r="H24" s="734">
        <f>G24+H23</f>
        <v/>
      </c>
      <c r="I24" s="734">
        <f>H24+I23</f>
        <v/>
      </c>
      <c r="J24" s="734">
        <f>I24+J23</f>
        <v/>
      </c>
      <c r="K24" s="734">
        <f>J24+K23</f>
        <v/>
      </c>
      <c r="L24" s="734">
        <f>K24+L23</f>
        <v/>
      </c>
      <c r="M24" s="734">
        <f>L24+M23</f>
        <v/>
      </c>
      <c r="N24" s="734">
        <f>M24+N23</f>
        <v/>
      </c>
      <c r="O24" s="734">
        <f>N24+O23</f>
        <v/>
      </c>
      <c r="P24" s="734">
        <f>O24+P23</f>
        <v/>
      </c>
      <c r="Q24" s="734">
        <f>P24+Q23</f>
        <v/>
      </c>
      <c r="R24" s="734">
        <f>Q24+R23</f>
        <v/>
      </c>
      <c r="S24" s="734">
        <f>R24+S23</f>
        <v/>
      </c>
      <c r="T24" s="734">
        <f>S24+T23</f>
        <v/>
      </c>
      <c r="U24" s="734">
        <f>T24+U23</f>
        <v/>
      </c>
      <c r="V24" s="734">
        <f>U24+V23</f>
        <v/>
      </c>
      <c r="W24" s="734">
        <f>V24+W23</f>
        <v/>
      </c>
      <c r="X24" s="734">
        <f>W24+X23</f>
        <v/>
      </c>
      <c r="Y24" s="734">
        <f>X24+Y23</f>
        <v/>
      </c>
      <c r="Z24" s="734">
        <f>Y24+Z23</f>
        <v/>
      </c>
      <c r="AA24" s="734">
        <f>Z24+AA23</f>
        <v/>
      </c>
      <c r="AB24" s="734">
        <f>AA24+AB23</f>
        <v/>
      </c>
      <c r="AC24" s="734">
        <f>AB24+AC23</f>
        <v/>
      </c>
      <c r="AD24" s="734">
        <f>AC24+AD23</f>
        <v/>
      </c>
      <c r="AE24" s="734">
        <f>AD24+AE23</f>
        <v/>
      </c>
      <c r="AF24" s="734">
        <f>AE24+AF23</f>
        <v/>
      </c>
      <c r="AG24" s="734">
        <f>AF24+AG23</f>
        <v/>
      </c>
      <c r="AH24" s="734">
        <f>AG24+AH23</f>
        <v/>
      </c>
      <c r="AI24" s="734">
        <f>AH24+AI23</f>
        <v/>
      </c>
      <c r="AJ24" s="734">
        <f>AI24+AJ23</f>
        <v/>
      </c>
      <c r="AK24" s="734">
        <f>AJ24+AK23</f>
        <v/>
      </c>
      <c r="AL24" s="734">
        <f>AK24+AL23</f>
        <v/>
      </c>
      <c r="AM24" s="734">
        <f>AL24+AM23</f>
        <v/>
      </c>
      <c r="AN24" s="734" t="n"/>
    </row>
    <row r="27" ht="15" customFormat="1" customHeight="1" s="380">
      <c r="A27" s="402" t="inlineStr">
        <is>
          <t>SUMMARY (38 MONTHS)</t>
        </is>
      </c>
      <c r="B27" s="402" t="n"/>
      <c r="C27" s="402" t="n"/>
    </row>
    <row r="28" ht="15" customFormat="1" customHeight="1" s="380">
      <c r="A28" s="550" t="inlineStr">
        <is>
          <t>Total revenue</t>
        </is>
      </c>
      <c r="B28" s="734">
        <f>AN14</f>
        <v/>
      </c>
    </row>
    <row r="29" ht="15" customFormat="1" customHeight="1" s="380">
      <c r="A29" s="550" t="inlineStr">
        <is>
          <t>Total expenses</t>
        </is>
      </c>
      <c r="B29" s="734">
        <f>AN21</f>
        <v/>
      </c>
    </row>
    <row r="30" ht="15" customFormat="1" customHeight="1" s="380">
      <c r="A30" s="480" t="inlineStr">
        <is>
          <t>Net profit</t>
        </is>
      </c>
      <c r="B30" s="744">
        <f>B28-B29</f>
        <v/>
      </c>
    </row>
    <row r="31" ht="15" customFormat="1" customHeight="1" s="380">
      <c r="A31" s="480" t="inlineStr">
        <is>
          <t>Six Peak share (50%)</t>
        </is>
      </c>
      <c r="B31" s="744">
        <f>B30*0.5</f>
        <v/>
      </c>
    </row>
    <row r="32" ht="15" customFormat="1" customHeight="1" s="380">
      <c r="A32" s="550" t="inlineStr">
        <is>
          <t>APA Inc. share (50%)</t>
        </is>
      </c>
      <c r="B32" s="734">
        <f>B30*0.5</f>
        <v/>
      </c>
    </row>
    <row r="33" ht="15" customFormat="1" customHeight="1" s="380">
      <c r="A33" s="550" t="inlineStr">
        <is>
          <t>APA Inc. total economics (draw + profit share)</t>
        </is>
      </c>
      <c r="B33" s="734">
        <f>AN17+B32</f>
        <v/>
      </c>
    </row>
    <row r="35" ht="15" customFormat="1" customHeight="1" s="380">
      <c r="A35" s="452" t="inlineStr">
        <is>
          <t>AGA separation payments are excluded from this projection and handled outside the company.</t>
        </is>
      </c>
    </row>
    <row r="36" ht="15" customFormat="1" customHeight="1" s="380">
      <c r="A36" s="452" t="inlineStr">
        <is>
          <t>Startup costs (APA Inc. $5,000; Six Peak $2,500) are reimbursed by the company in Aug 2026.</t>
        </is>
      </c>
    </row>
    <row r="37" ht="15" customFormat="1" customHeight="1" s="380">
      <c r="A37" s="452" t="inlineStr">
        <is>
          <t>Expenses fronted by Six Peak or APA Inc. are reimbursable by the company; profits split 50/50 after expenses.</t>
        </is>
      </c>
    </row>
    <row r="38" ht="15" customFormat="1" customHeight="1" s="380">
      <c r="A38" s="452" t="inlineStr">
        <is>
          <t>The APA Inc. draw adjusts to $225,000 per year ($18,750/mo) when the 3rd Street contract is signed (modeled Jan 2027).</t>
        </is>
      </c>
    </row>
    <row r="39" ht="15" customFormat="1" customHeight="1" s="380">
      <c r="A39" s="452" t="inlineStr">
        <is>
          <t>3rd Street construction admin (30 months from Apr 2028) runs past the model horizon; only months through Aug 2029 are shown.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7.xml><?xml version="1.0" encoding="utf-8"?>
<worksheet xmlns="http://schemas.openxmlformats.org/spreadsheetml/2006/main">
  <sheetPr filterMode="0">
    <tabColor rgb="008EA3BE"/>
    <outlinePr summaryBelow="1" summaryRight="1"/>
    <pageSetUpPr fitToPage="0"/>
  </sheetPr>
  <dimension ref="A1:I47"/>
  <sheetViews>
    <sheetView showFormulas="0" showGridLines="0" showRowColHeaders="1" showZeros="1" rightToLeft="0" tabSelected="0" showOutlineSymbols="1" defaultGridColor="1" view="normal" topLeftCell="A1" colorId="64" zoomScale="85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375" defaultRowHeight="13.5" zeroHeight="0" outlineLevelRow="0"/>
  <cols>
    <col width="11" customWidth="1" style="380" min="1" max="1"/>
    <col width="20" customWidth="1" style="380" min="2" max="2"/>
    <col width="24" customWidth="1" style="380" min="3" max="3"/>
    <col width="18" customWidth="1" style="380" min="4" max="5"/>
    <col width="20" customWidth="1" style="380" min="6" max="6"/>
    <col width="21" customWidth="1" style="380" min="7" max="7"/>
    <col width="52" customWidth="1" style="380" min="8" max="8"/>
  </cols>
  <sheetData>
    <row r="1" ht="15" customHeight="1" s="410">
      <c r="A1" s="745" t="inlineStr">
        <is>
          <t>DEAL TERMS — drives Model rows 107 and 108. Set every input here, never in Model.</t>
        </is>
      </c>
    </row>
    <row r="2" ht="13.5" customHeight="1" s="410">
      <c r="A2" s="746" t="inlineStr">
        <is>
          <t>Per Chris Aiello 2026-09-01; revised 2026-09-02 per Andresen. LIHTC = cost pass-through, LV earns only the 12.0391%. Shared = buyout savings split 50/50, recognised at the completion month in col G: LV share (col F) less the life margin accrued from Aug-26 (col I, auto). Jobs with G=0 keep the monthly strip until a completion month is set. Overruns 100% LV.</t>
        </is>
      </c>
    </row>
    <row r="3" ht="57" customHeight="1" s="410">
      <c r="A3" s="747" t="inlineStr">
        <is>
          <t>Model Row</t>
        </is>
      </c>
      <c r="B3" s="747" t="inlineStr">
        <is>
          <t>Job</t>
        </is>
      </c>
      <c r="C3" s="747" t="inlineStr">
        <is>
          <t>Fee Structure</t>
        </is>
      </c>
      <c r="D3" s="747" t="inlineStr">
        <is>
          <t>LIHTC flag</t>
        </is>
      </c>
      <c r="E3" s="747" t="inlineStr">
        <is>
          <t>Shared-savings flag</t>
        </is>
      </c>
      <c r="F3" s="747" t="inlineStr">
        <is>
          <t>LV Savings Share $</t>
        </is>
      </c>
      <c r="G3" s="747" t="inlineStr">
        <is>
          <t>Recognition Month #</t>
        </is>
      </c>
      <c r="H3" s="747" t="inlineStr">
        <is>
          <t>Note</t>
        </is>
      </c>
      <c r="I3" s="747" t="inlineStr">
        <is>
          <t>Life Margin from Aug-26 (auto)</t>
        </is>
      </c>
    </row>
    <row r="4" ht="13.5" customHeight="1" s="410">
      <c r="A4" s="748" t="n">
        <v>13</v>
      </c>
      <c r="B4" s="749" t="inlineStr">
        <is>
          <t>Crenshaw</t>
        </is>
      </c>
      <c r="C4" s="749" t="inlineStr">
        <is>
          <t>Shared savings 50/50</t>
        </is>
      </c>
      <c r="D4" s="748" t="n">
        <v>0</v>
      </c>
      <c r="E4" s="748" t="n">
        <v>1</v>
      </c>
      <c r="F4" s="750" t="n">
        <v>150000</v>
      </c>
      <c r="G4" s="748" t="n">
        <v>9</v>
      </c>
      <c r="H4" s="749" t="inlineStr">
        <is>
          <t>LV share, stated by Chris 2026-09-01</t>
        </is>
      </c>
      <c r="I4" s="748">
        <f>IF($E4=1,SUM(INDEX(Model!$I$13:$DE$56,$A4-12,0))+SUM(INDEX(Model!$I$60:$DE$103,$A4-12,0)),0)</f>
        <v/>
      </c>
    </row>
    <row r="5" ht="13.5" customHeight="1" s="410">
      <c r="A5" s="751" t="n">
        <v>14</v>
      </c>
      <c r="B5" s="752" t="inlineStr">
        <is>
          <t>Ramsgate</t>
        </is>
      </c>
      <c r="C5" s="752" t="inlineStr">
        <is>
          <t>Shared savings 50/50</t>
        </is>
      </c>
      <c r="D5" s="751" t="n">
        <v>0</v>
      </c>
      <c r="E5" s="751" t="n">
        <v>1</v>
      </c>
      <c r="F5" s="753" t="n">
        <v>358268</v>
      </c>
      <c r="G5" s="751" t="n">
        <v>19</v>
      </c>
      <c r="H5" s="752" t="inlineStr">
        <is>
          <t>LV share, stated by Chris 2026-09-01 (contingency at the original amount)</t>
        </is>
      </c>
      <c r="I5" s="751">
        <f>IF($E5=1,SUM(INDEX(Model!$I$13:$DE$56,$A5-12,0))+SUM(INDEX(Model!$I$60:$DE$103,$A5-12,0)),0)</f>
        <v/>
      </c>
    </row>
    <row r="6" ht="13.5" customHeight="1" s="410">
      <c r="A6" s="748" t="n">
        <v>15</v>
      </c>
      <c r="B6" s="749" t="inlineStr">
        <is>
          <t>Califa</t>
        </is>
      </c>
      <c r="C6" s="749" t="inlineStr">
        <is>
          <t>LIHTC pass-through</t>
        </is>
      </c>
      <c r="D6" s="748" t="n">
        <v>1</v>
      </c>
      <c r="E6" s="748" t="n">
        <v>0</v>
      </c>
      <c r="F6" s="750" t="n">
        <v>0</v>
      </c>
      <c r="G6" s="748" t="n">
        <v>0</v>
      </c>
      <c r="I6" s="748">
        <f>IF($E6=1,SUM(INDEX(Model!$I$13:$DE$56,$A6-12,0))+SUM(INDEX(Model!$I$60:$DE$103,$A6-12,0)),0)</f>
        <v/>
      </c>
    </row>
    <row r="7" ht="13.5" customHeight="1" s="410">
      <c r="A7" s="751" t="n">
        <v>16</v>
      </c>
      <c r="B7" s="752" t="inlineStr">
        <is>
          <t>Whipple</t>
        </is>
      </c>
      <c r="C7" s="752" t="inlineStr">
        <is>
          <t>LIHTC pass-through</t>
        </is>
      </c>
      <c r="D7" s="751" t="n">
        <v>1</v>
      </c>
      <c r="E7" s="751" t="n">
        <v>0</v>
      </c>
      <c r="F7" s="753" t="n">
        <v>0</v>
      </c>
      <c r="G7" s="751" t="n">
        <v>0</v>
      </c>
      <c r="I7" s="751">
        <f>IF($E7=1,SUM(INDEX(Model!$I$13:$DE$56,$A7-12,0))+SUM(INDEX(Model!$I$60:$DE$103,$A7-12,0)),0)</f>
        <v/>
      </c>
    </row>
    <row r="8" ht="13.5" customHeight="1" s="410">
      <c r="A8" s="748" t="n">
        <v>17</v>
      </c>
      <c r="B8" s="749" t="inlineStr">
        <is>
          <t>Nelrose</t>
        </is>
      </c>
      <c r="C8" s="749" t="inlineStr">
        <is>
          <t>Shared savings 50/50</t>
        </is>
      </c>
      <c r="D8" s="748" t="n">
        <v>0</v>
      </c>
      <c r="E8" s="748" t="n">
        <v>1</v>
      </c>
      <c r="F8" s="750" t="n">
        <v>0</v>
      </c>
      <c r="G8" s="748" t="n">
        <v>0</v>
      </c>
      <c r="H8" s="749" t="inlineStr">
        <is>
          <t>zero buyout savings assumed for now</t>
        </is>
      </c>
      <c r="I8" s="748">
        <f>IF($E8=1,SUM(INDEX(Model!$I$13:$DE$56,$A8-12,0))+SUM(INDEX(Model!$I$60:$DE$103,$A8-12,0)),0)</f>
        <v/>
      </c>
    </row>
    <row r="9" ht="13.5" customHeight="1" s="410">
      <c r="A9" s="751" t="n">
        <v>18</v>
      </c>
      <c r="B9" s="752" t="inlineStr">
        <is>
          <t>Francis</t>
        </is>
      </c>
      <c r="C9" s="752" t="inlineStr">
        <is>
          <t>LIHTC pass-through</t>
        </is>
      </c>
      <c r="D9" s="751" t="n">
        <v>1</v>
      </c>
      <c r="E9" s="751" t="n">
        <v>0</v>
      </c>
      <c r="F9" s="753" t="n">
        <v>0</v>
      </c>
      <c r="G9" s="751" t="n">
        <v>0</v>
      </c>
      <c r="I9" s="751">
        <f>IF($E9=1,SUM(INDEX(Model!$I$13:$DE$56,$A9-12,0))+SUM(INDEX(Model!$I$60:$DE$103,$A9-12,0)),0)</f>
        <v/>
      </c>
    </row>
    <row r="10" ht="13.5" customHeight="1" s="410">
      <c r="A10" s="748" t="n">
        <v>19</v>
      </c>
      <c r="B10" s="749" t="inlineStr">
        <is>
          <t>Lexington</t>
        </is>
      </c>
      <c r="C10" s="749" t="inlineStr">
        <is>
          <t>LIHTC pass-through</t>
        </is>
      </c>
      <c r="D10" s="748" t="n">
        <v>1</v>
      </c>
      <c r="E10" s="748" t="n">
        <v>0</v>
      </c>
      <c r="F10" s="750" t="n">
        <v>0</v>
      </c>
      <c r="G10" s="748" t="n">
        <v>0</v>
      </c>
      <c r="I10" s="748">
        <f>IF($E10=1,SUM(INDEX(Model!$I$13:$DE$56,$A10-12,0))+SUM(INDEX(Model!$I$60:$DE$103,$A10-12,0)),0)</f>
        <v/>
      </c>
    </row>
    <row r="11" ht="13.5" customHeight="1" s="410">
      <c r="A11" s="751" t="n">
        <v>20</v>
      </c>
      <c r="B11" s="752" t="inlineStr">
        <is>
          <t>Denny</t>
        </is>
      </c>
      <c r="C11" s="752" t="inlineStr">
        <is>
          <t>LIHTC pass-through</t>
        </is>
      </c>
      <c r="D11" s="751" t="n">
        <v>1</v>
      </c>
      <c r="E11" s="751" t="n">
        <v>0</v>
      </c>
      <c r="F11" s="753" t="n">
        <v>0</v>
      </c>
      <c r="G11" s="751" t="n">
        <v>0</v>
      </c>
      <c r="I11" s="751">
        <f>IF($E11=1,SUM(INDEX(Model!$I$13:$DE$56,$A11-12,0))+SUM(INDEX(Model!$I$60:$DE$103,$A11-12,0)),0)</f>
        <v/>
      </c>
    </row>
    <row r="12" ht="13.5" customHeight="1" s="410">
      <c r="A12" s="748" t="n">
        <v>21</v>
      </c>
      <c r="B12" s="749" t="inlineStr">
        <is>
          <t>Acama</t>
        </is>
      </c>
      <c r="C12" s="749" t="inlineStr">
        <is>
          <t>LIHTC pass-through</t>
        </is>
      </c>
      <c r="D12" s="748" t="n">
        <v>1</v>
      </c>
      <c r="E12" s="748" t="n">
        <v>0</v>
      </c>
      <c r="F12" s="750" t="n">
        <v>0</v>
      </c>
      <c r="G12" s="748" t="n">
        <v>0</v>
      </c>
      <c r="I12" s="748">
        <f>IF($E12=1,SUM(INDEX(Model!$I$13:$DE$56,$A12-12,0))+SUM(INDEX(Model!$I$60:$DE$103,$A12-12,0)),0)</f>
        <v/>
      </c>
    </row>
    <row r="13" ht="13.5" customHeight="1" s="410">
      <c r="A13" s="751" t="n">
        <v>22</v>
      </c>
      <c r="B13" s="752" t="inlineStr">
        <is>
          <t>Klump</t>
        </is>
      </c>
      <c r="C13" s="752" t="inlineStr">
        <is>
          <t>Shared savings 50/50</t>
        </is>
      </c>
      <c r="D13" s="751" t="n">
        <v>0</v>
      </c>
      <c r="E13" s="751" t="n">
        <v>1</v>
      </c>
      <c r="F13" s="753" t="n">
        <v>0</v>
      </c>
      <c r="G13" s="751" t="n">
        <v>0</v>
      </c>
      <c r="H13" s="752" t="inlineStr">
        <is>
          <t>zero buyout savings assumed for now</t>
        </is>
      </c>
      <c r="I13" s="751">
        <f>IF($E13=1,SUM(INDEX(Model!$I$13:$DE$56,$A13-12,0))+SUM(INDEX(Model!$I$60:$DE$103,$A13-12,0)),0)</f>
        <v/>
      </c>
    </row>
    <row r="14" ht="13.5" customHeight="1" s="410">
      <c r="A14" s="748" t="n">
        <v>23</v>
      </c>
      <c r="B14" s="749" t="inlineStr">
        <is>
          <t>Scott</t>
        </is>
      </c>
      <c r="C14" s="749" t="inlineStr">
        <is>
          <t>Shared savings 50/50</t>
        </is>
      </c>
      <c r="D14" s="748" t="n">
        <v>0</v>
      </c>
      <c r="E14" s="748" t="n">
        <v>1</v>
      </c>
      <c r="F14" s="750" t="n">
        <v>0</v>
      </c>
      <c r="G14" s="748" t="n">
        <v>0</v>
      </c>
      <c r="H14" s="749" t="inlineStr">
        <is>
          <t>zero buyout savings assumed for now</t>
        </is>
      </c>
      <c r="I14" s="748">
        <f>IF($E14=1,SUM(INDEX(Model!$I$13:$DE$56,$A14-12,0))+SUM(INDEX(Model!$I$60:$DE$103,$A14-12,0)),0)</f>
        <v/>
      </c>
    </row>
    <row r="15" ht="13.5" customHeight="1" s="410">
      <c r="A15" s="751" t="n">
        <v>24</v>
      </c>
      <c r="B15" s="752" t="inlineStr">
        <is>
          <t>Reseda</t>
        </is>
      </c>
      <c r="C15" s="752" t="inlineStr">
        <is>
          <t>LIHTC pass-through</t>
        </is>
      </c>
      <c r="D15" s="751" t="n">
        <v>1</v>
      </c>
      <c r="E15" s="751" t="n">
        <v>0</v>
      </c>
      <c r="F15" s="753" t="n">
        <v>0</v>
      </c>
      <c r="G15" s="751" t="n">
        <v>0</v>
      </c>
      <c r="I15" s="751">
        <f>IF($E15=1,SUM(INDEX(Model!$I$13:$DE$56,$A15-12,0))+SUM(INDEX(Model!$I$60:$DE$103,$A15-12,0)),0)</f>
        <v/>
      </c>
    </row>
    <row r="16" ht="13.5" customHeight="1" s="410">
      <c r="A16" s="748" t="n">
        <v>25</v>
      </c>
      <c r="B16" s="749" t="inlineStr">
        <is>
          <t>3rd St</t>
        </is>
      </c>
      <c r="C16" s="749" t="inlineStr">
        <is>
          <t>LIHTC pass-through</t>
        </is>
      </c>
      <c r="D16" s="748" t="n">
        <v>1</v>
      </c>
      <c r="E16" s="748" t="n">
        <v>0</v>
      </c>
      <c r="F16" s="750" t="n">
        <v>0</v>
      </c>
      <c r="G16" s="748" t="n">
        <v>0</v>
      </c>
      <c r="I16" s="748">
        <f>IF($E16=1,SUM(INDEX(Model!$I$13:$DE$56,$A16-12,0))+SUM(INDEX(Model!$I$60:$DE$103,$A16-12,0)),0)</f>
        <v/>
      </c>
    </row>
    <row r="17" ht="13.5" customHeight="1" s="410">
      <c r="A17" s="751" t="n">
        <v>26</v>
      </c>
      <c r="B17" s="752" t="inlineStr">
        <is>
          <t>Dickens</t>
        </is>
      </c>
      <c r="C17" s="752" t="inlineStr">
        <is>
          <t>LIHTC pass-through</t>
        </is>
      </c>
      <c r="D17" s="751" t="n">
        <v>1</v>
      </c>
      <c r="E17" s="751" t="n">
        <v>0</v>
      </c>
      <c r="F17" s="753" t="n">
        <v>0</v>
      </c>
      <c r="G17" s="751" t="n">
        <v>0</v>
      </c>
      <c r="I17" s="751">
        <f>IF($E17=1,SUM(INDEX(Model!$I$13:$DE$56,$A17-12,0))+SUM(INDEX(Model!$I$60:$DE$103,$A17-12,0)),0)</f>
        <v/>
      </c>
    </row>
    <row r="18" ht="13.5" customHeight="1" s="410">
      <c r="A18" s="748" t="n">
        <v>27</v>
      </c>
      <c r="B18" s="749" t="inlineStr">
        <is>
          <t>Riverton</t>
        </is>
      </c>
      <c r="C18" s="749" t="inlineStr">
        <is>
          <t>LIHTC pass-through</t>
        </is>
      </c>
      <c r="D18" s="748" t="n">
        <v>1</v>
      </c>
      <c r="E18" s="748" t="n">
        <v>0</v>
      </c>
      <c r="F18" s="750" t="n">
        <v>0</v>
      </c>
      <c r="G18" s="748" t="n">
        <v>0</v>
      </c>
      <c r="I18" s="748">
        <f>IF($E18=1,SUM(INDEX(Model!$I$13:$DE$56,$A18-12,0))+SUM(INDEX(Model!$I$60:$DE$103,$A18-12,0)),0)</f>
        <v/>
      </c>
    </row>
    <row r="19" ht="13.5" customHeight="1" s="410">
      <c r="A19" s="751" t="n">
        <v>28</v>
      </c>
      <c r="B19" s="752" t="inlineStr">
        <is>
          <t>Moorpark</t>
        </is>
      </c>
      <c r="C19" s="752" t="inlineStr">
        <is>
          <t>LIHTC pass-through</t>
        </is>
      </c>
      <c r="D19" s="751" t="n">
        <v>1</v>
      </c>
      <c r="E19" s="751" t="n">
        <v>0</v>
      </c>
      <c r="F19" s="753" t="n">
        <v>0</v>
      </c>
      <c r="G19" s="751" t="n">
        <v>0</v>
      </c>
      <c r="I19" s="751">
        <f>IF($E19=1,SUM(INDEX(Model!$I$13:$DE$56,$A19-12,0))+SUM(INDEX(Model!$I$60:$DE$103,$A19-12,0)),0)</f>
        <v/>
      </c>
    </row>
    <row r="20" ht="13.5" customHeight="1" s="410">
      <c r="A20" s="748" t="n">
        <v>29</v>
      </c>
      <c r="B20" s="749" t="inlineStr">
        <is>
          <t>Beverly (BD-04)</t>
        </is>
      </c>
      <c r="C20" s="749" t="inlineStr">
        <is>
          <t>Shared savings 50/50</t>
        </is>
      </c>
      <c r="D20" s="748" t="n">
        <v>0</v>
      </c>
      <c r="E20" s="748" t="n">
        <v>1</v>
      </c>
      <c r="F20" s="750" t="n">
        <v>0</v>
      </c>
      <c r="G20" s="748" t="n">
        <v>0</v>
      </c>
      <c r="H20" s="749" t="inlineStr">
        <is>
          <t>zero buyout savings assumed for now</t>
        </is>
      </c>
      <c r="I20" s="748">
        <f>IF($E20=1,SUM(INDEX(Model!$I$13:$DE$56,$A20-12,0))+SUM(INDEX(Model!$I$60:$DE$103,$A20-12,0)),0)</f>
        <v/>
      </c>
    </row>
    <row r="21" ht="13.5" customHeight="1" s="410">
      <c r="A21" s="751" t="n">
        <v>30</v>
      </c>
      <c r="B21" s="752" t="inlineStr">
        <is>
          <t>Troost</t>
        </is>
      </c>
      <c r="C21" s="752" t="inlineStr">
        <is>
          <t>Shared savings 50/50</t>
        </is>
      </c>
      <c r="D21" s="751" t="n">
        <v>0</v>
      </c>
      <c r="E21" s="751" t="n">
        <v>1</v>
      </c>
      <c r="F21" s="753" t="n">
        <v>0</v>
      </c>
      <c r="G21" s="751" t="n">
        <v>0</v>
      </c>
      <c r="H21" s="752" t="inlineStr">
        <is>
          <t>zero buyout savings assumed for now</t>
        </is>
      </c>
      <c r="I21" s="751">
        <f>IF($E21=1,SUM(INDEX(Model!$I$13:$DE$56,$A21-12,0))+SUM(INDEX(Model!$I$60:$DE$103,$A21-12,0)),0)</f>
        <v/>
      </c>
    </row>
    <row r="22" ht="13.5" customHeight="1" s="410">
      <c r="A22" s="748" t="n">
        <v>31</v>
      </c>
      <c r="B22" s="749" t="inlineStr">
        <is>
          <t>BD-06</t>
        </is>
      </c>
      <c r="C22" s="749" t="inlineStr">
        <is>
          <t>LIHTC pass-through</t>
        </is>
      </c>
      <c r="D22" s="748" t="n">
        <v>1</v>
      </c>
      <c r="E22" s="748" t="n">
        <v>0</v>
      </c>
      <c r="F22" s="750" t="n">
        <v>0</v>
      </c>
      <c r="G22" s="748" t="n">
        <v>0</v>
      </c>
      <c r="H22" s="749" t="inlineStr">
        <is>
          <t>HVN BD deal — LIHTC</t>
        </is>
      </c>
      <c r="I22" s="748">
        <f>IF($E22=1,SUM(INDEX(Model!$I$13:$DE$56,$A22-12,0))+SUM(INDEX(Model!$I$60:$DE$103,$A22-12,0)),0)</f>
        <v/>
      </c>
    </row>
    <row r="23" ht="13.5" customHeight="1" s="410">
      <c r="A23" s="751" t="n">
        <v>32</v>
      </c>
      <c r="B23" s="752" t="inlineStr">
        <is>
          <t>BD-07</t>
        </is>
      </c>
      <c r="C23" s="752" t="inlineStr">
        <is>
          <t>LIHTC pass-through</t>
        </is>
      </c>
      <c r="D23" s="751" t="n">
        <v>1</v>
      </c>
      <c r="E23" s="751" t="n">
        <v>0</v>
      </c>
      <c r="F23" s="753" t="n">
        <v>0</v>
      </c>
      <c r="G23" s="751" t="n">
        <v>0</v>
      </c>
      <c r="H23" s="752" t="inlineStr">
        <is>
          <t>HVN BD deal — LIHTC</t>
        </is>
      </c>
      <c r="I23" s="751">
        <f>IF($E23=1,SUM(INDEX(Model!$I$13:$DE$56,$A23-12,0))+SUM(INDEX(Model!$I$60:$DE$103,$A23-12,0)),0)</f>
        <v/>
      </c>
    </row>
    <row r="24" ht="13.5" customHeight="1" s="410">
      <c r="A24" s="748" t="n">
        <v>33</v>
      </c>
      <c r="B24" s="749" t="inlineStr">
        <is>
          <t>BD-08</t>
        </is>
      </c>
      <c r="C24" s="749" t="inlineStr">
        <is>
          <t>LIHTC pass-through</t>
        </is>
      </c>
      <c r="D24" s="748" t="n">
        <v>1</v>
      </c>
      <c r="E24" s="748" t="n">
        <v>0</v>
      </c>
      <c r="F24" s="750" t="n">
        <v>0</v>
      </c>
      <c r="G24" s="748" t="n">
        <v>0</v>
      </c>
      <c r="H24" s="749" t="inlineStr">
        <is>
          <t>HVN BD deal — LIHTC</t>
        </is>
      </c>
      <c r="I24" s="748">
        <f>IF($E24=1,SUM(INDEX(Model!$I$13:$DE$56,$A24-12,0))+SUM(INDEX(Model!$I$60:$DE$103,$A24-12,0)),0)</f>
        <v/>
      </c>
    </row>
    <row r="25" ht="13.5" customHeight="1" s="410">
      <c r="A25" s="751" t="n">
        <v>34</v>
      </c>
      <c r="B25" s="752" t="inlineStr">
        <is>
          <t>BD-09</t>
        </is>
      </c>
      <c r="C25" s="752" t="inlineStr">
        <is>
          <t>LIHTC pass-through</t>
        </is>
      </c>
      <c r="D25" s="751" t="n">
        <v>1</v>
      </c>
      <c r="E25" s="751" t="n">
        <v>0</v>
      </c>
      <c r="F25" s="753" t="n">
        <v>0</v>
      </c>
      <c r="G25" s="751" t="n">
        <v>0</v>
      </c>
      <c r="H25" s="752" t="inlineStr">
        <is>
          <t>HVN BD deal — LIHTC</t>
        </is>
      </c>
      <c r="I25" s="751">
        <f>IF($E25=1,SUM(INDEX(Model!$I$13:$DE$56,$A25-12,0))+SUM(INDEX(Model!$I$60:$DE$103,$A25-12,0)),0)</f>
        <v/>
      </c>
    </row>
    <row r="26" ht="13.5" customHeight="1" s="410">
      <c r="A26" s="748" t="n">
        <v>35</v>
      </c>
      <c r="B26" s="749" t="inlineStr">
        <is>
          <t>BD-10</t>
        </is>
      </c>
      <c r="C26" s="749" t="inlineStr">
        <is>
          <t>LIHTC pass-through</t>
        </is>
      </c>
      <c r="D26" s="748" t="n">
        <v>1</v>
      </c>
      <c r="E26" s="748" t="n">
        <v>0</v>
      </c>
      <c r="F26" s="750" t="n">
        <v>0</v>
      </c>
      <c r="G26" s="748" t="n">
        <v>0</v>
      </c>
      <c r="H26" s="749" t="inlineStr">
        <is>
          <t>HVN BD deal — LIHTC</t>
        </is>
      </c>
      <c r="I26" s="748">
        <f>IF($E26=1,SUM(INDEX(Model!$I$13:$DE$56,$A26-12,0))+SUM(INDEX(Model!$I$60:$DE$103,$A26-12,0)),0)</f>
        <v/>
      </c>
    </row>
    <row r="27" ht="13.5" customHeight="1" s="410">
      <c r="A27" s="751" t="n">
        <v>36</v>
      </c>
      <c r="B27" s="752" t="inlineStr">
        <is>
          <t>BD-11</t>
        </is>
      </c>
      <c r="C27" s="752" t="inlineStr">
        <is>
          <t>LIHTC pass-through</t>
        </is>
      </c>
      <c r="D27" s="751" t="n">
        <v>1</v>
      </c>
      <c r="E27" s="751" t="n">
        <v>0</v>
      </c>
      <c r="F27" s="753" t="n">
        <v>0</v>
      </c>
      <c r="G27" s="751" t="n">
        <v>0</v>
      </c>
      <c r="H27" s="752" t="inlineStr">
        <is>
          <t>HVN BD deal — LIHTC</t>
        </is>
      </c>
      <c r="I27" s="751">
        <f>IF($E27=1,SUM(INDEX(Model!$I$13:$DE$56,$A27-12,0))+SUM(INDEX(Model!$I$60:$DE$103,$A27-12,0)),0)</f>
        <v/>
      </c>
    </row>
    <row r="28" ht="13.5" customHeight="1" s="410">
      <c r="A28" s="748" t="n">
        <v>37</v>
      </c>
      <c r="B28" s="749" t="inlineStr">
        <is>
          <t>BD-12</t>
        </is>
      </c>
      <c r="C28" s="749" t="inlineStr">
        <is>
          <t>LIHTC pass-through</t>
        </is>
      </c>
      <c r="D28" s="748" t="n">
        <v>1</v>
      </c>
      <c r="E28" s="748" t="n">
        <v>0</v>
      </c>
      <c r="F28" s="750" t="n">
        <v>0</v>
      </c>
      <c r="G28" s="748" t="n">
        <v>0</v>
      </c>
      <c r="H28" s="749" t="inlineStr">
        <is>
          <t>HVN BD deal — LIHTC</t>
        </is>
      </c>
      <c r="I28" s="748">
        <f>IF($E28=1,SUM(INDEX(Model!$I$13:$DE$56,$A28-12,0))+SUM(INDEX(Model!$I$60:$DE$103,$A28-12,0)),0)</f>
        <v/>
      </c>
    </row>
    <row r="29" ht="13.5" customHeight="1" s="410">
      <c r="A29" s="751" t="n">
        <v>38</v>
      </c>
      <c r="B29" s="752" t="inlineStr">
        <is>
          <t>BD-13</t>
        </is>
      </c>
      <c r="C29" s="752" t="inlineStr">
        <is>
          <t>LIHTC pass-through</t>
        </is>
      </c>
      <c r="D29" s="751" t="n">
        <v>1</v>
      </c>
      <c r="E29" s="751" t="n">
        <v>0</v>
      </c>
      <c r="F29" s="753" t="n">
        <v>0</v>
      </c>
      <c r="G29" s="751" t="n">
        <v>0</v>
      </c>
      <c r="H29" s="752" t="inlineStr">
        <is>
          <t>HVN BD deal — LIHTC</t>
        </is>
      </c>
      <c r="I29" s="751">
        <f>IF($E29=1,SUM(INDEX(Model!$I$13:$DE$56,$A29-12,0))+SUM(INDEX(Model!$I$60:$DE$103,$A29-12,0)),0)</f>
        <v/>
      </c>
    </row>
    <row r="30" ht="13.5" customHeight="1" s="410">
      <c r="A30" s="748" t="n">
        <v>39</v>
      </c>
      <c r="B30" s="749" t="inlineStr">
        <is>
          <t>BD-14</t>
        </is>
      </c>
      <c r="C30" s="749" t="inlineStr">
        <is>
          <t>LIHTC pass-through</t>
        </is>
      </c>
      <c r="D30" s="748" t="n">
        <v>1</v>
      </c>
      <c r="E30" s="748" t="n">
        <v>0</v>
      </c>
      <c r="F30" s="750" t="n">
        <v>0</v>
      </c>
      <c r="G30" s="748" t="n">
        <v>0</v>
      </c>
      <c r="H30" s="749" t="inlineStr">
        <is>
          <t>HVN BD deal — LIHTC</t>
        </is>
      </c>
      <c r="I30" s="748">
        <f>IF($E30=1,SUM(INDEX(Model!$I$13:$DE$56,$A30-12,0))+SUM(INDEX(Model!$I$60:$DE$103,$A30-12,0)),0)</f>
        <v/>
      </c>
    </row>
    <row r="31" ht="13.5" customHeight="1" s="410">
      <c r="A31" s="751" t="n">
        <v>40</v>
      </c>
      <c r="B31" s="752" t="inlineStr">
        <is>
          <t>BD-15</t>
        </is>
      </c>
      <c r="C31" s="752" t="inlineStr">
        <is>
          <t>LIHTC pass-through</t>
        </is>
      </c>
      <c r="D31" s="751" t="n">
        <v>1</v>
      </c>
      <c r="E31" s="751" t="n">
        <v>0</v>
      </c>
      <c r="F31" s="753" t="n">
        <v>0</v>
      </c>
      <c r="G31" s="751" t="n">
        <v>0</v>
      </c>
      <c r="H31" s="752" t="inlineStr">
        <is>
          <t>HVN BD deal — LIHTC</t>
        </is>
      </c>
      <c r="I31" s="751">
        <f>IF($E31=1,SUM(INDEX(Model!$I$13:$DE$56,$A31-12,0))+SUM(INDEX(Model!$I$60:$DE$103,$A31-12,0)),0)</f>
        <v/>
      </c>
    </row>
    <row r="32" ht="13.5" customHeight="1" s="410">
      <c r="A32" s="748" t="n">
        <v>41</v>
      </c>
      <c r="B32" s="749" t="inlineStr">
        <is>
          <t>BD-16</t>
        </is>
      </c>
      <c r="C32" s="749" t="inlineStr">
        <is>
          <t>LIHTC pass-through</t>
        </is>
      </c>
      <c r="D32" s="748" t="n">
        <v>1</v>
      </c>
      <c r="E32" s="748" t="n">
        <v>0</v>
      </c>
      <c r="F32" s="750" t="n">
        <v>0</v>
      </c>
      <c r="G32" s="748" t="n">
        <v>0</v>
      </c>
      <c r="H32" s="749" t="inlineStr">
        <is>
          <t>HVN BD deal — LIHTC</t>
        </is>
      </c>
      <c r="I32" s="748">
        <f>IF($E32=1,SUM(INDEX(Model!$I$13:$DE$56,$A32-12,0))+SUM(INDEX(Model!$I$60:$DE$103,$A32-12,0)),0)</f>
        <v/>
      </c>
    </row>
    <row r="33" ht="13.5" customHeight="1" s="410">
      <c r="A33" s="751" t="n">
        <v>42</v>
      </c>
      <c r="B33" s="752" t="inlineStr">
        <is>
          <t>BD-17</t>
        </is>
      </c>
      <c r="C33" s="752" t="inlineStr">
        <is>
          <t>LIHTC pass-through</t>
        </is>
      </c>
      <c r="D33" s="751" t="n">
        <v>1</v>
      </c>
      <c r="E33" s="751" t="n">
        <v>0</v>
      </c>
      <c r="F33" s="753" t="n">
        <v>0</v>
      </c>
      <c r="G33" s="751" t="n">
        <v>0</v>
      </c>
      <c r="H33" s="752" t="inlineStr">
        <is>
          <t>HVN BD deal — LIHTC</t>
        </is>
      </c>
      <c r="I33" s="751">
        <f>IF($E33=1,SUM(INDEX(Model!$I$13:$DE$56,$A33-12,0))+SUM(INDEX(Model!$I$60:$DE$103,$A33-12,0)),0)</f>
        <v/>
      </c>
    </row>
    <row r="34" ht="13.5" customHeight="1" s="410">
      <c r="A34" s="748" t="n">
        <v>43</v>
      </c>
      <c r="B34" s="749" t="inlineStr">
        <is>
          <t>BD-18</t>
        </is>
      </c>
      <c r="C34" s="749" t="inlineStr">
        <is>
          <t>LIHTC pass-through</t>
        </is>
      </c>
      <c r="D34" s="748" t="n">
        <v>1</v>
      </c>
      <c r="E34" s="748" t="n">
        <v>0</v>
      </c>
      <c r="F34" s="750" t="n">
        <v>0</v>
      </c>
      <c r="G34" s="748" t="n">
        <v>0</v>
      </c>
      <c r="H34" s="749" t="inlineStr">
        <is>
          <t>HVN BD deal — LIHTC</t>
        </is>
      </c>
      <c r="I34" s="748">
        <f>IF($E34=1,SUM(INDEX(Model!$I$13:$DE$56,$A34-12,0))+SUM(INDEX(Model!$I$60:$DE$103,$A34-12,0)),0)</f>
        <v/>
      </c>
    </row>
    <row r="35" ht="13.5" customHeight="1" s="410">
      <c r="A35" s="751" t="n">
        <v>44</v>
      </c>
      <c r="B35" s="752" t="inlineStr">
        <is>
          <t>BD-19</t>
        </is>
      </c>
      <c r="C35" s="752" t="inlineStr">
        <is>
          <t>LIHTC pass-through</t>
        </is>
      </c>
      <c r="D35" s="751" t="n">
        <v>1</v>
      </c>
      <c r="E35" s="751" t="n">
        <v>0</v>
      </c>
      <c r="F35" s="753" t="n">
        <v>0</v>
      </c>
      <c r="G35" s="751" t="n">
        <v>0</v>
      </c>
      <c r="H35" s="752" t="inlineStr">
        <is>
          <t>HVN BD deal — LIHTC</t>
        </is>
      </c>
      <c r="I35" s="751">
        <f>IF($E35=1,SUM(INDEX(Model!$I$13:$DE$56,$A35-12,0))+SUM(INDEX(Model!$I$60:$DE$103,$A35-12,0)),0)</f>
        <v/>
      </c>
    </row>
    <row r="36" ht="13.5" customHeight="1" s="410">
      <c r="A36" s="748" t="n">
        <v>45</v>
      </c>
      <c r="B36" s="749" t="inlineStr">
        <is>
          <t>BD-20</t>
        </is>
      </c>
      <c r="C36" s="749" t="inlineStr">
        <is>
          <t>LIHTC pass-through</t>
        </is>
      </c>
      <c r="D36" s="748" t="n">
        <v>1</v>
      </c>
      <c r="E36" s="748" t="n">
        <v>0</v>
      </c>
      <c r="F36" s="750" t="n">
        <v>0</v>
      </c>
      <c r="G36" s="748" t="n">
        <v>0</v>
      </c>
      <c r="H36" s="749" t="inlineStr">
        <is>
          <t>HVN BD deal — LIHTC</t>
        </is>
      </c>
      <c r="I36" s="748">
        <f>IF($E36=1,SUM(INDEX(Model!$I$13:$DE$56,$A36-12,0))+SUM(INDEX(Model!$I$60:$DE$103,$A36-12,0)),0)</f>
        <v/>
      </c>
    </row>
    <row r="37" ht="13.5" customHeight="1" s="410">
      <c r="A37" s="751" t="n">
        <v>46</v>
      </c>
      <c r="B37" s="752" t="inlineStr">
        <is>
          <t>BD-21</t>
        </is>
      </c>
      <c r="C37" s="752" t="inlineStr">
        <is>
          <t>LIHTC pass-through</t>
        </is>
      </c>
      <c r="D37" s="751" t="n">
        <v>1</v>
      </c>
      <c r="E37" s="751" t="n">
        <v>0</v>
      </c>
      <c r="F37" s="753" t="n">
        <v>0</v>
      </c>
      <c r="G37" s="751" t="n">
        <v>0</v>
      </c>
      <c r="H37" s="752" t="inlineStr">
        <is>
          <t>HVN BD deal — LIHTC</t>
        </is>
      </c>
      <c r="I37" s="751">
        <f>IF($E37=1,SUM(INDEX(Model!$I$13:$DE$56,$A37-12,0))+SUM(INDEX(Model!$I$60:$DE$103,$A37-12,0)),0)</f>
        <v/>
      </c>
    </row>
    <row r="38" ht="13.5" customHeight="1" s="410">
      <c r="A38" s="748" t="n">
        <v>47</v>
      </c>
      <c r="B38" s="749" t="inlineStr">
        <is>
          <t>BD-22</t>
        </is>
      </c>
      <c r="C38" s="749" t="inlineStr">
        <is>
          <t>LIHTC pass-through</t>
        </is>
      </c>
      <c r="D38" s="748" t="n">
        <v>1</v>
      </c>
      <c r="E38" s="748" t="n">
        <v>0</v>
      </c>
      <c r="F38" s="750" t="n">
        <v>0</v>
      </c>
      <c r="G38" s="748" t="n">
        <v>0</v>
      </c>
      <c r="H38" s="749" t="inlineStr">
        <is>
          <t>HVN BD deal — LIHTC</t>
        </is>
      </c>
      <c r="I38" s="748">
        <f>IF($E38=1,SUM(INDEX(Model!$I$13:$DE$56,$A38-12,0))+SUM(INDEX(Model!$I$60:$DE$103,$A38-12,0)),0)</f>
        <v/>
      </c>
    </row>
    <row r="39" ht="13.5" customHeight="1" s="410">
      <c r="A39" s="751" t="n">
        <v>48</v>
      </c>
      <c r="B39" s="752" t="inlineStr">
        <is>
          <t>BD-23</t>
        </is>
      </c>
      <c r="C39" s="752" t="inlineStr">
        <is>
          <t>LIHTC pass-through</t>
        </is>
      </c>
      <c r="D39" s="751" t="n">
        <v>1</v>
      </c>
      <c r="E39" s="751" t="n">
        <v>0</v>
      </c>
      <c r="F39" s="753" t="n">
        <v>0</v>
      </c>
      <c r="G39" s="751" t="n">
        <v>0</v>
      </c>
      <c r="H39" s="752" t="inlineStr">
        <is>
          <t>HVN BD deal — LIHTC</t>
        </is>
      </c>
      <c r="I39" s="751">
        <f>IF($E39=1,SUM(INDEX(Model!$I$13:$DE$56,$A39-12,0))+SUM(INDEX(Model!$I$60:$DE$103,$A39-12,0)),0)</f>
        <v/>
      </c>
    </row>
    <row r="40" ht="13.5" customHeight="1" s="410">
      <c r="A40" s="748" t="n">
        <v>49</v>
      </c>
      <c r="B40" s="749" t="inlineStr">
        <is>
          <t>BD-24</t>
        </is>
      </c>
      <c r="C40" s="749" t="inlineStr">
        <is>
          <t>LIHTC pass-through</t>
        </is>
      </c>
      <c r="D40" s="748" t="n">
        <v>1</v>
      </c>
      <c r="E40" s="748" t="n">
        <v>0</v>
      </c>
      <c r="F40" s="750" t="n">
        <v>0</v>
      </c>
      <c r="G40" s="748" t="n">
        <v>0</v>
      </c>
      <c r="H40" s="749" t="inlineStr">
        <is>
          <t>HVN BD deal — LIHTC</t>
        </is>
      </c>
      <c r="I40" s="748">
        <f>IF($E40=1,SUM(INDEX(Model!$I$13:$DE$56,$A40-12,0))+SUM(INDEX(Model!$I$60:$DE$103,$A40-12,0)),0)</f>
        <v/>
      </c>
    </row>
    <row r="41" ht="13.5" customHeight="1" s="410">
      <c r="A41" s="751" t="n">
        <v>50</v>
      </c>
      <c r="B41" s="752" t="inlineStr">
        <is>
          <t>BD-25</t>
        </is>
      </c>
      <c r="C41" s="752" t="inlineStr">
        <is>
          <t>LIHTC pass-through</t>
        </is>
      </c>
      <c r="D41" s="751" t="n">
        <v>1</v>
      </c>
      <c r="E41" s="751" t="n">
        <v>0</v>
      </c>
      <c r="F41" s="753" t="n">
        <v>0</v>
      </c>
      <c r="G41" s="751" t="n">
        <v>0</v>
      </c>
      <c r="H41" s="752" t="inlineStr">
        <is>
          <t>HVN BD deal — LIHTC</t>
        </is>
      </c>
      <c r="I41" s="751">
        <f>IF($E41=1,SUM(INDEX(Model!$I$13:$DE$56,$A41-12,0))+SUM(INDEX(Model!$I$60:$DE$103,$A41-12,0)),0)</f>
        <v/>
      </c>
    </row>
    <row r="42" ht="13.5" customHeight="1" s="410">
      <c r="A42" s="748" t="n">
        <v>51</v>
      </c>
      <c r="B42" s="749" t="inlineStr">
        <is>
          <t>BD-26</t>
        </is>
      </c>
      <c r="C42" s="749" t="inlineStr">
        <is>
          <t>LIHTC pass-through</t>
        </is>
      </c>
      <c r="D42" s="748" t="n">
        <v>1</v>
      </c>
      <c r="E42" s="748" t="n">
        <v>0</v>
      </c>
      <c r="F42" s="750" t="n">
        <v>0</v>
      </c>
      <c r="G42" s="748" t="n">
        <v>0</v>
      </c>
      <c r="H42" s="749" t="inlineStr">
        <is>
          <t>HVN BD deal — LIHTC</t>
        </is>
      </c>
      <c r="I42" s="748">
        <f>IF($E42=1,SUM(INDEX(Model!$I$13:$DE$56,$A42-12,0))+SUM(INDEX(Model!$I$60:$DE$103,$A42-12,0)),0)</f>
        <v/>
      </c>
    </row>
    <row r="43" ht="13.5" customHeight="1" s="410">
      <c r="A43" s="751" t="n">
        <v>52</v>
      </c>
      <c r="B43" s="752" t="inlineStr">
        <is>
          <t>BD-27</t>
        </is>
      </c>
      <c r="C43" s="752" t="inlineStr">
        <is>
          <t>LIHTC pass-through</t>
        </is>
      </c>
      <c r="D43" s="751" t="n">
        <v>1</v>
      </c>
      <c r="E43" s="751" t="n">
        <v>0</v>
      </c>
      <c r="F43" s="753" t="n">
        <v>0</v>
      </c>
      <c r="G43" s="751" t="n">
        <v>0</v>
      </c>
      <c r="H43" s="752" t="inlineStr">
        <is>
          <t>HVN BD deal — LIHTC</t>
        </is>
      </c>
      <c r="I43" s="751">
        <f>IF($E43=1,SUM(INDEX(Model!$I$13:$DE$56,$A43-12,0))+SUM(INDEX(Model!$I$60:$DE$103,$A43-12,0)),0)</f>
        <v/>
      </c>
    </row>
    <row r="44" ht="13.5" customHeight="1" s="410">
      <c r="A44" s="748" t="n">
        <v>53</v>
      </c>
      <c r="B44" s="749" t="inlineStr">
        <is>
          <t>BD-28</t>
        </is>
      </c>
      <c r="C44" s="749" t="inlineStr">
        <is>
          <t>LIHTC pass-through</t>
        </is>
      </c>
      <c r="D44" s="748" t="n">
        <v>1</v>
      </c>
      <c r="E44" s="748" t="n">
        <v>0</v>
      </c>
      <c r="F44" s="750" t="n">
        <v>0</v>
      </c>
      <c r="G44" s="748" t="n">
        <v>0</v>
      </c>
      <c r="H44" s="749" t="inlineStr">
        <is>
          <t>HVN BD deal — LIHTC</t>
        </is>
      </c>
      <c r="I44" s="748">
        <f>IF($E44=1,SUM(INDEX(Model!$I$13:$DE$56,$A44-12,0))+SUM(INDEX(Model!$I$60:$DE$103,$A44-12,0)),0)</f>
        <v/>
      </c>
    </row>
    <row r="45" ht="13.5" customHeight="1" s="410">
      <c r="A45" s="751" t="n">
        <v>54</v>
      </c>
      <c r="B45" s="752" t="inlineStr">
        <is>
          <t>BD-29</t>
        </is>
      </c>
      <c r="C45" s="752" t="inlineStr">
        <is>
          <t>LIHTC pass-through</t>
        </is>
      </c>
      <c r="D45" s="751" t="n">
        <v>1</v>
      </c>
      <c r="E45" s="751" t="n">
        <v>0</v>
      </c>
      <c r="F45" s="753" t="n">
        <v>0</v>
      </c>
      <c r="G45" s="751" t="n">
        <v>0</v>
      </c>
      <c r="H45" s="752" t="inlineStr">
        <is>
          <t>HVN BD deal — LIHTC</t>
        </is>
      </c>
      <c r="I45" s="751">
        <f>IF($E45=1,SUM(INDEX(Model!$I$13:$DE$56,$A45-12,0))+SUM(INDEX(Model!$I$60:$DE$103,$A45-12,0)),0)</f>
        <v/>
      </c>
    </row>
    <row r="46" ht="13.5" customHeight="1" s="410">
      <c r="A46" s="748" t="n">
        <v>55</v>
      </c>
      <c r="B46" s="749" t="inlineStr">
        <is>
          <t>BD-30</t>
        </is>
      </c>
      <c r="C46" s="749" t="inlineStr">
        <is>
          <t>LIHTC pass-through</t>
        </is>
      </c>
      <c r="D46" s="748" t="n">
        <v>1</v>
      </c>
      <c r="E46" s="748" t="n">
        <v>0</v>
      </c>
      <c r="F46" s="750" t="n">
        <v>0</v>
      </c>
      <c r="G46" s="748" t="n">
        <v>0</v>
      </c>
      <c r="H46" s="749" t="inlineStr">
        <is>
          <t>HVN BD deal — LIHTC</t>
        </is>
      </c>
      <c r="I46" s="748">
        <f>IF($E46=1,SUM(INDEX(Model!$I$13:$DE$56,$A46-12,0))+SUM(INDEX(Model!$I$60:$DE$103,$A46-12,0)),0)</f>
        <v/>
      </c>
    </row>
    <row r="47" ht="13.5" customHeight="1" s="410">
      <c r="A47" s="751" t="n">
        <v>56</v>
      </c>
      <c r="B47" s="752" t="inlineStr">
        <is>
          <t>Other (non-project)</t>
        </is>
      </c>
      <c r="C47" s="752" t="inlineStr">
        <is>
          <t>n/a</t>
        </is>
      </c>
      <c r="D47" s="751" t="n">
        <v>0</v>
      </c>
      <c r="E47" s="751" t="n">
        <v>0</v>
      </c>
      <c r="F47" s="753" t="n">
        <v>0</v>
      </c>
      <c r="G47" s="751" t="n">
        <v>0</v>
      </c>
      <c r="I47" s="751">
        <f>IF($E47=1,SUM(INDEX(Model!$I$13:$DE$56,$A47-12,0))+SUM(INDEX(Model!$I$60:$DE$103,$A47-12,0)),0)</f>
        <v/>
      </c>
    </row>
  </sheetData>
  <printOptions horizontalCentered="0" verticalCentered="0" headings="0" gridLines="0" gridLinesSet="1"/>
  <pageMargins left="0.747916666666667" right="0.747916666666667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8.xml><?xml version="1.0" encoding="utf-8"?>
<worksheet xmlns="http://schemas.openxmlformats.org/spreadsheetml/2006/main">
  <sheetPr>
    <tabColor rgb="00C4581A"/>
    <outlinePr summaryBelow="1" summaryRight="1"/>
    <pageSetUpPr/>
  </sheetPr>
  <dimension ref="A1:DE89"/>
  <sheetViews>
    <sheetView showGridLines="0" zoomScale="85" workbookViewId="0">
      <pane xSplit="4" ySplit="34" topLeftCell="E3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4" customWidth="1" style="410" min="1" max="1"/>
    <col width="15" customWidth="1" style="410" min="2" max="2"/>
    <col width="11" customWidth="1" style="410" min="5" max="5"/>
    <col width="11" customWidth="1" style="410" min="6" max="6"/>
    <col width="11" customWidth="1" style="410" min="7" max="7"/>
    <col width="11" customWidth="1" style="410" min="8" max="8"/>
    <col width="11" customWidth="1" style="410" min="9" max="9"/>
    <col width="11" customWidth="1" style="410" min="10" max="10"/>
    <col width="11" customWidth="1" style="410" min="11" max="11"/>
    <col width="11" customWidth="1" style="410" min="12" max="12"/>
    <col width="11" customWidth="1" style="410" min="13" max="13"/>
    <col width="11" customWidth="1" style="410" min="14" max="14"/>
    <col width="11" customWidth="1" style="410" min="15" max="15"/>
    <col width="11" customWidth="1" style="410" min="16" max="16"/>
    <col width="11" customWidth="1" style="410" min="17" max="17"/>
    <col width="11" customWidth="1" style="410" min="18" max="18"/>
    <col width="11" customWidth="1" style="410" min="19" max="19"/>
    <col width="11" customWidth="1" style="410" min="20" max="20"/>
    <col width="11" customWidth="1" style="410" min="21" max="21"/>
    <col width="11" customWidth="1" style="410" min="22" max="22"/>
    <col width="11" customWidth="1" style="410" min="23" max="23"/>
    <col width="11" customWidth="1" style="410" min="24" max="24"/>
    <col width="11" customWidth="1" style="410" min="25" max="25"/>
    <col width="11" customWidth="1" style="410" min="26" max="26"/>
    <col width="11" customWidth="1" style="410" min="27" max="27"/>
    <col width="11" customWidth="1" style="410" min="28" max="28"/>
    <col width="11" customWidth="1" style="410" min="29" max="29"/>
    <col width="11" customWidth="1" style="410" min="30" max="30"/>
    <col width="11" customWidth="1" style="410" min="31" max="31"/>
    <col width="11" customWidth="1" style="410" min="32" max="32"/>
    <col width="11" customWidth="1" style="410" min="33" max="33"/>
    <col width="11" customWidth="1" style="410" min="34" max="34"/>
    <col width="11" customWidth="1" style="410" min="35" max="35"/>
    <col width="11" customWidth="1" style="410" min="36" max="36"/>
    <col width="11" customWidth="1" style="410" min="37" max="37"/>
    <col width="11" customWidth="1" style="410" min="38" max="38"/>
    <col width="11" customWidth="1" style="410" min="39" max="39"/>
    <col width="11" customWidth="1" style="410" min="40" max="40"/>
    <col width="11" customWidth="1" style="410" min="41" max="41"/>
    <col width="11" customWidth="1" style="410" min="42" max="42"/>
    <col width="11" customWidth="1" style="410" min="43" max="43"/>
    <col width="11" customWidth="1" style="410" min="44" max="44"/>
    <col width="11" customWidth="1" style="410" min="45" max="45"/>
    <col width="11" customWidth="1" style="410" min="46" max="46"/>
    <col width="11" customWidth="1" style="410" min="47" max="47"/>
    <col width="11" customWidth="1" style="410" min="48" max="48"/>
    <col width="11" customWidth="1" style="410" min="49" max="49"/>
    <col width="11" customWidth="1" style="410" min="50" max="50"/>
    <col width="11" customWidth="1" style="410" min="51" max="51"/>
    <col width="11" customWidth="1" style="410" min="52" max="52"/>
    <col width="11" customWidth="1" style="410" min="53" max="53"/>
    <col width="11" customWidth="1" style="410" min="54" max="54"/>
    <col width="11" customWidth="1" style="410" min="55" max="55"/>
    <col width="11" customWidth="1" style="410" min="56" max="56"/>
    <col width="11" customWidth="1" style="410" min="57" max="57"/>
    <col width="11" customWidth="1" style="410" min="58" max="58"/>
    <col width="11" customWidth="1" style="410" min="59" max="59"/>
    <col width="11" customWidth="1" style="410" min="60" max="60"/>
    <col width="11" customWidth="1" style="410" min="61" max="61"/>
    <col width="11" customWidth="1" style="410" min="62" max="62"/>
    <col width="11" customWidth="1" style="410" min="63" max="63"/>
    <col width="11" customWidth="1" style="410" min="64" max="64"/>
    <col width="11" customWidth="1" style="410" min="65" max="65"/>
    <col width="11" customWidth="1" style="410" min="66" max="66"/>
    <col width="11" customWidth="1" style="410" min="67" max="67"/>
    <col width="11" customWidth="1" style="410" min="68" max="68"/>
    <col width="11" customWidth="1" style="410" min="69" max="69"/>
    <col width="11" customWidth="1" style="410" min="70" max="70"/>
    <col width="11" customWidth="1" style="410" min="71" max="71"/>
    <col width="11" customWidth="1" style="410" min="72" max="72"/>
    <col width="11" customWidth="1" style="410" min="73" max="73"/>
    <col width="11" customWidth="1" style="410" min="74" max="74"/>
    <col width="11" customWidth="1" style="410" min="75" max="75"/>
    <col width="11" customWidth="1" style="410" min="76" max="76"/>
    <col width="11" customWidth="1" style="410" min="77" max="77"/>
    <col width="11" customWidth="1" style="410" min="78" max="78"/>
    <col width="11" customWidth="1" style="410" min="79" max="79"/>
    <col width="11" customWidth="1" style="410" min="80" max="80"/>
    <col width="11" customWidth="1" style="410" min="81" max="81"/>
    <col width="11" customWidth="1" style="410" min="82" max="82"/>
    <col width="11" customWidth="1" style="410" min="83" max="83"/>
    <col width="11" customWidth="1" style="410" min="84" max="84"/>
    <col width="11" customWidth="1" style="410" min="85" max="85"/>
    <col width="11" customWidth="1" style="410" min="86" max="86"/>
    <col width="11" customWidth="1" style="410" min="87" max="87"/>
    <col width="11" customWidth="1" style="410" min="88" max="88"/>
    <col width="11" customWidth="1" style="410" min="89" max="89"/>
    <col width="11" customWidth="1" style="410" min="90" max="90"/>
    <col width="11" customWidth="1" style="410" min="91" max="91"/>
    <col width="11" customWidth="1" style="410" min="92" max="92"/>
    <col width="11" customWidth="1" style="410" min="93" max="93"/>
    <col width="11" customWidth="1" style="410" min="94" max="94"/>
    <col width="11" customWidth="1" style="410" min="95" max="95"/>
    <col width="11" customWidth="1" style="410" min="96" max="96"/>
    <col width="11" customWidth="1" style="410" min="97" max="97"/>
    <col width="11" customWidth="1" style="410" min="98" max="98"/>
    <col width="11" customWidth="1" style="410" min="99" max="99"/>
    <col width="11" customWidth="1" style="410" min="100" max="100"/>
    <col width="11" customWidth="1" style="410" min="101" max="101"/>
    <col width="11" customWidth="1" style="410" min="102" max="102"/>
    <col width="11" customWidth="1" style="410" min="103" max="103"/>
    <col width="11" customWidth="1" style="410" min="104" max="104"/>
    <col width="11" customWidth="1" style="410" min="105" max="105"/>
    <col width="11" customWidth="1" style="410" min="106" max="106"/>
    <col width="11" customWidth="1" style="410" min="107" max="107"/>
    <col width="11" customWidth="1" style="410" min="108" max="108"/>
    <col width="11" customWidth="1" style="410" min="109" max="109"/>
  </cols>
  <sheetData>
    <row r="1">
      <c r="A1" s="577" t="inlineStr">
        <is>
          <t>Staffing Engine</t>
        </is>
      </c>
    </row>
    <row r="2">
      <c r="A2" s="578" t="inlineStr">
        <is>
          <t>Hire slots are suppressed before August 2026 (month 5) — earlier months are closed and come from Actuals. Demand is derived from the Projects tab — Active, Start Month, End Month and Contract Value. Switch a job off and its crew disappears. Month 1 = April 2026.</t>
        </is>
      </c>
    </row>
    <row r="4">
      <c r="A4" s="584" t="inlineStr">
        <is>
          <t>STAFFING RULES  (edit here, nowhere else)</t>
        </is>
      </c>
      <c r="B4" s="585" t="n"/>
      <c r="C4" s="585" t="n"/>
      <c r="D4" s="585" t="n"/>
      <c r="E4" s="585" t="n"/>
      <c r="F4" s="585" t="n"/>
    </row>
    <row r="5">
      <c r="A5" s="586" t="inlineStr">
        <is>
          <t>Superintendent per active job</t>
        </is>
      </c>
      <c r="B5" s="755" t="n">
        <v>1</v>
      </c>
    </row>
    <row r="6">
      <c r="A6" s="586" t="inlineStr">
        <is>
          <t>APM - large job</t>
        </is>
      </c>
      <c r="B6" s="755" t="n">
        <v>1</v>
      </c>
    </row>
    <row r="7">
      <c r="A7" s="586" t="inlineStr">
        <is>
          <t>APM - mid job</t>
        </is>
      </c>
      <c r="B7" s="755" t="n">
        <v>0.5</v>
      </c>
    </row>
    <row r="8">
      <c r="A8" s="586" t="inlineStr">
        <is>
          <t>APM - small job</t>
        </is>
      </c>
      <c r="B8" s="755" t="n">
        <v>0.33</v>
      </c>
    </row>
    <row r="9">
      <c r="A9" s="586" t="inlineStr">
        <is>
          <t>PM - large job</t>
        </is>
      </c>
      <c r="B9" s="755" t="n">
        <v>0.5</v>
      </c>
    </row>
    <row r="10">
      <c r="A10" s="586" t="inlineStr">
        <is>
          <t>PM - mid job</t>
        </is>
      </c>
      <c r="B10" s="755" t="n">
        <v>0.25</v>
      </c>
    </row>
    <row r="11">
      <c r="A11" s="586" t="inlineStr">
        <is>
          <t>PM - small job</t>
        </is>
      </c>
      <c r="B11" s="755" t="n">
        <v>0.15</v>
      </c>
    </row>
    <row r="12">
      <c r="A12" s="586" t="inlineStr">
        <is>
          <t>Large job threshold (GMP $)</t>
        </is>
      </c>
      <c r="B12" s="756" t="n">
        <v>25000000</v>
      </c>
    </row>
    <row r="13">
      <c r="A13" s="586" t="inlineStr">
        <is>
          <t>Mid job threshold (GMP $)</t>
        </is>
      </c>
      <c r="B13" s="756" t="n">
        <v>10000000</v>
      </c>
    </row>
    <row r="14">
      <c r="A14" s="586" t="inlineStr">
        <is>
          <t>Superintendent lead (months before start)</t>
        </is>
      </c>
      <c r="B14" s="755" t="n">
        <v>0</v>
      </c>
      <c r="C14" s="754" t="inlineStr">
        <is>
          <t>0 = the engine funds a super from the job start. Raise it to fund early hires.</t>
        </is>
      </c>
    </row>
    <row r="15">
      <c r="A15" s="586" t="inlineStr">
        <is>
          <t>APM lead (months before start)</t>
        </is>
      </c>
      <c r="B15" s="755" t="n">
        <v>0</v>
      </c>
    </row>
    <row r="16">
      <c r="A16" s="586" t="inlineStr">
        <is>
          <t>PM lead (months before start)</t>
        </is>
      </c>
      <c r="B16" s="755" t="n">
        <v>0</v>
      </c>
    </row>
    <row r="17">
      <c r="A17" s="586" t="inlineStr">
        <is>
          <t>Demobilisation tail (months after end)</t>
        </is>
      </c>
      <c r="B17" s="755" t="n">
        <v>1</v>
      </c>
    </row>
    <row r="18">
      <c r="A18" s="586" t="inlineStr">
        <is>
          <t>Hire trigger tolerance</t>
        </is>
      </c>
      <c r="B18" s="755" t="n">
        <v>0.25</v>
      </c>
    </row>
    <row r="19">
      <c r="A19" s="586" t="inlineStr">
        <is>
          <t>Release window (months) - STRUCTURAL, see note</t>
        </is>
      </c>
      <c r="B19" s="755" t="n">
        <v>6</v>
      </c>
      <c r="C19" s="754" t="inlineStr">
        <is>
          <t>hard-wired into the slot formulas; changing it needs a rebuild</t>
        </is>
      </c>
    </row>
    <row r="20">
      <c r="A20" s="586" t="inlineStr">
        <is>
          <t>Severance (weeks)</t>
        </is>
      </c>
      <c r="B20" s="755" t="n">
        <v>4</v>
      </c>
    </row>
    <row r="21">
      <c r="A21" s="586" t="inlineStr">
        <is>
          <t>Placement fee (% of annual salary)</t>
        </is>
      </c>
      <c r="B21" s="757" t="n">
        <v>0.15</v>
      </c>
    </row>
    <row r="22">
      <c r="A22" s="586" t="inlineStr">
        <is>
          <t>Field engineer gate 1 (active jobs)</t>
        </is>
      </c>
      <c r="B22" s="755" t="n">
        <v>11</v>
      </c>
    </row>
    <row r="23">
      <c r="A23" s="586" t="inlineStr">
        <is>
          <t>Field engineer gate 2 (active jobs)</t>
        </is>
      </c>
      <c r="B23" s="755" t="n">
        <v>13</v>
      </c>
    </row>
    <row r="25">
      <c r="A25" s="584" t="inlineStr">
        <is>
          <t>ROLE RATES  (annual, today's dollars — escalation applied downstream)</t>
        </is>
      </c>
      <c r="B25" s="585" t="n"/>
      <c r="C25" s="585" t="n"/>
      <c r="D25" s="585" t="n"/>
      <c r="E25" s="585" t="n"/>
      <c r="F25" s="585" t="n"/>
    </row>
    <row r="26">
      <c r="A26" s="586" t="inlineStr">
        <is>
          <t>Senior Superintendent</t>
        </is>
      </c>
      <c r="B26" s="756" t="n">
        <v>160000</v>
      </c>
    </row>
    <row r="27">
      <c r="A27" s="586" t="inlineStr">
        <is>
          <t>Asst Superintendent</t>
        </is>
      </c>
      <c r="B27" s="756" t="n">
        <v>125000</v>
      </c>
    </row>
    <row r="28">
      <c r="A28" s="586" t="inlineStr">
        <is>
          <t>Asst Project Manager</t>
        </is>
      </c>
      <c r="B28" s="756" t="n">
        <v>130000</v>
      </c>
    </row>
    <row r="29">
      <c r="A29" s="586" t="inlineStr">
        <is>
          <t>Project Manager</t>
        </is>
      </c>
      <c r="B29" s="756" t="n">
        <v>180000</v>
      </c>
    </row>
    <row r="30">
      <c r="A30" s="586" t="inlineStr">
        <is>
          <t>Field Engineer</t>
        </is>
      </c>
      <c r="B30" s="756" t="n">
        <v>80000</v>
      </c>
    </row>
    <row r="32">
      <c r="A32" s="584" t="inlineStr">
        <is>
          <t>MONTHLY GRID</t>
        </is>
      </c>
      <c r="B32" s="585" t="n"/>
      <c r="C32" s="585" t="n"/>
      <c r="D32" s="585" t="n"/>
      <c r="E32" s="585" t="n"/>
      <c r="F32" s="585" t="n"/>
    </row>
    <row r="33">
      <c r="E33" s="758">
        <f>Model!E2</f>
        <v/>
      </c>
      <c r="F33" s="758">
        <f>Model!F2</f>
        <v/>
      </c>
      <c r="G33" s="758">
        <f>Model!G2</f>
        <v/>
      </c>
      <c r="H33" s="758">
        <f>Model!H2</f>
        <v/>
      </c>
      <c r="I33" s="758">
        <f>Model!I2</f>
        <v/>
      </c>
      <c r="J33" s="758">
        <f>Model!J2</f>
        <v/>
      </c>
      <c r="K33" s="758">
        <f>Model!K2</f>
        <v/>
      </c>
      <c r="L33" s="758">
        <f>Model!L2</f>
        <v/>
      </c>
      <c r="M33" s="758">
        <f>Model!M2</f>
        <v/>
      </c>
      <c r="N33" s="758">
        <f>Model!N2</f>
        <v/>
      </c>
      <c r="O33" s="758">
        <f>Model!O2</f>
        <v/>
      </c>
      <c r="P33" s="758">
        <f>Model!P2</f>
        <v/>
      </c>
      <c r="Q33" s="758">
        <f>Model!Q2</f>
        <v/>
      </c>
      <c r="R33" s="758">
        <f>Model!R2</f>
        <v/>
      </c>
      <c r="S33" s="758">
        <f>Model!S2</f>
        <v/>
      </c>
      <c r="T33" s="758">
        <f>Model!T2</f>
        <v/>
      </c>
      <c r="U33" s="758">
        <f>Model!U2</f>
        <v/>
      </c>
      <c r="V33" s="758">
        <f>Model!V2</f>
        <v/>
      </c>
      <c r="W33" s="758">
        <f>Model!W2</f>
        <v/>
      </c>
      <c r="X33" s="758">
        <f>Model!X2</f>
        <v/>
      </c>
      <c r="Y33" s="758">
        <f>Model!Y2</f>
        <v/>
      </c>
      <c r="Z33" s="758">
        <f>Model!Z2</f>
        <v/>
      </c>
      <c r="AA33" s="758">
        <f>Model!AA2</f>
        <v/>
      </c>
      <c r="AB33" s="758">
        <f>Model!AB2</f>
        <v/>
      </c>
      <c r="AC33" s="758">
        <f>Model!AC2</f>
        <v/>
      </c>
      <c r="AD33" s="758">
        <f>Model!AD2</f>
        <v/>
      </c>
      <c r="AE33" s="758">
        <f>Model!AE2</f>
        <v/>
      </c>
      <c r="AF33" s="758">
        <f>Model!AF2</f>
        <v/>
      </c>
      <c r="AG33" s="758">
        <f>Model!AG2</f>
        <v/>
      </c>
      <c r="AH33" s="758">
        <f>Model!AH2</f>
        <v/>
      </c>
      <c r="AI33" s="758">
        <f>Model!AI2</f>
        <v/>
      </c>
      <c r="AJ33" s="758">
        <f>Model!AJ2</f>
        <v/>
      </c>
      <c r="AK33" s="758">
        <f>Model!AK2</f>
        <v/>
      </c>
      <c r="AL33" s="758">
        <f>Model!AL2</f>
        <v/>
      </c>
      <c r="AM33" s="758">
        <f>Model!AM2</f>
        <v/>
      </c>
      <c r="AN33" s="758">
        <f>Model!AN2</f>
        <v/>
      </c>
      <c r="AO33" s="758">
        <f>Model!AO2</f>
        <v/>
      </c>
      <c r="AP33" s="758">
        <f>Model!AP2</f>
        <v/>
      </c>
      <c r="AQ33" s="758">
        <f>Model!AQ2</f>
        <v/>
      </c>
      <c r="AR33" s="758">
        <f>Model!AR2</f>
        <v/>
      </c>
      <c r="AS33" s="758">
        <f>Model!AS2</f>
        <v/>
      </c>
      <c r="AT33" s="758">
        <f>Model!AT2</f>
        <v/>
      </c>
      <c r="AU33" s="758">
        <f>Model!AU2</f>
        <v/>
      </c>
      <c r="AV33" s="758">
        <f>Model!AV2</f>
        <v/>
      </c>
      <c r="AW33" s="758">
        <f>Model!AW2</f>
        <v/>
      </c>
      <c r="AX33" s="758">
        <f>Model!AX2</f>
        <v/>
      </c>
      <c r="AY33" s="758">
        <f>Model!AY2</f>
        <v/>
      </c>
      <c r="AZ33" s="758">
        <f>Model!AZ2</f>
        <v/>
      </c>
      <c r="BA33" s="758">
        <f>Model!BA2</f>
        <v/>
      </c>
      <c r="BB33" s="758">
        <f>Model!BB2</f>
        <v/>
      </c>
      <c r="BC33" s="758">
        <f>Model!BC2</f>
        <v/>
      </c>
      <c r="BD33" s="758">
        <f>Model!BD2</f>
        <v/>
      </c>
      <c r="BE33" s="758">
        <f>Model!BE2</f>
        <v/>
      </c>
      <c r="BF33" s="758">
        <f>Model!BF2</f>
        <v/>
      </c>
      <c r="BG33" s="758">
        <f>Model!BG2</f>
        <v/>
      </c>
      <c r="BH33" s="758">
        <f>Model!BH2</f>
        <v/>
      </c>
      <c r="BI33" s="758">
        <f>Model!BI2</f>
        <v/>
      </c>
      <c r="BJ33" s="758">
        <f>Model!BJ2</f>
        <v/>
      </c>
      <c r="BK33" s="758">
        <f>Model!BK2</f>
        <v/>
      </c>
      <c r="BL33" s="758">
        <f>Model!BL2</f>
        <v/>
      </c>
      <c r="BM33" s="758">
        <f>Model!BM2</f>
        <v/>
      </c>
      <c r="BN33" s="758">
        <f>Model!BN2</f>
        <v/>
      </c>
      <c r="BO33" s="758">
        <f>Model!BO2</f>
        <v/>
      </c>
      <c r="BP33" s="758">
        <f>Model!BP2</f>
        <v/>
      </c>
      <c r="BQ33" s="758">
        <f>Model!BQ2</f>
        <v/>
      </c>
      <c r="BR33" s="758">
        <f>Model!BR2</f>
        <v/>
      </c>
      <c r="BS33" s="758">
        <f>Model!BS2</f>
        <v/>
      </c>
      <c r="BT33" s="758">
        <f>Model!BT2</f>
        <v/>
      </c>
      <c r="BU33" s="758">
        <f>Model!BU2</f>
        <v/>
      </c>
      <c r="BV33" s="758">
        <f>Model!BV2</f>
        <v/>
      </c>
      <c r="BW33" s="758">
        <f>Model!BW2</f>
        <v/>
      </c>
      <c r="BX33" s="758">
        <f>Model!BX2</f>
        <v/>
      </c>
      <c r="BY33" s="758">
        <f>Model!BY2</f>
        <v/>
      </c>
      <c r="BZ33" s="758">
        <f>Model!BZ2</f>
        <v/>
      </c>
      <c r="CA33" s="758">
        <f>Model!CA2</f>
        <v/>
      </c>
      <c r="CB33" s="758">
        <f>Model!CB2</f>
        <v/>
      </c>
      <c r="CC33" s="758">
        <f>Model!CC2</f>
        <v/>
      </c>
      <c r="CD33" s="758">
        <f>Model!CD2</f>
        <v/>
      </c>
      <c r="CE33" s="758">
        <f>Model!CE2</f>
        <v/>
      </c>
      <c r="CF33" s="758">
        <f>Model!CF2</f>
        <v/>
      </c>
      <c r="CG33" s="758">
        <f>Model!CG2</f>
        <v/>
      </c>
      <c r="CH33" s="758">
        <f>Model!CH2</f>
        <v/>
      </c>
      <c r="CI33" s="758">
        <f>Model!CI2</f>
        <v/>
      </c>
      <c r="CJ33" s="758">
        <f>Model!CJ2</f>
        <v/>
      </c>
      <c r="CK33" s="758">
        <f>Model!CK2</f>
        <v/>
      </c>
      <c r="CL33" s="758">
        <f>Model!CL2</f>
        <v/>
      </c>
      <c r="CM33" s="758">
        <f>Model!CM2</f>
        <v/>
      </c>
      <c r="CN33" s="758">
        <f>Model!CN2</f>
        <v/>
      </c>
      <c r="CO33" s="758">
        <f>Model!CO2</f>
        <v/>
      </c>
      <c r="CP33" s="758">
        <f>Model!CP2</f>
        <v/>
      </c>
      <c r="CQ33" s="758">
        <f>Model!CQ2</f>
        <v/>
      </c>
      <c r="CR33" s="758">
        <f>Model!CR2</f>
        <v/>
      </c>
      <c r="CS33" s="758">
        <f>Model!CS2</f>
        <v/>
      </c>
      <c r="CT33" s="758">
        <f>Model!CT2</f>
        <v/>
      </c>
      <c r="CU33" s="758">
        <f>Model!CU2</f>
        <v/>
      </c>
      <c r="CV33" s="758">
        <f>Model!CV2</f>
        <v/>
      </c>
      <c r="CW33" s="758">
        <f>Model!CW2</f>
        <v/>
      </c>
      <c r="CX33" s="758">
        <f>Model!CX2</f>
        <v/>
      </c>
      <c r="CY33" s="758">
        <f>Model!CY2</f>
        <v/>
      </c>
      <c r="CZ33" s="758">
        <f>Model!CZ2</f>
        <v/>
      </c>
      <c r="DA33" s="758">
        <f>Model!DA2</f>
        <v/>
      </c>
      <c r="DB33" s="758">
        <f>Model!DB2</f>
        <v/>
      </c>
      <c r="DC33" s="758">
        <f>Model!DC2</f>
        <v/>
      </c>
      <c r="DD33" s="758">
        <f>Model!DD2</f>
        <v/>
      </c>
      <c r="DE33" s="758">
        <f>Model!DE2</f>
        <v/>
      </c>
    </row>
    <row r="34">
      <c r="E34" s="580" t="n">
        <v>1</v>
      </c>
      <c r="F34" s="580" t="n">
        <v>2</v>
      </c>
      <c r="G34" s="580" t="n">
        <v>3</v>
      </c>
      <c r="H34" s="580" t="n">
        <v>4</v>
      </c>
      <c r="I34" s="580" t="n">
        <v>5</v>
      </c>
      <c r="J34" s="580" t="n">
        <v>6</v>
      </c>
      <c r="K34" s="580" t="n">
        <v>7</v>
      </c>
      <c r="L34" s="580" t="n">
        <v>8</v>
      </c>
      <c r="M34" s="580" t="n">
        <v>9</v>
      </c>
      <c r="N34" s="580" t="n">
        <v>10</v>
      </c>
      <c r="O34" s="580" t="n">
        <v>11</v>
      </c>
      <c r="P34" s="580" t="n">
        <v>12</v>
      </c>
      <c r="Q34" s="580" t="n">
        <v>13</v>
      </c>
      <c r="R34" s="580" t="n">
        <v>14</v>
      </c>
      <c r="S34" s="580" t="n">
        <v>15</v>
      </c>
      <c r="T34" s="580" t="n">
        <v>16</v>
      </c>
      <c r="U34" s="580" t="n">
        <v>17</v>
      </c>
      <c r="V34" s="580" t="n">
        <v>18</v>
      </c>
      <c r="W34" s="580" t="n">
        <v>19</v>
      </c>
      <c r="X34" s="580" t="n">
        <v>20</v>
      </c>
      <c r="Y34" s="580" t="n">
        <v>21</v>
      </c>
      <c r="Z34" s="580" t="n">
        <v>22</v>
      </c>
      <c r="AA34" s="580" t="n">
        <v>23</v>
      </c>
      <c r="AB34" s="580" t="n">
        <v>24</v>
      </c>
      <c r="AC34" s="580" t="n">
        <v>25</v>
      </c>
      <c r="AD34" s="580" t="n">
        <v>26</v>
      </c>
      <c r="AE34" s="580" t="n">
        <v>27</v>
      </c>
      <c r="AF34" s="580" t="n">
        <v>28</v>
      </c>
      <c r="AG34" s="580" t="n">
        <v>29</v>
      </c>
      <c r="AH34" s="580" t="n">
        <v>30</v>
      </c>
      <c r="AI34" s="580" t="n">
        <v>31</v>
      </c>
      <c r="AJ34" s="580" t="n">
        <v>32</v>
      </c>
      <c r="AK34" s="580" t="n">
        <v>33</v>
      </c>
      <c r="AL34" s="580" t="n">
        <v>34</v>
      </c>
      <c r="AM34" s="580" t="n">
        <v>35</v>
      </c>
      <c r="AN34" s="580" t="n">
        <v>36</v>
      </c>
      <c r="AO34" s="580" t="n">
        <v>37</v>
      </c>
      <c r="AP34" s="580" t="n">
        <v>38</v>
      </c>
      <c r="AQ34" s="580" t="n">
        <v>39</v>
      </c>
      <c r="AR34" s="580" t="n">
        <v>40</v>
      </c>
      <c r="AS34" s="580" t="n">
        <v>41</v>
      </c>
      <c r="AT34" s="580" t="n">
        <v>42</v>
      </c>
      <c r="AU34" s="580" t="n">
        <v>43</v>
      </c>
      <c r="AV34" s="580" t="n">
        <v>44</v>
      </c>
      <c r="AW34" s="580" t="n">
        <v>45</v>
      </c>
      <c r="AX34" s="580" t="n">
        <v>46</v>
      </c>
      <c r="AY34" s="580" t="n">
        <v>47</v>
      </c>
      <c r="AZ34" s="580" t="n">
        <v>48</v>
      </c>
      <c r="BA34" s="580" t="n">
        <v>49</v>
      </c>
      <c r="BB34" s="580" t="n">
        <v>50</v>
      </c>
      <c r="BC34" s="580" t="n">
        <v>51</v>
      </c>
      <c r="BD34" s="580" t="n">
        <v>52</v>
      </c>
      <c r="BE34" s="580" t="n">
        <v>53</v>
      </c>
      <c r="BF34" s="580" t="n">
        <v>54</v>
      </c>
      <c r="BG34" s="580" t="n">
        <v>55</v>
      </c>
      <c r="BH34" s="580" t="n">
        <v>56</v>
      </c>
      <c r="BI34" s="580" t="n">
        <v>57</v>
      </c>
      <c r="BJ34" s="580" t="n">
        <v>58</v>
      </c>
      <c r="BK34" s="580" t="n">
        <v>59</v>
      </c>
      <c r="BL34" s="580" t="n">
        <v>60</v>
      </c>
      <c r="BM34" s="580" t="n">
        <v>61</v>
      </c>
      <c r="BN34" s="580" t="n">
        <v>62</v>
      </c>
      <c r="BO34" s="580" t="n">
        <v>63</v>
      </c>
      <c r="BP34" s="580" t="n">
        <v>64</v>
      </c>
      <c r="BQ34" s="580" t="n">
        <v>65</v>
      </c>
      <c r="BR34" s="580" t="n">
        <v>66</v>
      </c>
      <c r="BS34" s="580" t="n">
        <v>67</v>
      </c>
      <c r="BT34" s="580" t="n">
        <v>68</v>
      </c>
      <c r="BU34" s="580" t="n">
        <v>69</v>
      </c>
      <c r="BV34" s="580" t="n">
        <v>70</v>
      </c>
      <c r="BW34" s="580" t="n">
        <v>71</v>
      </c>
      <c r="BX34" s="580" t="n">
        <v>72</v>
      </c>
      <c r="BY34" s="580" t="n">
        <v>73</v>
      </c>
      <c r="BZ34" s="580" t="n">
        <v>74</v>
      </c>
      <c r="CA34" s="580" t="n">
        <v>75</v>
      </c>
      <c r="CB34" s="580" t="n">
        <v>76</v>
      </c>
      <c r="CC34" s="580" t="n">
        <v>77</v>
      </c>
      <c r="CD34" s="580" t="n">
        <v>78</v>
      </c>
      <c r="CE34" s="580" t="n">
        <v>79</v>
      </c>
      <c r="CF34" s="580" t="n">
        <v>80</v>
      </c>
      <c r="CG34" s="580" t="n">
        <v>81</v>
      </c>
      <c r="CH34" s="580" t="n">
        <v>82</v>
      </c>
      <c r="CI34" s="580" t="n">
        <v>83</v>
      </c>
      <c r="CJ34" s="580" t="n">
        <v>84</v>
      </c>
      <c r="CK34" s="580" t="n">
        <v>85</v>
      </c>
      <c r="CL34" s="580" t="n">
        <v>86</v>
      </c>
      <c r="CM34" s="580" t="n">
        <v>87</v>
      </c>
      <c r="CN34" s="580" t="n">
        <v>88</v>
      </c>
      <c r="CO34" s="580" t="n">
        <v>89</v>
      </c>
      <c r="CP34" s="580" t="n">
        <v>90</v>
      </c>
      <c r="CQ34" s="580" t="n">
        <v>91</v>
      </c>
      <c r="CR34" s="580" t="n">
        <v>92</v>
      </c>
      <c r="CS34" s="580" t="n">
        <v>93</v>
      </c>
      <c r="CT34" s="580" t="n">
        <v>94</v>
      </c>
      <c r="CU34" s="580" t="n">
        <v>95</v>
      </c>
      <c r="CV34" s="580" t="n">
        <v>96</v>
      </c>
      <c r="CW34" s="580" t="n">
        <v>97</v>
      </c>
      <c r="CX34" s="580" t="n">
        <v>98</v>
      </c>
      <c r="CY34" s="580" t="n">
        <v>99</v>
      </c>
      <c r="CZ34" s="580" t="n">
        <v>100</v>
      </c>
      <c r="DA34" s="580" t="n">
        <v>101</v>
      </c>
      <c r="DB34" s="580" t="n">
        <v>102</v>
      </c>
      <c r="DC34" s="580" t="n">
        <v>103</v>
      </c>
      <c r="DD34" s="580" t="n">
        <v>104</v>
      </c>
      <c r="DE34" s="580" t="n">
        <v>105</v>
      </c>
    </row>
    <row r="36">
      <c r="A36" s="584" t="inlineStr">
        <is>
          <t>DEMAND  (from the deal set)</t>
        </is>
      </c>
      <c r="B36" s="585" t="n"/>
      <c r="C36" s="585" t="n"/>
      <c r="D36" s="585" t="n"/>
      <c r="E36" s="585" t="n"/>
      <c r="F36" s="585" t="n"/>
    </row>
    <row r="37">
      <c r="A37" s="586" t="inlineStr">
        <is>
          <t>Active jobs</t>
        </is>
      </c>
      <c r="E37" s="759">
        <f>SUMPRODUCT((Projects!$G$2:$G$45="Yes")*(1&gt;=Projects!$C$2:$C$45)*(1&lt;=Projects!$W$2:$W$45))</f>
        <v/>
      </c>
      <c r="F37" s="759">
        <f>SUMPRODUCT((Projects!$G$2:$G$45="Yes")*(2&gt;=Projects!$C$2:$C$45)*(2&lt;=Projects!$W$2:$W$45))</f>
        <v/>
      </c>
      <c r="G37" s="759">
        <f>SUMPRODUCT((Projects!$G$2:$G$45="Yes")*(3&gt;=Projects!$C$2:$C$45)*(3&lt;=Projects!$W$2:$W$45))</f>
        <v/>
      </c>
      <c r="H37" s="759">
        <f>SUMPRODUCT((Projects!$G$2:$G$45="Yes")*(4&gt;=Projects!$C$2:$C$45)*(4&lt;=Projects!$W$2:$W$45))</f>
        <v/>
      </c>
      <c r="I37" s="759">
        <f>SUMPRODUCT((Projects!$G$2:$G$45="Yes")*(5&gt;=Projects!$C$2:$C$45)*(5&lt;=Projects!$W$2:$W$45))</f>
        <v/>
      </c>
      <c r="J37" s="759">
        <f>SUMPRODUCT((Projects!$G$2:$G$45="Yes")*(6&gt;=Projects!$C$2:$C$45)*(6&lt;=Projects!$W$2:$W$45))</f>
        <v/>
      </c>
      <c r="K37" s="759">
        <f>SUMPRODUCT((Projects!$G$2:$G$45="Yes")*(7&gt;=Projects!$C$2:$C$45)*(7&lt;=Projects!$W$2:$W$45))</f>
        <v/>
      </c>
      <c r="L37" s="759">
        <f>SUMPRODUCT((Projects!$G$2:$G$45="Yes")*(8&gt;=Projects!$C$2:$C$45)*(8&lt;=Projects!$W$2:$W$45))</f>
        <v/>
      </c>
      <c r="M37" s="759">
        <f>SUMPRODUCT((Projects!$G$2:$G$45="Yes")*(9&gt;=Projects!$C$2:$C$45)*(9&lt;=Projects!$W$2:$W$45))</f>
        <v/>
      </c>
      <c r="N37" s="759">
        <f>SUMPRODUCT((Projects!$G$2:$G$45="Yes")*(10&gt;=Projects!$C$2:$C$45)*(10&lt;=Projects!$W$2:$W$45))</f>
        <v/>
      </c>
      <c r="O37" s="759">
        <f>SUMPRODUCT((Projects!$G$2:$G$45="Yes")*(11&gt;=Projects!$C$2:$C$45)*(11&lt;=Projects!$W$2:$W$45))</f>
        <v/>
      </c>
      <c r="P37" s="759">
        <f>SUMPRODUCT((Projects!$G$2:$G$45="Yes")*(12&gt;=Projects!$C$2:$C$45)*(12&lt;=Projects!$W$2:$W$45))</f>
        <v/>
      </c>
      <c r="Q37" s="759">
        <f>SUMPRODUCT((Projects!$G$2:$G$45="Yes")*(13&gt;=Projects!$C$2:$C$45)*(13&lt;=Projects!$W$2:$W$45))</f>
        <v/>
      </c>
      <c r="R37" s="759">
        <f>SUMPRODUCT((Projects!$G$2:$G$45="Yes")*(14&gt;=Projects!$C$2:$C$45)*(14&lt;=Projects!$W$2:$W$45))</f>
        <v/>
      </c>
      <c r="S37" s="759">
        <f>SUMPRODUCT((Projects!$G$2:$G$45="Yes")*(15&gt;=Projects!$C$2:$C$45)*(15&lt;=Projects!$W$2:$W$45))</f>
        <v/>
      </c>
      <c r="T37" s="759">
        <f>SUMPRODUCT((Projects!$G$2:$G$45="Yes")*(16&gt;=Projects!$C$2:$C$45)*(16&lt;=Projects!$W$2:$W$45))</f>
        <v/>
      </c>
      <c r="U37" s="759">
        <f>SUMPRODUCT((Projects!$G$2:$G$45="Yes")*(17&gt;=Projects!$C$2:$C$45)*(17&lt;=Projects!$W$2:$W$45))</f>
        <v/>
      </c>
      <c r="V37" s="759">
        <f>SUMPRODUCT((Projects!$G$2:$G$45="Yes")*(18&gt;=Projects!$C$2:$C$45)*(18&lt;=Projects!$W$2:$W$45))</f>
        <v/>
      </c>
      <c r="W37" s="759">
        <f>SUMPRODUCT((Projects!$G$2:$G$45="Yes")*(19&gt;=Projects!$C$2:$C$45)*(19&lt;=Projects!$W$2:$W$45))</f>
        <v/>
      </c>
      <c r="X37" s="759">
        <f>SUMPRODUCT((Projects!$G$2:$G$45="Yes")*(20&gt;=Projects!$C$2:$C$45)*(20&lt;=Projects!$W$2:$W$45))</f>
        <v/>
      </c>
      <c r="Y37" s="759">
        <f>SUMPRODUCT((Projects!$G$2:$G$45="Yes")*(21&gt;=Projects!$C$2:$C$45)*(21&lt;=Projects!$W$2:$W$45))</f>
        <v/>
      </c>
      <c r="Z37" s="759">
        <f>SUMPRODUCT((Projects!$G$2:$G$45="Yes")*(22&gt;=Projects!$C$2:$C$45)*(22&lt;=Projects!$W$2:$W$45))</f>
        <v/>
      </c>
      <c r="AA37" s="759">
        <f>SUMPRODUCT((Projects!$G$2:$G$45="Yes")*(23&gt;=Projects!$C$2:$C$45)*(23&lt;=Projects!$W$2:$W$45))</f>
        <v/>
      </c>
      <c r="AB37" s="759">
        <f>SUMPRODUCT((Projects!$G$2:$G$45="Yes")*(24&gt;=Projects!$C$2:$C$45)*(24&lt;=Projects!$W$2:$W$45))</f>
        <v/>
      </c>
      <c r="AC37" s="759">
        <f>SUMPRODUCT((Projects!$G$2:$G$45="Yes")*(25&gt;=Projects!$C$2:$C$45)*(25&lt;=Projects!$W$2:$W$45))</f>
        <v/>
      </c>
      <c r="AD37" s="759">
        <f>SUMPRODUCT((Projects!$G$2:$G$45="Yes")*(26&gt;=Projects!$C$2:$C$45)*(26&lt;=Projects!$W$2:$W$45))</f>
        <v/>
      </c>
      <c r="AE37" s="759">
        <f>SUMPRODUCT((Projects!$G$2:$G$45="Yes")*(27&gt;=Projects!$C$2:$C$45)*(27&lt;=Projects!$W$2:$W$45))</f>
        <v/>
      </c>
      <c r="AF37" s="759">
        <f>SUMPRODUCT((Projects!$G$2:$G$45="Yes")*(28&gt;=Projects!$C$2:$C$45)*(28&lt;=Projects!$W$2:$W$45))</f>
        <v/>
      </c>
      <c r="AG37" s="759">
        <f>SUMPRODUCT((Projects!$G$2:$G$45="Yes")*(29&gt;=Projects!$C$2:$C$45)*(29&lt;=Projects!$W$2:$W$45))</f>
        <v/>
      </c>
      <c r="AH37" s="759">
        <f>SUMPRODUCT((Projects!$G$2:$G$45="Yes")*(30&gt;=Projects!$C$2:$C$45)*(30&lt;=Projects!$W$2:$W$45))</f>
        <v/>
      </c>
      <c r="AI37" s="759">
        <f>SUMPRODUCT((Projects!$G$2:$G$45="Yes")*(31&gt;=Projects!$C$2:$C$45)*(31&lt;=Projects!$W$2:$W$45))</f>
        <v/>
      </c>
      <c r="AJ37" s="759">
        <f>SUMPRODUCT((Projects!$G$2:$G$45="Yes")*(32&gt;=Projects!$C$2:$C$45)*(32&lt;=Projects!$W$2:$W$45))</f>
        <v/>
      </c>
      <c r="AK37" s="759">
        <f>SUMPRODUCT((Projects!$G$2:$G$45="Yes")*(33&gt;=Projects!$C$2:$C$45)*(33&lt;=Projects!$W$2:$W$45))</f>
        <v/>
      </c>
      <c r="AL37" s="759">
        <f>SUMPRODUCT((Projects!$G$2:$G$45="Yes")*(34&gt;=Projects!$C$2:$C$45)*(34&lt;=Projects!$W$2:$W$45))</f>
        <v/>
      </c>
      <c r="AM37" s="759">
        <f>SUMPRODUCT((Projects!$G$2:$G$45="Yes")*(35&gt;=Projects!$C$2:$C$45)*(35&lt;=Projects!$W$2:$W$45))</f>
        <v/>
      </c>
      <c r="AN37" s="759">
        <f>SUMPRODUCT((Projects!$G$2:$G$45="Yes")*(36&gt;=Projects!$C$2:$C$45)*(36&lt;=Projects!$W$2:$W$45))</f>
        <v/>
      </c>
      <c r="AO37" s="759">
        <f>SUMPRODUCT((Projects!$G$2:$G$45="Yes")*(37&gt;=Projects!$C$2:$C$45)*(37&lt;=Projects!$W$2:$W$45))</f>
        <v/>
      </c>
      <c r="AP37" s="759">
        <f>SUMPRODUCT((Projects!$G$2:$G$45="Yes")*(38&gt;=Projects!$C$2:$C$45)*(38&lt;=Projects!$W$2:$W$45))</f>
        <v/>
      </c>
      <c r="AQ37" s="759">
        <f>SUMPRODUCT((Projects!$G$2:$G$45="Yes")*(39&gt;=Projects!$C$2:$C$45)*(39&lt;=Projects!$W$2:$W$45))</f>
        <v/>
      </c>
      <c r="AR37" s="759">
        <f>SUMPRODUCT((Projects!$G$2:$G$45="Yes")*(40&gt;=Projects!$C$2:$C$45)*(40&lt;=Projects!$W$2:$W$45))</f>
        <v/>
      </c>
      <c r="AS37" s="759">
        <f>SUMPRODUCT((Projects!$G$2:$G$45="Yes")*(41&gt;=Projects!$C$2:$C$45)*(41&lt;=Projects!$W$2:$W$45))</f>
        <v/>
      </c>
      <c r="AT37" s="759">
        <f>SUMPRODUCT((Projects!$G$2:$G$45="Yes")*(42&gt;=Projects!$C$2:$C$45)*(42&lt;=Projects!$W$2:$W$45))</f>
        <v/>
      </c>
      <c r="AU37" s="759">
        <f>SUMPRODUCT((Projects!$G$2:$G$45="Yes")*(43&gt;=Projects!$C$2:$C$45)*(43&lt;=Projects!$W$2:$W$45))</f>
        <v/>
      </c>
      <c r="AV37" s="759">
        <f>SUMPRODUCT((Projects!$G$2:$G$45="Yes")*(44&gt;=Projects!$C$2:$C$45)*(44&lt;=Projects!$W$2:$W$45))</f>
        <v/>
      </c>
      <c r="AW37" s="759">
        <f>SUMPRODUCT((Projects!$G$2:$G$45="Yes")*(45&gt;=Projects!$C$2:$C$45)*(45&lt;=Projects!$W$2:$W$45))</f>
        <v/>
      </c>
      <c r="AX37" s="759">
        <f>SUMPRODUCT((Projects!$G$2:$G$45="Yes")*(46&gt;=Projects!$C$2:$C$45)*(46&lt;=Projects!$W$2:$W$45))</f>
        <v/>
      </c>
      <c r="AY37" s="759">
        <f>SUMPRODUCT((Projects!$G$2:$G$45="Yes")*(47&gt;=Projects!$C$2:$C$45)*(47&lt;=Projects!$W$2:$W$45))</f>
        <v/>
      </c>
      <c r="AZ37" s="759">
        <f>SUMPRODUCT((Projects!$G$2:$G$45="Yes")*(48&gt;=Projects!$C$2:$C$45)*(48&lt;=Projects!$W$2:$W$45))</f>
        <v/>
      </c>
      <c r="BA37" s="759">
        <f>SUMPRODUCT((Projects!$G$2:$G$45="Yes")*(49&gt;=Projects!$C$2:$C$45)*(49&lt;=Projects!$W$2:$W$45))</f>
        <v/>
      </c>
      <c r="BB37" s="759">
        <f>SUMPRODUCT((Projects!$G$2:$G$45="Yes")*(50&gt;=Projects!$C$2:$C$45)*(50&lt;=Projects!$W$2:$W$45))</f>
        <v/>
      </c>
      <c r="BC37" s="759">
        <f>SUMPRODUCT((Projects!$G$2:$G$45="Yes")*(51&gt;=Projects!$C$2:$C$45)*(51&lt;=Projects!$W$2:$W$45))</f>
        <v/>
      </c>
      <c r="BD37" s="759">
        <f>SUMPRODUCT((Projects!$G$2:$G$45="Yes")*(52&gt;=Projects!$C$2:$C$45)*(52&lt;=Projects!$W$2:$W$45))</f>
        <v/>
      </c>
      <c r="BE37" s="759">
        <f>SUMPRODUCT((Projects!$G$2:$G$45="Yes")*(53&gt;=Projects!$C$2:$C$45)*(53&lt;=Projects!$W$2:$W$45))</f>
        <v/>
      </c>
      <c r="BF37" s="759">
        <f>SUMPRODUCT((Projects!$G$2:$G$45="Yes")*(54&gt;=Projects!$C$2:$C$45)*(54&lt;=Projects!$W$2:$W$45))</f>
        <v/>
      </c>
      <c r="BG37" s="759">
        <f>SUMPRODUCT((Projects!$G$2:$G$45="Yes")*(55&gt;=Projects!$C$2:$C$45)*(55&lt;=Projects!$W$2:$W$45))</f>
        <v/>
      </c>
      <c r="BH37" s="759">
        <f>SUMPRODUCT((Projects!$G$2:$G$45="Yes")*(56&gt;=Projects!$C$2:$C$45)*(56&lt;=Projects!$W$2:$W$45))</f>
        <v/>
      </c>
      <c r="BI37" s="759">
        <f>SUMPRODUCT((Projects!$G$2:$G$45="Yes")*(57&gt;=Projects!$C$2:$C$45)*(57&lt;=Projects!$W$2:$W$45))</f>
        <v/>
      </c>
      <c r="BJ37" s="759">
        <f>SUMPRODUCT((Projects!$G$2:$G$45="Yes")*(58&gt;=Projects!$C$2:$C$45)*(58&lt;=Projects!$W$2:$W$45))</f>
        <v/>
      </c>
      <c r="BK37" s="759">
        <f>SUMPRODUCT((Projects!$G$2:$G$45="Yes")*(59&gt;=Projects!$C$2:$C$45)*(59&lt;=Projects!$W$2:$W$45))</f>
        <v/>
      </c>
      <c r="BL37" s="759">
        <f>SUMPRODUCT((Projects!$G$2:$G$45="Yes")*(60&gt;=Projects!$C$2:$C$45)*(60&lt;=Projects!$W$2:$W$45))</f>
        <v/>
      </c>
      <c r="BM37" s="759">
        <f>SUMPRODUCT((Projects!$G$2:$G$45="Yes")*(61&gt;=Projects!$C$2:$C$45)*(61&lt;=Projects!$W$2:$W$45))</f>
        <v/>
      </c>
      <c r="BN37" s="759">
        <f>SUMPRODUCT((Projects!$G$2:$G$45="Yes")*(62&gt;=Projects!$C$2:$C$45)*(62&lt;=Projects!$W$2:$W$45))</f>
        <v/>
      </c>
      <c r="BO37" s="759">
        <f>SUMPRODUCT((Projects!$G$2:$G$45="Yes")*(63&gt;=Projects!$C$2:$C$45)*(63&lt;=Projects!$W$2:$W$45))</f>
        <v/>
      </c>
      <c r="BP37" s="759">
        <f>SUMPRODUCT((Projects!$G$2:$G$45="Yes")*(64&gt;=Projects!$C$2:$C$45)*(64&lt;=Projects!$W$2:$W$45))</f>
        <v/>
      </c>
      <c r="BQ37" s="759">
        <f>SUMPRODUCT((Projects!$G$2:$G$45="Yes")*(65&gt;=Projects!$C$2:$C$45)*(65&lt;=Projects!$W$2:$W$45))</f>
        <v/>
      </c>
      <c r="BR37" s="759">
        <f>SUMPRODUCT((Projects!$G$2:$G$45="Yes")*(66&gt;=Projects!$C$2:$C$45)*(66&lt;=Projects!$W$2:$W$45))</f>
        <v/>
      </c>
      <c r="BS37" s="759">
        <f>SUMPRODUCT((Projects!$G$2:$G$45="Yes")*(67&gt;=Projects!$C$2:$C$45)*(67&lt;=Projects!$W$2:$W$45))</f>
        <v/>
      </c>
      <c r="BT37" s="759">
        <f>SUMPRODUCT((Projects!$G$2:$G$45="Yes")*(68&gt;=Projects!$C$2:$C$45)*(68&lt;=Projects!$W$2:$W$45))</f>
        <v/>
      </c>
      <c r="BU37" s="759">
        <f>SUMPRODUCT((Projects!$G$2:$G$45="Yes")*(69&gt;=Projects!$C$2:$C$45)*(69&lt;=Projects!$W$2:$W$45))</f>
        <v/>
      </c>
      <c r="BV37" s="759">
        <f>SUMPRODUCT((Projects!$G$2:$G$45="Yes")*(70&gt;=Projects!$C$2:$C$45)*(70&lt;=Projects!$W$2:$W$45))</f>
        <v/>
      </c>
      <c r="BW37" s="759">
        <f>SUMPRODUCT((Projects!$G$2:$G$45="Yes")*(71&gt;=Projects!$C$2:$C$45)*(71&lt;=Projects!$W$2:$W$45))</f>
        <v/>
      </c>
      <c r="BX37" s="759">
        <f>SUMPRODUCT((Projects!$G$2:$G$45="Yes")*(72&gt;=Projects!$C$2:$C$45)*(72&lt;=Projects!$W$2:$W$45))</f>
        <v/>
      </c>
      <c r="BY37" s="759">
        <f>SUMPRODUCT((Projects!$G$2:$G$45="Yes")*(73&gt;=Projects!$C$2:$C$45)*(73&lt;=Projects!$W$2:$W$45))</f>
        <v/>
      </c>
      <c r="BZ37" s="759">
        <f>SUMPRODUCT((Projects!$G$2:$G$45="Yes")*(74&gt;=Projects!$C$2:$C$45)*(74&lt;=Projects!$W$2:$W$45))</f>
        <v/>
      </c>
      <c r="CA37" s="759">
        <f>SUMPRODUCT((Projects!$G$2:$G$45="Yes")*(75&gt;=Projects!$C$2:$C$45)*(75&lt;=Projects!$W$2:$W$45))</f>
        <v/>
      </c>
      <c r="CB37" s="759">
        <f>SUMPRODUCT((Projects!$G$2:$G$45="Yes")*(76&gt;=Projects!$C$2:$C$45)*(76&lt;=Projects!$W$2:$W$45))</f>
        <v/>
      </c>
      <c r="CC37" s="759">
        <f>SUMPRODUCT((Projects!$G$2:$G$45="Yes")*(77&gt;=Projects!$C$2:$C$45)*(77&lt;=Projects!$W$2:$W$45))</f>
        <v/>
      </c>
      <c r="CD37" s="759">
        <f>SUMPRODUCT((Projects!$G$2:$G$45="Yes")*(78&gt;=Projects!$C$2:$C$45)*(78&lt;=Projects!$W$2:$W$45))</f>
        <v/>
      </c>
      <c r="CE37" s="759">
        <f>SUMPRODUCT((Projects!$G$2:$G$45="Yes")*(79&gt;=Projects!$C$2:$C$45)*(79&lt;=Projects!$W$2:$W$45))</f>
        <v/>
      </c>
      <c r="CF37" s="759">
        <f>SUMPRODUCT((Projects!$G$2:$G$45="Yes")*(80&gt;=Projects!$C$2:$C$45)*(80&lt;=Projects!$W$2:$W$45))</f>
        <v/>
      </c>
      <c r="CG37" s="759">
        <f>SUMPRODUCT((Projects!$G$2:$G$45="Yes")*(81&gt;=Projects!$C$2:$C$45)*(81&lt;=Projects!$W$2:$W$45))</f>
        <v/>
      </c>
      <c r="CH37" s="759">
        <f>SUMPRODUCT((Projects!$G$2:$G$45="Yes")*(82&gt;=Projects!$C$2:$C$45)*(82&lt;=Projects!$W$2:$W$45))</f>
        <v/>
      </c>
      <c r="CI37" s="759">
        <f>SUMPRODUCT((Projects!$G$2:$G$45="Yes")*(83&gt;=Projects!$C$2:$C$45)*(83&lt;=Projects!$W$2:$W$45))</f>
        <v/>
      </c>
      <c r="CJ37" s="759">
        <f>SUMPRODUCT((Projects!$G$2:$G$45="Yes")*(84&gt;=Projects!$C$2:$C$45)*(84&lt;=Projects!$W$2:$W$45))</f>
        <v/>
      </c>
      <c r="CK37" s="759">
        <f>SUMPRODUCT((Projects!$G$2:$G$45="Yes")*(85&gt;=Projects!$C$2:$C$45)*(85&lt;=Projects!$W$2:$W$45))</f>
        <v/>
      </c>
      <c r="CL37" s="759">
        <f>SUMPRODUCT((Projects!$G$2:$G$45="Yes")*(86&gt;=Projects!$C$2:$C$45)*(86&lt;=Projects!$W$2:$W$45))</f>
        <v/>
      </c>
      <c r="CM37" s="759">
        <f>SUMPRODUCT((Projects!$G$2:$G$45="Yes")*(87&gt;=Projects!$C$2:$C$45)*(87&lt;=Projects!$W$2:$W$45))</f>
        <v/>
      </c>
      <c r="CN37" s="759">
        <f>SUMPRODUCT((Projects!$G$2:$G$45="Yes")*(88&gt;=Projects!$C$2:$C$45)*(88&lt;=Projects!$W$2:$W$45))</f>
        <v/>
      </c>
      <c r="CO37" s="759">
        <f>SUMPRODUCT((Projects!$G$2:$G$45="Yes")*(89&gt;=Projects!$C$2:$C$45)*(89&lt;=Projects!$W$2:$W$45))</f>
        <v/>
      </c>
      <c r="CP37" s="759">
        <f>SUMPRODUCT((Projects!$G$2:$G$45="Yes")*(90&gt;=Projects!$C$2:$C$45)*(90&lt;=Projects!$W$2:$W$45))</f>
        <v/>
      </c>
      <c r="CQ37" s="759">
        <f>SUMPRODUCT((Projects!$G$2:$G$45="Yes")*(91&gt;=Projects!$C$2:$C$45)*(91&lt;=Projects!$W$2:$W$45))</f>
        <v/>
      </c>
      <c r="CR37" s="759">
        <f>SUMPRODUCT((Projects!$G$2:$G$45="Yes")*(92&gt;=Projects!$C$2:$C$45)*(92&lt;=Projects!$W$2:$W$45))</f>
        <v/>
      </c>
      <c r="CS37" s="759">
        <f>SUMPRODUCT((Projects!$G$2:$G$45="Yes")*(93&gt;=Projects!$C$2:$C$45)*(93&lt;=Projects!$W$2:$W$45))</f>
        <v/>
      </c>
      <c r="CT37" s="759">
        <f>SUMPRODUCT((Projects!$G$2:$G$45="Yes")*(94&gt;=Projects!$C$2:$C$45)*(94&lt;=Projects!$W$2:$W$45))</f>
        <v/>
      </c>
      <c r="CU37" s="759">
        <f>SUMPRODUCT((Projects!$G$2:$G$45="Yes")*(95&gt;=Projects!$C$2:$C$45)*(95&lt;=Projects!$W$2:$W$45))</f>
        <v/>
      </c>
      <c r="CV37" s="759">
        <f>SUMPRODUCT((Projects!$G$2:$G$45="Yes")*(96&gt;=Projects!$C$2:$C$45)*(96&lt;=Projects!$W$2:$W$45))</f>
        <v/>
      </c>
      <c r="CW37" s="759">
        <f>SUMPRODUCT((Projects!$G$2:$G$45="Yes")*(97&gt;=Projects!$C$2:$C$45)*(97&lt;=Projects!$W$2:$W$45))</f>
        <v/>
      </c>
      <c r="CX37" s="759">
        <f>SUMPRODUCT((Projects!$G$2:$G$45="Yes")*(98&gt;=Projects!$C$2:$C$45)*(98&lt;=Projects!$W$2:$W$45))</f>
        <v/>
      </c>
      <c r="CY37" s="759">
        <f>SUMPRODUCT((Projects!$G$2:$G$45="Yes")*(99&gt;=Projects!$C$2:$C$45)*(99&lt;=Projects!$W$2:$W$45))</f>
        <v/>
      </c>
      <c r="CZ37" s="759">
        <f>SUMPRODUCT((Projects!$G$2:$G$45="Yes")*(100&gt;=Projects!$C$2:$C$45)*(100&lt;=Projects!$W$2:$W$45))</f>
        <v/>
      </c>
      <c r="DA37" s="759">
        <f>SUMPRODUCT((Projects!$G$2:$G$45="Yes")*(101&gt;=Projects!$C$2:$C$45)*(101&lt;=Projects!$W$2:$W$45))</f>
        <v/>
      </c>
      <c r="DB37" s="759">
        <f>SUMPRODUCT((Projects!$G$2:$G$45="Yes")*(102&gt;=Projects!$C$2:$C$45)*(102&lt;=Projects!$W$2:$W$45))</f>
        <v/>
      </c>
      <c r="DC37" s="759">
        <f>SUMPRODUCT((Projects!$G$2:$G$45="Yes")*(103&gt;=Projects!$C$2:$C$45)*(103&lt;=Projects!$W$2:$W$45))</f>
        <v/>
      </c>
      <c r="DD37" s="759">
        <f>SUMPRODUCT((Projects!$G$2:$G$45="Yes")*(104&gt;=Projects!$C$2:$C$45)*(104&lt;=Projects!$W$2:$W$45))</f>
        <v/>
      </c>
      <c r="DE37" s="759">
        <f>SUMPRODUCT((Projects!$G$2:$G$45="Yes")*(105&gt;=Projects!$C$2:$C$45)*(105&lt;=Projects!$W$2:$W$45))</f>
        <v/>
      </c>
    </row>
    <row r="38">
      <c r="A38" s="586" t="inlineStr">
        <is>
          <t>Superintendents required (payroll, incl. lead time)</t>
        </is>
      </c>
      <c r="E38" s="759">
        <f>SUMPRODUCT((Projects!$G$2:$G$45="Yes")*(1&gt;=Projects!$C$2:$C$45-$B$14)*(1&lt;=Projects!$W$2:$W$45+$B$17))*$B$5</f>
        <v/>
      </c>
      <c r="F38" s="759">
        <f>SUMPRODUCT((Projects!$G$2:$G$45="Yes")*(2&gt;=Projects!$C$2:$C$45-$B$14)*(2&lt;=Projects!$W$2:$W$45+$B$17))*$B$5</f>
        <v/>
      </c>
      <c r="G38" s="759">
        <f>SUMPRODUCT((Projects!$G$2:$G$45="Yes")*(3&gt;=Projects!$C$2:$C$45-$B$14)*(3&lt;=Projects!$W$2:$W$45+$B$17))*$B$5</f>
        <v/>
      </c>
      <c r="H38" s="759">
        <f>SUMPRODUCT((Projects!$G$2:$G$45="Yes")*(4&gt;=Projects!$C$2:$C$45-$B$14)*(4&lt;=Projects!$W$2:$W$45+$B$17))*$B$5</f>
        <v/>
      </c>
      <c r="I38" s="759">
        <f>SUMPRODUCT((Projects!$G$2:$G$45="Yes")*(5&gt;=Projects!$C$2:$C$45-$B$14)*(5&lt;=Projects!$W$2:$W$45+$B$17))*$B$5</f>
        <v/>
      </c>
      <c r="J38" s="759">
        <f>SUMPRODUCT((Projects!$G$2:$G$45="Yes")*(6&gt;=Projects!$C$2:$C$45-$B$14)*(6&lt;=Projects!$W$2:$W$45+$B$17))*$B$5</f>
        <v/>
      </c>
      <c r="K38" s="759">
        <f>SUMPRODUCT((Projects!$G$2:$G$45="Yes")*(7&gt;=Projects!$C$2:$C$45-$B$14)*(7&lt;=Projects!$W$2:$W$45+$B$17))*$B$5</f>
        <v/>
      </c>
      <c r="L38" s="759">
        <f>SUMPRODUCT((Projects!$G$2:$G$45="Yes")*(8&gt;=Projects!$C$2:$C$45-$B$14)*(8&lt;=Projects!$W$2:$W$45+$B$17))*$B$5</f>
        <v/>
      </c>
      <c r="M38" s="759">
        <f>SUMPRODUCT((Projects!$G$2:$G$45="Yes")*(9&gt;=Projects!$C$2:$C$45-$B$14)*(9&lt;=Projects!$W$2:$W$45+$B$17))*$B$5</f>
        <v/>
      </c>
      <c r="N38" s="759">
        <f>SUMPRODUCT((Projects!$G$2:$G$45="Yes")*(10&gt;=Projects!$C$2:$C$45-$B$14)*(10&lt;=Projects!$W$2:$W$45+$B$17))*$B$5</f>
        <v/>
      </c>
      <c r="O38" s="759">
        <f>SUMPRODUCT((Projects!$G$2:$G$45="Yes")*(11&gt;=Projects!$C$2:$C$45-$B$14)*(11&lt;=Projects!$W$2:$W$45+$B$17))*$B$5</f>
        <v/>
      </c>
      <c r="P38" s="759">
        <f>SUMPRODUCT((Projects!$G$2:$G$45="Yes")*(12&gt;=Projects!$C$2:$C$45-$B$14)*(12&lt;=Projects!$W$2:$W$45+$B$17))*$B$5</f>
        <v/>
      </c>
      <c r="Q38" s="759">
        <f>SUMPRODUCT((Projects!$G$2:$G$45="Yes")*(13&gt;=Projects!$C$2:$C$45-$B$14)*(13&lt;=Projects!$W$2:$W$45+$B$17))*$B$5</f>
        <v/>
      </c>
      <c r="R38" s="759">
        <f>SUMPRODUCT((Projects!$G$2:$G$45="Yes")*(14&gt;=Projects!$C$2:$C$45-$B$14)*(14&lt;=Projects!$W$2:$W$45+$B$17))*$B$5</f>
        <v/>
      </c>
      <c r="S38" s="759">
        <f>SUMPRODUCT((Projects!$G$2:$G$45="Yes")*(15&gt;=Projects!$C$2:$C$45-$B$14)*(15&lt;=Projects!$W$2:$W$45+$B$17))*$B$5</f>
        <v/>
      </c>
      <c r="T38" s="759">
        <f>SUMPRODUCT((Projects!$G$2:$G$45="Yes")*(16&gt;=Projects!$C$2:$C$45-$B$14)*(16&lt;=Projects!$W$2:$W$45+$B$17))*$B$5</f>
        <v/>
      </c>
      <c r="U38" s="759">
        <f>SUMPRODUCT((Projects!$G$2:$G$45="Yes")*(17&gt;=Projects!$C$2:$C$45-$B$14)*(17&lt;=Projects!$W$2:$W$45+$B$17))*$B$5</f>
        <v/>
      </c>
      <c r="V38" s="759">
        <f>SUMPRODUCT((Projects!$G$2:$G$45="Yes")*(18&gt;=Projects!$C$2:$C$45-$B$14)*(18&lt;=Projects!$W$2:$W$45+$B$17))*$B$5</f>
        <v/>
      </c>
      <c r="W38" s="759">
        <f>SUMPRODUCT((Projects!$G$2:$G$45="Yes")*(19&gt;=Projects!$C$2:$C$45-$B$14)*(19&lt;=Projects!$W$2:$W$45+$B$17))*$B$5</f>
        <v/>
      </c>
      <c r="X38" s="759">
        <f>SUMPRODUCT((Projects!$G$2:$G$45="Yes")*(20&gt;=Projects!$C$2:$C$45-$B$14)*(20&lt;=Projects!$W$2:$W$45+$B$17))*$B$5</f>
        <v/>
      </c>
      <c r="Y38" s="759">
        <f>SUMPRODUCT((Projects!$G$2:$G$45="Yes")*(21&gt;=Projects!$C$2:$C$45-$B$14)*(21&lt;=Projects!$W$2:$W$45+$B$17))*$B$5</f>
        <v/>
      </c>
      <c r="Z38" s="759">
        <f>SUMPRODUCT((Projects!$G$2:$G$45="Yes")*(22&gt;=Projects!$C$2:$C$45-$B$14)*(22&lt;=Projects!$W$2:$W$45+$B$17))*$B$5</f>
        <v/>
      </c>
      <c r="AA38" s="759">
        <f>SUMPRODUCT((Projects!$G$2:$G$45="Yes")*(23&gt;=Projects!$C$2:$C$45-$B$14)*(23&lt;=Projects!$W$2:$W$45+$B$17))*$B$5</f>
        <v/>
      </c>
      <c r="AB38" s="759">
        <f>SUMPRODUCT((Projects!$G$2:$G$45="Yes")*(24&gt;=Projects!$C$2:$C$45-$B$14)*(24&lt;=Projects!$W$2:$W$45+$B$17))*$B$5</f>
        <v/>
      </c>
      <c r="AC38" s="759">
        <f>SUMPRODUCT((Projects!$G$2:$G$45="Yes")*(25&gt;=Projects!$C$2:$C$45-$B$14)*(25&lt;=Projects!$W$2:$W$45+$B$17))*$B$5</f>
        <v/>
      </c>
      <c r="AD38" s="759">
        <f>SUMPRODUCT((Projects!$G$2:$G$45="Yes")*(26&gt;=Projects!$C$2:$C$45-$B$14)*(26&lt;=Projects!$W$2:$W$45+$B$17))*$B$5</f>
        <v/>
      </c>
      <c r="AE38" s="759">
        <f>SUMPRODUCT((Projects!$G$2:$G$45="Yes")*(27&gt;=Projects!$C$2:$C$45-$B$14)*(27&lt;=Projects!$W$2:$W$45+$B$17))*$B$5</f>
        <v/>
      </c>
      <c r="AF38" s="759">
        <f>SUMPRODUCT((Projects!$G$2:$G$45="Yes")*(28&gt;=Projects!$C$2:$C$45-$B$14)*(28&lt;=Projects!$W$2:$W$45+$B$17))*$B$5</f>
        <v/>
      </c>
      <c r="AG38" s="759">
        <f>SUMPRODUCT((Projects!$G$2:$G$45="Yes")*(29&gt;=Projects!$C$2:$C$45-$B$14)*(29&lt;=Projects!$W$2:$W$45+$B$17))*$B$5</f>
        <v/>
      </c>
      <c r="AH38" s="759">
        <f>SUMPRODUCT((Projects!$G$2:$G$45="Yes")*(30&gt;=Projects!$C$2:$C$45-$B$14)*(30&lt;=Projects!$W$2:$W$45+$B$17))*$B$5</f>
        <v/>
      </c>
      <c r="AI38" s="759">
        <f>SUMPRODUCT((Projects!$G$2:$G$45="Yes")*(31&gt;=Projects!$C$2:$C$45-$B$14)*(31&lt;=Projects!$W$2:$W$45+$B$17))*$B$5</f>
        <v/>
      </c>
      <c r="AJ38" s="759">
        <f>SUMPRODUCT((Projects!$G$2:$G$45="Yes")*(32&gt;=Projects!$C$2:$C$45-$B$14)*(32&lt;=Projects!$W$2:$W$45+$B$17))*$B$5</f>
        <v/>
      </c>
      <c r="AK38" s="759">
        <f>SUMPRODUCT((Projects!$G$2:$G$45="Yes")*(33&gt;=Projects!$C$2:$C$45-$B$14)*(33&lt;=Projects!$W$2:$W$45+$B$17))*$B$5</f>
        <v/>
      </c>
      <c r="AL38" s="759">
        <f>SUMPRODUCT((Projects!$G$2:$G$45="Yes")*(34&gt;=Projects!$C$2:$C$45-$B$14)*(34&lt;=Projects!$W$2:$W$45+$B$17))*$B$5</f>
        <v/>
      </c>
      <c r="AM38" s="759">
        <f>SUMPRODUCT((Projects!$G$2:$G$45="Yes")*(35&gt;=Projects!$C$2:$C$45-$B$14)*(35&lt;=Projects!$W$2:$W$45+$B$17))*$B$5</f>
        <v/>
      </c>
      <c r="AN38" s="759">
        <f>SUMPRODUCT((Projects!$G$2:$G$45="Yes")*(36&gt;=Projects!$C$2:$C$45-$B$14)*(36&lt;=Projects!$W$2:$W$45+$B$17))*$B$5</f>
        <v/>
      </c>
      <c r="AO38" s="759">
        <f>SUMPRODUCT((Projects!$G$2:$G$45="Yes")*(37&gt;=Projects!$C$2:$C$45-$B$14)*(37&lt;=Projects!$W$2:$W$45+$B$17))*$B$5</f>
        <v/>
      </c>
      <c r="AP38" s="759">
        <f>SUMPRODUCT((Projects!$G$2:$G$45="Yes")*(38&gt;=Projects!$C$2:$C$45-$B$14)*(38&lt;=Projects!$W$2:$W$45+$B$17))*$B$5</f>
        <v/>
      </c>
      <c r="AQ38" s="759">
        <f>SUMPRODUCT((Projects!$G$2:$G$45="Yes")*(39&gt;=Projects!$C$2:$C$45-$B$14)*(39&lt;=Projects!$W$2:$W$45+$B$17))*$B$5</f>
        <v/>
      </c>
      <c r="AR38" s="759">
        <f>SUMPRODUCT((Projects!$G$2:$G$45="Yes")*(40&gt;=Projects!$C$2:$C$45-$B$14)*(40&lt;=Projects!$W$2:$W$45+$B$17))*$B$5</f>
        <v/>
      </c>
      <c r="AS38" s="759">
        <f>SUMPRODUCT((Projects!$G$2:$G$45="Yes")*(41&gt;=Projects!$C$2:$C$45-$B$14)*(41&lt;=Projects!$W$2:$W$45+$B$17))*$B$5</f>
        <v/>
      </c>
      <c r="AT38" s="759">
        <f>SUMPRODUCT((Projects!$G$2:$G$45="Yes")*(42&gt;=Projects!$C$2:$C$45-$B$14)*(42&lt;=Projects!$W$2:$W$45+$B$17))*$B$5</f>
        <v/>
      </c>
      <c r="AU38" s="759">
        <f>SUMPRODUCT((Projects!$G$2:$G$45="Yes")*(43&gt;=Projects!$C$2:$C$45-$B$14)*(43&lt;=Projects!$W$2:$W$45+$B$17))*$B$5</f>
        <v/>
      </c>
      <c r="AV38" s="759">
        <f>SUMPRODUCT((Projects!$G$2:$G$45="Yes")*(44&gt;=Projects!$C$2:$C$45-$B$14)*(44&lt;=Projects!$W$2:$W$45+$B$17))*$B$5</f>
        <v/>
      </c>
      <c r="AW38" s="759">
        <f>SUMPRODUCT((Projects!$G$2:$G$45="Yes")*(45&gt;=Projects!$C$2:$C$45-$B$14)*(45&lt;=Projects!$W$2:$W$45+$B$17))*$B$5</f>
        <v/>
      </c>
      <c r="AX38" s="759">
        <f>SUMPRODUCT((Projects!$G$2:$G$45="Yes")*(46&gt;=Projects!$C$2:$C$45-$B$14)*(46&lt;=Projects!$W$2:$W$45+$B$17))*$B$5</f>
        <v/>
      </c>
      <c r="AY38" s="759">
        <f>SUMPRODUCT((Projects!$G$2:$G$45="Yes")*(47&gt;=Projects!$C$2:$C$45-$B$14)*(47&lt;=Projects!$W$2:$W$45+$B$17))*$B$5</f>
        <v/>
      </c>
      <c r="AZ38" s="759">
        <f>SUMPRODUCT((Projects!$G$2:$G$45="Yes")*(48&gt;=Projects!$C$2:$C$45-$B$14)*(48&lt;=Projects!$W$2:$W$45+$B$17))*$B$5</f>
        <v/>
      </c>
      <c r="BA38" s="759">
        <f>SUMPRODUCT((Projects!$G$2:$G$45="Yes")*(49&gt;=Projects!$C$2:$C$45-$B$14)*(49&lt;=Projects!$W$2:$W$45+$B$17))*$B$5</f>
        <v/>
      </c>
      <c r="BB38" s="759">
        <f>SUMPRODUCT((Projects!$G$2:$G$45="Yes")*(50&gt;=Projects!$C$2:$C$45-$B$14)*(50&lt;=Projects!$W$2:$W$45+$B$17))*$B$5</f>
        <v/>
      </c>
      <c r="BC38" s="759">
        <f>SUMPRODUCT((Projects!$G$2:$G$45="Yes")*(51&gt;=Projects!$C$2:$C$45-$B$14)*(51&lt;=Projects!$W$2:$W$45+$B$17))*$B$5</f>
        <v/>
      </c>
      <c r="BD38" s="759">
        <f>SUMPRODUCT((Projects!$G$2:$G$45="Yes")*(52&gt;=Projects!$C$2:$C$45-$B$14)*(52&lt;=Projects!$W$2:$W$45+$B$17))*$B$5</f>
        <v/>
      </c>
      <c r="BE38" s="759">
        <f>SUMPRODUCT((Projects!$G$2:$G$45="Yes")*(53&gt;=Projects!$C$2:$C$45-$B$14)*(53&lt;=Projects!$W$2:$W$45+$B$17))*$B$5</f>
        <v/>
      </c>
      <c r="BF38" s="759">
        <f>SUMPRODUCT((Projects!$G$2:$G$45="Yes")*(54&gt;=Projects!$C$2:$C$45-$B$14)*(54&lt;=Projects!$W$2:$W$45+$B$17))*$B$5</f>
        <v/>
      </c>
      <c r="BG38" s="759">
        <f>SUMPRODUCT((Projects!$G$2:$G$45="Yes")*(55&gt;=Projects!$C$2:$C$45-$B$14)*(55&lt;=Projects!$W$2:$W$45+$B$17))*$B$5</f>
        <v/>
      </c>
      <c r="BH38" s="759">
        <f>SUMPRODUCT((Projects!$G$2:$G$45="Yes")*(56&gt;=Projects!$C$2:$C$45-$B$14)*(56&lt;=Projects!$W$2:$W$45+$B$17))*$B$5</f>
        <v/>
      </c>
      <c r="BI38" s="759">
        <f>SUMPRODUCT((Projects!$G$2:$G$45="Yes")*(57&gt;=Projects!$C$2:$C$45-$B$14)*(57&lt;=Projects!$W$2:$W$45+$B$17))*$B$5</f>
        <v/>
      </c>
      <c r="BJ38" s="759">
        <f>SUMPRODUCT((Projects!$G$2:$G$45="Yes")*(58&gt;=Projects!$C$2:$C$45-$B$14)*(58&lt;=Projects!$W$2:$W$45+$B$17))*$B$5</f>
        <v/>
      </c>
      <c r="BK38" s="759">
        <f>SUMPRODUCT((Projects!$G$2:$G$45="Yes")*(59&gt;=Projects!$C$2:$C$45-$B$14)*(59&lt;=Projects!$W$2:$W$45+$B$17))*$B$5</f>
        <v/>
      </c>
      <c r="BL38" s="759">
        <f>SUMPRODUCT((Projects!$G$2:$G$45="Yes")*(60&gt;=Projects!$C$2:$C$45-$B$14)*(60&lt;=Projects!$W$2:$W$45+$B$17))*$B$5</f>
        <v/>
      </c>
      <c r="BM38" s="759">
        <f>SUMPRODUCT((Projects!$G$2:$G$45="Yes")*(61&gt;=Projects!$C$2:$C$45-$B$14)*(61&lt;=Projects!$W$2:$W$45+$B$17))*$B$5</f>
        <v/>
      </c>
      <c r="BN38" s="759">
        <f>SUMPRODUCT((Projects!$G$2:$G$45="Yes")*(62&gt;=Projects!$C$2:$C$45-$B$14)*(62&lt;=Projects!$W$2:$W$45+$B$17))*$B$5</f>
        <v/>
      </c>
      <c r="BO38" s="759">
        <f>SUMPRODUCT((Projects!$G$2:$G$45="Yes")*(63&gt;=Projects!$C$2:$C$45-$B$14)*(63&lt;=Projects!$W$2:$W$45+$B$17))*$B$5</f>
        <v/>
      </c>
      <c r="BP38" s="759">
        <f>SUMPRODUCT((Projects!$G$2:$G$45="Yes")*(64&gt;=Projects!$C$2:$C$45-$B$14)*(64&lt;=Projects!$W$2:$W$45+$B$17))*$B$5</f>
        <v/>
      </c>
      <c r="BQ38" s="759">
        <f>SUMPRODUCT((Projects!$G$2:$G$45="Yes")*(65&gt;=Projects!$C$2:$C$45-$B$14)*(65&lt;=Projects!$W$2:$W$45+$B$17))*$B$5</f>
        <v/>
      </c>
      <c r="BR38" s="759">
        <f>SUMPRODUCT((Projects!$G$2:$G$45="Yes")*(66&gt;=Projects!$C$2:$C$45-$B$14)*(66&lt;=Projects!$W$2:$W$45+$B$17))*$B$5</f>
        <v/>
      </c>
      <c r="BS38" s="759">
        <f>SUMPRODUCT((Projects!$G$2:$G$45="Yes")*(67&gt;=Projects!$C$2:$C$45-$B$14)*(67&lt;=Projects!$W$2:$W$45+$B$17))*$B$5</f>
        <v/>
      </c>
      <c r="BT38" s="759">
        <f>SUMPRODUCT((Projects!$G$2:$G$45="Yes")*(68&gt;=Projects!$C$2:$C$45-$B$14)*(68&lt;=Projects!$W$2:$W$45+$B$17))*$B$5</f>
        <v/>
      </c>
      <c r="BU38" s="759">
        <f>SUMPRODUCT((Projects!$G$2:$G$45="Yes")*(69&gt;=Projects!$C$2:$C$45-$B$14)*(69&lt;=Projects!$W$2:$W$45+$B$17))*$B$5</f>
        <v/>
      </c>
      <c r="BV38" s="759">
        <f>SUMPRODUCT((Projects!$G$2:$G$45="Yes")*(70&gt;=Projects!$C$2:$C$45-$B$14)*(70&lt;=Projects!$W$2:$W$45+$B$17))*$B$5</f>
        <v/>
      </c>
      <c r="BW38" s="759">
        <f>SUMPRODUCT((Projects!$G$2:$G$45="Yes")*(71&gt;=Projects!$C$2:$C$45-$B$14)*(71&lt;=Projects!$W$2:$W$45+$B$17))*$B$5</f>
        <v/>
      </c>
      <c r="BX38" s="759">
        <f>SUMPRODUCT((Projects!$G$2:$G$45="Yes")*(72&gt;=Projects!$C$2:$C$45-$B$14)*(72&lt;=Projects!$W$2:$W$45+$B$17))*$B$5</f>
        <v/>
      </c>
      <c r="BY38" s="759">
        <f>SUMPRODUCT((Projects!$G$2:$G$45="Yes")*(73&gt;=Projects!$C$2:$C$45-$B$14)*(73&lt;=Projects!$W$2:$W$45+$B$17))*$B$5</f>
        <v/>
      </c>
      <c r="BZ38" s="759">
        <f>SUMPRODUCT((Projects!$G$2:$G$45="Yes")*(74&gt;=Projects!$C$2:$C$45-$B$14)*(74&lt;=Projects!$W$2:$W$45+$B$17))*$B$5</f>
        <v/>
      </c>
      <c r="CA38" s="759">
        <f>SUMPRODUCT((Projects!$G$2:$G$45="Yes")*(75&gt;=Projects!$C$2:$C$45-$B$14)*(75&lt;=Projects!$W$2:$W$45+$B$17))*$B$5</f>
        <v/>
      </c>
      <c r="CB38" s="759">
        <f>SUMPRODUCT((Projects!$G$2:$G$45="Yes")*(76&gt;=Projects!$C$2:$C$45-$B$14)*(76&lt;=Projects!$W$2:$W$45+$B$17))*$B$5</f>
        <v/>
      </c>
      <c r="CC38" s="759">
        <f>SUMPRODUCT((Projects!$G$2:$G$45="Yes")*(77&gt;=Projects!$C$2:$C$45-$B$14)*(77&lt;=Projects!$W$2:$W$45+$B$17))*$B$5</f>
        <v/>
      </c>
      <c r="CD38" s="759">
        <f>SUMPRODUCT((Projects!$G$2:$G$45="Yes")*(78&gt;=Projects!$C$2:$C$45-$B$14)*(78&lt;=Projects!$W$2:$W$45+$B$17))*$B$5</f>
        <v/>
      </c>
      <c r="CE38" s="759">
        <f>SUMPRODUCT((Projects!$G$2:$G$45="Yes")*(79&gt;=Projects!$C$2:$C$45-$B$14)*(79&lt;=Projects!$W$2:$W$45+$B$17))*$B$5</f>
        <v/>
      </c>
      <c r="CF38" s="759">
        <f>SUMPRODUCT((Projects!$G$2:$G$45="Yes")*(80&gt;=Projects!$C$2:$C$45-$B$14)*(80&lt;=Projects!$W$2:$W$45+$B$17))*$B$5</f>
        <v/>
      </c>
      <c r="CG38" s="759">
        <f>SUMPRODUCT((Projects!$G$2:$G$45="Yes")*(81&gt;=Projects!$C$2:$C$45-$B$14)*(81&lt;=Projects!$W$2:$W$45+$B$17))*$B$5</f>
        <v/>
      </c>
      <c r="CH38" s="759">
        <f>SUMPRODUCT((Projects!$G$2:$G$45="Yes")*(82&gt;=Projects!$C$2:$C$45-$B$14)*(82&lt;=Projects!$W$2:$W$45+$B$17))*$B$5</f>
        <v/>
      </c>
      <c r="CI38" s="759">
        <f>SUMPRODUCT((Projects!$G$2:$G$45="Yes")*(83&gt;=Projects!$C$2:$C$45-$B$14)*(83&lt;=Projects!$W$2:$W$45+$B$17))*$B$5</f>
        <v/>
      </c>
      <c r="CJ38" s="759">
        <f>SUMPRODUCT((Projects!$G$2:$G$45="Yes")*(84&gt;=Projects!$C$2:$C$45-$B$14)*(84&lt;=Projects!$W$2:$W$45+$B$17))*$B$5</f>
        <v/>
      </c>
      <c r="CK38" s="759">
        <f>SUMPRODUCT((Projects!$G$2:$G$45="Yes")*(85&gt;=Projects!$C$2:$C$45-$B$14)*(85&lt;=Projects!$W$2:$W$45+$B$17))*$B$5</f>
        <v/>
      </c>
      <c r="CL38" s="759">
        <f>SUMPRODUCT((Projects!$G$2:$G$45="Yes")*(86&gt;=Projects!$C$2:$C$45-$B$14)*(86&lt;=Projects!$W$2:$W$45+$B$17))*$B$5</f>
        <v/>
      </c>
      <c r="CM38" s="759">
        <f>SUMPRODUCT((Projects!$G$2:$G$45="Yes")*(87&gt;=Projects!$C$2:$C$45-$B$14)*(87&lt;=Projects!$W$2:$W$45+$B$17))*$B$5</f>
        <v/>
      </c>
      <c r="CN38" s="759">
        <f>SUMPRODUCT((Projects!$G$2:$G$45="Yes")*(88&gt;=Projects!$C$2:$C$45-$B$14)*(88&lt;=Projects!$W$2:$W$45+$B$17))*$B$5</f>
        <v/>
      </c>
      <c r="CO38" s="759">
        <f>SUMPRODUCT((Projects!$G$2:$G$45="Yes")*(89&gt;=Projects!$C$2:$C$45-$B$14)*(89&lt;=Projects!$W$2:$W$45+$B$17))*$B$5</f>
        <v/>
      </c>
      <c r="CP38" s="759">
        <f>SUMPRODUCT((Projects!$G$2:$G$45="Yes")*(90&gt;=Projects!$C$2:$C$45-$B$14)*(90&lt;=Projects!$W$2:$W$45+$B$17))*$B$5</f>
        <v/>
      </c>
      <c r="CQ38" s="759">
        <f>SUMPRODUCT((Projects!$G$2:$G$45="Yes")*(91&gt;=Projects!$C$2:$C$45-$B$14)*(91&lt;=Projects!$W$2:$W$45+$B$17))*$B$5</f>
        <v/>
      </c>
      <c r="CR38" s="759">
        <f>SUMPRODUCT((Projects!$G$2:$G$45="Yes")*(92&gt;=Projects!$C$2:$C$45-$B$14)*(92&lt;=Projects!$W$2:$W$45+$B$17))*$B$5</f>
        <v/>
      </c>
      <c r="CS38" s="759">
        <f>SUMPRODUCT((Projects!$G$2:$G$45="Yes")*(93&gt;=Projects!$C$2:$C$45-$B$14)*(93&lt;=Projects!$W$2:$W$45+$B$17))*$B$5</f>
        <v/>
      </c>
      <c r="CT38" s="759">
        <f>SUMPRODUCT((Projects!$G$2:$G$45="Yes")*(94&gt;=Projects!$C$2:$C$45-$B$14)*(94&lt;=Projects!$W$2:$W$45+$B$17))*$B$5</f>
        <v/>
      </c>
      <c r="CU38" s="759">
        <f>SUMPRODUCT((Projects!$G$2:$G$45="Yes")*(95&gt;=Projects!$C$2:$C$45-$B$14)*(95&lt;=Projects!$W$2:$W$45+$B$17))*$B$5</f>
        <v/>
      </c>
      <c r="CV38" s="759">
        <f>SUMPRODUCT((Projects!$G$2:$G$45="Yes")*(96&gt;=Projects!$C$2:$C$45-$B$14)*(96&lt;=Projects!$W$2:$W$45+$B$17))*$B$5</f>
        <v/>
      </c>
      <c r="CW38" s="759">
        <f>SUMPRODUCT((Projects!$G$2:$G$45="Yes")*(97&gt;=Projects!$C$2:$C$45-$B$14)*(97&lt;=Projects!$W$2:$W$45+$B$17))*$B$5</f>
        <v/>
      </c>
      <c r="CX38" s="759">
        <f>SUMPRODUCT((Projects!$G$2:$G$45="Yes")*(98&gt;=Projects!$C$2:$C$45-$B$14)*(98&lt;=Projects!$W$2:$W$45+$B$17))*$B$5</f>
        <v/>
      </c>
      <c r="CY38" s="759">
        <f>SUMPRODUCT((Projects!$G$2:$G$45="Yes")*(99&gt;=Projects!$C$2:$C$45-$B$14)*(99&lt;=Projects!$W$2:$W$45+$B$17))*$B$5</f>
        <v/>
      </c>
      <c r="CZ38" s="759">
        <f>SUMPRODUCT((Projects!$G$2:$G$45="Yes")*(100&gt;=Projects!$C$2:$C$45-$B$14)*(100&lt;=Projects!$W$2:$W$45+$B$17))*$B$5</f>
        <v/>
      </c>
      <c r="DA38" s="759">
        <f>SUMPRODUCT((Projects!$G$2:$G$45="Yes")*(101&gt;=Projects!$C$2:$C$45-$B$14)*(101&lt;=Projects!$W$2:$W$45+$B$17))*$B$5</f>
        <v/>
      </c>
      <c r="DB38" s="759">
        <f>SUMPRODUCT((Projects!$G$2:$G$45="Yes")*(102&gt;=Projects!$C$2:$C$45-$B$14)*(102&lt;=Projects!$W$2:$W$45+$B$17))*$B$5</f>
        <v/>
      </c>
      <c r="DC38" s="759">
        <f>SUMPRODUCT((Projects!$G$2:$G$45="Yes")*(103&gt;=Projects!$C$2:$C$45-$B$14)*(103&lt;=Projects!$W$2:$W$45+$B$17))*$B$5</f>
        <v/>
      </c>
      <c r="DD38" s="759">
        <f>SUMPRODUCT((Projects!$G$2:$G$45="Yes")*(104&gt;=Projects!$C$2:$C$45-$B$14)*(104&lt;=Projects!$W$2:$W$45+$B$17))*$B$5</f>
        <v/>
      </c>
      <c r="DE38" s="759">
        <f>SUMPRODUCT((Projects!$G$2:$G$45="Yes")*(105&gt;=Projects!$C$2:$C$45-$B$14)*(105&lt;=Projects!$W$2:$W$45+$B$17))*$B$5</f>
        <v/>
      </c>
    </row>
    <row r="39">
      <c r="A39" s="586" t="inlineStr">
        <is>
          <t>APMs required</t>
        </is>
      </c>
      <c r="E39" s="759">
        <f>SUMPRODUCT((Projects!$G$2:$G$45="Yes")*(1&gt;=Projects!$C$2:$C$45-$B$15)*(1&lt;=Projects!$W$2:$W$45+$B$17)*((Projects!$B$2:$B$45&gt;=$B$12)*$B$6+(Projects!$B$2:$B$45&lt;$B$12)*(Projects!$B$2:$B$45&gt;=$B$13)*$B$7+(Projects!$B$2:$B$45&lt;$B$13)*$B$8))</f>
        <v/>
      </c>
      <c r="F39" s="759">
        <f>SUMPRODUCT((Projects!$G$2:$G$45="Yes")*(2&gt;=Projects!$C$2:$C$45-$B$15)*(2&lt;=Projects!$W$2:$W$45+$B$17)*((Projects!$B$2:$B$45&gt;=$B$12)*$B$6+(Projects!$B$2:$B$45&lt;$B$12)*(Projects!$B$2:$B$45&gt;=$B$13)*$B$7+(Projects!$B$2:$B$45&lt;$B$13)*$B$8))</f>
        <v/>
      </c>
      <c r="G39" s="759">
        <f>SUMPRODUCT((Projects!$G$2:$G$45="Yes")*(3&gt;=Projects!$C$2:$C$45-$B$15)*(3&lt;=Projects!$W$2:$W$45+$B$17)*((Projects!$B$2:$B$45&gt;=$B$12)*$B$6+(Projects!$B$2:$B$45&lt;$B$12)*(Projects!$B$2:$B$45&gt;=$B$13)*$B$7+(Projects!$B$2:$B$45&lt;$B$13)*$B$8))</f>
        <v/>
      </c>
      <c r="H39" s="759">
        <f>SUMPRODUCT((Projects!$G$2:$G$45="Yes")*(4&gt;=Projects!$C$2:$C$45-$B$15)*(4&lt;=Projects!$W$2:$W$45+$B$17)*((Projects!$B$2:$B$45&gt;=$B$12)*$B$6+(Projects!$B$2:$B$45&lt;$B$12)*(Projects!$B$2:$B$45&gt;=$B$13)*$B$7+(Projects!$B$2:$B$45&lt;$B$13)*$B$8))</f>
        <v/>
      </c>
      <c r="I39" s="759">
        <f>SUMPRODUCT((Projects!$G$2:$G$45="Yes")*(5&gt;=Projects!$C$2:$C$45-$B$15)*(5&lt;=Projects!$W$2:$W$45+$B$17)*((Projects!$B$2:$B$45&gt;=$B$12)*$B$6+(Projects!$B$2:$B$45&lt;$B$12)*(Projects!$B$2:$B$45&gt;=$B$13)*$B$7+(Projects!$B$2:$B$45&lt;$B$13)*$B$8))</f>
        <v/>
      </c>
      <c r="J39" s="759">
        <f>SUMPRODUCT((Projects!$G$2:$G$45="Yes")*(6&gt;=Projects!$C$2:$C$45-$B$15)*(6&lt;=Projects!$W$2:$W$45+$B$17)*((Projects!$B$2:$B$45&gt;=$B$12)*$B$6+(Projects!$B$2:$B$45&lt;$B$12)*(Projects!$B$2:$B$45&gt;=$B$13)*$B$7+(Projects!$B$2:$B$45&lt;$B$13)*$B$8))</f>
        <v/>
      </c>
      <c r="K39" s="759">
        <f>SUMPRODUCT((Projects!$G$2:$G$45="Yes")*(7&gt;=Projects!$C$2:$C$45-$B$15)*(7&lt;=Projects!$W$2:$W$45+$B$17)*((Projects!$B$2:$B$45&gt;=$B$12)*$B$6+(Projects!$B$2:$B$45&lt;$B$12)*(Projects!$B$2:$B$45&gt;=$B$13)*$B$7+(Projects!$B$2:$B$45&lt;$B$13)*$B$8))</f>
        <v/>
      </c>
      <c r="L39" s="759">
        <f>SUMPRODUCT((Projects!$G$2:$G$45="Yes")*(8&gt;=Projects!$C$2:$C$45-$B$15)*(8&lt;=Projects!$W$2:$W$45+$B$17)*((Projects!$B$2:$B$45&gt;=$B$12)*$B$6+(Projects!$B$2:$B$45&lt;$B$12)*(Projects!$B$2:$B$45&gt;=$B$13)*$B$7+(Projects!$B$2:$B$45&lt;$B$13)*$B$8))</f>
        <v/>
      </c>
      <c r="M39" s="759">
        <f>SUMPRODUCT((Projects!$G$2:$G$45="Yes")*(9&gt;=Projects!$C$2:$C$45-$B$15)*(9&lt;=Projects!$W$2:$W$45+$B$17)*((Projects!$B$2:$B$45&gt;=$B$12)*$B$6+(Projects!$B$2:$B$45&lt;$B$12)*(Projects!$B$2:$B$45&gt;=$B$13)*$B$7+(Projects!$B$2:$B$45&lt;$B$13)*$B$8))</f>
        <v/>
      </c>
      <c r="N39" s="759">
        <f>SUMPRODUCT((Projects!$G$2:$G$45="Yes")*(10&gt;=Projects!$C$2:$C$45-$B$15)*(10&lt;=Projects!$W$2:$W$45+$B$17)*((Projects!$B$2:$B$45&gt;=$B$12)*$B$6+(Projects!$B$2:$B$45&lt;$B$12)*(Projects!$B$2:$B$45&gt;=$B$13)*$B$7+(Projects!$B$2:$B$45&lt;$B$13)*$B$8))</f>
        <v/>
      </c>
      <c r="O39" s="759">
        <f>SUMPRODUCT((Projects!$G$2:$G$45="Yes")*(11&gt;=Projects!$C$2:$C$45-$B$15)*(11&lt;=Projects!$W$2:$W$45+$B$17)*((Projects!$B$2:$B$45&gt;=$B$12)*$B$6+(Projects!$B$2:$B$45&lt;$B$12)*(Projects!$B$2:$B$45&gt;=$B$13)*$B$7+(Projects!$B$2:$B$45&lt;$B$13)*$B$8))</f>
        <v/>
      </c>
      <c r="P39" s="759">
        <f>SUMPRODUCT((Projects!$G$2:$G$45="Yes")*(12&gt;=Projects!$C$2:$C$45-$B$15)*(12&lt;=Projects!$W$2:$W$45+$B$17)*((Projects!$B$2:$B$45&gt;=$B$12)*$B$6+(Projects!$B$2:$B$45&lt;$B$12)*(Projects!$B$2:$B$45&gt;=$B$13)*$B$7+(Projects!$B$2:$B$45&lt;$B$13)*$B$8))</f>
        <v/>
      </c>
      <c r="Q39" s="759">
        <f>SUMPRODUCT((Projects!$G$2:$G$45="Yes")*(13&gt;=Projects!$C$2:$C$45-$B$15)*(13&lt;=Projects!$W$2:$W$45+$B$17)*((Projects!$B$2:$B$45&gt;=$B$12)*$B$6+(Projects!$B$2:$B$45&lt;$B$12)*(Projects!$B$2:$B$45&gt;=$B$13)*$B$7+(Projects!$B$2:$B$45&lt;$B$13)*$B$8))</f>
        <v/>
      </c>
      <c r="R39" s="759">
        <f>SUMPRODUCT((Projects!$G$2:$G$45="Yes")*(14&gt;=Projects!$C$2:$C$45-$B$15)*(14&lt;=Projects!$W$2:$W$45+$B$17)*((Projects!$B$2:$B$45&gt;=$B$12)*$B$6+(Projects!$B$2:$B$45&lt;$B$12)*(Projects!$B$2:$B$45&gt;=$B$13)*$B$7+(Projects!$B$2:$B$45&lt;$B$13)*$B$8))</f>
        <v/>
      </c>
      <c r="S39" s="759">
        <f>SUMPRODUCT((Projects!$G$2:$G$45="Yes")*(15&gt;=Projects!$C$2:$C$45-$B$15)*(15&lt;=Projects!$W$2:$W$45+$B$17)*((Projects!$B$2:$B$45&gt;=$B$12)*$B$6+(Projects!$B$2:$B$45&lt;$B$12)*(Projects!$B$2:$B$45&gt;=$B$13)*$B$7+(Projects!$B$2:$B$45&lt;$B$13)*$B$8))</f>
        <v/>
      </c>
      <c r="T39" s="759">
        <f>SUMPRODUCT((Projects!$G$2:$G$45="Yes")*(16&gt;=Projects!$C$2:$C$45-$B$15)*(16&lt;=Projects!$W$2:$W$45+$B$17)*((Projects!$B$2:$B$45&gt;=$B$12)*$B$6+(Projects!$B$2:$B$45&lt;$B$12)*(Projects!$B$2:$B$45&gt;=$B$13)*$B$7+(Projects!$B$2:$B$45&lt;$B$13)*$B$8))</f>
        <v/>
      </c>
      <c r="U39" s="759">
        <f>SUMPRODUCT((Projects!$G$2:$G$45="Yes")*(17&gt;=Projects!$C$2:$C$45-$B$15)*(17&lt;=Projects!$W$2:$W$45+$B$17)*((Projects!$B$2:$B$45&gt;=$B$12)*$B$6+(Projects!$B$2:$B$45&lt;$B$12)*(Projects!$B$2:$B$45&gt;=$B$13)*$B$7+(Projects!$B$2:$B$45&lt;$B$13)*$B$8))</f>
        <v/>
      </c>
      <c r="V39" s="759">
        <f>SUMPRODUCT((Projects!$G$2:$G$45="Yes")*(18&gt;=Projects!$C$2:$C$45-$B$15)*(18&lt;=Projects!$W$2:$W$45+$B$17)*((Projects!$B$2:$B$45&gt;=$B$12)*$B$6+(Projects!$B$2:$B$45&lt;$B$12)*(Projects!$B$2:$B$45&gt;=$B$13)*$B$7+(Projects!$B$2:$B$45&lt;$B$13)*$B$8))</f>
        <v/>
      </c>
      <c r="W39" s="759">
        <f>SUMPRODUCT((Projects!$G$2:$G$45="Yes")*(19&gt;=Projects!$C$2:$C$45-$B$15)*(19&lt;=Projects!$W$2:$W$45+$B$17)*((Projects!$B$2:$B$45&gt;=$B$12)*$B$6+(Projects!$B$2:$B$45&lt;$B$12)*(Projects!$B$2:$B$45&gt;=$B$13)*$B$7+(Projects!$B$2:$B$45&lt;$B$13)*$B$8))</f>
        <v/>
      </c>
      <c r="X39" s="759">
        <f>SUMPRODUCT((Projects!$G$2:$G$45="Yes")*(20&gt;=Projects!$C$2:$C$45-$B$15)*(20&lt;=Projects!$W$2:$W$45+$B$17)*((Projects!$B$2:$B$45&gt;=$B$12)*$B$6+(Projects!$B$2:$B$45&lt;$B$12)*(Projects!$B$2:$B$45&gt;=$B$13)*$B$7+(Projects!$B$2:$B$45&lt;$B$13)*$B$8))</f>
        <v/>
      </c>
      <c r="Y39" s="759">
        <f>SUMPRODUCT((Projects!$G$2:$G$45="Yes")*(21&gt;=Projects!$C$2:$C$45-$B$15)*(21&lt;=Projects!$W$2:$W$45+$B$17)*((Projects!$B$2:$B$45&gt;=$B$12)*$B$6+(Projects!$B$2:$B$45&lt;$B$12)*(Projects!$B$2:$B$45&gt;=$B$13)*$B$7+(Projects!$B$2:$B$45&lt;$B$13)*$B$8))</f>
        <v/>
      </c>
      <c r="Z39" s="759">
        <f>SUMPRODUCT((Projects!$G$2:$G$45="Yes")*(22&gt;=Projects!$C$2:$C$45-$B$15)*(22&lt;=Projects!$W$2:$W$45+$B$17)*((Projects!$B$2:$B$45&gt;=$B$12)*$B$6+(Projects!$B$2:$B$45&lt;$B$12)*(Projects!$B$2:$B$45&gt;=$B$13)*$B$7+(Projects!$B$2:$B$45&lt;$B$13)*$B$8))</f>
        <v/>
      </c>
      <c r="AA39" s="759">
        <f>SUMPRODUCT((Projects!$G$2:$G$45="Yes")*(23&gt;=Projects!$C$2:$C$45-$B$15)*(23&lt;=Projects!$W$2:$W$45+$B$17)*((Projects!$B$2:$B$45&gt;=$B$12)*$B$6+(Projects!$B$2:$B$45&lt;$B$12)*(Projects!$B$2:$B$45&gt;=$B$13)*$B$7+(Projects!$B$2:$B$45&lt;$B$13)*$B$8))</f>
        <v/>
      </c>
      <c r="AB39" s="759">
        <f>SUMPRODUCT((Projects!$G$2:$G$45="Yes")*(24&gt;=Projects!$C$2:$C$45-$B$15)*(24&lt;=Projects!$W$2:$W$45+$B$17)*((Projects!$B$2:$B$45&gt;=$B$12)*$B$6+(Projects!$B$2:$B$45&lt;$B$12)*(Projects!$B$2:$B$45&gt;=$B$13)*$B$7+(Projects!$B$2:$B$45&lt;$B$13)*$B$8))</f>
        <v/>
      </c>
      <c r="AC39" s="759">
        <f>SUMPRODUCT((Projects!$G$2:$G$45="Yes")*(25&gt;=Projects!$C$2:$C$45-$B$15)*(25&lt;=Projects!$W$2:$W$45+$B$17)*((Projects!$B$2:$B$45&gt;=$B$12)*$B$6+(Projects!$B$2:$B$45&lt;$B$12)*(Projects!$B$2:$B$45&gt;=$B$13)*$B$7+(Projects!$B$2:$B$45&lt;$B$13)*$B$8))</f>
        <v/>
      </c>
      <c r="AD39" s="759">
        <f>SUMPRODUCT((Projects!$G$2:$G$45="Yes")*(26&gt;=Projects!$C$2:$C$45-$B$15)*(26&lt;=Projects!$W$2:$W$45+$B$17)*((Projects!$B$2:$B$45&gt;=$B$12)*$B$6+(Projects!$B$2:$B$45&lt;$B$12)*(Projects!$B$2:$B$45&gt;=$B$13)*$B$7+(Projects!$B$2:$B$45&lt;$B$13)*$B$8))</f>
        <v/>
      </c>
      <c r="AE39" s="759">
        <f>SUMPRODUCT((Projects!$G$2:$G$45="Yes")*(27&gt;=Projects!$C$2:$C$45-$B$15)*(27&lt;=Projects!$W$2:$W$45+$B$17)*((Projects!$B$2:$B$45&gt;=$B$12)*$B$6+(Projects!$B$2:$B$45&lt;$B$12)*(Projects!$B$2:$B$45&gt;=$B$13)*$B$7+(Projects!$B$2:$B$45&lt;$B$13)*$B$8))</f>
        <v/>
      </c>
      <c r="AF39" s="759">
        <f>SUMPRODUCT((Projects!$G$2:$G$45="Yes")*(28&gt;=Projects!$C$2:$C$45-$B$15)*(28&lt;=Projects!$W$2:$W$45+$B$17)*((Projects!$B$2:$B$45&gt;=$B$12)*$B$6+(Projects!$B$2:$B$45&lt;$B$12)*(Projects!$B$2:$B$45&gt;=$B$13)*$B$7+(Projects!$B$2:$B$45&lt;$B$13)*$B$8))</f>
        <v/>
      </c>
      <c r="AG39" s="759">
        <f>SUMPRODUCT((Projects!$G$2:$G$45="Yes")*(29&gt;=Projects!$C$2:$C$45-$B$15)*(29&lt;=Projects!$W$2:$W$45+$B$17)*((Projects!$B$2:$B$45&gt;=$B$12)*$B$6+(Projects!$B$2:$B$45&lt;$B$12)*(Projects!$B$2:$B$45&gt;=$B$13)*$B$7+(Projects!$B$2:$B$45&lt;$B$13)*$B$8))</f>
        <v/>
      </c>
      <c r="AH39" s="759">
        <f>SUMPRODUCT((Projects!$G$2:$G$45="Yes")*(30&gt;=Projects!$C$2:$C$45-$B$15)*(30&lt;=Projects!$W$2:$W$45+$B$17)*((Projects!$B$2:$B$45&gt;=$B$12)*$B$6+(Projects!$B$2:$B$45&lt;$B$12)*(Projects!$B$2:$B$45&gt;=$B$13)*$B$7+(Projects!$B$2:$B$45&lt;$B$13)*$B$8))</f>
        <v/>
      </c>
      <c r="AI39" s="759">
        <f>SUMPRODUCT((Projects!$G$2:$G$45="Yes")*(31&gt;=Projects!$C$2:$C$45-$B$15)*(31&lt;=Projects!$W$2:$W$45+$B$17)*((Projects!$B$2:$B$45&gt;=$B$12)*$B$6+(Projects!$B$2:$B$45&lt;$B$12)*(Projects!$B$2:$B$45&gt;=$B$13)*$B$7+(Projects!$B$2:$B$45&lt;$B$13)*$B$8))</f>
        <v/>
      </c>
      <c r="AJ39" s="759">
        <f>SUMPRODUCT((Projects!$G$2:$G$45="Yes")*(32&gt;=Projects!$C$2:$C$45-$B$15)*(32&lt;=Projects!$W$2:$W$45+$B$17)*((Projects!$B$2:$B$45&gt;=$B$12)*$B$6+(Projects!$B$2:$B$45&lt;$B$12)*(Projects!$B$2:$B$45&gt;=$B$13)*$B$7+(Projects!$B$2:$B$45&lt;$B$13)*$B$8))</f>
        <v/>
      </c>
      <c r="AK39" s="759">
        <f>SUMPRODUCT((Projects!$G$2:$G$45="Yes")*(33&gt;=Projects!$C$2:$C$45-$B$15)*(33&lt;=Projects!$W$2:$W$45+$B$17)*((Projects!$B$2:$B$45&gt;=$B$12)*$B$6+(Projects!$B$2:$B$45&lt;$B$12)*(Projects!$B$2:$B$45&gt;=$B$13)*$B$7+(Projects!$B$2:$B$45&lt;$B$13)*$B$8))</f>
        <v/>
      </c>
      <c r="AL39" s="759">
        <f>SUMPRODUCT((Projects!$G$2:$G$45="Yes")*(34&gt;=Projects!$C$2:$C$45-$B$15)*(34&lt;=Projects!$W$2:$W$45+$B$17)*((Projects!$B$2:$B$45&gt;=$B$12)*$B$6+(Projects!$B$2:$B$45&lt;$B$12)*(Projects!$B$2:$B$45&gt;=$B$13)*$B$7+(Projects!$B$2:$B$45&lt;$B$13)*$B$8))</f>
        <v/>
      </c>
      <c r="AM39" s="759">
        <f>SUMPRODUCT((Projects!$G$2:$G$45="Yes")*(35&gt;=Projects!$C$2:$C$45-$B$15)*(35&lt;=Projects!$W$2:$W$45+$B$17)*((Projects!$B$2:$B$45&gt;=$B$12)*$B$6+(Projects!$B$2:$B$45&lt;$B$12)*(Projects!$B$2:$B$45&gt;=$B$13)*$B$7+(Projects!$B$2:$B$45&lt;$B$13)*$B$8))</f>
        <v/>
      </c>
      <c r="AN39" s="759">
        <f>SUMPRODUCT((Projects!$G$2:$G$45="Yes")*(36&gt;=Projects!$C$2:$C$45-$B$15)*(36&lt;=Projects!$W$2:$W$45+$B$17)*((Projects!$B$2:$B$45&gt;=$B$12)*$B$6+(Projects!$B$2:$B$45&lt;$B$12)*(Projects!$B$2:$B$45&gt;=$B$13)*$B$7+(Projects!$B$2:$B$45&lt;$B$13)*$B$8))</f>
        <v/>
      </c>
      <c r="AO39" s="759">
        <f>SUMPRODUCT((Projects!$G$2:$G$45="Yes")*(37&gt;=Projects!$C$2:$C$45-$B$15)*(37&lt;=Projects!$W$2:$W$45+$B$17)*((Projects!$B$2:$B$45&gt;=$B$12)*$B$6+(Projects!$B$2:$B$45&lt;$B$12)*(Projects!$B$2:$B$45&gt;=$B$13)*$B$7+(Projects!$B$2:$B$45&lt;$B$13)*$B$8))</f>
        <v/>
      </c>
      <c r="AP39" s="759">
        <f>SUMPRODUCT((Projects!$G$2:$G$45="Yes")*(38&gt;=Projects!$C$2:$C$45-$B$15)*(38&lt;=Projects!$W$2:$W$45+$B$17)*((Projects!$B$2:$B$45&gt;=$B$12)*$B$6+(Projects!$B$2:$B$45&lt;$B$12)*(Projects!$B$2:$B$45&gt;=$B$13)*$B$7+(Projects!$B$2:$B$45&lt;$B$13)*$B$8))</f>
        <v/>
      </c>
      <c r="AQ39" s="759">
        <f>SUMPRODUCT((Projects!$G$2:$G$45="Yes")*(39&gt;=Projects!$C$2:$C$45-$B$15)*(39&lt;=Projects!$W$2:$W$45+$B$17)*((Projects!$B$2:$B$45&gt;=$B$12)*$B$6+(Projects!$B$2:$B$45&lt;$B$12)*(Projects!$B$2:$B$45&gt;=$B$13)*$B$7+(Projects!$B$2:$B$45&lt;$B$13)*$B$8))</f>
        <v/>
      </c>
      <c r="AR39" s="759">
        <f>SUMPRODUCT((Projects!$G$2:$G$45="Yes")*(40&gt;=Projects!$C$2:$C$45-$B$15)*(40&lt;=Projects!$W$2:$W$45+$B$17)*((Projects!$B$2:$B$45&gt;=$B$12)*$B$6+(Projects!$B$2:$B$45&lt;$B$12)*(Projects!$B$2:$B$45&gt;=$B$13)*$B$7+(Projects!$B$2:$B$45&lt;$B$13)*$B$8))</f>
        <v/>
      </c>
      <c r="AS39" s="759">
        <f>SUMPRODUCT((Projects!$G$2:$G$45="Yes")*(41&gt;=Projects!$C$2:$C$45-$B$15)*(41&lt;=Projects!$W$2:$W$45+$B$17)*((Projects!$B$2:$B$45&gt;=$B$12)*$B$6+(Projects!$B$2:$B$45&lt;$B$12)*(Projects!$B$2:$B$45&gt;=$B$13)*$B$7+(Projects!$B$2:$B$45&lt;$B$13)*$B$8))</f>
        <v/>
      </c>
      <c r="AT39" s="759">
        <f>SUMPRODUCT((Projects!$G$2:$G$45="Yes")*(42&gt;=Projects!$C$2:$C$45-$B$15)*(42&lt;=Projects!$W$2:$W$45+$B$17)*((Projects!$B$2:$B$45&gt;=$B$12)*$B$6+(Projects!$B$2:$B$45&lt;$B$12)*(Projects!$B$2:$B$45&gt;=$B$13)*$B$7+(Projects!$B$2:$B$45&lt;$B$13)*$B$8))</f>
        <v/>
      </c>
      <c r="AU39" s="759">
        <f>SUMPRODUCT((Projects!$G$2:$G$45="Yes")*(43&gt;=Projects!$C$2:$C$45-$B$15)*(43&lt;=Projects!$W$2:$W$45+$B$17)*((Projects!$B$2:$B$45&gt;=$B$12)*$B$6+(Projects!$B$2:$B$45&lt;$B$12)*(Projects!$B$2:$B$45&gt;=$B$13)*$B$7+(Projects!$B$2:$B$45&lt;$B$13)*$B$8))</f>
        <v/>
      </c>
      <c r="AV39" s="759">
        <f>SUMPRODUCT((Projects!$G$2:$G$45="Yes")*(44&gt;=Projects!$C$2:$C$45-$B$15)*(44&lt;=Projects!$W$2:$W$45+$B$17)*((Projects!$B$2:$B$45&gt;=$B$12)*$B$6+(Projects!$B$2:$B$45&lt;$B$12)*(Projects!$B$2:$B$45&gt;=$B$13)*$B$7+(Projects!$B$2:$B$45&lt;$B$13)*$B$8))</f>
        <v/>
      </c>
      <c r="AW39" s="759">
        <f>SUMPRODUCT((Projects!$G$2:$G$45="Yes")*(45&gt;=Projects!$C$2:$C$45-$B$15)*(45&lt;=Projects!$W$2:$W$45+$B$17)*((Projects!$B$2:$B$45&gt;=$B$12)*$B$6+(Projects!$B$2:$B$45&lt;$B$12)*(Projects!$B$2:$B$45&gt;=$B$13)*$B$7+(Projects!$B$2:$B$45&lt;$B$13)*$B$8))</f>
        <v/>
      </c>
      <c r="AX39" s="759">
        <f>SUMPRODUCT((Projects!$G$2:$G$45="Yes")*(46&gt;=Projects!$C$2:$C$45-$B$15)*(46&lt;=Projects!$W$2:$W$45+$B$17)*((Projects!$B$2:$B$45&gt;=$B$12)*$B$6+(Projects!$B$2:$B$45&lt;$B$12)*(Projects!$B$2:$B$45&gt;=$B$13)*$B$7+(Projects!$B$2:$B$45&lt;$B$13)*$B$8))</f>
        <v/>
      </c>
      <c r="AY39" s="759">
        <f>SUMPRODUCT((Projects!$G$2:$G$45="Yes")*(47&gt;=Projects!$C$2:$C$45-$B$15)*(47&lt;=Projects!$W$2:$W$45+$B$17)*((Projects!$B$2:$B$45&gt;=$B$12)*$B$6+(Projects!$B$2:$B$45&lt;$B$12)*(Projects!$B$2:$B$45&gt;=$B$13)*$B$7+(Projects!$B$2:$B$45&lt;$B$13)*$B$8))</f>
        <v/>
      </c>
      <c r="AZ39" s="759">
        <f>SUMPRODUCT((Projects!$G$2:$G$45="Yes")*(48&gt;=Projects!$C$2:$C$45-$B$15)*(48&lt;=Projects!$W$2:$W$45+$B$17)*((Projects!$B$2:$B$45&gt;=$B$12)*$B$6+(Projects!$B$2:$B$45&lt;$B$12)*(Projects!$B$2:$B$45&gt;=$B$13)*$B$7+(Projects!$B$2:$B$45&lt;$B$13)*$B$8))</f>
        <v/>
      </c>
      <c r="BA39" s="759">
        <f>SUMPRODUCT((Projects!$G$2:$G$45="Yes")*(49&gt;=Projects!$C$2:$C$45-$B$15)*(49&lt;=Projects!$W$2:$W$45+$B$17)*((Projects!$B$2:$B$45&gt;=$B$12)*$B$6+(Projects!$B$2:$B$45&lt;$B$12)*(Projects!$B$2:$B$45&gt;=$B$13)*$B$7+(Projects!$B$2:$B$45&lt;$B$13)*$B$8))</f>
        <v/>
      </c>
      <c r="BB39" s="759">
        <f>SUMPRODUCT((Projects!$G$2:$G$45="Yes")*(50&gt;=Projects!$C$2:$C$45-$B$15)*(50&lt;=Projects!$W$2:$W$45+$B$17)*((Projects!$B$2:$B$45&gt;=$B$12)*$B$6+(Projects!$B$2:$B$45&lt;$B$12)*(Projects!$B$2:$B$45&gt;=$B$13)*$B$7+(Projects!$B$2:$B$45&lt;$B$13)*$B$8))</f>
        <v/>
      </c>
      <c r="BC39" s="759">
        <f>SUMPRODUCT((Projects!$G$2:$G$45="Yes")*(51&gt;=Projects!$C$2:$C$45-$B$15)*(51&lt;=Projects!$W$2:$W$45+$B$17)*((Projects!$B$2:$B$45&gt;=$B$12)*$B$6+(Projects!$B$2:$B$45&lt;$B$12)*(Projects!$B$2:$B$45&gt;=$B$13)*$B$7+(Projects!$B$2:$B$45&lt;$B$13)*$B$8))</f>
        <v/>
      </c>
      <c r="BD39" s="759">
        <f>SUMPRODUCT((Projects!$G$2:$G$45="Yes")*(52&gt;=Projects!$C$2:$C$45-$B$15)*(52&lt;=Projects!$W$2:$W$45+$B$17)*((Projects!$B$2:$B$45&gt;=$B$12)*$B$6+(Projects!$B$2:$B$45&lt;$B$12)*(Projects!$B$2:$B$45&gt;=$B$13)*$B$7+(Projects!$B$2:$B$45&lt;$B$13)*$B$8))</f>
        <v/>
      </c>
      <c r="BE39" s="759">
        <f>SUMPRODUCT((Projects!$G$2:$G$45="Yes")*(53&gt;=Projects!$C$2:$C$45-$B$15)*(53&lt;=Projects!$W$2:$W$45+$B$17)*((Projects!$B$2:$B$45&gt;=$B$12)*$B$6+(Projects!$B$2:$B$45&lt;$B$12)*(Projects!$B$2:$B$45&gt;=$B$13)*$B$7+(Projects!$B$2:$B$45&lt;$B$13)*$B$8))</f>
        <v/>
      </c>
      <c r="BF39" s="759">
        <f>SUMPRODUCT((Projects!$G$2:$G$45="Yes")*(54&gt;=Projects!$C$2:$C$45-$B$15)*(54&lt;=Projects!$W$2:$W$45+$B$17)*((Projects!$B$2:$B$45&gt;=$B$12)*$B$6+(Projects!$B$2:$B$45&lt;$B$12)*(Projects!$B$2:$B$45&gt;=$B$13)*$B$7+(Projects!$B$2:$B$45&lt;$B$13)*$B$8))</f>
        <v/>
      </c>
      <c r="BG39" s="759">
        <f>SUMPRODUCT((Projects!$G$2:$G$45="Yes")*(55&gt;=Projects!$C$2:$C$45-$B$15)*(55&lt;=Projects!$W$2:$W$45+$B$17)*((Projects!$B$2:$B$45&gt;=$B$12)*$B$6+(Projects!$B$2:$B$45&lt;$B$12)*(Projects!$B$2:$B$45&gt;=$B$13)*$B$7+(Projects!$B$2:$B$45&lt;$B$13)*$B$8))</f>
        <v/>
      </c>
      <c r="BH39" s="759">
        <f>SUMPRODUCT((Projects!$G$2:$G$45="Yes")*(56&gt;=Projects!$C$2:$C$45-$B$15)*(56&lt;=Projects!$W$2:$W$45+$B$17)*((Projects!$B$2:$B$45&gt;=$B$12)*$B$6+(Projects!$B$2:$B$45&lt;$B$12)*(Projects!$B$2:$B$45&gt;=$B$13)*$B$7+(Projects!$B$2:$B$45&lt;$B$13)*$B$8))</f>
        <v/>
      </c>
      <c r="BI39" s="759">
        <f>SUMPRODUCT((Projects!$G$2:$G$45="Yes")*(57&gt;=Projects!$C$2:$C$45-$B$15)*(57&lt;=Projects!$W$2:$W$45+$B$17)*((Projects!$B$2:$B$45&gt;=$B$12)*$B$6+(Projects!$B$2:$B$45&lt;$B$12)*(Projects!$B$2:$B$45&gt;=$B$13)*$B$7+(Projects!$B$2:$B$45&lt;$B$13)*$B$8))</f>
        <v/>
      </c>
      <c r="BJ39" s="759">
        <f>SUMPRODUCT((Projects!$G$2:$G$45="Yes")*(58&gt;=Projects!$C$2:$C$45-$B$15)*(58&lt;=Projects!$W$2:$W$45+$B$17)*((Projects!$B$2:$B$45&gt;=$B$12)*$B$6+(Projects!$B$2:$B$45&lt;$B$12)*(Projects!$B$2:$B$45&gt;=$B$13)*$B$7+(Projects!$B$2:$B$45&lt;$B$13)*$B$8))</f>
        <v/>
      </c>
      <c r="BK39" s="759">
        <f>SUMPRODUCT((Projects!$G$2:$G$45="Yes")*(59&gt;=Projects!$C$2:$C$45-$B$15)*(59&lt;=Projects!$W$2:$W$45+$B$17)*((Projects!$B$2:$B$45&gt;=$B$12)*$B$6+(Projects!$B$2:$B$45&lt;$B$12)*(Projects!$B$2:$B$45&gt;=$B$13)*$B$7+(Projects!$B$2:$B$45&lt;$B$13)*$B$8))</f>
        <v/>
      </c>
      <c r="BL39" s="759">
        <f>SUMPRODUCT((Projects!$G$2:$G$45="Yes")*(60&gt;=Projects!$C$2:$C$45-$B$15)*(60&lt;=Projects!$W$2:$W$45+$B$17)*((Projects!$B$2:$B$45&gt;=$B$12)*$B$6+(Projects!$B$2:$B$45&lt;$B$12)*(Projects!$B$2:$B$45&gt;=$B$13)*$B$7+(Projects!$B$2:$B$45&lt;$B$13)*$B$8))</f>
        <v/>
      </c>
      <c r="BM39" s="759">
        <f>SUMPRODUCT((Projects!$G$2:$G$45="Yes")*(61&gt;=Projects!$C$2:$C$45-$B$15)*(61&lt;=Projects!$W$2:$W$45+$B$17)*((Projects!$B$2:$B$45&gt;=$B$12)*$B$6+(Projects!$B$2:$B$45&lt;$B$12)*(Projects!$B$2:$B$45&gt;=$B$13)*$B$7+(Projects!$B$2:$B$45&lt;$B$13)*$B$8))</f>
        <v/>
      </c>
      <c r="BN39" s="759">
        <f>SUMPRODUCT((Projects!$G$2:$G$45="Yes")*(62&gt;=Projects!$C$2:$C$45-$B$15)*(62&lt;=Projects!$W$2:$W$45+$B$17)*((Projects!$B$2:$B$45&gt;=$B$12)*$B$6+(Projects!$B$2:$B$45&lt;$B$12)*(Projects!$B$2:$B$45&gt;=$B$13)*$B$7+(Projects!$B$2:$B$45&lt;$B$13)*$B$8))</f>
        <v/>
      </c>
      <c r="BO39" s="759">
        <f>SUMPRODUCT((Projects!$G$2:$G$45="Yes")*(63&gt;=Projects!$C$2:$C$45-$B$15)*(63&lt;=Projects!$W$2:$W$45+$B$17)*((Projects!$B$2:$B$45&gt;=$B$12)*$B$6+(Projects!$B$2:$B$45&lt;$B$12)*(Projects!$B$2:$B$45&gt;=$B$13)*$B$7+(Projects!$B$2:$B$45&lt;$B$13)*$B$8))</f>
        <v/>
      </c>
      <c r="BP39" s="759">
        <f>SUMPRODUCT((Projects!$G$2:$G$45="Yes")*(64&gt;=Projects!$C$2:$C$45-$B$15)*(64&lt;=Projects!$W$2:$W$45+$B$17)*((Projects!$B$2:$B$45&gt;=$B$12)*$B$6+(Projects!$B$2:$B$45&lt;$B$12)*(Projects!$B$2:$B$45&gt;=$B$13)*$B$7+(Projects!$B$2:$B$45&lt;$B$13)*$B$8))</f>
        <v/>
      </c>
      <c r="BQ39" s="759">
        <f>SUMPRODUCT((Projects!$G$2:$G$45="Yes")*(65&gt;=Projects!$C$2:$C$45-$B$15)*(65&lt;=Projects!$W$2:$W$45+$B$17)*((Projects!$B$2:$B$45&gt;=$B$12)*$B$6+(Projects!$B$2:$B$45&lt;$B$12)*(Projects!$B$2:$B$45&gt;=$B$13)*$B$7+(Projects!$B$2:$B$45&lt;$B$13)*$B$8))</f>
        <v/>
      </c>
      <c r="BR39" s="759">
        <f>SUMPRODUCT((Projects!$G$2:$G$45="Yes")*(66&gt;=Projects!$C$2:$C$45-$B$15)*(66&lt;=Projects!$W$2:$W$45+$B$17)*((Projects!$B$2:$B$45&gt;=$B$12)*$B$6+(Projects!$B$2:$B$45&lt;$B$12)*(Projects!$B$2:$B$45&gt;=$B$13)*$B$7+(Projects!$B$2:$B$45&lt;$B$13)*$B$8))</f>
        <v/>
      </c>
      <c r="BS39" s="759">
        <f>SUMPRODUCT((Projects!$G$2:$G$45="Yes")*(67&gt;=Projects!$C$2:$C$45-$B$15)*(67&lt;=Projects!$W$2:$W$45+$B$17)*((Projects!$B$2:$B$45&gt;=$B$12)*$B$6+(Projects!$B$2:$B$45&lt;$B$12)*(Projects!$B$2:$B$45&gt;=$B$13)*$B$7+(Projects!$B$2:$B$45&lt;$B$13)*$B$8))</f>
        <v/>
      </c>
      <c r="BT39" s="759">
        <f>SUMPRODUCT((Projects!$G$2:$G$45="Yes")*(68&gt;=Projects!$C$2:$C$45-$B$15)*(68&lt;=Projects!$W$2:$W$45+$B$17)*((Projects!$B$2:$B$45&gt;=$B$12)*$B$6+(Projects!$B$2:$B$45&lt;$B$12)*(Projects!$B$2:$B$45&gt;=$B$13)*$B$7+(Projects!$B$2:$B$45&lt;$B$13)*$B$8))</f>
        <v/>
      </c>
      <c r="BU39" s="759">
        <f>SUMPRODUCT((Projects!$G$2:$G$45="Yes")*(69&gt;=Projects!$C$2:$C$45-$B$15)*(69&lt;=Projects!$W$2:$W$45+$B$17)*((Projects!$B$2:$B$45&gt;=$B$12)*$B$6+(Projects!$B$2:$B$45&lt;$B$12)*(Projects!$B$2:$B$45&gt;=$B$13)*$B$7+(Projects!$B$2:$B$45&lt;$B$13)*$B$8))</f>
        <v/>
      </c>
      <c r="BV39" s="759">
        <f>SUMPRODUCT((Projects!$G$2:$G$45="Yes")*(70&gt;=Projects!$C$2:$C$45-$B$15)*(70&lt;=Projects!$W$2:$W$45+$B$17)*((Projects!$B$2:$B$45&gt;=$B$12)*$B$6+(Projects!$B$2:$B$45&lt;$B$12)*(Projects!$B$2:$B$45&gt;=$B$13)*$B$7+(Projects!$B$2:$B$45&lt;$B$13)*$B$8))</f>
        <v/>
      </c>
      <c r="BW39" s="759">
        <f>SUMPRODUCT((Projects!$G$2:$G$45="Yes")*(71&gt;=Projects!$C$2:$C$45-$B$15)*(71&lt;=Projects!$W$2:$W$45+$B$17)*((Projects!$B$2:$B$45&gt;=$B$12)*$B$6+(Projects!$B$2:$B$45&lt;$B$12)*(Projects!$B$2:$B$45&gt;=$B$13)*$B$7+(Projects!$B$2:$B$45&lt;$B$13)*$B$8))</f>
        <v/>
      </c>
      <c r="BX39" s="759">
        <f>SUMPRODUCT((Projects!$G$2:$G$45="Yes")*(72&gt;=Projects!$C$2:$C$45-$B$15)*(72&lt;=Projects!$W$2:$W$45+$B$17)*((Projects!$B$2:$B$45&gt;=$B$12)*$B$6+(Projects!$B$2:$B$45&lt;$B$12)*(Projects!$B$2:$B$45&gt;=$B$13)*$B$7+(Projects!$B$2:$B$45&lt;$B$13)*$B$8))</f>
        <v/>
      </c>
      <c r="BY39" s="759">
        <f>SUMPRODUCT((Projects!$G$2:$G$45="Yes")*(73&gt;=Projects!$C$2:$C$45-$B$15)*(73&lt;=Projects!$W$2:$W$45+$B$17)*((Projects!$B$2:$B$45&gt;=$B$12)*$B$6+(Projects!$B$2:$B$45&lt;$B$12)*(Projects!$B$2:$B$45&gt;=$B$13)*$B$7+(Projects!$B$2:$B$45&lt;$B$13)*$B$8))</f>
        <v/>
      </c>
      <c r="BZ39" s="759">
        <f>SUMPRODUCT((Projects!$G$2:$G$45="Yes")*(74&gt;=Projects!$C$2:$C$45-$B$15)*(74&lt;=Projects!$W$2:$W$45+$B$17)*((Projects!$B$2:$B$45&gt;=$B$12)*$B$6+(Projects!$B$2:$B$45&lt;$B$12)*(Projects!$B$2:$B$45&gt;=$B$13)*$B$7+(Projects!$B$2:$B$45&lt;$B$13)*$B$8))</f>
        <v/>
      </c>
      <c r="CA39" s="759">
        <f>SUMPRODUCT((Projects!$G$2:$G$45="Yes")*(75&gt;=Projects!$C$2:$C$45-$B$15)*(75&lt;=Projects!$W$2:$W$45+$B$17)*((Projects!$B$2:$B$45&gt;=$B$12)*$B$6+(Projects!$B$2:$B$45&lt;$B$12)*(Projects!$B$2:$B$45&gt;=$B$13)*$B$7+(Projects!$B$2:$B$45&lt;$B$13)*$B$8))</f>
        <v/>
      </c>
      <c r="CB39" s="759">
        <f>SUMPRODUCT((Projects!$G$2:$G$45="Yes")*(76&gt;=Projects!$C$2:$C$45-$B$15)*(76&lt;=Projects!$W$2:$W$45+$B$17)*((Projects!$B$2:$B$45&gt;=$B$12)*$B$6+(Projects!$B$2:$B$45&lt;$B$12)*(Projects!$B$2:$B$45&gt;=$B$13)*$B$7+(Projects!$B$2:$B$45&lt;$B$13)*$B$8))</f>
        <v/>
      </c>
      <c r="CC39" s="759">
        <f>SUMPRODUCT((Projects!$G$2:$G$45="Yes")*(77&gt;=Projects!$C$2:$C$45-$B$15)*(77&lt;=Projects!$W$2:$W$45+$B$17)*((Projects!$B$2:$B$45&gt;=$B$12)*$B$6+(Projects!$B$2:$B$45&lt;$B$12)*(Projects!$B$2:$B$45&gt;=$B$13)*$B$7+(Projects!$B$2:$B$45&lt;$B$13)*$B$8))</f>
        <v/>
      </c>
      <c r="CD39" s="759">
        <f>SUMPRODUCT((Projects!$G$2:$G$45="Yes")*(78&gt;=Projects!$C$2:$C$45-$B$15)*(78&lt;=Projects!$W$2:$W$45+$B$17)*((Projects!$B$2:$B$45&gt;=$B$12)*$B$6+(Projects!$B$2:$B$45&lt;$B$12)*(Projects!$B$2:$B$45&gt;=$B$13)*$B$7+(Projects!$B$2:$B$45&lt;$B$13)*$B$8))</f>
        <v/>
      </c>
      <c r="CE39" s="759">
        <f>SUMPRODUCT((Projects!$G$2:$G$45="Yes")*(79&gt;=Projects!$C$2:$C$45-$B$15)*(79&lt;=Projects!$W$2:$W$45+$B$17)*((Projects!$B$2:$B$45&gt;=$B$12)*$B$6+(Projects!$B$2:$B$45&lt;$B$12)*(Projects!$B$2:$B$45&gt;=$B$13)*$B$7+(Projects!$B$2:$B$45&lt;$B$13)*$B$8))</f>
        <v/>
      </c>
      <c r="CF39" s="759">
        <f>SUMPRODUCT((Projects!$G$2:$G$45="Yes")*(80&gt;=Projects!$C$2:$C$45-$B$15)*(80&lt;=Projects!$W$2:$W$45+$B$17)*((Projects!$B$2:$B$45&gt;=$B$12)*$B$6+(Projects!$B$2:$B$45&lt;$B$12)*(Projects!$B$2:$B$45&gt;=$B$13)*$B$7+(Projects!$B$2:$B$45&lt;$B$13)*$B$8))</f>
        <v/>
      </c>
      <c r="CG39" s="759">
        <f>SUMPRODUCT((Projects!$G$2:$G$45="Yes")*(81&gt;=Projects!$C$2:$C$45-$B$15)*(81&lt;=Projects!$W$2:$W$45+$B$17)*((Projects!$B$2:$B$45&gt;=$B$12)*$B$6+(Projects!$B$2:$B$45&lt;$B$12)*(Projects!$B$2:$B$45&gt;=$B$13)*$B$7+(Projects!$B$2:$B$45&lt;$B$13)*$B$8))</f>
        <v/>
      </c>
      <c r="CH39" s="759">
        <f>SUMPRODUCT((Projects!$G$2:$G$45="Yes")*(82&gt;=Projects!$C$2:$C$45-$B$15)*(82&lt;=Projects!$W$2:$W$45+$B$17)*((Projects!$B$2:$B$45&gt;=$B$12)*$B$6+(Projects!$B$2:$B$45&lt;$B$12)*(Projects!$B$2:$B$45&gt;=$B$13)*$B$7+(Projects!$B$2:$B$45&lt;$B$13)*$B$8))</f>
        <v/>
      </c>
      <c r="CI39" s="759">
        <f>SUMPRODUCT((Projects!$G$2:$G$45="Yes")*(83&gt;=Projects!$C$2:$C$45-$B$15)*(83&lt;=Projects!$W$2:$W$45+$B$17)*((Projects!$B$2:$B$45&gt;=$B$12)*$B$6+(Projects!$B$2:$B$45&lt;$B$12)*(Projects!$B$2:$B$45&gt;=$B$13)*$B$7+(Projects!$B$2:$B$45&lt;$B$13)*$B$8))</f>
        <v/>
      </c>
      <c r="CJ39" s="759">
        <f>SUMPRODUCT((Projects!$G$2:$G$45="Yes")*(84&gt;=Projects!$C$2:$C$45-$B$15)*(84&lt;=Projects!$W$2:$W$45+$B$17)*((Projects!$B$2:$B$45&gt;=$B$12)*$B$6+(Projects!$B$2:$B$45&lt;$B$12)*(Projects!$B$2:$B$45&gt;=$B$13)*$B$7+(Projects!$B$2:$B$45&lt;$B$13)*$B$8))</f>
        <v/>
      </c>
      <c r="CK39" s="759">
        <f>SUMPRODUCT((Projects!$G$2:$G$45="Yes")*(85&gt;=Projects!$C$2:$C$45-$B$15)*(85&lt;=Projects!$W$2:$W$45+$B$17)*((Projects!$B$2:$B$45&gt;=$B$12)*$B$6+(Projects!$B$2:$B$45&lt;$B$12)*(Projects!$B$2:$B$45&gt;=$B$13)*$B$7+(Projects!$B$2:$B$45&lt;$B$13)*$B$8))</f>
        <v/>
      </c>
      <c r="CL39" s="759">
        <f>SUMPRODUCT((Projects!$G$2:$G$45="Yes")*(86&gt;=Projects!$C$2:$C$45-$B$15)*(86&lt;=Projects!$W$2:$W$45+$B$17)*((Projects!$B$2:$B$45&gt;=$B$12)*$B$6+(Projects!$B$2:$B$45&lt;$B$12)*(Projects!$B$2:$B$45&gt;=$B$13)*$B$7+(Projects!$B$2:$B$45&lt;$B$13)*$B$8))</f>
        <v/>
      </c>
      <c r="CM39" s="759">
        <f>SUMPRODUCT((Projects!$G$2:$G$45="Yes")*(87&gt;=Projects!$C$2:$C$45-$B$15)*(87&lt;=Projects!$W$2:$W$45+$B$17)*((Projects!$B$2:$B$45&gt;=$B$12)*$B$6+(Projects!$B$2:$B$45&lt;$B$12)*(Projects!$B$2:$B$45&gt;=$B$13)*$B$7+(Projects!$B$2:$B$45&lt;$B$13)*$B$8))</f>
        <v/>
      </c>
      <c r="CN39" s="759">
        <f>SUMPRODUCT((Projects!$G$2:$G$45="Yes")*(88&gt;=Projects!$C$2:$C$45-$B$15)*(88&lt;=Projects!$W$2:$W$45+$B$17)*((Projects!$B$2:$B$45&gt;=$B$12)*$B$6+(Projects!$B$2:$B$45&lt;$B$12)*(Projects!$B$2:$B$45&gt;=$B$13)*$B$7+(Projects!$B$2:$B$45&lt;$B$13)*$B$8))</f>
        <v/>
      </c>
      <c r="CO39" s="759">
        <f>SUMPRODUCT((Projects!$G$2:$G$45="Yes")*(89&gt;=Projects!$C$2:$C$45-$B$15)*(89&lt;=Projects!$W$2:$W$45+$B$17)*((Projects!$B$2:$B$45&gt;=$B$12)*$B$6+(Projects!$B$2:$B$45&lt;$B$12)*(Projects!$B$2:$B$45&gt;=$B$13)*$B$7+(Projects!$B$2:$B$45&lt;$B$13)*$B$8))</f>
        <v/>
      </c>
      <c r="CP39" s="759">
        <f>SUMPRODUCT((Projects!$G$2:$G$45="Yes")*(90&gt;=Projects!$C$2:$C$45-$B$15)*(90&lt;=Projects!$W$2:$W$45+$B$17)*((Projects!$B$2:$B$45&gt;=$B$12)*$B$6+(Projects!$B$2:$B$45&lt;$B$12)*(Projects!$B$2:$B$45&gt;=$B$13)*$B$7+(Projects!$B$2:$B$45&lt;$B$13)*$B$8))</f>
        <v/>
      </c>
      <c r="CQ39" s="759">
        <f>SUMPRODUCT((Projects!$G$2:$G$45="Yes")*(91&gt;=Projects!$C$2:$C$45-$B$15)*(91&lt;=Projects!$W$2:$W$45+$B$17)*((Projects!$B$2:$B$45&gt;=$B$12)*$B$6+(Projects!$B$2:$B$45&lt;$B$12)*(Projects!$B$2:$B$45&gt;=$B$13)*$B$7+(Projects!$B$2:$B$45&lt;$B$13)*$B$8))</f>
        <v/>
      </c>
      <c r="CR39" s="759">
        <f>SUMPRODUCT((Projects!$G$2:$G$45="Yes")*(92&gt;=Projects!$C$2:$C$45-$B$15)*(92&lt;=Projects!$W$2:$W$45+$B$17)*((Projects!$B$2:$B$45&gt;=$B$12)*$B$6+(Projects!$B$2:$B$45&lt;$B$12)*(Projects!$B$2:$B$45&gt;=$B$13)*$B$7+(Projects!$B$2:$B$45&lt;$B$13)*$B$8))</f>
        <v/>
      </c>
      <c r="CS39" s="759">
        <f>SUMPRODUCT((Projects!$G$2:$G$45="Yes")*(93&gt;=Projects!$C$2:$C$45-$B$15)*(93&lt;=Projects!$W$2:$W$45+$B$17)*((Projects!$B$2:$B$45&gt;=$B$12)*$B$6+(Projects!$B$2:$B$45&lt;$B$12)*(Projects!$B$2:$B$45&gt;=$B$13)*$B$7+(Projects!$B$2:$B$45&lt;$B$13)*$B$8))</f>
        <v/>
      </c>
      <c r="CT39" s="759">
        <f>SUMPRODUCT((Projects!$G$2:$G$45="Yes")*(94&gt;=Projects!$C$2:$C$45-$B$15)*(94&lt;=Projects!$W$2:$W$45+$B$17)*((Projects!$B$2:$B$45&gt;=$B$12)*$B$6+(Projects!$B$2:$B$45&lt;$B$12)*(Projects!$B$2:$B$45&gt;=$B$13)*$B$7+(Projects!$B$2:$B$45&lt;$B$13)*$B$8))</f>
        <v/>
      </c>
      <c r="CU39" s="759">
        <f>SUMPRODUCT((Projects!$G$2:$G$45="Yes")*(95&gt;=Projects!$C$2:$C$45-$B$15)*(95&lt;=Projects!$W$2:$W$45+$B$17)*((Projects!$B$2:$B$45&gt;=$B$12)*$B$6+(Projects!$B$2:$B$45&lt;$B$12)*(Projects!$B$2:$B$45&gt;=$B$13)*$B$7+(Projects!$B$2:$B$45&lt;$B$13)*$B$8))</f>
        <v/>
      </c>
      <c r="CV39" s="759">
        <f>SUMPRODUCT((Projects!$G$2:$G$45="Yes")*(96&gt;=Projects!$C$2:$C$45-$B$15)*(96&lt;=Projects!$W$2:$W$45+$B$17)*((Projects!$B$2:$B$45&gt;=$B$12)*$B$6+(Projects!$B$2:$B$45&lt;$B$12)*(Projects!$B$2:$B$45&gt;=$B$13)*$B$7+(Projects!$B$2:$B$45&lt;$B$13)*$B$8))</f>
        <v/>
      </c>
      <c r="CW39" s="759">
        <f>SUMPRODUCT((Projects!$G$2:$G$45="Yes")*(97&gt;=Projects!$C$2:$C$45-$B$15)*(97&lt;=Projects!$W$2:$W$45+$B$17)*((Projects!$B$2:$B$45&gt;=$B$12)*$B$6+(Projects!$B$2:$B$45&lt;$B$12)*(Projects!$B$2:$B$45&gt;=$B$13)*$B$7+(Projects!$B$2:$B$45&lt;$B$13)*$B$8))</f>
        <v/>
      </c>
      <c r="CX39" s="759">
        <f>SUMPRODUCT((Projects!$G$2:$G$45="Yes")*(98&gt;=Projects!$C$2:$C$45-$B$15)*(98&lt;=Projects!$W$2:$W$45+$B$17)*((Projects!$B$2:$B$45&gt;=$B$12)*$B$6+(Projects!$B$2:$B$45&lt;$B$12)*(Projects!$B$2:$B$45&gt;=$B$13)*$B$7+(Projects!$B$2:$B$45&lt;$B$13)*$B$8))</f>
        <v/>
      </c>
      <c r="CY39" s="759">
        <f>SUMPRODUCT((Projects!$G$2:$G$45="Yes")*(99&gt;=Projects!$C$2:$C$45-$B$15)*(99&lt;=Projects!$W$2:$W$45+$B$17)*((Projects!$B$2:$B$45&gt;=$B$12)*$B$6+(Projects!$B$2:$B$45&lt;$B$12)*(Projects!$B$2:$B$45&gt;=$B$13)*$B$7+(Projects!$B$2:$B$45&lt;$B$13)*$B$8))</f>
        <v/>
      </c>
      <c r="CZ39" s="759">
        <f>SUMPRODUCT((Projects!$G$2:$G$45="Yes")*(100&gt;=Projects!$C$2:$C$45-$B$15)*(100&lt;=Projects!$W$2:$W$45+$B$17)*((Projects!$B$2:$B$45&gt;=$B$12)*$B$6+(Projects!$B$2:$B$45&lt;$B$12)*(Projects!$B$2:$B$45&gt;=$B$13)*$B$7+(Projects!$B$2:$B$45&lt;$B$13)*$B$8))</f>
        <v/>
      </c>
      <c r="DA39" s="759">
        <f>SUMPRODUCT((Projects!$G$2:$G$45="Yes")*(101&gt;=Projects!$C$2:$C$45-$B$15)*(101&lt;=Projects!$W$2:$W$45+$B$17)*((Projects!$B$2:$B$45&gt;=$B$12)*$B$6+(Projects!$B$2:$B$45&lt;$B$12)*(Projects!$B$2:$B$45&gt;=$B$13)*$B$7+(Projects!$B$2:$B$45&lt;$B$13)*$B$8))</f>
        <v/>
      </c>
      <c r="DB39" s="759">
        <f>SUMPRODUCT((Projects!$G$2:$G$45="Yes")*(102&gt;=Projects!$C$2:$C$45-$B$15)*(102&lt;=Projects!$W$2:$W$45+$B$17)*((Projects!$B$2:$B$45&gt;=$B$12)*$B$6+(Projects!$B$2:$B$45&lt;$B$12)*(Projects!$B$2:$B$45&gt;=$B$13)*$B$7+(Projects!$B$2:$B$45&lt;$B$13)*$B$8))</f>
        <v/>
      </c>
      <c r="DC39" s="759">
        <f>SUMPRODUCT((Projects!$G$2:$G$45="Yes")*(103&gt;=Projects!$C$2:$C$45-$B$15)*(103&lt;=Projects!$W$2:$W$45+$B$17)*((Projects!$B$2:$B$45&gt;=$B$12)*$B$6+(Projects!$B$2:$B$45&lt;$B$12)*(Projects!$B$2:$B$45&gt;=$B$13)*$B$7+(Projects!$B$2:$B$45&lt;$B$13)*$B$8))</f>
        <v/>
      </c>
      <c r="DD39" s="759">
        <f>SUMPRODUCT((Projects!$G$2:$G$45="Yes")*(104&gt;=Projects!$C$2:$C$45-$B$15)*(104&lt;=Projects!$W$2:$W$45+$B$17)*((Projects!$B$2:$B$45&gt;=$B$12)*$B$6+(Projects!$B$2:$B$45&lt;$B$12)*(Projects!$B$2:$B$45&gt;=$B$13)*$B$7+(Projects!$B$2:$B$45&lt;$B$13)*$B$8))</f>
        <v/>
      </c>
      <c r="DE39" s="759">
        <f>SUMPRODUCT((Projects!$G$2:$G$45="Yes")*(105&gt;=Projects!$C$2:$C$45-$B$15)*(105&lt;=Projects!$W$2:$W$45+$B$17)*((Projects!$B$2:$B$45&gt;=$B$12)*$B$6+(Projects!$B$2:$B$45&lt;$B$12)*(Projects!$B$2:$B$45&gt;=$B$13)*$B$7+(Projects!$B$2:$B$45&lt;$B$13)*$B$8))</f>
        <v/>
      </c>
    </row>
    <row r="40">
      <c r="A40" s="586" t="inlineStr">
        <is>
          <t>PMs required</t>
        </is>
      </c>
      <c r="E40" s="759">
        <f>SUMPRODUCT((Projects!$G$2:$G$45="Yes")*(1&gt;=Projects!$C$2:$C$45-$B$16)*(1&lt;=Projects!$W$2:$W$45+$B$17)*((Projects!$B$2:$B$45&gt;=$B$12)*$B$9+(Projects!$B$2:$B$45&lt;$B$12)*(Projects!$B$2:$B$45&gt;=$B$13)*$B$10+(Projects!$B$2:$B$45&lt;$B$13)*$B$11))</f>
        <v/>
      </c>
      <c r="F40" s="759">
        <f>SUMPRODUCT((Projects!$G$2:$G$45="Yes")*(2&gt;=Projects!$C$2:$C$45-$B$16)*(2&lt;=Projects!$W$2:$W$45+$B$17)*((Projects!$B$2:$B$45&gt;=$B$12)*$B$9+(Projects!$B$2:$B$45&lt;$B$12)*(Projects!$B$2:$B$45&gt;=$B$13)*$B$10+(Projects!$B$2:$B$45&lt;$B$13)*$B$11))</f>
        <v/>
      </c>
      <c r="G40" s="759">
        <f>SUMPRODUCT((Projects!$G$2:$G$45="Yes")*(3&gt;=Projects!$C$2:$C$45-$B$16)*(3&lt;=Projects!$W$2:$W$45+$B$17)*((Projects!$B$2:$B$45&gt;=$B$12)*$B$9+(Projects!$B$2:$B$45&lt;$B$12)*(Projects!$B$2:$B$45&gt;=$B$13)*$B$10+(Projects!$B$2:$B$45&lt;$B$13)*$B$11))</f>
        <v/>
      </c>
      <c r="H40" s="759">
        <f>SUMPRODUCT((Projects!$G$2:$G$45="Yes")*(4&gt;=Projects!$C$2:$C$45-$B$16)*(4&lt;=Projects!$W$2:$W$45+$B$17)*((Projects!$B$2:$B$45&gt;=$B$12)*$B$9+(Projects!$B$2:$B$45&lt;$B$12)*(Projects!$B$2:$B$45&gt;=$B$13)*$B$10+(Projects!$B$2:$B$45&lt;$B$13)*$B$11))</f>
        <v/>
      </c>
      <c r="I40" s="759">
        <f>SUMPRODUCT((Projects!$G$2:$G$45="Yes")*(5&gt;=Projects!$C$2:$C$45-$B$16)*(5&lt;=Projects!$W$2:$W$45+$B$17)*((Projects!$B$2:$B$45&gt;=$B$12)*$B$9+(Projects!$B$2:$B$45&lt;$B$12)*(Projects!$B$2:$B$45&gt;=$B$13)*$B$10+(Projects!$B$2:$B$45&lt;$B$13)*$B$11))</f>
        <v/>
      </c>
      <c r="J40" s="759">
        <f>SUMPRODUCT((Projects!$G$2:$G$45="Yes")*(6&gt;=Projects!$C$2:$C$45-$B$16)*(6&lt;=Projects!$W$2:$W$45+$B$17)*((Projects!$B$2:$B$45&gt;=$B$12)*$B$9+(Projects!$B$2:$B$45&lt;$B$12)*(Projects!$B$2:$B$45&gt;=$B$13)*$B$10+(Projects!$B$2:$B$45&lt;$B$13)*$B$11))</f>
        <v/>
      </c>
      <c r="K40" s="759">
        <f>SUMPRODUCT((Projects!$G$2:$G$45="Yes")*(7&gt;=Projects!$C$2:$C$45-$B$16)*(7&lt;=Projects!$W$2:$W$45+$B$17)*((Projects!$B$2:$B$45&gt;=$B$12)*$B$9+(Projects!$B$2:$B$45&lt;$B$12)*(Projects!$B$2:$B$45&gt;=$B$13)*$B$10+(Projects!$B$2:$B$45&lt;$B$13)*$B$11))</f>
        <v/>
      </c>
      <c r="L40" s="759">
        <f>SUMPRODUCT((Projects!$G$2:$G$45="Yes")*(8&gt;=Projects!$C$2:$C$45-$B$16)*(8&lt;=Projects!$W$2:$W$45+$B$17)*((Projects!$B$2:$B$45&gt;=$B$12)*$B$9+(Projects!$B$2:$B$45&lt;$B$12)*(Projects!$B$2:$B$45&gt;=$B$13)*$B$10+(Projects!$B$2:$B$45&lt;$B$13)*$B$11))</f>
        <v/>
      </c>
      <c r="M40" s="759">
        <f>SUMPRODUCT((Projects!$G$2:$G$45="Yes")*(9&gt;=Projects!$C$2:$C$45-$B$16)*(9&lt;=Projects!$W$2:$W$45+$B$17)*((Projects!$B$2:$B$45&gt;=$B$12)*$B$9+(Projects!$B$2:$B$45&lt;$B$12)*(Projects!$B$2:$B$45&gt;=$B$13)*$B$10+(Projects!$B$2:$B$45&lt;$B$13)*$B$11))</f>
        <v/>
      </c>
      <c r="N40" s="759">
        <f>SUMPRODUCT((Projects!$G$2:$G$45="Yes")*(10&gt;=Projects!$C$2:$C$45-$B$16)*(10&lt;=Projects!$W$2:$W$45+$B$17)*((Projects!$B$2:$B$45&gt;=$B$12)*$B$9+(Projects!$B$2:$B$45&lt;$B$12)*(Projects!$B$2:$B$45&gt;=$B$13)*$B$10+(Projects!$B$2:$B$45&lt;$B$13)*$B$11))</f>
        <v/>
      </c>
      <c r="O40" s="759">
        <f>SUMPRODUCT((Projects!$G$2:$G$45="Yes")*(11&gt;=Projects!$C$2:$C$45-$B$16)*(11&lt;=Projects!$W$2:$W$45+$B$17)*((Projects!$B$2:$B$45&gt;=$B$12)*$B$9+(Projects!$B$2:$B$45&lt;$B$12)*(Projects!$B$2:$B$45&gt;=$B$13)*$B$10+(Projects!$B$2:$B$45&lt;$B$13)*$B$11))</f>
        <v/>
      </c>
      <c r="P40" s="759">
        <f>SUMPRODUCT((Projects!$G$2:$G$45="Yes")*(12&gt;=Projects!$C$2:$C$45-$B$16)*(12&lt;=Projects!$W$2:$W$45+$B$17)*((Projects!$B$2:$B$45&gt;=$B$12)*$B$9+(Projects!$B$2:$B$45&lt;$B$12)*(Projects!$B$2:$B$45&gt;=$B$13)*$B$10+(Projects!$B$2:$B$45&lt;$B$13)*$B$11))</f>
        <v/>
      </c>
      <c r="Q40" s="759">
        <f>SUMPRODUCT((Projects!$G$2:$G$45="Yes")*(13&gt;=Projects!$C$2:$C$45-$B$16)*(13&lt;=Projects!$W$2:$W$45+$B$17)*((Projects!$B$2:$B$45&gt;=$B$12)*$B$9+(Projects!$B$2:$B$45&lt;$B$12)*(Projects!$B$2:$B$45&gt;=$B$13)*$B$10+(Projects!$B$2:$B$45&lt;$B$13)*$B$11))</f>
        <v/>
      </c>
      <c r="R40" s="759">
        <f>SUMPRODUCT((Projects!$G$2:$G$45="Yes")*(14&gt;=Projects!$C$2:$C$45-$B$16)*(14&lt;=Projects!$W$2:$W$45+$B$17)*((Projects!$B$2:$B$45&gt;=$B$12)*$B$9+(Projects!$B$2:$B$45&lt;$B$12)*(Projects!$B$2:$B$45&gt;=$B$13)*$B$10+(Projects!$B$2:$B$45&lt;$B$13)*$B$11))</f>
        <v/>
      </c>
      <c r="S40" s="759">
        <f>SUMPRODUCT((Projects!$G$2:$G$45="Yes")*(15&gt;=Projects!$C$2:$C$45-$B$16)*(15&lt;=Projects!$W$2:$W$45+$B$17)*((Projects!$B$2:$B$45&gt;=$B$12)*$B$9+(Projects!$B$2:$B$45&lt;$B$12)*(Projects!$B$2:$B$45&gt;=$B$13)*$B$10+(Projects!$B$2:$B$45&lt;$B$13)*$B$11))</f>
        <v/>
      </c>
      <c r="T40" s="759">
        <f>SUMPRODUCT((Projects!$G$2:$G$45="Yes")*(16&gt;=Projects!$C$2:$C$45-$B$16)*(16&lt;=Projects!$W$2:$W$45+$B$17)*((Projects!$B$2:$B$45&gt;=$B$12)*$B$9+(Projects!$B$2:$B$45&lt;$B$12)*(Projects!$B$2:$B$45&gt;=$B$13)*$B$10+(Projects!$B$2:$B$45&lt;$B$13)*$B$11))</f>
        <v/>
      </c>
      <c r="U40" s="759">
        <f>SUMPRODUCT((Projects!$G$2:$G$45="Yes")*(17&gt;=Projects!$C$2:$C$45-$B$16)*(17&lt;=Projects!$W$2:$W$45+$B$17)*((Projects!$B$2:$B$45&gt;=$B$12)*$B$9+(Projects!$B$2:$B$45&lt;$B$12)*(Projects!$B$2:$B$45&gt;=$B$13)*$B$10+(Projects!$B$2:$B$45&lt;$B$13)*$B$11))</f>
        <v/>
      </c>
      <c r="V40" s="759">
        <f>SUMPRODUCT((Projects!$G$2:$G$45="Yes")*(18&gt;=Projects!$C$2:$C$45-$B$16)*(18&lt;=Projects!$W$2:$W$45+$B$17)*((Projects!$B$2:$B$45&gt;=$B$12)*$B$9+(Projects!$B$2:$B$45&lt;$B$12)*(Projects!$B$2:$B$45&gt;=$B$13)*$B$10+(Projects!$B$2:$B$45&lt;$B$13)*$B$11))</f>
        <v/>
      </c>
      <c r="W40" s="759">
        <f>SUMPRODUCT((Projects!$G$2:$G$45="Yes")*(19&gt;=Projects!$C$2:$C$45-$B$16)*(19&lt;=Projects!$W$2:$W$45+$B$17)*((Projects!$B$2:$B$45&gt;=$B$12)*$B$9+(Projects!$B$2:$B$45&lt;$B$12)*(Projects!$B$2:$B$45&gt;=$B$13)*$B$10+(Projects!$B$2:$B$45&lt;$B$13)*$B$11))</f>
        <v/>
      </c>
      <c r="X40" s="759">
        <f>SUMPRODUCT((Projects!$G$2:$G$45="Yes")*(20&gt;=Projects!$C$2:$C$45-$B$16)*(20&lt;=Projects!$W$2:$W$45+$B$17)*((Projects!$B$2:$B$45&gt;=$B$12)*$B$9+(Projects!$B$2:$B$45&lt;$B$12)*(Projects!$B$2:$B$45&gt;=$B$13)*$B$10+(Projects!$B$2:$B$45&lt;$B$13)*$B$11))</f>
        <v/>
      </c>
      <c r="Y40" s="759">
        <f>SUMPRODUCT((Projects!$G$2:$G$45="Yes")*(21&gt;=Projects!$C$2:$C$45-$B$16)*(21&lt;=Projects!$W$2:$W$45+$B$17)*((Projects!$B$2:$B$45&gt;=$B$12)*$B$9+(Projects!$B$2:$B$45&lt;$B$12)*(Projects!$B$2:$B$45&gt;=$B$13)*$B$10+(Projects!$B$2:$B$45&lt;$B$13)*$B$11))</f>
        <v/>
      </c>
      <c r="Z40" s="759">
        <f>SUMPRODUCT((Projects!$G$2:$G$45="Yes")*(22&gt;=Projects!$C$2:$C$45-$B$16)*(22&lt;=Projects!$W$2:$W$45+$B$17)*((Projects!$B$2:$B$45&gt;=$B$12)*$B$9+(Projects!$B$2:$B$45&lt;$B$12)*(Projects!$B$2:$B$45&gt;=$B$13)*$B$10+(Projects!$B$2:$B$45&lt;$B$13)*$B$11))</f>
        <v/>
      </c>
      <c r="AA40" s="759">
        <f>SUMPRODUCT((Projects!$G$2:$G$45="Yes")*(23&gt;=Projects!$C$2:$C$45-$B$16)*(23&lt;=Projects!$W$2:$W$45+$B$17)*((Projects!$B$2:$B$45&gt;=$B$12)*$B$9+(Projects!$B$2:$B$45&lt;$B$12)*(Projects!$B$2:$B$45&gt;=$B$13)*$B$10+(Projects!$B$2:$B$45&lt;$B$13)*$B$11))</f>
        <v/>
      </c>
      <c r="AB40" s="759">
        <f>SUMPRODUCT((Projects!$G$2:$G$45="Yes")*(24&gt;=Projects!$C$2:$C$45-$B$16)*(24&lt;=Projects!$W$2:$W$45+$B$17)*((Projects!$B$2:$B$45&gt;=$B$12)*$B$9+(Projects!$B$2:$B$45&lt;$B$12)*(Projects!$B$2:$B$45&gt;=$B$13)*$B$10+(Projects!$B$2:$B$45&lt;$B$13)*$B$11))</f>
        <v/>
      </c>
      <c r="AC40" s="759">
        <f>SUMPRODUCT((Projects!$G$2:$G$45="Yes")*(25&gt;=Projects!$C$2:$C$45-$B$16)*(25&lt;=Projects!$W$2:$W$45+$B$17)*((Projects!$B$2:$B$45&gt;=$B$12)*$B$9+(Projects!$B$2:$B$45&lt;$B$12)*(Projects!$B$2:$B$45&gt;=$B$13)*$B$10+(Projects!$B$2:$B$45&lt;$B$13)*$B$11))</f>
        <v/>
      </c>
      <c r="AD40" s="759">
        <f>SUMPRODUCT((Projects!$G$2:$G$45="Yes")*(26&gt;=Projects!$C$2:$C$45-$B$16)*(26&lt;=Projects!$W$2:$W$45+$B$17)*((Projects!$B$2:$B$45&gt;=$B$12)*$B$9+(Projects!$B$2:$B$45&lt;$B$12)*(Projects!$B$2:$B$45&gt;=$B$13)*$B$10+(Projects!$B$2:$B$45&lt;$B$13)*$B$11))</f>
        <v/>
      </c>
      <c r="AE40" s="759">
        <f>SUMPRODUCT((Projects!$G$2:$G$45="Yes")*(27&gt;=Projects!$C$2:$C$45-$B$16)*(27&lt;=Projects!$W$2:$W$45+$B$17)*((Projects!$B$2:$B$45&gt;=$B$12)*$B$9+(Projects!$B$2:$B$45&lt;$B$12)*(Projects!$B$2:$B$45&gt;=$B$13)*$B$10+(Projects!$B$2:$B$45&lt;$B$13)*$B$11))</f>
        <v/>
      </c>
      <c r="AF40" s="759">
        <f>SUMPRODUCT((Projects!$G$2:$G$45="Yes")*(28&gt;=Projects!$C$2:$C$45-$B$16)*(28&lt;=Projects!$W$2:$W$45+$B$17)*((Projects!$B$2:$B$45&gt;=$B$12)*$B$9+(Projects!$B$2:$B$45&lt;$B$12)*(Projects!$B$2:$B$45&gt;=$B$13)*$B$10+(Projects!$B$2:$B$45&lt;$B$13)*$B$11))</f>
        <v/>
      </c>
      <c r="AG40" s="759">
        <f>SUMPRODUCT((Projects!$G$2:$G$45="Yes")*(29&gt;=Projects!$C$2:$C$45-$B$16)*(29&lt;=Projects!$W$2:$W$45+$B$17)*((Projects!$B$2:$B$45&gt;=$B$12)*$B$9+(Projects!$B$2:$B$45&lt;$B$12)*(Projects!$B$2:$B$45&gt;=$B$13)*$B$10+(Projects!$B$2:$B$45&lt;$B$13)*$B$11))</f>
        <v/>
      </c>
      <c r="AH40" s="759">
        <f>SUMPRODUCT((Projects!$G$2:$G$45="Yes")*(30&gt;=Projects!$C$2:$C$45-$B$16)*(30&lt;=Projects!$W$2:$W$45+$B$17)*((Projects!$B$2:$B$45&gt;=$B$12)*$B$9+(Projects!$B$2:$B$45&lt;$B$12)*(Projects!$B$2:$B$45&gt;=$B$13)*$B$10+(Projects!$B$2:$B$45&lt;$B$13)*$B$11))</f>
        <v/>
      </c>
      <c r="AI40" s="759">
        <f>SUMPRODUCT((Projects!$G$2:$G$45="Yes")*(31&gt;=Projects!$C$2:$C$45-$B$16)*(31&lt;=Projects!$W$2:$W$45+$B$17)*((Projects!$B$2:$B$45&gt;=$B$12)*$B$9+(Projects!$B$2:$B$45&lt;$B$12)*(Projects!$B$2:$B$45&gt;=$B$13)*$B$10+(Projects!$B$2:$B$45&lt;$B$13)*$B$11))</f>
        <v/>
      </c>
      <c r="AJ40" s="759">
        <f>SUMPRODUCT((Projects!$G$2:$G$45="Yes")*(32&gt;=Projects!$C$2:$C$45-$B$16)*(32&lt;=Projects!$W$2:$W$45+$B$17)*((Projects!$B$2:$B$45&gt;=$B$12)*$B$9+(Projects!$B$2:$B$45&lt;$B$12)*(Projects!$B$2:$B$45&gt;=$B$13)*$B$10+(Projects!$B$2:$B$45&lt;$B$13)*$B$11))</f>
        <v/>
      </c>
      <c r="AK40" s="759">
        <f>SUMPRODUCT((Projects!$G$2:$G$45="Yes")*(33&gt;=Projects!$C$2:$C$45-$B$16)*(33&lt;=Projects!$W$2:$W$45+$B$17)*((Projects!$B$2:$B$45&gt;=$B$12)*$B$9+(Projects!$B$2:$B$45&lt;$B$12)*(Projects!$B$2:$B$45&gt;=$B$13)*$B$10+(Projects!$B$2:$B$45&lt;$B$13)*$B$11))</f>
        <v/>
      </c>
      <c r="AL40" s="759">
        <f>SUMPRODUCT((Projects!$G$2:$G$45="Yes")*(34&gt;=Projects!$C$2:$C$45-$B$16)*(34&lt;=Projects!$W$2:$W$45+$B$17)*((Projects!$B$2:$B$45&gt;=$B$12)*$B$9+(Projects!$B$2:$B$45&lt;$B$12)*(Projects!$B$2:$B$45&gt;=$B$13)*$B$10+(Projects!$B$2:$B$45&lt;$B$13)*$B$11))</f>
        <v/>
      </c>
      <c r="AM40" s="759">
        <f>SUMPRODUCT((Projects!$G$2:$G$45="Yes")*(35&gt;=Projects!$C$2:$C$45-$B$16)*(35&lt;=Projects!$W$2:$W$45+$B$17)*((Projects!$B$2:$B$45&gt;=$B$12)*$B$9+(Projects!$B$2:$B$45&lt;$B$12)*(Projects!$B$2:$B$45&gt;=$B$13)*$B$10+(Projects!$B$2:$B$45&lt;$B$13)*$B$11))</f>
        <v/>
      </c>
      <c r="AN40" s="759">
        <f>SUMPRODUCT((Projects!$G$2:$G$45="Yes")*(36&gt;=Projects!$C$2:$C$45-$B$16)*(36&lt;=Projects!$W$2:$W$45+$B$17)*((Projects!$B$2:$B$45&gt;=$B$12)*$B$9+(Projects!$B$2:$B$45&lt;$B$12)*(Projects!$B$2:$B$45&gt;=$B$13)*$B$10+(Projects!$B$2:$B$45&lt;$B$13)*$B$11))</f>
        <v/>
      </c>
      <c r="AO40" s="759">
        <f>SUMPRODUCT((Projects!$G$2:$G$45="Yes")*(37&gt;=Projects!$C$2:$C$45-$B$16)*(37&lt;=Projects!$W$2:$W$45+$B$17)*((Projects!$B$2:$B$45&gt;=$B$12)*$B$9+(Projects!$B$2:$B$45&lt;$B$12)*(Projects!$B$2:$B$45&gt;=$B$13)*$B$10+(Projects!$B$2:$B$45&lt;$B$13)*$B$11))</f>
        <v/>
      </c>
      <c r="AP40" s="759">
        <f>SUMPRODUCT((Projects!$G$2:$G$45="Yes")*(38&gt;=Projects!$C$2:$C$45-$B$16)*(38&lt;=Projects!$W$2:$W$45+$B$17)*((Projects!$B$2:$B$45&gt;=$B$12)*$B$9+(Projects!$B$2:$B$45&lt;$B$12)*(Projects!$B$2:$B$45&gt;=$B$13)*$B$10+(Projects!$B$2:$B$45&lt;$B$13)*$B$11))</f>
        <v/>
      </c>
      <c r="AQ40" s="759">
        <f>SUMPRODUCT((Projects!$G$2:$G$45="Yes")*(39&gt;=Projects!$C$2:$C$45-$B$16)*(39&lt;=Projects!$W$2:$W$45+$B$17)*((Projects!$B$2:$B$45&gt;=$B$12)*$B$9+(Projects!$B$2:$B$45&lt;$B$12)*(Projects!$B$2:$B$45&gt;=$B$13)*$B$10+(Projects!$B$2:$B$45&lt;$B$13)*$B$11))</f>
        <v/>
      </c>
      <c r="AR40" s="759">
        <f>SUMPRODUCT((Projects!$G$2:$G$45="Yes")*(40&gt;=Projects!$C$2:$C$45-$B$16)*(40&lt;=Projects!$W$2:$W$45+$B$17)*((Projects!$B$2:$B$45&gt;=$B$12)*$B$9+(Projects!$B$2:$B$45&lt;$B$12)*(Projects!$B$2:$B$45&gt;=$B$13)*$B$10+(Projects!$B$2:$B$45&lt;$B$13)*$B$11))</f>
        <v/>
      </c>
      <c r="AS40" s="759">
        <f>SUMPRODUCT((Projects!$G$2:$G$45="Yes")*(41&gt;=Projects!$C$2:$C$45-$B$16)*(41&lt;=Projects!$W$2:$W$45+$B$17)*((Projects!$B$2:$B$45&gt;=$B$12)*$B$9+(Projects!$B$2:$B$45&lt;$B$12)*(Projects!$B$2:$B$45&gt;=$B$13)*$B$10+(Projects!$B$2:$B$45&lt;$B$13)*$B$11))</f>
        <v/>
      </c>
      <c r="AT40" s="759">
        <f>SUMPRODUCT((Projects!$G$2:$G$45="Yes")*(42&gt;=Projects!$C$2:$C$45-$B$16)*(42&lt;=Projects!$W$2:$W$45+$B$17)*((Projects!$B$2:$B$45&gt;=$B$12)*$B$9+(Projects!$B$2:$B$45&lt;$B$12)*(Projects!$B$2:$B$45&gt;=$B$13)*$B$10+(Projects!$B$2:$B$45&lt;$B$13)*$B$11))</f>
        <v/>
      </c>
      <c r="AU40" s="759">
        <f>SUMPRODUCT((Projects!$G$2:$G$45="Yes")*(43&gt;=Projects!$C$2:$C$45-$B$16)*(43&lt;=Projects!$W$2:$W$45+$B$17)*((Projects!$B$2:$B$45&gt;=$B$12)*$B$9+(Projects!$B$2:$B$45&lt;$B$12)*(Projects!$B$2:$B$45&gt;=$B$13)*$B$10+(Projects!$B$2:$B$45&lt;$B$13)*$B$11))</f>
        <v/>
      </c>
      <c r="AV40" s="759">
        <f>SUMPRODUCT((Projects!$G$2:$G$45="Yes")*(44&gt;=Projects!$C$2:$C$45-$B$16)*(44&lt;=Projects!$W$2:$W$45+$B$17)*((Projects!$B$2:$B$45&gt;=$B$12)*$B$9+(Projects!$B$2:$B$45&lt;$B$12)*(Projects!$B$2:$B$45&gt;=$B$13)*$B$10+(Projects!$B$2:$B$45&lt;$B$13)*$B$11))</f>
        <v/>
      </c>
      <c r="AW40" s="759">
        <f>SUMPRODUCT((Projects!$G$2:$G$45="Yes")*(45&gt;=Projects!$C$2:$C$45-$B$16)*(45&lt;=Projects!$W$2:$W$45+$B$17)*((Projects!$B$2:$B$45&gt;=$B$12)*$B$9+(Projects!$B$2:$B$45&lt;$B$12)*(Projects!$B$2:$B$45&gt;=$B$13)*$B$10+(Projects!$B$2:$B$45&lt;$B$13)*$B$11))</f>
        <v/>
      </c>
      <c r="AX40" s="759">
        <f>SUMPRODUCT((Projects!$G$2:$G$45="Yes")*(46&gt;=Projects!$C$2:$C$45-$B$16)*(46&lt;=Projects!$W$2:$W$45+$B$17)*((Projects!$B$2:$B$45&gt;=$B$12)*$B$9+(Projects!$B$2:$B$45&lt;$B$12)*(Projects!$B$2:$B$45&gt;=$B$13)*$B$10+(Projects!$B$2:$B$45&lt;$B$13)*$B$11))</f>
        <v/>
      </c>
      <c r="AY40" s="759">
        <f>SUMPRODUCT((Projects!$G$2:$G$45="Yes")*(47&gt;=Projects!$C$2:$C$45-$B$16)*(47&lt;=Projects!$W$2:$W$45+$B$17)*((Projects!$B$2:$B$45&gt;=$B$12)*$B$9+(Projects!$B$2:$B$45&lt;$B$12)*(Projects!$B$2:$B$45&gt;=$B$13)*$B$10+(Projects!$B$2:$B$45&lt;$B$13)*$B$11))</f>
        <v/>
      </c>
      <c r="AZ40" s="759">
        <f>SUMPRODUCT((Projects!$G$2:$G$45="Yes")*(48&gt;=Projects!$C$2:$C$45-$B$16)*(48&lt;=Projects!$W$2:$W$45+$B$17)*((Projects!$B$2:$B$45&gt;=$B$12)*$B$9+(Projects!$B$2:$B$45&lt;$B$12)*(Projects!$B$2:$B$45&gt;=$B$13)*$B$10+(Projects!$B$2:$B$45&lt;$B$13)*$B$11))</f>
        <v/>
      </c>
      <c r="BA40" s="759">
        <f>SUMPRODUCT((Projects!$G$2:$G$45="Yes")*(49&gt;=Projects!$C$2:$C$45-$B$16)*(49&lt;=Projects!$W$2:$W$45+$B$17)*((Projects!$B$2:$B$45&gt;=$B$12)*$B$9+(Projects!$B$2:$B$45&lt;$B$12)*(Projects!$B$2:$B$45&gt;=$B$13)*$B$10+(Projects!$B$2:$B$45&lt;$B$13)*$B$11))</f>
        <v/>
      </c>
      <c r="BB40" s="759">
        <f>SUMPRODUCT((Projects!$G$2:$G$45="Yes")*(50&gt;=Projects!$C$2:$C$45-$B$16)*(50&lt;=Projects!$W$2:$W$45+$B$17)*((Projects!$B$2:$B$45&gt;=$B$12)*$B$9+(Projects!$B$2:$B$45&lt;$B$12)*(Projects!$B$2:$B$45&gt;=$B$13)*$B$10+(Projects!$B$2:$B$45&lt;$B$13)*$B$11))</f>
        <v/>
      </c>
      <c r="BC40" s="759">
        <f>SUMPRODUCT((Projects!$G$2:$G$45="Yes")*(51&gt;=Projects!$C$2:$C$45-$B$16)*(51&lt;=Projects!$W$2:$W$45+$B$17)*((Projects!$B$2:$B$45&gt;=$B$12)*$B$9+(Projects!$B$2:$B$45&lt;$B$12)*(Projects!$B$2:$B$45&gt;=$B$13)*$B$10+(Projects!$B$2:$B$45&lt;$B$13)*$B$11))</f>
        <v/>
      </c>
      <c r="BD40" s="759">
        <f>SUMPRODUCT((Projects!$G$2:$G$45="Yes")*(52&gt;=Projects!$C$2:$C$45-$B$16)*(52&lt;=Projects!$W$2:$W$45+$B$17)*((Projects!$B$2:$B$45&gt;=$B$12)*$B$9+(Projects!$B$2:$B$45&lt;$B$12)*(Projects!$B$2:$B$45&gt;=$B$13)*$B$10+(Projects!$B$2:$B$45&lt;$B$13)*$B$11))</f>
        <v/>
      </c>
      <c r="BE40" s="759">
        <f>SUMPRODUCT((Projects!$G$2:$G$45="Yes")*(53&gt;=Projects!$C$2:$C$45-$B$16)*(53&lt;=Projects!$W$2:$W$45+$B$17)*((Projects!$B$2:$B$45&gt;=$B$12)*$B$9+(Projects!$B$2:$B$45&lt;$B$12)*(Projects!$B$2:$B$45&gt;=$B$13)*$B$10+(Projects!$B$2:$B$45&lt;$B$13)*$B$11))</f>
        <v/>
      </c>
      <c r="BF40" s="759">
        <f>SUMPRODUCT((Projects!$G$2:$G$45="Yes")*(54&gt;=Projects!$C$2:$C$45-$B$16)*(54&lt;=Projects!$W$2:$W$45+$B$17)*((Projects!$B$2:$B$45&gt;=$B$12)*$B$9+(Projects!$B$2:$B$45&lt;$B$12)*(Projects!$B$2:$B$45&gt;=$B$13)*$B$10+(Projects!$B$2:$B$45&lt;$B$13)*$B$11))</f>
        <v/>
      </c>
      <c r="BG40" s="759">
        <f>SUMPRODUCT((Projects!$G$2:$G$45="Yes")*(55&gt;=Projects!$C$2:$C$45-$B$16)*(55&lt;=Projects!$W$2:$W$45+$B$17)*((Projects!$B$2:$B$45&gt;=$B$12)*$B$9+(Projects!$B$2:$B$45&lt;$B$12)*(Projects!$B$2:$B$45&gt;=$B$13)*$B$10+(Projects!$B$2:$B$45&lt;$B$13)*$B$11))</f>
        <v/>
      </c>
      <c r="BH40" s="759">
        <f>SUMPRODUCT((Projects!$G$2:$G$45="Yes")*(56&gt;=Projects!$C$2:$C$45-$B$16)*(56&lt;=Projects!$W$2:$W$45+$B$17)*((Projects!$B$2:$B$45&gt;=$B$12)*$B$9+(Projects!$B$2:$B$45&lt;$B$12)*(Projects!$B$2:$B$45&gt;=$B$13)*$B$10+(Projects!$B$2:$B$45&lt;$B$13)*$B$11))</f>
        <v/>
      </c>
      <c r="BI40" s="759">
        <f>SUMPRODUCT((Projects!$G$2:$G$45="Yes")*(57&gt;=Projects!$C$2:$C$45-$B$16)*(57&lt;=Projects!$W$2:$W$45+$B$17)*((Projects!$B$2:$B$45&gt;=$B$12)*$B$9+(Projects!$B$2:$B$45&lt;$B$12)*(Projects!$B$2:$B$45&gt;=$B$13)*$B$10+(Projects!$B$2:$B$45&lt;$B$13)*$B$11))</f>
        <v/>
      </c>
      <c r="BJ40" s="759">
        <f>SUMPRODUCT((Projects!$G$2:$G$45="Yes")*(58&gt;=Projects!$C$2:$C$45-$B$16)*(58&lt;=Projects!$W$2:$W$45+$B$17)*((Projects!$B$2:$B$45&gt;=$B$12)*$B$9+(Projects!$B$2:$B$45&lt;$B$12)*(Projects!$B$2:$B$45&gt;=$B$13)*$B$10+(Projects!$B$2:$B$45&lt;$B$13)*$B$11))</f>
        <v/>
      </c>
      <c r="BK40" s="759">
        <f>SUMPRODUCT((Projects!$G$2:$G$45="Yes")*(59&gt;=Projects!$C$2:$C$45-$B$16)*(59&lt;=Projects!$W$2:$W$45+$B$17)*((Projects!$B$2:$B$45&gt;=$B$12)*$B$9+(Projects!$B$2:$B$45&lt;$B$12)*(Projects!$B$2:$B$45&gt;=$B$13)*$B$10+(Projects!$B$2:$B$45&lt;$B$13)*$B$11))</f>
        <v/>
      </c>
      <c r="BL40" s="759">
        <f>SUMPRODUCT((Projects!$G$2:$G$45="Yes")*(60&gt;=Projects!$C$2:$C$45-$B$16)*(60&lt;=Projects!$W$2:$W$45+$B$17)*((Projects!$B$2:$B$45&gt;=$B$12)*$B$9+(Projects!$B$2:$B$45&lt;$B$12)*(Projects!$B$2:$B$45&gt;=$B$13)*$B$10+(Projects!$B$2:$B$45&lt;$B$13)*$B$11))</f>
        <v/>
      </c>
      <c r="BM40" s="759">
        <f>SUMPRODUCT((Projects!$G$2:$G$45="Yes")*(61&gt;=Projects!$C$2:$C$45-$B$16)*(61&lt;=Projects!$W$2:$W$45+$B$17)*((Projects!$B$2:$B$45&gt;=$B$12)*$B$9+(Projects!$B$2:$B$45&lt;$B$12)*(Projects!$B$2:$B$45&gt;=$B$13)*$B$10+(Projects!$B$2:$B$45&lt;$B$13)*$B$11))</f>
        <v/>
      </c>
      <c r="BN40" s="759">
        <f>SUMPRODUCT((Projects!$G$2:$G$45="Yes")*(62&gt;=Projects!$C$2:$C$45-$B$16)*(62&lt;=Projects!$W$2:$W$45+$B$17)*((Projects!$B$2:$B$45&gt;=$B$12)*$B$9+(Projects!$B$2:$B$45&lt;$B$12)*(Projects!$B$2:$B$45&gt;=$B$13)*$B$10+(Projects!$B$2:$B$45&lt;$B$13)*$B$11))</f>
        <v/>
      </c>
      <c r="BO40" s="759">
        <f>SUMPRODUCT((Projects!$G$2:$G$45="Yes")*(63&gt;=Projects!$C$2:$C$45-$B$16)*(63&lt;=Projects!$W$2:$W$45+$B$17)*((Projects!$B$2:$B$45&gt;=$B$12)*$B$9+(Projects!$B$2:$B$45&lt;$B$12)*(Projects!$B$2:$B$45&gt;=$B$13)*$B$10+(Projects!$B$2:$B$45&lt;$B$13)*$B$11))</f>
        <v/>
      </c>
      <c r="BP40" s="759">
        <f>SUMPRODUCT((Projects!$G$2:$G$45="Yes")*(64&gt;=Projects!$C$2:$C$45-$B$16)*(64&lt;=Projects!$W$2:$W$45+$B$17)*((Projects!$B$2:$B$45&gt;=$B$12)*$B$9+(Projects!$B$2:$B$45&lt;$B$12)*(Projects!$B$2:$B$45&gt;=$B$13)*$B$10+(Projects!$B$2:$B$45&lt;$B$13)*$B$11))</f>
        <v/>
      </c>
      <c r="BQ40" s="759">
        <f>SUMPRODUCT((Projects!$G$2:$G$45="Yes")*(65&gt;=Projects!$C$2:$C$45-$B$16)*(65&lt;=Projects!$W$2:$W$45+$B$17)*((Projects!$B$2:$B$45&gt;=$B$12)*$B$9+(Projects!$B$2:$B$45&lt;$B$12)*(Projects!$B$2:$B$45&gt;=$B$13)*$B$10+(Projects!$B$2:$B$45&lt;$B$13)*$B$11))</f>
        <v/>
      </c>
      <c r="BR40" s="759">
        <f>SUMPRODUCT((Projects!$G$2:$G$45="Yes")*(66&gt;=Projects!$C$2:$C$45-$B$16)*(66&lt;=Projects!$W$2:$W$45+$B$17)*((Projects!$B$2:$B$45&gt;=$B$12)*$B$9+(Projects!$B$2:$B$45&lt;$B$12)*(Projects!$B$2:$B$45&gt;=$B$13)*$B$10+(Projects!$B$2:$B$45&lt;$B$13)*$B$11))</f>
        <v/>
      </c>
      <c r="BS40" s="759">
        <f>SUMPRODUCT((Projects!$G$2:$G$45="Yes")*(67&gt;=Projects!$C$2:$C$45-$B$16)*(67&lt;=Projects!$W$2:$W$45+$B$17)*((Projects!$B$2:$B$45&gt;=$B$12)*$B$9+(Projects!$B$2:$B$45&lt;$B$12)*(Projects!$B$2:$B$45&gt;=$B$13)*$B$10+(Projects!$B$2:$B$45&lt;$B$13)*$B$11))</f>
        <v/>
      </c>
      <c r="BT40" s="759">
        <f>SUMPRODUCT((Projects!$G$2:$G$45="Yes")*(68&gt;=Projects!$C$2:$C$45-$B$16)*(68&lt;=Projects!$W$2:$W$45+$B$17)*((Projects!$B$2:$B$45&gt;=$B$12)*$B$9+(Projects!$B$2:$B$45&lt;$B$12)*(Projects!$B$2:$B$45&gt;=$B$13)*$B$10+(Projects!$B$2:$B$45&lt;$B$13)*$B$11))</f>
        <v/>
      </c>
      <c r="BU40" s="759">
        <f>SUMPRODUCT((Projects!$G$2:$G$45="Yes")*(69&gt;=Projects!$C$2:$C$45-$B$16)*(69&lt;=Projects!$W$2:$W$45+$B$17)*((Projects!$B$2:$B$45&gt;=$B$12)*$B$9+(Projects!$B$2:$B$45&lt;$B$12)*(Projects!$B$2:$B$45&gt;=$B$13)*$B$10+(Projects!$B$2:$B$45&lt;$B$13)*$B$11))</f>
        <v/>
      </c>
      <c r="BV40" s="759">
        <f>SUMPRODUCT((Projects!$G$2:$G$45="Yes")*(70&gt;=Projects!$C$2:$C$45-$B$16)*(70&lt;=Projects!$W$2:$W$45+$B$17)*((Projects!$B$2:$B$45&gt;=$B$12)*$B$9+(Projects!$B$2:$B$45&lt;$B$12)*(Projects!$B$2:$B$45&gt;=$B$13)*$B$10+(Projects!$B$2:$B$45&lt;$B$13)*$B$11))</f>
        <v/>
      </c>
      <c r="BW40" s="759">
        <f>SUMPRODUCT((Projects!$G$2:$G$45="Yes")*(71&gt;=Projects!$C$2:$C$45-$B$16)*(71&lt;=Projects!$W$2:$W$45+$B$17)*((Projects!$B$2:$B$45&gt;=$B$12)*$B$9+(Projects!$B$2:$B$45&lt;$B$12)*(Projects!$B$2:$B$45&gt;=$B$13)*$B$10+(Projects!$B$2:$B$45&lt;$B$13)*$B$11))</f>
        <v/>
      </c>
      <c r="BX40" s="759">
        <f>SUMPRODUCT((Projects!$G$2:$G$45="Yes")*(72&gt;=Projects!$C$2:$C$45-$B$16)*(72&lt;=Projects!$W$2:$W$45+$B$17)*((Projects!$B$2:$B$45&gt;=$B$12)*$B$9+(Projects!$B$2:$B$45&lt;$B$12)*(Projects!$B$2:$B$45&gt;=$B$13)*$B$10+(Projects!$B$2:$B$45&lt;$B$13)*$B$11))</f>
        <v/>
      </c>
      <c r="BY40" s="759">
        <f>SUMPRODUCT((Projects!$G$2:$G$45="Yes")*(73&gt;=Projects!$C$2:$C$45-$B$16)*(73&lt;=Projects!$W$2:$W$45+$B$17)*((Projects!$B$2:$B$45&gt;=$B$12)*$B$9+(Projects!$B$2:$B$45&lt;$B$12)*(Projects!$B$2:$B$45&gt;=$B$13)*$B$10+(Projects!$B$2:$B$45&lt;$B$13)*$B$11))</f>
        <v/>
      </c>
      <c r="BZ40" s="759">
        <f>SUMPRODUCT((Projects!$G$2:$G$45="Yes")*(74&gt;=Projects!$C$2:$C$45-$B$16)*(74&lt;=Projects!$W$2:$W$45+$B$17)*((Projects!$B$2:$B$45&gt;=$B$12)*$B$9+(Projects!$B$2:$B$45&lt;$B$12)*(Projects!$B$2:$B$45&gt;=$B$13)*$B$10+(Projects!$B$2:$B$45&lt;$B$13)*$B$11))</f>
        <v/>
      </c>
      <c r="CA40" s="759">
        <f>SUMPRODUCT((Projects!$G$2:$G$45="Yes")*(75&gt;=Projects!$C$2:$C$45-$B$16)*(75&lt;=Projects!$W$2:$W$45+$B$17)*((Projects!$B$2:$B$45&gt;=$B$12)*$B$9+(Projects!$B$2:$B$45&lt;$B$12)*(Projects!$B$2:$B$45&gt;=$B$13)*$B$10+(Projects!$B$2:$B$45&lt;$B$13)*$B$11))</f>
        <v/>
      </c>
      <c r="CB40" s="759">
        <f>SUMPRODUCT((Projects!$G$2:$G$45="Yes")*(76&gt;=Projects!$C$2:$C$45-$B$16)*(76&lt;=Projects!$W$2:$W$45+$B$17)*((Projects!$B$2:$B$45&gt;=$B$12)*$B$9+(Projects!$B$2:$B$45&lt;$B$12)*(Projects!$B$2:$B$45&gt;=$B$13)*$B$10+(Projects!$B$2:$B$45&lt;$B$13)*$B$11))</f>
        <v/>
      </c>
      <c r="CC40" s="759">
        <f>SUMPRODUCT((Projects!$G$2:$G$45="Yes")*(77&gt;=Projects!$C$2:$C$45-$B$16)*(77&lt;=Projects!$W$2:$W$45+$B$17)*((Projects!$B$2:$B$45&gt;=$B$12)*$B$9+(Projects!$B$2:$B$45&lt;$B$12)*(Projects!$B$2:$B$45&gt;=$B$13)*$B$10+(Projects!$B$2:$B$45&lt;$B$13)*$B$11))</f>
        <v/>
      </c>
      <c r="CD40" s="759">
        <f>SUMPRODUCT((Projects!$G$2:$G$45="Yes")*(78&gt;=Projects!$C$2:$C$45-$B$16)*(78&lt;=Projects!$W$2:$W$45+$B$17)*((Projects!$B$2:$B$45&gt;=$B$12)*$B$9+(Projects!$B$2:$B$45&lt;$B$12)*(Projects!$B$2:$B$45&gt;=$B$13)*$B$10+(Projects!$B$2:$B$45&lt;$B$13)*$B$11))</f>
        <v/>
      </c>
      <c r="CE40" s="759">
        <f>SUMPRODUCT((Projects!$G$2:$G$45="Yes")*(79&gt;=Projects!$C$2:$C$45-$B$16)*(79&lt;=Projects!$W$2:$W$45+$B$17)*((Projects!$B$2:$B$45&gt;=$B$12)*$B$9+(Projects!$B$2:$B$45&lt;$B$12)*(Projects!$B$2:$B$45&gt;=$B$13)*$B$10+(Projects!$B$2:$B$45&lt;$B$13)*$B$11))</f>
        <v/>
      </c>
      <c r="CF40" s="759">
        <f>SUMPRODUCT((Projects!$G$2:$G$45="Yes")*(80&gt;=Projects!$C$2:$C$45-$B$16)*(80&lt;=Projects!$W$2:$W$45+$B$17)*((Projects!$B$2:$B$45&gt;=$B$12)*$B$9+(Projects!$B$2:$B$45&lt;$B$12)*(Projects!$B$2:$B$45&gt;=$B$13)*$B$10+(Projects!$B$2:$B$45&lt;$B$13)*$B$11))</f>
        <v/>
      </c>
      <c r="CG40" s="759">
        <f>SUMPRODUCT((Projects!$G$2:$G$45="Yes")*(81&gt;=Projects!$C$2:$C$45-$B$16)*(81&lt;=Projects!$W$2:$W$45+$B$17)*((Projects!$B$2:$B$45&gt;=$B$12)*$B$9+(Projects!$B$2:$B$45&lt;$B$12)*(Projects!$B$2:$B$45&gt;=$B$13)*$B$10+(Projects!$B$2:$B$45&lt;$B$13)*$B$11))</f>
        <v/>
      </c>
      <c r="CH40" s="759">
        <f>SUMPRODUCT((Projects!$G$2:$G$45="Yes")*(82&gt;=Projects!$C$2:$C$45-$B$16)*(82&lt;=Projects!$W$2:$W$45+$B$17)*((Projects!$B$2:$B$45&gt;=$B$12)*$B$9+(Projects!$B$2:$B$45&lt;$B$12)*(Projects!$B$2:$B$45&gt;=$B$13)*$B$10+(Projects!$B$2:$B$45&lt;$B$13)*$B$11))</f>
        <v/>
      </c>
      <c r="CI40" s="759">
        <f>SUMPRODUCT((Projects!$G$2:$G$45="Yes")*(83&gt;=Projects!$C$2:$C$45-$B$16)*(83&lt;=Projects!$W$2:$W$45+$B$17)*((Projects!$B$2:$B$45&gt;=$B$12)*$B$9+(Projects!$B$2:$B$45&lt;$B$12)*(Projects!$B$2:$B$45&gt;=$B$13)*$B$10+(Projects!$B$2:$B$45&lt;$B$13)*$B$11))</f>
        <v/>
      </c>
      <c r="CJ40" s="759">
        <f>SUMPRODUCT((Projects!$G$2:$G$45="Yes")*(84&gt;=Projects!$C$2:$C$45-$B$16)*(84&lt;=Projects!$W$2:$W$45+$B$17)*((Projects!$B$2:$B$45&gt;=$B$12)*$B$9+(Projects!$B$2:$B$45&lt;$B$12)*(Projects!$B$2:$B$45&gt;=$B$13)*$B$10+(Projects!$B$2:$B$45&lt;$B$13)*$B$11))</f>
        <v/>
      </c>
      <c r="CK40" s="759">
        <f>SUMPRODUCT((Projects!$G$2:$G$45="Yes")*(85&gt;=Projects!$C$2:$C$45-$B$16)*(85&lt;=Projects!$W$2:$W$45+$B$17)*((Projects!$B$2:$B$45&gt;=$B$12)*$B$9+(Projects!$B$2:$B$45&lt;$B$12)*(Projects!$B$2:$B$45&gt;=$B$13)*$B$10+(Projects!$B$2:$B$45&lt;$B$13)*$B$11))</f>
        <v/>
      </c>
      <c r="CL40" s="759">
        <f>SUMPRODUCT((Projects!$G$2:$G$45="Yes")*(86&gt;=Projects!$C$2:$C$45-$B$16)*(86&lt;=Projects!$W$2:$W$45+$B$17)*((Projects!$B$2:$B$45&gt;=$B$12)*$B$9+(Projects!$B$2:$B$45&lt;$B$12)*(Projects!$B$2:$B$45&gt;=$B$13)*$B$10+(Projects!$B$2:$B$45&lt;$B$13)*$B$11))</f>
        <v/>
      </c>
      <c r="CM40" s="759">
        <f>SUMPRODUCT((Projects!$G$2:$G$45="Yes")*(87&gt;=Projects!$C$2:$C$45-$B$16)*(87&lt;=Projects!$W$2:$W$45+$B$17)*((Projects!$B$2:$B$45&gt;=$B$12)*$B$9+(Projects!$B$2:$B$45&lt;$B$12)*(Projects!$B$2:$B$45&gt;=$B$13)*$B$10+(Projects!$B$2:$B$45&lt;$B$13)*$B$11))</f>
        <v/>
      </c>
      <c r="CN40" s="759">
        <f>SUMPRODUCT((Projects!$G$2:$G$45="Yes")*(88&gt;=Projects!$C$2:$C$45-$B$16)*(88&lt;=Projects!$W$2:$W$45+$B$17)*((Projects!$B$2:$B$45&gt;=$B$12)*$B$9+(Projects!$B$2:$B$45&lt;$B$12)*(Projects!$B$2:$B$45&gt;=$B$13)*$B$10+(Projects!$B$2:$B$45&lt;$B$13)*$B$11))</f>
        <v/>
      </c>
      <c r="CO40" s="759">
        <f>SUMPRODUCT((Projects!$G$2:$G$45="Yes")*(89&gt;=Projects!$C$2:$C$45-$B$16)*(89&lt;=Projects!$W$2:$W$45+$B$17)*((Projects!$B$2:$B$45&gt;=$B$12)*$B$9+(Projects!$B$2:$B$45&lt;$B$12)*(Projects!$B$2:$B$45&gt;=$B$13)*$B$10+(Projects!$B$2:$B$45&lt;$B$13)*$B$11))</f>
        <v/>
      </c>
      <c r="CP40" s="759">
        <f>SUMPRODUCT((Projects!$G$2:$G$45="Yes")*(90&gt;=Projects!$C$2:$C$45-$B$16)*(90&lt;=Projects!$W$2:$W$45+$B$17)*((Projects!$B$2:$B$45&gt;=$B$12)*$B$9+(Projects!$B$2:$B$45&lt;$B$12)*(Projects!$B$2:$B$45&gt;=$B$13)*$B$10+(Projects!$B$2:$B$45&lt;$B$13)*$B$11))</f>
        <v/>
      </c>
      <c r="CQ40" s="759">
        <f>SUMPRODUCT((Projects!$G$2:$G$45="Yes")*(91&gt;=Projects!$C$2:$C$45-$B$16)*(91&lt;=Projects!$W$2:$W$45+$B$17)*((Projects!$B$2:$B$45&gt;=$B$12)*$B$9+(Projects!$B$2:$B$45&lt;$B$12)*(Projects!$B$2:$B$45&gt;=$B$13)*$B$10+(Projects!$B$2:$B$45&lt;$B$13)*$B$11))</f>
        <v/>
      </c>
      <c r="CR40" s="759">
        <f>SUMPRODUCT((Projects!$G$2:$G$45="Yes")*(92&gt;=Projects!$C$2:$C$45-$B$16)*(92&lt;=Projects!$W$2:$W$45+$B$17)*((Projects!$B$2:$B$45&gt;=$B$12)*$B$9+(Projects!$B$2:$B$45&lt;$B$12)*(Projects!$B$2:$B$45&gt;=$B$13)*$B$10+(Projects!$B$2:$B$45&lt;$B$13)*$B$11))</f>
        <v/>
      </c>
      <c r="CS40" s="759">
        <f>SUMPRODUCT((Projects!$G$2:$G$45="Yes")*(93&gt;=Projects!$C$2:$C$45-$B$16)*(93&lt;=Projects!$W$2:$W$45+$B$17)*((Projects!$B$2:$B$45&gt;=$B$12)*$B$9+(Projects!$B$2:$B$45&lt;$B$12)*(Projects!$B$2:$B$45&gt;=$B$13)*$B$10+(Projects!$B$2:$B$45&lt;$B$13)*$B$11))</f>
        <v/>
      </c>
      <c r="CT40" s="759">
        <f>SUMPRODUCT((Projects!$G$2:$G$45="Yes")*(94&gt;=Projects!$C$2:$C$45-$B$16)*(94&lt;=Projects!$W$2:$W$45+$B$17)*((Projects!$B$2:$B$45&gt;=$B$12)*$B$9+(Projects!$B$2:$B$45&lt;$B$12)*(Projects!$B$2:$B$45&gt;=$B$13)*$B$10+(Projects!$B$2:$B$45&lt;$B$13)*$B$11))</f>
        <v/>
      </c>
      <c r="CU40" s="759">
        <f>SUMPRODUCT((Projects!$G$2:$G$45="Yes")*(95&gt;=Projects!$C$2:$C$45-$B$16)*(95&lt;=Projects!$W$2:$W$45+$B$17)*((Projects!$B$2:$B$45&gt;=$B$12)*$B$9+(Projects!$B$2:$B$45&lt;$B$12)*(Projects!$B$2:$B$45&gt;=$B$13)*$B$10+(Projects!$B$2:$B$45&lt;$B$13)*$B$11))</f>
        <v/>
      </c>
      <c r="CV40" s="759">
        <f>SUMPRODUCT((Projects!$G$2:$G$45="Yes")*(96&gt;=Projects!$C$2:$C$45-$B$16)*(96&lt;=Projects!$W$2:$W$45+$B$17)*((Projects!$B$2:$B$45&gt;=$B$12)*$B$9+(Projects!$B$2:$B$45&lt;$B$12)*(Projects!$B$2:$B$45&gt;=$B$13)*$B$10+(Projects!$B$2:$B$45&lt;$B$13)*$B$11))</f>
        <v/>
      </c>
      <c r="CW40" s="759">
        <f>SUMPRODUCT((Projects!$G$2:$G$45="Yes")*(97&gt;=Projects!$C$2:$C$45-$B$16)*(97&lt;=Projects!$W$2:$W$45+$B$17)*((Projects!$B$2:$B$45&gt;=$B$12)*$B$9+(Projects!$B$2:$B$45&lt;$B$12)*(Projects!$B$2:$B$45&gt;=$B$13)*$B$10+(Projects!$B$2:$B$45&lt;$B$13)*$B$11))</f>
        <v/>
      </c>
      <c r="CX40" s="759">
        <f>SUMPRODUCT((Projects!$G$2:$G$45="Yes")*(98&gt;=Projects!$C$2:$C$45-$B$16)*(98&lt;=Projects!$W$2:$W$45+$B$17)*((Projects!$B$2:$B$45&gt;=$B$12)*$B$9+(Projects!$B$2:$B$45&lt;$B$12)*(Projects!$B$2:$B$45&gt;=$B$13)*$B$10+(Projects!$B$2:$B$45&lt;$B$13)*$B$11))</f>
        <v/>
      </c>
      <c r="CY40" s="759">
        <f>SUMPRODUCT((Projects!$G$2:$G$45="Yes")*(99&gt;=Projects!$C$2:$C$45-$B$16)*(99&lt;=Projects!$W$2:$W$45+$B$17)*((Projects!$B$2:$B$45&gt;=$B$12)*$B$9+(Projects!$B$2:$B$45&lt;$B$12)*(Projects!$B$2:$B$45&gt;=$B$13)*$B$10+(Projects!$B$2:$B$45&lt;$B$13)*$B$11))</f>
        <v/>
      </c>
      <c r="CZ40" s="759">
        <f>SUMPRODUCT((Projects!$G$2:$G$45="Yes")*(100&gt;=Projects!$C$2:$C$45-$B$16)*(100&lt;=Projects!$W$2:$W$45+$B$17)*((Projects!$B$2:$B$45&gt;=$B$12)*$B$9+(Projects!$B$2:$B$45&lt;$B$12)*(Projects!$B$2:$B$45&gt;=$B$13)*$B$10+(Projects!$B$2:$B$45&lt;$B$13)*$B$11))</f>
        <v/>
      </c>
      <c r="DA40" s="759">
        <f>SUMPRODUCT((Projects!$G$2:$G$45="Yes")*(101&gt;=Projects!$C$2:$C$45-$B$16)*(101&lt;=Projects!$W$2:$W$45+$B$17)*((Projects!$B$2:$B$45&gt;=$B$12)*$B$9+(Projects!$B$2:$B$45&lt;$B$12)*(Projects!$B$2:$B$45&gt;=$B$13)*$B$10+(Projects!$B$2:$B$45&lt;$B$13)*$B$11))</f>
        <v/>
      </c>
      <c r="DB40" s="759">
        <f>SUMPRODUCT((Projects!$G$2:$G$45="Yes")*(102&gt;=Projects!$C$2:$C$45-$B$16)*(102&lt;=Projects!$W$2:$W$45+$B$17)*((Projects!$B$2:$B$45&gt;=$B$12)*$B$9+(Projects!$B$2:$B$45&lt;$B$12)*(Projects!$B$2:$B$45&gt;=$B$13)*$B$10+(Projects!$B$2:$B$45&lt;$B$13)*$B$11))</f>
        <v/>
      </c>
      <c r="DC40" s="759">
        <f>SUMPRODUCT((Projects!$G$2:$G$45="Yes")*(103&gt;=Projects!$C$2:$C$45-$B$16)*(103&lt;=Projects!$W$2:$W$45+$B$17)*((Projects!$B$2:$B$45&gt;=$B$12)*$B$9+(Projects!$B$2:$B$45&lt;$B$12)*(Projects!$B$2:$B$45&gt;=$B$13)*$B$10+(Projects!$B$2:$B$45&lt;$B$13)*$B$11))</f>
        <v/>
      </c>
      <c r="DD40" s="759">
        <f>SUMPRODUCT((Projects!$G$2:$G$45="Yes")*(104&gt;=Projects!$C$2:$C$45-$B$16)*(104&lt;=Projects!$W$2:$W$45+$B$17)*((Projects!$B$2:$B$45&gt;=$B$12)*$B$9+(Projects!$B$2:$B$45&lt;$B$12)*(Projects!$B$2:$B$45&gt;=$B$13)*$B$10+(Projects!$B$2:$B$45&lt;$B$13)*$B$11))</f>
        <v/>
      </c>
      <c r="DE40" s="759">
        <f>SUMPRODUCT((Projects!$G$2:$G$45="Yes")*(105&gt;=Projects!$C$2:$C$45-$B$16)*(105&lt;=Projects!$W$2:$W$45+$B$17)*((Projects!$B$2:$B$45&gt;=$B$12)*$B$9+(Projects!$B$2:$B$45&lt;$B$12)*(Projects!$B$2:$B$45&gt;=$B$13)*$B$10+(Projects!$B$2:$B$45&lt;$B$13)*$B$11))</f>
        <v/>
      </c>
    </row>
    <row r="42">
      <c r="A42" s="584" t="inlineStr">
        <is>
          <t>SUPPLY  (named staff on the Personnel tab)</t>
        </is>
      </c>
      <c r="B42" s="585" t="n"/>
      <c r="C42" s="585" t="n"/>
      <c r="D42" s="585" t="n"/>
      <c r="E42" s="585" t="n"/>
      <c r="F42" s="585" t="n"/>
    </row>
    <row r="43">
      <c r="A43" s="586" t="inlineStr">
        <is>
          <t>Superintendents - named staff</t>
        </is>
      </c>
      <c r="E43" s="759">
        <f>SUMPRODUCT((Personnel!$P$9:$P$100="SUPER")*(Personnel!$G$9:$G$100="Yes")*(1&gt;=Personnel!$E$9:$E$100)*((Personnel!$K$9:$K$100="")+(1&lt;=Personnel!$K$9:$K$100)&gt;0))</f>
        <v/>
      </c>
      <c r="F43" s="759">
        <f>SUMPRODUCT((Personnel!$P$9:$P$100="SUPER")*(Personnel!$G$9:$G$100="Yes")*(2&gt;=Personnel!$E$9:$E$100)*((Personnel!$K$9:$K$100="")+(2&lt;=Personnel!$K$9:$K$100)&gt;0))</f>
        <v/>
      </c>
      <c r="G43" s="759">
        <f>SUMPRODUCT((Personnel!$P$9:$P$100="SUPER")*(Personnel!$G$9:$G$100="Yes")*(3&gt;=Personnel!$E$9:$E$100)*((Personnel!$K$9:$K$100="")+(3&lt;=Personnel!$K$9:$K$100)&gt;0))</f>
        <v/>
      </c>
      <c r="H43" s="759">
        <f>SUMPRODUCT((Personnel!$P$9:$P$100="SUPER")*(Personnel!$G$9:$G$100="Yes")*(4&gt;=Personnel!$E$9:$E$100)*((Personnel!$K$9:$K$100="")+(4&lt;=Personnel!$K$9:$K$100)&gt;0))</f>
        <v/>
      </c>
      <c r="I43" s="759">
        <f>SUMPRODUCT((Personnel!$P$9:$P$100="SUPER")*(Personnel!$G$9:$G$100="Yes")*(5&gt;=Personnel!$E$9:$E$100)*((Personnel!$K$9:$K$100="")+(5&lt;=Personnel!$K$9:$K$100)&gt;0))</f>
        <v/>
      </c>
      <c r="J43" s="759">
        <f>SUMPRODUCT((Personnel!$P$9:$P$100="SUPER")*(Personnel!$G$9:$G$100="Yes")*(6&gt;=Personnel!$E$9:$E$100)*((Personnel!$K$9:$K$100="")+(6&lt;=Personnel!$K$9:$K$100)&gt;0))</f>
        <v/>
      </c>
      <c r="K43" s="759">
        <f>SUMPRODUCT((Personnel!$P$9:$P$100="SUPER")*(Personnel!$G$9:$G$100="Yes")*(7&gt;=Personnel!$E$9:$E$100)*((Personnel!$K$9:$K$100="")+(7&lt;=Personnel!$K$9:$K$100)&gt;0))</f>
        <v/>
      </c>
      <c r="L43" s="759">
        <f>SUMPRODUCT((Personnel!$P$9:$P$100="SUPER")*(Personnel!$G$9:$G$100="Yes")*(8&gt;=Personnel!$E$9:$E$100)*((Personnel!$K$9:$K$100="")+(8&lt;=Personnel!$K$9:$K$100)&gt;0))</f>
        <v/>
      </c>
      <c r="M43" s="759">
        <f>SUMPRODUCT((Personnel!$P$9:$P$100="SUPER")*(Personnel!$G$9:$G$100="Yes")*(9&gt;=Personnel!$E$9:$E$100)*((Personnel!$K$9:$K$100="")+(9&lt;=Personnel!$K$9:$K$100)&gt;0))</f>
        <v/>
      </c>
      <c r="N43" s="759">
        <f>SUMPRODUCT((Personnel!$P$9:$P$100="SUPER")*(Personnel!$G$9:$G$100="Yes")*(10&gt;=Personnel!$E$9:$E$100)*((Personnel!$K$9:$K$100="")+(10&lt;=Personnel!$K$9:$K$100)&gt;0))</f>
        <v/>
      </c>
      <c r="O43" s="759">
        <f>SUMPRODUCT((Personnel!$P$9:$P$100="SUPER")*(Personnel!$G$9:$G$100="Yes")*(11&gt;=Personnel!$E$9:$E$100)*((Personnel!$K$9:$K$100="")+(11&lt;=Personnel!$K$9:$K$100)&gt;0))</f>
        <v/>
      </c>
      <c r="P43" s="759">
        <f>SUMPRODUCT((Personnel!$P$9:$P$100="SUPER")*(Personnel!$G$9:$G$100="Yes")*(12&gt;=Personnel!$E$9:$E$100)*((Personnel!$K$9:$K$100="")+(12&lt;=Personnel!$K$9:$K$100)&gt;0))</f>
        <v/>
      </c>
      <c r="Q43" s="759">
        <f>SUMPRODUCT((Personnel!$P$9:$P$100="SUPER")*(Personnel!$G$9:$G$100="Yes")*(13&gt;=Personnel!$E$9:$E$100)*((Personnel!$K$9:$K$100="")+(13&lt;=Personnel!$K$9:$K$100)&gt;0))</f>
        <v/>
      </c>
      <c r="R43" s="759">
        <f>SUMPRODUCT((Personnel!$P$9:$P$100="SUPER")*(Personnel!$G$9:$G$100="Yes")*(14&gt;=Personnel!$E$9:$E$100)*((Personnel!$K$9:$K$100="")+(14&lt;=Personnel!$K$9:$K$100)&gt;0))</f>
        <v/>
      </c>
      <c r="S43" s="759">
        <f>SUMPRODUCT((Personnel!$P$9:$P$100="SUPER")*(Personnel!$G$9:$G$100="Yes")*(15&gt;=Personnel!$E$9:$E$100)*((Personnel!$K$9:$K$100="")+(15&lt;=Personnel!$K$9:$K$100)&gt;0))</f>
        <v/>
      </c>
      <c r="T43" s="759">
        <f>SUMPRODUCT((Personnel!$P$9:$P$100="SUPER")*(Personnel!$G$9:$G$100="Yes")*(16&gt;=Personnel!$E$9:$E$100)*((Personnel!$K$9:$K$100="")+(16&lt;=Personnel!$K$9:$K$100)&gt;0))</f>
        <v/>
      </c>
      <c r="U43" s="759">
        <f>SUMPRODUCT((Personnel!$P$9:$P$100="SUPER")*(Personnel!$G$9:$G$100="Yes")*(17&gt;=Personnel!$E$9:$E$100)*((Personnel!$K$9:$K$100="")+(17&lt;=Personnel!$K$9:$K$100)&gt;0))</f>
        <v/>
      </c>
      <c r="V43" s="759">
        <f>SUMPRODUCT((Personnel!$P$9:$P$100="SUPER")*(Personnel!$G$9:$G$100="Yes")*(18&gt;=Personnel!$E$9:$E$100)*((Personnel!$K$9:$K$100="")+(18&lt;=Personnel!$K$9:$K$100)&gt;0))</f>
        <v/>
      </c>
      <c r="W43" s="759">
        <f>SUMPRODUCT((Personnel!$P$9:$P$100="SUPER")*(Personnel!$G$9:$G$100="Yes")*(19&gt;=Personnel!$E$9:$E$100)*((Personnel!$K$9:$K$100="")+(19&lt;=Personnel!$K$9:$K$100)&gt;0))</f>
        <v/>
      </c>
      <c r="X43" s="759">
        <f>SUMPRODUCT((Personnel!$P$9:$P$100="SUPER")*(Personnel!$G$9:$G$100="Yes")*(20&gt;=Personnel!$E$9:$E$100)*((Personnel!$K$9:$K$100="")+(20&lt;=Personnel!$K$9:$K$100)&gt;0))</f>
        <v/>
      </c>
      <c r="Y43" s="759">
        <f>SUMPRODUCT((Personnel!$P$9:$P$100="SUPER")*(Personnel!$G$9:$G$100="Yes")*(21&gt;=Personnel!$E$9:$E$100)*((Personnel!$K$9:$K$100="")+(21&lt;=Personnel!$K$9:$K$100)&gt;0))</f>
        <v/>
      </c>
      <c r="Z43" s="759">
        <f>SUMPRODUCT((Personnel!$P$9:$P$100="SUPER")*(Personnel!$G$9:$G$100="Yes")*(22&gt;=Personnel!$E$9:$E$100)*((Personnel!$K$9:$K$100="")+(22&lt;=Personnel!$K$9:$K$100)&gt;0))</f>
        <v/>
      </c>
      <c r="AA43" s="759">
        <f>SUMPRODUCT((Personnel!$P$9:$P$100="SUPER")*(Personnel!$G$9:$G$100="Yes")*(23&gt;=Personnel!$E$9:$E$100)*((Personnel!$K$9:$K$100="")+(23&lt;=Personnel!$K$9:$K$100)&gt;0))</f>
        <v/>
      </c>
      <c r="AB43" s="759">
        <f>SUMPRODUCT((Personnel!$P$9:$P$100="SUPER")*(Personnel!$G$9:$G$100="Yes")*(24&gt;=Personnel!$E$9:$E$100)*((Personnel!$K$9:$K$100="")+(24&lt;=Personnel!$K$9:$K$100)&gt;0))</f>
        <v/>
      </c>
      <c r="AC43" s="759">
        <f>SUMPRODUCT((Personnel!$P$9:$P$100="SUPER")*(Personnel!$G$9:$G$100="Yes")*(25&gt;=Personnel!$E$9:$E$100)*((Personnel!$K$9:$K$100="")+(25&lt;=Personnel!$K$9:$K$100)&gt;0))</f>
        <v/>
      </c>
      <c r="AD43" s="759">
        <f>SUMPRODUCT((Personnel!$P$9:$P$100="SUPER")*(Personnel!$G$9:$G$100="Yes")*(26&gt;=Personnel!$E$9:$E$100)*((Personnel!$K$9:$K$100="")+(26&lt;=Personnel!$K$9:$K$100)&gt;0))</f>
        <v/>
      </c>
      <c r="AE43" s="759">
        <f>SUMPRODUCT((Personnel!$P$9:$P$100="SUPER")*(Personnel!$G$9:$G$100="Yes")*(27&gt;=Personnel!$E$9:$E$100)*((Personnel!$K$9:$K$100="")+(27&lt;=Personnel!$K$9:$K$100)&gt;0))</f>
        <v/>
      </c>
      <c r="AF43" s="759">
        <f>SUMPRODUCT((Personnel!$P$9:$P$100="SUPER")*(Personnel!$G$9:$G$100="Yes")*(28&gt;=Personnel!$E$9:$E$100)*((Personnel!$K$9:$K$100="")+(28&lt;=Personnel!$K$9:$K$100)&gt;0))</f>
        <v/>
      </c>
      <c r="AG43" s="759">
        <f>SUMPRODUCT((Personnel!$P$9:$P$100="SUPER")*(Personnel!$G$9:$G$100="Yes")*(29&gt;=Personnel!$E$9:$E$100)*((Personnel!$K$9:$K$100="")+(29&lt;=Personnel!$K$9:$K$100)&gt;0))</f>
        <v/>
      </c>
      <c r="AH43" s="759">
        <f>SUMPRODUCT((Personnel!$P$9:$P$100="SUPER")*(Personnel!$G$9:$G$100="Yes")*(30&gt;=Personnel!$E$9:$E$100)*((Personnel!$K$9:$K$100="")+(30&lt;=Personnel!$K$9:$K$100)&gt;0))</f>
        <v/>
      </c>
      <c r="AI43" s="759">
        <f>SUMPRODUCT((Personnel!$P$9:$P$100="SUPER")*(Personnel!$G$9:$G$100="Yes")*(31&gt;=Personnel!$E$9:$E$100)*((Personnel!$K$9:$K$100="")+(31&lt;=Personnel!$K$9:$K$100)&gt;0))</f>
        <v/>
      </c>
      <c r="AJ43" s="759">
        <f>SUMPRODUCT((Personnel!$P$9:$P$100="SUPER")*(Personnel!$G$9:$G$100="Yes")*(32&gt;=Personnel!$E$9:$E$100)*((Personnel!$K$9:$K$100="")+(32&lt;=Personnel!$K$9:$K$100)&gt;0))</f>
        <v/>
      </c>
      <c r="AK43" s="759">
        <f>SUMPRODUCT((Personnel!$P$9:$P$100="SUPER")*(Personnel!$G$9:$G$100="Yes")*(33&gt;=Personnel!$E$9:$E$100)*((Personnel!$K$9:$K$100="")+(33&lt;=Personnel!$K$9:$K$100)&gt;0))</f>
        <v/>
      </c>
      <c r="AL43" s="759">
        <f>SUMPRODUCT((Personnel!$P$9:$P$100="SUPER")*(Personnel!$G$9:$G$100="Yes")*(34&gt;=Personnel!$E$9:$E$100)*((Personnel!$K$9:$K$100="")+(34&lt;=Personnel!$K$9:$K$100)&gt;0))</f>
        <v/>
      </c>
      <c r="AM43" s="759">
        <f>SUMPRODUCT((Personnel!$P$9:$P$100="SUPER")*(Personnel!$G$9:$G$100="Yes")*(35&gt;=Personnel!$E$9:$E$100)*((Personnel!$K$9:$K$100="")+(35&lt;=Personnel!$K$9:$K$100)&gt;0))</f>
        <v/>
      </c>
      <c r="AN43" s="759">
        <f>SUMPRODUCT((Personnel!$P$9:$P$100="SUPER")*(Personnel!$G$9:$G$100="Yes")*(36&gt;=Personnel!$E$9:$E$100)*((Personnel!$K$9:$K$100="")+(36&lt;=Personnel!$K$9:$K$100)&gt;0))</f>
        <v/>
      </c>
      <c r="AO43" s="759">
        <f>SUMPRODUCT((Personnel!$P$9:$P$100="SUPER")*(Personnel!$G$9:$G$100="Yes")*(37&gt;=Personnel!$E$9:$E$100)*((Personnel!$K$9:$K$100="")+(37&lt;=Personnel!$K$9:$K$100)&gt;0))</f>
        <v/>
      </c>
      <c r="AP43" s="759">
        <f>SUMPRODUCT((Personnel!$P$9:$P$100="SUPER")*(Personnel!$G$9:$G$100="Yes")*(38&gt;=Personnel!$E$9:$E$100)*((Personnel!$K$9:$K$100="")+(38&lt;=Personnel!$K$9:$K$100)&gt;0))</f>
        <v/>
      </c>
      <c r="AQ43" s="759">
        <f>SUMPRODUCT((Personnel!$P$9:$P$100="SUPER")*(Personnel!$G$9:$G$100="Yes")*(39&gt;=Personnel!$E$9:$E$100)*((Personnel!$K$9:$K$100="")+(39&lt;=Personnel!$K$9:$K$100)&gt;0))</f>
        <v/>
      </c>
      <c r="AR43" s="759">
        <f>SUMPRODUCT((Personnel!$P$9:$P$100="SUPER")*(Personnel!$G$9:$G$100="Yes")*(40&gt;=Personnel!$E$9:$E$100)*((Personnel!$K$9:$K$100="")+(40&lt;=Personnel!$K$9:$K$100)&gt;0))</f>
        <v/>
      </c>
      <c r="AS43" s="759">
        <f>SUMPRODUCT((Personnel!$P$9:$P$100="SUPER")*(Personnel!$G$9:$G$100="Yes")*(41&gt;=Personnel!$E$9:$E$100)*((Personnel!$K$9:$K$100="")+(41&lt;=Personnel!$K$9:$K$100)&gt;0))</f>
        <v/>
      </c>
      <c r="AT43" s="759">
        <f>SUMPRODUCT((Personnel!$P$9:$P$100="SUPER")*(Personnel!$G$9:$G$100="Yes")*(42&gt;=Personnel!$E$9:$E$100)*((Personnel!$K$9:$K$100="")+(42&lt;=Personnel!$K$9:$K$100)&gt;0))</f>
        <v/>
      </c>
      <c r="AU43" s="759">
        <f>SUMPRODUCT((Personnel!$P$9:$P$100="SUPER")*(Personnel!$G$9:$G$100="Yes")*(43&gt;=Personnel!$E$9:$E$100)*((Personnel!$K$9:$K$100="")+(43&lt;=Personnel!$K$9:$K$100)&gt;0))</f>
        <v/>
      </c>
      <c r="AV43" s="759">
        <f>SUMPRODUCT((Personnel!$P$9:$P$100="SUPER")*(Personnel!$G$9:$G$100="Yes")*(44&gt;=Personnel!$E$9:$E$100)*((Personnel!$K$9:$K$100="")+(44&lt;=Personnel!$K$9:$K$100)&gt;0))</f>
        <v/>
      </c>
      <c r="AW43" s="759">
        <f>SUMPRODUCT((Personnel!$P$9:$P$100="SUPER")*(Personnel!$G$9:$G$100="Yes")*(45&gt;=Personnel!$E$9:$E$100)*((Personnel!$K$9:$K$100="")+(45&lt;=Personnel!$K$9:$K$100)&gt;0))</f>
        <v/>
      </c>
      <c r="AX43" s="759">
        <f>SUMPRODUCT((Personnel!$P$9:$P$100="SUPER")*(Personnel!$G$9:$G$100="Yes")*(46&gt;=Personnel!$E$9:$E$100)*((Personnel!$K$9:$K$100="")+(46&lt;=Personnel!$K$9:$K$100)&gt;0))</f>
        <v/>
      </c>
      <c r="AY43" s="759">
        <f>SUMPRODUCT((Personnel!$P$9:$P$100="SUPER")*(Personnel!$G$9:$G$100="Yes")*(47&gt;=Personnel!$E$9:$E$100)*((Personnel!$K$9:$K$100="")+(47&lt;=Personnel!$K$9:$K$100)&gt;0))</f>
        <v/>
      </c>
      <c r="AZ43" s="759">
        <f>SUMPRODUCT((Personnel!$P$9:$P$100="SUPER")*(Personnel!$G$9:$G$100="Yes")*(48&gt;=Personnel!$E$9:$E$100)*((Personnel!$K$9:$K$100="")+(48&lt;=Personnel!$K$9:$K$100)&gt;0))</f>
        <v/>
      </c>
      <c r="BA43" s="759">
        <f>SUMPRODUCT((Personnel!$P$9:$P$100="SUPER")*(Personnel!$G$9:$G$100="Yes")*(49&gt;=Personnel!$E$9:$E$100)*((Personnel!$K$9:$K$100="")+(49&lt;=Personnel!$K$9:$K$100)&gt;0))</f>
        <v/>
      </c>
      <c r="BB43" s="759">
        <f>SUMPRODUCT((Personnel!$P$9:$P$100="SUPER")*(Personnel!$G$9:$G$100="Yes")*(50&gt;=Personnel!$E$9:$E$100)*((Personnel!$K$9:$K$100="")+(50&lt;=Personnel!$K$9:$K$100)&gt;0))</f>
        <v/>
      </c>
      <c r="BC43" s="759">
        <f>SUMPRODUCT((Personnel!$P$9:$P$100="SUPER")*(Personnel!$G$9:$G$100="Yes")*(51&gt;=Personnel!$E$9:$E$100)*((Personnel!$K$9:$K$100="")+(51&lt;=Personnel!$K$9:$K$100)&gt;0))</f>
        <v/>
      </c>
      <c r="BD43" s="759">
        <f>SUMPRODUCT((Personnel!$P$9:$P$100="SUPER")*(Personnel!$G$9:$G$100="Yes")*(52&gt;=Personnel!$E$9:$E$100)*((Personnel!$K$9:$K$100="")+(52&lt;=Personnel!$K$9:$K$100)&gt;0))</f>
        <v/>
      </c>
      <c r="BE43" s="759">
        <f>SUMPRODUCT((Personnel!$P$9:$P$100="SUPER")*(Personnel!$G$9:$G$100="Yes")*(53&gt;=Personnel!$E$9:$E$100)*((Personnel!$K$9:$K$100="")+(53&lt;=Personnel!$K$9:$K$100)&gt;0))</f>
        <v/>
      </c>
      <c r="BF43" s="759">
        <f>SUMPRODUCT((Personnel!$P$9:$P$100="SUPER")*(Personnel!$G$9:$G$100="Yes")*(54&gt;=Personnel!$E$9:$E$100)*((Personnel!$K$9:$K$100="")+(54&lt;=Personnel!$K$9:$K$100)&gt;0))</f>
        <v/>
      </c>
      <c r="BG43" s="759">
        <f>SUMPRODUCT((Personnel!$P$9:$P$100="SUPER")*(Personnel!$G$9:$G$100="Yes")*(55&gt;=Personnel!$E$9:$E$100)*((Personnel!$K$9:$K$100="")+(55&lt;=Personnel!$K$9:$K$100)&gt;0))</f>
        <v/>
      </c>
      <c r="BH43" s="759">
        <f>SUMPRODUCT((Personnel!$P$9:$P$100="SUPER")*(Personnel!$G$9:$G$100="Yes")*(56&gt;=Personnel!$E$9:$E$100)*((Personnel!$K$9:$K$100="")+(56&lt;=Personnel!$K$9:$K$100)&gt;0))</f>
        <v/>
      </c>
      <c r="BI43" s="759">
        <f>SUMPRODUCT((Personnel!$P$9:$P$100="SUPER")*(Personnel!$G$9:$G$100="Yes")*(57&gt;=Personnel!$E$9:$E$100)*((Personnel!$K$9:$K$100="")+(57&lt;=Personnel!$K$9:$K$100)&gt;0))</f>
        <v/>
      </c>
      <c r="BJ43" s="759">
        <f>SUMPRODUCT((Personnel!$P$9:$P$100="SUPER")*(Personnel!$G$9:$G$100="Yes")*(58&gt;=Personnel!$E$9:$E$100)*((Personnel!$K$9:$K$100="")+(58&lt;=Personnel!$K$9:$K$100)&gt;0))</f>
        <v/>
      </c>
      <c r="BK43" s="759">
        <f>SUMPRODUCT((Personnel!$P$9:$P$100="SUPER")*(Personnel!$G$9:$G$100="Yes")*(59&gt;=Personnel!$E$9:$E$100)*((Personnel!$K$9:$K$100="")+(59&lt;=Personnel!$K$9:$K$100)&gt;0))</f>
        <v/>
      </c>
      <c r="BL43" s="759">
        <f>SUMPRODUCT((Personnel!$P$9:$P$100="SUPER")*(Personnel!$G$9:$G$100="Yes")*(60&gt;=Personnel!$E$9:$E$100)*((Personnel!$K$9:$K$100="")+(60&lt;=Personnel!$K$9:$K$100)&gt;0))</f>
        <v/>
      </c>
      <c r="BM43" s="759">
        <f>SUMPRODUCT((Personnel!$P$9:$P$100="SUPER")*(Personnel!$G$9:$G$100="Yes")*(61&gt;=Personnel!$E$9:$E$100)*((Personnel!$K$9:$K$100="")+(61&lt;=Personnel!$K$9:$K$100)&gt;0))</f>
        <v/>
      </c>
      <c r="BN43" s="759">
        <f>SUMPRODUCT((Personnel!$P$9:$P$100="SUPER")*(Personnel!$G$9:$G$100="Yes")*(62&gt;=Personnel!$E$9:$E$100)*((Personnel!$K$9:$K$100="")+(62&lt;=Personnel!$K$9:$K$100)&gt;0))</f>
        <v/>
      </c>
      <c r="BO43" s="759">
        <f>SUMPRODUCT((Personnel!$P$9:$P$100="SUPER")*(Personnel!$G$9:$G$100="Yes")*(63&gt;=Personnel!$E$9:$E$100)*((Personnel!$K$9:$K$100="")+(63&lt;=Personnel!$K$9:$K$100)&gt;0))</f>
        <v/>
      </c>
      <c r="BP43" s="759">
        <f>SUMPRODUCT((Personnel!$P$9:$P$100="SUPER")*(Personnel!$G$9:$G$100="Yes")*(64&gt;=Personnel!$E$9:$E$100)*((Personnel!$K$9:$K$100="")+(64&lt;=Personnel!$K$9:$K$100)&gt;0))</f>
        <v/>
      </c>
      <c r="BQ43" s="759">
        <f>SUMPRODUCT((Personnel!$P$9:$P$100="SUPER")*(Personnel!$G$9:$G$100="Yes")*(65&gt;=Personnel!$E$9:$E$100)*((Personnel!$K$9:$K$100="")+(65&lt;=Personnel!$K$9:$K$100)&gt;0))</f>
        <v/>
      </c>
      <c r="BR43" s="759">
        <f>SUMPRODUCT((Personnel!$P$9:$P$100="SUPER")*(Personnel!$G$9:$G$100="Yes")*(66&gt;=Personnel!$E$9:$E$100)*((Personnel!$K$9:$K$100="")+(66&lt;=Personnel!$K$9:$K$100)&gt;0))</f>
        <v/>
      </c>
      <c r="BS43" s="759">
        <f>SUMPRODUCT((Personnel!$P$9:$P$100="SUPER")*(Personnel!$G$9:$G$100="Yes")*(67&gt;=Personnel!$E$9:$E$100)*((Personnel!$K$9:$K$100="")+(67&lt;=Personnel!$K$9:$K$100)&gt;0))</f>
        <v/>
      </c>
      <c r="BT43" s="759">
        <f>SUMPRODUCT((Personnel!$P$9:$P$100="SUPER")*(Personnel!$G$9:$G$100="Yes")*(68&gt;=Personnel!$E$9:$E$100)*((Personnel!$K$9:$K$100="")+(68&lt;=Personnel!$K$9:$K$100)&gt;0))</f>
        <v/>
      </c>
      <c r="BU43" s="759">
        <f>SUMPRODUCT((Personnel!$P$9:$P$100="SUPER")*(Personnel!$G$9:$G$100="Yes")*(69&gt;=Personnel!$E$9:$E$100)*((Personnel!$K$9:$K$100="")+(69&lt;=Personnel!$K$9:$K$100)&gt;0))</f>
        <v/>
      </c>
      <c r="BV43" s="759">
        <f>SUMPRODUCT((Personnel!$P$9:$P$100="SUPER")*(Personnel!$G$9:$G$100="Yes")*(70&gt;=Personnel!$E$9:$E$100)*((Personnel!$K$9:$K$100="")+(70&lt;=Personnel!$K$9:$K$100)&gt;0))</f>
        <v/>
      </c>
      <c r="BW43" s="759">
        <f>SUMPRODUCT((Personnel!$P$9:$P$100="SUPER")*(Personnel!$G$9:$G$100="Yes")*(71&gt;=Personnel!$E$9:$E$100)*((Personnel!$K$9:$K$100="")+(71&lt;=Personnel!$K$9:$K$100)&gt;0))</f>
        <v/>
      </c>
      <c r="BX43" s="759">
        <f>SUMPRODUCT((Personnel!$P$9:$P$100="SUPER")*(Personnel!$G$9:$G$100="Yes")*(72&gt;=Personnel!$E$9:$E$100)*((Personnel!$K$9:$K$100="")+(72&lt;=Personnel!$K$9:$K$100)&gt;0))</f>
        <v/>
      </c>
      <c r="BY43" s="759">
        <f>SUMPRODUCT((Personnel!$P$9:$P$100="SUPER")*(Personnel!$G$9:$G$100="Yes")*(73&gt;=Personnel!$E$9:$E$100)*((Personnel!$K$9:$K$100="")+(73&lt;=Personnel!$K$9:$K$100)&gt;0))</f>
        <v/>
      </c>
      <c r="BZ43" s="759">
        <f>SUMPRODUCT((Personnel!$P$9:$P$100="SUPER")*(Personnel!$G$9:$G$100="Yes")*(74&gt;=Personnel!$E$9:$E$100)*((Personnel!$K$9:$K$100="")+(74&lt;=Personnel!$K$9:$K$100)&gt;0))</f>
        <v/>
      </c>
      <c r="CA43" s="759">
        <f>SUMPRODUCT((Personnel!$P$9:$P$100="SUPER")*(Personnel!$G$9:$G$100="Yes")*(75&gt;=Personnel!$E$9:$E$100)*((Personnel!$K$9:$K$100="")+(75&lt;=Personnel!$K$9:$K$100)&gt;0))</f>
        <v/>
      </c>
      <c r="CB43" s="759">
        <f>SUMPRODUCT((Personnel!$P$9:$P$100="SUPER")*(Personnel!$G$9:$G$100="Yes")*(76&gt;=Personnel!$E$9:$E$100)*((Personnel!$K$9:$K$100="")+(76&lt;=Personnel!$K$9:$K$100)&gt;0))</f>
        <v/>
      </c>
      <c r="CC43" s="759">
        <f>SUMPRODUCT((Personnel!$P$9:$P$100="SUPER")*(Personnel!$G$9:$G$100="Yes")*(77&gt;=Personnel!$E$9:$E$100)*((Personnel!$K$9:$K$100="")+(77&lt;=Personnel!$K$9:$K$100)&gt;0))</f>
        <v/>
      </c>
      <c r="CD43" s="759">
        <f>SUMPRODUCT((Personnel!$P$9:$P$100="SUPER")*(Personnel!$G$9:$G$100="Yes")*(78&gt;=Personnel!$E$9:$E$100)*((Personnel!$K$9:$K$100="")+(78&lt;=Personnel!$K$9:$K$100)&gt;0))</f>
        <v/>
      </c>
      <c r="CE43" s="759">
        <f>SUMPRODUCT((Personnel!$P$9:$P$100="SUPER")*(Personnel!$G$9:$G$100="Yes")*(79&gt;=Personnel!$E$9:$E$100)*((Personnel!$K$9:$K$100="")+(79&lt;=Personnel!$K$9:$K$100)&gt;0))</f>
        <v/>
      </c>
      <c r="CF43" s="759">
        <f>SUMPRODUCT((Personnel!$P$9:$P$100="SUPER")*(Personnel!$G$9:$G$100="Yes")*(80&gt;=Personnel!$E$9:$E$100)*((Personnel!$K$9:$K$100="")+(80&lt;=Personnel!$K$9:$K$100)&gt;0))</f>
        <v/>
      </c>
      <c r="CG43" s="759">
        <f>SUMPRODUCT((Personnel!$P$9:$P$100="SUPER")*(Personnel!$G$9:$G$100="Yes")*(81&gt;=Personnel!$E$9:$E$100)*((Personnel!$K$9:$K$100="")+(81&lt;=Personnel!$K$9:$K$100)&gt;0))</f>
        <v/>
      </c>
      <c r="CH43" s="759">
        <f>SUMPRODUCT((Personnel!$P$9:$P$100="SUPER")*(Personnel!$G$9:$G$100="Yes")*(82&gt;=Personnel!$E$9:$E$100)*((Personnel!$K$9:$K$100="")+(82&lt;=Personnel!$K$9:$K$100)&gt;0))</f>
        <v/>
      </c>
      <c r="CI43" s="759">
        <f>SUMPRODUCT((Personnel!$P$9:$P$100="SUPER")*(Personnel!$G$9:$G$100="Yes")*(83&gt;=Personnel!$E$9:$E$100)*((Personnel!$K$9:$K$100="")+(83&lt;=Personnel!$K$9:$K$100)&gt;0))</f>
        <v/>
      </c>
      <c r="CJ43" s="759">
        <f>SUMPRODUCT((Personnel!$P$9:$P$100="SUPER")*(Personnel!$G$9:$G$100="Yes")*(84&gt;=Personnel!$E$9:$E$100)*((Personnel!$K$9:$K$100="")+(84&lt;=Personnel!$K$9:$K$100)&gt;0))</f>
        <v/>
      </c>
      <c r="CK43" s="759">
        <f>SUMPRODUCT((Personnel!$P$9:$P$100="SUPER")*(Personnel!$G$9:$G$100="Yes")*(85&gt;=Personnel!$E$9:$E$100)*((Personnel!$K$9:$K$100="")+(85&lt;=Personnel!$K$9:$K$100)&gt;0))</f>
        <v/>
      </c>
      <c r="CL43" s="759">
        <f>SUMPRODUCT((Personnel!$P$9:$P$100="SUPER")*(Personnel!$G$9:$G$100="Yes")*(86&gt;=Personnel!$E$9:$E$100)*((Personnel!$K$9:$K$100="")+(86&lt;=Personnel!$K$9:$K$100)&gt;0))</f>
        <v/>
      </c>
      <c r="CM43" s="759">
        <f>SUMPRODUCT((Personnel!$P$9:$P$100="SUPER")*(Personnel!$G$9:$G$100="Yes")*(87&gt;=Personnel!$E$9:$E$100)*((Personnel!$K$9:$K$100="")+(87&lt;=Personnel!$K$9:$K$100)&gt;0))</f>
        <v/>
      </c>
      <c r="CN43" s="759">
        <f>SUMPRODUCT((Personnel!$P$9:$P$100="SUPER")*(Personnel!$G$9:$G$100="Yes")*(88&gt;=Personnel!$E$9:$E$100)*((Personnel!$K$9:$K$100="")+(88&lt;=Personnel!$K$9:$K$100)&gt;0))</f>
        <v/>
      </c>
      <c r="CO43" s="759">
        <f>SUMPRODUCT((Personnel!$P$9:$P$100="SUPER")*(Personnel!$G$9:$G$100="Yes")*(89&gt;=Personnel!$E$9:$E$100)*((Personnel!$K$9:$K$100="")+(89&lt;=Personnel!$K$9:$K$100)&gt;0))</f>
        <v/>
      </c>
      <c r="CP43" s="759">
        <f>SUMPRODUCT((Personnel!$P$9:$P$100="SUPER")*(Personnel!$G$9:$G$100="Yes")*(90&gt;=Personnel!$E$9:$E$100)*((Personnel!$K$9:$K$100="")+(90&lt;=Personnel!$K$9:$K$100)&gt;0))</f>
        <v/>
      </c>
      <c r="CQ43" s="759">
        <f>SUMPRODUCT((Personnel!$P$9:$P$100="SUPER")*(Personnel!$G$9:$G$100="Yes")*(91&gt;=Personnel!$E$9:$E$100)*((Personnel!$K$9:$K$100="")+(91&lt;=Personnel!$K$9:$K$100)&gt;0))</f>
        <v/>
      </c>
      <c r="CR43" s="759">
        <f>SUMPRODUCT((Personnel!$P$9:$P$100="SUPER")*(Personnel!$G$9:$G$100="Yes")*(92&gt;=Personnel!$E$9:$E$100)*((Personnel!$K$9:$K$100="")+(92&lt;=Personnel!$K$9:$K$100)&gt;0))</f>
        <v/>
      </c>
      <c r="CS43" s="759">
        <f>SUMPRODUCT((Personnel!$P$9:$P$100="SUPER")*(Personnel!$G$9:$G$100="Yes")*(93&gt;=Personnel!$E$9:$E$100)*((Personnel!$K$9:$K$100="")+(93&lt;=Personnel!$K$9:$K$100)&gt;0))</f>
        <v/>
      </c>
      <c r="CT43" s="759">
        <f>SUMPRODUCT((Personnel!$P$9:$P$100="SUPER")*(Personnel!$G$9:$G$100="Yes")*(94&gt;=Personnel!$E$9:$E$100)*((Personnel!$K$9:$K$100="")+(94&lt;=Personnel!$K$9:$K$100)&gt;0))</f>
        <v/>
      </c>
      <c r="CU43" s="759">
        <f>SUMPRODUCT((Personnel!$P$9:$P$100="SUPER")*(Personnel!$G$9:$G$100="Yes")*(95&gt;=Personnel!$E$9:$E$100)*((Personnel!$K$9:$K$100="")+(95&lt;=Personnel!$K$9:$K$100)&gt;0))</f>
        <v/>
      </c>
      <c r="CV43" s="759">
        <f>SUMPRODUCT((Personnel!$P$9:$P$100="SUPER")*(Personnel!$G$9:$G$100="Yes")*(96&gt;=Personnel!$E$9:$E$100)*((Personnel!$K$9:$K$100="")+(96&lt;=Personnel!$K$9:$K$100)&gt;0))</f>
        <v/>
      </c>
      <c r="CW43" s="759">
        <f>SUMPRODUCT((Personnel!$P$9:$P$100="SUPER")*(Personnel!$G$9:$G$100="Yes")*(97&gt;=Personnel!$E$9:$E$100)*((Personnel!$K$9:$K$100="")+(97&lt;=Personnel!$K$9:$K$100)&gt;0))</f>
        <v/>
      </c>
      <c r="CX43" s="759">
        <f>SUMPRODUCT((Personnel!$P$9:$P$100="SUPER")*(Personnel!$G$9:$G$100="Yes")*(98&gt;=Personnel!$E$9:$E$100)*((Personnel!$K$9:$K$100="")+(98&lt;=Personnel!$K$9:$K$100)&gt;0))</f>
        <v/>
      </c>
      <c r="CY43" s="759">
        <f>SUMPRODUCT((Personnel!$P$9:$P$100="SUPER")*(Personnel!$G$9:$G$100="Yes")*(99&gt;=Personnel!$E$9:$E$100)*((Personnel!$K$9:$K$100="")+(99&lt;=Personnel!$K$9:$K$100)&gt;0))</f>
        <v/>
      </c>
      <c r="CZ43" s="759">
        <f>SUMPRODUCT((Personnel!$P$9:$P$100="SUPER")*(Personnel!$G$9:$G$100="Yes")*(100&gt;=Personnel!$E$9:$E$100)*((Personnel!$K$9:$K$100="")+(100&lt;=Personnel!$K$9:$K$100)&gt;0))</f>
        <v/>
      </c>
      <c r="DA43" s="759">
        <f>SUMPRODUCT((Personnel!$P$9:$P$100="SUPER")*(Personnel!$G$9:$G$100="Yes")*(101&gt;=Personnel!$E$9:$E$100)*((Personnel!$K$9:$K$100="")+(101&lt;=Personnel!$K$9:$K$100)&gt;0))</f>
        <v/>
      </c>
      <c r="DB43" s="759">
        <f>SUMPRODUCT((Personnel!$P$9:$P$100="SUPER")*(Personnel!$G$9:$G$100="Yes")*(102&gt;=Personnel!$E$9:$E$100)*((Personnel!$K$9:$K$100="")+(102&lt;=Personnel!$K$9:$K$100)&gt;0))</f>
        <v/>
      </c>
      <c r="DC43" s="759">
        <f>SUMPRODUCT((Personnel!$P$9:$P$100="SUPER")*(Personnel!$G$9:$G$100="Yes")*(103&gt;=Personnel!$E$9:$E$100)*((Personnel!$K$9:$K$100="")+(103&lt;=Personnel!$K$9:$K$100)&gt;0))</f>
        <v/>
      </c>
      <c r="DD43" s="759">
        <f>SUMPRODUCT((Personnel!$P$9:$P$100="SUPER")*(Personnel!$G$9:$G$100="Yes")*(104&gt;=Personnel!$E$9:$E$100)*((Personnel!$K$9:$K$100="")+(104&lt;=Personnel!$K$9:$K$100)&gt;0))</f>
        <v/>
      </c>
      <c r="DE43" s="759">
        <f>SUMPRODUCT((Personnel!$P$9:$P$100="SUPER")*(Personnel!$G$9:$G$100="Yes")*(105&gt;=Personnel!$E$9:$E$100)*((Personnel!$K$9:$K$100="")+(105&lt;=Personnel!$K$9:$K$100)&gt;0))</f>
        <v/>
      </c>
    </row>
    <row r="44">
      <c r="A44" s="586" t="inlineStr">
        <is>
          <t>APMs - named staff</t>
        </is>
      </c>
      <c r="E44" s="759">
        <f>SUMPRODUCT((Personnel!$P$9:$P$100="APM")*(Personnel!$G$9:$G$100="Yes")*(1&gt;=Personnel!$E$9:$E$100)*((Personnel!$K$9:$K$100="")+(1&lt;=Personnel!$K$9:$K$100)&gt;0))</f>
        <v/>
      </c>
      <c r="F44" s="759">
        <f>SUMPRODUCT((Personnel!$P$9:$P$100="APM")*(Personnel!$G$9:$G$100="Yes")*(2&gt;=Personnel!$E$9:$E$100)*((Personnel!$K$9:$K$100="")+(2&lt;=Personnel!$K$9:$K$100)&gt;0))</f>
        <v/>
      </c>
      <c r="G44" s="759">
        <f>SUMPRODUCT((Personnel!$P$9:$P$100="APM")*(Personnel!$G$9:$G$100="Yes")*(3&gt;=Personnel!$E$9:$E$100)*((Personnel!$K$9:$K$100="")+(3&lt;=Personnel!$K$9:$K$100)&gt;0))</f>
        <v/>
      </c>
      <c r="H44" s="759">
        <f>SUMPRODUCT((Personnel!$P$9:$P$100="APM")*(Personnel!$G$9:$G$100="Yes")*(4&gt;=Personnel!$E$9:$E$100)*((Personnel!$K$9:$K$100="")+(4&lt;=Personnel!$K$9:$K$100)&gt;0))</f>
        <v/>
      </c>
      <c r="I44" s="759">
        <f>SUMPRODUCT((Personnel!$P$9:$P$100="APM")*(Personnel!$G$9:$G$100="Yes")*(5&gt;=Personnel!$E$9:$E$100)*((Personnel!$K$9:$K$100="")+(5&lt;=Personnel!$K$9:$K$100)&gt;0))</f>
        <v/>
      </c>
      <c r="J44" s="759">
        <f>SUMPRODUCT((Personnel!$P$9:$P$100="APM")*(Personnel!$G$9:$G$100="Yes")*(6&gt;=Personnel!$E$9:$E$100)*((Personnel!$K$9:$K$100="")+(6&lt;=Personnel!$K$9:$K$100)&gt;0))</f>
        <v/>
      </c>
      <c r="K44" s="759">
        <f>SUMPRODUCT((Personnel!$P$9:$P$100="APM")*(Personnel!$G$9:$G$100="Yes")*(7&gt;=Personnel!$E$9:$E$100)*((Personnel!$K$9:$K$100="")+(7&lt;=Personnel!$K$9:$K$100)&gt;0))</f>
        <v/>
      </c>
      <c r="L44" s="759">
        <f>SUMPRODUCT((Personnel!$P$9:$P$100="APM")*(Personnel!$G$9:$G$100="Yes")*(8&gt;=Personnel!$E$9:$E$100)*((Personnel!$K$9:$K$100="")+(8&lt;=Personnel!$K$9:$K$100)&gt;0))</f>
        <v/>
      </c>
      <c r="M44" s="759">
        <f>SUMPRODUCT((Personnel!$P$9:$P$100="APM")*(Personnel!$G$9:$G$100="Yes")*(9&gt;=Personnel!$E$9:$E$100)*((Personnel!$K$9:$K$100="")+(9&lt;=Personnel!$K$9:$K$100)&gt;0))</f>
        <v/>
      </c>
      <c r="N44" s="759">
        <f>SUMPRODUCT((Personnel!$P$9:$P$100="APM")*(Personnel!$G$9:$G$100="Yes")*(10&gt;=Personnel!$E$9:$E$100)*((Personnel!$K$9:$K$100="")+(10&lt;=Personnel!$K$9:$K$100)&gt;0))</f>
        <v/>
      </c>
      <c r="O44" s="759">
        <f>SUMPRODUCT((Personnel!$P$9:$P$100="APM")*(Personnel!$G$9:$G$100="Yes")*(11&gt;=Personnel!$E$9:$E$100)*((Personnel!$K$9:$K$100="")+(11&lt;=Personnel!$K$9:$K$100)&gt;0))</f>
        <v/>
      </c>
      <c r="P44" s="759">
        <f>SUMPRODUCT((Personnel!$P$9:$P$100="APM")*(Personnel!$G$9:$G$100="Yes")*(12&gt;=Personnel!$E$9:$E$100)*((Personnel!$K$9:$K$100="")+(12&lt;=Personnel!$K$9:$K$100)&gt;0))</f>
        <v/>
      </c>
      <c r="Q44" s="759">
        <f>SUMPRODUCT((Personnel!$P$9:$P$100="APM")*(Personnel!$G$9:$G$100="Yes")*(13&gt;=Personnel!$E$9:$E$100)*((Personnel!$K$9:$K$100="")+(13&lt;=Personnel!$K$9:$K$100)&gt;0))</f>
        <v/>
      </c>
      <c r="R44" s="759">
        <f>SUMPRODUCT((Personnel!$P$9:$P$100="APM")*(Personnel!$G$9:$G$100="Yes")*(14&gt;=Personnel!$E$9:$E$100)*((Personnel!$K$9:$K$100="")+(14&lt;=Personnel!$K$9:$K$100)&gt;0))</f>
        <v/>
      </c>
      <c r="S44" s="759">
        <f>SUMPRODUCT((Personnel!$P$9:$P$100="APM")*(Personnel!$G$9:$G$100="Yes")*(15&gt;=Personnel!$E$9:$E$100)*((Personnel!$K$9:$K$100="")+(15&lt;=Personnel!$K$9:$K$100)&gt;0))</f>
        <v/>
      </c>
      <c r="T44" s="759">
        <f>SUMPRODUCT((Personnel!$P$9:$P$100="APM")*(Personnel!$G$9:$G$100="Yes")*(16&gt;=Personnel!$E$9:$E$100)*((Personnel!$K$9:$K$100="")+(16&lt;=Personnel!$K$9:$K$100)&gt;0))</f>
        <v/>
      </c>
      <c r="U44" s="759">
        <f>SUMPRODUCT((Personnel!$P$9:$P$100="APM")*(Personnel!$G$9:$G$100="Yes")*(17&gt;=Personnel!$E$9:$E$100)*((Personnel!$K$9:$K$100="")+(17&lt;=Personnel!$K$9:$K$100)&gt;0))</f>
        <v/>
      </c>
      <c r="V44" s="759">
        <f>SUMPRODUCT((Personnel!$P$9:$P$100="APM")*(Personnel!$G$9:$G$100="Yes")*(18&gt;=Personnel!$E$9:$E$100)*((Personnel!$K$9:$K$100="")+(18&lt;=Personnel!$K$9:$K$100)&gt;0))</f>
        <v/>
      </c>
      <c r="W44" s="759">
        <f>SUMPRODUCT((Personnel!$P$9:$P$100="APM")*(Personnel!$G$9:$G$100="Yes")*(19&gt;=Personnel!$E$9:$E$100)*((Personnel!$K$9:$K$100="")+(19&lt;=Personnel!$K$9:$K$100)&gt;0))</f>
        <v/>
      </c>
      <c r="X44" s="759">
        <f>SUMPRODUCT((Personnel!$P$9:$P$100="APM")*(Personnel!$G$9:$G$100="Yes")*(20&gt;=Personnel!$E$9:$E$100)*((Personnel!$K$9:$K$100="")+(20&lt;=Personnel!$K$9:$K$100)&gt;0))</f>
        <v/>
      </c>
      <c r="Y44" s="759">
        <f>SUMPRODUCT((Personnel!$P$9:$P$100="APM")*(Personnel!$G$9:$G$100="Yes")*(21&gt;=Personnel!$E$9:$E$100)*((Personnel!$K$9:$K$100="")+(21&lt;=Personnel!$K$9:$K$100)&gt;0))</f>
        <v/>
      </c>
      <c r="Z44" s="759">
        <f>SUMPRODUCT((Personnel!$P$9:$P$100="APM")*(Personnel!$G$9:$G$100="Yes")*(22&gt;=Personnel!$E$9:$E$100)*((Personnel!$K$9:$K$100="")+(22&lt;=Personnel!$K$9:$K$100)&gt;0))</f>
        <v/>
      </c>
      <c r="AA44" s="759">
        <f>SUMPRODUCT((Personnel!$P$9:$P$100="APM")*(Personnel!$G$9:$G$100="Yes")*(23&gt;=Personnel!$E$9:$E$100)*((Personnel!$K$9:$K$100="")+(23&lt;=Personnel!$K$9:$K$100)&gt;0))</f>
        <v/>
      </c>
      <c r="AB44" s="759">
        <f>SUMPRODUCT((Personnel!$P$9:$P$100="APM")*(Personnel!$G$9:$G$100="Yes")*(24&gt;=Personnel!$E$9:$E$100)*((Personnel!$K$9:$K$100="")+(24&lt;=Personnel!$K$9:$K$100)&gt;0))</f>
        <v/>
      </c>
      <c r="AC44" s="759">
        <f>SUMPRODUCT((Personnel!$P$9:$P$100="APM")*(Personnel!$G$9:$G$100="Yes")*(25&gt;=Personnel!$E$9:$E$100)*((Personnel!$K$9:$K$100="")+(25&lt;=Personnel!$K$9:$K$100)&gt;0))</f>
        <v/>
      </c>
      <c r="AD44" s="759">
        <f>SUMPRODUCT((Personnel!$P$9:$P$100="APM")*(Personnel!$G$9:$G$100="Yes")*(26&gt;=Personnel!$E$9:$E$100)*((Personnel!$K$9:$K$100="")+(26&lt;=Personnel!$K$9:$K$100)&gt;0))</f>
        <v/>
      </c>
      <c r="AE44" s="759">
        <f>SUMPRODUCT((Personnel!$P$9:$P$100="APM")*(Personnel!$G$9:$G$100="Yes")*(27&gt;=Personnel!$E$9:$E$100)*((Personnel!$K$9:$K$100="")+(27&lt;=Personnel!$K$9:$K$100)&gt;0))</f>
        <v/>
      </c>
      <c r="AF44" s="759">
        <f>SUMPRODUCT((Personnel!$P$9:$P$100="APM")*(Personnel!$G$9:$G$100="Yes")*(28&gt;=Personnel!$E$9:$E$100)*((Personnel!$K$9:$K$100="")+(28&lt;=Personnel!$K$9:$K$100)&gt;0))</f>
        <v/>
      </c>
      <c r="AG44" s="759">
        <f>SUMPRODUCT((Personnel!$P$9:$P$100="APM")*(Personnel!$G$9:$G$100="Yes")*(29&gt;=Personnel!$E$9:$E$100)*((Personnel!$K$9:$K$100="")+(29&lt;=Personnel!$K$9:$K$100)&gt;0))</f>
        <v/>
      </c>
      <c r="AH44" s="759">
        <f>SUMPRODUCT((Personnel!$P$9:$P$100="APM")*(Personnel!$G$9:$G$100="Yes")*(30&gt;=Personnel!$E$9:$E$100)*((Personnel!$K$9:$K$100="")+(30&lt;=Personnel!$K$9:$K$100)&gt;0))</f>
        <v/>
      </c>
      <c r="AI44" s="759">
        <f>SUMPRODUCT((Personnel!$P$9:$P$100="APM")*(Personnel!$G$9:$G$100="Yes")*(31&gt;=Personnel!$E$9:$E$100)*((Personnel!$K$9:$K$100="")+(31&lt;=Personnel!$K$9:$K$100)&gt;0))</f>
        <v/>
      </c>
      <c r="AJ44" s="759">
        <f>SUMPRODUCT((Personnel!$P$9:$P$100="APM")*(Personnel!$G$9:$G$100="Yes")*(32&gt;=Personnel!$E$9:$E$100)*((Personnel!$K$9:$K$100="")+(32&lt;=Personnel!$K$9:$K$100)&gt;0))</f>
        <v/>
      </c>
      <c r="AK44" s="759">
        <f>SUMPRODUCT((Personnel!$P$9:$P$100="APM")*(Personnel!$G$9:$G$100="Yes")*(33&gt;=Personnel!$E$9:$E$100)*((Personnel!$K$9:$K$100="")+(33&lt;=Personnel!$K$9:$K$100)&gt;0))</f>
        <v/>
      </c>
      <c r="AL44" s="759">
        <f>SUMPRODUCT((Personnel!$P$9:$P$100="APM")*(Personnel!$G$9:$G$100="Yes")*(34&gt;=Personnel!$E$9:$E$100)*((Personnel!$K$9:$K$100="")+(34&lt;=Personnel!$K$9:$K$100)&gt;0))</f>
        <v/>
      </c>
      <c r="AM44" s="759">
        <f>SUMPRODUCT((Personnel!$P$9:$P$100="APM")*(Personnel!$G$9:$G$100="Yes")*(35&gt;=Personnel!$E$9:$E$100)*((Personnel!$K$9:$K$100="")+(35&lt;=Personnel!$K$9:$K$100)&gt;0))</f>
        <v/>
      </c>
      <c r="AN44" s="759">
        <f>SUMPRODUCT((Personnel!$P$9:$P$100="APM")*(Personnel!$G$9:$G$100="Yes")*(36&gt;=Personnel!$E$9:$E$100)*((Personnel!$K$9:$K$100="")+(36&lt;=Personnel!$K$9:$K$100)&gt;0))</f>
        <v/>
      </c>
      <c r="AO44" s="759">
        <f>SUMPRODUCT((Personnel!$P$9:$P$100="APM")*(Personnel!$G$9:$G$100="Yes")*(37&gt;=Personnel!$E$9:$E$100)*((Personnel!$K$9:$K$100="")+(37&lt;=Personnel!$K$9:$K$100)&gt;0))</f>
        <v/>
      </c>
      <c r="AP44" s="759">
        <f>SUMPRODUCT((Personnel!$P$9:$P$100="APM")*(Personnel!$G$9:$G$100="Yes")*(38&gt;=Personnel!$E$9:$E$100)*((Personnel!$K$9:$K$100="")+(38&lt;=Personnel!$K$9:$K$100)&gt;0))</f>
        <v/>
      </c>
      <c r="AQ44" s="759">
        <f>SUMPRODUCT((Personnel!$P$9:$P$100="APM")*(Personnel!$G$9:$G$100="Yes")*(39&gt;=Personnel!$E$9:$E$100)*((Personnel!$K$9:$K$100="")+(39&lt;=Personnel!$K$9:$K$100)&gt;0))</f>
        <v/>
      </c>
      <c r="AR44" s="759">
        <f>SUMPRODUCT((Personnel!$P$9:$P$100="APM")*(Personnel!$G$9:$G$100="Yes")*(40&gt;=Personnel!$E$9:$E$100)*((Personnel!$K$9:$K$100="")+(40&lt;=Personnel!$K$9:$K$100)&gt;0))</f>
        <v/>
      </c>
      <c r="AS44" s="759">
        <f>SUMPRODUCT((Personnel!$P$9:$P$100="APM")*(Personnel!$G$9:$G$100="Yes")*(41&gt;=Personnel!$E$9:$E$100)*((Personnel!$K$9:$K$100="")+(41&lt;=Personnel!$K$9:$K$100)&gt;0))</f>
        <v/>
      </c>
      <c r="AT44" s="759">
        <f>SUMPRODUCT((Personnel!$P$9:$P$100="APM")*(Personnel!$G$9:$G$100="Yes")*(42&gt;=Personnel!$E$9:$E$100)*((Personnel!$K$9:$K$100="")+(42&lt;=Personnel!$K$9:$K$100)&gt;0))</f>
        <v/>
      </c>
      <c r="AU44" s="759">
        <f>SUMPRODUCT((Personnel!$P$9:$P$100="APM")*(Personnel!$G$9:$G$100="Yes")*(43&gt;=Personnel!$E$9:$E$100)*((Personnel!$K$9:$K$100="")+(43&lt;=Personnel!$K$9:$K$100)&gt;0))</f>
        <v/>
      </c>
      <c r="AV44" s="759">
        <f>SUMPRODUCT((Personnel!$P$9:$P$100="APM")*(Personnel!$G$9:$G$100="Yes")*(44&gt;=Personnel!$E$9:$E$100)*((Personnel!$K$9:$K$100="")+(44&lt;=Personnel!$K$9:$K$100)&gt;0))</f>
        <v/>
      </c>
      <c r="AW44" s="759">
        <f>SUMPRODUCT((Personnel!$P$9:$P$100="APM")*(Personnel!$G$9:$G$100="Yes")*(45&gt;=Personnel!$E$9:$E$100)*((Personnel!$K$9:$K$100="")+(45&lt;=Personnel!$K$9:$K$100)&gt;0))</f>
        <v/>
      </c>
      <c r="AX44" s="759">
        <f>SUMPRODUCT((Personnel!$P$9:$P$100="APM")*(Personnel!$G$9:$G$100="Yes")*(46&gt;=Personnel!$E$9:$E$100)*((Personnel!$K$9:$K$100="")+(46&lt;=Personnel!$K$9:$K$100)&gt;0))</f>
        <v/>
      </c>
      <c r="AY44" s="759">
        <f>SUMPRODUCT((Personnel!$P$9:$P$100="APM")*(Personnel!$G$9:$G$100="Yes")*(47&gt;=Personnel!$E$9:$E$100)*((Personnel!$K$9:$K$100="")+(47&lt;=Personnel!$K$9:$K$100)&gt;0))</f>
        <v/>
      </c>
      <c r="AZ44" s="759">
        <f>SUMPRODUCT((Personnel!$P$9:$P$100="APM")*(Personnel!$G$9:$G$100="Yes")*(48&gt;=Personnel!$E$9:$E$100)*((Personnel!$K$9:$K$100="")+(48&lt;=Personnel!$K$9:$K$100)&gt;0))</f>
        <v/>
      </c>
      <c r="BA44" s="759">
        <f>SUMPRODUCT((Personnel!$P$9:$P$100="APM")*(Personnel!$G$9:$G$100="Yes")*(49&gt;=Personnel!$E$9:$E$100)*((Personnel!$K$9:$K$100="")+(49&lt;=Personnel!$K$9:$K$100)&gt;0))</f>
        <v/>
      </c>
      <c r="BB44" s="759">
        <f>SUMPRODUCT((Personnel!$P$9:$P$100="APM")*(Personnel!$G$9:$G$100="Yes")*(50&gt;=Personnel!$E$9:$E$100)*((Personnel!$K$9:$K$100="")+(50&lt;=Personnel!$K$9:$K$100)&gt;0))</f>
        <v/>
      </c>
      <c r="BC44" s="759">
        <f>SUMPRODUCT((Personnel!$P$9:$P$100="APM")*(Personnel!$G$9:$G$100="Yes")*(51&gt;=Personnel!$E$9:$E$100)*((Personnel!$K$9:$K$100="")+(51&lt;=Personnel!$K$9:$K$100)&gt;0))</f>
        <v/>
      </c>
      <c r="BD44" s="759">
        <f>SUMPRODUCT((Personnel!$P$9:$P$100="APM")*(Personnel!$G$9:$G$100="Yes")*(52&gt;=Personnel!$E$9:$E$100)*((Personnel!$K$9:$K$100="")+(52&lt;=Personnel!$K$9:$K$100)&gt;0))</f>
        <v/>
      </c>
      <c r="BE44" s="759">
        <f>SUMPRODUCT((Personnel!$P$9:$P$100="APM")*(Personnel!$G$9:$G$100="Yes")*(53&gt;=Personnel!$E$9:$E$100)*((Personnel!$K$9:$K$100="")+(53&lt;=Personnel!$K$9:$K$100)&gt;0))</f>
        <v/>
      </c>
      <c r="BF44" s="759">
        <f>SUMPRODUCT((Personnel!$P$9:$P$100="APM")*(Personnel!$G$9:$G$100="Yes")*(54&gt;=Personnel!$E$9:$E$100)*((Personnel!$K$9:$K$100="")+(54&lt;=Personnel!$K$9:$K$100)&gt;0))</f>
        <v/>
      </c>
      <c r="BG44" s="759">
        <f>SUMPRODUCT((Personnel!$P$9:$P$100="APM")*(Personnel!$G$9:$G$100="Yes")*(55&gt;=Personnel!$E$9:$E$100)*((Personnel!$K$9:$K$100="")+(55&lt;=Personnel!$K$9:$K$100)&gt;0))</f>
        <v/>
      </c>
      <c r="BH44" s="759">
        <f>SUMPRODUCT((Personnel!$P$9:$P$100="APM")*(Personnel!$G$9:$G$100="Yes")*(56&gt;=Personnel!$E$9:$E$100)*((Personnel!$K$9:$K$100="")+(56&lt;=Personnel!$K$9:$K$100)&gt;0))</f>
        <v/>
      </c>
      <c r="BI44" s="759">
        <f>SUMPRODUCT((Personnel!$P$9:$P$100="APM")*(Personnel!$G$9:$G$100="Yes")*(57&gt;=Personnel!$E$9:$E$100)*((Personnel!$K$9:$K$100="")+(57&lt;=Personnel!$K$9:$K$100)&gt;0))</f>
        <v/>
      </c>
      <c r="BJ44" s="759">
        <f>SUMPRODUCT((Personnel!$P$9:$P$100="APM")*(Personnel!$G$9:$G$100="Yes")*(58&gt;=Personnel!$E$9:$E$100)*((Personnel!$K$9:$K$100="")+(58&lt;=Personnel!$K$9:$K$100)&gt;0))</f>
        <v/>
      </c>
      <c r="BK44" s="759">
        <f>SUMPRODUCT((Personnel!$P$9:$P$100="APM")*(Personnel!$G$9:$G$100="Yes")*(59&gt;=Personnel!$E$9:$E$100)*((Personnel!$K$9:$K$100="")+(59&lt;=Personnel!$K$9:$K$100)&gt;0))</f>
        <v/>
      </c>
      <c r="BL44" s="759">
        <f>SUMPRODUCT((Personnel!$P$9:$P$100="APM")*(Personnel!$G$9:$G$100="Yes")*(60&gt;=Personnel!$E$9:$E$100)*((Personnel!$K$9:$K$100="")+(60&lt;=Personnel!$K$9:$K$100)&gt;0))</f>
        <v/>
      </c>
      <c r="BM44" s="759">
        <f>SUMPRODUCT((Personnel!$P$9:$P$100="APM")*(Personnel!$G$9:$G$100="Yes")*(61&gt;=Personnel!$E$9:$E$100)*((Personnel!$K$9:$K$100="")+(61&lt;=Personnel!$K$9:$K$100)&gt;0))</f>
        <v/>
      </c>
      <c r="BN44" s="759">
        <f>SUMPRODUCT((Personnel!$P$9:$P$100="APM")*(Personnel!$G$9:$G$100="Yes")*(62&gt;=Personnel!$E$9:$E$100)*((Personnel!$K$9:$K$100="")+(62&lt;=Personnel!$K$9:$K$100)&gt;0))</f>
        <v/>
      </c>
      <c r="BO44" s="759">
        <f>SUMPRODUCT((Personnel!$P$9:$P$100="APM")*(Personnel!$G$9:$G$100="Yes")*(63&gt;=Personnel!$E$9:$E$100)*((Personnel!$K$9:$K$100="")+(63&lt;=Personnel!$K$9:$K$100)&gt;0))</f>
        <v/>
      </c>
      <c r="BP44" s="759">
        <f>SUMPRODUCT((Personnel!$P$9:$P$100="APM")*(Personnel!$G$9:$G$100="Yes")*(64&gt;=Personnel!$E$9:$E$100)*((Personnel!$K$9:$K$100="")+(64&lt;=Personnel!$K$9:$K$100)&gt;0))</f>
        <v/>
      </c>
      <c r="BQ44" s="759">
        <f>SUMPRODUCT((Personnel!$P$9:$P$100="APM")*(Personnel!$G$9:$G$100="Yes")*(65&gt;=Personnel!$E$9:$E$100)*((Personnel!$K$9:$K$100="")+(65&lt;=Personnel!$K$9:$K$100)&gt;0))</f>
        <v/>
      </c>
      <c r="BR44" s="759">
        <f>SUMPRODUCT((Personnel!$P$9:$P$100="APM")*(Personnel!$G$9:$G$100="Yes")*(66&gt;=Personnel!$E$9:$E$100)*((Personnel!$K$9:$K$100="")+(66&lt;=Personnel!$K$9:$K$100)&gt;0))</f>
        <v/>
      </c>
      <c r="BS44" s="759">
        <f>SUMPRODUCT((Personnel!$P$9:$P$100="APM")*(Personnel!$G$9:$G$100="Yes")*(67&gt;=Personnel!$E$9:$E$100)*((Personnel!$K$9:$K$100="")+(67&lt;=Personnel!$K$9:$K$100)&gt;0))</f>
        <v/>
      </c>
      <c r="BT44" s="759">
        <f>SUMPRODUCT((Personnel!$P$9:$P$100="APM")*(Personnel!$G$9:$G$100="Yes")*(68&gt;=Personnel!$E$9:$E$100)*((Personnel!$K$9:$K$100="")+(68&lt;=Personnel!$K$9:$K$100)&gt;0))</f>
        <v/>
      </c>
      <c r="BU44" s="759">
        <f>SUMPRODUCT((Personnel!$P$9:$P$100="APM")*(Personnel!$G$9:$G$100="Yes")*(69&gt;=Personnel!$E$9:$E$100)*((Personnel!$K$9:$K$100="")+(69&lt;=Personnel!$K$9:$K$100)&gt;0))</f>
        <v/>
      </c>
      <c r="BV44" s="759">
        <f>SUMPRODUCT((Personnel!$P$9:$P$100="APM")*(Personnel!$G$9:$G$100="Yes")*(70&gt;=Personnel!$E$9:$E$100)*((Personnel!$K$9:$K$100="")+(70&lt;=Personnel!$K$9:$K$100)&gt;0))</f>
        <v/>
      </c>
      <c r="BW44" s="759">
        <f>SUMPRODUCT((Personnel!$P$9:$P$100="APM")*(Personnel!$G$9:$G$100="Yes")*(71&gt;=Personnel!$E$9:$E$100)*((Personnel!$K$9:$K$100="")+(71&lt;=Personnel!$K$9:$K$100)&gt;0))</f>
        <v/>
      </c>
      <c r="BX44" s="759">
        <f>SUMPRODUCT((Personnel!$P$9:$P$100="APM")*(Personnel!$G$9:$G$100="Yes")*(72&gt;=Personnel!$E$9:$E$100)*((Personnel!$K$9:$K$100="")+(72&lt;=Personnel!$K$9:$K$100)&gt;0))</f>
        <v/>
      </c>
      <c r="BY44" s="759">
        <f>SUMPRODUCT((Personnel!$P$9:$P$100="APM")*(Personnel!$G$9:$G$100="Yes")*(73&gt;=Personnel!$E$9:$E$100)*((Personnel!$K$9:$K$100="")+(73&lt;=Personnel!$K$9:$K$100)&gt;0))</f>
        <v/>
      </c>
      <c r="BZ44" s="759">
        <f>SUMPRODUCT((Personnel!$P$9:$P$100="APM")*(Personnel!$G$9:$G$100="Yes")*(74&gt;=Personnel!$E$9:$E$100)*((Personnel!$K$9:$K$100="")+(74&lt;=Personnel!$K$9:$K$100)&gt;0))</f>
        <v/>
      </c>
      <c r="CA44" s="759">
        <f>SUMPRODUCT((Personnel!$P$9:$P$100="APM")*(Personnel!$G$9:$G$100="Yes")*(75&gt;=Personnel!$E$9:$E$100)*((Personnel!$K$9:$K$100="")+(75&lt;=Personnel!$K$9:$K$100)&gt;0))</f>
        <v/>
      </c>
      <c r="CB44" s="759">
        <f>SUMPRODUCT((Personnel!$P$9:$P$100="APM")*(Personnel!$G$9:$G$100="Yes")*(76&gt;=Personnel!$E$9:$E$100)*((Personnel!$K$9:$K$100="")+(76&lt;=Personnel!$K$9:$K$100)&gt;0))</f>
        <v/>
      </c>
      <c r="CC44" s="759">
        <f>SUMPRODUCT((Personnel!$P$9:$P$100="APM")*(Personnel!$G$9:$G$100="Yes")*(77&gt;=Personnel!$E$9:$E$100)*((Personnel!$K$9:$K$100="")+(77&lt;=Personnel!$K$9:$K$100)&gt;0))</f>
        <v/>
      </c>
      <c r="CD44" s="759">
        <f>SUMPRODUCT((Personnel!$P$9:$P$100="APM")*(Personnel!$G$9:$G$100="Yes")*(78&gt;=Personnel!$E$9:$E$100)*((Personnel!$K$9:$K$100="")+(78&lt;=Personnel!$K$9:$K$100)&gt;0))</f>
        <v/>
      </c>
      <c r="CE44" s="759">
        <f>SUMPRODUCT((Personnel!$P$9:$P$100="APM")*(Personnel!$G$9:$G$100="Yes")*(79&gt;=Personnel!$E$9:$E$100)*((Personnel!$K$9:$K$100="")+(79&lt;=Personnel!$K$9:$K$100)&gt;0))</f>
        <v/>
      </c>
      <c r="CF44" s="759">
        <f>SUMPRODUCT((Personnel!$P$9:$P$100="APM")*(Personnel!$G$9:$G$100="Yes")*(80&gt;=Personnel!$E$9:$E$100)*((Personnel!$K$9:$K$100="")+(80&lt;=Personnel!$K$9:$K$100)&gt;0))</f>
        <v/>
      </c>
      <c r="CG44" s="759">
        <f>SUMPRODUCT((Personnel!$P$9:$P$100="APM")*(Personnel!$G$9:$G$100="Yes")*(81&gt;=Personnel!$E$9:$E$100)*((Personnel!$K$9:$K$100="")+(81&lt;=Personnel!$K$9:$K$100)&gt;0))</f>
        <v/>
      </c>
      <c r="CH44" s="759">
        <f>SUMPRODUCT((Personnel!$P$9:$P$100="APM")*(Personnel!$G$9:$G$100="Yes")*(82&gt;=Personnel!$E$9:$E$100)*((Personnel!$K$9:$K$100="")+(82&lt;=Personnel!$K$9:$K$100)&gt;0))</f>
        <v/>
      </c>
      <c r="CI44" s="759">
        <f>SUMPRODUCT((Personnel!$P$9:$P$100="APM")*(Personnel!$G$9:$G$100="Yes")*(83&gt;=Personnel!$E$9:$E$100)*((Personnel!$K$9:$K$100="")+(83&lt;=Personnel!$K$9:$K$100)&gt;0))</f>
        <v/>
      </c>
      <c r="CJ44" s="759">
        <f>SUMPRODUCT((Personnel!$P$9:$P$100="APM")*(Personnel!$G$9:$G$100="Yes")*(84&gt;=Personnel!$E$9:$E$100)*((Personnel!$K$9:$K$100="")+(84&lt;=Personnel!$K$9:$K$100)&gt;0))</f>
        <v/>
      </c>
      <c r="CK44" s="759">
        <f>SUMPRODUCT((Personnel!$P$9:$P$100="APM")*(Personnel!$G$9:$G$100="Yes")*(85&gt;=Personnel!$E$9:$E$100)*((Personnel!$K$9:$K$100="")+(85&lt;=Personnel!$K$9:$K$100)&gt;0))</f>
        <v/>
      </c>
      <c r="CL44" s="759">
        <f>SUMPRODUCT((Personnel!$P$9:$P$100="APM")*(Personnel!$G$9:$G$100="Yes")*(86&gt;=Personnel!$E$9:$E$100)*((Personnel!$K$9:$K$100="")+(86&lt;=Personnel!$K$9:$K$100)&gt;0))</f>
        <v/>
      </c>
      <c r="CM44" s="759">
        <f>SUMPRODUCT((Personnel!$P$9:$P$100="APM")*(Personnel!$G$9:$G$100="Yes")*(87&gt;=Personnel!$E$9:$E$100)*((Personnel!$K$9:$K$100="")+(87&lt;=Personnel!$K$9:$K$100)&gt;0))</f>
        <v/>
      </c>
      <c r="CN44" s="759">
        <f>SUMPRODUCT((Personnel!$P$9:$P$100="APM")*(Personnel!$G$9:$G$100="Yes")*(88&gt;=Personnel!$E$9:$E$100)*((Personnel!$K$9:$K$100="")+(88&lt;=Personnel!$K$9:$K$100)&gt;0))</f>
        <v/>
      </c>
      <c r="CO44" s="759">
        <f>SUMPRODUCT((Personnel!$P$9:$P$100="APM")*(Personnel!$G$9:$G$100="Yes")*(89&gt;=Personnel!$E$9:$E$100)*((Personnel!$K$9:$K$100="")+(89&lt;=Personnel!$K$9:$K$100)&gt;0))</f>
        <v/>
      </c>
      <c r="CP44" s="759">
        <f>SUMPRODUCT((Personnel!$P$9:$P$100="APM")*(Personnel!$G$9:$G$100="Yes")*(90&gt;=Personnel!$E$9:$E$100)*((Personnel!$K$9:$K$100="")+(90&lt;=Personnel!$K$9:$K$100)&gt;0))</f>
        <v/>
      </c>
      <c r="CQ44" s="759">
        <f>SUMPRODUCT((Personnel!$P$9:$P$100="APM")*(Personnel!$G$9:$G$100="Yes")*(91&gt;=Personnel!$E$9:$E$100)*((Personnel!$K$9:$K$100="")+(91&lt;=Personnel!$K$9:$K$100)&gt;0))</f>
        <v/>
      </c>
      <c r="CR44" s="759">
        <f>SUMPRODUCT((Personnel!$P$9:$P$100="APM")*(Personnel!$G$9:$G$100="Yes")*(92&gt;=Personnel!$E$9:$E$100)*((Personnel!$K$9:$K$100="")+(92&lt;=Personnel!$K$9:$K$100)&gt;0))</f>
        <v/>
      </c>
      <c r="CS44" s="759">
        <f>SUMPRODUCT((Personnel!$P$9:$P$100="APM")*(Personnel!$G$9:$G$100="Yes")*(93&gt;=Personnel!$E$9:$E$100)*((Personnel!$K$9:$K$100="")+(93&lt;=Personnel!$K$9:$K$100)&gt;0))</f>
        <v/>
      </c>
      <c r="CT44" s="759">
        <f>SUMPRODUCT((Personnel!$P$9:$P$100="APM")*(Personnel!$G$9:$G$100="Yes")*(94&gt;=Personnel!$E$9:$E$100)*((Personnel!$K$9:$K$100="")+(94&lt;=Personnel!$K$9:$K$100)&gt;0))</f>
        <v/>
      </c>
      <c r="CU44" s="759">
        <f>SUMPRODUCT((Personnel!$P$9:$P$100="APM")*(Personnel!$G$9:$G$100="Yes")*(95&gt;=Personnel!$E$9:$E$100)*((Personnel!$K$9:$K$100="")+(95&lt;=Personnel!$K$9:$K$100)&gt;0))</f>
        <v/>
      </c>
      <c r="CV44" s="759">
        <f>SUMPRODUCT((Personnel!$P$9:$P$100="APM")*(Personnel!$G$9:$G$100="Yes")*(96&gt;=Personnel!$E$9:$E$100)*((Personnel!$K$9:$K$100="")+(96&lt;=Personnel!$K$9:$K$100)&gt;0))</f>
        <v/>
      </c>
      <c r="CW44" s="759">
        <f>SUMPRODUCT((Personnel!$P$9:$P$100="APM")*(Personnel!$G$9:$G$100="Yes")*(97&gt;=Personnel!$E$9:$E$100)*((Personnel!$K$9:$K$100="")+(97&lt;=Personnel!$K$9:$K$100)&gt;0))</f>
        <v/>
      </c>
      <c r="CX44" s="759">
        <f>SUMPRODUCT((Personnel!$P$9:$P$100="APM")*(Personnel!$G$9:$G$100="Yes")*(98&gt;=Personnel!$E$9:$E$100)*((Personnel!$K$9:$K$100="")+(98&lt;=Personnel!$K$9:$K$100)&gt;0))</f>
        <v/>
      </c>
      <c r="CY44" s="759">
        <f>SUMPRODUCT((Personnel!$P$9:$P$100="APM")*(Personnel!$G$9:$G$100="Yes")*(99&gt;=Personnel!$E$9:$E$100)*((Personnel!$K$9:$K$100="")+(99&lt;=Personnel!$K$9:$K$100)&gt;0))</f>
        <v/>
      </c>
      <c r="CZ44" s="759">
        <f>SUMPRODUCT((Personnel!$P$9:$P$100="APM")*(Personnel!$G$9:$G$100="Yes")*(100&gt;=Personnel!$E$9:$E$100)*((Personnel!$K$9:$K$100="")+(100&lt;=Personnel!$K$9:$K$100)&gt;0))</f>
        <v/>
      </c>
      <c r="DA44" s="759">
        <f>SUMPRODUCT((Personnel!$P$9:$P$100="APM")*(Personnel!$G$9:$G$100="Yes")*(101&gt;=Personnel!$E$9:$E$100)*((Personnel!$K$9:$K$100="")+(101&lt;=Personnel!$K$9:$K$100)&gt;0))</f>
        <v/>
      </c>
      <c r="DB44" s="759">
        <f>SUMPRODUCT((Personnel!$P$9:$P$100="APM")*(Personnel!$G$9:$G$100="Yes")*(102&gt;=Personnel!$E$9:$E$100)*((Personnel!$K$9:$K$100="")+(102&lt;=Personnel!$K$9:$K$100)&gt;0))</f>
        <v/>
      </c>
      <c r="DC44" s="759">
        <f>SUMPRODUCT((Personnel!$P$9:$P$100="APM")*(Personnel!$G$9:$G$100="Yes")*(103&gt;=Personnel!$E$9:$E$100)*((Personnel!$K$9:$K$100="")+(103&lt;=Personnel!$K$9:$K$100)&gt;0))</f>
        <v/>
      </c>
      <c r="DD44" s="759">
        <f>SUMPRODUCT((Personnel!$P$9:$P$100="APM")*(Personnel!$G$9:$G$100="Yes")*(104&gt;=Personnel!$E$9:$E$100)*((Personnel!$K$9:$K$100="")+(104&lt;=Personnel!$K$9:$K$100)&gt;0))</f>
        <v/>
      </c>
      <c r="DE44" s="759">
        <f>SUMPRODUCT((Personnel!$P$9:$P$100="APM")*(Personnel!$G$9:$G$100="Yes")*(105&gt;=Personnel!$E$9:$E$100)*((Personnel!$K$9:$K$100="")+(105&lt;=Personnel!$K$9:$K$100)&gt;0))</f>
        <v/>
      </c>
    </row>
    <row r="45">
      <c r="A45" s="586" t="inlineStr">
        <is>
          <t>PMs - named staff</t>
        </is>
      </c>
      <c r="E45" s="759">
        <f>SUMPRODUCT((Personnel!$P$9:$P$100="PM")*(Personnel!$G$9:$G$100="Yes")*(1&gt;=Personnel!$E$9:$E$100)*((Personnel!$K$9:$K$100="")+(1&lt;=Personnel!$K$9:$K$100)&gt;0))</f>
        <v/>
      </c>
      <c r="F45" s="759">
        <f>SUMPRODUCT((Personnel!$P$9:$P$100="PM")*(Personnel!$G$9:$G$100="Yes")*(2&gt;=Personnel!$E$9:$E$100)*((Personnel!$K$9:$K$100="")+(2&lt;=Personnel!$K$9:$K$100)&gt;0))</f>
        <v/>
      </c>
      <c r="G45" s="759">
        <f>SUMPRODUCT((Personnel!$P$9:$P$100="PM")*(Personnel!$G$9:$G$100="Yes")*(3&gt;=Personnel!$E$9:$E$100)*((Personnel!$K$9:$K$100="")+(3&lt;=Personnel!$K$9:$K$100)&gt;0))</f>
        <v/>
      </c>
      <c r="H45" s="759">
        <f>SUMPRODUCT((Personnel!$P$9:$P$100="PM")*(Personnel!$G$9:$G$100="Yes")*(4&gt;=Personnel!$E$9:$E$100)*((Personnel!$K$9:$K$100="")+(4&lt;=Personnel!$K$9:$K$100)&gt;0))</f>
        <v/>
      </c>
      <c r="I45" s="759">
        <f>SUMPRODUCT((Personnel!$P$9:$P$100="PM")*(Personnel!$G$9:$G$100="Yes")*(5&gt;=Personnel!$E$9:$E$100)*((Personnel!$K$9:$K$100="")+(5&lt;=Personnel!$K$9:$K$100)&gt;0))</f>
        <v/>
      </c>
      <c r="J45" s="759">
        <f>SUMPRODUCT((Personnel!$P$9:$P$100="PM")*(Personnel!$G$9:$G$100="Yes")*(6&gt;=Personnel!$E$9:$E$100)*((Personnel!$K$9:$K$100="")+(6&lt;=Personnel!$K$9:$K$100)&gt;0))</f>
        <v/>
      </c>
      <c r="K45" s="759">
        <f>SUMPRODUCT((Personnel!$P$9:$P$100="PM")*(Personnel!$G$9:$G$100="Yes")*(7&gt;=Personnel!$E$9:$E$100)*((Personnel!$K$9:$K$100="")+(7&lt;=Personnel!$K$9:$K$100)&gt;0))</f>
        <v/>
      </c>
      <c r="L45" s="759">
        <f>SUMPRODUCT((Personnel!$P$9:$P$100="PM")*(Personnel!$G$9:$G$100="Yes")*(8&gt;=Personnel!$E$9:$E$100)*((Personnel!$K$9:$K$100="")+(8&lt;=Personnel!$K$9:$K$100)&gt;0))</f>
        <v/>
      </c>
      <c r="M45" s="759">
        <f>SUMPRODUCT((Personnel!$P$9:$P$100="PM")*(Personnel!$G$9:$G$100="Yes")*(9&gt;=Personnel!$E$9:$E$100)*((Personnel!$K$9:$K$100="")+(9&lt;=Personnel!$K$9:$K$100)&gt;0))</f>
        <v/>
      </c>
      <c r="N45" s="759">
        <f>SUMPRODUCT((Personnel!$P$9:$P$100="PM")*(Personnel!$G$9:$G$100="Yes")*(10&gt;=Personnel!$E$9:$E$100)*((Personnel!$K$9:$K$100="")+(10&lt;=Personnel!$K$9:$K$100)&gt;0))</f>
        <v/>
      </c>
      <c r="O45" s="759">
        <f>SUMPRODUCT((Personnel!$P$9:$P$100="PM")*(Personnel!$G$9:$G$100="Yes")*(11&gt;=Personnel!$E$9:$E$100)*((Personnel!$K$9:$K$100="")+(11&lt;=Personnel!$K$9:$K$100)&gt;0))</f>
        <v/>
      </c>
      <c r="P45" s="759">
        <f>SUMPRODUCT((Personnel!$P$9:$P$100="PM")*(Personnel!$G$9:$G$100="Yes")*(12&gt;=Personnel!$E$9:$E$100)*((Personnel!$K$9:$K$100="")+(12&lt;=Personnel!$K$9:$K$100)&gt;0))</f>
        <v/>
      </c>
      <c r="Q45" s="759">
        <f>SUMPRODUCT((Personnel!$P$9:$P$100="PM")*(Personnel!$G$9:$G$100="Yes")*(13&gt;=Personnel!$E$9:$E$100)*((Personnel!$K$9:$K$100="")+(13&lt;=Personnel!$K$9:$K$100)&gt;0))</f>
        <v/>
      </c>
      <c r="R45" s="759">
        <f>SUMPRODUCT((Personnel!$P$9:$P$100="PM")*(Personnel!$G$9:$G$100="Yes")*(14&gt;=Personnel!$E$9:$E$100)*((Personnel!$K$9:$K$100="")+(14&lt;=Personnel!$K$9:$K$100)&gt;0))</f>
        <v/>
      </c>
      <c r="S45" s="759">
        <f>SUMPRODUCT((Personnel!$P$9:$P$100="PM")*(Personnel!$G$9:$G$100="Yes")*(15&gt;=Personnel!$E$9:$E$100)*((Personnel!$K$9:$K$100="")+(15&lt;=Personnel!$K$9:$K$100)&gt;0))</f>
        <v/>
      </c>
      <c r="T45" s="759">
        <f>SUMPRODUCT((Personnel!$P$9:$P$100="PM")*(Personnel!$G$9:$G$100="Yes")*(16&gt;=Personnel!$E$9:$E$100)*((Personnel!$K$9:$K$100="")+(16&lt;=Personnel!$K$9:$K$100)&gt;0))</f>
        <v/>
      </c>
      <c r="U45" s="759">
        <f>SUMPRODUCT((Personnel!$P$9:$P$100="PM")*(Personnel!$G$9:$G$100="Yes")*(17&gt;=Personnel!$E$9:$E$100)*((Personnel!$K$9:$K$100="")+(17&lt;=Personnel!$K$9:$K$100)&gt;0))</f>
        <v/>
      </c>
      <c r="V45" s="759">
        <f>SUMPRODUCT((Personnel!$P$9:$P$100="PM")*(Personnel!$G$9:$G$100="Yes")*(18&gt;=Personnel!$E$9:$E$100)*((Personnel!$K$9:$K$100="")+(18&lt;=Personnel!$K$9:$K$100)&gt;0))</f>
        <v/>
      </c>
      <c r="W45" s="759">
        <f>SUMPRODUCT((Personnel!$P$9:$P$100="PM")*(Personnel!$G$9:$G$100="Yes")*(19&gt;=Personnel!$E$9:$E$100)*((Personnel!$K$9:$K$100="")+(19&lt;=Personnel!$K$9:$K$100)&gt;0))</f>
        <v/>
      </c>
      <c r="X45" s="759">
        <f>SUMPRODUCT((Personnel!$P$9:$P$100="PM")*(Personnel!$G$9:$G$100="Yes")*(20&gt;=Personnel!$E$9:$E$100)*((Personnel!$K$9:$K$100="")+(20&lt;=Personnel!$K$9:$K$100)&gt;0))</f>
        <v/>
      </c>
      <c r="Y45" s="759">
        <f>SUMPRODUCT((Personnel!$P$9:$P$100="PM")*(Personnel!$G$9:$G$100="Yes")*(21&gt;=Personnel!$E$9:$E$100)*((Personnel!$K$9:$K$100="")+(21&lt;=Personnel!$K$9:$K$100)&gt;0))</f>
        <v/>
      </c>
      <c r="Z45" s="759">
        <f>SUMPRODUCT((Personnel!$P$9:$P$100="PM")*(Personnel!$G$9:$G$100="Yes")*(22&gt;=Personnel!$E$9:$E$100)*((Personnel!$K$9:$K$100="")+(22&lt;=Personnel!$K$9:$K$100)&gt;0))</f>
        <v/>
      </c>
      <c r="AA45" s="759">
        <f>SUMPRODUCT((Personnel!$P$9:$P$100="PM")*(Personnel!$G$9:$G$100="Yes")*(23&gt;=Personnel!$E$9:$E$100)*((Personnel!$K$9:$K$100="")+(23&lt;=Personnel!$K$9:$K$100)&gt;0))</f>
        <v/>
      </c>
      <c r="AB45" s="759">
        <f>SUMPRODUCT((Personnel!$P$9:$P$100="PM")*(Personnel!$G$9:$G$100="Yes")*(24&gt;=Personnel!$E$9:$E$100)*((Personnel!$K$9:$K$100="")+(24&lt;=Personnel!$K$9:$K$100)&gt;0))</f>
        <v/>
      </c>
      <c r="AC45" s="759">
        <f>SUMPRODUCT((Personnel!$P$9:$P$100="PM")*(Personnel!$G$9:$G$100="Yes")*(25&gt;=Personnel!$E$9:$E$100)*((Personnel!$K$9:$K$100="")+(25&lt;=Personnel!$K$9:$K$100)&gt;0))</f>
        <v/>
      </c>
      <c r="AD45" s="759">
        <f>SUMPRODUCT((Personnel!$P$9:$P$100="PM")*(Personnel!$G$9:$G$100="Yes")*(26&gt;=Personnel!$E$9:$E$100)*((Personnel!$K$9:$K$100="")+(26&lt;=Personnel!$K$9:$K$100)&gt;0))</f>
        <v/>
      </c>
      <c r="AE45" s="759">
        <f>SUMPRODUCT((Personnel!$P$9:$P$100="PM")*(Personnel!$G$9:$G$100="Yes")*(27&gt;=Personnel!$E$9:$E$100)*((Personnel!$K$9:$K$100="")+(27&lt;=Personnel!$K$9:$K$100)&gt;0))</f>
        <v/>
      </c>
      <c r="AF45" s="759">
        <f>SUMPRODUCT((Personnel!$P$9:$P$100="PM")*(Personnel!$G$9:$G$100="Yes")*(28&gt;=Personnel!$E$9:$E$100)*((Personnel!$K$9:$K$100="")+(28&lt;=Personnel!$K$9:$K$100)&gt;0))</f>
        <v/>
      </c>
      <c r="AG45" s="759">
        <f>SUMPRODUCT((Personnel!$P$9:$P$100="PM")*(Personnel!$G$9:$G$100="Yes")*(29&gt;=Personnel!$E$9:$E$100)*((Personnel!$K$9:$K$100="")+(29&lt;=Personnel!$K$9:$K$100)&gt;0))</f>
        <v/>
      </c>
      <c r="AH45" s="759">
        <f>SUMPRODUCT((Personnel!$P$9:$P$100="PM")*(Personnel!$G$9:$G$100="Yes")*(30&gt;=Personnel!$E$9:$E$100)*((Personnel!$K$9:$K$100="")+(30&lt;=Personnel!$K$9:$K$100)&gt;0))</f>
        <v/>
      </c>
      <c r="AI45" s="759">
        <f>SUMPRODUCT((Personnel!$P$9:$P$100="PM")*(Personnel!$G$9:$G$100="Yes")*(31&gt;=Personnel!$E$9:$E$100)*((Personnel!$K$9:$K$100="")+(31&lt;=Personnel!$K$9:$K$100)&gt;0))</f>
        <v/>
      </c>
      <c r="AJ45" s="759">
        <f>SUMPRODUCT((Personnel!$P$9:$P$100="PM")*(Personnel!$G$9:$G$100="Yes")*(32&gt;=Personnel!$E$9:$E$100)*((Personnel!$K$9:$K$100="")+(32&lt;=Personnel!$K$9:$K$100)&gt;0))</f>
        <v/>
      </c>
      <c r="AK45" s="759">
        <f>SUMPRODUCT((Personnel!$P$9:$P$100="PM")*(Personnel!$G$9:$G$100="Yes")*(33&gt;=Personnel!$E$9:$E$100)*((Personnel!$K$9:$K$100="")+(33&lt;=Personnel!$K$9:$K$100)&gt;0))</f>
        <v/>
      </c>
      <c r="AL45" s="759">
        <f>SUMPRODUCT((Personnel!$P$9:$P$100="PM")*(Personnel!$G$9:$G$100="Yes")*(34&gt;=Personnel!$E$9:$E$100)*((Personnel!$K$9:$K$100="")+(34&lt;=Personnel!$K$9:$K$100)&gt;0))</f>
        <v/>
      </c>
      <c r="AM45" s="759">
        <f>SUMPRODUCT((Personnel!$P$9:$P$100="PM")*(Personnel!$G$9:$G$100="Yes")*(35&gt;=Personnel!$E$9:$E$100)*((Personnel!$K$9:$K$100="")+(35&lt;=Personnel!$K$9:$K$100)&gt;0))</f>
        <v/>
      </c>
      <c r="AN45" s="759">
        <f>SUMPRODUCT((Personnel!$P$9:$P$100="PM")*(Personnel!$G$9:$G$100="Yes")*(36&gt;=Personnel!$E$9:$E$100)*((Personnel!$K$9:$K$100="")+(36&lt;=Personnel!$K$9:$K$100)&gt;0))</f>
        <v/>
      </c>
      <c r="AO45" s="759">
        <f>SUMPRODUCT((Personnel!$P$9:$P$100="PM")*(Personnel!$G$9:$G$100="Yes")*(37&gt;=Personnel!$E$9:$E$100)*((Personnel!$K$9:$K$100="")+(37&lt;=Personnel!$K$9:$K$100)&gt;0))</f>
        <v/>
      </c>
      <c r="AP45" s="759">
        <f>SUMPRODUCT((Personnel!$P$9:$P$100="PM")*(Personnel!$G$9:$G$100="Yes")*(38&gt;=Personnel!$E$9:$E$100)*((Personnel!$K$9:$K$100="")+(38&lt;=Personnel!$K$9:$K$100)&gt;0))</f>
        <v/>
      </c>
      <c r="AQ45" s="759">
        <f>SUMPRODUCT((Personnel!$P$9:$P$100="PM")*(Personnel!$G$9:$G$100="Yes")*(39&gt;=Personnel!$E$9:$E$100)*((Personnel!$K$9:$K$100="")+(39&lt;=Personnel!$K$9:$K$100)&gt;0))</f>
        <v/>
      </c>
      <c r="AR45" s="759">
        <f>SUMPRODUCT((Personnel!$P$9:$P$100="PM")*(Personnel!$G$9:$G$100="Yes")*(40&gt;=Personnel!$E$9:$E$100)*((Personnel!$K$9:$K$100="")+(40&lt;=Personnel!$K$9:$K$100)&gt;0))</f>
        <v/>
      </c>
      <c r="AS45" s="759">
        <f>SUMPRODUCT((Personnel!$P$9:$P$100="PM")*(Personnel!$G$9:$G$100="Yes")*(41&gt;=Personnel!$E$9:$E$100)*((Personnel!$K$9:$K$100="")+(41&lt;=Personnel!$K$9:$K$100)&gt;0))</f>
        <v/>
      </c>
      <c r="AT45" s="759">
        <f>SUMPRODUCT((Personnel!$P$9:$P$100="PM")*(Personnel!$G$9:$G$100="Yes")*(42&gt;=Personnel!$E$9:$E$100)*((Personnel!$K$9:$K$100="")+(42&lt;=Personnel!$K$9:$K$100)&gt;0))</f>
        <v/>
      </c>
      <c r="AU45" s="759">
        <f>SUMPRODUCT((Personnel!$P$9:$P$100="PM")*(Personnel!$G$9:$G$100="Yes")*(43&gt;=Personnel!$E$9:$E$100)*((Personnel!$K$9:$K$100="")+(43&lt;=Personnel!$K$9:$K$100)&gt;0))</f>
        <v/>
      </c>
      <c r="AV45" s="759">
        <f>SUMPRODUCT((Personnel!$P$9:$P$100="PM")*(Personnel!$G$9:$G$100="Yes")*(44&gt;=Personnel!$E$9:$E$100)*((Personnel!$K$9:$K$100="")+(44&lt;=Personnel!$K$9:$K$100)&gt;0))</f>
        <v/>
      </c>
      <c r="AW45" s="759">
        <f>SUMPRODUCT((Personnel!$P$9:$P$100="PM")*(Personnel!$G$9:$G$100="Yes")*(45&gt;=Personnel!$E$9:$E$100)*((Personnel!$K$9:$K$100="")+(45&lt;=Personnel!$K$9:$K$100)&gt;0))</f>
        <v/>
      </c>
      <c r="AX45" s="759">
        <f>SUMPRODUCT((Personnel!$P$9:$P$100="PM")*(Personnel!$G$9:$G$100="Yes")*(46&gt;=Personnel!$E$9:$E$100)*((Personnel!$K$9:$K$100="")+(46&lt;=Personnel!$K$9:$K$100)&gt;0))</f>
        <v/>
      </c>
      <c r="AY45" s="759">
        <f>SUMPRODUCT((Personnel!$P$9:$P$100="PM")*(Personnel!$G$9:$G$100="Yes")*(47&gt;=Personnel!$E$9:$E$100)*((Personnel!$K$9:$K$100="")+(47&lt;=Personnel!$K$9:$K$100)&gt;0))</f>
        <v/>
      </c>
      <c r="AZ45" s="759">
        <f>SUMPRODUCT((Personnel!$P$9:$P$100="PM")*(Personnel!$G$9:$G$100="Yes")*(48&gt;=Personnel!$E$9:$E$100)*((Personnel!$K$9:$K$100="")+(48&lt;=Personnel!$K$9:$K$100)&gt;0))</f>
        <v/>
      </c>
      <c r="BA45" s="759">
        <f>SUMPRODUCT((Personnel!$P$9:$P$100="PM")*(Personnel!$G$9:$G$100="Yes")*(49&gt;=Personnel!$E$9:$E$100)*((Personnel!$K$9:$K$100="")+(49&lt;=Personnel!$K$9:$K$100)&gt;0))</f>
        <v/>
      </c>
      <c r="BB45" s="759">
        <f>SUMPRODUCT((Personnel!$P$9:$P$100="PM")*(Personnel!$G$9:$G$100="Yes")*(50&gt;=Personnel!$E$9:$E$100)*((Personnel!$K$9:$K$100="")+(50&lt;=Personnel!$K$9:$K$100)&gt;0))</f>
        <v/>
      </c>
      <c r="BC45" s="759">
        <f>SUMPRODUCT((Personnel!$P$9:$P$100="PM")*(Personnel!$G$9:$G$100="Yes")*(51&gt;=Personnel!$E$9:$E$100)*((Personnel!$K$9:$K$100="")+(51&lt;=Personnel!$K$9:$K$100)&gt;0))</f>
        <v/>
      </c>
      <c r="BD45" s="759">
        <f>SUMPRODUCT((Personnel!$P$9:$P$100="PM")*(Personnel!$G$9:$G$100="Yes")*(52&gt;=Personnel!$E$9:$E$100)*((Personnel!$K$9:$K$100="")+(52&lt;=Personnel!$K$9:$K$100)&gt;0))</f>
        <v/>
      </c>
      <c r="BE45" s="759">
        <f>SUMPRODUCT((Personnel!$P$9:$P$100="PM")*(Personnel!$G$9:$G$100="Yes")*(53&gt;=Personnel!$E$9:$E$100)*((Personnel!$K$9:$K$100="")+(53&lt;=Personnel!$K$9:$K$100)&gt;0))</f>
        <v/>
      </c>
      <c r="BF45" s="759">
        <f>SUMPRODUCT((Personnel!$P$9:$P$100="PM")*(Personnel!$G$9:$G$100="Yes")*(54&gt;=Personnel!$E$9:$E$100)*((Personnel!$K$9:$K$100="")+(54&lt;=Personnel!$K$9:$K$100)&gt;0))</f>
        <v/>
      </c>
      <c r="BG45" s="759">
        <f>SUMPRODUCT((Personnel!$P$9:$P$100="PM")*(Personnel!$G$9:$G$100="Yes")*(55&gt;=Personnel!$E$9:$E$100)*((Personnel!$K$9:$K$100="")+(55&lt;=Personnel!$K$9:$K$100)&gt;0))</f>
        <v/>
      </c>
      <c r="BH45" s="759">
        <f>SUMPRODUCT((Personnel!$P$9:$P$100="PM")*(Personnel!$G$9:$G$100="Yes")*(56&gt;=Personnel!$E$9:$E$100)*((Personnel!$K$9:$K$100="")+(56&lt;=Personnel!$K$9:$K$100)&gt;0))</f>
        <v/>
      </c>
      <c r="BI45" s="759">
        <f>SUMPRODUCT((Personnel!$P$9:$P$100="PM")*(Personnel!$G$9:$G$100="Yes")*(57&gt;=Personnel!$E$9:$E$100)*((Personnel!$K$9:$K$100="")+(57&lt;=Personnel!$K$9:$K$100)&gt;0))</f>
        <v/>
      </c>
      <c r="BJ45" s="759">
        <f>SUMPRODUCT((Personnel!$P$9:$P$100="PM")*(Personnel!$G$9:$G$100="Yes")*(58&gt;=Personnel!$E$9:$E$100)*((Personnel!$K$9:$K$100="")+(58&lt;=Personnel!$K$9:$K$100)&gt;0))</f>
        <v/>
      </c>
      <c r="BK45" s="759">
        <f>SUMPRODUCT((Personnel!$P$9:$P$100="PM")*(Personnel!$G$9:$G$100="Yes")*(59&gt;=Personnel!$E$9:$E$100)*((Personnel!$K$9:$K$100="")+(59&lt;=Personnel!$K$9:$K$100)&gt;0))</f>
        <v/>
      </c>
      <c r="BL45" s="759">
        <f>SUMPRODUCT((Personnel!$P$9:$P$100="PM")*(Personnel!$G$9:$G$100="Yes")*(60&gt;=Personnel!$E$9:$E$100)*((Personnel!$K$9:$K$100="")+(60&lt;=Personnel!$K$9:$K$100)&gt;0))</f>
        <v/>
      </c>
      <c r="BM45" s="759">
        <f>SUMPRODUCT((Personnel!$P$9:$P$100="PM")*(Personnel!$G$9:$G$100="Yes")*(61&gt;=Personnel!$E$9:$E$100)*((Personnel!$K$9:$K$100="")+(61&lt;=Personnel!$K$9:$K$100)&gt;0))</f>
        <v/>
      </c>
      <c r="BN45" s="759">
        <f>SUMPRODUCT((Personnel!$P$9:$P$100="PM")*(Personnel!$G$9:$G$100="Yes")*(62&gt;=Personnel!$E$9:$E$100)*((Personnel!$K$9:$K$100="")+(62&lt;=Personnel!$K$9:$K$100)&gt;0))</f>
        <v/>
      </c>
      <c r="BO45" s="759">
        <f>SUMPRODUCT((Personnel!$P$9:$P$100="PM")*(Personnel!$G$9:$G$100="Yes")*(63&gt;=Personnel!$E$9:$E$100)*((Personnel!$K$9:$K$100="")+(63&lt;=Personnel!$K$9:$K$100)&gt;0))</f>
        <v/>
      </c>
      <c r="BP45" s="759">
        <f>SUMPRODUCT((Personnel!$P$9:$P$100="PM")*(Personnel!$G$9:$G$100="Yes")*(64&gt;=Personnel!$E$9:$E$100)*((Personnel!$K$9:$K$100="")+(64&lt;=Personnel!$K$9:$K$100)&gt;0))</f>
        <v/>
      </c>
      <c r="BQ45" s="759">
        <f>SUMPRODUCT((Personnel!$P$9:$P$100="PM")*(Personnel!$G$9:$G$100="Yes")*(65&gt;=Personnel!$E$9:$E$100)*((Personnel!$K$9:$K$100="")+(65&lt;=Personnel!$K$9:$K$100)&gt;0))</f>
        <v/>
      </c>
      <c r="BR45" s="759">
        <f>SUMPRODUCT((Personnel!$P$9:$P$100="PM")*(Personnel!$G$9:$G$100="Yes")*(66&gt;=Personnel!$E$9:$E$100)*((Personnel!$K$9:$K$100="")+(66&lt;=Personnel!$K$9:$K$100)&gt;0))</f>
        <v/>
      </c>
      <c r="BS45" s="759">
        <f>SUMPRODUCT((Personnel!$P$9:$P$100="PM")*(Personnel!$G$9:$G$100="Yes")*(67&gt;=Personnel!$E$9:$E$100)*((Personnel!$K$9:$K$100="")+(67&lt;=Personnel!$K$9:$K$100)&gt;0))</f>
        <v/>
      </c>
      <c r="BT45" s="759">
        <f>SUMPRODUCT((Personnel!$P$9:$P$100="PM")*(Personnel!$G$9:$G$100="Yes")*(68&gt;=Personnel!$E$9:$E$100)*((Personnel!$K$9:$K$100="")+(68&lt;=Personnel!$K$9:$K$100)&gt;0))</f>
        <v/>
      </c>
      <c r="BU45" s="759">
        <f>SUMPRODUCT((Personnel!$P$9:$P$100="PM")*(Personnel!$G$9:$G$100="Yes")*(69&gt;=Personnel!$E$9:$E$100)*((Personnel!$K$9:$K$100="")+(69&lt;=Personnel!$K$9:$K$100)&gt;0))</f>
        <v/>
      </c>
      <c r="BV45" s="759">
        <f>SUMPRODUCT((Personnel!$P$9:$P$100="PM")*(Personnel!$G$9:$G$100="Yes")*(70&gt;=Personnel!$E$9:$E$100)*((Personnel!$K$9:$K$100="")+(70&lt;=Personnel!$K$9:$K$100)&gt;0))</f>
        <v/>
      </c>
      <c r="BW45" s="759">
        <f>SUMPRODUCT((Personnel!$P$9:$P$100="PM")*(Personnel!$G$9:$G$100="Yes")*(71&gt;=Personnel!$E$9:$E$100)*((Personnel!$K$9:$K$100="")+(71&lt;=Personnel!$K$9:$K$100)&gt;0))</f>
        <v/>
      </c>
      <c r="BX45" s="759">
        <f>SUMPRODUCT((Personnel!$P$9:$P$100="PM")*(Personnel!$G$9:$G$100="Yes")*(72&gt;=Personnel!$E$9:$E$100)*((Personnel!$K$9:$K$100="")+(72&lt;=Personnel!$K$9:$K$100)&gt;0))</f>
        <v/>
      </c>
      <c r="BY45" s="759">
        <f>SUMPRODUCT((Personnel!$P$9:$P$100="PM")*(Personnel!$G$9:$G$100="Yes")*(73&gt;=Personnel!$E$9:$E$100)*((Personnel!$K$9:$K$100="")+(73&lt;=Personnel!$K$9:$K$100)&gt;0))</f>
        <v/>
      </c>
      <c r="BZ45" s="759">
        <f>SUMPRODUCT((Personnel!$P$9:$P$100="PM")*(Personnel!$G$9:$G$100="Yes")*(74&gt;=Personnel!$E$9:$E$100)*((Personnel!$K$9:$K$100="")+(74&lt;=Personnel!$K$9:$K$100)&gt;0))</f>
        <v/>
      </c>
      <c r="CA45" s="759">
        <f>SUMPRODUCT((Personnel!$P$9:$P$100="PM")*(Personnel!$G$9:$G$100="Yes")*(75&gt;=Personnel!$E$9:$E$100)*((Personnel!$K$9:$K$100="")+(75&lt;=Personnel!$K$9:$K$100)&gt;0))</f>
        <v/>
      </c>
      <c r="CB45" s="759">
        <f>SUMPRODUCT((Personnel!$P$9:$P$100="PM")*(Personnel!$G$9:$G$100="Yes")*(76&gt;=Personnel!$E$9:$E$100)*((Personnel!$K$9:$K$100="")+(76&lt;=Personnel!$K$9:$K$100)&gt;0))</f>
        <v/>
      </c>
      <c r="CC45" s="759">
        <f>SUMPRODUCT((Personnel!$P$9:$P$100="PM")*(Personnel!$G$9:$G$100="Yes")*(77&gt;=Personnel!$E$9:$E$100)*((Personnel!$K$9:$K$100="")+(77&lt;=Personnel!$K$9:$K$100)&gt;0))</f>
        <v/>
      </c>
      <c r="CD45" s="759">
        <f>SUMPRODUCT((Personnel!$P$9:$P$100="PM")*(Personnel!$G$9:$G$100="Yes")*(78&gt;=Personnel!$E$9:$E$100)*((Personnel!$K$9:$K$100="")+(78&lt;=Personnel!$K$9:$K$100)&gt;0))</f>
        <v/>
      </c>
      <c r="CE45" s="759">
        <f>SUMPRODUCT((Personnel!$P$9:$P$100="PM")*(Personnel!$G$9:$G$100="Yes")*(79&gt;=Personnel!$E$9:$E$100)*((Personnel!$K$9:$K$100="")+(79&lt;=Personnel!$K$9:$K$100)&gt;0))</f>
        <v/>
      </c>
      <c r="CF45" s="759">
        <f>SUMPRODUCT((Personnel!$P$9:$P$100="PM")*(Personnel!$G$9:$G$100="Yes")*(80&gt;=Personnel!$E$9:$E$100)*((Personnel!$K$9:$K$100="")+(80&lt;=Personnel!$K$9:$K$100)&gt;0))</f>
        <v/>
      </c>
      <c r="CG45" s="759">
        <f>SUMPRODUCT((Personnel!$P$9:$P$100="PM")*(Personnel!$G$9:$G$100="Yes")*(81&gt;=Personnel!$E$9:$E$100)*((Personnel!$K$9:$K$100="")+(81&lt;=Personnel!$K$9:$K$100)&gt;0))</f>
        <v/>
      </c>
      <c r="CH45" s="759">
        <f>SUMPRODUCT((Personnel!$P$9:$P$100="PM")*(Personnel!$G$9:$G$100="Yes")*(82&gt;=Personnel!$E$9:$E$100)*((Personnel!$K$9:$K$100="")+(82&lt;=Personnel!$K$9:$K$100)&gt;0))</f>
        <v/>
      </c>
      <c r="CI45" s="759">
        <f>SUMPRODUCT((Personnel!$P$9:$P$100="PM")*(Personnel!$G$9:$G$100="Yes")*(83&gt;=Personnel!$E$9:$E$100)*((Personnel!$K$9:$K$100="")+(83&lt;=Personnel!$K$9:$K$100)&gt;0))</f>
        <v/>
      </c>
      <c r="CJ45" s="759">
        <f>SUMPRODUCT((Personnel!$P$9:$P$100="PM")*(Personnel!$G$9:$G$100="Yes")*(84&gt;=Personnel!$E$9:$E$100)*((Personnel!$K$9:$K$100="")+(84&lt;=Personnel!$K$9:$K$100)&gt;0))</f>
        <v/>
      </c>
      <c r="CK45" s="759">
        <f>SUMPRODUCT((Personnel!$P$9:$P$100="PM")*(Personnel!$G$9:$G$100="Yes")*(85&gt;=Personnel!$E$9:$E$100)*((Personnel!$K$9:$K$100="")+(85&lt;=Personnel!$K$9:$K$100)&gt;0))</f>
        <v/>
      </c>
      <c r="CL45" s="759">
        <f>SUMPRODUCT((Personnel!$P$9:$P$100="PM")*(Personnel!$G$9:$G$100="Yes")*(86&gt;=Personnel!$E$9:$E$100)*((Personnel!$K$9:$K$100="")+(86&lt;=Personnel!$K$9:$K$100)&gt;0))</f>
        <v/>
      </c>
      <c r="CM45" s="759">
        <f>SUMPRODUCT((Personnel!$P$9:$P$100="PM")*(Personnel!$G$9:$G$100="Yes")*(87&gt;=Personnel!$E$9:$E$100)*((Personnel!$K$9:$K$100="")+(87&lt;=Personnel!$K$9:$K$100)&gt;0))</f>
        <v/>
      </c>
      <c r="CN45" s="759">
        <f>SUMPRODUCT((Personnel!$P$9:$P$100="PM")*(Personnel!$G$9:$G$100="Yes")*(88&gt;=Personnel!$E$9:$E$100)*((Personnel!$K$9:$K$100="")+(88&lt;=Personnel!$K$9:$K$100)&gt;0))</f>
        <v/>
      </c>
      <c r="CO45" s="759">
        <f>SUMPRODUCT((Personnel!$P$9:$P$100="PM")*(Personnel!$G$9:$G$100="Yes")*(89&gt;=Personnel!$E$9:$E$100)*((Personnel!$K$9:$K$100="")+(89&lt;=Personnel!$K$9:$K$100)&gt;0))</f>
        <v/>
      </c>
      <c r="CP45" s="759">
        <f>SUMPRODUCT((Personnel!$P$9:$P$100="PM")*(Personnel!$G$9:$G$100="Yes")*(90&gt;=Personnel!$E$9:$E$100)*((Personnel!$K$9:$K$100="")+(90&lt;=Personnel!$K$9:$K$100)&gt;0))</f>
        <v/>
      </c>
      <c r="CQ45" s="759">
        <f>SUMPRODUCT((Personnel!$P$9:$P$100="PM")*(Personnel!$G$9:$G$100="Yes")*(91&gt;=Personnel!$E$9:$E$100)*((Personnel!$K$9:$K$100="")+(91&lt;=Personnel!$K$9:$K$100)&gt;0))</f>
        <v/>
      </c>
      <c r="CR45" s="759">
        <f>SUMPRODUCT((Personnel!$P$9:$P$100="PM")*(Personnel!$G$9:$G$100="Yes")*(92&gt;=Personnel!$E$9:$E$100)*((Personnel!$K$9:$K$100="")+(92&lt;=Personnel!$K$9:$K$100)&gt;0))</f>
        <v/>
      </c>
      <c r="CS45" s="759">
        <f>SUMPRODUCT((Personnel!$P$9:$P$100="PM")*(Personnel!$G$9:$G$100="Yes")*(93&gt;=Personnel!$E$9:$E$100)*((Personnel!$K$9:$K$100="")+(93&lt;=Personnel!$K$9:$K$100)&gt;0))</f>
        <v/>
      </c>
      <c r="CT45" s="759">
        <f>SUMPRODUCT((Personnel!$P$9:$P$100="PM")*(Personnel!$G$9:$G$100="Yes")*(94&gt;=Personnel!$E$9:$E$100)*((Personnel!$K$9:$K$100="")+(94&lt;=Personnel!$K$9:$K$100)&gt;0))</f>
        <v/>
      </c>
      <c r="CU45" s="759">
        <f>SUMPRODUCT((Personnel!$P$9:$P$100="PM")*(Personnel!$G$9:$G$100="Yes")*(95&gt;=Personnel!$E$9:$E$100)*((Personnel!$K$9:$K$100="")+(95&lt;=Personnel!$K$9:$K$100)&gt;0))</f>
        <v/>
      </c>
      <c r="CV45" s="759">
        <f>SUMPRODUCT((Personnel!$P$9:$P$100="PM")*(Personnel!$G$9:$G$100="Yes")*(96&gt;=Personnel!$E$9:$E$100)*((Personnel!$K$9:$K$100="")+(96&lt;=Personnel!$K$9:$K$100)&gt;0))</f>
        <v/>
      </c>
      <c r="CW45" s="759">
        <f>SUMPRODUCT((Personnel!$P$9:$P$100="PM")*(Personnel!$G$9:$G$100="Yes")*(97&gt;=Personnel!$E$9:$E$100)*((Personnel!$K$9:$K$100="")+(97&lt;=Personnel!$K$9:$K$100)&gt;0))</f>
        <v/>
      </c>
      <c r="CX45" s="759">
        <f>SUMPRODUCT((Personnel!$P$9:$P$100="PM")*(Personnel!$G$9:$G$100="Yes")*(98&gt;=Personnel!$E$9:$E$100)*((Personnel!$K$9:$K$100="")+(98&lt;=Personnel!$K$9:$K$100)&gt;0))</f>
        <v/>
      </c>
      <c r="CY45" s="759">
        <f>SUMPRODUCT((Personnel!$P$9:$P$100="PM")*(Personnel!$G$9:$G$100="Yes")*(99&gt;=Personnel!$E$9:$E$100)*((Personnel!$K$9:$K$100="")+(99&lt;=Personnel!$K$9:$K$100)&gt;0))</f>
        <v/>
      </c>
      <c r="CZ45" s="759">
        <f>SUMPRODUCT((Personnel!$P$9:$P$100="PM")*(Personnel!$G$9:$G$100="Yes")*(100&gt;=Personnel!$E$9:$E$100)*((Personnel!$K$9:$K$100="")+(100&lt;=Personnel!$K$9:$K$100)&gt;0))</f>
        <v/>
      </c>
      <c r="DA45" s="759">
        <f>SUMPRODUCT((Personnel!$P$9:$P$100="PM")*(Personnel!$G$9:$G$100="Yes")*(101&gt;=Personnel!$E$9:$E$100)*((Personnel!$K$9:$K$100="")+(101&lt;=Personnel!$K$9:$K$100)&gt;0))</f>
        <v/>
      </c>
      <c r="DB45" s="759">
        <f>SUMPRODUCT((Personnel!$P$9:$P$100="PM")*(Personnel!$G$9:$G$100="Yes")*(102&gt;=Personnel!$E$9:$E$100)*((Personnel!$K$9:$K$100="")+(102&lt;=Personnel!$K$9:$K$100)&gt;0))</f>
        <v/>
      </c>
      <c r="DC45" s="759">
        <f>SUMPRODUCT((Personnel!$P$9:$P$100="PM")*(Personnel!$G$9:$G$100="Yes")*(103&gt;=Personnel!$E$9:$E$100)*((Personnel!$K$9:$K$100="")+(103&lt;=Personnel!$K$9:$K$100)&gt;0))</f>
        <v/>
      </c>
      <c r="DD45" s="759">
        <f>SUMPRODUCT((Personnel!$P$9:$P$100="PM")*(Personnel!$G$9:$G$100="Yes")*(104&gt;=Personnel!$E$9:$E$100)*((Personnel!$K$9:$K$100="")+(104&lt;=Personnel!$K$9:$K$100)&gt;0))</f>
        <v/>
      </c>
      <c r="DE45" s="759">
        <f>SUMPRODUCT((Personnel!$P$9:$P$100="PM")*(Personnel!$G$9:$G$100="Yes")*(105&gt;=Personnel!$E$9:$E$100)*((Personnel!$K$9:$K$100="")+(105&lt;=Personnel!$K$9:$K$100)&gt;0))</f>
        <v/>
      </c>
    </row>
    <row r="46">
      <c r="A46" s="586" t="inlineStr">
        <is>
          <t>Field engineers - named staff</t>
        </is>
      </c>
      <c r="E46" s="759">
        <f>SUMPRODUCT((Personnel!$P$9:$P$100="FE")*(Personnel!$G$9:$G$100="Yes")*(1&gt;=Personnel!$E$9:$E$100)*((Personnel!$K$9:$K$100="")+(1&lt;=Personnel!$K$9:$K$100)&gt;0))</f>
        <v/>
      </c>
      <c r="F46" s="759">
        <f>SUMPRODUCT((Personnel!$P$9:$P$100="FE")*(Personnel!$G$9:$G$100="Yes")*(2&gt;=Personnel!$E$9:$E$100)*((Personnel!$K$9:$K$100="")+(2&lt;=Personnel!$K$9:$K$100)&gt;0))</f>
        <v/>
      </c>
      <c r="G46" s="759">
        <f>SUMPRODUCT((Personnel!$P$9:$P$100="FE")*(Personnel!$G$9:$G$100="Yes")*(3&gt;=Personnel!$E$9:$E$100)*((Personnel!$K$9:$K$100="")+(3&lt;=Personnel!$K$9:$K$100)&gt;0))</f>
        <v/>
      </c>
      <c r="H46" s="759">
        <f>SUMPRODUCT((Personnel!$P$9:$P$100="FE")*(Personnel!$G$9:$G$100="Yes")*(4&gt;=Personnel!$E$9:$E$100)*((Personnel!$K$9:$K$100="")+(4&lt;=Personnel!$K$9:$K$100)&gt;0))</f>
        <v/>
      </c>
      <c r="I46" s="759">
        <f>SUMPRODUCT((Personnel!$P$9:$P$100="FE")*(Personnel!$G$9:$G$100="Yes")*(5&gt;=Personnel!$E$9:$E$100)*((Personnel!$K$9:$K$100="")+(5&lt;=Personnel!$K$9:$K$100)&gt;0))</f>
        <v/>
      </c>
      <c r="J46" s="759">
        <f>SUMPRODUCT((Personnel!$P$9:$P$100="FE")*(Personnel!$G$9:$G$100="Yes")*(6&gt;=Personnel!$E$9:$E$100)*((Personnel!$K$9:$K$100="")+(6&lt;=Personnel!$K$9:$K$100)&gt;0))</f>
        <v/>
      </c>
      <c r="K46" s="759">
        <f>SUMPRODUCT((Personnel!$P$9:$P$100="FE")*(Personnel!$G$9:$G$100="Yes")*(7&gt;=Personnel!$E$9:$E$100)*((Personnel!$K$9:$K$100="")+(7&lt;=Personnel!$K$9:$K$100)&gt;0))</f>
        <v/>
      </c>
      <c r="L46" s="759">
        <f>SUMPRODUCT((Personnel!$P$9:$P$100="FE")*(Personnel!$G$9:$G$100="Yes")*(8&gt;=Personnel!$E$9:$E$100)*((Personnel!$K$9:$K$100="")+(8&lt;=Personnel!$K$9:$K$100)&gt;0))</f>
        <v/>
      </c>
      <c r="M46" s="759">
        <f>SUMPRODUCT((Personnel!$P$9:$P$100="FE")*(Personnel!$G$9:$G$100="Yes")*(9&gt;=Personnel!$E$9:$E$100)*((Personnel!$K$9:$K$100="")+(9&lt;=Personnel!$K$9:$K$100)&gt;0))</f>
        <v/>
      </c>
      <c r="N46" s="759">
        <f>SUMPRODUCT((Personnel!$P$9:$P$100="FE")*(Personnel!$G$9:$G$100="Yes")*(10&gt;=Personnel!$E$9:$E$100)*((Personnel!$K$9:$K$100="")+(10&lt;=Personnel!$K$9:$K$100)&gt;0))</f>
        <v/>
      </c>
      <c r="O46" s="759">
        <f>SUMPRODUCT((Personnel!$P$9:$P$100="FE")*(Personnel!$G$9:$G$100="Yes")*(11&gt;=Personnel!$E$9:$E$100)*((Personnel!$K$9:$K$100="")+(11&lt;=Personnel!$K$9:$K$100)&gt;0))</f>
        <v/>
      </c>
      <c r="P46" s="759">
        <f>SUMPRODUCT((Personnel!$P$9:$P$100="FE")*(Personnel!$G$9:$G$100="Yes")*(12&gt;=Personnel!$E$9:$E$100)*((Personnel!$K$9:$K$100="")+(12&lt;=Personnel!$K$9:$K$100)&gt;0))</f>
        <v/>
      </c>
      <c r="Q46" s="759">
        <f>SUMPRODUCT((Personnel!$P$9:$P$100="FE")*(Personnel!$G$9:$G$100="Yes")*(13&gt;=Personnel!$E$9:$E$100)*((Personnel!$K$9:$K$100="")+(13&lt;=Personnel!$K$9:$K$100)&gt;0))</f>
        <v/>
      </c>
      <c r="R46" s="759">
        <f>SUMPRODUCT((Personnel!$P$9:$P$100="FE")*(Personnel!$G$9:$G$100="Yes")*(14&gt;=Personnel!$E$9:$E$100)*((Personnel!$K$9:$K$100="")+(14&lt;=Personnel!$K$9:$K$100)&gt;0))</f>
        <v/>
      </c>
      <c r="S46" s="759">
        <f>SUMPRODUCT((Personnel!$P$9:$P$100="FE")*(Personnel!$G$9:$G$100="Yes")*(15&gt;=Personnel!$E$9:$E$100)*((Personnel!$K$9:$K$100="")+(15&lt;=Personnel!$K$9:$K$100)&gt;0))</f>
        <v/>
      </c>
      <c r="T46" s="759">
        <f>SUMPRODUCT((Personnel!$P$9:$P$100="FE")*(Personnel!$G$9:$G$100="Yes")*(16&gt;=Personnel!$E$9:$E$100)*((Personnel!$K$9:$K$100="")+(16&lt;=Personnel!$K$9:$K$100)&gt;0))</f>
        <v/>
      </c>
      <c r="U46" s="759">
        <f>SUMPRODUCT((Personnel!$P$9:$P$100="FE")*(Personnel!$G$9:$G$100="Yes")*(17&gt;=Personnel!$E$9:$E$100)*((Personnel!$K$9:$K$100="")+(17&lt;=Personnel!$K$9:$K$100)&gt;0))</f>
        <v/>
      </c>
      <c r="V46" s="759">
        <f>SUMPRODUCT((Personnel!$P$9:$P$100="FE")*(Personnel!$G$9:$G$100="Yes")*(18&gt;=Personnel!$E$9:$E$100)*((Personnel!$K$9:$K$100="")+(18&lt;=Personnel!$K$9:$K$100)&gt;0))</f>
        <v/>
      </c>
      <c r="W46" s="759">
        <f>SUMPRODUCT((Personnel!$P$9:$P$100="FE")*(Personnel!$G$9:$G$100="Yes")*(19&gt;=Personnel!$E$9:$E$100)*((Personnel!$K$9:$K$100="")+(19&lt;=Personnel!$K$9:$K$100)&gt;0))</f>
        <v/>
      </c>
      <c r="X46" s="759">
        <f>SUMPRODUCT((Personnel!$P$9:$P$100="FE")*(Personnel!$G$9:$G$100="Yes")*(20&gt;=Personnel!$E$9:$E$100)*((Personnel!$K$9:$K$100="")+(20&lt;=Personnel!$K$9:$K$100)&gt;0))</f>
        <v/>
      </c>
      <c r="Y46" s="759">
        <f>SUMPRODUCT((Personnel!$P$9:$P$100="FE")*(Personnel!$G$9:$G$100="Yes")*(21&gt;=Personnel!$E$9:$E$100)*((Personnel!$K$9:$K$100="")+(21&lt;=Personnel!$K$9:$K$100)&gt;0))</f>
        <v/>
      </c>
      <c r="Z46" s="759">
        <f>SUMPRODUCT((Personnel!$P$9:$P$100="FE")*(Personnel!$G$9:$G$100="Yes")*(22&gt;=Personnel!$E$9:$E$100)*((Personnel!$K$9:$K$100="")+(22&lt;=Personnel!$K$9:$K$100)&gt;0))</f>
        <v/>
      </c>
      <c r="AA46" s="759">
        <f>SUMPRODUCT((Personnel!$P$9:$P$100="FE")*(Personnel!$G$9:$G$100="Yes")*(23&gt;=Personnel!$E$9:$E$100)*((Personnel!$K$9:$K$100="")+(23&lt;=Personnel!$K$9:$K$100)&gt;0))</f>
        <v/>
      </c>
      <c r="AB46" s="759">
        <f>SUMPRODUCT((Personnel!$P$9:$P$100="FE")*(Personnel!$G$9:$G$100="Yes")*(24&gt;=Personnel!$E$9:$E$100)*((Personnel!$K$9:$K$100="")+(24&lt;=Personnel!$K$9:$K$100)&gt;0))</f>
        <v/>
      </c>
      <c r="AC46" s="759">
        <f>SUMPRODUCT((Personnel!$P$9:$P$100="FE")*(Personnel!$G$9:$G$100="Yes")*(25&gt;=Personnel!$E$9:$E$100)*((Personnel!$K$9:$K$100="")+(25&lt;=Personnel!$K$9:$K$100)&gt;0))</f>
        <v/>
      </c>
      <c r="AD46" s="759">
        <f>SUMPRODUCT((Personnel!$P$9:$P$100="FE")*(Personnel!$G$9:$G$100="Yes")*(26&gt;=Personnel!$E$9:$E$100)*((Personnel!$K$9:$K$100="")+(26&lt;=Personnel!$K$9:$K$100)&gt;0))</f>
        <v/>
      </c>
      <c r="AE46" s="759">
        <f>SUMPRODUCT((Personnel!$P$9:$P$100="FE")*(Personnel!$G$9:$G$100="Yes")*(27&gt;=Personnel!$E$9:$E$100)*((Personnel!$K$9:$K$100="")+(27&lt;=Personnel!$K$9:$K$100)&gt;0))</f>
        <v/>
      </c>
      <c r="AF46" s="759">
        <f>SUMPRODUCT((Personnel!$P$9:$P$100="FE")*(Personnel!$G$9:$G$100="Yes")*(28&gt;=Personnel!$E$9:$E$100)*((Personnel!$K$9:$K$100="")+(28&lt;=Personnel!$K$9:$K$100)&gt;0))</f>
        <v/>
      </c>
      <c r="AG46" s="759">
        <f>SUMPRODUCT((Personnel!$P$9:$P$100="FE")*(Personnel!$G$9:$G$100="Yes")*(29&gt;=Personnel!$E$9:$E$100)*((Personnel!$K$9:$K$100="")+(29&lt;=Personnel!$K$9:$K$100)&gt;0))</f>
        <v/>
      </c>
      <c r="AH46" s="759">
        <f>SUMPRODUCT((Personnel!$P$9:$P$100="FE")*(Personnel!$G$9:$G$100="Yes")*(30&gt;=Personnel!$E$9:$E$100)*((Personnel!$K$9:$K$100="")+(30&lt;=Personnel!$K$9:$K$100)&gt;0))</f>
        <v/>
      </c>
      <c r="AI46" s="759">
        <f>SUMPRODUCT((Personnel!$P$9:$P$100="FE")*(Personnel!$G$9:$G$100="Yes")*(31&gt;=Personnel!$E$9:$E$100)*((Personnel!$K$9:$K$100="")+(31&lt;=Personnel!$K$9:$K$100)&gt;0))</f>
        <v/>
      </c>
      <c r="AJ46" s="759">
        <f>SUMPRODUCT((Personnel!$P$9:$P$100="FE")*(Personnel!$G$9:$G$100="Yes")*(32&gt;=Personnel!$E$9:$E$100)*((Personnel!$K$9:$K$100="")+(32&lt;=Personnel!$K$9:$K$100)&gt;0))</f>
        <v/>
      </c>
      <c r="AK46" s="759">
        <f>SUMPRODUCT((Personnel!$P$9:$P$100="FE")*(Personnel!$G$9:$G$100="Yes")*(33&gt;=Personnel!$E$9:$E$100)*((Personnel!$K$9:$K$100="")+(33&lt;=Personnel!$K$9:$K$100)&gt;0))</f>
        <v/>
      </c>
      <c r="AL46" s="759">
        <f>SUMPRODUCT((Personnel!$P$9:$P$100="FE")*(Personnel!$G$9:$G$100="Yes")*(34&gt;=Personnel!$E$9:$E$100)*((Personnel!$K$9:$K$100="")+(34&lt;=Personnel!$K$9:$K$100)&gt;0))</f>
        <v/>
      </c>
      <c r="AM46" s="759">
        <f>SUMPRODUCT((Personnel!$P$9:$P$100="FE")*(Personnel!$G$9:$G$100="Yes")*(35&gt;=Personnel!$E$9:$E$100)*((Personnel!$K$9:$K$100="")+(35&lt;=Personnel!$K$9:$K$100)&gt;0))</f>
        <v/>
      </c>
      <c r="AN46" s="759">
        <f>SUMPRODUCT((Personnel!$P$9:$P$100="FE")*(Personnel!$G$9:$G$100="Yes")*(36&gt;=Personnel!$E$9:$E$100)*((Personnel!$K$9:$K$100="")+(36&lt;=Personnel!$K$9:$K$100)&gt;0))</f>
        <v/>
      </c>
      <c r="AO46" s="759">
        <f>SUMPRODUCT((Personnel!$P$9:$P$100="FE")*(Personnel!$G$9:$G$100="Yes")*(37&gt;=Personnel!$E$9:$E$100)*((Personnel!$K$9:$K$100="")+(37&lt;=Personnel!$K$9:$K$100)&gt;0))</f>
        <v/>
      </c>
      <c r="AP46" s="759">
        <f>SUMPRODUCT((Personnel!$P$9:$P$100="FE")*(Personnel!$G$9:$G$100="Yes")*(38&gt;=Personnel!$E$9:$E$100)*((Personnel!$K$9:$K$100="")+(38&lt;=Personnel!$K$9:$K$100)&gt;0))</f>
        <v/>
      </c>
      <c r="AQ46" s="759">
        <f>SUMPRODUCT((Personnel!$P$9:$P$100="FE")*(Personnel!$G$9:$G$100="Yes")*(39&gt;=Personnel!$E$9:$E$100)*((Personnel!$K$9:$K$100="")+(39&lt;=Personnel!$K$9:$K$100)&gt;0))</f>
        <v/>
      </c>
      <c r="AR46" s="759">
        <f>SUMPRODUCT((Personnel!$P$9:$P$100="FE")*(Personnel!$G$9:$G$100="Yes")*(40&gt;=Personnel!$E$9:$E$100)*((Personnel!$K$9:$K$100="")+(40&lt;=Personnel!$K$9:$K$100)&gt;0))</f>
        <v/>
      </c>
      <c r="AS46" s="759">
        <f>SUMPRODUCT((Personnel!$P$9:$P$100="FE")*(Personnel!$G$9:$G$100="Yes")*(41&gt;=Personnel!$E$9:$E$100)*((Personnel!$K$9:$K$100="")+(41&lt;=Personnel!$K$9:$K$100)&gt;0))</f>
        <v/>
      </c>
      <c r="AT46" s="759">
        <f>SUMPRODUCT((Personnel!$P$9:$P$100="FE")*(Personnel!$G$9:$G$100="Yes")*(42&gt;=Personnel!$E$9:$E$100)*((Personnel!$K$9:$K$100="")+(42&lt;=Personnel!$K$9:$K$100)&gt;0))</f>
        <v/>
      </c>
      <c r="AU46" s="759">
        <f>SUMPRODUCT((Personnel!$P$9:$P$100="FE")*(Personnel!$G$9:$G$100="Yes")*(43&gt;=Personnel!$E$9:$E$100)*((Personnel!$K$9:$K$100="")+(43&lt;=Personnel!$K$9:$K$100)&gt;0))</f>
        <v/>
      </c>
      <c r="AV46" s="759">
        <f>SUMPRODUCT((Personnel!$P$9:$P$100="FE")*(Personnel!$G$9:$G$100="Yes")*(44&gt;=Personnel!$E$9:$E$100)*((Personnel!$K$9:$K$100="")+(44&lt;=Personnel!$K$9:$K$100)&gt;0))</f>
        <v/>
      </c>
      <c r="AW46" s="759">
        <f>SUMPRODUCT((Personnel!$P$9:$P$100="FE")*(Personnel!$G$9:$G$100="Yes")*(45&gt;=Personnel!$E$9:$E$100)*((Personnel!$K$9:$K$100="")+(45&lt;=Personnel!$K$9:$K$100)&gt;0))</f>
        <v/>
      </c>
      <c r="AX46" s="759">
        <f>SUMPRODUCT((Personnel!$P$9:$P$100="FE")*(Personnel!$G$9:$G$100="Yes")*(46&gt;=Personnel!$E$9:$E$100)*((Personnel!$K$9:$K$100="")+(46&lt;=Personnel!$K$9:$K$100)&gt;0))</f>
        <v/>
      </c>
      <c r="AY46" s="759">
        <f>SUMPRODUCT((Personnel!$P$9:$P$100="FE")*(Personnel!$G$9:$G$100="Yes")*(47&gt;=Personnel!$E$9:$E$100)*((Personnel!$K$9:$K$100="")+(47&lt;=Personnel!$K$9:$K$100)&gt;0))</f>
        <v/>
      </c>
      <c r="AZ46" s="759">
        <f>SUMPRODUCT((Personnel!$P$9:$P$100="FE")*(Personnel!$G$9:$G$100="Yes")*(48&gt;=Personnel!$E$9:$E$100)*((Personnel!$K$9:$K$100="")+(48&lt;=Personnel!$K$9:$K$100)&gt;0))</f>
        <v/>
      </c>
      <c r="BA46" s="759">
        <f>SUMPRODUCT((Personnel!$P$9:$P$100="FE")*(Personnel!$G$9:$G$100="Yes")*(49&gt;=Personnel!$E$9:$E$100)*((Personnel!$K$9:$K$100="")+(49&lt;=Personnel!$K$9:$K$100)&gt;0))</f>
        <v/>
      </c>
      <c r="BB46" s="759">
        <f>SUMPRODUCT((Personnel!$P$9:$P$100="FE")*(Personnel!$G$9:$G$100="Yes")*(50&gt;=Personnel!$E$9:$E$100)*((Personnel!$K$9:$K$100="")+(50&lt;=Personnel!$K$9:$K$100)&gt;0))</f>
        <v/>
      </c>
      <c r="BC46" s="759">
        <f>SUMPRODUCT((Personnel!$P$9:$P$100="FE")*(Personnel!$G$9:$G$100="Yes")*(51&gt;=Personnel!$E$9:$E$100)*((Personnel!$K$9:$K$100="")+(51&lt;=Personnel!$K$9:$K$100)&gt;0))</f>
        <v/>
      </c>
      <c r="BD46" s="759">
        <f>SUMPRODUCT((Personnel!$P$9:$P$100="FE")*(Personnel!$G$9:$G$100="Yes")*(52&gt;=Personnel!$E$9:$E$100)*((Personnel!$K$9:$K$100="")+(52&lt;=Personnel!$K$9:$K$100)&gt;0))</f>
        <v/>
      </c>
      <c r="BE46" s="759">
        <f>SUMPRODUCT((Personnel!$P$9:$P$100="FE")*(Personnel!$G$9:$G$100="Yes")*(53&gt;=Personnel!$E$9:$E$100)*((Personnel!$K$9:$K$100="")+(53&lt;=Personnel!$K$9:$K$100)&gt;0))</f>
        <v/>
      </c>
      <c r="BF46" s="759">
        <f>SUMPRODUCT((Personnel!$P$9:$P$100="FE")*(Personnel!$G$9:$G$100="Yes")*(54&gt;=Personnel!$E$9:$E$100)*((Personnel!$K$9:$K$100="")+(54&lt;=Personnel!$K$9:$K$100)&gt;0))</f>
        <v/>
      </c>
      <c r="BG46" s="759">
        <f>SUMPRODUCT((Personnel!$P$9:$P$100="FE")*(Personnel!$G$9:$G$100="Yes")*(55&gt;=Personnel!$E$9:$E$100)*((Personnel!$K$9:$K$100="")+(55&lt;=Personnel!$K$9:$K$100)&gt;0))</f>
        <v/>
      </c>
      <c r="BH46" s="759">
        <f>SUMPRODUCT((Personnel!$P$9:$P$100="FE")*(Personnel!$G$9:$G$100="Yes")*(56&gt;=Personnel!$E$9:$E$100)*((Personnel!$K$9:$K$100="")+(56&lt;=Personnel!$K$9:$K$100)&gt;0))</f>
        <v/>
      </c>
      <c r="BI46" s="759">
        <f>SUMPRODUCT((Personnel!$P$9:$P$100="FE")*(Personnel!$G$9:$G$100="Yes")*(57&gt;=Personnel!$E$9:$E$100)*((Personnel!$K$9:$K$100="")+(57&lt;=Personnel!$K$9:$K$100)&gt;0))</f>
        <v/>
      </c>
      <c r="BJ46" s="759">
        <f>SUMPRODUCT((Personnel!$P$9:$P$100="FE")*(Personnel!$G$9:$G$100="Yes")*(58&gt;=Personnel!$E$9:$E$100)*((Personnel!$K$9:$K$100="")+(58&lt;=Personnel!$K$9:$K$100)&gt;0))</f>
        <v/>
      </c>
      <c r="BK46" s="759">
        <f>SUMPRODUCT((Personnel!$P$9:$P$100="FE")*(Personnel!$G$9:$G$100="Yes")*(59&gt;=Personnel!$E$9:$E$100)*((Personnel!$K$9:$K$100="")+(59&lt;=Personnel!$K$9:$K$100)&gt;0))</f>
        <v/>
      </c>
      <c r="BL46" s="759">
        <f>SUMPRODUCT((Personnel!$P$9:$P$100="FE")*(Personnel!$G$9:$G$100="Yes")*(60&gt;=Personnel!$E$9:$E$100)*((Personnel!$K$9:$K$100="")+(60&lt;=Personnel!$K$9:$K$100)&gt;0))</f>
        <v/>
      </c>
      <c r="BM46" s="759">
        <f>SUMPRODUCT((Personnel!$P$9:$P$100="FE")*(Personnel!$G$9:$G$100="Yes")*(61&gt;=Personnel!$E$9:$E$100)*((Personnel!$K$9:$K$100="")+(61&lt;=Personnel!$K$9:$K$100)&gt;0))</f>
        <v/>
      </c>
      <c r="BN46" s="759">
        <f>SUMPRODUCT((Personnel!$P$9:$P$100="FE")*(Personnel!$G$9:$G$100="Yes")*(62&gt;=Personnel!$E$9:$E$100)*((Personnel!$K$9:$K$100="")+(62&lt;=Personnel!$K$9:$K$100)&gt;0))</f>
        <v/>
      </c>
      <c r="BO46" s="759">
        <f>SUMPRODUCT((Personnel!$P$9:$P$100="FE")*(Personnel!$G$9:$G$100="Yes")*(63&gt;=Personnel!$E$9:$E$100)*((Personnel!$K$9:$K$100="")+(63&lt;=Personnel!$K$9:$K$100)&gt;0))</f>
        <v/>
      </c>
      <c r="BP46" s="759">
        <f>SUMPRODUCT((Personnel!$P$9:$P$100="FE")*(Personnel!$G$9:$G$100="Yes")*(64&gt;=Personnel!$E$9:$E$100)*((Personnel!$K$9:$K$100="")+(64&lt;=Personnel!$K$9:$K$100)&gt;0))</f>
        <v/>
      </c>
      <c r="BQ46" s="759">
        <f>SUMPRODUCT((Personnel!$P$9:$P$100="FE")*(Personnel!$G$9:$G$100="Yes")*(65&gt;=Personnel!$E$9:$E$100)*((Personnel!$K$9:$K$100="")+(65&lt;=Personnel!$K$9:$K$100)&gt;0))</f>
        <v/>
      </c>
      <c r="BR46" s="759">
        <f>SUMPRODUCT((Personnel!$P$9:$P$100="FE")*(Personnel!$G$9:$G$100="Yes")*(66&gt;=Personnel!$E$9:$E$100)*((Personnel!$K$9:$K$100="")+(66&lt;=Personnel!$K$9:$K$100)&gt;0))</f>
        <v/>
      </c>
      <c r="BS46" s="759">
        <f>SUMPRODUCT((Personnel!$P$9:$P$100="FE")*(Personnel!$G$9:$G$100="Yes")*(67&gt;=Personnel!$E$9:$E$100)*((Personnel!$K$9:$K$100="")+(67&lt;=Personnel!$K$9:$K$100)&gt;0))</f>
        <v/>
      </c>
      <c r="BT46" s="759">
        <f>SUMPRODUCT((Personnel!$P$9:$P$100="FE")*(Personnel!$G$9:$G$100="Yes")*(68&gt;=Personnel!$E$9:$E$100)*((Personnel!$K$9:$K$100="")+(68&lt;=Personnel!$K$9:$K$100)&gt;0))</f>
        <v/>
      </c>
      <c r="BU46" s="759">
        <f>SUMPRODUCT((Personnel!$P$9:$P$100="FE")*(Personnel!$G$9:$G$100="Yes")*(69&gt;=Personnel!$E$9:$E$100)*((Personnel!$K$9:$K$100="")+(69&lt;=Personnel!$K$9:$K$100)&gt;0))</f>
        <v/>
      </c>
      <c r="BV46" s="759">
        <f>SUMPRODUCT((Personnel!$P$9:$P$100="FE")*(Personnel!$G$9:$G$100="Yes")*(70&gt;=Personnel!$E$9:$E$100)*((Personnel!$K$9:$K$100="")+(70&lt;=Personnel!$K$9:$K$100)&gt;0))</f>
        <v/>
      </c>
      <c r="BW46" s="759">
        <f>SUMPRODUCT((Personnel!$P$9:$P$100="FE")*(Personnel!$G$9:$G$100="Yes")*(71&gt;=Personnel!$E$9:$E$100)*((Personnel!$K$9:$K$100="")+(71&lt;=Personnel!$K$9:$K$100)&gt;0))</f>
        <v/>
      </c>
      <c r="BX46" s="759">
        <f>SUMPRODUCT((Personnel!$P$9:$P$100="FE")*(Personnel!$G$9:$G$100="Yes")*(72&gt;=Personnel!$E$9:$E$100)*((Personnel!$K$9:$K$100="")+(72&lt;=Personnel!$K$9:$K$100)&gt;0))</f>
        <v/>
      </c>
      <c r="BY46" s="759">
        <f>SUMPRODUCT((Personnel!$P$9:$P$100="FE")*(Personnel!$G$9:$G$100="Yes")*(73&gt;=Personnel!$E$9:$E$100)*((Personnel!$K$9:$K$100="")+(73&lt;=Personnel!$K$9:$K$100)&gt;0))</f>
        <v/>
      </c>
      <c r="BZ46" s="759">
        <f>SUMPRODUCT((Personnel!$P$9:$P$100="FE")*(Personnel!$G$9:$G$100="Yes")*(74&gt;=Personnel!$E$9:$E$100)*((Personnel!$K$9:$K$100="")+(74&lt;=Personnel!$K$9:$K$100)&gt;0))</f>
        <v/>
      </c>
      <c r="CA46" s="759">
        <f>SUMPRODUCT((Personnel!$P$9:$P$100="FE")*(Personnel!$G$9:$G$100="Yes")*(75&gt;=Personnel!$E$9:$E$100)*((Personnel!$K$9:$K$100="")+(75&lt;=Personnel!$K$9:$K$100)&gt;0))</f>
        <v/>
      </c>
      <c r="CB46" s="759">
        <f>SUMPRODUCT((Personnel!$P$9:$P$100="FE")*(Personnel!$G$9:$G$100="Yes")*(76&gt;=Personnel!$E$9:$E$100)*((Personnel!$K$9:$K$100="")+(76&lt;=Personnel!$K$9:$K$100)&gt;0))</f>
        <v/>
      </c>
      <c r="CC46" s="759">
        <f>SUMPRODUCT((Personnel!$P$9:$P$100="FE")*(Personnel!$G$9:$G$100="Yes")*(77&gt;=Personnel!$E$9:$E$100)*((Personnel!$K$9:$K$100="")+(77&lt;=Personnel!$K$9:$K$100)&gt;0))</f>
        <v/>
      </c>
      <c r="CD46" s="759">
        <f>SUMPRODUCT((Personnel!$P$9:$P$100="FE")*(Personnel!$G$9:$G$100="Yes")*(78&gt;=Personnel!$E$9:$E$100)*((Personnel!$K$9:$K$100="")+(78&lt;=Personnel!$K$9:$K$100)&gt;0))</f>
        <v/>
      </c>
      <c r="CE46" s="759">
        <f>SUMPRODUCT((Personnel!$P$9:$P$100="FE")*(Personnel!$G$9:$G$100="Yes")*(79&gt;=Personnel!$E$9:$E$100)*((Personnel!$K$9:$K$100="")+(79&lt;=Personnel!$K$9:$K$100)&gt;0))</f>
        <v/>
      </c>
      <c r="CF46" s="759">
        <f>SUMPRODUCT((Personnel!$P$9:$P$100="FE")*(Personnel!$G$9:$G$100="Yes")*(80&gt;=Personnel!$E$9:$E$100)*((Personnel!$K$9:$K$100="")+(80&lt;=Personnel!$K$9:$K$100)&gt;0))</f>
        <v/>
      </c>
      <c r="CG46" s="759">
        <f>SUMPRODUCT((Personnel!$P$9:$P$100="FE")*(Personnel!$G$9:$G$100="Yes")*(81&gt;=Personnel!$E$9:$E$100)*((Personnel!$K$9:$K$100="")+(81&lt;=Personnel!$K$9:$K$100)&gt;0))</f>
        <v/>
      </c>
      <c r="CH46" s="759">
        <f>SUMPRODUCT((Personnel!$P$9:$P$100="FE")*(Personnel!$G$9:$G$100="Yes")*(82&gt;=Personnel!$E$9:$E$100)*((Personnel!$K$9:$K$100="")+(82&lt;=Personnel!$K$9:$K$100)&gt;0))</f>
        <v/>
      </c>
      <c r="CI46" s="759">
        <f>SUMPRODUCT((Personnel!$P$9:$P$100="FE")*(Personnel!$G$9:$G$100="Yes")*(83&gt;=Personnel!$E$9:$E$100)*((Personnel!$K$9:$K$100="")+(83&lt;=Personnel!$K$9:$K$100)&gt;0))</f>
        <v/>
      </c>
      <c r="CJ46" s="759">
        <f>SUMPRODUCT((Personnel!$P$9:$P$100="FE")*(Personnel!$G$9:$G$100="Yes")*(84&gt;=Personnel!$E$9:$E$100)*((Personnel!$K$9:$K$100="")+(84&lt;=Personnel!$K$9:$K$100)&gt;0))</f>
        <v/>
      </c>
      <c r="CK46" s="759">
        <f>SUMPRODUCT((Personnel!$P$9:$P$100="FE")*(Personnel!$G$9:$G$100="Yes")*(85&gt;=Personnel!$E$9:$E$100)*((Personnel!$K$9:$K$100="")+(85&lt;=Personnel!$K$9:$K$100)&gt;0))</f>
        <v/>
      </c>
      <c r="CL46" s="759">
        <f>SUMPRODUCT((Personnel!$P$9:$P$100="FE")*(Personnel!$G$9:$G$100="Yes")*(86&gt;=Personnel!$E$9:$E$100)*((Personnel!$K$9:$K$100="")+(86&lt;=Personnel!$K$9:$K$100)&gt;0))</f>
        <v/>
      </c>
      <c r="CM46" s="759">
        <f>SUMPRODUCT((Personnel!$P$9:$P$100="FE")*(Personnel!$G$9:$G$100="Yes")*(87&gt;=Personnel!$E$9:$E$100)*((Personnel!$K$9:$K$100="")+(87&lt;=Personnel!$K$9:$K$100)&gt;0))</f>
        <v/>
      </c>
      <c r="CN46" s="759">
        <f>SUMPRODUCT((Personnel!$P$9:$P$100="FE")*(Personnel!$G$9:$G$100="Yes")*(88&gt;=Personnel!$E$9:$E$100)*((Personnel!$K$9:$K$100="")+(88&lt;=Personnel!$K$9:$K$100)&gt;0))</f>
        <v/>
      </c>
      <c r="CO46" s="759">
        <f>SUMPRODUCT((Personnel!$P$9:$P$100="FE")*(Personnel!$G$9:$G$100="Yes")*(89&gt;=Personnel!$E$9:$E$100)*((Personnel!$K$9:$K$100="")+(89&lt;=Personnel!$K$9:$K$100)&gt;0))</f>
        <v/>
      </c>
      <c r="CP46" s="759">
        <f>SUMPRODUCT((Personnel!$P$9:$P$100="FE")*(Personnel!$G$9:$G$100="Yes")*(90&gt;=Personnel!$E$9:$E$100)*((Personnel!$K$9:$K$100="")+(90&lt;=Personnel!$K$9:$K$100)&gt;0))</f>
        <v/>
      </c>
      <c r="CQ46" s="759">
        <f>SUMPRODUCT((Personnel!$P$9:$P$100="FE")*(Personnel!$G$9:$G$100="Yes")*(91&gt;=Personnel!$E$9:$E$100)*((Personnel!$K$9:$K$100="")+(91&lt;=Personnel!$K$9:$K$100)&gt;0))</f>
        <v/>
      </c>
      <c r="CR46" s="759">
        <f>SUMPRODUCT((Personnel!$P$9:$P$100="FE")*(Personnel!$G$9:$G$100="Yes")*(92&gt;=Personnel!$E$9:$E$100)*((Personnel!$K$9:$K$100="")+(92&lt;=Personnel!$K$9:$K$100)&gt;0))</f>
        <v/>
      </c>
      <c r="CS46" s="759">
        <f>SUMPRODUCT((Personnel!$P$9:$P$100="FE")*(Personnel!$G$9:$G$100="Yes")*(93&gt;=Personnel!$E$9:$E$100)*((Personnel!$K$9:$K$100="")+(93&lt;=Personnel!$K$9:$K$100)&gt;0))</f>
        <v/>
      </c>
      <c r="CT46" s="759">
        <f>SUMPRODUCT((Personnel!$P$9:$P$100="FE")*(Personnel!$G$9:$G$100="Yes")*(94&gt;=Personnel!$E$9:$E$100)*((Personnel!$K$9:$K$100="")+(94&lt;=Personnel!$K$9:$K$100)&gt;0))</f>
        <v/>
      </c>
      <c r="CU46" s="759">
        <f>SUMPRODUCT((Personnel!$P$9:$P$100="FE")*(Personnel!$G$9:$G$100="Yes")*(95&gt;=Personnel!$E$9:$E$100)*((Personnel!$K$9:$K$100="")+(95&lt;=Personnel!$K$9:$K$100)&gt;0))</f>
        <v/>
      </c>
      <c r="CV46" s="759">
        <f>SUMPRODUCT((Personnel!$P$9:$P$100="FE")*(Personnel!$G$9:$G$100="Yes")*(96&gt;=Personnel!$E$9:$E$100)*((Personnel!$K$9:$K$100="")+(96&lt;=Personnel!$K$9:$K$100)&gt;0))</f>
        <v/>
      </c>
      <c r="CW46" s="759">
        <f>SUMPRODUCT((Personnel!$P$9:$P$100="FE")*(Personnel!$G$9:$G$100="Yes")*(97&gt;=Personnel!$E$9:$E$100)*((Personnel!$K$9:$K$100="")+(97&lt;=Personnel!$K$9:$K$100)&gt;0))</f>
        <v/>
      </c>
      <c r="CX46" s="759">
        <f>SUMPRODUCT((Personnel!$P$9:$P$100="FE")*(Personnel!$G$9:$G$100="Yes")*(98&gt;=Personnel!$E$9:$E$100)*((Personnel!$K$9:$K$100="")+(98&lt;=Personnel!$K$9:$K$100)&gt;0))</f>
        <v/>
      </c>
      <c r="CY46" s="759">
        <f>SUMPRODUCT((Personnel!$P$9:$P$100="FE")*(Personnel!$G$9:$G$100="Yes")*(99&gt;=Personnel!$E$9:$E$100)*((Personnel!$K$9:$K$100="")+(99&lt;=Personnel!$K$9:$K$100)&gt;0))</f>
        <v/>
      </c>
      <c r="CZ46" s="759">
        <f>SUMPRODUCT((Personnel!$P$9:$P$100="FE")*(Personnel!$G$9:$G$100="Yes")*(100&gt;=Personnel!$E$9:$E$100)*((Personnel!$K$9:$K$100="")+(100&lt;=Personnel!$K$9:$K$100)&gt;0))</f>
        <v/>
      </c>
      <c r="DA46" s="759">
        <f>SUMPRODUCT((Personnel!$P$9:$P$100="FE")*(Personnel!$G$9:$G$100="Yes")*(101&gt;=Personnel!$E$9:$E$100)*((Personnel!$K$9:$K$100="")+(101&lt;=Personnel!$K$9:$K$100)&gt;0))</f>
        <v/>
      </c>
      <c r="DB46" s="759">
        <f>SUMPRODUCT((Personnel!$P$9:$P$100="FE")*(Personnel!$G$9:$G$100="Yes")*(102&gt;=Personnel!$E$9:$E$100)*((Personnel!$K$9:$K$100="")+(102&lt;=Personnel!$K$9:$K$100)&gt;0))</f>
        <v/>
      </c>
      <c r="DC46" s="759">
        <f>SUMPRODUCT((Personnel!$P$9:$P$100="FE")*(Personnel!$G$9:$G$100="Yes")*(103&gt;=Personnel!$E$9:$E$100)*((Personnel!$K$9:$K$100="")+(103&lt;=Personnel!$K$9:$K$100)&gt;0))</f>
        <v/>
      </c>
      <c r="DD46" s="759">
        <f>SUMPRODUCT((Personnel!$P$9:$P$100="FE")*(Personnel!$G$9:$G$100="Yes")*(104&gt;=Personnel!$E$9:$E$100)*((Personnel!$K$9:$K$100="")+(104&lt;=Personnel!$K$9:$K$100)&gt;0))</f>
        <v/>
      </c>
      <c r="DE46" s="759">
        <f>SUMPRODUCT((Personnel!$P$9:$P$100="FE")*(Personnel!$G$9:$G$100="Yes")*(105&gt;=Personnel!$E$9:$E$100)*((Personnel!$K$9:$K$100="")+(105&lt;=Personnel!$K$9:$K$100)&gt;0))</f>
        <v/>
      </c>
    </row>
    <row r="48">
      <c r="A48" s="584" t="inlineStr">
        <is>
          <t>HIRE SLOTS  (1 = filled that month)</t>
        </is>
      </c>
      <c r="B48" s="585" t="n"/>
      <c r="C48" s="585" t="n"/>
      <c r="D48" s="585" t="n"/>
      <c r="E48" s="585" t="n"/>
      <c r="F48" s="585" t="n"/>
    </row>
    <row r="49">
      <c r="A49" s="586" t="inlineStr">
        <is>
          <t>Superintendent slot 1</t>
        </is>
      </c>
      <c r="B49" s="587">
        <f>$B$26</f>
        <v/>
      </c>
      <c r="E49" s="760">
        <f>IF(1&lt;5,0,IF(MAX(E38:E38)&gt;E43+0+$B$18,1,0))</f>
        <v/>
      </c>
      <c r="F49" s="760">
        <f>IF(2&lt;5,0,IF(MAX(E38:F38)&gt;F43+0+$B$18,1,0))</f>
        <v/>
      </c>
      <c r="G49" s="760">
        <f>IF(3&lt;5,0,IF(MAX(E38:G38)&gt;G43+0+$B$18,1,0))</f>
        <v/>
      </c>
      <c r="H49" s="760">
        <f>IF(4&lt;5,0,IF(MAX(E38:H38)&gt;H43+0+$B$18,1,0))</f>
        <v/>
      </c>
      <c r="I49" s="760">
        <f>IF(5&lt;5,0,IF(MAX(E38:I38)&gt;I43+0+$B$18,1,0))</f>
        <v/>
      </c>
      <c r="J49" s="760">
        <f>IF(6&lt;5,0,IF(MAX(E38:J38)&gt;J43+0+$B$18,1,0))</f>
        <v/>
      </c>
      <c r="K49" s="760">
        <f>IF(7&lt;5,0,IF(MAX(F38:K38)&gt;K43+0+$B$18,1,0))</f>
        <v/>
      </c>
      <c r="L49" s="760">
        <f>IF(8&lt;5,0,IF(MAX(G38:L38)&gt;L43+0+$B$18,1,0))</f>
        <v/>
      </c>
      <c r="M49" s="760">
        <f>IF(9&lt;5,0,IF(MAX(H38:M38)&gt;M43+0+$B$18,1,0))</f>
        <v/>
      </c>
      <c r="N49" s="760">
        <f>IF(10&lt;5,0,IF(MAX(I38:N38)&gt;N43+0+$B$18,1,0))</f>
        <v/>
      </c>
      <c r="O49" s="760">
        <f>IF(11&lt;5,0,IF(MAX(J38:O38)&gt;O43+0+$B$18,1,0))</f>
        <v/>
      </c>
      <c r="P49" s="760">
        <f>IF(12&lt;5,0,IF(MAX(K38:P38)&gt;P43+0+$B$18,1,0))</f>
        <v/>
      </c>
      <c r="Q49" s="760">
        <f>IF(13&lt;5,0,IF(MAX(L38:Q38)&gt;Q43+0+$B$18,1,0))</f>
        <v/>
      </c>
      <c r="R49" s="760">
        <f>IF(14&lt;5,0,IF(MAX(M38:R38)&gt;R43+0+$B$18,1,0))</f>
        <v/>
      </c>
      <c r="S49" s="760">
        <f>IF(15&lt;5,0,IF(MAX(N38:S38)&gt;S43+0+$B$18,1,0))</f>
        <v/>
      </c>
      <c r="T49" s="760">
        <f>IF(16&lt;5,0,IF(MAX(O38:T38)&gt;T43+0+$B$18,1,0))</f>
        <v/>
      </c>
      <c r="U49" s="760">
        <f>IF(17&lt;5,0,IF(MAX(P38:U38)&gt;U43+0+$B$18,1,0))</f>
        <v/>
      </c>
      <c r="V49" s="760">
        <f>IF(18&lt;5,0,IF(MAX(Q38:V38)&gt;V43+0+$B$18,1,0))</f>
        <v/>
      </c>
      <c r="W49" s="760">
        <f>IF(19&lt;5,0,IF(MAX(R38:W38)&gt;W43+0+$B$18,1,0))</f>
        <v/>
      </c>
      <c r="X49" s="760">
        <f>IF(20&lt;5,0,IF(MAX(S38:X38)&gt;X43+0+$B$18,1,0))</f>
        <v/>
      </c>
      <c r="Y49" s="760">
        <f>IF(21&lt;5,0,IF(MAX(T38:Y38)&gt;Y43+0+$B$18,1,0))</f>
        <v/>
      </c>
      <c r="Z49" s="760">
        <f>IF(22&lt;5,0,IF(MAX(U38:Z38)&gt;Z43+0+$B$18,1,0))</f>
        <v/>
      </c>
      <c r="AA49" s="760">
        <f>IF(23&lt;5,0,IF(MAX(V38:AA38)&gt;AA43+0+$B$18,1,0))</f>
        <v/>
      </c>
      <c r="AB49" s="760">
        <f>IF(24&lt;5,0,IF(MAX(W38:AB38)&gt;AB43+0+$B$18,1,0))</f>
        <v/>
      </c>
      <c r="AC49" s="760">
        <f>IF(25&lt;5,0,IF(MAX(X38:AC38)&gt;AC43+0+$B$18,1,0))</f>
        <v/>
      </c>
      <c r="AD49" s="760">
        <f>IF(26&lt;5,0,IF(MAX(Y38:AD38)&gt;AD43+0+$B$18,1,0))</f>
        <v/>
      </c>
      <c r="AE49" s="760">
        <f>IF(27&lt;5,0,IF(MAX(Z38:AE38)&gt;AE43+0+$B$18,1,0))</f>
        <v/>
      </c>
      <c r="AF49" s="760">
        <f>IF(28&lt;5,0,IF(MAX(AA38:AF38)&gt;AF43+0+$B$18,1,0))</f>
        <v/>
      </c>
      <c r="AG49" s="760">
        <f>IF(29&lt;5,0,IF(MAX(AB38:AG38)&gt;AG43+0+$B$18,1,0))</f>
        <v/>
      </c>
      <c r="AH49" s="760">
        <f>IF(30&lt;5,0,IF(MAX(AC38:AH38)&gt;AH43+0+$B$18,1,0))</f>
        <v/>
      </c>
      <c r="AI49" s="760">
        <f>IF(31&lt;5,0,IF(MAX(AD38:AI38)&gt;AI43+0+$B$18,1,0))</f>
        <v/>
      </c>
      <c r="AJ49" s="760">
        <f>IF(32&lt;5,0,IF(MAX(AE38:AJ38)&gt;AJ43+0+$B$18,1,0))</f>
        <v/>
      </c>
      <c r="AK49" s="760">
        <f>IF(33&lt;5,0,IF(MAX(AF38:AK38)&gt;AK43+0+$B$18,1,0))</f>
        <v/>
      </c>
      <c r="AL49" s="760">
        <f>IF(34&lt;5,0,IF(MAX(AG38:AL38)&gt;AL43+0+$B$18,1,0))</f>
        <v/>
      </c>
      <c r="AM49" s="760">
        <f>IF(35&lt;5,0,IF(MAX(AH38:AM38)&gt;AM43+0+$B$18,1,0))</f>
        <v/>
      </c>
      <c r="AN49" s="760">
        <f>IF(36&lt;5,0,IF(MAX(AI38:AN38)&gt;AN43+0+$B$18,1,0))</f>
        <v/>
      </c>
      <c r="AO49" s="760">
        <f>IF(37&lt;5,0,IF(MAX(AJ38:AO38)&gt;AO43+0+$B$18,1,0))</f>
        <v/>
      </c>
      <c r="AP49" s="760">
        <f>IF(38&lt;5,0,IF(MAX(AK38:AP38)&gt;AP43+0+$B$18,1,0))</f>
        <v/>
      </c>
      <c r="AQ49" s="760">
        <f>IF(39&lt;5,0,IF(MAX(AL38:AQ38)&gt;AQ43+0+$B$18,1,0))</f>
        <v/>
      </c>
      <c r="AR49" s="760">
        <f>IF(40&lt;5,0,IF(MAX(AM38:AR38)&gt;AR43+0+$B$18,1,0))</f>
        <v/>
      </c>
      <c r="AS49" s="760">
        <f>IF(41&lt;5,0,IF(MAX(AN38:AS38)&gt;AS43+0+$B$18,1,0))</f>
        <v/>
      </c>
      <c r="AT49" s="760">
        <f>IF(42&lt;5,0,IF(MAX(AO38:AT38)&gt;AT43+0+$B$18,1,0))</f>
        <v/>
      </c>
      <c r="AU49" s="760">
        <f>IF(43&lt;5,0,IF(MAX(AP38:AU38)&gt;AU43+0+$B$18,1,0))</f>
        <v/>
      </c>
      <c r="AV49" s="760">
        <f>IF(44&lt;5,0,IF(MAX(AQ38:AV38)&gt;AV43+0+$B$18,1,0))</f>
        <v/>
      </c>
      <c r="AW49" s="760">
        <f>IF(45&lt;5,0,IF(MAX(AR38:AW38)&gt;AW43+0+$B$18,1,0))</f>
        <v/>
      </c>
      <c r="AX49" s="760">
        <f>IF(46&lt;5,0,IF(MAX(AS38:AX38)&gt;AX43+0+$B$18,1,0))</f>
        <v/>
      </c>
      <c r="AY49" s="760">
        <f>IF(47&lt;5,0,IF(MAX(AT38:AY38)&gt;AY43+0+$B$18,1,0))</f>
        <v/>
      </c>
      <c r="AZ49" s="760">
        <f>IF(48&lt;5,0,IF(MAX(AU38:AZ38)&gt;AZ43+0+$B$18,1,0))</f>
        <v/>
      </c>
      <c r="BA49" s="760">
        <f>IF(49&lt;5,0,IF(MAX(AV38:BA38)&gt;BA43+0+$B$18,1,0))</f>
        <v/>
      </c>
      <c r="BB49" s="760">
        <f>IF(50&lt;5,0,IF(MAX(AW38:BB38)&gt;BB43+0+$B$18,1,0))</f>
        <v/>
      </c>
      <c r="BC49" s="760">
        <f>IF(51&lt;5,0,IF(MAX(AX38:BC38)&gt;BC43+0+$B$18,1,0))</f>
        <v/>
      </c>
      <c r="BD49" s="760">
        <f>IF(52&lt;5,0,IF(MAX(AY38:BD38)&gt;BD43+0+$B$18,1,0))</f>
        <v/>
      </c>
      <c r="BE49" s="760">
        <f>IF(53&lt;5,0,IF(MAX(AZ38:BE38)&gt;BE43+0+$B$18,1,0))</f>
        <v/>
      </c>
      <c r="BF49" s="760">
        <f>IF(54&lt;5,0,IF(MAX(BA38:BF38)&gt;BF43+0+$B$18,1,0))</f>
        <v/>
      </c>
      <c r="BG49" s="760">
        <f>IF(55&lt;5,0,IF(MAX(BB38:BG38)&gt;BG43+0+$B$18,1,0))</f>
        <v/>
      </c>
      <c r="BH49" s="760">
        <f>IF(56&lt;5,0,IF(MAX(BC38:BH38)&gt;BH43+0+$B$18,1,0))</f>
        <v/>
      </c>
      <c r="BI49" s="760">
        <f>IF(57&lt;5,0,IF(MAX(BD38:BI38)&gt;BI43+0+$B$18,1,0))</f>
        <v/>
      </c>
      <c r="BJ49" s="760">
        <f>IF(58&lt;5,0,IF(MAX(BE38:BJ38)&gt;BJ43+0+$B$18,1,0))</f>
        <v/>
      </c>
      <c r="BK49" s="760">
        <f>IF(59&lt;5,0,IF(MAX(BF38:BK38)&gt;BK43+0+$B$18,1,0))</f>
        <v/>
      </c>
      <c r="BL49" s="760">
        <f>IF(60&lt;5,0,IF(MAX(BG38:BL38)&gt;BL43+0+$B$18,1,0))</f>
        <v/>
      </c>
      <c r="BM49" s="760">
        <f>IF(61&lt;5,0,IF(MAX(BH38:BM38)&gt;BM43+0+$B$18,1,0))</f>
        <v/>
      </c>
      <c r="BN49" s="760">
        <f>IF(62&lt;5,0,IF(MAX(BI38:BN38)&gt;BN43+0+$B$18,1,0))</f>
        <v/>
      </c>
      <c r="BO49" s="760">
        <f>IF(63&lt;5,0,IF(MAX(BJ38:BO38)&gt;BO43+0+$B$18,1,0))</f>
        <v/>
      </c>
      <c r="BP49" s="760">
        <f>IF(64&lt;5,0,IF(MAX(BK38:BP38)&gt;BP43+0+$B$18,1,0))</f>
        <v/>
      </c>
      <c r="BQ49" s="760">
        <f>IF(65&lt;5,0,IF(MAX(BL38:BQ38)&gt;BQ43+0+$B$18,1,0))</f>
        <v/>
      </c>
      <c r="BR49" s="760">
        <f>IF(66&lt;5,0,IF(MAX(BM38:BR38)&gt;BR43+0+$B$18,1,0))</f>
        <v/>
      </c>
      <c r="BS49" s="760">
        <f>IF(67&lt;5,0,IF(MAX(BN38:BS38)&gt;BS43+0+$B$18,1,0))</f>
        <v/>
      </c>
      <c r="BT49" s="760">
        <f>IF(68&lt;5,0,IF(MAX(BO38:BT38)&gt;BT43+0+$B$18,1,0))</f>
        <v/>
      </c>
      <c r="BU49" s="760">
        <f>IF(69&lt;5,0,IF(MAX(BP38:BU38)&gt;BU43+0+$B$18,1,0))</f>
        <v/>
      </c>
      <c r="BV49" s="760">
        <f>IF(70&lt;5,0,IF(MAX(BQ38:BV38)&gt;BV43+0+$B$18,1,0))</f>
        <v/>
      </c>
      <c r="BW49" s="760">
        <f>IF(71&lt;5,0,IF(MAX(BR38:BW38)&gt;BW43+0+$B$18,1,0))</f>
        <v/>
      </c>
      <c r="BX49" s="760">
        <f>IF(72&lt;5,0,IF(MAX(BS38:BX38)&gt;BX43+0+$B$18,1,0))</f>
        <v/>
      </c>
      <c r="BY49" s="760">
        <f>IF(73&lt;5,0,IF(MAX(BT38:BY38)&gt;BY43+0+$B$18,1,0))</f>
        <v/>
      </c>
      <c r="BZ49" s="760">
        <f>IF(74&lt;5,0,IF(MAX(BU38:BZ38)&gt;BZ43+0+$B$18,1,0))</f>
        <v/>
      </c>
      <c r="CA49" s="760">
        <f>IF(75&lt;5,0,IF(MAX(BV38:CA38)&gt;CA43+0+$B$18,1,0))</f>
        <v/>
      </c>
      <c r="CB49" s="760">
        <f>IF(76&lt;5,0,IF(MAX(BW38:CB38)&gt;CB43+0+$B$18,1,0))</f>
        <v/>
      </c>
      <c r="CC49" s="760">
        <f>IF(77&lt;5,0,IF(MAX(BX38:CC38)&gt;CC43+0+$B$18,1,0))</f>
        <v/>
      </c>
      <c r="CD49" s="760">
        <f>IF(78&lt;5,0,IF(MAX(BY38:CD38)&gt;CD43+0+$B$18,1,0))</f>
        <v/>
      </c>
      <c r="CE49" s="760">
        <f>IF(79&lt;5,0,IF(MAX(BZ38:CE38)&gt;CE43+0+$B$18,1,0))</f>
        <v/>
      </c>
      <c r="CF49" s="760">
        <f>IF(80&lt;5,0,IF(MAX(CA38:CF38)&gt;CF43+0+$B$18,1,0))</f>
        <v/>
      </c>
      <c r="CG49" s="760">
        <f>IF(81&lt;5,0,IF(MAX(CB38:CG38)&gt;CG43+0+$B$18,1,0))</f>
        <v/>
      </c>
      <c r="CH49" s="760">
        <f>IF(82&lt;5,0,IF(MAX(CC38:CH38)&gt;CH43+0+$B$18,1,0))</f>
        <v/>
      </c>
      <c r="CI49" s="760">
        <f>IF(83&lt;5,0,IF(MAX(CD38:CI38)&gt;CI43+0+$B$18,1,0))</f>
        <v/>
      </c>
      <c r="CJ49" s="760">
        <f>IF(84&lt;5,0,IF(MAX(CE38:CJ38)&gt;CJ43+0+$B$18,1,0))</f>
        <v/>
      </c>
      <c r="CK49" s="760">
        <f>IF(85&lt;5,0,IF(MAX(CF38:CK38)&gt;CK43+0+$B$18,1,0))</f>
        <v/>
      </c>
      <c r="CL49" s="760">
        <f>IF(86&lt;5,0,IF(MAX(CG38:CL38)&gt;CL43+0+$B$18,1,0))</f>
        <v/>
      </c>
      <c r="CM49" s="760">
        <f>IF(87&lt;5,0,IF(MAX(CH38:CM38)&gt;CM43+0+$B$18,1,0))</f>
        <v/>
      </c>
      <c r="CN49" s="760">
        <f>IF(88&lt;5,0,IF(MAX(CI38:CN38)&gt;CN43+0+$B$18,1,0))</f>
        <v/>
      </c>
      <c r="CO49" s="760">
        <f>IF(89&lt;5,0,IF(MAX(CJ38:CO38)&gt;CO43+0+$B$18,1,0))</f>
        <v/>
      </c>
      <c r="CP49" s="760">
        <f>IF(90&lt;5,0,IF(MAX(CK38:CP38)&gt;CP43+0+$B$18,1,0))</f>
        <v/>
      </c>
      <c r="CQ49" s="760">
        <f>IF(91&lt;5,0,IF(MAX(CL38:CQ38)&gt;CQ43+0+$B$18,1,0))</f>
        <v/>
      </c>
      <c r="CR49" s="760">
        <f>IF(92&lt;5,0,IF(MAX(CM38:CR38)&gt;CR43+0+$B$18,1,0))</f>
        <v/>
      </c>
      <c r="CS49" s="760">
        <f>IF(93&lt;5,0,IF(MAX(CN38:CS38)&gt;CS43+0+$B$18,1,0))</f>
        <v/>
      </c>
      <c r="CT49" s="760">
        <f>IF(94&lt;5,0,IF(MAX(CO38:CT38)&gt;CT43+0+$B$18,1,0))</f>
        <v/>
      </c>
      <c r="CU49" s="760">
        <f>IF(95&lt;5,0,IF(MAX(CP38:CU38)&gt;CU43+0+$B$18,1,0))</f>
        <v/>
      </c>
      <c r="CV49" s="760">
        <f>IF(96&lt;5,0,IF(MAX(CQ38:CV38)&gt;CV43+0+$B$18,1,0))</f>
        <v/>
      </c>
      <c r="CW49" s="760">
        <f>IF(97&lt;5,0,IF(MAX(CR38:CW38)&gt;CW43+0+$B$18,1,0))</f>
        <v/>
      </c>
      <c r="CX49" s="760">
        <f>IF(98&lt;5,0,IF(MAX(CS38:CX38)&gt;CX43+0+$B$18,1,0))</f>
        <v/>
      </c>
      <c r="CY49" s="760">
        <f>IF(99&lt;5,0,IF(MAX(CT38:CY38)&gt;CY43+0+$B$18,1,0))</f>
        <v/>
      </c>
      <c r="CZ49" s="760">
        <f>IF(100&lt;5,0,IF(MAX(CU38:CZ38)&gt;CZ43+0+$B$18,1,0))</f>
        <v/>
      </c>
      <c r="DA49" s="760">
        <f>IF(101&lt;5,0,IF(MAX(CV38:DA38)&gt;DA43+0+$B$18,1,0))</f>
        <v/>
      </c>
      <c r="DB49" s="760">
        <f>IF(102&lt;5,0,IF(MAX(CW38:DB38)&gt;DB43+0+$B$18,1,0))</f>
        <v/>
      </c>
      <c r="DC49" s="760">
        <f>IF(103&lt;5,0,IF(MAX(CX38:DC38)&gt;DC43+0+$B$18,1,0))</f>
        <v/>
      </c>
      <c r="DD49" s="760">
        <f>IF(104&lt;5,0,IF(MAX(CY38:DD38)&gt;DD43+0+$B$18,1,0))</f>
        <v/>
      </c>
      <c r="DE49" s="760">
        <f>IF(105&lt;5,0,IF(MAX(CZ38:DE38)&gt;DE43+0+$B$18,1,0))</f>
        <v/>
      </c>
    </row>
    <row r="50">
      <c r="A50" s="586" t="inlineStr">
        <is>
          <t>Superintendent slot 2</t>
        </is>
      </c>
      <c r="B50" s="587">
        <f>$B$26</f>
        <v/>
      </c>
      <c r="E50" s="760">
        <f>IF(1&lt;5,0,IF(MAX(E38:E38)&gt;E43+1+$B$18,1,0))</f>
        <v/>
      </c>
      <c r="F50" s="760">
        <f>IF(2&lt;5,0,IF(MAX(E38:F38)&gt;F43+1+$B$18,1,0))</f>
        <v/>
      </c>
      <c r="G50" s="760">
        <f>IF(3&lt;5,0,IF(MAX(E38:G38)&gt;G43+1+$B$18,1,0))</f>
        <v/>
      </c>
      <c r="H50" s="760">
        <f>IF(4&lt;5,0,IF(MAX(E38:H38)&gt;H43+1+$B$18,1,0))</f>
        <v/>
      </c>
      <c r="I50" s="760">
        <f>IF(5&lt;5,0,IF(MAX(E38:I38)&gt;I43+1+$B$18,1,0))</f>
        <v/>
      </c>
      <c r="J50" s="760">
        <f>IF(6&lt;5,0,IF(MAX(E38:J38)&gt;J43+1+$B$18,1,0))</f>
        <v/>
      </c>
      <c r="K50" s="760">
        <f>IF(7&lt;5,0,IF(MAX(F38:K38)&gt;K43+1+$B$18,1,0))</f>
        <v/>
      </c>
      <c r="L50" s="760">
        <f>IF(8&lt;5,0,IF(MAX(G38:L38)&gt;L43+1+$B$18,1,0))</f>
        <v/>
      </c>
      <c r="M50" s="760">
        <f>IF(9&lt;5,0,IF(MAX(H38:M38)&gt;M43+1+$B$18,1,0))</f>
        <v/>
      </c>
      <c r="N50" s="760">
        <f>IF(10&lt;5,0,IF(MAX(I38:N38)&gt;N43+1+$B$18,1,0))</f>
        <v/>
      </c>
      <c r="O50" s="760">
        <f>IF(11&lt;5,0,IF(MAX(J38:O38)&gt;O43+1+$B$18,1,0))</f>
        <v/>
      </c>
      <c r="P50" s="760">
        <f>IF(12&lt;5,0,IF(MAX(K38:P38)&gt;P43+1+$B$18,1,0))</f>
        <v/>
      </c>
      <c r="Q50" s="760">
        <f>IF(13&lt;5,0,IF(MAX(L38:Q38)&gt;Q43+1+$B$18,1,0))</f>
        <v/>
      </c>
      <c r="R50" s="760">
        <f>IF(14&lt;5,0,IF(MAX(M38:R38)&gt;R43+1+$B$18,1,0))</f>
        <v/>
      </c>
      <c r="S50" s="760">
        <f>IF(15&lt;5,0,IF(MAX(N38:S38)&gt;S43+1+$B$18,1,0))</f>
        <v/>
      </c>
      <c r="T50" s="760">
        <f>IF(16&lt;5,0,IF(MAX(O38:T38)&gt;T43+1+$B$18,1,0))</f>
        <v/>
      </c>
      <c r="U50" s="760">
        <f>IF(17&lt;5,0,IF(MAX(P38:U38)&gt;U43+1+$B$18,1,0))</f>
        <v/>
      </c>
      <c r="V50" s="760">
        <f>IF(18&lt;5,0,IF(MAX(Q38:V38)&gt;V43+1+$B$18,1,0))</f>
        <v/>
      </c>
      <c r="W50" s="760">
        <f>IF(19&lt;5,0,IF(MAX(R38:W38)&gt;W43+1+$B$18,1,0))</f>
        <v/>
      </c>
      <c r="X50" s="760">
        <f>IF(20&lt;5,0,IF(MAX(S38:X38)&gt;X43+1+$B$18,1,0))</f>
        <v/>
      </c>
      <c r="Y50" s="760">
        <f>IF(21&lt;5,0,IF(MAX(T38:Y38)&gt;Y43+1+$B$18,1,0))</f>
        <v/>
      </c>
      <c r="Z50" s="760">
        <f>IF(22&lt;5,0,IF(MAX(U38:Z38)&gt;Z43+1+$B$18,1,0))</f>
        <v/>
      </c>
      <c r="AA50" s="760">
        <f>IF(23&lt;5,0,IF(MAX(V38:AA38)&gt;AA43+1+$B$18,1,0))</f>
        <v/>
      </c>
      <c r="AB50" s="760">
        <f>IF(24&lt;5,0,IF(MAX(W38:AB38)&gt;AB43+1+$B$18,1,0))</f>
        <v/>
      </c>
      <c r="AC50" s="760">
        <f>IF(25&lt;5,0,IF(MAX(X38:AC38)&gt;AC43+1+$B$18,1,0))</f>
        <v/>
      </c>
      <c r="AD50" s="760">
        <f>IF(26&lt;5,0,IF(MAX(Y38:AD38)&gt;AD43+1+$B$18,1,0))</f>
        <v/>
      </c>
      <c r="AE50" s="760">
        <f>IF(27&lt;5,0,IF(MAX(Z38:AE38)&gt;AE43+1+$B$18,1,0))</f>
        <v/>
      </c>
      <c r="AF50" s="760">
        <f>IF(28&lt;5,0,IF(MAX(AA38:AF38)&gt;AF43+1+$B$18,1,0))</f>
        <v/>
      </c>
      <c r="AG50" s="760">
        <f>IF(29&lt;5,0,IF(MAX(AB38:AG38)&gt;AG43+1+$B$18,1,0))</f>
        <v/>
      </c>
      <c r="AH50" s="760">
        <f>IF(30&lt;5,0,IF(MAX(AC38:AH38)&gt;AH43+1+$B$18,1,0))</f>
        <v/>
      </c>
      <c r="AI50" s="760">
        <f>IF(31&lt;5,0,IF(MAX(AD38:AI38)&gt;AI43+1+$B$18,1,0))</f>
        <v/>
      </c>
      <c r="AJ50" s="760">
        <f>IF(32&lt;5,0,IF(MAX(AE38:AJ38)&gt;AJ43+1+$B$18,1,0))</f>
        <v/>
      </c>
      <c r="AK50" s="760">
        <f>IF(33&lt;5,0,IF(MAX(AF38:AK38)&gt;AK43+1+$B$18,1,0))</f>
        <v/>
      </c>
      <c r="AL50" s="760">
        <f>IF(34&lt;5,0,IF(MAX(AG38:AL38)&gt;AL43+1+$B$18,1,0))</f>
        <v/>
      </c>
      <c r="AM50" s="760">
        <f>IF(35&lt;5,0,IF(MAX(AH38:AM38)&gt;AM43+1+$B$18,1,0))</f>
        <v/>
      </c>
      <c r="AN50" s="760">
        <f>IF(36&lt;5,0,IF(MAX(AI38:AN38)&gt;AN43+1+$B$18,1,0))</f>
        <v/>
      </c>
      <c r="AO50" s="760">
        <f>IF(37&lt;5,0,IF(MAX(AJ38:AO38)&gt;AO43+1+$B$18,1,0))</f>
        <v/>
      </c>
      <c r="AP50" s="760">
        <f>IF(38&lt;5,0,IF(MAX(AK38:AP38)&gt;AP43+1+$B$18,1,0))</f>
        <v/>
      </c>
      <c r="AQ50" s="760">
        <f>IF(39&lt;5,0,IF(MAX(AL38:AQ38)&gt;AQ43+1+$B$18,1,0))</f>
        <v/>
      </c>
      <c r="AR50" s="760">
        <f>IF(40&lt;5,0,IF(MAX(AM38:AR38)&gt;AR43+1+$B$18,1,0))</f>
        <v/>
      </c>
      <c r="AS50" s="760">
        <f>IF(41&lt;5,0,IF(MAX(AN38:AS38)&gt;AS43+1+$B$18,1,0))</f>
        <v/>
      </c>
      <c r="AT50" s="760">
        <f>IF(42&lt;5,0,IF(MAX(AO38:AT38)&gt;AT43+1+$B$18,1,0))</f>
        <v/>
      </c>
      <c r="AU50" s="760">
        <f>IF(43&lt;5,0,IF(MAX(AP38:AU38)&gt;AU43+1+$B$18,1,0))</f>
        <v/>
      </c>
      <c r="AV50" s="760">
        <f>IF(44&lt;5,0,IF(MAX(AQ38:AV38)&gt;AV43+1+$B$18,1,0))</f>
        <v/>
      </c>
      <c r="AW50" s="760">
        <f>IF(45&lt;5,0,IF(MAX(AR38:AW38)&gt;AW43+1+$B$18,1,0))</f>
        <v/>
      </c>
      <c r="AX50" s="760">
        <f>IF(46&lt;5,0,IF(MAX(AS38:AX38)&gt;AX43+1+$B$18,1,0))</f>
        <v/>
      </c>
      <c r="AY50" s="760">
        <f>IF(47&lt;5,0,IF(MAX(AT38:AY38)&gt;AY43+1+$B$18,1,0))</f>
        <v/>
      </c>
      <c r="AZ50" s="760">
        <f>IF(48&lt;5,0,IF(MAX(AU38:AZ38)&gt;AZ43+1+$B$18,1,0))</f>
        <v/>
      </c>
      <c r="BA50" s="760">
        <f>IF(49&lt;5,0,IF(MAX(AV38:BA38)&gt;BA43+1+$B$18,1,0))</f>
        <v/>
      </c>
      <c r="BB50" s="760">
        <f>IF(50&lt;5,0,IF(MAX(AW38:BB38)&gt;BB43+1+$B$18,1,0))</f>
        <v/>
      </c>
      <c r="BC50" s="760">
        <f>IF(51&lt;5,0,IF(MAX(AX38:BC38)&gt;BC43+1+$B$18,1,0))</f>
        <v/>
      </c>
      <c r="BD50" s="760">
        <f>IF(52&lt;5,0,IF(MAX(AY38:BD38)&gt;BD43+1+$B$18,1,0))</f>
        <v/>
      </c>
      <c r="BE50" s="760">
        <f>IF(53&lt;5,0,IF(MAX(AZ38:BE38)&gt;BE43+1+$B$18,1,0))</f>
        <v/>
      </c>
      <c r="BF50" s="760">
        <f>IF(54&lt;5,0,IF(MAX(BA38:BF38)&gt;BF43+1+$B$18,1,0))</f>
        <v/>
      </c>
      <c r="BG50" s="760">
        <f>IF(55&lt;5,0,IF(MAX(BB38:BG38)&gt;BG43+1+$B$18,1,0))</f>
        <v/>
      </c>
      <c r="BH50" s="760">
        <f>IF(56&lt;5,0,IF(MAX(BC38:BH38)&gt;BH43+1+$B$18,1,0))</f>
        <v/>
      </c>
      <c r="BI50" s="760">
        <f>IF(57&lt;5,0,IF(MAX(BD38:BI38)&gt;BI43+1+$B$18,1,0))</f>
        <v/>
      </c>
      <c r="BJ50" s="760">
        <f>IF(58&lt;5,0,IF(MAX(BE38:BJ38)&gt;BJ43+1+$B$18,1,0))</f>
        <v/>
      </c>
      <c r="BK50" s="760">
        <f>IF(59&lt;5,0,IF(MAX(BF38:BK38)&gt;BK43+1+$B$18,1,0))</f>
        <v/>
      </c>
      <c r="BL50" s="760">
        <f>IF(60&lt;5,0,IF(MAX(BG38:BL38)&gt;BL43+1+$B$18,1,0))</f>
        <v/>
      </c>
      <c r="BM50" s="760">
        <f>IF(61&lt;5,0,IF(MAX(BH38:BM38)&gt;BM43+1+$B$18,1,0))</f>
        <v/>
      </c>
      <c r="BN50" s="760">
        <f>IF(62&lt;5,0,IF(MAX(BI38:BN38)&gt;BN43+1+$B$18,1,0))</f>
        <v/>
      </c>
      <c r="BO50" s="760">
        <f>IF(63&lt;5,0,IF(MAX(BJ38:BO38)&gt;BO43+1+$B$18,1,0))</f>
        <v/>
      </c>
      <c r="BP50" s="760">
        <f>IF(64&lt;5,0,IF(MAX(BK38:BP38)&gt;BP43+1+$B$18,1,0))</f>
        <v/>
      </c>
      <c r="BQ50" s="760">
        <f>IF(65&lt;5,0,IF(MAX(BL38:BQ38)&gt;BQ43+1+$B$18,1,0))</f>
        <v/>
      </c>
      <c r="BR50" s="760">
        <f>IF(66&lt;5,0,IF(MAX(BM38:BR38)&gt;BR43+1+$B$18,1,0))</f>
        <v/>
      </c>
      <c r="BS50" s="760">
        <f>IF(67&lt;5,0,IF(MAX(BN38:BS38)&gt;BS43+1+$B$18,1,0))</f>
        <v/>
      </c>
      <c r="BT50" s="760">
        <f>IF(68&lt;5,0,IF(MAX(BO38:BT38)&gt;BT43+1+$B$18,1,0))</f>
        <v/>
      </c>
      <c r="BU50" s="760">
        <f>IF(69&lt;5,0,IF(MAX(BP38:BU38)&gt;BU43+1+$B$18,1,0))</f>
        <v/>
      </c>
      <c r="BV50" s="760">
        <f>IF(70&lt;5,0,IF(MAX(BQ38:BV38)&gt;BV43+1+$B$18,1,0))</f>
        <v/>
      </c>
      <c r="BW50" s="760">
        <f>IF(71&lt;5,0,IF(MAX(BR38:BW38)&gt;BW43+1+$B$18,1,0))</f>
        <v/>
      </c>
      <c r="BX50" s="760">
        <f>IF(72&lt;5,0,IF(MAX(BS38:BX38)&gt;BX43+1+$B$18,1,0))</f>
        <v/>
      </c>
      <c r="BY50" s="760">
        <f>IF(73&lt;5,0,IF(MAX(BT38:BY38)&gt;BY43+1+$B$18,1,0))</f>
        <v/>
      </c>
      <c r="BZ50" s="760">
        <f>IF(74&lt;5,0,IF(MAX(BU38:BZ38)&gt;BZ43+1+$B$18,1,0))</f>
        <v/>
      </c>
      <c r="CA50" s="760">
        <f>IF(75&lt;5,0,IF(MAX(BV38:CA38)&gt;CA43+1+$B$18,1,0))</f>
        <v/>
      </c>
      <c r="CB50" s="760">
        <f>IF(76&lt;5,0,IF(MAX(BW38:CB38)&gt;CB43+1+$B$18,1,0))</f>
        <v/>
      </c>
      <c r="CC50" s="760">
        <f>IF(77&lt;5,0,IF(MAX(BX38:CC38)&gt;CC43+1+$B$18,1,0))</f>
        <v/>
      </c>
      <c r="CD50" s="760">
        <f>IF(78&lt;5,0,IF(MAX(BY38:CD38)&gt;CD43+1+$B$18,1,0))</f>
        <v/>
      </c>
      <c r="CE50" s="760">
        <f>IF(79&lt;5,0,IF(MAX(BZ38:CE38)&gt;CE43+1+$B$18,1,0))</f>
        <v/>
      </c>
      <c r="CF50" s="760">
        <f>IF(80&lt;5,0,IF(MAX(CA38:CF38)&gt;CF43+1+$B$18,1,0))</f>
        <v/>
      </c>
      <c r="CG50" s="760">
        <f>IF(81&lt;5,0,IF(MAX(CB38:CG38)&gt;CG43+1+$B$18,1,0))</f>
        <v/>
      </c>
      <c r="CH50" s="760">
        <f>IF(82&lt;5,0,IF(MAX(CC38:CH38)&gt;CH43+1+$B$18,1,0))</f>
        <v/>
      </c>
      <c r="CI50" s="760">
        <f>IF(83&lt;5,0,IF(MAX(CD38:CI38)&gt;CI43+1+$B$18,1,0))</f>
        <v/>
      </c>
      <c r="CJ50" s="760">
        <f>IF(84&lt;5,0,IF(MAX(CE38:CJ38)&gt;CJ43+1+$B$18,1,0))</f>
        <v/>
      </c>
      <c r="CK50" s="760">
        <f>IF(85&lt;5,0,IF(MAX(CF38:CK38)&gt;CK43+1+$B$18,1,0))</f>
        <v/>
      </c>
      <c r="CL50" s="760">
        <f>IF(86&lt;5,0,IF(MAX(CG38:CL38)&gt;CL43+1+$B$18,1,0))</f>
        <v/>
      </c>
      <c r="CM50" s="760">
        <f>IF(87&lt;5,0,IF(MAX(CH38:CM38)&gt;CM43+1+$B$18,1,0))</f>
        <v/>
      </c>
      <c r="CN50" s="760">
        <f>IF(88&lt;5,0,IF(MAX(CI38:CN38)&gt;CN43+1+$B$18,1,0))</f>
        <v/>
      </c>
      <c r="CO50" s="760">
        <f>IF(89&lt;5,0,IF(MAX(CJ38:CO38)&gt;CO43+1+$B$18,1,0))</f>
        <v/>
      </c>
      <c r="CP50" s="760">
        <f>IF(90&lt;5,0,IF(MAX(CK38:CP38)&gt;CP43+1+$B$18,1,0))</f>
        <v/>
      </c>
      <c r="CQ50" s="760">
        <f>IF(91&lt;5,0,IF(MAX(CL38:CQ38)&gt;CQ43+1+$B$18,1,0))</f>
        <v/>
      </c>
      <c r="CR50" s="760">
        <f>IF(92&lt;5,0,IF(MAX(CM38:CR38)&gt;CR43+1+$B$18,1,0))</f>
        <v/>
      </c>
      <c r="CS50" s="760">
        <f>IF(93&lt;5,0,IF(MAX(CN38:CS38)&gt;CS43+1+$B$18,1,0))</f>
        <v/>
      </c>
      <c r="CT50" s="760">
        <f>IF(94&lt;5,0,IF(MAX(CO38:CT38)&gt;CT43+1+$B$18,1,0))</f>
        <v/>
      </c>
      <c r="CU50" s="760">
        <f>IF(95&lt;5,0,IF(MAX(CP38:CU38)&gt;CU43+1+$B$18,1,0))</f>
        <v/>
      </c>
      <c r="CV50" s="760">
        <f>IF(96&lt;5,0,IF(MAX(CQ38:CV38)&gt;CV43+1+$B$18,1,0))</f>
        <v/>
      </c>
      <c r="CW50" s="760">
        <f>IF(97&lt;5,0,IF(MAX(CR38:CW38)&gt;CW43+1+$B$18,1,0))</f>
        <v/>
      </c>
      <c r="CX50" s="760">
        <f>IF(98&lt;5,0,IF(MAX(CS38:CX38)&gt;CX43+1+$B$18,1,0))</f>
        <v/>
      </c>
      <c r="CY50" s="760">
        <f>IF(99&lt;5,0,IF(MAX(CT38:CY38)&gt;CY43+1+$B$18,1,0))</f>
        <v/>
      </c>
      <c r="CZ50" s="760">
        <f>IF(100&lt;5,0,IF(MAX(CU38:CZ38)&gt;CZ43+1+$B$18,1,0))</f>
        <v/>
      </c>
      <c r="DA50" s="760">
        <f>IF(101&lt;5,0,IF(MAX(CV38:DA38)&gt;DA43+1+$B$18,1,0))</f>
        <v/>
      </c>
      <c r="DB50" s="760">
        <f>IF(102&lt;5,0,IF(MAX(CW38:DB38)&gt;DB43+1+$B$18,1,0))</f>
        <v/>
      </c>
      <c r="DC50" s="760">
        <f>IF(103&lt;5,0,IF(MAX(CX38:DC38)&gt;DC43+1+$B$18,1,0))</f>
        <v/>
      </c>
      <c r="DD50" s="760">
        <f>IF(104&lt;5,0,IF(MAX(CY38:DD38)&gt;DD43+1+$B$18,1,0))</f>
        <v/>
      </c>
      <c r="DE50" s="760">
        <f>IF(105&lt;5,0,IF(MAX(CZ38:DE38)&gt;DE43+1+$B$18,1,0))</f>
        <v/>
      </c>
    </row>
    <row r="51">
      <c r="A51" s="586" t="inlineStr">
        <is>
          <t>Superintendent slot 3</t>
        </is>
      </c>
      <c r="B51" s="587">
        <f>$B$26</f>
        <v/>
      </c>
      <c r="E51" s="760">
        <f>IF(1&lt;5,0,IF(MAX(E38:E38)&gt;E43+2+$B$18,1,0))</f>
        <v/>
      </c>
      <c r="F51" s="760">
        <f>IF(2&lt;5,0,IF(MAX(E38:F38)&gt;F43+2+$B$18,1,0))</f>
        <v/>
      </c>
      <c r="G51" s="760">
        <f>IF(3&lt;5,0,IF(MAX(E38:G38)&gt;G43+2+$B$18,1,0))</f>
        <v/>
      </c>
      <c r="H51" s="760">
        <f>IF(4&lt;5,0,IF(MAX(E38:H38)&gt;H43+2+$B$18,1,0))</f>
        <v/>
      </c>
      <c r="I51" s="760">
        <f>IF(5&lt;5,0,IF(MAX(E38:I38)&gt;I43+2+$B$18,1,0))</f>
        <v/>
      </c>
      <c r="J51" s="760">
        <f>IF(6&lt;5,0,IF(MAX(E38:J38)&gt;J43+2+$B$18,1,0))</f>
        <v/>
      </c>
      <c r="K51" s="760">
        <f>IF(7&lt;5,0,IF(MAX(F38:K38)&gt;K43+2+$B$18,1,0))</f>
        <v/>
      </c>
      <c r="L51" s="760">
        <f>IF(8&lt;5,0,IF(MAX(G38:L38)&gt;L43+2+$B$18,1,0))</f>
        <v/>
      </c>
      <c r="M51" s="760">
        <f>IF(9&lt;5,0,IF(MAX(H38:M38)&gt;M43+2+$B$18,1,0))</f>
        <v/>
      </c>
      <c r="N51" s="760">
        <f>IF(10&lt;5,0,IF(MAX(I38:N38)&gt;N43+2+$B$18,1,0))</f>
        <v/>
      </c>
      <c r="O51" s="760">
        <f>IF(11&lt;5,0,IF(MAX(J38:O38)&gt;O43+2+$B$18,1,0))</f>
        <v/>
      </c>
      <c r="P51" s="760">
        <f>IF(12&lt;5,0,IF(MAX(K38:P38)&gt;P43+2+$B$18,1,0))</f>
        <v/>
      </c>
      <c r="Q51" s="760">
        <f>IF(13&lt;5,0,IF(MAX(L38:Q38)&gt;Q43+2+$B$18,1,0))</f>
        <v/>
      </c>
      <c r="R51" s="760">
        <f>IF(14&lt;5,0,IF(MAX(M38:R38)&gt;R43+2+$B$18,1,0))</f>
        <v/>
      </c>
      <c r="S51" s="760">
        <f>IF(15&lt;5,0,IF(MAX(N38:S38)&gt;S43+2+$B$18,1,0))</f>
        <v/>
      </c>
      <c r="T51" s="760">
        <f>IF(16&lt;5,0,IF(MAX(O38:T38)&gt;T43+2+$B$18,1,0))</f>
        <v/>
      </c>
      <c r="U51" s="760">
        <f>IF(17&lt;5,0,IF(MAX(P38:U38)&gt;U43+2+$B$18,1,0))</f>
        <v/>
      </c>
      <c r="V51" s="760">
        <f>IF(18&lt;5,0,IF(MAX(Q38:V38)&gt;V43+2+$B$18,1,0))</f>
        <v/>
      </c>
      <c r="W51" s="760">
        <f>IF(19&lt;5,0,IF(MAX(R38:W38)&gt;W43+2+$B$18,1,0))</f>
        <v/>
      </c>
      <c r="X51" s="760">
        <f>IF(20&lt;5,0,IF(MAX(S38:X38)&gt;X43+2+$B$18,1,0))</f>
        <v/>
      </c>
      <c r="Y51" s="760">
        <f>IF(21&lt;5,0,IF(MAX(T38:Y38)&gt;Y43+2+$B$18,1,0))</f>
        <v/>
      </c>
      <c r="Z51" s="760">
        <f>IF(22&lt;5,0,IF(MAX(U38:Z38)&gt;Z43+2+$B$18,1,0))</f>
        <v/>
      </c>
      <c r="AA51" s="760">
        <f>IF(23&lt;5,0,IF(MAX(V38:AA38)&gt;AA43+2+$B$18,1,0))</f>
        <v/>
      </c>
      <c r="AB51" s="760">
        <f>IF(24&lt;5,0,IF(MAX(W38:AB38)&gt;AB43+2+$B$18,1,0))</f>
        <v/>
      </c>
      <c r="AC51" s="760">
        <f>IF(25&lt;5,0,IF(MAX(X38:AC38)&gt;AC43+2+$B$18,1,0))</f>
        <v/>
      </c>
      <c r="AD51" s="760">
        <f>IF(26&lt;5,0,IF(MAX(Y38:AD38)&gt;AD43+2+$B$18,1,0))</f>
        <v/>
      </c>
      <c r="AE51" s="760">
        <f>IF(27&lt;5,0,IF(MAX(Z38:AE38)&gt;AE43+2+$B$18,1,0))</f>
        <v/>
      </c>
      <c r="AF51" s="760">
        <f>IF(28&lt;5,0,IF(MAX(AA38:AF38)&gt;AF43+2+$B$18,1,0))</f>
        <v/>
      </c>
      <c r="AG51" s="760">
        <f>IF(29&lt;5,0,IF(MAX(AB38:AG38)&gt;AG43+2+$B$18,1,0))</f>
        <v/>
      </c>
      <c r="AH51" s="760">
        <f>IF(30&lt;5,0,IF(MAX(AC38:AH38)&gt;AH43+2+$B$18,1,0))</f>
        <v/>
      </c>
      <c r="AI51" s="760">
        <f>IF(31&lt;5,0,IF(MAX(AD38:AI38)&gt;AI43+2+$B$18,1,0))</f>
        <v/>
      </c>
      <c r="AJ51" s="760">
        <f>IF(32&lt;5,0,IF(MAX(AE38:AJ38)&gt;AJ43+2+$B$18,1,0))</f>
        <v/>
      </c>
      <c r="AK51" s="760">
        <f>IF(33&lt;5,0,IF(MAX(AF38:AK38)&gt;AK43+2+$B$18,1,0))</f>
        <v/>
      </c>
      <c r="AL51" s="760">
        <f>IF(34&lt;5,0,IF(MAX(AG38:AL38)&gt;AL43+2+$B$18,1,0))</f>
        <v/>
      </c>
      <c r="AM51" s="760">
        <f>IF(35&lt;5,0,IF(MAX(AH38:AM38)&gt;AM43+2+$B$18,1,0))</f>
        <v/>
      </c>
      <c r="AN51" s="760">
        <f>IF(36&lt;5,0,IF(MAX(AI38:AN38)&gt;AN43+2+$B$18,1,0))</f>
        <v/>
      </c>
      <c r="AO51" s="760">
        <f>IF(37&lt;5,0,IF(MAX(AJ38:AO38)&gt;AO43+2+$B$18,1,0))</f>
        <v/>
      </c>
      <c r="AP51" s="760">
        <f>IF(38&lt;5,0,IF(MAX(AK38:AP38)&gt;AP43+2+$B$18,1,0))</f>
        <v/>
      </c>
      <c r="AQ51" s="760">
        <f>IF(39&lt;5,0,IF(MAX(AL38:AQ38)&gt;AQ43+2+$B$18,1,0))</f>
        <v/>
      </c>
      <c r="AR51" s="760">
        <f>IF(40&lt;5,0,IF(MAX(AM38:AR38)&gt;AR43+2+$B$18,1,0))</f>
        <v/>
      </c>
      <c r="AS51" s="760">
        <f>IF(41&lt;5,0,IF(MAX(AN38:AS38)&gt;AS43+2+$B$18,1,0))</f>
        <v/>
      </c>
      <c r="AT51" s="760">
        <f>IF(42&lt;5,0,IF(MAX(AO38:AT38)&gt;AT43+2+$B$18,1,0))</f>
        <v/>
      </c>
      <c r="AU51" s="760">
        <f>IF(43&lt;5,0,IF(MAX(AP38:AU38)&gt;AU43+2+$B$18,1,0))</f>
        <v/>
      </c>
      <c r="AV51" s="760">
        <f>IF(44&lt;5,0,IF(MAX(AQ38:AV38)&gt;AV43+2+$B$18,1,0))</f>
        <v/>
      </c>
      <c r="AW51" s="760">
        <f>IF(45&lt;5,0,IF(MAX(AR38:AW38)&gt;AW43+2+$B$18,1,0))</f>
        <v/>
      </c>
      <c r="AX51" s="760">
        <f>IF(46&lt;5,0,IF(MAX(AS38:AX38)&gt;AX43+2+$B$18,1,0))</f>
        <v/>
      </c>
      <c r="AY51" s="760">
        <f>IF(47&lt;5,0,IF(MAX(AT38:AY38)&gt;AY43+2+$B$18,1,0))</f>
        <v/>
      </c>
      <c r="AZ51" s="760">
        <f>IF(48&lt;5,0,IF(MAX(AU38:AZ38)&gt;AZ43+2+$B$18,1,0))</f>
        <v/>
      </c>
      <c r="BA51" s="760">
        <f>IF(49&lt;5,0,IF(MAX(AV38:BA38)&gt;BA43+2+$B$18,1,0))</f>
        <v/>
      </c>
      <c r="BB51" s="760">
        <f>IF(50&lt;5,0,IF(MAX(AW38:BB38)&gt;BB43+2+$B$18,1,0))</f>
        <v/>
      </c>
      <c r="BC51" s="760">
        <f>IF(51&lt;5,0,IF(MAX(AX38:BC38)&gt;BC43+2+$B$18,1,0))</f>
        <v/>
      </c>
      <c r="BD51" s="760">
        <f>IF(52&lt;5,0,IF(MAX(AY38:BD38)&gt;BD43+2+$B$18,1,0))</f>
        <v/>
      </c>
      <c r="BE51" s="760">
        <f>IF(53&lt;5,0,IF(MAX(AZ38:BE38)&gt;BE43+2+$B$18,1,0))</f>
        <v/>
      </c>
      <c r="BF51" s="760">
        <f>IF(54&lt;5,0,IF(MAX(BA38:BF38)&gt;BF43+2+$B$18,1,0))</f>
        <v/>
      </c>
      <c r="BG51" s="760">
        <f>IF(55&lt;5,0,IF(MAX(BB38:BG38)&gt;BG43+2+$B$18,1,0))</f>
        <v/>
      </c>
      <c r="BH51" s="760">
        <f>IF(56&lt;5,0,IF(MAX(BC38:BH38)&gt;BH43+2+$B$18,1,0))</f>
        <v/>
      </c>
      <c r="BI51" s="760">
        <f>IF(57&lt;5,0,IF(MAX(BD38:BI38)&gt;BI43+2+$B$18,1,0))</f>
        <v/>
      </c>
      <c r="BJ51" s="760">
        <f>IF(58&lt;5,0,IF(MAX(BE38:BJ38)&gt;BJ43+2+$B$18,1,0))</f>
        <v/>
      </c>
      <c r="BK51" s="760">
        <f>IF(59&lt;5,0,IF(MAX(BF38:BK38)&gt;BK43+2+$B$18,1,0))</f>
        <v/>
      </c>
      <c r="BL51" s="760">
        <f>IF(60&lt;5,0,IF(MAX(BG38:BL38)&gt;BL43+2+$B$18,1,0))</f>
        <v/>
      </c>
      <c r="BM51" s="760">
        <f>IF(61&lt;5,0,IF(MAX(BH38:BM38)&gt;BM43+2+$B$18,1,0))</f>
        <v/>
      </c>
      <c r="BN51" s="760">
        <f>IF(62&lt;5,0,IF(MAX(BI38:BN38)&gt;BN43+2+$B$18,1,0))</f>
        <v/>
      </c>
      <c r="BO51" s="760">
        <f>IF(63&lt;5,0,IF(MAX(BJ38:BO38)&gt;BO43+2+$B$18,1,0))</f>
        <v/>
      </c>
      <c r="BP51" s="760">
        <f>IF(64&lt;5,0,IF(MAX(BK38:BP38)&gt;BP43+2+$B$18,1,0))</f>
        <v/>
      </c>
      <c r="BQ51" s="760">
        <f>IF(65&lt;5,0,IF(MAX(BL38:BQ38)&gt;BQ43+2+$B$18,1,0))</f>
        <v/>
      </c>
      <c r="BR51" s="760">
        <f>IF(66&lt;5,0,IF(MAX(BM38:BR38)&gt;BR43+2+$B$18,1,0))</f>
        <v/>
      </c>
      <c r="BS51" s="760">
        <f>IF(67&lt;5,0,IF(MAX(BN38:BS38)&gt;BS43+2+$B$18,1,0))</f>
        <v/>
      </c>
      <c r="BT51" s="760">
        <f>IF(68&lt;5,0,IF(MAX(BO38:BT38)&gt;BT43+2+$B$18,1,0))</f>
        <v/>
      </c>
      <c r="BU51" s="760">
        <f>IF(69&lt;5,0,IF(MAX(BP38:BU38)&gt;BU43+2+$B$18,1,0))</f>
        <v/>
      </c>
      <c r="BV51" s="760">
        <f>IF(70&lt;5,0,IF(MAX(BQ38:BV38)&gt;BV43+2+$B$18,1,0))</f>
        <v/>
      </c>
      <c r="BW51" s="760">
        <f>IF(71&lt;5,0,IF(MAX(BR38:BW38)&gt;BW43+2+$B$18,1,0))</f>
        <v/>
      </c>
      <c r="BX51" s="760">
        <f>IF(72&lt;5,0,IF(MAX(BS38:BX38)&gt;BX43+2+$B$18,1,0))</f>
        <v/>
      </c>
      <c r="BY51" s="760">
        <f>IF(73&lt;5,0,IF(MAX(BT38:BY38)&gt;BY43+2+$B$18,1,0))</f>
        <v/>
      </c>
      <c r="BZ51" s="760">
        <f>IF(74&lt;5,0,IF(MAX(BU38:BZ38)&gt;BZ43+2+$B$18,1,0))</f>
        <v/>
      </c>
      <c r="CA51" s="760">
        <f>IF(75&lt;5,0,IF(MAX(BV38:CA38)&gt;CA43+2+$B$18,1,0))</f>
        <v/>
      </c>
      <c r="CB51" s="760">
        <f>IF(76&lt;5,0,IF(MAX(BW38:CB38)&gt;CB43+2+$B$18,1,0))</f>
        <v/>
      </c>
      <c r="CC51" s="760">
        <f>IF(77&lt;5,0,IF(MAX(BX38:CC38)&gt;CC43+2+$B$18,1,0))</f>
        <v/>
      </c>
      <c r="CD51" s="760">
        <f>IF(78&lt;5,0,IF(MAX(BY38:CD38)&gt;CD43+2+$B$18,1,0))</f>
        <v/>
      </c>
      <c r="CE51" s="760">
        <f>IF(79&lt;5,0,IF(MAX(BZ38:CE38)&gt;CE43+2+$B$18,1,0))</f>
        <v/>
      </c>
      <c r="CF51" s="760">
        <f>IF(80&lt;5,0,IF(MAX(CA38:CF38)&gt;CF43+2+$B$18,1,0))</f>
        <v/>
      </c>
      <c r="CG51" s="760">
        <f>IF(81&lt;5,0,IF(MAX(CB38:CG38)&gt;CG43+2+$B$18,1,0))</f>
        <v/>
      </c>
      <c r="CH51" s="760">
        <f>IF(82&lt;5,0,IF(MAX(CC38:CH38)&gt;CH43+2+$B$18,1,0))</f>
        <v/>
      </c>
      <c r="CI51" s="760">
        <f>IF(83&lt;5,0,IF(MAX(CD38:CI38)&gt;CI43+2+$B$18,1,0))</f>
        <v/>
      </c>
      <c r="CJ51" s="760">
        <f>IF(84&lt;5,0,IF(MAX(CE38:CJ38)&gt;CJ43+2+$B$18,1,0))</f>
        <v/>
      </c>
      <c r="CK51" s="760">
        <f>IF(85&lt;5,0,IF(MAX(CF38:CK38)&gt;CK43+2+$B$18,1,0))</f>
        <v/>
      </c>
      <c r="CL51" s="760">
        <f>IF(86&lt;5,0,IF(MAX(CG38:CL38)&gt;CL43+2+$B$18,1,0))</f>
        <v/>
      </c>
      <c r="CM51" s="760">
        <f>IF(87&lt;5,0,IF(MAX(CH38:CM38)&gt;CM43+2+$B$18,1,0))</f>
        <v/>
      </c>
      <c r="CN51" s="760">
        <f>IF(88&lt;5,0,IF(MAX(CI38:CN38)&gt;CN43+2+$B$18,1,0))</f>
        <v/>
      </c>
      <c r="CO51" s="760">
        <f>IF(89&lt;5,0,IF(MAX(CJ38:CO38)&gt;CO43+2+$B$18,1,0))</f>
        <v/>
      </c>
      <c r="CP51" s="760">
        <f>IF(90&lt;5,0,IF(MAX(CK38:CP38)&gt;CP43+2+$B$18,1,0))</f>
        <v/>
      </c>
      <c r="CQ51" s="760">
        <f>IF(91&lt;5,0,IF(MAX(CL38:CQ38)&gt;CQ43+2+$B$18,1,0))</f>
        <v/>
      </c>
      <c r="CR51" s="760">
        <f>IF(92&lt;5,0,IF(MAX(CM38:CR38)&gt;CR43+2+$B$18,1,0))</f>
        <v/>
      </c>
      <c r="CS51" s="760">
        <f>IF(93&lt;5,0,IF(MAX(CN38:CS38)&gt;CS43+2+$B$18,1,0))</f>
        <v/>
      </c>
      <c r="CT51" s="760">
        <f>IF(94&lt;5,0,IF(MAX(CO38:CT38)&gt;CT43+2+$B$18,1,0))</f>
        <v/>
      </c>
      <c r="CU51" s="760">
        <f>IF(95&lt;5,0,IF(MAX(CP38:CU38)&gt;CU43+2+$B$18,1,0))</f>
        <v/>
      </c>
      <c r="CV51" s="760">
        <f>IF(96&lt;5,0,IF(MAX(CQ38:CV38)&gt;CV43+2+$B$18,1,0))</f>
        <v/>
      </c>
      <c r="CW51" s="760">
        <f>IF(97&lt;5,0,IF(MAX(CR38:CW38)&gt;CW43+2+$B$18,1,0))</f>
        <v/>
      </c>
      <c r="CX51" s="760">
        <f>IF(98&lt;5,0,IF(MAX(CS38:CX38)&gt;CX43+2+$B$18,1,0))</f>
        <v/>
      </c>
      <c r="CY51" s="760">
        <f>IF(99&lt;5,0,IF(MAX(CT38:CY38)&gt;CY43+2+$B$18,1,0))</f>
        <v/>
      </c>
      <c r="CZ51" s="760">
        <f>IF(100&lt;5,0,IF(MAX(CU38:CZ38)&gt;CZ43+2+$B$18,1,0))</f>
        <v/>
      </c>
      <c r="DA51" s="760">
        <f>IF(101&lt;5,0,IF(MAX(CV38:DA38)&gt;DA43+2+$B$18,1,0))</f>
        <v/>
      </c>
      <c r="DB51" s="760">
        <f>IF(102&lt;5,0,IF(MAX(CW38:DB38)&gt;DB43+2+$B$18,1,0))</f>
        <v/>
      </c>
      <c r="DC51" s="760">
        <f>IF(103&lt;5,0,IF(MAX(CX38:DC38)&gt;DC43+2+$B$18,1,0))</f>
        <v/>
      </c>
      <c r="DD51" s="760">
        <f>IF(104&lt;5,0,IF(MAX(CY38:DD38)&gt;DD43+2+$B$18,1,0))</f>
        <v/>
      </c>
      <c r="DE51" s="760">
        <f>IF(105&lt;5,0,IF(MAX(CZ38:DE38)&gt;DE43+2+$B$18,1,0))</f>
        <v/>
      </c>
    </row>
    <row r="52">
      <c r="A52" s="586" t="inlineStr">
        <is>
          <t>Superintendent slot 4</t>
        </is>
      </c>
      <c r="B52" s="587">
        <f>$B$26</f>
        <v/>
      </c>
      <c r="E52" s="760">
        <f>IF(1&lt;5,0,IF(MAX(E38:E38)&gt;E43+3+$B$18,1,0))</f>
        <v/>
      </c>
      <c r="F52" s="760">
        <f>IF(2&lt;5,0,IF(MAX(E38:F38)&gt;F43+3+$B$18,1,0))</f>
        <v/>
      </c>
      <c r="G52" s="760">
        <f>IF(3&lt;5,0,IF(MAX(E38:G38)&gt;G43+3+$B$18,1,0))</f>
        <v/>
      </c>
      <c r="H52" s="760">
        <f>IF(4&lt;5,0,IF(MAX(E38:H38)&gt;H43+3+$B$18,1,0))</f>
        <v/>
      </c>
      <c r="I52" s="760">
        <f>IF(5&lt;5,0,IF(MAX(E38:I38)&gt;I43+3+$B$18,1,0))</f>
        <v/>
      </c>
      <c r="J52" s="760">
        <f>IF(6&lt;5,0,IF(MAX(E38:J38)&gt;J43+3+$B$18,1,0))</f>
        <v/>
      </c>
      <c r="K52" s="760">
        <f>IF(7&lt;5,0,IF(MAX(F38:K38)&gt;K43+3+$B$18,1,0))</f>
        <v/>
      </c>
      <c r="L52" s="760">
        <f>IF(8&lt;5,0,IF(MAX(G38:L38)&gt;L43+3+$B$18,1,0))</f>
        <v/>
      </c>
      <c r="M52" s="760">
        <f>IF(9&lt;5,0,IF(MAX(H38:M38)&gt;M43+3+$B$18,1,0))</f>
        <v/>
      </c>
      <c r="N52" s="760">
        <f>IF(10&lt;5,0,IF(MAX(I38:N38)&gt;N43+3+$B$18,1,0))</f>
        <v/>
      </c>
      <c r="O52" s="760">
        <f>IF(11&lt;5,0,IF(MAX(J38:O38)&gt;O43+3+$B$18,1,0))</f>
        <v/>
      </c>
      <c r="P52" s="760">
        <f>IF(12&lt;5,0,IF(MAX(K38:P38)&gt;P43+3+$B$18,1,0))</f>
        <v/>
      </c>
      <c r="Q52" s="760">
        <f>IF(13&lt;5,0,IF(MAX(L38:Q38)&gt;Q43+3+$B$18,1,0))</f>
        <v/>
      </c>
      <c r="R52" s="760">
        <f>IF(14&lt;5,0,IF(MAX(M38:R38)&gt;R43+3+$B$18,1,0))</f>
        <v/>
      </c>
      <c r="S52" s="760">
        <f>IF(15&lt;5,0,IF(MAX(N38:S38)&gt;S43+3+$B$18,1,0))</f>
        <v/>
      </c>
      <c r="T52" s="760">
        <f>IF(16&lt;5,0,IF(MAX(O38:T38)&gt;T43+3+$B$18,1,0))</f>
        <v/>
      </c>
      <c r="U52" s="760">
        <f>IF(17&lt;5,0,IF(MAX(P38:U38)&gt;U43+3+$B$18,1,0))</f>
        <v/>
      </c>
      <c r="V52" s="760">
        <f>IF(18&lt;5,0,IF(MAX(Q38:V38)&gt;V43+3+$B$18,1,0))</f>
        <v/>
      </c>
      <c r="W52" s="760">
        <f>IF(19&lt;5,0,IF(MAX(R38:W38)&gt;W43+3+$B$18,1,0))</f>
        <v/>
      </c>
      <c r="X52" s="760">
        <f>IF(20&lt;5,0,IF(MAX(S38:X38)&gt;X43+3+$B$18,1,0))</f>
        <v/>
      </c>
      <c r="Y52" s="760">
        <f>IF(21&lt;5,0,IF(MAX(T38:Y38)&gt;Y43+3+$B$18,1,0))</f>
        <v/>
      </c>
      <c r="Z52" s="760">
        <f>IF(22&lt;5,0,IF(MAX(U38:Z38)&gt;Z43+3+$B$18,1,0))</f>
        <v/>
      </c>
      <c r="AA52" s="760">
        <f>IF(23&lt;5,0,IF(MAX(V38:AA38)&gt;AA43+3+$B$18,1,0))</f>
        <v/>
      </c>
      <c r="AB52" s="760">
        <f>IF(24&lt;5,0,IF(MAX(W38:AB38)&gt;AB43+3+$B$18,1,0))</f>
        <v/>
      </c>
      <c r="AC52" s="760">
        <f>IF(25&lt;5,0,IF(MAX(X38:AC38)&gt;AC43+3+$B$18,1,0))</f>
        <v/>
      </c>
      <c r="AD52" s="760">
        <f>IF(26&lt;5,0,IF(MAX(Y38:AD38)&gt;AD43+3+$B$18,1,0))</f>
        <v/>
      </c>
      <c r="AE52" s="760">
        <f>IF(27&lt;5,0,IF(MAX(Z38:AE38)&gt;AE43+3+$B$18,1,0))</f>
        <v/>
      </c>
      <c r="AF52" s="760">
        <f>IF(28&lt;5,0,IF(MAX(AA38:AF38)&gt;AF43+3+$B$18,1,0))</f>
        <v/>
      </c>
      <c r="AG52" s="760">
        <f>IF(29&lt;5,0,IF(MAX(AB38:AG38)&gt;AG43+3+$B$18,1,0))</f>
        <v/>
      </c>
      <c r="AH52" s="760">
        <f>IF(30&lt;5,0,IF(MAX(AC38:AH38)&gt;AH43+3+$B$18,1,0))</f>
        <v/>
      </c>
      <c r="AI52" s="760">
        <f>IF(31&lt;5,0,IF(MAX(AD38:AI38)&gt;AI43+3+$B$18,1,0))</f>
        <v/>
      </c>
      <c r="AJ52" s="760">
        <f>IF(32&lt;5,0,IF(MAX(AE38:AJ38)&gt;AJ43+3+$B$18,1,0))</f>
        <v/>
      </c>
      <c r="AK52" s="760">
        <f>IF(33&lt;5,0,IF(MAX(AF38:AK38)&gt;AK43+3+$B$18,1,0))</f>
        <v/>
      </c>
      <c r="AL52" s="760">
        <f>IF(34&lt;5,0,IF(MAX(AG38:AL38)&gt;AL43+3+$B$18,1,0))</f>
        <v/>
      </c>
      <c r="AM52" s="760">
        <f>IF(35&lt;5,0,IF(MAX(AH38:AM38)&gt;AM43+3+$B$18,1,0))</f>
        <v/>
      </c>
      <c r="AN52" s="760">
        <f>IF(36&lt;5,0,IF(MAX(AI38:AN38)&gt;AN43+3+$B$18,1,0))</f>
        <v/>
      </c>
      <c r="AO52" s="760">
        <f>IF(37&lt;5,0,IF(MAX(AJ38:AO38)&gt;AO43+3+$B$18,1,0))</f>
        <v/>
      </c>
      <c r="AP52" s="760">
        <f>IF(38&lt;5,0,IF(MAX(AK38:AP38)&gt;AP43+3+$B$18,1,0))</f>
        <v/>
      </c>
      <c r="AQ52" s="760">
        <f>IF(39&lt;5,0,IF(MAX(AL38:AQ38)&gt;AQ43+3+$B$18,1,0))</f>
        <v/>
      </c>
      <c r="AR52" s="760">
        <f>IF(40&lt;5,0,IF(MAX(AM38:AR38)&gt;AR43+3+$B$18,1,0))</f>
        <v/>
      </c>
      <c r="AS52" s="760">
        <f>IF(41&lt;5,0,IF(MAX(AN38:AS38)&gt;AS43+3+$B$18,1,0))</f>
        <v/>
      </c>
      <c r="AT52" s="760">
        <f>IF(42&lt;5,0,IF(MAX(AO38:AT38)&gt;AT43+3+$B$18,1,0))</f>
        <v/>
      </c>
      <c r="AU52" s="760">
        <f>IF(43&lt;5,0,IF(MAX(AP38:AU38)&gt;AU43+3+$B$18,1,0))</f>
        <v/>
      </c>
      <c r="AV52" s="760">
        <f>IF(44&lt;5,0,IF(MAX(AQ38:AV38)&gt;AV43+3+$B$18,1,0))</f>
        <v/>
      </c>
      <c r="AW52" s="760">
        <f>IF(45&lt;5,0,IF(MAX(AR38:AW38)&gt;AW43+3+$B$18,1,0))</f>
        <v/>
      </c>
      <c r="AX52" s="760">
        <f>IF(46&lt;5,0,IF(MAX(AS38:AX38)&gt;AX43+3+$B$18,1,0))</f>
        <v/>
      </c>
      <c r="AY52" s="760">
        <f>IF(47&lt;5,0,IF(MAX(AT38:AY38)&gt;AY43+3+$B$18,1,0))</f>
        <v/>
      </c>
      <c r="AZ52" s="760">
        <f>IF(48&lt;5,0,IF(MAX(AU38:AZ38)&gt;AZ43+3+$B$18,1,0))</f>
        <v/>
      </c>
      <c r="BA52" s="760">
        <f>IF(49&lt;5,0,IF(MAX(AV38:BA38)&gt;BA43+3+$B$18,1,0))</f>
        <v/>
      </c>
      <c r="BB52" s="760">
        <f>IF(50&lt;5,0,IF(MAX(AW38:BB38)&gt;BB43+3+$B$18,1,0))</f>
        <v/>
      </c>
      <c r="BC52" s="760">
        <f>IF(51&lt;5,0,IF(MAX(AX38:BC38)&gt;BC43+3+$B$18,1,0))</f>
        <v/>
      </c>
      <c r="BD52" s="760">
        <f>IF(52&lt;5,0,IF(MAX(AY38:BD38)&gt;BD43+3+$B$18,1,0))</f>
        <v/>
      </c>
      <c r="BE52" s="760">
        <f>IF(53&lt;5,0,IF(MAX(AZ38:BE38)&gt;BE43+3+$B$18,1,0))</f>
        <v/>
      </c>
      <c r="BF52" s="760">
        <f>IF(54&lt;5,0,IF(MAX(BA38:BF38)&gt;BF43+3+$B$18,1,0))</f>
        <v/>
      </c>
      <c r="BG52" s="760">
        <f>IF(55&lt;5,0,IF(MAX(BB38:BG38)&gt;BG43+3+$B$18,1,0))</f>
        <v/>
      </c>
      <c r="BH52" s="760">
        <f>IF(56&lt;5,0,IF(MAX(BC38:BH38)&gt;BH43+3+$B$18,1,0))</f>
        <v/>
      </c>
      <c r="BI52" s="760">
        <f>IF(57&lt;5,0,IF(MAX(BD38:BI38)&gt;BI43+3+$B$18,1,0))</f>
        <v/>
      </c>
      <c r="BJ52" s="760">
        <f>IF(58&lt;5,0,IF(MAX(BE38:BJ38)&gt;BJ43+3+$B$18,1,0))</f>
        <v/>
      </c>
      <c r="BK52" s="760">
        <f>IF(59&lt;5,0,IF(MAX(BF38:BK38)&gt;BK43+3+$B$18,1,0))</f>
        <v/>
      </c>
      <c r="BL52" s="760">
        <f>IF(60&lt;5,0,IF(MAX(BG38:BL38)&gt;BL43+3+$B$18,1,0))</f>
        <v/>
      </c>
      <c r="BM52" s="760">
        <f>IF(61&lt;5,0,IF(MAX(BH38:BM38)&gt;BM43+3+$B$18,1,0))</f>
        <v/>
      </c>
      <c r="BN52" s="760">
        <f>IF(62&lt;5,0,IF(MAX(BI38:BN38)&gt;BN43+3+$B$18,1,0))</f>
        <v/>
      </c>
      <c r="BO52" s="760">
        <f>IF(63&lt;5,0,IF(MAX(BJ38:BO38)&gt;BO43+3+$B$18,1,0))</f>
        <v/>
      </c>
      <c r="BP52" s="760">
        <f>IF(64&lt;5,0,IF(MAX(BK38:BP38)&gt;BP43+3+$B$18,1,0))</f>
        <v/>
      </c>
      <c r="BQ52" s="760">
        <f>IF(65&lt;5,0,IF(MAX(BL38:BQ38)&gt;BQ43+3+$B$18,1,0))</f>
        <v/>
      </c>
      <c r="BR52" s="760">
        <f>IF(66&lt;5,0,IF(MAX(BM38:BR38)&gt;BR43+3+$B$18,1,0))</f>
        <v/>
      </c>
      <c r="BS52" s="760">
        <f>IF(67&lt;5,0,IF(MAX(BN38:BS38)&gt;BS43+3+$B$18,1,0))</f>
        <v/>
      </c>
      <c r="BT52" s="760">
        <f>IF(68&lt;5,0,IF(MAX(BO38:BT38)&gt;BT43+3+$B$18,1,0))</f>
        <v/>
      </c>
      <c r="BU52" s="760">
        <f>IF(69&lt;5,0,IF(MAX(BP38:BU38)&gt;BU43+3+$B$18,1,0))</f>
        <v/>
      </c>
      <c r="BV52" s="760">
        <f>IF(70&lt;5,0,IF(MAX(BQ38:BV38)&gt;BV43+3+$B$18,1,0))</f>
        <v/>
      </c>
      <c r="BW52" s="760">
        <f>IF(71&lt;5,0,IF(MAX(BR38:BW38)&gt;BW43+3+$B$18,1,0))</f>
        <v/>
      </c>
      <c r="BX52" s="760">
        <f>IF(72&lt;5,0,IF(MAX(BS38:BX38)&gt;BX43+3+$B$18,1,0))</f>
        <v/>
      </c>
      <c r="BY52" s="760">
        <f>IF(73&lt;5,0,IF(MAX(BT38:BY38)&gt;BY43+3+$B$18,1,0))</f>
        <v/>
      </c>
      <c r="BZ52" s="760">
        <f>IF(74&lt;5,0,IF(MAX(BU38:BZ38)&gt;BZ43+3+$B$18,1,0))</f>
        <v/>
      </c>
      <c r="CA52" s="760">
        <f>IF(75&lt;5,0,IF(MAX(BV38:CA38)&gt;CA43+3+$B$18,1,0))</f>
        <v/>
      </c>
      <c r="CB52" s="760">
        <f>IF(76&lt;5,0,IF(MAX(BW38:CB38)&gt;CB43+3+$B$18,1,0))</f>
        <v/>
      </c>
      <c r="CC52" s="760">
        <f>IF(77&lt;5,0,IF(MAX(BX38:CC38)&gt;CC43+3+$B$18,1,0))</f>
        <v/>
      </c>
      <c r="CD52" s="760">
        <f>IF(78&lt;5,0,IF(MAX(BY38:CD38)&gt;CD43+3+$B$18,1,0))</f>
        <v/>
      </c>
      <c r="CE52" s="760">
        <f>IF(79&lt;5,0,IF(MAX(BZ38:CE38)&gt;CE43+3+$B$18,1,0))</f>
        <v/>
      </c>
      <c r="CF52" s="760">
        <f>IF(80&lt;5,0,IF(MAX(CA38:CF38)&gt;CF43+3+$B$18,1,0))</f>
        <v/>
      </c>
      <c r="CG52" s="760">
        <f>IF(81&lt;5,0,IF(MAX(CB38:CG38)&gt;CG43+3+$B$18,1,0))</f>
        <v/>
      </c>
      <c r="CH52" s="760">
        <f>IF(82&lt;5,0,IF(MAX(CC38:CH38)&gt;CH43+3+$B$18,1,0))</f>
        <v/>
      </c>
      <c r="CI52" s="760">
        <f>IF(83&lt;5,0,IF(MAX(CD38:CI38)&gt;CI43+3+$B$18,1,0))</f>
        <v/>
      </c>
      <c r="CJ52" s="760">
        <f>IF(84&lt;5,0,IF(MAX(CE38:CJ38)&gt;CJ43+3+$B$18,1,0))</f>
        <v/>
      </c>
      <c r="CK52" s="760">
        <f>IF(85&lt;5,0,IF(MAX(CF38:CK38)&gt;CK43+3+$B$18,1,0))</f>
        <v/>
      </c>
      <c r="CL52" s="760">
        <f>IF(86&lt;5,0,IF(MAX(CG38:CL38)&gt;CL43+3+$B$18,1,0))</f>
        <v/>
      </c>
      <c r="CM52" s="760">
        <f>IF(87&lt;5,0,IF(MAX(CH38:CM38)&gt;CM43+3+$B$18,1,0))</f>
        <v/>
      </c>
      <c r="CN52" s="760">
        <f>IF(88&lt;5,0,IF(MAX(CI38:CN38)&gt;CN43+3+$B$18,1,0))</f>
        <v/>
      </c>
      <c r="CO52" s="760">
        <f>IF(89&lt;5,0,IF(MAX(CJ38:CO38)&gt;CO43+3+$B$18,1,0))</f>
        <v/>
      </c>
      <c r="CP52" s="760">
        <f>IF(90&lt;5,0,IF(MAX(CK38:CP38)&gt;CP43+3+$B$18,1,0))</f>
        <v/>
      </c>
      <c r="CQ52" s="760">
        <f>IF(91&lt;5,0,IF(MAX(CL38:CQ38)&gt;CQ43+3+$B$18,1,0))</f>
        <v/>
      </c>
      <c r="CR52" s="760">
        <f>IF(92&lt;5,0,IF(MAX(CM38:CR38)&gt;CR43+3+$B$18,1,0))</f>
        <v/>
      </c>
      <c r="CS52" s="760">
        <f>IF(93&lt;5,0,IF(MAX(CN38:CS38)&gt;CS43+3+$B$18,1,0))</f>
        <v/>
      </c>
      <c r="CT52" s="760">
        <f>IF(94&lt;5,0,IF(MAX(CO38:CT38)&gt;CT43+3+$B$18,1,0))</f>
        <v/>
      </c>
      <c r="CU52" s="760">
        <f>IF(95&lt;5,0,IF(MAX(CP38:CU38)&gt;CU43+3+$B$18,1,0))</f>
        <v/>
      </c>
      <c r="CV52" s="760">
        <f>IF(96&lt;5,0,IF(MAX(CQ38:CV38)&gt;CV43+3+$B$18,1,0))</f>
        <v/>
      </c>
      <c r="CW52" s="760">
        <f>IF(97&lt;5,0,IF(MAX(CR38:CW38)&gt;CW43+3+$B$18,1,0))</f>
        <v/>
      </c>
      <c r="CX52" s="760">
        <f>IF(98&lt;5,0,IF(MAX(CS38:CX38)&gt;CX43+3+$B$18,1,0))</f>
        <v/>
      </c>
      <c r="CY52" s="760">
        <f>IF(99&lt;5,0,IF(MAX(CT38:CY38)&gt;CY43+3+$B$18,1,0))</f>
        <v/>
      </c>
      <c r="CZ52" s="760">
        <f>IF(100&lt;5,0,IF(MAX(CU38:CZ38)&gt;CZ43+3+$B$18,1,0))</f>
        <v/>
      </c>
      <c r="DA52" s="760">
        <f>IF(101&lt;5,0,IF(MAX(CV38:DA38)&gt;DA43+3+$B$18,1,0))</f>
        <v/>
      </c>
      <c r="DB52" s="760">
        <f>IF(102&lt;5,0,IF(MAX(CW38:DB38)&gt;DB43+3+$B$18,1,0))</f>
        <v/>
      </c>
      <c r="DC52" s="760">
        <f>IF(103&lt;5,0,IF(MAX(CX38:DC38)&gt;DC43+3+$B$18,1,0))</f>
        <v/>
      </c>
      <c r="DD52" s="760">
        <f>IF(104&lt;5,0,IF(MAX(CY38:DD38)&gt;DD43+3+$B$18,1,0))</f>
        <v/>
      </c>
      <c r="DE52" s="760">
        <f>IF(105&lt;5,0,IF(MAX(CZ38:DE38)&gt;DE43+3+$B$18,1,0))</f>
        <v/>
      </c>
    </row>
    <row r="53">
      <c r="A53" s="586" t="inlineStr">
        <is>
          <t>Superintendent slot 5</t>
        </is>
      </c>
      <c r="B53" s="587">
        <f>$B$26</f>
        <v/>
      </c>
      <c r="E53" s="760">
        <f>IF(1&lt;5,0,IF(MAX(E38:E38)&gt;E43+4+$B$18,1,0))</f>
        <v/>
      </c>
      <c r="F53" s="760">
        <f>IF(2&lt;5,0,IF(MAX(E38:F38)&gt;F43+4+$B$18,1,0))</f>
        <v/>
      </c>
      <c r="G53" s="760">
        <f>IF(3&lt;5,0,IF(MAX(E38:G38)&gt;G43+4+$B$18,1,0))</f>
        <v/>
      </c>
      <c r="H53" s="760">
        <f>IF(4&lt;5,0,IF(MAX(E38:H38)&gt;H43+4+$B$18,1,0))</f>
        <v/>
      </c>
      <c r="I53" s="760">
        <f>IF(5&lt;5,0,IF(MAX(E38:I38)&gt;I43+4+$B$18,1,0))</f>
        <v/>
      </c>
      <c r="J53" s="760">
        <f>IF(6&lt;5,0,IF(MAX(E38:J38)&gt;J43+4+$B$18,1,0))</f>
        <v/>
      </c>
      <c r="K53" s="760">
        <f>IF(7&lt;5,0,IF(MAX(F38:K38)&gt;K43+4+$B$18,1,0))</f>
        <v/>
      </c>
      <c r="L53" s="760">
        <f>IF(8&lt;5,0,IF(MAX(G38:L38)&gt;L43+4+$B$18,1,0))</f>
        <v/>
      </c>
      <c r="M53" s="760">
        <f>IF(9&lt;5,0,IF(MAX(H38:M38)&gt;M43+4+$B$18,1,0))</f>
        <v/>
      </c>
      <c r="N53" s="760">
        <f>IF(10&lt;5,0,IF(MAX(I38:N38)&gt;N43+4+$B$18,1,0))</f>
        <v/>
      </c>
      <c r="O53" s="760">
        <f>IF(11&lt;5,0,IF(MAX(J38:O38)&gt;O43+4+$B$18,1,0))</f>
        <v/>
      </c>
      <c r="P53" s="760">
        <f>IF(12&lt;5,0,IF(MAX(K38:P38)&gt;P43+4+$B$18,1,0))</f>
        <v/>
      </c>
      <c r="Q53" s="760">
        <f>IF(13&lt;5,0,IF(MAX(L38:Q38)&gt;Q43+4+$B$18,1,0))</f>
        <v/>
      </c>
      <c r="R53" s="760">
        <f>IF(14&lt;5,0,IF(MAX(M38:R38)&gt;R43+4+$B$18,1,0))</f>
        <v/>
      </c>
      <c r="S53" s="760">
        <f>IF(15&lt;5,0,IF(MAX(N38:S38)&gt;S43+4+$B$18,1,0))</f>
        <v/>
      </c>
      <c r="T53" s="760">
        <f>IF(16&lt;5,0,IF(MAX(O38:T38)&gt;T43+4+$B$18,1,0))</f>
        <v/>
      </c>
      <c r="U53" s="760">
        <f>IF(17&lt;5,0,IF(MAX(P38:U38)&gt;U43+4+$B$18,1,0))</f>
        <v/>
      </c>
      <c r="V53" s="760">
        <f>IF(18&lt;5,0,IF(MAX(Q38:V38)&gt;V43+4+$B$18,1,0))</f>
        <v/>
      </c>
      <c r="W53" s="760">
        <f>IF(19&lt;5,0,IF(MAX(R38:W38)&gt;W43+4+$B$18,1,0))</f>
        <v/>
      </c>
      <c r="X53" s="760">
        <f>IF(20&lt;5,0,IF(MAX(S38:X38)&gt;X43+4+$B$18,1,0))</f>
        <v/>
      </c>
      <c r="Y53" s="760">
        <f>IF(21&lt;5,0,IF(MAX(T38:Y38)&gt;Y43+4+$B$18,1,0))</f>
        <v/>
      </c>
      <c r="Z53" s="760">
        <f>IF(22&lt;5,0,IF(MAX(U38:Z38)&gt;Z43+4+$B$18,1,0))</f>
        <v/>
      </c>
      <c r="AA53" s="760">
        <f>IF(23&lt;5,0,IF(MAX(V38:AA38)&gt;AA43+4+$B$18,1,0))</f>
        <v/>
      </c>
      <c r="AB53" s="760">
        <f>IF(24&lt;5,0,IF(MAX(W38:AB38)&gt;AB43+4+$B$18,1,0))</f>
        <v/>
      </c>
      <c r="AC53" s="760">
        <f>IF(25&lt;5,0,IF(MAX(X38:AC38)&gt;AC43+4+$B$18,1,0))</f>
        <v/>
      </c>
      <c r="AD53" s="760">
        <f>IF(26&lt;5,0,IF(MAX(Y38:AD38)&gt;AD43+4+$B$18,1,0))</f>
        <v/>
      </c>
      <c r="AE53" s="760">
        <f>IF(27&lt;5,0,IF(MAX(Z38:AE38)&gt;AE43+4+$B$18,1,0))</f>
        <v/>
      </c>
      <c r="AF53" s="760">
        <f>IF(28&lt;5,0,IF(MAX(AA38:AF38)&gt;AF43+4+$B$18,1,0))</f>
        <v/>
      </c>
      <c r="AG53" s="760">
        <f>IF(29&lt;5,0,IF(MAX(AB38:AG38)&gt;AG43+4+$B$18,1,0))</f>
        <v/>
      </c>
      <c r="AH53" s="760">
        <f>IF(30&lt;5,0,IF(MAX(AC38:AH38)&gt;AH43+4+$B$18,1,0))</f>
        <v/>
      </c>
      <c r="AI53" s="760">
        <f>IF(31&lt;5,0,IF(MAX(AD38:AI38)&gt;AI43+4+$B$18,1,0))</f>
        <v/>
      </c>
      <c r="AJ53" s="760">
        <f>IF(32&lt;5,0,IF(MAX(AE38:AJ38)&gt;AJ43+4+$B$18,1,0))</f>
        <v/>
      </c>
      <c r="AK53" s="760">
        <f>IF(33&lt;5,0,IF(MAX(AF38:AK38)&gt;AK43+4+$B$18,1,0))</f>
        <v/>
      </c>
      <c r="AL53" s="760">
        <f>IF(34&lt;5,0,IF(MAX(AG38:AL38)&gt;AL43+4+$B$18,1,0))</f>
        <v/>
      </c>
      <c r="AM53" s="760">
        <f>IF(35&lt;5,0,IF(MAX(AH38:AM38)&gt;AM43+4+$B$18,1,0))</f>
        <v/>
      </c>
      <c r="AN53" s="760">
        <f>IF(36&lt;5,0,IF(MAX(AI38:AN38)&gt;AN43+4+$B$18,1,0))</f>
        <v/>
      </c>
      <c r="AO53" s="760">
        <f>IF(37&lt;5,0,IF(MAX(AJ38:AO38)&gt;AO43+4+$B$18,1,0))</f>
        <v/>
      </c>
      <c r="AP53" s="760">
        <f>IF(38&lt;5,0,IF(MAX(AK38:AP38)&gt;AP43+4+$B$18,1,0))</f>
        <v/>
      </c>
      <c r="AQ53" s="760">
        <f>IF(39&lt;5,0,IF(MAX(AL38:AQ38)&gt;AQ43+4+$B$18,1,0))</f>
        <v/>
      </c>
      <c r="AR53" s="760">
        <f>IF(40&lt;5,0,IF(MAX(AM38:AR38)&gt;AR43+4+$B$18,1,0))</f>
        <v/>
      </c>
      <c r="AS53" s="760">
        <f>IF(41&lt;5,0,IF(MAX(AN38:AS38)&gt;AS43+4+$B$18,1,0))</f>
        <v/>
      </c>
      <c r="AT53" s="760">
        <f>IF(42&lt;5,0,IF(MAX(AO38:AT38)&gt;AT43+4+$B$18,1,0))</f>
        <v/>
      </c>
      <c r="AU53" s="760">
        <f>IF(43&lt;5,0,IF(MAX(AP38:AU38)&gt;AU43+4+$B$18,1,0))</f>
        <v/>
      </c>
      <c r="AV53" s="760">
        <f>IF(44&lt;5,0,IF(MAX(AQ38:AV38)&gt;AV43+4+$B$18,1,0))</f>
        <v/>
      </c>
      <c r="AW53" s="760">
        <f>IF(45&lt;5,0,IF(MAX(AR38:AW38)&gt;AW43+4+$B$18,1,0))</f>
        <v/>
      </c>
      <c r="AX53" s="760">
        <f>IF(46&lt;5,0,IF(MAX(AS38:AX38)&gt;AX43+4+$B$18,1,0))</f>
        <v/>
      </c>
      <c r="AY53" s="760">
        <f>IF(47&lt;5,0,IF(MAX(AT38:AY38)&gt;AY43+4+$B$18,1,0))</f>
        <v/>
      </c>
      <c r="AZ53" s="760">
        <f>IF(48&lt;5,0,IF(MAX(AU38:AZ38)&gt;AZ43+4+$B$18,1,0))</f>
        <v/>
      </c>
      <c r="BA53" s="760">
        <f>IF(49&lt;5,0,IF(MAX(AV38:BA38)&gt;BA43+4+$B$18,1,0))</f>
        <v/>
      </c>
      <c r="BB53" s="760">
        <f>IF(50&lt;5,0,IF(MAX(AW38:BB38)&gt;BB43+4+$B$18,1,0))</f>
        <v/>
      </c>
      <c r="BC53" s="760">
        <f>IF(51&lt;5,0,IF(MAX(AX38:BC38)&gt;BC43+4+$B$18,1,0))</f>
        <v/>
      </c>
      <c r="BD53" s="760">
        <f>IF(52&lt;5,0,IF(MAX(AY38:BD38)&gt;BD43+4+$B$18,1,0))</f>
        <v/>
      </c>
      <c r="BE53" s="760">
        <f>IF(53&lt;5,0,IF(MAX(AZ38:BE38)&gt;BE43+4+$B$18,1,0))</f>
        <v/>
      </c>
      <c r="BF53" s="760">
        <f>IF(54&lt;5,0,IF(MAX(BA38:BF38)&gt;BF43+4+$B$18,1,0))</f>
        <v/>
      </c>
      <c r="BG53" s="760">
        <f>IF(55&lt;5,0,IF(MAX(BB38:BG38)&gt;BG43+4+$B$18,1,0))</f>
        <v/>
      </c>
      <c r="BH53" s="760">
        <f>IF(56&lt;5,0,IF(MAX(BC38:BH38)&gt;BH43+4+$B$18,1,0))</f>
        <v/>
      </c>
      <c r="BI53" s="760">
        <f>IF(57&lt;5,0,IF(MAX(BD38:BI38)&gt;BI43+4+$B$18,1,0))</f>
        <v/>
      </c>
      <c r="BJ53" s="760">
        <f>IF(58&lt;5,0,IF(MAX(BE38:BJ38)&gt;BJ43+4+$B$18,1,0))</f>
        <v/>
      </c>
      <c r="BK53" s="760">
        <f>IF(59&lt;5,0,IF(MAX(BF38:BK38)&gt;BK43+4+$B$18,1,0))</f>
        <v/>
      </c>
      <c r="BL53" s="760">
        <f>IF(60&lt;5,0,IF(MAX(BG38:BL38)&gt;BL43+4+$B$18,1,0))</f>
        <v/>
      </c>
      <c r="BM53" s="760">
        <f>IF(61&lt;5,0,IF(MAX(BH38:BM38)&gt;BM43+4+$B$18,1,0))</f>
        <v/>
      </c>
      <c r="BN53" s="760">
        <f>IF(62&lt;5,0,IF(MAX(BI38:BN38)&gt;BN43+4+$B$18,1,0))</f>
        <v/>
      </c>
      <c r="BO53" s="760">
        <f>IF(63&lt;5,0,IF(MAX(BJ38:BO38)&gt;BO43+4+$B$18,1,0))</f>
        <v/>
      </c>
      <c r="BP53" s="760">
        <f>IF(64&lt;5,0,IF(MAX(BK38:BP38)&gt;BP43+4+$B$18,1,0))</f>
        <v/>
      </c>
      <c r="BQ53" s="760">
        <f>IF(65&lt;5,0,IF(MAX(BL38:BQ38)&gt;BQ43+4+$B$18,1,0))</f>
        <v/>
      </c>
      <c r="BR53" s="760">
        <f>IF(66&lt;5,0,IF(MAX(BM38:BR38)&gt;BR43+4+$B$18,1,0))</f>
        <v/>
      </c>
      <c r="BS53" s="760">
        <f>IF(67&lt;5,0,IF(MAX(BN38:BS38)&gt;BS43+4+$B$18,1,0))</f>
        <v/>
      </c>
      <c r="BT53" s="760">
        <f>IF(68&lt;5,0,IF(MAX(BO38:BT38)&gt;BT43+4+$B$18,1,0))</f>
        <v/>
      </c>
      <c r="BU53" s="760">
        <f>IF(69&lt;5,0,IF(MAX(BP38:BU38)&gt;BU43+4+$B$18,1,0))</f>
        <v/>
      </c>
      <c r="BV53" s="760">
        <f>IF(70&lt;5,0,IF(MAX(BQ38:BV38)&gt;BV43+4+$B$18,1,0))</f>
        <v/>
      </c>
      <c r="BW53" s="760">
        <f>IF(71&lt;5,0,IF(MAX(BR38:BW38)&gt;BW43+4+$B$18,1,0))</f>
        <v/>
      </c>
      <c r="BX53" s="760">
        <f>IF(72&lt;5,0,IF(MAX(BS38:BX38)&gt;BX43+4+$B$18,1,0))</f>
        <v/>
      </c>
      <c r="BY53" s="760">
        <f>IF(73&lt;5,0,IF(MAX(BT38:BY38)&gt;BY43+4+$B$18,1,0))</f>
        <v/>
      </c>
      <c r="BZ53" s="760">
        <f>IF(74&lt;5,0,IF(MAX(BU38:BZ38)&gt;BZ43+4+$B$18,1,0))</f>
        <v/>
      </c>
      <c r="CA53" s="760">
        <f>IF(75&lt;5,0,IF(MAX(BV38:CA38)&gt;CA43+4+$B$18,1,0))</f>
        <v/>
      </c>
      <c r="CB53" s="760">
        <f>IF(76&lt;5,0,IF(MAX(BW38:CB38)&gt;CB43+4+$B$18,1,0))</f>
        <v/>
      </c>
      <c r="CC53" s="760">
        <f>IF(77&lt;5,0,IF(MAX(BX38:CC38)&gt;CC43+4+$B$18,1,0))</f>
        <v/>
      </c>
      <c r="CD53" s="760">
        <f>IF(78&lt;5,0,IF(MAX(BY38:CD38)&gt;CD43+4+$B$18,1,0))</f>
        <v/>
      </c>
      <c r="CE53" s="760">
        <f>IF(79&lt;5,0,IF(MAX(BZ38:CE38)&gt;CE43+4+$B$18,1,0))</f>
        <v/>
      </c>
      <c r="CF53" s="760">
        <f>IF(80&lt;5,0,IF(MAX(CA38:CF38)&gt;CF43+4+$B$18,1,0))</f>
        <v/>
      </c>
      <c r="CG53" s="760">
        <f>IF(81&lt;5,0,IF(MAX(CB38:CG38)&gt;CG43+4+$B$18,1,0))</f>
        <v/>
      </c>
      <c r="CH53" s="760">
        <f>IF(82&lt;5,0,IF(MAX(CC38:CH38)&gt;CH43+4+$B$18,1,0))</f>
        <v/>
      </c>
      <c r="CI53" s="760">
        <f>IF(83&lt;5,0,IF(MAX(CD38:CI38)&gt;CI43+4+$B$18,1,0))</f>
        <v/>
      </c>
      <c r="CJ53" s="760">
        <f>IF(84&lt;5,0,IF(MAX(CE38:CJ38)&gt;CJ43+4+$B$18,1,0))</f>
        <v/>
      </c>
      <c r="CK53" s="760">
        <f>IF(85&lt;5,0,IF(MAX(CF38:CK38)&gt;CK43+4+$B$18,1,0))</f>
        <v/>
      </c>
      <c r="CL53" s="760">
        <f>IF(86&lt;5,0,IF(MAX(CG38:CL38)&gt;CL43+4+$B$18,1,0))</f>
        <v/>
      </c>
      <c r="CM53" s="760">
        <f>IF(87&lt;5,0,IF(MAX(CH38:CM38)&gt;CM43+4+$B$18,1,0))</f>
        <v/>
      </c>
      <c r="CN53" s="760">
        <f>IF(88&lt;5,0,IF(MAX(CI38:CN38)&gt;CN43+4+$B$18,1,0))</f>
        <v/>
      </c>
      <c r="CO53" s="760">
        <f>IF(89&lt;5,0,IF(MAX(CJ38:CO38)&gt;CO43+4+$B$18,1,0))</f>
        <v/>
      </c>
      <c r="CP53" s="760">
        <f>IF(90&lt;5,0,IF(MAX(CK38:CP38)&gt;CP43+4+$B$18,1,0))</f>
        <v/>
      </c>
      <c r="CQ53" s="760">
        <f>IF(91&lt;5,0,IF(MAX(CL38:CQ38)&gt;CQ43+4+$B$18,1,0))</f>
        <v/>
      </c>
      <c r="CR53" s="760">
        <f>IF(92&lt;5,0,IF(MAX(CM38:CR38)&gt;CR43+4+$B$18,1,0))</f>
        <v/>
      </c>
      <c r="CS53" s="760">
        <f>IF(93&lt;5,0,IF(MAX(CN38:CS38)&gt;CS43+4+$B$18,1,0))</f>
        <v/>
      </c>
      <c r="CT53" s="760">
        <f>IF(94&lt;5,0,IF(MAX(CO38:CT38)&gt;CT43+4+$B$18,1,0))</f>
        <v/>
      </c>
      <c r="CU53" s="760">
        <f>IF(95&lt;5,0,IF(MAX(CP38:CU38)&gt;CU43+4+$B$18,1,0))</f>
        <v/>
      </c>
      <c r="CV53" s="760">
        <f>IF(96&lt;5,0,IF(MAX(CQ38:CV38)&gt;CV43+4+$B$18,1,0))</f>
        <v/>
      </c>
      <c r="CW53" s="760">
        <f>IF(97&lt;5,0,IF(MAX(CR38:CW38)&gt;CW43+4+$B$18,1,0))</f>
        <v/>
      </c>
      <c r="CX53" s="760">
        <f>IF(98&lt;5,0,IF(MAX(CS38:CX38)&gt;CX43+4+$B$18,1,0))</f>
        <v/>
      </c>
      <c r="CY53" s="760">
        <f>IF(99&lt;5,0,IF(MAX(CT38:CY38)&gt;CY43+4+$B$18,1,0))</f>
        <v/>
      </c>
      <c r="CZ53" s="760">
        <f>IF(100&lt;5,0,IF(MAX(CU38:CZ38)&gt;CZ43+4+$B$18,1,0))</f>
        <v/>
      </c>
      <c r="DA53" s="760">
        <f>IF(101&lt;5,0,IF(MAX(CV38:DA38)&gt;DA43+4+$B$18,1,0))</f>
        <v/>
      </c>
      <c r="DB53" s="760">
        <f>IF(102&lt;5,0,IF(MAX(CW38:DB38)&gt;DB43+4+$B$18,1,0))</f>
        <v/>
      </c>
      <c r="DC53" s="760">
        <f>IF(103&lt;5,0,IF(MAX(CX38:DC38)&gt;DC43+4+$B$18,1,0))</f>
        <v/>
      </c>
      <c r="DD53" s="760">
        <f>IF(104&lt;5,0,IF(MAX(CY38:DD38)&gt;DD43+4+$B$18,1,0))</f>
        <v/>
      </c>
      <c r="DE53" s="760">
        <f>IF(105&lt;5,0,IF(MAX(CZ38:DE38)&gt;DE43+4+$B$18,1,0))</f>
        <v/>
      </c>
    </row>
    <row r="54">
      <c r="A54" s="586" t="inlineStr">
        <is>
          <t>Superintendent slot 6</t>
        </is>
      </c>
      <c r="B54" s="587">
        <f>$B$27</f>
        <v/>
      </c>
      <c r="E54" s="760">
        <f>IF(1&lt;5,0,IF(MAX(E38:E38)&gt;E43+5+$B$18,1,0))</f>
        <v/>
      </c>
      <c r="F54" s="760">
        <f>IF(2&lt;5,0,IF(MAX(E38:F38)&gt;F43+5+$B$18,1,0))</f>
        <v/>
      </c>
      <c r="G54" s="760">
        <f>IF(3&lt;5,0,IF(MAX(E38:G38)&gt;G43+5+$B$18,1,0))</f>
        <v/>
      </c>
      <c r="H54" s="760">
        <f>IF(4&lt;5,0,IF(MAX(E38:H38)&gt;H43+5+$B$18,1,0))</f>
        <v/>
      </c>
      <c r="I54" s="760">
        <f>IF(5&lt;5,0,IF(MAX(E38:I38)&gt;I43+5+$B$18,1,0))</f>
        <v/>
      </c>
      <c r="J54" s="760">
        <f>IF(6&lt;5,0,IF(MAX(E38:J38)&gt;J43+5+$B$18,1,0))</f>
        <v/>
      </c>
      <c r="K54" s="760">
        <f>IF(7&lt;5,0,IF(MAX(F38:K38)&gt;K43+5+$B$18,1,0))</f>
        <v/>
      </c>
      <c r="L54" s="760">
        <f>IF(8&lt;5,0,IF(MAX(G38:L38)&gt;L43+5+$B$18,1,0))</f>
        <v/>
      </c>
      <c r="M54" s="760">
        <f>IF(9&lt;5,0,IF(MAX(H38:M38)&gt;M43+5+$B$18,1,0))</f>
        <v/>
      </c>
      <c r="N54" s="760">
        <f>IF(10&lt;5,0,IF(MAX(I38:N38)&gt;N43+5+$B$18,1,0))</f>
        <v/>
      </c>
      <c r="O54" s="760">
        <f>IF(11&lt;5,0,IF(MAX(J38:O38)&gt;O43+5+$B$18,1,0))</f>
        <v/>
      </c>
      <c r="P54" s="760">
        <f>IF(12&lt;5,0,IF(MAX(K38:P38)&gt;P43+5+$B$18,1,0))</f>
        <v/>
      </c>
      <c r="Q54" s="760">
        <f>IF(13&lt;5,0,IF(MAX(L38:Q38)&gt;Q43+5+$B$18,1,0))</f>
        <v/>
      </c>
      <c r="R54" s="760">
        <f>IF(14&lt;5,0,IF(MAX(M38:R38)&gt;R43+5+$B$18,1,0))</f>
        <v/>
      </c>
      <c r="S54" s="760">
        <f>IF(15&lt;5,0,IF(MAX(N38:S38)&gt;S43+5+$B$18,1,0))</f>
        <v/>
      </c>
      <c r="T54" s="760">
        <f>IF(16&lt;5,0,IF(MAX(O38:T38)&gt;T43+5+$B$18,1,0))</f>
        <v/>
      </c>
      <c r="U54" s="760">
        <f>IF(17&lt;5,0,IF(MAX(P38:U38)&gt;U43+5+$B$18,1,0))</f>
        <v/>
      </c>
      <c r="V54" s="760">
        <f>IF(18&lt;5,0,IF(MAX(Q38:V38)&gt;V43+5+$B$18,1,0))</f>
        <v/>
      </c>
      <c r="W54" s="760">
        <f>IF(19&lt;5,0,IF(MAX(R38:W38)&gt;W43+5+$B$18,1,0))</f>
        <v/>
      </c>
      <c r="X54" s="760">
        <f>IF(20&lt;5,0,IF(MAX(S38:X38)&gt;X43+5+$B$18,1,0))</f>
        <v/>
      </c>
      <c r="Y54" s="760">
        <f>IF(21&lt;5,0,IF(MAX(T38:Y38)&gt;Y43+5+$B$18,1,0))</f>
        <v/>
      </c>
      <c r="Z54" s="760">
        <f>IF(22&lt;5,0,IF(MAX(U38:Z38)&gt;Z43+5+$B$18,1,0))</f>
        <v/>
      </c>
      <c r="AA54" s="760">
        <f>IF(23&lt;5,0,IF(MAX(V38:AA38)&gt;AA43+5+$B$18,1,0))</f>
        <v/>
      </c>
      <c r="AB54" s="760">
        <f>IF(24&lt;5,0,IF(MAX(W38:AB38)&gt;AB43+5+$B$18,1,0))</f>
        <v/>
      </c>
      <c r="AC54" s="760">
        <f>IF(25&lt;5,0,IF(MAX(X38:AC38)&gt;AC43+5+$B$18,1,0))</f>
        <v/>
      </c>
      <c r="AD54" s="760">
        <f>IF(26&lt;5,0,IF(MAX(Y38:AD38)&gt;AD43+5+$B$18,1,0))</f>
        <v/>
      </c>
      <c r="AE54" s="760">
        <f>IF(27&lt;5,0,IF(MAX(Z38:AE38)&gt;AE43+5+$B$18,1,0))</f>
        <v/>
      </c>
      <c r="AF54" s="760">
        <f>IF(28&lt;5,0,IF(MAX(AA38:AF38)&gt;AF43+5+$B$18,1,0))</f>
        <v/>
      </c>
      <c r="AG54" s="760">
        <f>IF(29&lt;5,0,IF(MAX(AB38:AG38)&gt;AG43+5+$B$18,1,0))</f>
        <v/>
      </c>
      <c r="AH54" s="760">
        <f>IF(30&lt;5,0,IF(MAX(AC38:AH38)&gt;AH43+5+$B$18,1,0))</f>
        <v/>
      </c>
      <c r="AI54" s="760">
        <f>IF(31&lt;5,0,IF(MAX(AD38:AI38)&gt;AI43+5+$B$18,1,0))</f>
        <v/>
      </c>
      <c r="AJ54" s="760">
        <f>IF(32&lt;5,0,IF(MAX(AE38:AJ38)&gt;AJ43+5+$B$18,1,0))</f>
        <v/>
      </c>
      <c r="AK54" s="760">
        <f>IF(33&lt;5,0,IF(MAX(AF38:AK38)&gt;AK43+5+$B$18,1,0))</f>
        <v/>
      </c>
      <c r="AL54" s="760">
        <f>IF(34&lt;5,0,IF(MAX(AG38:AL38)&gt;AL43+5+$B$18,1,0))</f>
        <v/>
      </c>
      <c r="AM54" s="760">
        <f>IF(35&lt;5,0,IF(MAX(AH38:AM38)&gt;AM43+5+$B$18,1,0))</f>
        <v/>
      </c>
      <c r="AN54" s="760">
        <f>IF(36&lt;5,0,IF(MAX(AI38:AN38)&gt;AN43+5+$B$18,1,0))</f>
        <v/>
      </c>
      <c r="AO54" s="760">
        <f>IF(37&lt;5,0,IF(MAX(AJ38:AO38)&gt;AO43+5+$B$18,1,0))</f>
        <v/>
      </c>
      <c r="AP54" s="760">
        <f>IF(38&lt;5,0,IF(MAX(AK38:AP38)&gt;AP43+5+$B$18,1,0))</f>
        <v/>
      </c>
      <c r="AQ54" s="760">
        <f>IF(39&lt;5,0,IF(MAX(AL38:AQ38)&gt;AQ43+5+$B$18,1,0))</f>
        <v/>
      </c>
      <c r="AR54" s="760">
        <f>IF(40&lt;5,0,IF(MAX(AM38:AR38)&gt;AR43+5+$B$18,1,0))</f>
        <v/>
      </c>
      <c r="AS54" s="760">
        <f>IF(41&lt;5,0,IF(MAX(AN38:AS38)&gt;AS43+5+$B$18,1,0))</f>
        <v/>
      </c>
      <c r="AT54" s="760">
        <f>IF(42&lt;5,0,IF(MAX(AO38:AT38)&gt;AT43+5+$B$18,1,0))</f>
        <v/>
      </c>
      <c r="AU54" s="760">
        <f>IF(43&lt;5,0,IF(MAX(AP38:AU38)&gt;AU43+5+$B$18,1,0))</f>
        <v/>
      </c>
      <c r="AV54" s="760">
        <f>IF(44&lt;5,0,IF(MAX(AQ38:AV38)&gt;AV43+5+$B$18,1,0))</f>
        <v/>
      </c>
      <c r="AW54" s="760">
        <f>IF(45&lt;5,0,IF(MAX(AR38:AW38)&gt;AW43+5+$B$18,1,0))</f>
        <v/>
      </c>
      <c r="AX54" s="760">
        <f>IF(46&lt;5,0,IF(MAX(AS38:AX38)&gt;AX43+5+$B$18,1,0))</f>
        <v/>
      </c>
      <c r="AY54" s="760">
        <f>IF(47&lt;5,0,IF(MAX(AT38:AY38)&gt;AY43+5+$B$18,1,0))</f>
        <v/>
      </c>
      <c r="AZ54" s="760">
        <f>IF(48&lt;5,0,IF(MAX(AU38:AZ38)&gt;AZ43+5+$B$18,1,0))</f>
        <v/>
      </c>
      <c r="BA54" s="760">
        <f>IF(49&lt;5,0,IF(MAX(AV38:BA38)&gt;BA43+5+$B$18,1,0))</f>
        <v/>
      </c>
      <c r="BB54" s="760">
        <f>IF(50&lt;5,0,IF(MAX(AW38:BB38)&gt;BB43+5+$B$18,1,0))</f>
        <v/>
      </c>
      <c r="BC54" s="760">
        <f>IF(51&lt;5,0,IF(MAX(AX38:BC38)&gt;BC43+5+$B$18,1,0))</f>
        <v/>
      </c>
      <c r="BD54" s="760">
        <f>IF(52&lt;5,0,IF(MAX(AY38:BD38)&gt;BD43+5+$B$18,1,0))</f>
        <v/>
      </c>
      <c r="BE54" s="760">
        <f>IF(53&lt;5,0,IF(MAX(AZ38:BE38)&gt;BE43+5+$B$18,1,0))</f>
        <v/>
      </c>
      <c r="BF54" s="760">
        <f>IF(54&lt;5,0,IF(MAX(BA38:BF38)&gt;BF43+5+$B$18,1,0))</f>
        <v/>
      </c>
      <c r="BG54" s="760">
        <f>IF(55&lt;5,0,IF(MAX(BB38:BG38)&gt;BG43+5+$B$18,1,0))</f>
        <v/>
      </c>
      <c r="BH54" s="760">
        <f>IF(56&lt;5,0,IF(MAX(BC38:BH38)&gt;BH43+5+$B$18,1,0))</f>
        <v/>
      </c>
      <c r="BI54" s="760">
        <f>IF(57&lt;5,0,IF(MAX(BD38:BI38)&gt;BI43+5+$B$18,1,0))</f>
        <v/>
      </c>
      <c r="BJ54" s="760">
        <f>IF(58&lt;5,0,IF(MAX(BE38:BJ38)&gt;BJ43+5+$B$18,1,0))</f>
        <v/>
      </c>
      <c r="BK54" s="760">
        <f>IF(59&lt;5,0,IF(MAX(BF38:BK38)&gt;BK43+5+$B$18,1,0))</f>
        <v/>
      </c>
      <c r="BL54" s="760">
        <f>IF(60&lt;5,0,IF(MAX(BG38:BL38)&gt;BL43+5+$B$18,1,0))</f>
        <v/>
      </c>
      <c r="BM54" s="760">
        <f>IF(61&lt;5,0,IF(MAX(BH38:BM38)&gt;BM43+5+$B$18,1,0))</f>
        <v/>
      </c>
      <c r="BN54" s="760">
        <f>IF(62&lt;5,0,IF(MAX(BI38:BN38)&gt;BN43+5+$B$18,1,0))</f>
        <v/>
      </c>
      <c r="BO54" s="760">
        <f>IF(63&lt;5,0,IF(MAX(BJ38:BO38)&gt;BO43+5+$B$18,1,0))</f>
        <v/>
      </c>
      <c r="BP54" s="760">
        <f>IF(64&lt;5,0,IF(MAX(BK38:BP38)&gt;BP43+5+$B$18,1,0))</f>
        <v/>
      </c>
      <c r="BQ54" s="760">
        <f>IF(65&lt;5,0,IF(MAX(BL38:BQ38)&gt;BQ43+5+$B$18,1,0))</f>
        <v/>
      </c>
      <c r="BR54" s="760">
        <f>IF(66&lt;5,0,IF(MAX(BM38:BR38)&gt;BR43+5+$B$18,1,0))</f>
        <v/>
      </c>
      <c r="BS54" s="760">
        <f>IF(67&lt;5,0,IF(MAX(BN38:BS38)&gt;BS43+5+$B$18,1,0))</f>
        <v/>
      </c>
      <c r="BT54" s="760">
        <f>IF(68&lt;5,0,IF(MAX(BO38:BT38)&gt;BT43+5+$B$18,1,0))</f>
        <v/>
      </c>
      <c r="BU54" s="760">
        <f>IF(69&lt;5,0,IF(MAX(BP38:BU38)&gt;BU43+5+$B$18,1,0))</f>
        <v/>
      </c>
      <c r="BV54" s="760">
        <f>IF(70&lt;5,0,IF(MAX(BQ38:BV38)&gt;BV43+5+$B$18,1,0))</f>
        <v/>
      </c>
      <c r="BW54" s="760">
        <f>IF(71&lt;5,0,IF(MAX(BR38:BW38)&gt;BW43+5+$B$18,1,0))</f>
        <v/>
      </c>
      <c r="BX54" s="760">
        <f>IF(72&lt;5,0,IF(MAX(BS38:BX38)&gt;BX43+5+$B$18,1,0))</f>
        <v/>
      </c>
      <c r="BY54" s="760">
        <f>IF(73&lt;5,0,IF(MAX(BT38:BY38)&gt;BY43+5+$B$18,1,0))</f>
        <v/>
      </c>
      <c r="BZ54" s="760">
        <f>IF(74&lt;5,0,IF(MAX(BU38:BZ38)&gt;BZ43+5+$B$18,1,0))</f>
        <v/>
      </c>
      <c r="CA54" s="760">
        <f>IF(75&lt;5,0,IF(MAX(BV38:CA38)&gt;CA43+5+$B$18,1,0))</f>
        <v/>
      </c>
      <c r="CB54" s="760">
        <f>IF(76&lt;5,0,IF(MAX(BW38:CB38)&gt;CB43+5+$B$18,1,0))</f>
        <v/>
      </c>
      <c r="CC54" s="760">
        <f>IF(77&lt;5,0,IF(MAX(BX38:CC38)&gt;CC43+5+$B$18,1,0))</f>
        <v/>
      </c>
      <c r="CD54" s="760">
        <f>IF(78&lt;5,0,IF(MAX(BY38:CD38)&gt;CD43+5+$B$18,1,0))</f>
        <v/>
      </c>
      <c r="CE54" s="760">
        <f>IF(79&lt;5,0,IF(MAX(BZ38:CE38)&gt;CE43+5+$B$18,1,0))</f>
        <v/>
      </c>
      <c r="CF54" s="760">
        <f>IF(80&lt;5,0,IF(MAX(CA38:CF38)&gt;CF43+5+$B$18,1,0))</f>
        <v/>
      </c>
      <c r="CG54" s="760">
        <f>IF(81&lt;5,0,IF(MAX(CB38:CG38)&gt;CG43+5+$B$18,1,0))</f>
        <v/>
      </c>
      <c r="CH54" s="760">
        <f>IF(82&lt;5,0,IF(MAX(CC38:CH38)&gt;CH43+5+$B$18,1,0))</f>
        <v/>
      </c>
      <c r="CI54" s="760">
        <f>IF(83&lt;5,0,IF(MAX(CD38:CI38)&gt;CI43+5+$B$18,1,0))</f>
        <v/>
      </c>
      <c r="CJ54" s="760">
        <f>IF(84&lt;5,0,IF(MAX(CE38:CJ38)&gt;CJ43+5+$B$18,1,0))</f>
        <v/>
      </c>
      <c r="CK54" s="760">
        <f>IF(85&lt;5,0,IF(MAX(CF38:CK38)&gt;CK43+5+$B$18,1,0))</f>
        <v/>
      </c>
      <c r="CL54" s="760">
        <f>IF(86&lt;5,0,IF(MAX(CG38:CL38)&gt;CL43+5+$B$18,1,0))</f>
        <v/>
      </c>
      <c r="CM54" s="760">
        <f>IF(87&lt;5,0,IF(MAX(CH38:CM38)&gt;CM43+5+$B$18,1,0))</f>
        <v/>
      </c>
      <c r="CN54" s="760">
        <f>IF(88&lt;5,0,IF(MAX(CI38:CN38)&gt;CN43+5+$B$18,1,0))</f>
        <v/>
      </c>
      <c r="CO54" s="760">
        <f>IF(89&lt;5,0,IF(MAX(CJ38:CO38)&gt;CO43+5+$B$18,1,0))</f>
        <v/>
      </c>
      <c r="CP54" s="760">
        <f>IF(90&lt;5,0,IF(MAX(CK38:CP38)&gt;CP43+5+$B$18,1,0))</f>
        <v/>
      </c>
      <c r="CQ54" s="760">
        <f>IF(91&lt;5,0,IF(MAX(CL38:CQ38)&gt;CQ43+5+$B$18,1,0))</f>
        <v/>
      </c>
      <c r="CR54" s="760">
        <f>IF(92&lt;5,0,IF(MAX(CM38:CR38)&gt;CR43+5+$B$18,1,0))</f>
        <v/>
      </c>
      <c r="CS54" s="760">
        <f>IF(93&lt;5,0,IF(MAX(CN38:CS38)&gt;CS43+5+$B$18,1,0))</f>
        <v/>
      </c>
      <c r="CT54" s="760">
        <f>IF(94&lt;5,0,IF(MAX(CO38:CT38)&gt;CT43+5+$B$18,1,0))</f>
        <v/>
      </c>
      <c r="CU54" s="760">
        <f>IF(95&lt;5,0,IF(MAX(CP38:CU38)&gt;CU43+5+$B$18,1,0))</f>
        <v/>
      </c>
      <c r="CV54" s="760">
        <f>IF(96&lt;5,0,IF(MAX(CQ38:CV38)&gt;CV43+5+$B$18,1,0))</f>
        <v/>
      </c>
      <c r="CW54" s="760">
        <f>IF(97&lt;5,0,IF(MAX(CR38:CW38)&gt;CW43+5+$B$18,1,0))</f>
        <v/>
      </c>
      <c r="CX54" s="760">
        <f>IF(98&lt;5,0,IF(MAX(CS38:CX38)&gt;CX43+5+$B$18,1,0))</f>
        <v/>
      </c>
      <c r="CY54" s="760">
        <f>IF(99&lt;5,0,IF(MAX(CT38:CY38)&gt;CY43+5+$B$18,1,0))</f>
        <v/>
      </c>
      <c r="CZ54" s="760">
        <f>IF(100&lt;5,0,IF(MAX(CU38:CZ38)&gt;CZ43+5+$B$18,1,0))</f>
        <v/>
      </c>
      <c r="DA54" s="760">
        <f>IF(101&lt;5,0,IF(MAX(CV38:DA38)&gt;DA43+5+$B$18,1,0))</f>
        <v/>
      </c>
      <c r="DB54" s="760">
        <f>IF(102&lt;5,0,IF(MAX(CW38:DB38)&gt;DB43+5+$B$18,1,0))</f>
        <v/>
      </c>
      <c r="DC54" s="760">
        <f>IF(103&lt;5,0,IF(MAX(CX38:DC38)&gt;DC43+5+$B$18,1,0))</f>
        <v/>
      </c>
      <c r="DD54" s="760">
        <f>IF(104&lt;5,0,IF(MAX(CY38:DD38)&gt;DD43+5+$B$18,1,0))</f>
        <v/>
      </c>
      <c r="DE54" s="760">
        <f>IF(105&lt;5,0,IF(MAX(CZ38:DE38)&gt;DE43+5+$B$18,1,0))</f>
        <v/>
      </c>
    </row>
    <row r="55">
      <c r="A55" s="586" t="inlineStr">
        <is>
          <t>Superintendent slot 7</t>
        </is>
      </c>
      <c r="B55" s="587">
        <f>$B$27</f>
        <v/>
      </c>
      <c r="E55" s="760">
        <f>IF(1&lt;5,0,IF(MAX(E38:E38)&gt;E43+6+$B$18,1,0))</f>
        <v/>
      </c>
      <c r="F55" s="760">
        <f>IF(2&lt;5,0,IF(MAX(E38:F38)&gt;F43+6+$B$18,1,0))</f>
        <v/>
      </c>
      <c r="G55" s="760">
        <f>IF(3&lt;5,0,IF(MAX(E38:G38)&gt;G43+6+$B$18,1,0))</f>
        <v/>
      </c>
      <c r="H55" s="760">
        <f>IF(4&lt;5,0,IF(MAX(E38:H38)&gt;H43+6+$B$18,1,0))</f>
        <v/>
      </c>
      <c r="I55" s="760">
        <f>IF(5&lt;5,0,IF(MAX(E38:I38)&gt;I43+6+$B$18,1,0))</f>
        <v/>
      </c>
      <c r="J55" s="760">
        <f>IF(6&lt;5,0,IF(MAX(E38:J38)&gt;J43+6+$B$18,1,0))</f>
        <v/>
      </c>
      <c r="K55" s="760">
        <f>IF(7&lt;5,0,IF(MAX(F38:K38)&gt;K43+6+$B$18,1,0))</f>
        <v/>
      </c>
      <c r="L55" s="760">
        <f>IF(8&lt;5,0,IF(MAX(G38:L38)&gt;L43+6+$B$18,1,0))</f>
        <v/>
      </c>
      <c r="M55" s="760">
        <f>IF(9&lt;5,0,IF(MAX(H38:M38)&gt;M43+6+$B$18,1,0))</f>
        <v/>
      </c>
      <c r="N55" s="760">
        <f>IF(10&lt;5,0,IF(MAX(I38:N38)&gt;N43+6+$B$18,1,0))</f>
        <v/>
      </c>
      <c r="O55" s="760">
        <f>IF(11&lt;5,0,IF(MAX(J38:O38)&gt;O43+6+$B$18,1,0))</f>
        <v/>
      </c>
      <c r="P55" s="760">
        <f>IF(12&lt;5,0,IF(MAX(K38:P38)&gt;P43+6+$B$18,1,0))</f>
        <v/>
      </c>
      <c r="Q55" s="760">
        <f>IF(13&lt;5,0,IF(MAX(L38:Q38)&gt;Q43+6+$B$18,1,0))</f>
        <v/>
      </c>
      <c r="R55" s="760">
        <f>IF(14&lt;5,0,IF(MAX(M38:R38)&gt;R43+6+$B$18,1,0))</f>
        <v/>
      </c>
      <c r="S55" s="760">
        <f>IF(15&lt;5,0,IF(MAX(N38:S38)&gt;S43+6+$B$18,1,0))</f>
        <v/>
      </c>
      <c r="T55" s="760">
        <f>IF(16&lt;5,0,IF(MAX(O38:T38)&gt;T43+6+$B$18,1,0))</f>
        <v/>
      </c>
      <c r="U55" s="760">
        <f>IF(17&lt;5,0,IF(MAX(P38:U38)&gt;U43+6+$B$18,1,0))</f>
        <v/>
      </c>
      <c r="V55" s="760">
        <f>IF(18&lt;5,0,IF(MAX(Q38:V38)&gt;V43+6+$B$18,1,0))</f>
        <v/>
      </c>
      <c r="W55" s="760">
        <f>IF(19&lt;5,0,IF(MAX(R38:W38)&gt;W43+6+$B$18,1,0))</f>
        <v/>
      </c>
      <c r="X55" s="760">
        <f>IF(20&lt;5,0,IF(MAX(S38:X38)&gt;X43+6+$B$18,1,0))</f>
        <v/>
      </c>
      <c r="Y55" s="760">
        <f>IF(21&lt;5,0,IF(MAX(T38:Y38)&gt;Y43+6+$B$18,1,0))</f>
        <v/>
      </c>
      <c r="Z55" s="760">
        <f>IF(22&lt;5,0,IF(MAX(U38:Z38)&gt;Z43+6+$B$18,1,0))</f>
        <v/>
      </c>
      <c r="AA55" s="760">
        <f>IF(23&lt;5,0,IF(MAX(V38:AA38)&gt;AA43+6+$B$18,1,0))</f>
        <v/>
      </c>
      <c r="AB55" s="760">
        <f>IF(24&lt;5,0,IF(MAX(W38:AB38)&gt;AB43+6+$B$18,1,0))</f>
        <v/>
      </c>
      <c r="AC55" s="760">
        <f>IF(25&lt;5,0,IF(MAX(X38:AC38)&gt;AC43+6+$B$18,1,0))</f>
        <v/>
      </c>
      <c r="AD55" s="760">
        <f>IF(26&lt;5,0,IF(MAX(Y38:AD38)&gt;AD43+6+$B$18,1,0))</f>
        <v/>
      </c>
      <c r="AE55" s="760">
        <f>IF(27&lt;5,0,IF(MAX(Z38:AE38)&gt;AE43+6+$B$18,1,0))</f>
        <v/>
      </c>
      <c r="AF55" s="760">
        <f>IF(28&lt;5,0,IF(MAX(AA38:AF38)&gt;AF43+6+$B$18,1,0))</f>
        <v/>
      </c>
      <c r="AG55" s="760">
        <f>IF(29&lt;5,0,IF(MAX(AB38:AG38)&gt;AG43+6+$B$18,1,0))</f>
        <v/>
      </c>
      <c r="AH55" s="760">
        <f>IF(30&lt;5,0,IF(MAX(AC38:AH38)&gt;AH43+6+$B$18,1,0))</f>
        <v/>
      </c>
      <c r="AI55" s="760">
        <f>IF(31&lt;5,0,IF(MAX(AD38:AI38)&gt;AI43+6+$B$18,1,0))</f>
        <v/>
      </c>
      <c r="AJ55" s="760">
        <f>IF(32&lt;5,0,IF(MAX(AE38:AJ38)&gt;AJ43+6+$B$18,1,0))</f>
        <v/>
      </c>
      <c r="AK55" s="760">
        <f>IF(33&lt;5,0,IF(MAX(AF38:AK38)&gt;AK43+6+$B$18,1,0))</f>
        <v/>
      </c>
      <c r="AL55" s="760">
        <f>IF(34&lt;5,0,IF(MAX(AG38:AL38)&gt;AL43+6+$B$18,1,0))</f>
        <v/>
      </c>
      <c r="AM55" s="760">
        <f>IF(35&lt;5,0,IF(MAX(AH38:AM38)&gt;AM43+6+$B$18,1,0))</f>
        <v/>
      </c>
      <c r="AN55" s="760">
        <f>IF(36&lt;5,0,IF(MAX(AI38:AN38)&gt;AN43+6+$B$18,1,0))</f>
        <v/>
      </c>
      <c r="AO55" s="760">
        <f>IF(37&lt;5,0,IF(MAX(AJ38:AO38)&gt;AO43+6+$B$18,1,0))</f>
        <v/>
      </c>
      <c r="AP55" s="760">
        <f>IF(38&lt;5,0,IF(MAX(AK38:AP38)&gt;AP43+6+$B$18,1,0))</f>
        <v/>
      </c>
      <c r="AQ55" s="760">
        <f>IF(39&lt;5,0,IF(MAX(AL38:AQ38)&gt;AQ43+6+$B$18,1,0))</f>
        <v/>
      </c>
      <c r="AR55" s="760">
        <f>IF(40&lt;5,0,IF(MAX(AM38:AR38)&gt;AR43+6+$B$18,1,0))</f>
        <v/>
      </c>
      <c r="AS55" s="760">
        <f>IF(41&lt;5,0,IF(MAX(AN38:AS38)&gt;AS43+6+$B$18,1,0))</f>
        <v/>
      </c>
      <c r="AT55" s="760">
        <f>IF(42&lt;5,0,IF(MAX(AO38:AT38)&gt;AT43+6+$B$18,1,0))</f>
        <v/>
      </c>
      <c r="AU55" s="760">
        <f>IF(43&lt;5,0,IF(MAX(AP38:AU38)&gt;AU43+6+$B$18,1,0))</f>
        <v/>
      </c>
      <c r="AV55" s="760">
        <f>IF(44&lt;5,0,IF(MAX(AQ38:AV38)&gt;AV43+6+$B$18,1,0))</f>
        <v/>
      </c>
      <c r="AW55" s="760">
        <f>IF(45&lt;5,0,IF(MAX(AR38:AW38)&gt;AW43+6+$B$18,1,0))</f>
        <v/>
      </c>
      <c r="AX55" s="760">
        <f>IF(46&lt;5,0,IF(MAX(AS38:AX38)&gt;AX43+6+$B$18,1,0))</f>
        <v/>
      </c>
      <c r="AY55" s="760">
        <f>IF(47&lt;5,0,IF(MAX(AT38:AY38)&gt;AY43+6+$B$18,1,0))</f>
        <v/>
      </c>
      <c r="AZ55" s="760">
        <f>IF(48&lt;5,0,IF(MAX(AU38:AZ38)&gt;AZ43+6+$B$18,1,0))</f>
        <v/>
      </c>
      <c r="BA55" s="760">
        <f>IF(49&lt;5,0,IF(MAX(AV38:BA38)&gt;BA43+6+$B$18,1,0))</f>
        <v/>
      </c>
      <c r="BB55" s="760">
        <f>IF(50&lt;5,0,IF(MAX(AW38:BB38)&gt;BB43+6+$B$18,1,0))</f>
        <v/>
      </c>
      <c r="BC55" s="760">
        <f>IF(51&lt;5,0,IF(MAX(AX38:BC38)&gt;BC43+6+$B$18,1,0))</f>
        <v/>
      </c>
      <c r="BD55" s="760">
        <f>IF(52&lt;5,0,IF(MAX(AY38:BD38)&gt;BD43+6+$B$18,1,0))</f>
        <v/>
      </c>
      <c r="BE55" s="760">
        <f>IF(53&lt;5,0,IF(MAX(AZ38:BE38)&gt;BE43+6+$B$18,1,0))</f>
        <v/>
      </c>
      <c r="BF55" s="760">
        <f>IF(54&lt;5,0,IF(MAX(BA38:BF38)&gt;BF43+6+$B$18,1,0))</f>
        <v/>
      </c>
      <c r="BG55" s="760">
        <f>IF(55&lt;5,0,IF(MAX(BB38:BG38)&gt;BG43+6+$B$18,1,0))</f>
        <v/>
      </c>
      <c r="BH55" s="760">
        <f>IF(56&lt;5,0,IF(MAX(BC38:BH38)&gt;BH43+6+$B$18,1,0))</f>
        <v/>
      </c>
      <c r="BI55" s="760">
        <f>IF(57&lt;5,0,IF(MAX(BD38:BI38)&gt;BI43+6+$B$18,1,0))</f>
        <v/>
      </c>
      <c r="BJ55" s="760">
        <f>IF(58&lt;5,0,IF(MAX(BE38:BJ38)&gt;BJ43+6+$B$18,1,0))</f>
        <v/>
      </c>
      <c r="BK55" s="760">
        <f>IF(59&lt;5,0,IF(MAX(BF38:BK38)&gt;BK43+6+$B$18,1,0))</f>
        <v/>
      </c>
      <c r="BL55" s="760">
        <f>IF(60&lt;5,0,IF(MAX(BG38:BL38)&gt;BL43+6+$B$18,1,0))</f>
        <v/>
      </c>
      <c r="BM55" s="760">
        <f>IF(61&lt;5,0,IF(MAX(BH38:BM38)&gt;BM43+6+$B$18,1,0))</f>
        <v/>
      </c>
      <c r="BN55" s="760">
        <f>IF(62&lt;5,0,IF(MAX(BI38:BN38)&gt;BN43+6+$B$18,1,0))</f>
        <v/>
      </c>
      <c r="BO55" s="760">
        <f>IF(63&lt;5,0,IF(MAX(BJ38:BO38)&gt;BO43+6+$B$18,1,0))</f>
        <v/>
      </c>
      <c r="BP55" s="760">
        <f>IF(64&lt;5,0,IF(MAX(BK38:BP38)&gt;BP43+6+$B$18,1,0))</f>
        <v/>
      </c>
      <c r="BQ55" s="760">
        <f>IF(65&lt;5,0,IF(MAX(BL38:BQ38)&gt;BQ43+6+$B$18,1,0))</f>
        <v/>
      </c>
      <c r="BR55" s="760">
        <f>IF(66&lt;5,0,IF(MAX(BM38:BR38)&gt;BR43+6+$B$18,1,0))</f>
        <v/>
      </c>
      <c r="BS55" s="760">
        <f>IF(67&lt;5,0,IF(MAX(BN38:BS38)&gt;BS43+6+$B$18,1,0))</f>
        <v/>
      </c>
      <c r="BT55" s="760">
        <f>IF(68&lt;5,0,IF(MAX(BO38:BT38)&gt;BT43+6+$B$18,1,0))</f>
        <v/>
      </c>
      <c r="BU55" s="760">
        <f>IF(69&lt;5,0,IF(MAX(BP38:BU38)&gt;BU43+6+$B$18,1,0))</f>
        <v/>
      </c>
      <c r="BV55" s="760">
        <f>IF(70&lt;5,0,IF(MAX(BQ38:BV38)&gt;BV43+6+$B$18,1,0))</f>
        <v/>
      </c>
      <c r="BW55" s="760">
        <f>IF(71&lt;5,0,IF(MAX(BR38:BW38)&gt;BW43+6+$B$18,1,0))</f>
        <v/>
      </c>
      <c r="BX55" s="760">
        <f>IF(72&lt;5,0,IF(MAX(BS38:BX38)&gt;BX43+6+$B$18,1,0))</f>
        <v/>
      </c>
      <c r="BY55" s="760">
        <f>IF(73&lt;5,0,IF(MAX(BT38:BY38)&gt;BY43+6+$B$18,1,0))</f>
        <v/>
      </c>
      <c r="BZ55" s="760">
        <f>IF(74&lt;5,0,IF(MAX(BU38:BZ38)&gt;BZ43+6+$B$18,1,0))</f>
        <v/>
      </c>
      <c r="CA55" s="760">
        <f>IF(75&lt;5,0,IF(MAX(BV38:CA38)&gt;CA43+6+$B$18,1,0))</f>
        <v/>
      </c>
      <c r="CB55" s="760">
        <f>IF(76&lt;5,0,IF(MAX(BW38:CB38)&gt;CB43+6+$B$18,1,0))</f>
        <v/>
      </c>
      <c r="CC55" s="760">
        <f>IF(77&lt;5,0,IF(MAX(BX38:CC38)&gt;CC43+6+$B$18,1,0))</f>
        <v/>
      </c>
      <c r="CD55" s="760">
        <f>IF(78&lt;5,0,IF(MAX(BY38:CD38)&gt;CD43+6+$B$18,1,0))</f>
        <v/>
      </c>
      <c r="CE55" s="760">
        <f>IF(79&lt;5,0,IF(MAX(BZ38:CE38)&gt;CE43+6+$B$18,1,0))</f>
        <v/>
      </c>
      <c r="CF55" s="760">
        <f>IF(80&lt;5,0,IF(MAX(CA38:CF38)&gt;CF43+6+$B$18,1,0))</f>
        <v/>
      </c>
      <c r="CG55" s="760">
        <f>IF(81&lt;5,0,IF(MAX(CB38:CG38)&gt;CG43+6+$B$18,1,0))</f>
        <v/>
      </c>
      <c r="CH55" s="760">
        <f>IF(82&lt;5,0,IF(MAX(CC38:CH38)&gt;CH43+6+$B$18,1,0))</f>
        <v/>
      </c>
      <c r="CI55" s="760">
        <f>IF(83&lt;5,0,IF(MAX(CD38:CI38)&gt;CI43+6+$B$18,1,0))</f>
        <v/>
      </c>
      <c r="CJ55" s="760">
        <f>IF(84&lt;5,0,IF(MAX(CE38:CJ38)&gt;CJ43+6+$B$18,1,0))</f>
        <v/>
      </c>
      <c r="CK55" s="760">
        <f>IF(85&lt;5,0,IF(MAX(CF38:CK38)&gt;CK43+6+$B$18,1,0))</f>
        <v/>
      </c>
      <c r="CL55" s="760">
        <f>IF(86&lt;5,0,IF(MAX(CG38:CL38)&gt;CL43+6+$B$18,1,0))</f>
        <v/>
      </c>
      <c r="CM55" s="760">
        <f>IF(87&lt;5,0,IF(MAX(CH38:CM38)&gt;CM43+6+$B$18,1,0))</f>
        <v/>
      </c>
      <c r="CN55" s="760">
        <f>IF(88&lt;5,0,IF(MAX(CI38:CN38)&gt;CN43+6+$B$18,1,0))</f>
        <v/>
      </c>
      <c r="CO55" s="760">
        <f>IF(89&lt;5,0,IF(MAX(CJ38:CO38)&gt;CO43+6+$B$18,1,0))</f>
        <v/>
      </c>
      <c r="CP55" s="760">
        <f>IF(90&lt;5,0,IF(MAX(CK38:CP38)&gt;CP43+6+$B$18,1,0))</f>
        <v/>
      </c>
      <c r="CQ55" s="760">
        <f>IF(91&lt;5,0,IF(MAX(CL38:CQ38)&gt;CQ43+6+$B$18,1,0))</f>
        <v/>
      </c>
      <c r="CR55" s="760">
        <f>IF(92&lt;5,0,IF(MAX(CM38:CR38)&gt;CR43+6+$B$18,1,0))</f>
        <v/>
      </c>
      <c r="CS55" s="760">
        <f>IF(93&lt;5,0,IF(MAX(CN38:CS38)&gt;CS43+6+$B$18,1,0))</f>
        <v/>
      </c>
      <c r="CT55" s="760">
        <f>IF(94&lt;5,0,IF(MAX(CO38:CT38)&gt;CT43+6+$B$18,1,0))</f>
        <v/>
      </c>
      <c r="CU55" s="760">
        <f>IF(95&lt;5,0,IF(MAX(CP38:CU38)&gt;CU43+6+$B$18,1,0))</f>
        <v/>
      </c>
      <c r="CV55" s="760">
        <f>IF(96&lt;5,0,IF(MAX(CQ38:CV38)&gt;CV43+6+$B$18,1,0))</f>
        <v/>
      </c>
      <c r="CW55" s="760">
        <f>IF(97&lt;5,0,IF(MAX(CR38:CW38)&gt;CW43+6+$B$18,1,0))</f>
        <v/>
      </c>
      <c r="CX55" s="760">
        <f>IF(98&lt;5,0,IF(MAX(CS38:CX38)&gt;CX43+6+$B$18,1,0))</f>
        <v/>
      </c>
      <c r="CY55" s="760">
        <f>IF(99&lt;5,0,IF(MAX(CT38:CY38)&gt;CY43+6+$B$18,1,0))</f>
        <v/>
      </c>
      <c r="CZ55" s="760">
        <f>IF(100&lt;5,0,IF(MAX(CU38:CZ38)&gt;CZ43+6+$B$18,1,0))</f>
        <v/>
      </c>
      <c r="DA55" s="760">
        <f>IF(101&lt;5,0,IF(MAX(CV38:DA38)&gt;DA43+6+$B$18,1,0))</f>
        <v/>
      </c>
      <c r="DB55" s="760">
        <f>IF(102&lt;5,0,IF(MAX(CW38:DB38)&gt;DB43+6+$B$18,1,0))</f>
        <v/>
      </c>
      <c r="DC55" s="760">
        <f>IF(103&lt;5,0,IF(MAX(CX38:DC38)&gt;DC43+6+$B$18,1,0))</f>
        <v/>
      </c>
      <c r="DD55" s="760">
        <f>IF(104&lt;5,0,IF(MAX(CY38:DD38)&gt;DD43+6+$B$18,1,0))</f>
        <v/>
      </c>
      <c r="DE55" s="760">
        <f>IF(105&lt;5,0,IF(MAX(CZ38:DE38)&gt;DE43+6+$B$18,1,0))</f>
        <v/>
      </c>
    </row>
    <row r="56">
      <c r="A56" s="586" t="inlineStr">
        <is>
          <t>Superintendent slot 8</t>
        </is>
      </c>
      <c r="B56" s="587">
        <f>$B$27</f>
        <v/>
      </c>
      <c r="E56" s="760">
        <f>IF(1&lt;5,0,IF(MAX(E38:E38)&gt;E43+7+$B$18,1,0))</f>
        <v/>
      </c>
      <c r="F56" s="760">
        <f>IF(2&lt;5,0,IF(MAX(E38:F38)&gt;F43+7+$B$18,1,0))</f>
        <v/>
      </c>
      <c r="G56" s="760">
        <f>IF(3&lt;5,0,IF(MAX(E38:G38)&gt;G43+7+$B$18,1,0))</f>
        <v/>
      </c>
      <c r="H56" s="760">
        <f>IF(4&lt;5,0,IF(MAX(E38:H38)&gt;H43+7+$B$18,1,0))</f>
        <v/>
      </c>
      <c r="I56" s="760">
        <f>IF(5&lt;5,0,IF(MAX(E38:I38)&gt;I43+7+$B$18,1,0))</f>
        <v/>
      </c>
      <c r="J56" s="760">
        <f>IF(6&lt;5,0,IF(MAX(E38:J38)&gt;J43+7+$B$18,1,0))</f>
        <v/>
      </c>
      <c r="K56" s="760">
        <f>IF(7&lt;5,0,IF(MAX(F38:K38)&gt;K43+7+$B$18,1,0))</f>
        <v/>
      </c>
      <c r="L56" s="760">
        <f>IF(8&lt;5,0,IF(MAX(G38:L38)&gt;L43+7+$B$18,1,0))</f>
        <v/>
      </c>
      <c r="M56" s="760">
        <f>IF(9&lt;5,0,IF(MAX(H38:M38)&gt;M43+7+$B$18,1,0))</f>
        <v/>
      </c>
      <c r="N56" s="760">
        <f>IF(10&lt;5,0,IF(MAX(I38:N38)&gt;N43+7+$B$18,1,0))</f>
        <v/>
      </c>
      <c r="O56" s="760">
        <f>IF(11&lt;5,0,IF(MAX(J38:O38)&gt;O43+7+$B$18,1,0))</f>
        <v/>
      </c>
      <c r="P56" s="760">
        <f>IF(12&lt;5,0,IF(MAX(K38:P38)&gt;P43+7+$B$18,1,0))</f>
        <v/>
      </c>
      <c r="Q56" s="760">
        <f>IF(13&lt;5,0,IF(MAX(L38:Q38)&gt;Q43+7+$B$18,1,0))</f>
        <v/>
      </c>
      <c r="R56" s="760">
        <f>IF(14&lt;5,0,IF(MAX(M38:R38)&gt;R43+7+$B$18,1,0))</f>
        <v/>
      </c>
      <c r="S56" s="760">
        <f>IF(15&lt;5,0,IF(MAX(N38:S38)&gt;S43+7+$B$18,1,0))</f>
        <v/>
      </c>
      <c r="T56" s="760">
        <f>IF(16&lt;5,0,IF(MAX(O38:T38)&gt;T43+7+$B$18,1,0))</f>
        <v/>
      </c>
      <c r="U56" s="760">
        <f>IF(17&lt;5,0,IF(MAX(P38:U38)&gt;U43+7+$B$18,1,0))</f>
        <v/>
      </c>
      <c r="V56" s="760">
        <f>IF(18&lt;5,0,IF(MAX(Q38:V38)&gt;V43+7+$B$18,1,0))</f>
        <v/>
      </c>
      <c r="W56" s="760">
        <f>IF(19&lt;5,0,IF(MAX(R38:W38)&gt;W43+7+$B$18,1,0))</f>
        <v/>
      </c>
      <c r="X56" s="760">
        <f>IF(20&lt;5,0,IF(MAX(S38:X38)&gt;X43+7+$B$18,1,0))</f>
        <v/>
      </c>
      <c r="Y56" s="760">
        <f>IF(21&lt;5,0,IF(MAX(T38:Y38)&gt;Y43+7+$B$18,1,0))</f>
        <v/>
      </c>
      <c r="Z56" s="760">
        <f>IF(22&lt;5,0,IF(MAX(U38:Z38)&gt;Z43+7+$B$18,1,0))</f>
        <v/>
      </c>
      <c r="AA56" s="760">
        <f>IF(23&lt;5,0,IF(MAX(V38:AA38)&gt;AA43+7+$B$18,1,0))</f>
        <v/>
      </c>
      <c r="AB56" s="760">
        <f>IF(24&lt;5,0,IF(MAX(W38:AB38)&gt;AB43+7+$B$18,1,0))</f>
        <v/>
      </c>
      <c r="AC56" s="760">
        <f>IF(25&lt;5,0,IF(MAX(X38:AC38)&gt;AC43+7+$B$18,1,0))</f>
        <v/>
      </c>
      <c r="AD56" s="760">
        <f>IF(26&lt;5,0,IF(MAX(Y38:AD38)&gt;AD43+7+$B$18,1,0))</f>
        <v/>
      </c>
      <c r="AE56" s="760">
        <f>IF(27&lt;5,0,IF(MAX(Z38:AE38)&gt;AE43+7+$B$18,1,0))</f>
        <v/>
      </c>
      <c r="AF56" s="760">
        <f>IF(28&lt;5,0,IF(MAX(AA38:AF38)&gt;AF43+7+$B$18,1,0))</f>
        <v/>
      </c>
      <c r="AG56" s="760">
        <f>IF(29&lt;5,0,IF(MAX(AB38:AG38)&gt;AG43+7+$B$18,1,0))</f>
        <v/>
      </c>
      <c r="AH56" s="760">
        <f>IF(30&lt;5,0,IF(MAX(AC38:AH38)&gt;AH43+7+$B$18,1,0))</f>
        <v/>
      </c>
      <c r="AI56" s="760">
        <f>IF(31&lt;5,0,IF(MAX(AD38:AI38)&gt;AI43+7+$B$18,1,0))</f>
        <v/>
      </c>
      <c r="AJ56" s="760">
        <f>IF(32&lt;5,0,IF(MAX(AE38:AJ38)&gt;AJ43+7+$B$18,1,0))</f>
        <v/>
      </c>
      <c r="AK56" s="760">
        <f>IF(33&lt;5,0,IF(MAX(AF38:AK38)&gt;AK43+7+$B$18,1,0))</f>
        <v/>
      </c>
      <c r="AL56" s="760">
        <f>IF(34&lt;5,0,IF(MAX(AG38:AL38)&gt;AL43+7+$B$18,1,0))</f>
        <v/>
      </c>
      <c r="AM56" s="760">
        <f>IF(35&lt;5,0,IF(MAX(AH38:AM38)&gt;AM43+7+$B$18,1,0))</f>
        <v/>
      </c>
      <c r="AN56" s="760">
        <f>IF(36&lt;5,0,IF(MAX(AI38:AN38)&gt;AN43+7+$B$18,1,0))</f>
        <v/>
      </c>
      <c r="AO56" s="760">
        <f>IF(37&lt;5,0,IF(MAX(AJ38:AO38)&gt;AO43+7+$B$18,1,0))</f>
        <v/>
      </c>
      <c r="AP56" s="760">
        <f>IF(38&lt;5,0,IF(MAX(AK38:AP38)&gt;AP43+7+$B$18,1,0))</f>
        <v/>
      </c>
      <c r="AQ56" s="760">
        <f>IF(39&lt;5,0,IF(MAX(AL38:AQ38)&gt;AQ43+7+$B$18,1,0))</f>
        <v/>
      </c>
      <c r="AR56" s="760">
        <f>IF(40&lt;5,0,IF(MAX(AM38:AR38)&gt;AR43+7+$B$18,1,0))</f>
        <v/>
      </c>
      <c r="AS56" s="760">
        <f>IF(41&lt;5,0,IF(MAX(AN38:AS38)&gt;AS43+7+$B$18,1,0))</f>
        <v/>
      </c>
      <c r="AT56" s="760">
        <f>IF(42&lt;5,0,IF(MAX(AO38:AT38)&gt;AT43+7+$B$18,1,0))</f>
        <v/>
      </c>
      <c r="AU56" s="760">
        <f>IF(43&lt;5,0,IF(MAX(AP38:AU38)&gt;AU43+7+$B$18,1,0))</f>
        <v/>
      </c>
      <c r="AV56" s="760">
        <f>IF(44&lt;5,0,IF(MAX(AQ38:AV38)&gt;AV43+7+$B$18,1,0))</f>
        <v/>
      </c>
      <c r="AW56" s="760">
        <f>IF(45&lt;5,0,IF(MAX(AR38:AW38)&gt;AW43+7+$B$18,1,0))</f>
        <v/>
      </c>
      <c r="AX56" s="760">
        <f>IF(46&lt;5,0,IF(MAX(AS38:AX38)&gt;AX43+7+$B$18,1,0))</f>
        <v/>
      </c>
      <c r="AY56" s="760">
        <f>IF(47&lt;5,0,IF(MAX(AT38:AY38)&gt;AY43+7+$B$18,1,0))</f>
        <v/>
      </c>
      <c r="AZ56" s="760">
        <f>IF(48&lt;5,0,IF(MAX(AU38:AZ38)&gt;AZ43+7+$B$18,1,0))</f>
        <v/>
      </c>
      <c r="BA56" s="760">
        <f>IF(49&lt;5,0,IF(MAX(AV38:BA38)&gt;BA43+7+$B$18,1,0))</f>
        <v/>
      </c>
      <c r="BB56" s="760">
        <f>IF(50&lt;5,0,IF(MAX(AW38:BB38)&gt;BB43+7+$B$18,1,0))</f>
        <v/>
      </c>
      <c r="BC56" s="760">
        <f>IF(51&lt;5,0,IF(MAX(AX38:BC38)&gt;BC43+7+$B$18,1,0))</f>
        <v/>
      </c>
      <c r="BD56" s="760">
        <f>IF(52&lt;5,0,IF(MAX(AY38:BD38)&gt;BD43+7+$B$18,1,0))</f>
        <v/>
      </c>
      <c r="BE56" s="760">
        <f>IF(53&lt;5,0,IF(MAX(AZ38:BE38)&gt;BE43+7+$B$18,1,0))</f>
        <v/>
      </c>
      <c r="BF56" s="760">
        <f>IF(54&lt;5,0,IF(MAX(BA38:BF38)&gt;BF43+7+$B$18,1,0))</f>
        <v/>
      </c>
      <c r="BG56" s="760">
        <f>IF(55&lt;5,0,IF(MAX(BB38:BG38)&gt;BG43+7+$B$18,1,0))</f>
        <v/>
      </c>
      <c r="BH56" s="760">
        <f>IF(56&lt;5,0,IF(MAX(BC38:BH38)&gt;BH43+7+$B$18,1,0))</f>
        <v/>
      </c>
      <c r="BI56" s="760">
        <f>IF(57&lt;5,0,IF(MAX(BD38:BI38)&gt;BI43+7+$B$18,1,0))</f>
        <v/>
      </c>
      <c r="BJ56" s="760">
        <f>IF(58&lt;5,0,IF(MAX(BE38:BJ38)&gt;BJ43+7+$B$18,1,0))</f>
        <v/>
      </c>
      <c r="BK56" s="760">
        <f>IF(59&lt;5,0,IF(MAX(BF38:BK38)&gt;BK43+7+$B$18,1,0))</f>
        <v/>
      </c>
      <c r="BL56" s="760">
        <f>IF(60&lt;5,0,IF(MAX(BG38:BL38)&gt;BL43+7+$B$18,1,0))</f>
        <v/>
      </c>
      <c r="BM56" s="760">
        <f>IF(61&lt;5,0,IF(MAX(BH38:BM38)&gt;BM43+7+$B$18,1,0))</f>
        <v/>
      </c>
      <c r="BN56" s="760">
        <f>IF(62&lt;5,0,IF(MAX(BI38:BN38)&gt;BN43+7+$B$18,1,0))</f>
        <v/>
      </c>
      <c r="BO56" s="760">
        <f>IF(63&lt;5,0,IF(MAX(BJ38:BO38)&gt;BO43+7+$B$18,1,0))</f>
        <v/>
      </c>
      <c r="BP56" s="760">
        <f>IF(64&lt;5,0,IF(MAX(BK38:BP38)&gt;BP43+7+$B$18,1,0))</f>
        <v/>
      </c>
      <c r="BQ56" s="760">
        <f>IF(65&lt;5,0,IF(MAX(BL38:BQ38)&gt;BQ43+7+$B$18,1,0))</f>
        <v/>
      </c>
      <c r="BR56" s="760">
        <f>IF(66&lt;5,0,IF(MAX(BM38:BR38)&gt;BR43+7+$B$18,1,0))</f>
        <v/>
      </c>
      <c r="BS56" s="760">
        <f>IF(67&lt;5,0,IF(MAX(BN38:BS38)&gt;BS43+7+$B$18,1,0))</f>
        <v/>
      </c>
      <c r="BT56" s="760">
        <f>IF(68&lt;5,0,IF(MAX(BO38:BT38)&gt;BT43+7+$B$18,1,0))</f>
        <v/>
      </c>
      <c r="BU56" s="760">
        <f>IF(69&lt;5,0,IF(MAX(BP38:BU38)&gt;BU43+7+$B$18,1,0))</f>
        <v/>
      </c>
      <c r="BV56" s="760">
        <f>IF(70&lt;5,0,IF(MAX(BQ38:BV38)&gt;BV43+7+$B$18,1,0))</f>
        <v/>
      </c>
      <c r="BW56" s="760">
        <f>IF(71&lt;5,0,IF(MAX(BR38:BW38)&gt;BW43+7+$B$18,1,0))</f>
        <v/>
      </c>
      <c r="BX56" s="760">
        <f>IF(72&lt;5,0,IF(MAX(BS38:BX38)&gt;BX43+7+$B$18,1,0))</f>
        <v/>
      </c>
      <c r="BY56" s="760">
        <f>IF(73&lt;5,0,IF(MAX(BT38:BY38)&gt;BY43+7+$B$18,1,0))</f>
        <v/>
      </c>
      <c r="BZ56" s="760">
        <f>IF(74&lt;5,0,IF(MAX(BU38:BZ38)&gt;BZ43+7+$B$18,1,0))</f>
        <v/>
      </c>
      <c r="CA56" s="760">
        <f>IF(75&lt;5,0,IF(MAX(BV38:CA38)&gt;CA43+7+$B$18,1,0))</f>
        <v/>
      </c>
      <c r="CB56" s="760">
        <f>IF(76&lt;5,0,IF(MAX(BW38:CB38)&gt;CB43+7+$B$18,1,0))</f>
        <v/>
      </c>
      <c r="CC56" s="760">
        <f>IF(77&lt;5,0,IF(MAX(BX38:CC38)&gt;CC43+7+$B$18,1,0))</f>
        <v/>
      </c>
      <c r="CD56" s="760">
        <f>IF(78&lt;5,0,IF(MAX(BY38:CD38)&gt;CD43+7+$B$18,1,0))</f>
        <v/>
      </c>
      <c r="CE56" s="760">
        <f>IF(79&lt;5,0,IF(MAX(BZ38:CE38)&gt;CE43+7+$B$18,1,0))</f>
        <v/>
      </c>
      <c r="CF56" s="760">
        <f>IF(80&lt;5,0,IF(MAX(CA38:CF38)&gt;CF43+7+$B$18,1,0))</f>
        <v/>
      </c>
      <c r="CG56" s="760">
        <f>IF(81&lt;5,0,IF(MAX(CB38:CG38)&gt;CG43+7+$B$18,1,0))</f>
        <v/>
      </c>
      <c r="CH56" s="760">
        <f>IF(82&lt;5,0,IF(MAX(CC38:CH38)&gt;CH43+7+$B$18,1,0))</f>
        <v/>
      </c>
      <c r="CI56" s="760">
        <f>IF(83&lt;5,0,IF(MAX(CD38:CI38)&gt;CI43+7+$B$18,1,0))</f>
        <v/>
      </c>
      <c r="CJ56" s="760">
        <f>IF(84&lt;5,0,IF(MAX(CE38:CJ38)&gt;CJ43+7+$B$18,1,0))</f>
        <v/>
      </c>
      <c r="CK56" s="760">
        <f>IF(85&lt;5,0,IF(MAX(CF38:CK38)&gt;CK43+7+$B$18,1,0))</f>
        <v/>
      </c>
      <c r="CL56" s="760">
        <f>IF(86&lt;5,0,IF(MAX(CG38:CL38)&gt;CL43+7+$B$18,1,0))</f>
        <v/>
      </c>
      <c r="CM56" s="760">
        <f>IF(87&lt;5,0,IF(MAX(CH38:CM38)&gt;CM43+7+$B$18,1,0))</f>
        <v/>
      </c>
      <c r="CN56" s="760">
        <f>IF(88&lt;5,0,IF(MAX(CI38:CN38)&gt;CN43+7+$B$18,1,0))</f>
        <v/>
      </c>
      <c r="CO56" s="760">
        <f>IF(89&lt;5,0,IF(MAX(CJ38:CO38)&gt;CO43+7+$B$18,1,0))</f>
        <v/>
      </c>
      <c r="CP56" s="760">
        <f>IF(90&lt;5,0,IF(MAX(CK38:CP38)&gt;CP43+7+$B$18,1,0))</f>
        <v/>
      </c>
      <c r="CQ56" s="760">
        <f>IF(91&lt;5,0,IF(MAX(CL38:CQ38)&gt;CQ43+7+$B$18,1,0))</f>
        <v/>
      </c>
      <c r="CR56" s="760">
        <f>IF(92&lt;5,0,IF(MAX(CM38:CR38)&gt;CR43+7+$B$18,1,0))</f>
        <v/>
      </c>
      <c r="CS56" s="760">
        <f>IF(93&lt;5,0,IF(MAX(CN38:CS38)&gt;CS43+7+$B$18,1,0))</f>
        <v/>
      </c>
      <c r="CT56" s="760">
        <f>IF(94&lt;5,0,IF(MAX(CO38:CT38)&gt;CT43+7+$B$18,1,0))</f>
        <v/>
      </c>
      <c r="CU56" s="760">
        <f>IF(95&lt;5,0,IF(MAX(CP38:CU38)&gt;CU43+7+$B$18,1,0))</f>
        <v/>
      </c>
      <c r="CV56" s="760">
        <f>IF(96&lt;5,0,IF(MAX(CQ38:CV38)&gt;CV43+7+$B$18,1,0))</f>
        <v/>
      </c>
      <c r="CW56" s="760">
        <f>IF(97&lt;5,0,IF(MAX(CR38:CW38)&gt;CW43+7+$B$18,1,0))</f>
        <v/>
      </c>
      <c r="CX56" s="760">
        <f>IF(98&lt;5,0,IF(MAX(CS38:CX38)&gt;CX43+7+$B$18,1,0))</f>
        <v/>
      </c>
      <c r="CY56" s="760">
        <f>IF(99&lt;5,0,IF(MAX(CT38:CY38)&gt;CY43+7+$B$18,1,0))</f>
        <v/>
      </c>
      <c r="CZ56" s="760">
        <f>IF(100&lt;5,0,IF(MAX(CU38:CZ38)&gt;CZ43+7+$B$18,1,0))</f>
        <v/>
      </c>
      <c r="DA56" s="760">
        <f>IF(101&lt;5,0,IF(MAX(CV38:DA38)&gt;DA43+7+$B$18,1,0))</f>
        <v/>
      </c>
      <c r="DB56" s="760">
        <f>IF(102&lt;5,0,IF(MAX(CW38:DB38)&gt;DB43+7+$B$18,1,0))</f>
        <v/>
      </c>
      <c r="DC56" s="760">
        <f>IF(103&lt;5,0,IF(MAX(CX38:DC38)&gt;DC43+7+$B$18,1,0))</f>
        <v/>
      </c>
      <c r="DD56" s="760">
        <f>IF(104&lt;5,0,IF(MAX(CY38:DD38)&gt;DD43+7+$B$18,1,0))</f>
        <v/>
      </c>
      <c r="DE56" s="760">
        <f>IF(105&lt;5,0,IF(MAX(CZ38:DE38)&gt;DE43+7+$B$18,1,0))</f>
        <v/>
      </c>
    </row>
    <row r="57">
      <c r="A57" s="586" t="inlineStr">
        <is>
          <t>Superintendent slot 9</t>
        </is>
      </c>
      <c r="B57" s="587">
        <f>$B$27</f>
        <v/>
      </c>
      <c r="E57" s="760">
        <f>IF(1&lt;5,0,IF(MAX(E38:E38)&gt;E43+8+$B$18,1,0))</f>
        <v/>
      </c>
      <c r="F57" s="760">
        <f>IF(2&lt;5,0,IF(MAX(E38:F38)&gt;F43+8+$B$18,1,0))</f>
        <v/>
      </c>
      <c r="G57" s="760">
        <f>IF(3&lt;5,0,IF(MAX(E38:G38)&gt;G43+8+$B$18,1,0))</f>
        <v/>
      </c>
      <c r="H57" s="760">
        <f>IF(4&lt;5,0,IF(MAX(E38:H38)&gt;H43+8+$B$18,1,0))</f>
        <v/>
      </c>
      <c r="I57" s="760">
        <f>IF(5&lt;5,0,IF(MAX(E38:I38)&gt;I43+8+$B$18,1,0))</f>
        <v/>
      </c>
      <c r="J57" s="760">
        <f>IF(6&lt;5,0,IF(MAX(E38:J38)&gt;J43+8+$B$18,1,0))</f>
        <v/>
      </c>
      <c r="K57" s="760">
        <f>IF(7&lt;5,0,IF(MAX(F38:K38)&gt;K43+8+$B$18,1,0))</f>
        <v/>
      </c>
      <c r="L57" s="760">
        <f>IF(8&lt;5,0,IF(MAX(G38:L38)&gt;L43+8+$B$18,1,0))</f>
        <v/>
      </c>
      <c r="M57" s="760">
        <f>IF(9&lt;5,0,IF(MAX(H38:M38)&gt;M43+8+$B$18,1,0))</f>
        <v/>
      </c>
      <c r="N57" s="760">
        <f>IF(10&lt;5,0,IF(MAX(I38:N38)&gt;N43+8+$B$18,1,0))</f>
        <v/>
      </c>
      <c r="O57" s="760">
        <f>IF(11&lt;5,0,IF(MAX(J38:O38)&gt;O43+8+$B$18,1,0))</f>
        <v/>
      </c>
      <c r="P57" s="760">
        <f>IF(12&lt;5,0,IF(MAX(K38:P38)&gt;P43+8+$B$18,1,0))</f>
        <v/>
      </c>
      <c r="Q57" s="760">
        <f>IF(13&lt;5,0,IF(MAX(L38:Q38)&gt;Q43+8+$B$18,1,0))</f>
        <v/>
      </c>
      <c r="R57" s="760">
        <f>IF(14&lt;5,0,IF(MAX(M38:R38)&gt;R43+8+$B$18,1,0))</f>
        <v/>
      </c>
      <c r="S57" s="760">
        <f>IF(15&lt;5,0,IF(MAX(N38:S38)&gt;S43+8+$B$18,1,0))</f>
        <v/>
      </c>
      <c r="T57" s="760">
        <f>IF(16&lt;5,0,IF(MAX(O38:T38)&gt;T43+8+$B$18,1,0))</f>
        <v/>
      </c>
      <c r="U57" s="760">
        <f>IF(17&lt;5,0,IF(MAX(P38:U38)&gt;U43+8+$B$18,1,0))</f>
        <v/>
      </c>
      <c r="V57" s="760">
        <f>IF(18&lt;5,0,IF(MAX(Q38:V38)&gt;V43+8+$B$18,1,0))</f>
        <v/>
      </c>
      <c r="W57" s="760">
        <f>IF(19&lt;5,0,IF(MAX(R38:W38)&gt;W43+8+$B$18,1,0))</f>
        <v/>
      </c>
      <c r="X57" s="760">
        <f>IF(20&lt;5,0,IF(MAX(S38:X38)&gt;X43+8+$B$18,1,0))</f>
        <v/>
      </c>
      <c r="Y57" s="760">
        <f>IF(21&lt;5,0,IF(MAX(T38:Y38)&gt;Y43+8+$B$18,1,0))</f>
        <v/>
      </c>
      <c r="Z57" s="760">
        <f>IF(22&lt;5,0,IF(MAX(U38:Z38)&gt;Z43+8+$B$18,1,0))</f>
        <v/>
      </c>
      <c r="AA57" s="760">
        <f>IF(23&lt;5,0,IF(MAX(V38:AA38)&gt;AA43+8+$B$18,1,0))</f>
        <v/>
      </c>
      <c r="AB57" s="760">
        <f>IF(24&lt;5,0,IF(MAX(W38:AB38)&gt;AB43+8+$B$18,1,0))</f>
        <v/>
      </c>
      <c r="AC57" s="760">
        <f>IF(25&lt;5,0,IF(MAX(X38:AC38)&gt;AC43+8+$B$18,1,0))</f>
        <v/>
      </c>
      <c r="AD57" s="760">
        <f>IF(26&lt;5,0,IF(MAX(Y38:AD38)&gt;AD43+8+$B$18,1,0))</f>
        <v/>
      </c>
      <c r="AE57" s="760">
        <f>IF(27&lt;5,0,IF(MAX(Z38:AE38)&gt;AE43+8+$B$18,1,0))</f>
        <v/>
      </c>
      <c r="AF57" s="760">
        <f>IF(28&lt;5,0,IF(MAX(AA38:AF38)&gt;AF43+8+$B$18,1,0))</f>
        <v/>
      </c>
      <c r="AG57" s="760">
        <f>IF(29&lt;5,0,IF(MAX(AB38:AG38)&gt;AG43+8+$B$18,1,0))</f>
        <v/>
      </c>
      <c r="AH57" s="760">
        <f>IF(30&lt;5,0,IF(MAX(AC38:AH38)&gt;AH43+8+$B$18,1,0))</f>
        <v/>
      </c>
      <c r="AI57" s="760">
        <f>IF(31&lt;5,0,IF(MAX(AD38:AI38)&gt;AI43+8+$B$18,1,0))</f>
        <v/>
      </c>
      <c r="AJ57" s="760">
        <f>IF(32&lt;5,0,IF(MAX(AE38:AJ38)&gt;AJ43+8+$B$18,1,0))</f>
        <v/>
      </c>
      <c r="AK57" s="760">
        <f>IF(33&lt;5,0,IF(MAX(AF38:AK38)&gt;AK43+8+$B$18,1,0))</f>
        <v/>
      </c>
      <c r="AL57" s="760">
        <f>IF(34&lt;5,0,IF(MAX(AG38:AL38)&gt;AL43+8+$B$18,1,0))</f>
        <v/>
      </c>
      <c r="AM57" s="760">
        <f>IF(35&lt;5,0,IF(MAX(AH38:AM38)&gt;AM43+8+$B$18,1,0))</f>
        <v/>
      </c>
      <c r="AN57" s="760">
        <f>IF(36&lt;5,0,IF(MAX(AI38:AN38)&gt;AN43+8+$B$18,1,0))</f>
        <v/>
      </c>
      <c r="AO57" s="760">
        <f>IF(37&lt;5,0,IF(MAX(AJ38:AO38)&gt;AO43+8+$B$18,1,0))</f>
        <v/>
      </c>
      <c r="AP57" s="760">
        <f>IF(38&lt;5,0,IF(MAX(AK38:AP38)&gt;AP43+8+$B$18,1,0))</f>
        <v/>
      </c>
      <c r="AQ57" s="760">
        <f>IF(39&lt;5,0,IF(MAX(AL38:AQ38)&gt;AQ43+8+$B$18,1,0))</f>
        <v/>
      </c>
      <c r="AR57" s="760">
        <f>IF(40&lt;5,0,IF(MAX(AM38:AR38)&gt;AR43+8+$B$18,1,0))</f>
        <v/>
      </c>
      <c r="AS57" s="760">
        <f>IF(41&lt;5,0,IF(MAX(AN38:AS38)&gt;AS43+8+$B$18,1,0))</f>
        <v/>
      </c>
      <c r="AT57" s="760">
        <f>IF(42&lt;5,0,IF(MAX(AO38:AT38)&gt;AT43+8+$B$18,1,0))</f>
        <v/>
      </c>
      <c r="AU57" s="760">
        <f>IF(43&lt;5,0,IF(MAX(AP38:AU38)&gt;AU43+8+$B$18,1,0))</f>
        <v/>
      </c>
      <c r="AV57" s="760">
        <f>IF(44&lt;5,0,IF(MAX(AQ38:AV38)&gt;AV43+8+$B$18,1,0))</f>
        <v/>
      </c>
      <c r="AW57" s="760">
        <f>IF(45&lt;5,0,IF(MAX(AR38:AW38)&gt;AW43+8+$B$18,1,0))</f>
        <v/>
      </c>
      <c r="AX57" s="760">
        <f>IF(46&lt;5,0,IF(MAX(AS38:AX38)&gt;AX43+8+$B$18,1,0))</f>
        <v/>
      </c>
      <c r="AY57" s="760">
        <f>IF(47&lt;5,0,IF(MAX(AT38:AY38)&gt;AY43+8+$B$18,1,0))</f>
        <v/>
      </c>
      <c r="AZ57" s="760">
        <f>IF(48&lt;5,0,IF(MAX(AU38:AZ38)&gt;AZ43+8+$B$18,1,0))</f>
        <v/>
      </c>
      <c r="BA57" s="760">
        <f>IF(49&lt;5,0,IF(MAX(AV38:BA38)&gt;BA43+8+$B$18,1,0))</f>
        <v/>
      </c>
      <c r="BB57" s="760">
        <f>IF(50&lt;5,0,IF(MAX(AW38:BB38)&gt;BB43+8+$B$18,1,0))</f>
        <v/>
      </c>
      <c r="BC57" s="760">
        <f>IF(51&lt;5,0,IF(MAX(AX38:BC38)&gt;BC43+8+$B$18,1,0))</f>
        <v/>
      </c>
      <c r="BD57" s="760">
        <f>IF(52&lt;5,0,IF(MAX(AY38:BD38)&gt;BD43+8+$B$18,1,0))</f>
        <v/>
      </c>
      <c r="BE57" s="760">
        <f>IF(53&lt;5,0,IF(MAX(AZ38:BE38)&gt;BE43+8+$B$18,1,0))</f>
        <v/>
      </c>
      <c r="BF57" s="760">
        <f>IF(54&lt;5,0,IF(MAX(BA38:BF38)&gt;BF43+8+$B$18,1,0))</f>
        <v/>
      </c>
      <c r="BG57" s="760">
        <f>IF(55&lt;5,0,IF(MAX(BB38:BG38)&gt;BG43+8+$B$18,1,0))</f>
        <v/>
      </c>
      <c r="BH57" s="760">
        <f>IF(56&lt;5,0,IF(MAX(BC38:BH38)&gt;BH43+8+$B$18,1,0))</f>
        <v/>
      </c>
      <c r="BI57" s="760">
        <f>IF(57&lt;5,0,IF(MAX(BD38:BI38)&gt;BI43+8+$B$18,1,0))</f>
        <v/>
      </c>
      <c r="BJ57" s="760">
        <f>IF(58&lt;5,0,IF(MAX(BE38:BJ38)&gt;BJ43+8+$B$18,1,0))</f>
        <v/>
      </c>
      <c r="BK57" s="760">
        <f>IF(59&lt;5,0,IF(MAX(BF38:BK38)&gt;BK43+8+$B$18,1,0))</f>
        <v/>
      </c>
      <c r="BL57" s="760">
        <f>IF(60&lt;5,0,IF(MAX(BG38:BL38)&gt;BL43+8+$B$18,1,0))</f>
        <v/>
      </c>
      <c r="BM57" s="760">
        <f>IF(61&lt;5,0,IF(MAX(BH38:BM38)&gt;BM43+8+$B$18,1,0))</f>
        <v/>
      </c>
      <c r="BN57" s="760">
        <f>IF(62&lt;5,0,IF(MAX(BI38:BN38)&gt;BN43+8+$B$18,1,0))</f>
        <v/>
      </c>
      <c r="BO57" s="760">
        <f>IF(63&lt;5,0,IF(MAX(BJ38:BO38)&gt;BO43+8+$B$18,1,0))</f>
        <v/>
      </c>
      <c r="BP57" s="760">
        <f>IF(64&lt;5,0,IF(MAX(BK38:BP38)&gt;BP43+8+$B$18,1,0))</f>
        <v/>
      </c>
      <c r="BQ57" s="760">
        <f>IF(65&lt;5,0,IF(MAX(BL38:BQ38)&gt;BQ43+8+$B$18,1,0))</f>
        <v/>
      </c>
      <c r="BR57" s="760">
        <f>IF(66&lt;5,0,IF(MAX(BM38:BR38)&gt;BR43+8+$B$18,1,0))</f>
        <v/>
      </c>
      <c r="BS57" s="760">
        <f>IF(67&lt;5,0,IF(MAX(BN38:BS38)&gt;BS43+8+$B$18,1,0))</f>
        <v/>
      </c>
      <c r="BT57" s="760">
        <f>IF(68&lt;5,0,IF(MAX(BO38:BT38)&gt;BT43+8+$B$18,1,0))</f>
        <v/>
      </c>
      <c r="BU57" s="760">
        <f>IF(69&lt;5,0,IF(MAX(BP38:BU38)&gt;BU43+8+$B$18,1,0))</f>
        <v/>
      </c>
      <c r="BV57" s="760">
        <f>IF(70&lt;5,0,IF(MAX(BQ38:BV38)&gt;BV43+8+$B$18,1,0))</f>
        <v/>
      </c>
      <c r="BW57" s="760">
        <f>IF(71&lt;5,0,IF(MAX(BR38:BW38)&gt;BW43+8+$B$18,1,0))</f>
        <v/>
      </c>
      <c r="BX57" s="760">
        <f>IF(72&lt;5,0,IF(MAX(BS38:BX38)&gt;BX43+8+$B$18,1,0))</f>
        <v/>
      </c>
      <c r="BY57" s="760">
        <f>IF(73&lt;5,0,IF(MAX(BT38:BY38)&gt;BY43+8+$B$18,1,0))</f>
        <v/>
      </c>
      <c r="BZ57" s="760">
        <f>IF(74&lt;5,0,IF(MAX(BU38:BZ38)&gt;BZ43+8+$B$18,1,0))</f>
        <v/>
      </c>
      <c r="CA57" s="760">
        <f>IF(75&lt;5,0,IF(MAX(BV38:CA38)&gt;CA43+8+$B$18,1,0))</f>
        <v/>
      </c>
      <c r="CB57" s="760">
        <f>IF(76&lt;5,0,IF(MAX(BW38:CB38)&gt;CB43+8+$B$18,1,0))</f>
        <v/>
      </c>
      <c r="CC57" s="760">
        <f>IF(77&lt;5,0,IF(MAX(BX38:CC38)&gt;CC43+8+$B$18,1,0))</f>
        <v/>
      </c>
      <c r="CD57" s="760">
        <f>IF(78&lt;5,0,IF(MAX(BY38:CD38)&gt;CD43+8+$B$18,1,0))</f>
        <v/>
      </c>
      <c r="CE57" s="760">
        <f>IF(79&lt;5,0,IF(MAX(BZ38:CE38)&gt;CE43+8+$B$18,1,0))</f>
        <v/>
      </c>
      <c r="CF57" s="760">
        <f>IF(80&lt;5,0,IF(MAX(CA38:CF38)&gt;CF43+8+$B$18,1,0))</f>
        <v/>
      </c>
      <c r="CG57" s="760">
        <f>IF(81&lt;5,0,IF(MAX(CB38:CG38)&gt;CG43+8+$B$18,1,0))</f>
        <v/>
      </c>
      <c r="CH57" s="760">
        <f>IF(82&lt;5,0,IF(MAX(CC38:CH38)&gt;CH43+8+$B$18,1,0))</f>
        <v/>
      </c>
      <c r="CI57" s="760">
        <f>IF(83&lt;5,0,IF(MAX(CD38:CI38)&gt;CI43+8+$B$18,1,0))</f>
        <v/>
      </c>
      <c r="CJ57" s="760">
        <f>IF(84&lt;5,0,IF(MAX(CE38:CJ38)&gt;CJ43+8+$B$18,1,0))</f>
        <v/>
      </c>
      <c r="CK57" s="760">
        <f>IF(85&lt;5,0,IF(MAX(CF38:CK38)&gt;CK43+8+$B$18,1,0))</f>
        <v/>
      </c>
      <c r="CL57" s="760">
        <f>IF(86&lt;5,0,IF(MAX(CG38:CL38)&gt;CL43+8+$B$18,1,0))</f>
        <v/>
      </c>
      <c r="CM57" s="760">
        <f>IF(87&lt;5,0,IF(MAX(CH38:CM38)&gt;CM43+8+$B$18,1,0))</f>
        <v/>
      </c>
      <c r="CN57" s="760">
        <f>IF(88&lt;5,0,IF(MAX(CI38:CN38)&gt;CN43+8+$B$18,1,0))</f>
        <v/>
      </c>
      <c r="CO57" s="760">
        <f>IF(89&lt;5,0,IF(MAX(CJ38:CO38)&gt;CO43+8+$B$18,1,0))</f>
        <v/>
      </c>
      <c r="CP57" s="760">
        <f>IF(90&lt;5,0,IF(MAX(CK38:CP38)&gt;CP43+8+$B$18,1,0))</f>
        <v/>
      </c>
      <c r="CQ57" s="760">
        <f>IF(91&lt;5,0,IF(MAX(CL38:CQ38)&gt;CQ43+8+$B$18,1,0))</f>
        <v/>
      </c>
      <c r="CR57" s="760">
        <f>IF(92&lt;5,0,IF(MAX(CM38:CR38)&gt;CR43+8+$B$18,1,0))</f>
        <v/>
      </c>
      <c r="CS57" s="760">
        <f>IF(93&lt;5,0,IF(MAX(CN38:CS38)&gt;CS43+8+$B$18,1,0))</f>
        <v/>
      </c>
      <c r="CT57" s="760">
        <f>IF(94&lt;5,0,IF(MAX(CO38:CT38)&gt;CT43+8+$B$18,1,0))</f>
        <v/>
      </c>
      <c r="CU57" s="760">
        <f>IF(95&lt;5,0,IF(MAX(CP38:CU38)&gt;CU43+8+$B$18,1,0))</f>
        <v/>
      </c>
      <c r="CV57" s="760">
        <f>IF(96&lt;5,0,IF(MAX(CQ38:CV38)&gt;CV43+8+$B$18,1,0))</f>
        <v/>
      </c>
      <c r="CW57" s="760">
        <f>IF(97&lt;5,0,IF(MAX(CR38:CW38)&gt;CW43+8+$B$18,1,0))</f>
        <v/>
      </c>
      <c r="CX57" s="760">
        <f>IF(98&lt;5,0,IF(MAX(CS38:CX38)&gt;CX43+8+$B$18,1,0))</f>
        <v/>
      </c>
      <c r="CY57" s="760">
        <f>IF(99&lt;5,0,IF(MAX(CT38:CY38)&gt;CY43+8+$B$18,1,0))</f>
        <v/>
      </c>
      <c r="CZ57" s="760">
        <f>IF(100&lt;5,0,IF(MAX(CU38:CZ38)&gt;CZ43+8+$B$18,1,0))</f>
        <v/>
      </c>
      <c r="DA57" s="760">
        <f>IF(101&lt;5,0,IF(MAX(CV38:DA38)&gt;DA43+8+$B$18,1,0))</f>
        <v/>
      </c>
      <c r="DB57" s="760">
        <f>IF(102&lt;5,0,IF(MAX(CW38:DB38)&gt;DB43+8+$B$18,1,0))</f>
        <v/>
      </c>
      <c r="DC57" s="760">
        <f>IF(103&lt;5,0,IF(MAX(CX38:DC38)&gt;DC43+8+$B$18,1,0))</f>
        <v/>
      </c>
      <c r="DD57" s="760">
        <f>IF(104&lt;5,0,IF(MAX(CY38:DD38)&gt;DD43+8+$B$18,1,0))</f>
        <v/>
      </c>
      <c r="DE57" s="760">
        <f>IF(105&lt;5,0,IF(MAX(CZ38:DE38)&gt;DE43+8+$B$18,1,0))</f>
        <v/>
      </c>
    </row>
    <row r="58">
      <c r="A58" s="586" t="inlineStr">
        <is>
          <t>Superintendent slot 10</t>
        </is>
      </c>
      <c r="B58" s="587">
        <f>$B$27</f>
        <v/>
      </c>
      <c r="E58" s="760">
        <f>IF(1&lt;5,0,IF(MAX(E38:E38)&gt;E43+9+$B$18,1,0))</f>
        <v/>
      </c>
      <c r="F58" s="760">
        <f>IF(2&lt;5,0,IF(MAX(E38:F38)&gt;F43+9+$B$18,1,0))</f>
        <v/>
      </c>
      <c r="G58" s="760">
        <f>IF(3&lt;5,0,IF(MAX(E38:G38)&gt;G43+9+$B$18,1,0))</f>
        <v/>
      </c>
      <c r="H58" s="760">
        <f>IF(4&lt;5,0,IF(MAX(E38:H38)&gt;H43+9+$B$18,1,0))</f>
        <v/>
      </c>
      <c r="I58" s="760">
        <f>IF(5&lt;5,0,IF(MAX(E38:I38)&gt;I43+9+$B$18,1,0))</f>
        <v/>
      </c>
      <c r="J58" s="760">
        <f>IF(6&lt;5,0,IF(MAX(E38:J38)&gt;J43+9+$B$18,1,0))</f>
        <v/>
      </c>
      <c r="K58" s="760">
        <f>IF(7&lt;5,0,IF(MAX(F38:K38)&gt;K43+9+$B$18,1,0))</f>
        <v/>
      </c>
      <c r="L58" s="760">
        <f>IF(8&lt;5,0,IF(MAX(G38:L38)&gt;L43+9+$B$18,1,0))</f>
        <v/>
      </c>
      <c r="M58" s="760">
        <f>IF(9&lt;5,0,IF(MAX(H38:M38)&gt;M43+9+$B$18,1,0))</f>
        <v/>
      </c>
      <c r="N58" s="760">
        <f>IF(10&lt;5,0,IF(MAX(I38:N38)&gt;N43+9+$B$18,1,0))</f>
        <v/>
      </c>
      <c r="O58" s="760">
        <f>IF(11&lt;5,0,IF(MAX(J38:O38)&gt;O43+9+$B$18,1,0))</f>
        <v/>
      </c>
      <c r="P58" s="760">
        <f>IF(12&lt;5,0,IF(MAX(K38:P38)&gt;P43+9+$B$18,1,0))</f>
        <v/>
      </c>
      <c r="Q58" s="760">
        <f>IF(13&lt;5,0,IF(MAX(L38:Q38)&gt;Q43+9+$B$18,1,0))</f>
        <v/>
      </c>
      <c r="R58" s="760">
        <f>IF(14&lt;5,0,IF(MAX(M38:R38)&gt;R43+9+$B$18,1,0))</f>
        <v/>
      </c>
      <c r="S58" s="760">
        <f>IF(15&lt;5,0,IF(MAX(N38:S38)&gt;S43+9+$B$18,1,0))</f>
        <v/>
      </c>
      <c r="T58" s="760">
        <f>IF(16&lt;5,0,IF(MAX(O38:T38)&gt;T43+9+$B$18,1,0))</f>
        <v/>
      </c>
      <c r="U58" s="760">
        <f>IF(17&lt;5,0,IF(MAX(P38:U38)&gt;U43+9+$B$18,1,0))</f>
        <v/>
      </c>
      <c r="V58" s="760">
        <f>IF(18&lt;5,0,IF(MAX(Q38:V38)&gt;V43+9+$B$18,1,0))</f>
        <v/>
      </c>
      <c r="W58" s="760">
        <f>IF(19&lt;5,0,IF(MAX(R38:W38)&gt;W43+9+$B$18,1,0))</f>
        <v/>
      </c>
      <c r="X58" s="760">
        <f>IF(20&lt;5,0,IF(MAX(S38:X38)&gt;X43+9+$B$18,1,0))</f>
        <v/>
      </c>
      <c r="Y58" s="760">
        <f>IF(21&lt;5,0,IF(MAX(T38:Y38)&gt;Y43+9+$B$18,1,0))</f>
        <v/>
      </c>
      <c r="Z58" s="760">
        <f>IF(22&lt;5,0,IF(MAX(U38:Z38)&gt;Z43+9+$B$18,1,0))</f>
        <v/>
      </c>
      <c r="AA58" s="760">
        <f>IF(23&lt;5,0,IF(MAX(V38:AA38)&gt;AA43+9+$B$18,1,0))</f>
        <v/>
      </c>
      <c r="AB58" s="760">
        <f>IF(24&lt;5,0,IF(MAX(W38:AB38)&gt;AB43+9+$B$18,1,0))</f>
        <v/>
      </c>
      <c r="AC58" s="760">
        <f>IF(25&lt;5,0,IF(MAX(X38:AC38)&gt;AC43+9+$B$18,1,0))</f>
        <v/>
      </c>
      <c r="AD58" s="760">
        <f>IF(26&lt;5,0,IF(MAX(Y38:AD38)&gt;AD43+9+$B$18,1,0))</f>
        <v/>
      </c>
      <c r="AE58" s="760">
        <f>IF(27&lt;5,0,IF(MAX(Z38:AE38)&gt;AE43+9+$B$18,1,0))</f>
        <v/>
      </c>
      <c r="AF58" s="760">
        <f>IF(28&lt;5,0,IF(MAX(AA38:AF38)&gt;AF43+9+$B$18,1,0))</f>
        <v/>
      </c>
      <c r="AG58" s="760">
        <f>IF(29&lt;5,0,IF(MAX(AB38:AG38)&gt;AG43+9+$B$18,1,0))</f>
        <v/>
      </c>
      <c r="AH58" s="760">
        <f>IF(30&lt;5,0,IF(MAX(AC38:AH38)&gt;AH43+9+$B$18,1,0))</f>
        <v/>
      </c>
      <c r="AI58" s="760">
        <f>IF(31&lt;5,0,IF(MAX(AD38:AI38)&gt;AI43+9+$B$18,1,0))</f>
        <v/>
      </c>
      <c r="AJ58" s="760">
        <f>IF(32&lt;5,0,IF(MAX(AE38:AJ38)&gt;AJ43+9+$B$18,1,0))</f>
        <v/>
      </c>
      <c r="AK58" s="760">
        <f>IF(33&lt;5,0,IF(MAX(AF38:AK38)&gt;AK43+9+$B$18,1,0))</f>
        <v/>
      </c>
      <c r="AL58" s="760">
        <f>IF(34&lt;5,0,IF(MAX(AG38:AL38)&gt;AL43+9+$B$18,1,0))</f>
        <v/>
      </c>
      <c r="AM58" s="760">
        <f>IF(35&lt;5,0,IF(MAX(AH38:AM38)&gt;AM43+9+$B$18,1,0))</f>
        <v/>
      </c>
      <c r="AN58" s="760">
        <f>IF(36&lt;5,0,IF(MAX(AI38:AN38)&gt;AN43+9+$B$18,1,0))</f>
        <v/>
      </c>
      <c r="AO58" s="760">
        <f>IF(37&lt;5,0,IF(MAX(AJ38:AO38)&gt;AO43+9+$B$18,1,0))</f>
        <v/>
      </c>
      <c r="AP58" s="760">
        <f>IF(38&lt;5,0,IF(MAX(AK38:AP38)&gt;AP43+9+$B$18,1,0))</f>
        <v/>
      </c>
      <c r="AQ58" s="760">
        <f>IF(39&lt;5,0,IF(MAX(AL38:AQ38)&gt;AQ43+9+$B$18,1,0))</f>
        <v/>
      </c>
      <c r="AR58" s="760">
        <f>IF(40&lt;5,0,IF(MAX(AM38:AR38)&gt;AR43+9+$B$18,1,0))</f>
        <v/>
      </c>
      <c r="AS58" s="760">
        <f>IF(41&lt;5,0,IF(MAX(AN38:AS38)&gt;AS43+9+$B$18,1,0))</f>
        <v/>
      </c>
      <c r="AT58" s="760">
        <f>IF(42&lt;5,0,IF(MAX(AO38:AT38)&gt;AT43+9+$B$18,1,0))</f>
        <v/>
      </c>
      <c r="AU58" s="760">
        <f>IF(43&lt;5,0,IF(MAX(AP38:AU38)&gt;AU43+9+$B$18,1,0))</f>
        <v/>
      </c>
      <c r="AV58" s="760">
        <f>IF(44&lt;5,0,IF(MAX(AQ38:AV38)&gt;AV43+9+$B$18,1,0))</f>
        <v/>
      </c>
      <c r="AW58" s="760">
        <f>IF(45&lt;5,0,IF(MAX(AR38:AW38)&gt;AW43+9+$B$18,1,0))</f>
        <v/>
      </c>
      <c r="AX58" s="760">
        <f>IF(46&lt;5,0,IF(MAX(AS38:AX38)&gt;AX43+9+$B$18,1,0))</f>
        <v/>
      </c>
      <c r="AY58" s="760">
        <f>IF(47&lt;5,0,IF(MAX(AT38:AY38)&gt;AY43+9+$B$18,1,0))</f>
        <v/>
      </c>
      <c r="AZ58" s="760">
        <f>IF(48&lt;5,0,IF(MAX(AU38:AZ38)&gt;AZ43+9+$B$18,1,0))</f>
        <v/>
      </c>
      <c r="BA58" s="760">
        <f>IF(49&lt;5,0,IF(MAX(AV38:BA38)&gt;BA43+9+$B$18,1,0))</f>
        <v/>
      </c>
      <c r="BB58" s="760">
        <f>IF(50&lt;5,0,IF(MAX(AW38:BB38)&gt;BB43+9+$B$18,1,0))</f>
        <v/>
      </c>
      <c r="BC58" s="760">
        <f>IF(51&lt;5,0,IF(MAX(AX38:BC38)&gt;BC43+9+$B$18,1,0))</f>
        <v/>
      </c>
      <c r="BD58" s="760">
        <f>IF(52&lt;5,0,IF(MAX(AY38:BD38)&gt;BD43+9+$B$18,1,0))</f>
        <v/>
      </c>
      <c r="BE58" s="760">
        <f>IF(53&lt;5,0,IF(MAX(AZ38:BE38)&gt;BE43+9+$B$18,1,0))</f>
        <v/>
      </c>
      <c r="BF58" s="760">
        <f>IF(54&lt;5,0,IF(MAX(BA38:BF38)&gt;BF43+9+$B$18,1,0))</f>
        <v/>
      </c>
      <c r="BG58" s="760">
        <f>IF(55&lt;5,0,IF(MAX(BB38:BG38)&gt;BG43+9+$B$18,1,0))</f>
        <v/>
      </c>
      <c r="BH58" s="760">
        <f>IF(56&lt;5,0,IF(MAX(BC38:BH38)&gt;BH43+9+$B$18,1,0))</f>
        <v/>
      </c>
      <c r="BI58" s="760">
        <f>IF(57&lt;5,0,IF(MAX(BD38:BI38)&gt;BI43+9+$B$18,1,0))</f>
        <v/>
      </c>
      <c r="BJ58" s="760">
        <f>IF(58&lt;5,0,IF(MAX(BE38:BJ38)&gt;BJ43+9+$B$18,1,0))</f>
        <v/>
      </c>
      <c r="BK58" s="760">
        <f>IF(59&lt;5,0,IF(MAX(BF38:BK38)&gt;BK43+9+$B$18,1,0))</f>
        <v/>
      </c>
      <c r="BL58" s="760">
        <f>IF(60&lt;5,0,IF(MAX(BG38:BL38)&gt;BL43+9+$B$18,1,0))</f>
        <v/>
      </c>
      <c r="BM58" s="760">
        <f>IF(61&lt;5,0,IF(MAX(BH38:BM38)&gt;BM43+9+$B$18,1,0))</f>
        <v/>
      </c>
      <c r="BN58" s="760">
        <f>IF(62&lt;5,0,IF(MAX(BI38:BN38)&gt;BN43+9+$B$18,1,0))</f>
        <v/>
      </c>
      <c r="BO58" s="760">
        <f>IF(63&lt;5,0,IF(MAX(BJ38:BO38)&gt;BO43+9+$B$18,1,0))</f>
        <v/>
      </c>
      <c r="BP58" s="760">
        <f>IF(64&lt;5,0,IF(MAX(BK38:BP38)&gt;BP43+9+$B$18,1,0))</f>
        <v/>
      </c>
      <c r="BQ58" s="760">
        <f>IF(65&lt;5,0,IF(MAX(BL38:BQ38)&gt;BQ43+9+$B$18,1,0))</f>
        <v/>
      </c>
      <c r="BR58" s="760">
        <f>IF(66&lt;5,0,IF(MAX(BM38:BR38)&gt;BR43+9+$B$18,1,0))</f>
        <v/>
      </c>
      <c r="BS58" s="760">
        <f>IF(67&lt;5,0,IF(MAX(BN38:BS38)&gt;BS43+9+$B$18,1,0))</f>
        <v/>
      </c>
      <c r="BT58" s="760">
        <f>IF(68&lt;5,0,IF(MAX(BO38:BT38)&gt;BT43+9+$B$18,1,0))</f>
        <v/>
      </c>
      <c r="BU58" s="760">
        <f>IF(69&lt;5,0,IF(MAX(BP38:BU38)&gt;BU43+9+$B$18,1,0))</f>
        <v/>
      </c>
      <c r="BV58" s="760">
        <f>IF(70&lt;5,0,IF(MAX(BQ38:BV38)&gt;BV43+9+$B$18,1,0))</f>
        <v/>
      </c>
      <c r="BW58" s="760">
        <f>IF(71&lt;5,0,IF(MAX(BR38:BW38)&gt;BW43+9+$B$18,1,0))</f>
        <v/>
      </c>
      <c r="BX58" s="760">
        <f>IF(72&lt;5,0,IF(MAX(BS38:BX38)&gt;BX43+9+$B$18,1,0))</f>
        <v/>
      </c>
      <c r="BY58" s="760">
        <f>IF(73&lt;5,0,IF(MAX(BT38:BY38)&gt;BY43+9+$B$18,1,0))</f>
        <v/>
      </c>
      <c r="BZ58" s="760">
        <f>IF(74&lt;5,0,IF(MAX(BU38:BZ38)&gt;BZ43+9+$B$18,1,0))</f>
        <v/>
      </c>
      <c r="CA58" s="760">
        <f>IF(75&lt;5,0,IF(MAX(BV38:CA38)&gt;CA43+9+$B$18,1,0))</f>
        <v/>
      </c>
      <c r="CB58" s="760">
        <f>IF(76&lt;5,0,IF(MAX(BW38:CB38)&gt;CB43+9+$B$18,1,0))</f>
        <v/>
      </c>
      <c r="CC58" s="760">
        <f>IF(77&lt;5,0,IF(MAX(BX38:CC38)&gt;CC43+9+$B$18,1,0))</f>
        <v/>
      </c>
      <c r="CD58" s="760">
        <f>IF(78&lt;5,0,IF(MAX(BY38:CD38)&gt;CD43+9+$B$18,1,0))</f>
        <v/>
      </c>
      <c r="CE58" s="760">
        <f>IF(79&lt;5,0,IF(MAX(BZ38:CE38)&gt;CE43+9+$B$18,1,0))</f>
        <v/>
      </c>
      <c r="CF58" s="760">
        <f>IF(80&lt;5,0,IF(MAX(CA38:CF38)&gt;CF43+9+$B$18,1,0))</f>
        <v/>
      </c>
      <c r="CG58" s="760">
        <f>IF(81&lt;5,0,IF(MAX(CB38:CG38)&gt;CG43+9+$B$18,1,0))</f>
        <v/>
      </c>
      <c r="CH58" s="760">
        <f>IF(82&lt;5,0,IF(MAX(CC38:CH38)&gt;CH43+9+$B$18,1,0))</f>
        <v/>
      </c>
      <c r="CI58" s="760">
        <f>IF(83&lt;5,0,IF(MAX(CD38:CI38)&gt;CI43+9+$B$18,1,0))</f>
        <v/>
      </c>
      <c r="CJ58" s="760">
        <f>IF(84&lt;5,0,IF(MAX(CE38:CJ38)&gt;CJ43+9+$B$18,1,0))</f>
        <v/>
      </c>
      <c r="CK58" s="760">
        <f>IF(85&lt;5,0,IF(MAX(CF38:CK38)&gt;CK43+9+$B$18,1,0))</f>
        <v/>
      </c>
      <c r="CL58" s="760">
        <f>IF(86&lt;5,0,IF(MAX(CG38:CL38)&gt;CL43+9+$B$18,1,0))</f>
        <v/>
      </c>
      <c r="CM58" s="760">
        <f>IF(87&lt;5,0,IF(MAX(CH38:CM38)&gt;CM43+9+$B$18,1,0))</f>
        <v/>
      </c>
      <c r="CN58" s="760">
        <f>IF(88&lt;5,0,IF(MAX(CI38:CN38)&gt;CN43+9+$B$18,1,0))</f>
        <v/>
      </c>
      <c r="CO58" s="760">
        <f>IF(89&lt;5,0,IF(MAX(CJ38:CO38)&gt;CO43+9+$B$18,1,0))</f>
        <v/>
      </c>
      <c r="CP58" s="760">
        <f>IF(90&lt;5,0,IF(MAX(CK38:CP38)&gt;CP43+9+$B$18,1,0))</f>
        <v/>
      </c>
      <c r="CQ58" s="760">
        <f>IF(91&lt;5,0,IF(MAX(CL38:CQ38)&gt;CQ43+9+$B$18,1,0))</f>
        <v/>
      </c>
      <c r="CR58" s="760">
        <f>IF(92&lt;5,0,IF(MAX(CM38:CR38)&gt;CR43+9+$B$18,1,0))</f>
        <v/>
      </c>
      <c r="CS58" s="760">
        <f>IF(93&lt;5,0,IF(MAX(CN38:CS38)&gt;CS43+9+$B$18,1,0))</f>
        <v/>
      </c>
      <c r="CT58" s="760">
        <f>IF(94&lt;5,0,IF(MAX(CO38:CT38)&gt;CT43+9+$B$18,1,0))</f>
        <v/>
      </c>
      <c r="CU58" s="760">
        <f>IF(95&lt;5,0,IF(MAX(CP38:CU38)&gt;CU43+9+$B$18,1,0))</f>
        <v/>
      </c>
      <c r="CV58" s="760">
        <f>IF(96&lt;5,0,IF(MAX(CQ38:CV38)&gt;CV43+9+$B$18,1,0))</f>
        <v/>
      </c>
      <c r="CW58" s="760">
        <f>IF(97&lt;5,0,IF(MAX(CR38:CW38)&gt;CW43+9+$B$18,1,0))</f>
        <v/>
      </c>
      <c r="CX58" s="760">
        <f>IF(98&lt;5,0,IF(MAX(CS38:CX38)&gt;CX43+9+$B$18,1,0))</f>
        <v/>
      </c>
      <c r="CY58" s="760">
        <f>IF(99&lt;5,0,IF(MAX(CT38:CY38)&gt;CY43+9+$B$18,1,0))</f>
        <v/>
      </c>
      <c r="CZ58" s="760">
        <f>IF(100&lt;5,0,IF(MAX(CU38:CZ38)&gt;CZ43+9+$B$18,1,0))</f>
        <v/>
      </c>
      <c r="DA58" s="760">
        <f>IF(101&lt;5,0,IF(MAX(CV38:DA38)&gt;DA43+9+$B$18,1,0))</f>
        <v/>
      </c>
      <c r="DB58" s="760">
        <f>IF(102&lt;5,0,IF(MAX(CW38:DB38)&gt;DB43+9+$B$18,1,0))</f>
        <v/>
      </c>
      <c r="DC58" s="760">
        <f>IF(103&lt;5,0,IF(MAX(CX38:DC38)&gt;DC43+9+$B$18,1,0))</f>
        <v/>
      </c>
      <c r="DD58" s="760">
        <f>IF(104&lt;5,0,IF(MAX(CY38:DD38)&gt;DD43+9+$B$18,1,0))</f>
        <v/>
      </c>
      <c r="DE58" s="760">
        <f>IF(105&lt;5,0,IF(MAX(CZ38:DE38)&gt;DE43+9+$B$18,1,0))</f>
        <v/>
      </c>
    </row>
    <row r="59">
      <c r="E59" s="580" t="n"/>
      <c r="F59" s="580" t="n"/>
      <c r="G59" s="580" t="n"/>
      <c r="H59" s="580" t="n"/>
      <c r="I59" s="580" t="n"/>
      <c r="J59" s="580" t="n"/>
      <c r="K59" s="580" t="n"/>
      <c r="L59" s="580" t="n"/>
      <c r="M59" s="580" t="n"/>
      <c r="N59" s="580" t="n"/>
      <c r="O59" s="580" t="n"/>
      <c r="P59" s="580" t="n"/>
      <c r="Q59" s="580" t="n"/>
      <c r="R59" s="580" t="n"/>
      <c r="S59" s="580" t="n"/>
      <c r="T59" s="580" t="n"/>
      <c r="U59" s="580" t="n"/>
      <c r="V59" s="580" t="n"/>
      <c r="W59" s="580" t="n"/>
      <c r="X59" s="580" t="n"/>
      <c r="Y59" s="580" t="n"/>
      <c r="Z59" s="580" t="n"/>
      <c r="AA59" s="580" t="n"/>
      <c r="AB59" s="580" t="n"/>
      <c r="AC59" s="580" t="n"/>
      <c r="AD59" s="580" t="n"/>
      <c r="AE59" s="580" t="n"/>
      <c r="AF59" s="580" t="n"/>
      <c r="AG59" s="580" t="n"/>
      <c r="AH59" s="580" t="n"/>
      <c r="AI59" s="580" t="n"/>
      <c r="AJ59" s="580" t="n"/>
      <c r="AK59" s="580" t="n"/>
      <c r="AL59" s="580" t="n"/>
      <c r="AM59" s="580" t="n"/>
      <c r="AN59" s="580" t="n"/>
      <c r="AO59" s="580" t="n"/>
      <c r="AP59" s="580" t="n"/>
      <c r="AQ59" s="580" t="n"/>
      <c r="AR59" s="580" t="n"/>
      <c r="AS59" s="580" t="n"/>
      <c r="AT59" s="580" t="n"/>
      <c r="AU59" s="580" t="n"/>
      <c r="AV59" s="580" t="n"/>
      <c r="AW59" s="580" t="n"/>
      <c r="AX59" s="580" t="n"/>
      <c r="AY59" s="580" t="n"/>
      <c r="AZ59" s="580" t="n"/>
      <c r="BA59" s="580" t="n"/>
      <c r="BB59" s="580" t="n"/>
      <c r="BC59" s="580" t="n"/>
      <c r="BD59" s="580" t="n"/>
      <c r="BE59" s="580" t="n"/>
      <c r="BF59" s="580" t="n"/>
      <c r="BG59" s="580" t="n"/>
      <c r="BH59" s="580" t="n"/>
      <c r="BI59" s="580" t="n"/>
      <c r="BJ59" s="580" t="n"/>
      <c r="BK59" s="580" t="n"/>
      <c r="BL59" s="580" t="n"/>
      <c r="BM59" s="580" t="n"/>
      <c r="BN59" s="580" t="n"/>
      <c r="BO59" s="580" t="n"/>
      <c r="BP59" s="580" t="n"/>
      <c r="BQ59" s="580" t="n"/>
      <c r="BR59" s="580" t="n"/>
      <c r="BS59" s="580" t="n"/>
      <c r="BT59" s="580" t="n"/>
      <c r="BU59" s="580" t="n"/>
      <c r="BV59" s="580" t="n"/>
      <c r="BW59" s="580" t="n"/>
      <c r="BX59" s="580" t="n"/>
      <c r="BY59" s="580" t="n"/>
      <c r="BZ59" s="580" t="n"/>
      <c r="CA59" s="580" t="n"/>
      <c r="CB59" s="580" t="n"/>
      <c r="CC59" s="580" t="n"/>
      <c r="CD59" s="580" t="n"/>
      <c r="CE59" s="580" t="n"/>
      <c r="CF59" s="580" t="n"/>
      <c r="CG59" s="580" t="n"/>
      <c r="CH59" s="580" t="n"/>
      <c r="CI59" s="580" t="n"/>
      <c r="CJ59" s="580" t="n"/>
      <c r="CK59" s="580" t="n"/>
      <c r="CL59" s="580" t="n"/>
      <c r="CM59" s="580" t="n"/>
      <c r="CN59" s="580" t="n"/>
      <c r="CO59" s="580" t="n"/>
      <c r="CP59" s="580" t="n"/>
      <c r="CQ59" s="580" t="n"/>
      <c r="CR59" s="580" t="n"/>
      <c r="CS59" s="580" t="n"/>
      <c r="CT59" s="580" t="n"/>
      <c r="CU59" s="580" t="n"/>
      <c r="CV59" s="580" t="n"/>
      <c r="CW59" s="580" t="n"/>
      <c r="CX59" s="580" t="n"/>
      <c r="CY59" s="580" t="n"/>
      <c r="CZ59" s="580" t="n"/>
      <c r="DA59" s="580" t="n"/>
      <c r="DB59" s="580" t="n"/>
      <c r="DC59" s="580" t="n"/>
      <c r="DD59" s="580" t="n"/>
      <c r="DE59" s="580" t="n"/>
    </row>
    <row r="60">
      <c r="E60" s="580" t="n"/>
      <c r="F60" s="580" t="n"/>
      <c r="G60" s="580" t="n"/>
      <c r="H60" s="580" t="n"/>
      <c r="I60" s="580" t="n"/>
      <c r="J60" s="580" t="n"/>
      <c r="K60" s="580" t="n"/>
      <c r="L60" s="580" t="n"/>
      <c r="M60" s="580" t="n"/>
      <c r="N60" s="580" t="n"/>
      <c r="O60" s="580" t="n"/>
      <c r="P60" s="580" t="n"/>
      <c r="Q60" s="580" t="n"/>
      <c r="R60" s="580" t="n"/>
      <c r="S60" s="580" t="n"/>
      <c r="T60" s="580" t="n"/>
      <c r="U60" s="580" t="n"/>
      <c r="V60" s="580" t="n"/>
      <c r="W60" s="580" t="n"/>
      <c r="X60" s="580" t="n"/>
      <c r="Y60" s="580" t="n"/>
      <c r="Z60" s="580" t="n"/>
      <c r="AA60" s="580" t="n"/>
      <c r="AB60" s="580" t="n"/>
      <c r="AC60" s="580" t="n"/>
      <c r="AD60" s="580" t="n"/>
      <c r="AE60" s="580" t="n"/>
      <c r="AF60" s="580" t="n"/>
      <c r="AG60" s="580" t="n"/>
      <c r="AH60" s="580" t="n"/>
      <c r="AI60" s="580" t="n"/>
      <c r="AJ60" s="580" t="n"/>
      <c r="AK60" s="580" t="n"/>
      <c r="AL60" s="580" t="n"/>
      <c r="AM60" s="580" t="n"/>
      <c r="AN60" s="580" t="n"/>
      <c r="AO60" s="580" t="n"/>
      <c r="AP60" s="580" t="n"/>
      <c r="AQ60" s="580" t="n"/>
      <c r="AR60" s="580" t="n"/>
      <c r="AS60" s="580" t="n"/>
      <c r="AT60" s="580" t="n"/>
      <c r="AU60" s="580" t="n"/>
      <c r="AV60" s="580" t="n"/>
      <c r="AW60" s="580" t="n"/>
      <c r="AX60" s="580" t="n"/>
      <c r="AY60" s="580" t="n"/>
      <c r="AZ60" s="580" t="n"/>
      <c r="BA60" s="580" t="n"/>
      <c r="BB60" s="580" t="n"/>
      <c r="BC60" s="580" t="n"/>
      <c r="BD60" s="580" t="n"/>
      <c r="BE60" s="580" t="n"/>
      <c r="BF60" s="580" t="n"/>
      <c r="BG60" s="580" t="n"/>
      <c r="BH60" s="580" t="n"/>
      <c r="BI60" s="580" t="n"/>
      <c r="BJ60" s="580" t="n"/>
      <c r="BK60" s="580" t="n"/>
      <c r="BL60" s="580" t="n"/>
      <c r="BM60" s="580" t="n"/>
      <c r="BN60" s="580" t="n"/>
      <c r="BO60" s="580" t="n"/>
      <c r="BP60" s="580" t="n"/>
      <c r="BQ60" s="580" t="n"/>
      <c r="BR60" s="580" t="n"/>
      <c r="BS60" s="580" t="n"/>
      <c r="BT60" s="580" t="n"/>
      <c r="BU60" s="580" t="n"/>
      <c r="BV60" s="580" t="n"/>
      <c r="BW60" s="580" t="n"/>
      <c r="BX60" s="580" t="n"/>
      <c r="BY60" s="580" t="n"/>
      <c r="BZ60" s="580" t="n"/>
      <c r="CA60" s="580" t="n"/>
      <c r="CB60" s="580" t="n"/>
      <c r="CC60" s="580" t="n"/>
      <c r="CD60" s="580" t="n"/>
      <c r="CE60" s="580" t="n"/>
      <c r="CF60" s="580" t="n"/>
      <c r="CG60" s="580" t="n"/>
      <c r="CH60" s="580" t="n"/>
      <c r="CI60" s="580" t="n"/>
      <c r="CJ60" s="580" t="n"/>
      <c r="CK60" s="580" t="n"/>
      <c r="CL60" s="580" t="n"/>
      <c r="CM60" s="580" t="n"/>
      <c r="CN60" s="580" t="n"/>
      <c r="CO60" s="580" t="n"/>
      <c r="CP60" s="580" t="n"/>
      <c r="CQ60" s="580" t="n"/>
      <c r="CR60" s="580" t="n"/>
      <c r="CS60" s="580" t="n"/>
      <c r="CT60" s="580" t="n"/>
      <c r="CU60" s="580" t="n"/>
      <c r="CV60" s="580" t="n"/>
      <c r="CW60" s="580" t="n"/>
      <c r="CX60" s="580" t="n"/>
      <c r="CY60" s="580" t="n"/>
      <c r="CZ60" s="580" t="n"/>
      <c r="DA60" s="580" t="n"/>
      <c r="DB60" s="580" t="n"/>
      <c r="DC60" s="580" t="n"/>
      <c r="DD60" s="580" t="n"/>
      <c r="DE60" s="580" t="n"/>
    </row>
    <row r="61">
      <c r="A61" s="586" t="inlineStr">
        <is>
          <t>APM slot 1</t>
        </is>
      </c>
      <c r="B61" s="587">
        <f>$B$28</f>
        <v/>
      </c>
      <c r="E61" s="760">
        <f>IF(1&lt;5,0,IF(MAX(E39:E39)&gt;E44+0+$B$18,1,0))</f>
        <v/>
      </c>
      <c r="F61" s="760">
        <f>IF(2&lt;5,0,IF(MAX(E39:F39)&gt;F44+0+$B$18,1,0))</f>
        <v/>
      </c>
      <c r="G61" s="760">
        <f>IF(3&lt;5,0,IF(MAX(E39:G39)&gt;G44+0+$B$18,1,0))</f>
        <v/>
      </c>
      <c r="H61" s="760">
        <f>IF(4&lt;5,0,IF(MAX(E39:H39)&gt;H44+0+$B$18,1,0))</f>
        <v/>
      </c>
      <c r="I61" s="760">
        <f>IF(5&lt;5,0,IF(MAX(E39:I39)&gt;I44+0+$B$18,1,0))</f>
        <v/>
      </c>
      <c r="J61" s="760">
        <f>IF(6&lt;5,0,IF(MAX(E39:J39)&gt;J44+0+$B$18,1,0))</f>
        <v/>
      </c>
      <c r="K61" s="760">
        <f>IF(7&lt;5,0,IF(MAX(F39:K39)&gt;K44+0+$B$18,1,0))</f>
        <v/>
      </c>
      <c r="L61" s="760">
        <f>IF(8&lt;5,0,IF(MAX(G39:L39)&gt;L44+0+$B$18,1,0))</f>
        <v/>
      </c>
      <c r="M61" s="760">
        <f>IF(9&lt;5,0,IF(MAX(H39:M39)&gt;M44+0+$B$18,1,0))</f>
        <v/>
      </c>
      <c r="N61" s="760">
        <f>IF(10&lt;5,0,IF(MAX(I39:N39)&gt;N44+0+$B$18,1,0))</f>
        <v/>
      </c>
      <c r="O61" s="760">
        <f>IF(11&lt;5,0,IF(MAX(J39:O39)&gt;O44+0+$B$18,1,0))</f>
        <v/>
      </c>
      <c r="P61" s="760">
        <f>IF(12&lt;5,0,IF(MAX(K39:P39)&gt;P44+0+$B$18,1,0))</f>
        <v/>
      </c>
      <c r="Q61" s="760">
        <f>IF(13&lt;5,0,IF(MAX(L39:Q39)&gt;Q44+0+$B$18,1,0))</f>
        <v/>
      </c>
      <c r="R61" s="760">
        <f>IF(14&lt;5,0,IF(MAX(M39:R39)&gt;R44+0+$B$18,1,0))</f>
        <v/>
      </c>
      <c r="S61" s="760">
        <f>IF(15&lt;5,0,IF(MAX(N39:S39)&gt;S44+0+$B$18,1,0))</f>
        <v/>
      </c>
      <c r="T61" s="760">
        <f>IF(16&lt;5,0,IF(MAX(O39:T39)&gt;T44+0+$B$18,1,0))</f>
        <v/>
      </c>
      <c r="U61" s="760">
        <f>IF(17&lt;5,0,IF(MAX(P39:U39)&gt;U44+0+$B$18,1,0))</f>
        <v/>
      </c>
      <c r="V61" s="760">
        <f>IF(18&lt;5,0,IF(MAX(Q39:V39)&gt;V44+0+$B$18,1,0))</f>
        <v/>
      </c>
      <c r="W61" s="760">
        <f>IF(19&lt;5,0,IF(MAX(R39:W39)&gt;W44+0+$B$18,1,0))</f>
        <v/>
      </c>
      <c r="X61" s="760">
        <f>IF(20&lt;5,0,IF(MAX(S39:X39)&gt;X44+0+$B$18,1,0))</f>
        <v/>
      </c>
      <c r="Y61" s="760">
        <f>IF(21&lt;5,0,IF(MAX(T39:Y39)&gt;Y44+0+$B$18,1,0))</f>
        <v/>
      </c>
      <c r="Z61" s="760">
        <f>IF(22&lt;5,0,IF(MAX(U39:Z39)&gt;Z44+0+$B$18,1,0))</f>
        <v/>
      </c>
      <c r="AA61" s="760">
        <f>IF(23&lt;5,0,IF(MAX(V39:AA39)&gt;AA44+0+$B$18,1,0))</f>
        <v/>
      </c>
      <c r="AB61" s="760">
        <f>IF(24&lt;5,0,IF(MAX(W39:AB39)&gt;AB44+0+$B$18,1,0))</f>
        <v/>
      </c>
      <c r="AC61" s="760">
        <f>IF(25&lt;5,0,IF(MAX(X39:AC39)&gt;AC44+0+$B$18,1,0))</f>
        <v/>
      </c>
      <c r="AD61" s="760">
        <f>IF(26&lt;5,0,IF(MAX(Y39:AD39)&gt;AD44+0+$B$18,1,0))</f>
        <v/>
      </c>
      <c r="AE61" s="760">
        <f>IF(27&lt;5,0,IF(MAX(Z39:AE39)&gt;AE44+0+$B$18,1,0))</f>
        <v/>
      </c>
      <c r="AF61" s="760">
        <f>IF(28&lt;5,0,IF(MAX(AA39:AF39)&gt;AF44+0+$B$18,1,0))</f>
        <v/>
      </c>
      <c r="AG61" s="760">
        <f>IF(29&lt;5,0,IF(MAX(AB39:AG39)&gt;AG44+0+$B$18,1,0))</f>
        <v/>
      </c>
      <c r="AH61" s="760">
        <f>IF(30&lt;5,0,IF(MAX(AC39:AH39)&gt;AH44+0+$B$18,1,0))</f>
        <v/>
      </c>
      <c r="AI61" s="760">
        <f>IF(31&lt;5,0,IF(MAX(AD39:AI39)&gt;AI44+0+$B$18,1,0))</f>
        <v/>
      </c>
      <c r="AJ61" s="760">
        <f>IF(32&lt;5,0,IF(MAX(AE39:AJ39)&gt;AJ44+0+$B$18,1,0))</f>
        <v/>
      </c>
      <c r="AK61" s="760">
        <f>IF(33&lt;5,0,IF(MAX(AF39:AK39)&gt;AK44+0+$B$18,1,0))</f>
        <v/>
      </c>
      <c r="AL61" s="760">
        <f>IF(34&lt;5,0,IF(MAX(AG39:AL39)&gt;AL44+0+$B$18,1,0))</f>
        <v/>
      </c>
      <c r="AM61" s="760">
        <f>IF(35&lt;5,0,IF(MAX(AH39:AM39)&gt;AM44+0+$B$18,1,0))</f>
        <v/>
      </c>
      <c r="AN61" s="760">
        <f>IF(36&lt;5,0,IF(MAX(AI39:AN39)&gt;AN44+0+$B$18,1,0))</f>
        <v/>
      </c>
      <c r="AO61" s="760">
        <f>IF(37&lt;5,0,IF(MAX(AJ39:AO39)&gt;AO44+0+$B$18,1,0))</f>
        <v/>
      </c>
      <c r="AP61" s="760">
        <f>IF(38&lt;5,0,IF(MAX(AK39:AP39)&gt;AP44+0+$B$18,1,0))</f>
        <v/>
      </c>
      <c r="AQ61" s="760">
        <f>IF(39&lt;5,0,IF(MAX(AL39:AQ39)&gt;AQ44+0+$B$18,1,0))</f>
        <v/>
      </c>
      <c r="AR61" s="760">
        <f>IF(40&lt;5,0,IF(MAX(AM39:AR39)&gt;AR44+0+$B$18,1,0))</f>
        <v/>
      </c>
      <c r="AS61" s="760">
        <f>IF(41&lt;5,0,IF(MAX(AN39:AS39)&gt;AS44+0+$B$18,1,0))</f>
        <v/>
      </c>
      <c r="AT61" s="760">
        <f>IF(42&lt;5,0,IF(MAX(AO39:AT39)&gt;AT44+0+$B$18,1,0))</f>
        <v/>
      </c>
      <c r="AU61" s="760">
        <f>IF(43&lt;5,0,IF(MAX(AP39:AU39)&gt;AU44+0+$B$18,1,0))</f>
        <v/>
      </c>
      <c r="AV61" s="760">
        <f>IF(44&lt;5,0,IF(MAX(AQ39:AV39)&gt;AV44+0+$B$18,1,0))</f>
        <v/>
      </c>
      <c r="AW61" s="760">
        <f>IF(45&lt;5,0,IF(MAX(AR39:AW39)&gt;AW44+0+$B$18,1,0))</f>
        <v/>
      </c>
      <c r="AX61" s="760">
        <f>IF(46&lt;5,0,IF(MAX(AS39:AX39)&gt;AX44+0+$B$18,1,0))</f>
        <v/>
      </c>
      <c r="AY61" s="760">
        <f>IF(47&lt;5,0,IF(MAX(AT39:AY39)&gt;AY44+0+$B$18,1,0))</f>
        <v/>
      </c>
      <c r="AZ61" s="760">
        <f>IF(48&lt;5,0,IF(MAX(AU39:AZ39)&gt;AZ44+0+$B$18,1,0))</f>
        <v/>
      </c>
      <c r="BA61" s="760">
        <f>IF(49&lt;5,0,IF(MAX(AV39:BA39)&gt;BA44+0+$B$18,1,0))</f>
        <v/>
      </c>
      <c r="BB61" s="760">
        <f>IF(50&lt;5,0,IF(MAX(AW39:BB39)&gt;BB44+0+$B$18,1,0))</f>
        <v/>
      </c>
      <c r="BC61" s="760">
        <f>IF(51&lt;5,0,IF(MAX(AX39:BC39)&gt;BC44+0+$B$18,1,0))</f>
        <v/>
      </c>
      <c r="BD61" s="760">
        <f>IF(52&lt;5,0,IF(MAX(AY39:BD39)&gt;BD44+0+$B$18,1,0))</f>
        <v/>
      </c>
      <c r="BE61" s="760">
        <f>IF(53&lt;5,0,IF(MAX(AZ39:BE39)&gt;BE44+0+$B$18,1,0))</f>
        <v/>
      </c>
      <c r="BF61" s="760">
        <f>IF(54&lt;5,0,IF(MAX(BA39:BF39)&gt;BF44+0+$B$18,1,0))</f>
        <v/>
      </c>
      <c r="BG61" s="760">
        <f>IF(55&lt;5,0,IF(MAX(BB39:BG39)&gt;BG44+0+$B$18,1,0))</f>
        <v/>
      </c>
      <c r="BH61" s="760">
        <f>IF(56&lt;5,0,IF(MAX(BC39:BH39)&gt;BH44+0+$B$18,1,0))</f>
        <v/>
      </c>
      <c r="BI61" s="760">
        <f>IF(57&lt;5,0,IF(MAX(BD39:BI39)&gt;BI44+0+$B$18,1,0))</f>
        <v/>
      </c>
      <c r="BJ61" s="760">
        <f>IF(58&lt;5,0,IF(MAX(BE39:BJ39)&gt;BJ44+0+$B$18,1,0))</f>
        <v/>
      </c>
      <c r="BK61" s="760">
        <f>IF(59&lt;5,0,IF(MAX(BF39:BK39)&gt;BK44+0+$B$18,1,0))</f>
        <v/>
      </c>
      <c r="BL61" s="760">
        <f>IF(60&lt;5,0,IF(MAX(BG39:BL39)&gt;BL44+0+$B$18,1,0))</f>
        <v/>
      </c>
      <c r="BM61" s="760">
        <f>IF(61&lt;5,0,IF(MAX(BH39:BM39)&gt;BM44+0+$B$18,1,0))</f>
        <v/>
      </c>
      <c r="BN61" s="760">
        <f>IF(62&lt;5,0,IF(MAX(BI39:BN39)&gt;BN44+0+$B$18,1,0))</f>
        <v/>
      </c>
      <c r="BO61" s="760">
        <f>IF(63&lt;5,0,IF(MAX(BJ39:BO39)&gt;BO44+0+$B$18,1,0))</f>
        <v/>
      </c>
      <c r="BP61" s="760">
        <f>IF(64&lt;5,0,IF(MAX(BK39:BP39)&gt;BP44+0+$B$18,1,0))</f>
        <v/>
      </c>
      <c r="BQ61" s="760">
        <f>IF(65&lt;5,0,IF(MAX(BL39:BQ39)&gt;BQ44+0+$B$18,1,0))</f>
        <v/>
      </c>
      <c r="BR61" s="760">
        <f>IF(66&lt;5,0,IF(MAX(BM39:BR39)&gt;BR44+0+$B$18,1,0))</f>
        <v/>
      </c>
      <c r="BS61" s="760">
        <f>IF(67&lt;5,0,IF(MAX(BN39:BS39)&gt;BS44+0+$B$18,1,0))</f>
        <v/>
      </c>
      <c r="BT61" s="760">
        <f>IF(68&lt;5,0,IF(MAX(BO39:BT39)&gt;BT44+0+$B$18,1,0))</f>
        <v/>
      </c>
      <c r="BU61" s="760">
        <f>IF(69&lt;5,0,IF(MAX(BP39:BU39)&gt;BU44+0+$B$18,1,0))</f>
        <v/>
      </c>
      <c r="BV61" s="760">
        <f>IF(70&lt;5,0,IF(MAX(BQ39:BV39)&gt;BV44+0+$B$18,1,0))</f>
        <v/>
      </c>
      <c r="BW61" s="760">
        <f>IF(71&lt;5,0,IF(MAX(BR39:BW39)&gt;BW44+0+$B$18,1,0))</f>
        <v/>
      </c>
      <c r="BX61" s="760">
        <f>IF(72&lt;5,0,IF(MAX(BS39:BX39)&gt;BX44+0+$B$18,1,0))</f>
        <v/>
      </c>
      <c r="BY61" s="760">
        <f>IF(73&lt;5,0,IF(MAX(BT39:BY39)&gt;BY44+0+$B$18,1,0))</f>
        <v/>
      </c>
      <c r="BZ61" s="760">
        <f>IF(74&lt;5,0,IF(MAX(BU39:BZ39)&gt;BZ44+0+$B$18,1,0))</f>
        <v/>
      </c>
      <c r="CA61" s="760">
        <f>IF(75&lt;5,0,IF(MAX(BV39:CA39)&gt;CA44+0+$B$18,1,0))</f>
        <v/>
      </c>
      <c r="CB61" s="760">
        <f>IF(76&lt;5,0,IF(MAX(BW39:CB39)&gt;CB44+0+$B$18,1,0))</f>
        <v/>
      </c>
      <c r="CC61" s="760">
        <f>IF(77&lt;5,0,IF(MAX(BX39:CC39)&gt;CC44+0+$B$18,1,0))</f>
        <v/>
      </c>
      <c r="CD61" s="760">
        <f>IF(78&lt;5,0,IF(MAX(BY39:CD39)&gt;CD44+0+$B$18,1,0))</f>
        <v/>
      </c>
      <c r="CE61" s="760">
        <f>IF(79&lt;5,0,IF(MAX(BZ39:CE39)&gt;CE44+0+$B$18,1,0))</f>
        <v/>
      </c>
      <c r="CF61" s="760">
        <f>IF(80&lt;5,0,IF(MAX(CA39:CF39)&gt;CF44+0+$B$18,1,0))</f>
        <v/>
      </c>
      <c r="CG61" s="760">
        <f>IF(81&lt;5,0,IF(MAX(CB39:CG39)&gt;CG44+0+$B$18,1,0))</f>
        <v/>
      </c>
      <c r="CH61" s="760">
        <f>IF(82&lt;5,0,IF(MAX(CC39:CH39)&gt;CH44+0+$B$18,1,0))</f>
        <v/>
      </c>
      <c r="CI61" s="760">
        <f>IF(83&lt;5,0,IF(MAX(CD39:CI39)&gt;CI44+0+$B$18,1,0))</f>
        <v/>
      </c>
      <c r="CJ61" s="760">
        <f>IF(84&lt;5,0,IF(MAX(CE39:CJ39)&gt;CJ44+0+$B$18,1,0))</f>
        <v/>
      </c>
      <c r="CK61" s="760">
        <f>IF(85&lt;5,0,IF(MAX(CF39:CK39)&gt;CK44+0+$B$18,1,0))</f>
        <v/>
      </c>
      <c r="CL61" s="760">
        <f>IF(86&lt;5,0,IF(MAX(CG39:CL39)&gt;CL44+0+$B$18,1,0))</f>
        <v/>
      </c>
      <c r="CM61" s="760">
        <f>IF(87&lt;5,0,IF(MAX(CH39:CM39)&gt;CM44+0+$B$18,1,0))</f>
        <v/>
      </c>
      <c r="CN61" s="760">
        <f>IF(88&lt;5,0,IF(MAX(CI39:CN39)&gt;CN44+0+$B$18,1,0))</f>
        <v/>
      </c>
      <c r="CO61" s="760">
        <f>IF(89&lt;5,0,IF(MAX(CJ39:CO39)&gt;CO44+0+$B$18,1,0))</f>
        <v/>
      </c>
      <c r="CP61" s="760">
        <f>IF(90&lt;5,0,IF(MAX(CK39:CP39)&gt;CP44+0+$B$18,1,0))</f>
        <v/>
      </c>
      <c r="CQ61" s="760">
        <f>IF(91&lt;5,0,IF(MAX(CL39:CQ39)&gt;CQ44+0+$B$18,1,0))</f>
        <v/>
      </c>
      <c r="CR61" s="760">
        <f>IF(92&lt;5,0,IF(MAX(CM39:CR39)&gt;CR44+0+$B$18,1,0))</f>
        <v/>
      </c>
      <c r="CS61" s="760">
        <f>IF(93&lt;5,0,IF(MAX(CN39:CS39)&gt;CS44+0+$B$18,1,0))</f>
        <v/>
      </c>
      <c r="CT61" s="760">
        <f>IF(94&lt;5,0,IF(MAX(CO39:CT39)&gt;CT44+0+$B$18,1,0))</f>
        <v/>
      </c>
      <c r="CU61" s="760">
        <f>IF(95&lt;5,0,IF(MAX(CP39:CU39)&gt;CU44+0+$B$18,1,0))</f>
        <v/>
      </c>
      <c r="CV61" s="760">
        <f>IF(96&lt;5,0,IF(MAX(CQ39:CV39)&gt;CV44+0+$B$18,1,0))</f>
        <v/>
      </c>
      <c r="CW61" s="760">
        <f>IF(97&lt;5,0,IF(MAX(CR39:CW39)&gt;CW44+0+$B$18,1,0))</f>
        <v/>
      </c>
      <c r="CX61" s="760">
        <f>IF(98&lt;5,0,IF(MAX(CS39:CX39)&gt;CX44+0+$B$18,1,0))</f>
        <v/>
      </c>
      <c r="CY61" s="760">
        <f>IF(99&lt;5,0,IF(MAX(CT39:CY39)&gt;CY44+0+$B$18,1,0))</f>
        <v/>
      </c>
      <c r="CZ61" s="760">
        <f>IF(100&lt;5,0,IF(MAX(CU39:CZ39)&gt;CZ44+0+$B$18,1,0))</f>
        <v/>
      </c>
      <c r="DA61" s="760">
        <f>IF(101&lt;5,0,IF(MAX(CV39:DA39)&gt;DA44+0+$B$18,1,0))</f>
        <v/>
      </c>
      <c r="DB61" s="760">
        <f>IF(102&lt;5,0,IF(MAX(CW39:DB39)&gt;DB44+0+$B$18,1,0))</f>
        <v/>
      </c>
      <c r="DC61" s="760">
        <f>IF(103&lt;5,0,IF(MAX(CX39:DC39)&gt;DC44+0+$B$18,1,0))</f>
        <v/>
      </c>
      <c r="DD61" s="760">
        <f>IF(104&lt;5,0,IF(MAX(CY39:DD39)&gt;DD44+0+$B$18,1,0))</f>
        <v/>
      </c>
      <c r="DE61" s="760">
        <f>IF(105&lt;5,0,IF(MAX(CZ39:DE39)&gt;DE44+0+$B$18,1,0))</f>
        <v/>
      </c>
    </row>
    <row r="62">
      <c r="A62" s="586" t="inlineStr">
        <is>
          <t>APM slot 2</t>
        </is>
      </c>
      <c r="B62" s="587">
        <f>$B$28</f>
        <v/>
      </c>
      <c r="E62" s="760">
        <f>IF(1&lt;5,0,IF(MAX(E39:E39)&gt;E44+1+$B$18,1,0))</f>
        <v/>
      </c>
      <c r="F62" s="760">
        <f>IF(2&lt;5,0,IF(MAX(E39:F39)&gt;F44+1+$B$18,1,0))</f>
        <v/>
      </c>
      <c r="G62" s="760">
        <f>IF(3&lt;5,0,IF(MAX(E39:G39)&gt;G44+1+$B$18,1,0))</f>
        <v/>
      </c>
      <c r="H62" s="760">
        <f>IF(4&lt;5,0,IF(MAX(E39:H39)&gt;H44+1+$B$18,1,0))</f>
        <v/>
      </c>
      <c r="I62" s="760">
        <f>IF(5&lt;5,0,IF(MAX(E39:I39)&gt;I44+1+$B$18,1,0))</f>
        <v/>
      </c>
      <c r="J62" s="760">
        <f>IF(6&lt;5,0,IF(MAX(E39:J39)&gt;J44+1+$B$18,1,0))</f>
        <v/>
      </c>
      <c r="K62" s="760">
        <f>IF(7&lt;5,0,IF(MAX(F39:K39)&gt;K44+1+$B$18,1,0))</f>
        <v/>
      </c>
      <c r="L62" s="760">
        <f>IF(8&lt;5,0,IF(MAX(G39:L39)&gt;L44+1+$B$18,1,0))</f>
        <v/>
      </c>
      <c r="M62" s="760">
        <f>IF(9&lt;5,0,IF(MAX(H39:M39)&gt;M44+1+$B$18,1,0))</f>
        <v/>
      </c>
      <c r="N62" s="760">
        <f>IF(10&lt;5,0,IF(MAX(I39:N39)&gt;N44+1+$B$18,1,0))</f>
        <v/>
      </c>
      <c r="O62" s="760">
        <f>IF(11&lt;5,0,IF(MAX(J39:O39)&gt;O44+1+$B$18,1,0))</f>
        <v/>
      </c>
      <c r="P62" s="760">
        <f>IF(12&lt;5,0,IF(MAX(K39:P39)&gt;P44+1+$B$18,1,0))</f>
        <v/>
      </c>
      <c r="Q62" s="760">
        <f>IF(13&lt;5,0,IF(MAX(L39:Q39)&gt;Q44+1+$B$18,1,0))</f>
        <v/>
      </c>
      <c r="R62" s="760">
        <f>IF(14&lt;5,0,IF(MAX(M39:R39)&gt;R44+1+$B$18,1,0))</f>
        <v/>
      </c>
      <c r="S62" s="760">
        <f>IF(15&lt;5,0,IF(MAX(N39:S39)&gt;S44+1+$B$18,1,0))</f>
        <v/>
      </c>
      <c r="T62" s="760">
        <f>IF(16&lt;5,0,IF(MAX(O39:T39)&gt;T44+1+$B$18,1,0))</f>
        <v/>
      </c>
      <c r="U62" s="760">
        <f>IF(17&lt;5,0,IF(MAX(P39:U39)&gt;U44+1+$B$18,1,0))</f>
        <v/>
      </c>
      <c r="V62" s="760">
        <f>IF(18&lt;5,0,IF(MAX(Q39:V39)&gt;V44+1+$B$18,1,0))</f>
        <v/>
      </c>
      <c r="W62" s="760">
        <f>IF(19&lt;5,0,IF(MAX(R39:W39)&gt;W44+1+$B$18,1,0))</f>
        <v/>
      </c>
      <c r="X62" s="760">
        <f>IF(20&lt;5,0,IF(MAX(S39:X39)&gt;X44+1+$B$18,1,0))</f>
        <v/>
      </c>
      <c r="Y62" s="760">
        <f>IF(21&lt;5,0,IF(MAX(T39:Y39)&gt;Y44+1+$B$18,1,0))</f>
        <v/>
      </c>
      <c r="Z62" s="760">
        <f>IF(22&lt;5,0,IF(MAX(U39:Z39)&gt;Z44+1+$B$18,1,0))</f>
        <v/>
      </c>
      <c r="AA62" s="760">
        <f>IF(23&lt;5,0,IF(MAX(V39:AA39)&gt;AA44+1+$B$18,1,0))</f>
        <v/>
      </c>
      <c r="AB62" s="760">
        <f>IF(24&lt;5,0,IF(MAX(W39:AB39)&gt;AB44+1+$B$18,1,0))</f>
        <v/>
      </c>
      <c r="AC62" s="760">
        <f>IF(25&lt;5,0,IF(MAX(X39:AC39)&gt;AC44+1+$B$18,1,0))</f>
        <v/>
      </c>
      <c r="AD62" s="760">
        <f>IF(26&lt;5,0,IF(MAX(Y39:AD39)&gt;AD44+1+$B$18,1,0))</f>
        <v/>
      </c>
      <c r="AE62" s="760">
        <f>IF(27&lt;5,0,IF(MAX(Z39:AE39)&gt;AE44+1+$B$18,1,0))</f>
        <v/>
      </c>
      <c r="AF62" s="760">
        <f>IF(28&lt;5,0,IF(MAX(AA39:AF39)&gt;AF44+1+$B$18,1,0))</f>
        <v/>
      </c>
      <c r="AG62" s="760">
        <f>IF(29&lt;5,0,IF(MAX(AB39:AG39)&gt;AG44+1+$B$18,1,0))</f>
        <v/>
      </c>
      <c r="AH62" s="760">
        <f>IF(30&lt;5,0,IF(MAX(AC39:AH39)&gt;AH44+1+$B$18,1,0))</f>
        <v/>
      </c>
      <c r="AI62" s="760">
        <f>IF(31&lt;5,0,IF(MAX(AD39:AI39)&gt;AI44+1+$B$18,1,0))</f>
        <v/>
      </c>
      <c r="AJ62" s="760">
        <f>IF(32&lt;5,0,IF(MAX(AE39:AJ39)&gt;AJ44+1+$B$18,1,0))</f>
        <v/>
      </c>
      <c r="AK62" s="760">
        <f>IF(33&lt;5,0,IF(MAX(AF39:AK39)&gt;AK44+1+$B$18,1,0))</f>
        <v/>
      </c>
      <c r="AL62" s="760">
        <f>IF(34&lt;5,0,IF(MAX(AG39:AL39)&gt;AL44+1+$B$18,1,0))</f>
        <v/>
      </c>
      <c r="AM62" s="760">
        <f>IF(35&lt;5,0,IF(MAX(AH39:AM39)&gt;AM44+1+$B$18,1,0))</f>
        <v/>
      </c>
      <c r="AN62" s="760">
        <f>IF(36&lt;5,0,IF(MAX(AI39:AN39)&gt;AN44+1+$B$18,1,0))</f>
        <v/>
      </c>
      <c r="AO62" s="760">
        <f>IF(37&lt;5,0,IF(MAX(AJ39:AO39)&gt;AO44+1+$B$18,1,0))</f>
        <v/>
      </c>
      <c r="AP62" s="760">
        <f>IF(38&lt;5,0,IF(MAX(AK39:AP39)&gt;AP44+1+$B$18,1,0))</f>
        <v/>
      </c>
      <c r="AQ62" s="760">
        <f>IF(39&lt;5,0,IF(MAX(AL39:AQ39)&gt;AQ44+1+$B$18,1,0))</f>
        <v/>
      </c>
      <c r="AR62" s="760">
        <f>IF(40&lt;5,0,IF(MAX(AM39:AR39)&gt;AR44+1+$B$18,1,0))</f>
        <v/>
      </c>
      <c r="AS62" s="760">
        <f>IF(41&lt;5,0,IF(MAX(AN39:AS39)&gt;AS44+1+$B$18,1,0))</f>
        <v/>
      </c>
      <c r="AT62" s="760">
        <f>IF(42&lt;5,0,IF(MAX(AO39:AT39)&gt;AT44+1+$B$18,1,0))</f>
        <v/>
      </c>
      <c r="AU62" s="760">
        <f>IF(43&lt;5,0,IF(MAX(AP39:AU39)&gt;AU44+1+$B$18,1,0))</f>
        <v/>
      </c>
      <c r="AV62" s="760">
        <f>IF(44&lt;5,0,IF(MAX(AQ39:AV39)&gt;AV44+1+$B$18,1,0))</f>
        <v/>
      </c>
      <c r="AW62" s="760">
        <f>IF(45&lt;5,0,IF(MAX(AR39:AW39)&gt;AW44+1+$B$18,1,0))</f>
        <v/>
      </c>
      <c r="AX62" s="760">
        <f>IF(46&lt;5,0,IF(MAX(AS39:AX39)&gt;AX44+1+$B$18,1,0))</f>
        <v/>
      </c>
      <c r="AY62" s="760">
        <f>IF(47&lt;5,0,IF(MAX(AT39:AY39)&gt;AY44+1+$B$18,1,0))</f>
        <v/>
      </c>
      <c r="AZ62" s="760">
        <f>IF(48&lt;5,0,IF(MAX(AU39:AZ39)&gt;AZ44+1+$B$18,1,0))</f>
        <v/>
      </c>
      <c r="BA62" s="760">
        <f>IF(49&lt;5,0,IF(MAX(AV39:BA39)&gt;BA44+1+$B$18,1,0))</f>
        <v/>
      </c>
      <c r="BB62" s="760">
        <f>IF(50&lt;5,0,IF(MAX(AW39:BB39)&gt;BB44+1+$B$18,1,0))</f>
        <v/>
      </c>
      <c r="BC62" s="760">
        <f>IF(51&lt;5,0,IF(MAX(AX39:BC39)&gt;BC44+1+$B$18,1,0))</f>
        <v/>
      </c>
      <c r="BD62" s="760">
        <f>IF(52&lt;5,0,IF(MAX(AY39:BD39)&gt;BD44+1+$B$18,1,0))</f>
        <v/>
      </c>
      <c r="BE62" s="760">
        <f>IF(53&lt;5,0,IF(MAX(AZ39:BE39)&gt;BE44+1+$B$18,1,0))</f>
        <v/>
      </c>
      <c r="BF62" s="760">
        <f>IF(54&lt;5,0,IF(MAX(BA39:BF39)&gt;BF44+1+$B$18,1,0))</f>
        <v/>
      </c>
      <c r="BG62" s="760">
        <f>IF(55&lt;5,0,IF(MAX(BB39:BG39)&gt;BG44+1+$B$18,1,0))</f>
        <v/>
      </c>
      <c r="BH62" s="760">
        <f>IF(56&lt;5,0,IF(MAX(BC39:BH39)&gt;BH44+1+$B$18,1,0))</f>
        <v/>
      </c>
      <c r="BI62" s="760">
        <f>IF(57&lt;5,0,IF(MAX(BD39:BI39)&gt;BI44+1+$B$18,1,0))</f>
        <v/>
      </c>
      <c r="BJ62" s="760">
        <f>IF(58&lt;5,0,IF(MAX(BE39:BJ39)&gt;BJ44+1+$B$18,1,0))</f>
        <v/>
      </c>
      <c r="BK62" s="760">
        <f>IF(59&lt;5,0,IF(MAX(BF39:BK39)&gt;BK44+1+$B$18,1,0))</f>
        <v/>
      </c>
      <c r="BL62" s="760">
        <f>IF(60&lt;5,0,IF(MAX(BG39:BL39)&gt;BL44+1+$B$18,1,0))</f>
        <v/>
      </c>
      <c r="BM62" s="760">
        <f>IF(61&lt;5,0,IF(MAX(BH39:BM39)&gt;BM44+1+$B$18,1,0))</f>
        <v/>
      </c>
      <c r="BN62" s="760">
        <f>IF(62&lt;5,0,IF(MAX(BI39:BN39)&gt;BN44+1+$B$18,1,0))</f>
        <v/>
      </c>
      <c r="BO62" s="760">
        <f>IF(63&lt;5,0,IF(MAX(BJ39:BO39)&gt;BO44+1+$B$18,1,0))</f>
        <v/>
      </c>
      <c r="BP62" s="760">
        <f>IF(64&lt;5,0,IF(MAX(BK39:BP39)&gt;BP44+1+$B$18,1,0))</f>
        <v/>
      </c>
      <c r="BQ62" s="760">
        <f>IF(65&lt;5,0,IF(MAX(BL39:BQ39)&gt;BQ44+1+$B$18,1,0))</f>
        <v/>
      </c>
      <c r="BR62" s="760">
        <f>IF(66&lt;5,0,IF(MAX(BM39:BR39)&gt;BR44+1+$B$18,1,0))</f>
        <v/>
      </c>
      <c r="BS62" s="760">
        <f>IF(67&lt;5,0,IF(MAX(BN39:BS39)&gt;BS44+1+$B$18,1,0))</f>
        <v/>
      </c>
      <c r="BT62" s="760">
        <f>IF(68&lt;5,0,IF(MAX(BO39:BT39)&gt;BT44+1+$B$18,1,0))</f>
        <v/>
      </c>
      <c r="BU62" s="760">
        <f>IF(69&lt;5,0,IF(MAX(BP39:BU39)&gt;BU44+1+$B$18,1,0))</f>
        <v/>
      </c>
      <c r="BV62" s="760">
        <f>IF(70&lt;5,0,IF(MAX(BQ39:BV39)&gt;BV44+1+$B$18,1,0))</f>
        <v/>
      </c>
      <c r="BW62" s="760">
        <f>IF(71&lt;5,0,IF(MAX(BR39:BW39)&gt;BW44+1+$B$18,1,0))</f>
        <v/>
      </c>
      <c r="BX62" s="760">
        <f>IF(72&lt;5,0,IF(MAX(BS39:BX39)&gt;BX44+1+$B$18,1,0))</f>
        <v/>
      </c>
      <c r="BY62" s="760">
        <f>IF(73&lt;5,0,IF(MAX(BT39:BY39)&gt;BY44+1+$B$18,1,0))</f>
        <v/>
      </c>
      <c r="BZ62" s="760">
        <f>IF(74&lt;5,0,IF(MAX(BU39:BZ39)&gt;BZ44+1+$B$18,1,0))</f>
        <v/>
      </c>
      <c r="CA62" s="760">
        <f>IF(75&lt;5,0,IF(MAX(BV39:CA39)&gt;CA44+1+$B$18,1,0))</f>
        <v/>
      </c>
      <c r="CB62" s="760">
        <f>IF(76&lt;5,0,IF(MAX(BW39:CB39)&gt;CB44+1+$B$18,1,0))</f>
        <v/>
      </c>
      <c r="CC62" s="760">
        <f>IF(77&lt;5,0,IF(MAX(BX39:CC39)&gt;CC44+1+$B$18,1,0))</f>
        <v/>
      </c>
      <c r="CD62" s="760">
        <f>IF(78&lt;5,0,IF(MAX(BY39:CD39)&gt;CD44+1+$B$18,1,0))</f>
        <v/>
      </c>
      <c r="CE62" s="760">
        <f>IF(79&lt;5,0,IF(MAX(BZ39:CE39)&gt;CE44+1+$B$18,1,0))</f>
        <v/>
      </c>
      <c r="CF62" s="760">
        <f>IF(80&lt;5,0,IF(MAX(CA39:CF39)&gt;CF44+1+$B$18,1,0))</f>
        <v/>
      </c>
      <c r="CG62" s="760">
        <f>IF(81&lt;5,0,IF(MAX(CB39:CG39)&gt;CG44+1+$B$18,1,0))</f>
        <v/>
      </c>
      <c r="CH62" s="760">
        <f>IF(82&lt;5,0,IF(MAX(CC39:CH39)&gt;CH44+1+$B$18,1,0))</f>
        <v/>
      </c>
      <c r="CI62" s="760">
        <f>IF(83&lt;5,0,IF(MAX(CD39:CI39)&gt;CI44+1+$B$18,1,0))</f>
        <v/>
      </c>
      <c r="CJ62" s="760">
        <f>IF(84&lt;5,0,IF(MAX(CE39:CJ39)&gt;CJ44+1+$B$18,1,0))</f>
        <v/>
      </c>
      <c r="CK62" s="760">
        <f>IF(85&lt;5,0,IF(MAX(CF39:CK39)&gt;CK44+1+$B$18,1,0))</f>
        <v/>
      </c>
      <c r="CL62" s="760">
        <f>IF(86&lt;5,0,IF(MAX(CG39:CL39)&gt;CL44+1+$B$18,1,0))</f>
        <v/>
      </c>
      <c r="CM62" s="760">
        <f>IF(87&lt;5,0,IF(MAX(CH39:CM39)&gt;CM44+1+$B$18,1,0))</f>
        <v/>
      </c>
      <c r="CN62" s="760">
        <f>IF(88&lt;5,0,IF(MAX(CI39:CN39)&gt;CN44+1+$B$18,1,0))</f>
        <v/>
      </c>
      <c r="CO62" s="760">
        <f>IF(89&lt;5,0,IF(MAX(CJ39:CO39)&gt;CO44+1+$B$18,1,0))</f>
        <v/>
      </c>
      <c r="CP62" s="760">
        <f>IF(90&lt;5,0,IF(MAX(CK39:CP39)&gt;CP44+1+$B$18,1,0))</f>
        <v/>
      </c>
      <c r="CQ62" s="760">
        <f>IF(91&lt;5,0,IF(MAX(CL39:CQ39)&gt;CQ44+1+$B$18,1,0))</f>
        <v/>
      </c>
      <c r="CR62" s="760">
        <f>IF(92&lt;5,0,IF(MAX(CM39:CR39)&gt;CR44+1+$B$18,1,0))</f>
        <v/>
      </c>
      <c r="CS62" s="760">
        <f>IF(93&lt;5,0,IF(MAX(CN39:CS39)&gt;CS44+1+$B$18,1,0))</f>
        <v/>
      </c>
      <c r="CT62" s="760">
        <f>IF(94&lt;5,0,IF(MAX(CO39:CT39)&gt;CT44+1+$B$18,1,0))</f>
        <v/>
      </c>
      <c r="CU62" s="760">
        <f>IF(95&lt;5,0,IF(MAX(CP39:CU39)&gt;CU44+1+$B$18,1,0))</f>
        <v/>
      </c>
      <c r="CV62" s="760">
        <f>IF(96&lt;5,0,IF(MAX(CQ39:CV39)&gt;CV44+1+$B$18,1,0))</f>
        <v/>
      </c>
      <c r="CW62" s="760">
        <f>IF(97&lt;5,0,IF(MAX(CR39:CW39)&gt;CW44+1+$B$18,1,0))</f>
        <v/>
      </c>
      <c r="CX62" s="760">
        <f>IF(98&lt;5,0,IF(MAX(CS39:CX39)&gt;CX44+1+$B$18,1,0))</f>
        <v/>
      </c>
      <c r="CY62" s="760">
        <f>IF(99&lt;5,0,IF(MAX(CT39:CY39)&gt;CY44+1+$B$18,1,0))</f>
        <v/>
      </c>
      <c r="CZ62" s="760">
        <f>IF(100&lt;5,0,IF(MAX(CU39:CZ39)&gt;CZ44+1+$B$18,1,0))</f>
        <v/>
      </c>
      <c r="DA62" s="760">
        <f>IF(101&lt;5,0,IF(MAX(CV39:DA39)&gt;DA44+1+$B$18,1,0))</f>
        <v/>
      </c>
      <c r="DB62" s="760">
        <f>IF(102&lt;5,0,IF(MAX(CW39:DB39)&gt;DB44+1+$B$18,1,0))</f>
        <v/>
      </c>
      <c r="DC62" s="760">
        <f>IF(103&lt;5,0,IF(MAX(CX39:DC39)&gt;DC44+1+$B$18,1,0))</f>
        <v/>
      </c>
      <c r="DD62" s="760">
        <f>IF(104&lt;5,0,IF(MAX(CY39:DD39)&gt;DD44+1+$B$18,1,0))</f>
        <v/>
      </c>
      <c r="DE62" s="760">
        <f>IF(105&lt;5,0,IF(MAX(CZ39:DE39)&gt;DE44+1+$B$18,1,0))</f>
        <v/>
      </c>
    </row>
    <row r="63">
      <c r="A63" s="586" t="inlineStr">
        <is>
          <t>APM slot 3</t>
        </is>
      </c>
      <c r="B63" s="587">
        <f>$B$28</f>
        <v/>
      </c>
      <c r="E63" s="760">
        <f>IF(1&lt;5,0,IF(MAX(E39:E39)&gt;E44+2+$B$18,1,0))</f>
        <v/>
      </c>
      <c r="F63" s="760">
        <f>IF(2&lt;5,0,IF(MAX(E39:F39)&gt;F44+2+$B$18,1,0))</f>
        <v/>
      </c>
      <c r="G63" s="760">
        <f>IF(3&lt;5,0,IF(MAX(E39:G39)&gt;G44+2+$B$18,1,0))</f>
        <v/>
      </c>
      <c r="H63" s="760">
        <f>IF(4&lt;5,0,IF(MAX(E39:H39)&gt;H44+2+$B$18,1,0))</f>
        <v/>
      </c>
      <c r="I63" s="760">
        <f>IF(5&lt;5,0,IF(MAX(E39:I39)&gt;I44+2+$B$18,1,0))</f>
        <v/>
      </c>
      <c r="J63" s="760">
        <f>IF(6&lt;5,0,IF(MAX(E39:J39)&gt;J44+2+$B$18,1,0))</f>
        <v/>
      </c>
      <c r="K63" s="760">
        <f>IF(7&lt;5,0,IF(MAX(F39:K39)&gt;K44+2+$B$18,1,0))</f>
        <v/>
      </c>
      <c r="L63" s="760">
        <f>IF(8&lt;5,0,IF(MAX(G39:L39)&gt;L44+2+$B$18,1,0))</f>
        <v/>
      </c>
      <c r="M63" s="760">
        <f>IF(9&lt;5,0,IF(MAX(H39:M39)&gt;M44+2+$B$18,1,0))</f>
        <v/>
      </c>
      <c r="N63" s="760">
        <f>IF(10&lt;5,0,IF(MAX(I39:N39)&gt;N44+2+$B$18,1,0))</f>
        <v/>
      </c>
      <c r="O63" s="760">
        <f>IF(11&lt;5,0,IF(MAX(J39:O39)&gt;O44+2+$B$18,1,0))</f>
        <v/>
      </c>
      <c r="P63" s="760">
        <f>IF(12&lt;5,0,IF(MAX(K39:P39)&gt;P44+2+$B$18,1,0))</f>
        <v/>
      </c>
      <c r="Q63" s="760">
        <f>IF(13&lt;5,0,IF(MAX(L39:Q39)&gt;Q44+2+$B$18,1,0))</f>
        <v/>
      </c>
      <c r="R63" s="760">
        <f>IF(14&lt;5,0,IF(MAX(M39:R39)&gt;R44+2+$B$18,1,0))</f>
        <v/>
      </c>
      <c r="S63" s="760">
        <f>IF(15&lt;5,0,IF(MAX(N39:S39)&gt;S44+2+$B$18,1,0))</f>
        <v/>
      </c>
      <c r="T63" s="760">
        <f>IF(16&lt;5,0,IF(MAX(O39:T39)&gt;T44+2+$B$18,1,0))</f>
        <v/>
      </c>
      <c r="U63" s="760">
        <f>IF(17&lt;5,0,IF(MAX(P39:U39)&gt;U44+2+$B$18,1,0))</f>
        <v/>
      </c>
      <c r="V63" s="760">
        <f>IF(18&lt;5,0,IF(MAX(Q39:V39)&gt;V44+2+$B$18,1,0))</f>
        <v/>
      </c>
      <c r="W63" s="760">
        <f>IF(19&lt;5,0,IF(MAX(R39:W39)&gt;W44+2+$B$18,1,0))</f>
        <v/>
      </c>
      <c r="X63" s="760">
        <f>IF(20&lt;5,0,IF(MAX(S39:X39)&gt;X44+2+$B$18,1,0))</f>
        <v/>
      </c>
      <c r="Y63" s="760">
        <f>IF(21&lt;5,0,IF(MAX(T39:Y39)&gt;Y44+2+$B$18,1,0))</f>
        <v/>
      </c>
      <c r="Z63" s="760">
        <f>IF(22&lt;5,0,IF(MAX(U39:Z39)&gt;Z44+2+$B$18,1,0))</f>
        <v/>
      </c>
      <c r="AA63" s="760">
        <f>IF(23&lt;5,0,IF(MAX(V39:AA39)&gt;AA44+2+$B$18,1,0))</f>
        <v/>
      </c>
      <c r="AB63" s="760">
        <f>IF(24&lt;5,0,IF(MAX(W39:AB39)&gt;AB44+2+$B$18,1,0))</f>
        <v/>
      </c>
      <c r="AC63" s="760">
        <f>IF(25&lt;5,0,IF(MAX(X39:AC39)&gt;AC44+2+$B$18,1,0))</f>
        <v/>
      </c>
      <c r="AD63" s="760">
        <f>IF(26&lt;5,0,IF(MAX(Y39:AD39)&gt;AD44+2+$B$18,1,0))</f>
        <v/>
      </c>
      <c r="AE63" s="760">
        <f>IF(27&lt;5,0,IF(MAX(Z39:AE39)&gt;AE44+2+$B$18,1,0))</f>
        <v/>
      </c>
      <c r="AF63" s="760">
        <f>IF(28&lt;5,0,IF(MAX(AA39:AF39)&gt;AF44+2+$B$18,1,0))</f>
        <v/>
      </c>
      <c r="AG63" s="760">
        <f>IF(29&lt;5,0,IF(MAX(AB39:AG39)&gt;AG44+2+$B$18,1,0))</f>
        <v/>
      </c>
      <c r="AH63" s="760">
        <f>IF(30&lt;5,0,IF(MAX(AC39:AH39)&gt;AH44+2+$B$18,1,0))</f>
        <v/>
      </c>
      <c r="AI63" s="760">
        <f>IF(31&lt;5,0,IF(MAX(AD39:AI39)&gt;AI44+2+$B$18,1,0))</f>
        <v/>
      </c>
      <c r="AJ63" s="760">
        <f>IF(32&lt;5,0,IF(MAX(AE39:AJ39)&gt;AJ44+2+$B$18,1,0))</f>
        <v/>
      </c>
      <c r="AK63" s="760">
        <f>IF(33&lt;5,0,IF(MAX(AF39:AK39)&gt;AK44+2+$B$18,1,0))</f>
        <v/>
      </c>
      <c r="AL63" s="760">
        <f>IF(34&lt;5,0,IF(MAX(AG39:AL39)&gt;AL44+2+$B$18,1,0))</f>
        <v/>
      </c>
      <c r="AM63" s="760">
        <f>IF(35&lt;5,0,IF(MAX(AH39:AM39)&gt;AM44+2+$B$18,1,0))</f>
        <v/>
      </c>
      <c r="AN63" s="760">
        <f>IF(36&lt;5,0,IF(MAX(AI39:AN39)&gt;AN44+2+$B$18,1,0))</f>
        <v/>
      </c>
      <c r="AO63" s="760">
        <f>IF(37&lt;5,0,IF(MAX(AJ39:AO39)&gt;AO44+2+$B$18,1,0))</f>
        <v/>
      </c>
      <c r="AP63" s="760">
        <f>IF(38&lt;5,0,IF(MAX(AK39:AP39)&gt;AP44+2+$B$18,1,0))</f>
        <v/>
      </c>
      <c r="AQ63" s="760">
        <f>IF(39&lt;5,0,IF(MAX(AL39:AQ39)&gt;AQ44+2+$B$18,1,0))</f>
        <v/>
      </c>
      <c r="AR63" s="760">
        <f>IF(40&lt;5,0,IF(MAX(AM39:AR39)&gt;AR44+2+$B$18,1,0))</f>
        <v/>
      </c>
      <c r="AS63" s="760">
        <f>IF(41&lt;5,0,IF(MAX(AN39:AS39)&gt;AS44+2+$B$18,1,0))</f>
        <v/>
      </c>
      <c r="AT63" s="760">
        <f>IF(42&lt;5,0,IF(MAX(AO39:AT39)&gt;AT44+2+$B$18,1,0))</f>
        <v/>
      </c>
      <c r="AU63" s="760">
        <f>IF(43&lt;5,0,IF(MAX(AP39:AU39)&gt;AU44+2+$B$18,1,0))</f>
        <v/>
      </c>
      <c r="AV63" s="760">
        <f>IF(44&lt;5,0,IF(MAX(AQ39:AV39)&gt;AV44+2+$B$18,1,0))</f>
        <v/>
      </c>
      <c r="AW63" s="760">
        <f>IF(45&lt;5,0,IF(MAX(AR39:AW39)&gt;AW44+2+$B$18,1,0))</f>
        <v/>
      </c>
      <c r="AX63" s="760">
        <f>IF(46&lt;5,0,IF(MAX(AS39:AX39)&gt;AX44+2+$B$18,1,0))</f>
        <v/>
      </c>
      <c r="AY63" s="760">
        <f>IF(47&lt;5,0,IF(MAX(AT39:AY39)&gt;AY44+2+$B$18,1,0))</f>
        <v/>
      </c>
      <c r="AZ63" s="760">
        <f>IF(48&lt;5,0,IF(MAX(AU39:AZ39)&gt;AZ44+2+$B$18,1,0))</f>
        <v/>
      </c>
      <c r="BA63" s="760">
        <f>IF(49&lt;5,0,IF(MAX(AV39:BA39)&gt;BA44+2+$B$18,1,0))</f>
        <v/>
      </c>
      <c r="BB63" s="760">
        <f>IF(50&lt;5,0,IF(MAX(AW39:BB39)&gt;BB44+2+$B$18,1,0))</f>
        <v/>
      </c>
      <c r="BC63" s="760">
        <f>IF(51&lt;5,0,IF(MAX(AX39:BC39)&gt;BC44+2+$B$18,1,0))</f>
        <v/>
      </c>
      <c r="BD63" s="760">
        <f>IF(52&lt;5,0,IF(MAX(AY39:BD39)&gt;BD44+2+$B$18,1,0))</f>
        <v/>
      </c>
      <c r="BE63" s="760">
        <f>IF(53&lt;5,0,IF(MAX(AZ39:BE39)&gt;BE44+2+$B$18,1,0))</f>
        <v/>
      </c>
      <c r="BF63" s="760">
        <f>IF(54&lt;5,0,IF(MAX(BA39:BF39)&gt;BF44+2+$B$18,1,0))</f>
        <v/>
      </c>
      <c r="BG63" s="760">
        <f>IF(55&lt;5,0,IF(MAX(BB39:BG39)&gt;BG44+2+$B$18,1,0))</f>
        <v/>
      </c>
      <c r="BH63" s="760">
        <f>IF(56&lt;5,0,IF(MAX(BC39:BH39)&gt;BH44+2+$B$18,1,0))</f>
        <v/>
      </c>
      <c r="BI63" s="760">
        <f>IF(57&lt;5,0,IF(MAX(BD39:BI39)&gt;BI44+2+$B$18,1,0))</f>
        <v/>
      </c>
      <c r="BJ63" s="760">
        <f>IF(58&lt;5,0,IF(MAX(BE39:BJ39)&gt;BJ44+2+$B$18,1,0))</f>
        <v/>
      </c>
      <c r="BK63" s="760">
        <f>IF(59&lt;5,0,IF(MAX(BF39:BK39)&gt;BK44+2+$B$18,1,0))</f>
        <v/>
      </c>
      <c r="BL63" s="760">
        <f>IF(60&lt;5,0,IF(MAX(BG39:BL39)&gt;BL44+2+$B$18,1,0))</f>
        <v/>
      </c>
      <c r="BM63" s="760">
        <f>IF(61&lt;5,0,IF(MAX(BH39:BM39)&gt;BM44+2+$B$18,1,0))</f>
        <v/>
      </c>
      <c r="BN63" s="760">
        <f>IF(62&lt;5,0,IF(MAX(BI39:BN39)&gt;BN44+2+$B$18,1,0))</f>
        <v/>
      </c>
      <c r="BO63" s="760">
        <f>IF(63&lt;5,0,IF(MAX(BJ39:BO39)&gt;BO44+2+$B$18,1,0))</f>
        <v/>
      </c>
      <c r="BP63" s="760">
        <f>IF(64&lt;5,0,IF(MAX(BK39:BP39)&gt;BP44+2+$B$18,1,0))</f>
        <v/>
      </c>
      <c r="BQ63" s="760">
        <f>IF(65&lt;5,0,IF(MAX(BL39:BQ39)&gt;BQ44+2+$B$18,1,0))</f>
        <v/>
      </c>
      <c r="BR63" s="760">
        <f>IF(66&lt;5,0,IF(MAX(BM39:BR39)&gt;BR44+2+$B$18,1,0))</f>
        <v/>
      </c>
      <c r="BS63" s="760">
        <f>IF(67&lt;5,0,IF(MAX(BN39:BS39)&gt;BS44+2+$B$18,1,0))</f>
        <v/>
      </c>
      <c r="BT63" s="760">
        <f>IF(68&lt;5,0,IF(MAX(BO39:BT39)&gt;BT44+2+$B$18,1,0))</f>
        <v/>
      </c>
      <c r="BU63" s="760">
        <f>IF(69&lt;5,0,IF(MAX(BP39:BU39)&gt;BU44+2+$B$18,1,0))</f>
        <v/>
      </c>
      <c r="BV63" s="760">
        <f>IF(70&lt;5,0,IF(MAX(BQ39:BV39)&gt;BV44+2+$B$18,1,0))</f>
        <v/>
      </c>
      <c r="BW63" s="760">
        <f>IF(71&lt;5,0,IF(MAX(BR39:BW39)&gt;BW44+2+$B$18,1,0))</f>
        <v/>
      </c>
      <c r="BX63" s="760">
        <f>IF(72&lt;5,0,IF(MAX(BS39:BX39)&gt;BX44+2+$B$18,1,0))</f>
        <v/>
      </c>
      <c r="BY63" s="760">
        <f>IF(73&lt;5,0,IF(MAX(BT39:BY39)&gt;BY44+2+$B$18,1,0))</f>
        <v/>
      </c>
      <c r="BZ63" s="760">
        <f>IF(74&lt;5,0,IF(MAX(BU39:BZ39)&gt;BZ44+2+$B$18,1,0))</f>
        <v/>
      </c>
      <c r="CA63" s="760">
        <f>IF(75&lt;5,0,IF(MAX(BV39:CA39)&gt;CA44+2+$B$18,1,0))</f>
        <v/>
      </c>
      <c r="CB63" s="760">
        <f>IF(76&lt;5,0,IF(MAX(BW39:CB39)&gt;CB44+2+$B$18,1,0))</f>
        <v/>
      </c>
      <c r="CC63" s="760">
        <f>IF(77&lt;5,0,IF(MAX(BX39:CC39)&gt;CC44+2+$B$18,1,0))</f>
        <v/>
      </c>
      <c r="CD63" s="760">
        <f>IF(78&lt;5,0,IF(MAX(BY39:CD39)&gt;CD44+2+$B$18,1,0))</f>
        <v/>
      </c>
      <c r="CE63" s="760">
        <f>IF(79&lt;5,0,IF(MAX(BZ39:CE39)&gt;CE44+2+$B$18,1,0))</f>
        <v/>
      </c>
      <c r="CF63" s="760">
        <f>IF(80&lt;5,0,IF(MAX(CA39:CF39)&gt;CF44+2+$B$18,1,0))</f>
        <v/>
      </c>
      <c r="CG63" s="760">
        <f>IF(81&lt;5,0,IF(MAX(CB39:CG39)&gt;CG44+2+$B$18,1,0))</f>
        <v/>
      </c>
      <c r="CH63" s="760">
        <f>IF(82&lt;5,0,IF(MAX(CC39:CH39)&gt;CH44+2+$B$18,1,0))</f>
        <v/>
      </c>
      <c r="CI63" s="760">
        <f>IF(83&lt;5,0,IF(MAX(CD39:CI39)&gt;CI44+2+$B$18,1,0))</f>
        <v/>
      </c>
      <c r="CJ63" s="760">
        <f>IF(84&lt;5,0,IF(MAX(CE39:CJ39)&gt;CJ44+2+$B$18,1,0))</f>
        <v/>
      </c>
      <c r="CK63" s="760">
        <f>IF(85&lt;5,0,IF(MAX(CF39:CK39)&gt;CK44+2+$B$18,1,0))</f>
        <v/>
      </c>
      <c r="CL63" s="760">
        <f>IF(86&lt;5,0,IF(MAX(CG39:CL39)&gt;CL44+2+$B$18,1,0))</f>
        <v/>
      </c>
      <c r="CM63" s="760">
        <f>IF(87&lt;5,0,IF(MAX(CH39:CM39)&gt;CM44+2+$B$18,1,0))</f>
        <v/>
      </c>
      <c r="CN63" s="760">
        <f>IF(88&lt;5,0,IF(MAX(CI39:CN39)&gt;CN44+2+$B$18,1,0))</f>
        <v/>
      </c>
      <c r="CO63" s="760">
        <f>IF(89&lt;5,0,IF(MAX(CJ39:CO39)&gt;CO44+2+$B$18,1,0))</f>
        <v/>
      </c>
      <c r="CP63" s="760">
        <f>IF(90&lt;5,0,IF(MAX(CK39:CP39)&gt;CP44+2+$B$18,1,0))</f>
        <v/>
      </c>
      <c r="CQ63" s="760">
        <f>IF(91&lt;5,0,IF(MAX(CL39:CQ39)&gt;CQ44+2+$B$18,1,0))</f>
        <v/>
      </c>
      <c r="CR63" s="760">
        <f>IF(92&lt;5,0,IF(MAX(CM39:CR39)&gt;CR44+2+$B$18,1,0))</f>
        <v/>
      </c>
      <c r="CS63" s="760">
        <f>IF(93&lt;5,0,IF(MAX(CN39:CS39)&gt;CS44+2+$B$18,1,0))</f>
        <v/>
      </c>
      <c r="CT63" s="760">
        <f>IF(94&lt;5,0,IF(MAX(CO39:CT39)&gt;CT44+2+$B$18,1,0))</f>
        <v/>
      </c>
      <c r="CU63" s="760">
        <f>IF(95&lt;5,0,IF(MAX(CP39:CU39)&gt;CU44+2+$B$18,1,0))</f>
        <v/>
      </c>
      <c r="CV63" s="760">
        <f>IF(96&lt;5,0,IF(MAX(CQ39:CV39)&gt;CV44+2+$B$18,1,0))</f>
        <v/>
      </c>
      <c r="CW63" s="760">
        <f>IF(97&lt;5,0,IF(MAX(CR39:CW39)&gt;CW44+2+$B$18,1,0))</f>
        <v/>
      </c>
      <c r="CX63" s="760">
        <f>IF(98&lt;5,0,IF(MAX(CS39:CX39)&gt;CX44+2+$B$18,1,0))</f>
        <v/>
      </c>
      <c r="CY63" s="760">
        <f>IF(99&lt;5,0,IF(MAX(CT39:CY39)&gt;CY44+2+$B$18,1,0))</f>
        <v/>
      </c>
      <c r="CZ63" s="760">
        <f>IF(100&lt;5,0,IF(MAX(CU39:CZ39)&gt;CZ44+2+$B$18,1,0))</f>
        <v/>
      </c>
      <c r="DA63" s="760">
        <f>IF(101&lt;5,0,IF(MAX(CV39:DA39)&gt;DA44+2+$B$18,1,0))</f>
        <v/>
      </c>
      <c r="DB63" s="760">
        <f>IF(102&lt;5,0,IF(MAX(CW39:DB39)&gt;DB44+2+$B$18,1,0))</f>
        <v/>
      </c>
      <c r="DC63" s="760">
        <f>IF(103&lt;5,0,IF(MAX(CX39:DC39)&gt;DC44+2+$B$18,1,0))</f>
        <v/>
      </c>
      <c r="DD63" s="760">
        <f>IF(104&lt;5,0,IF(MAX(CY39:DD39)&gt;DD44+2+$B$18,1,0))</f>
        <v/>
      </c>
      <c r="DE63" s="760">
        <f>IF(105&lt;5,0,IF(MAX(CZ39:DE39)&gt;DE44+2+$B$18,1,0))</f>
        <v/>
      </c>
    </row>
    <row r="64">
      <c r="A64" s="586" t="inlineStr">
        <is>
          <t>APM slot 4</t>
        </is>
      </c>
      <c r="B64" s="587">
        <f>$B$28</f>
        <v/>
      </c>
      <c r="E64" s="760">
        <f>IF(1&lt;5,0,IF(MAX(E39:E39)&gt;E44+3+$B$18,1,0))</f>
        <v/>
      </c>
      <c r="F64" s="760">
        <f>IF(2&lt;5,0,IF(MAX(E39:F39)&gt;F44+3+$B$18,1,0))</f>
        <v/>
      </c>
      <c r="G64" s="760">
        <f>IF(3&lt;5,0,IF(MAX(E39:G39)&gt;G44+3+$B$18,1,0))</f>
        <v/>
      </c>
      <c r="H64" s="760">
        <f>IF(4&lt;5,0,IF(MAX(E39:H39)&gt;H44+3+$B$18,1,0))</f>
        <v/>
      </c>
      <c r="I64" s="760">
        <f>IF(5&lt;5,0,IF(MAX(E39:I39)&gt;I44+3+$B$18,1,0))</f>
        <v/>
      </c>
      <c r="J64" s="760">
        <f>IF(6&lt;5,0,IF(MAX(E39:J39)&gt;J44+3+$B$18,1,0))</f>
        <v/>
      </c>
      <c r="K64" s="760">
        <f>IF(7&lt;5,0,IF(MAX(F39:K39)&gt;K44+3+$B$18,1,0))</f>
        <v/>
      </c>
      <c r="L64" s="760">
        <f>IF(8&lt;5,0,IF(MAX(G39:L39)&gt;L44+3+$B$18,1,0))</f>
        <v/>
      </c>
      <c r="M64" s="760">
        <f>IF(9&lt;5,0,IF(MAX(H39:M39)&gt;M44+3+$B$18,1,0))</f>
        <v/>
      </c>
      <c r="N64" s="760">
        <f>IF(10&lt;5,0,IF(MAX(I39:N39)&gt;N44+3+$B$18,1,0))</f>
        <v/>
      </c>
      <c r="O64" s="760">
        <f>IF(11&lt;5,0,IF(MAX(J39:O39)&gt;O44+3+$B$18,1,0))</f>
        <v/>
      </c>
      <c r="P64" s="760">
        <f>IF(12&lt;5,0,IF(MAX(K39:P39)&gt;P44+3+$B$18,1,0))</f>
        <v/>
      </c>
      <c r="Q64" s="760">
        <f>IF(13&lt;5,0,IF(MAX(L39:Q39)&gt;Q44+3+$B$18,1,0))</f>
        <v/>
      </c>
      <c r="R64" s="760">
        <f>IF(14&lt;5,0,IF(MAX(M39:R39)&gt;R44+3+$B$18,1,0))</f>
        <v/>
      </c>
      <c r="S64" s="760">
        <f>IF(15&lt;5,0,IF(MAX(N39:S39)&gt;S44+3+$B$18,1,0))</f>
        <v/>
      </c>
      <c r="T64" s="760">
        <f>IF(16&lt;5,0,IF(MAX(O39:T39)&gt;T44+3+$B$18,1,0))</f>
        <v/>
      </c>
      <c r="U64" s="760">
        <f>IF(17&lt;5,0,IF(MAX(P39:U39)&gt;U44+3+$B$18,1,0))</f>
        <v/>
      </c>
      <c r="V64" s="760">
        <f>IF(18&lt;5,0,IF(MAX(Q39:V39)&gt;V44+3+$B$18,1,0))</f>
        <v/>
      </c>
      <c r="W64" s="760">
        <f>IF(19&lt;5,0,IF(MAX(R39:W39)&gt;W44+3+$B$18,1,0))</f>
        <v/>
      </c>
      <c r="X64" s="760">
        <f>IF(20&lt;5,0,IF(MAX(S39:X39)&gt;X44+3+$B$18,1,0))</f>
        <v/>
      </c>
      <c r="Y64" s="760">
        <f>IF(21&lt;5,0,IF(MAX(T39:Y39)&gt;Y44+3+$B$18,1,0))</f>
        <v/>
      </c>
      <c r="Z64" s="760">
        <f>IF(22&lt;5,0,IF(MAX(U39:Z39)&gt;Z44+3+$B$18,1,0))</f>
        <v/>
      </c>
      <c r="AA64" s="760">
        <f>IF(23&lt;5,0,IF(MAX(V39:AA39)&gt;AA44+3+$B$18,1,0))</f>
        <v/>
      </c>
      <c r="AB64" s="760">
        <f>IF(24&lt;5,0,IF(MAX(W39:AB39)&gt;AB44+3+$B$18,1,0))</f>
        <v/>
      </c>
      <c r="AC64" s="760">
        <f>IF(25&lt;5,0,IF(MAX(X39:AC39)&gt;AC44+3+$B$18,1,0))</f>
        <v/>
      </c>
      <c r="AD64" s="760">
        <f>IF(26&lt;5,0,IF(MAX(Y39:AD39)&gt;AD44+3+$B$18,1,0))</f>
        <v/>
      </c>
      <c r="AE64" s="760">
        <f>IF(27&lt;5,0,IF(MAX(Z39:AE39)&gt;AE44+3+$B$18,1,0))</f>
        <v/>
      </c>
      <c r="AF64" s="760">
        <f>IF(28&lt;5,0,IF(MAX(AA39:AF39)&gt;AF44+3+$B$18,1,0))</f>
        <v/>
      </c>
      <c r="AG64" s="760">
        <f>IF(29&lt;5,0,IF(MAX(AB39:AG39)&gt;AG44+3+$B$18,1,0))</f>
        <v/>
      </c>
      <c r="AH64" s="760">
        <f>IF(30&lt;5,0,IF(MAX(AC39:AH39)&gt;AH44+3+$B$18,1,0))</f>
        <v/>
      </c>
      <c r="AI64" s="760">
        <f>IF(31&lt;5,0,IF(MAX(AD39:AI39)&gt;AI44+3+$B$18,1,0))</f>
        <v/>
      </c>
      <c r="AJ64" s="760">
        <f>IF(32&lt;5,0,IF(MAX(AE39:AJ39)&gt;AJ44+3+$B$18,1,0))</f>
        <v/>
      </c>
      <c r="AK64" s="760">
        <f>IF(33&lt;5,0,IF(MAX(AF39:AK39)&gt;AK44+3+$B$18,1,0))</f>
        <v/>
      </c>
      <c r="AL64" s="760">
        <f>IF(34&lt;5,0,IF(MAX(AG39:AL39)&gt;AL44+3+$B$18,1,0))</f>
        <v/>
      </c>
      <c r="AM64" s="760">
        <f>IF(35&lt;5,0,IF(MAX(AH39:AM39)&gt;AM44+3+$B$18,1,0))</f>
        <v/>
      </c>
      <c r="AN64" s="760">
        <f>IF(36&lt;5,0,IF(MAX(AI39:AN39)&gt;AN44+3+$B$18,1,0))</f>
        <v/>
      </c>
      <c r="AO64" s="760">
        <f>IF(37&lt;5,0,IF(MAX(AJ39:AO39)&gt;AO44+3+$B$18,1,0))</f>
        <v/>
      </c>
      <c r="AP64" s="760">
        <f>IF(38&lt;5,0,IF(MAX(AK39:AP39)&gt;AP44+3+$B$18,1,0))</f>
        <v/>
      </c>
      <c r="AQ64" s="760">
        <f>IF(39&lt;5,0,IF(MAX(AL39:AQ39)&gt;AQ44+3+$B$18,1,0))</f>
        <v/>
      </c>
      <c r="AR64" s="760">
        <f>IF(40&lt;5,0,IF(MAX(AM39:AR39)&gt;AR44+3+$B$18,1,0))</f>
        <v/>
      </c>
      <c r="AS64" s="760">
        <f>IF(41&lt;5,0,IF(MAX(AN39:AS39)&gt;AS44+3+$B$18,1,0))</f>
        <v/>
      </c>
      <c r="AT64" s="760">
        <f>IF(42&lt;5,0,IF(MAX(AO39:AT39)&gt;AT44+3+$B$18,1,0))</f>
        <v/>
      </c>
      <c r="AU64" s="760">
        <f>IF(43&lt;5,0,IF(MAX(AP39:AU39)&gt;AU44+3+$B$18,1,0))</f>
        <v/>
      </c>
      <c r="AV64" s="760">
        <f>IF(44&lt;5,0,IF(MAX(AQ39:AV39)&gt;AV44+3+$B$18,1,0))</f>
        <v/>
      </c>
      <c r="AW64" s="760">
        <f>IF(45&lt;5,0,IF(MAX(AR39:AW39)&gt;AW44+3+$B$18,1,0))</f>
        <v/>
      </c>
      <c r="AX64" s="760">
        <f>IF(46&lt;5,0,IF(MAX(AS39:AX39)&gt;AX44+3+$B$18,1,0))</f>
        <v/>
      </c>
      <c r="AY64" s="760">
        <f>IF(47&lt;5,0,IF(MAX(AT39:AY39)&gt;AY44+3+$B$18,1,0))</f>
        <v/>
      </c>
      <c r="AZ64" s="760">
        <f>IF(48&lt;5,0,IF(MAX(AU39:AZ39)&gt;AZ44+3+$B$18,1,0))</f>
        <v/>
      </c>
      <c r="BA64" s="760">
        <f>IF(49&lt;5,0,IF(MAX(AV39:BA39)&gt;BA44+3+$B$18,1,0))</f>
        <v/>
      </c>
      <c r="BB64" s="760">
        <f>IF(50&lt;5,0,IF(MAX(AW39:BB39)&gt;BB44+3+$B$18,1,0))</f>
        <v/>
      </c>
      <c r="BC64" s="760">
        <f>IF(51&lt;5,0,IF(MAX(AX39:BC39)&gt;BC44+3+$B$18,1,0))</f>
        <v/>
      </c>
      <c r="BD64" s="760">
        <f>IF(52&lt;5,0,IF(MAX(AY39:BD39)&gt;BD44+3+$B$18,1,0))</f>
        <v/>
      </c>
      <c r="BE64" s="760">
        <f>IF(53&lt;5,0,IF(MAX(AZ39:BE39)&gt;BE44+3+$B$18,1,0))</f>
        <v/>
      </c>
      <c r="BF64" s="760">
        <f>IF(54&lt;5,0,IF(MAX(BA39:BF39)&gt;BF44+3+$B$18,1,0))</f>
        <v/>
      </c>
      <c r="BG64" s="760">
        <f>IF(55&lt;5,0,IF(MAX(BB39:BG39)&gt;BG44+3+$B$18,1,0))</f>
        <v/>
      </c>
      <c r="BH64" s="760">
        <f>IF(56&lt;5,0,IF(MAX(BC39:BH39)&gt;BH44+3+$B$18,1,0))</f>
        <v/>
      </c>
      <c r="BI64" s="760">
        <f>IF(57&lt;5,0,IF(MAX(BD39:BI39)&gt;BI44+3+$B$18,1,0))</f>
        <v/>
      </c>
      <c r="BJ64" s="760">
        <f>IF(58&lt;5,0,IF(MAX(BE39:BJ39)&gt;BJ44+3+$B$18,1,0))</f>
        <v/>
      </c>
      <c r="BK64" s="760">
        <f>IF(59&lt;5,0,IF(MAX(BF39:BK39)&gt;BK44+3+$B$18,1,0))</f>
        <v/>
      </c>
      <c r="BL64" s="760">
        <f>IF(60&lt;5,0,IF(MAX(BG39:BL39)&gt;BL44+3+$B$18,1,0))</f>
        <v/>
      </c>
      <c r="BM64" s="760">
        <f>IF(61&lt;5,0,IF(MAX(BH39:BM39)&gt;BM44+3+$B$18,1,0))</f>
        <v/>
      </c>
      <c r="BN64" s="760">
        <f>IF(62&lt;5,0,IF(MAX(BI39:BN39)&gt;BN44+3+$B$18,1,0))</f>
        <v/>
      </c>
      <c r="BO64" s="760">
        <f>IF(63&lt;5,0,IF(MAX(BJ39:BO39)&gt;BO44+3+$B$18,1,0))</f>
        <v/>
      </c>
      <c r="BP64" s="760">
        <f>IF(64&lt;5,0,IF(MAX(BK39:BP39)&gt;BP44+3+$B$18,1,0))</f>
        <v/>
      </c>
      <c r="BQ64" s="760">
        <f>IF(65&lt;5,0,IF(MAX(BL39:BQ39)&gt;BQ44+3+$B$18,1,0))</f>
        <v/>
      </c>
      <c r="BR64" s="760">
        <f>IF(66&lt;5,0,IF(MAX(BM39:BR39)&gt;BR44+3+$B$18,1,0))</f>
        <v/>
      </c>
      <c r="BS64" s="760">
        <f>IF(67&lt;5,0,IF(MAX(BN39:BS39)&gt;BS44+3+$B$18,1,0))</f>
        <v/>
      </c>
      <c r="BT64" s="760">
        <f>IF(68&lt;5,0,IF(MAX(BO39:BT39)&gt;BT44+3+$B$18,1,0))</f>
        <v/>
      </c>
      <c r="BU64" s="760">
        <f>IF(69&lt;5,0,IF(MAX(BP39:BU39)&gt;BU44+3+$B$18,1,0))</f>
        <v/>
      </c>
      <c r="BV64" s="760">
        <f>IF(70&lt;5,0,IF(MAX(BQ39:BV39)&gt;BV44+3+$B$18,1,0))</f>
        <v/>
      </c>
      <c r="BW64" s="760">
        <f>IF(71&lt;5,0,IF(MAX(BR39:BW39)&gt;BW44+3+$B$18,1,0))</f>
        <v/>
      </c>
      <c r="BX64" s="760">
        <f>IF(72&lt;5,0,IF(MAX(BS39:BX39)&gt;BX44+3+$B$18,1,0))</f>
        <v/>
      </c>
      <c r="BY64" s="760">
        <f>IF(73&lt;5,0,IF(MAX(BT39:BY39)&gt;BY44+3+$B$18,1,0))</f>
        <v/>
      </c>
      <c r="BZ64" s="760">
        <f>IF(74&lt;5,0,IF(MAX(BU39:BZ39)&gt;BZ44+3+$B$18,1,0))</f>
        <v/>
      </c>
      <c r="CA64" s="760">
        <f>IF(75&lt;5,0,IF(MAX(BV39:CA39)&gt;CA44+3+$B$18,1,0))</f>
        <v/>
      </c>
      <c r="CB64" s="760">
        <f>IF(76&lt;5,0,IF(MAX(BW39:CB39)&gt;CB44+3+$B$18,1,0))</f>
        <v/>
      </c>
      <c r="CC64" s="760">
        <f>IF(77&lt;5,0,IF(MAX(BX39:CC39)&gt;CC44+3+$B$18,1,0))</f>
        <v/>
      </c>
      <c r="CD64" s="760">
        <f>IF(78&lt;5,0,IF(MAX(BY39:CD39)&gt;CD44+3+$B$18,1,0))</f>
        <v/>
      </c>
      <c r="CE64" s="760">
        <f>IF(79&lt;5,0,IF(MAX(BZ39:CE39)&gt;CE44+3+$B$18,1,0))</f>
        <v/>
      </c>
      <c r="CF64" s="760">
        <f>IF(80&lt;5,0,IF(MAX(CA39:CF39)&gt;CF44+3+$B$18,1,0))</f>
        <v/>
      </c>
      <c r="CG64" s="760">
        <f>IF(81&lt;5,0,IF(MAX(CB39:CG39)&gt;CG44+3+$B$18,1,0))</f>
        <v/>
      </c>
      <c r="CH64" s="760">
        <f>IF(82&lt;5,0,IF(MAX(CC39:CH39)&gt;CH44+3+$B$18,1,0))</f>
        <v/>
      </c>
      <c r="CI64" s="760">
        <f>IF(83&lt;5,0,IF(MAX(CD39:CI39)&gt;CI44+3+$B$18,1,0))</f>
        <v/>
      </c>
      <c r="CJ64" s="760">
        <f>IF(84&lt;5,0,IF(MAX(CE39:CJ39)&gt;CJ44+3+$B$18,1,0))</f>
        <v/>
      </c>
      <c r="CK64" s="760">
        <f>IF(85&lt;5,0,IF(MAX(CF39:CK39)&gt;CK44+3+$B$18,1,0))</f>
        <v/>
      </c>
      <c r="CL64" s="760">
        <f>IF(86&lt;5,0,IF(MAX(CG39:CL39)&gt;CL44+3+$B$18,1,0))</f>
        <v/>
      </c>
      <c r="CM64" s="760">
        <f>IF(87&lt;5,0,IF(MAX(CH39:CM39)&gt;CM44+3+$B$18,1,0))</f>
        <v/>
      </c>
      <c r="CN64" s="760">
        <f>IF(88&lt;5,0,IF(MAX(CI39:CN39)&gt;CN44+3+$B$18,1,0))</f>
        <v/>
      </c>
      <c r="CO64" s="760">
        <f>IF(89&lt;5,0,IF(MAX(CJ39:CO39)&gt;CO44+3+$B$18,1,0))</f>
        <v/>
      </c>
      <c r="CP64" s="760">
        <f>IF(90&lt;5,0,IF(MAX(CK39:CP39)&gt;CP44+3+$B$18,1,0))</f>
        <v/>
      </c>
      <c r="CQ64" s="760">
        <f>IF(91&lt;5,0,IF(MAX(CL39:CQ39)&gt;CQ44+3+$B$18,1,0))</f>
        <v/>
      </c>
      <c r="CR64" s="760">
        <f>IF(92&lt;5,0,IF(MAX(CM39:CR39)&gt;CR44+3+$B$18,1,0))</f>
        <v/>
      </c>
      <c r="CS64" s="760">
        <f>IF(93&lt;5,0,IF(MAX(CN39:CS39)&gt;CS44+3+$B$18,1,0))</f>
        <v/>
      </c>
      <c r="CT64" s="760">
        <f>IF(94&lt;5,0,IF(MAX(CO39:CT39)&gt;CT44+3+$B$18,1,0))</f>
        <v/>
      </c>
      <c r="CU64" s="760">
        <f>IF(95&lt;5,0,IF(MAX(CP39:CU39)&gt;CU44+3+$B$18,1,0))</f>
        <v/>
      </c>
      <c r="CV64" s="760">
        <f>IF(96&lt;5,0,IF(MAX(CQ39:CV39)&gt;CV44+3+$B$18,1,0))</f>
        <v/>
      </c>
      <c r="CW64" s="760">
        <f>IF(97&lt;5,0,IF(MAX(CR39:CW39)&gt;CW44+3+$B$18,1,0))</f>
        <v/>
      </c>
      <c r="CX64" s="760">
        <f>IF(98&lt;5,0,IF(MAX(CS39:CX39)&gt;CX44+3+$B$18,1,0))</f>
        <v/>
      </c>
      <c r="CY64" s="760">
        <f>IF(99&lt;5,0,IF(MAX(CT39:CY39)&gt;CY44+3+$B$18,1,0))</f>
        <v/>
      </c>
      <c r="CZ64" s="760">
        <f>IF(100&lt;5,0,IF(MAX(CU39:CZ39)&gt;CZ44+3+$B$18,1,0))</f>
        <v/>
      </c>
      <c r="DA64" s="760">
        <f>IF(101&lt;5,0,IF(MAX(CV39:DA39)&gt;DA44+3+$B$18,1,0))</f>
        <v/>
      </c>
      <c r="DB64" s="760">
        <f>IF(102&lt;5,0,IF(MAX(CW39:DB39)&gt;DB44+3+$B$18,1,0))</f>
        <v/>
      </c>
      <c r="DC64" s="760">
        <f>IF(103&lt;5,0,IF(MAX(CX39:DC39)&gt;DC44+3+$B$18,1,0))</f>
        <v/>
      </c>
      <c r="DD64" s="760">
        <f>IF(104&lt;5,0,IF(MAX(CY39:DD39)&gt;DD44+3+$B$18,1,0))</f>
        <v/>
      </c>
      <c r="DE64" s="760">
        <f>IF(105&lt;5,0,IF(MAX(CZ39:DE39)&gt;DE44+3+$B$18,1,0))</f>
        <v/>
      </c>
    </row>
    <row r="65">
      <c r="A65" s="586" t="inlineStr">
        <is>
          <t>APM slot 5</t>
        </is>
      </c>
      <c r="B65" s="587">
        <f>$B$28</f>
        <v/>
      </c>
      <c r="E65" s="760">
        <f>IF(1&lt;5,0,IF(MAX(E39:E39)&gt;E44+4+$B$18,1,0))</f>
        <v/>
      </c>
      <c r="F65" s="760">
        <f>IF(2&lt;5,0,IF(MAX(E39:F39)&gt;F44+4+$B$18,1,0))</f>
        <v/>
      </c>
      <c r="G65" s="760">
        <f>IF(3&lt;5,0,IF(MAX(E39:G39)&gt;G44+4+$B$18,1,0))</f>
        <v/>
      </c>
      <c r="H65" s="760">
        <f>IF(4&lt;5,0,IF(MAX(E39:H39)&gt;H44+4+$B$18,1,0))</f>
        <v/>
      </c>
      <c r="I65" s="760">
        <f>IF(5&lt;5,0,IF(MAX(E39:I39)&gt;I44+4+$B$18,1,0))</f>
        <v/>
      </c>
      <c r="J65" s="760">
        <f>IF(6&lt;5,0,IF(MAX(E39:J39)&gt;J44+4+$B$18,1,0))</f>
        <v/>
      </c>
      <c r="K65" s="760">
        <f>IF(7&lt;5,0,IF(MAX(F39:K39)&gt;K44+4+$B$18,1,0))</f>
        <v/>
      </c>
      <c r="L65" s="760">
        <f>IF(8&lt;5,0,IF(MAX(G39:L39)&gt;L44+4+$B$18,1,0))</f>
        <v/>
      </c>
      <c r="M65" s="760">
        <f>IF(9&lt;5,0,IF(MAX(H39:M39)&gt;M44+4+$B$18,1,0))</f>
        <v/>
      </c>
      <c r="N65" s="760">
        <f>IF(10&lt;5,0,IF(MAX(I39:N39)&gt;N44+4+$B$18,1,0))</f>
        <v/>
      </c>
      <c r="O65" s="760">
        <f>IF(11&lt;5,0,IF(MAX(J39:O39)&gt;O44+4+$B$18,1,0))</f>
        <v/>
      </c>
      <c r="P65" s="760">
        <f>IF(12&lt;5,0,IF(MAX(K39:P39)&gt;P44+4+$B$18,1,0))</f>
        <v/>
      </c>
      <c r="Q65" s="760">
        <f>IF(13&lt;5,0,IF(MAX(L39:Q39)&gt;Q44+4+$B$18,1,0))</f>
        <v/>
      </c>
      <c r="R65" s="760">
        <f>IF(14&lt;5,0,IF(MAX(M39:R39)&gt;R44+4+$B$18,1,0))</f>
        <v/>
      </c>
      <c r="S65" s="760">
        <f>IF(15&lt;5,0,IF(MAX(N39:S39)&gt;S44+4+$B$18,1,0))</f>
        <v/>
      </c>
      <c r="T65" s="760">
        <f>IF(16&lt;5,0,IF(MAX(O39:T39)&gt;T44+4+$B$18,1,0))</f>
        <v/>
      </c>
      <c r="U65" s="760">
        <f>IF(17&lt;5,0,IF(MAX(P39:U39)&gt;U44+4+$B$18,1,0))</f>
        <v/>
      </c>
      <c r="V65" s="760">
        <f>IF(18&lt;5,0,IF(MAX(Q39:V39)&gt;V44+4+$B$18,1,0))</f>
        <v/>
      </c>
      <c r="W65" s="760">
        <f>IF(19&lt;5,0,IF(MAX(R39:W39)&gt;W44+4+$B$18,1,0))</f>
        <v/>
      </c>
      <c r="X65" s="760">
        <f>IF(20&lt;5,0,IF(MAX(S39:X39)&gt;X44+4+$B$18,1,0))</f>
        <v/>
      </c>
      <c r="Y65" s="760">
        <f>IF(21&lt;5,0,IF(MAX(T39:Y39)&gt;Y44+4+$B$18,1,0))</f>
        <v/>
      </c>
      <c r="Z65" s="760">
        <f>IF(22&lt;5,0,IF(MAX(U39:Z39)&gt;Z44+4+$B$18,1,0))</f>
        <v/>
      </c>
      <c r="AA65" s="760">
        <f>IF(23&lt;5,0,IF(MAX(V39:AA39)&gt;AA44+4+$B$18,1,0))</f>
        <v/>
      </c>
      <c r="AB65" s="760">
        <f>IF(24&lt;5,0,IF(MAX(W39:AB39)&gt;AB44+4+$B$18,1,0))</f>
        <v/>
      </c>
      <c r="AC65" s="760">
        <f>IF(25&lt;5,0,IF(MAX(X39:AC39)&gt;AC44+4+$B$18,1,0))</f>
        <v/>
      </c>
      <c r="AD65" s="760">
        <f>IF(26&lt;5,0,IF(MAX(Y39:AD39)&gt;AD44+4+$B$18,1,0))</f>
        <v/>
      </c>
      <c r="AE65" s="760">
        <f>IF(27&lt;5,0,IF(MAX(Z39:AE39)&gt;AE44+4+$B$18,1,0))</f>
        <v/>
      </c>
      <c r="AF65" s="760">
        <f>IF(28&lt;5,0,IF(MAX(AA39:AF39)&gt;AF44+4+$B$18,1,0))</f>
        <v/>
      </c>
      <c r="AG65" s="760">
        <f>IF(29&lt;5,0,IF(MAX(AB39:AG39)&gt;AG44+4+$B$18,1,0))</f>
        <v/>
      </c>
      <c r="AH65" s="760">
        <f>IF(30&lt;5,0,IF(MAX(AC39:AH39)&gt;AH44+4+$B$18,1,0))</f>
        <v/>
      </c>
      <c r="AI65" s="760">
        <f>IF(31&lt;5,0,IF(MAX(AD39:AI39)&gt;AI44+4+$B$18,1,0))</f>
        <v/>
      </c>
      <c r="AJ65" s="760">
        <f>IF(32&lt;5,0,IF(MAX(AE39:AJ39)&gt;AJ44+4+$B$18,1,0))</f>
        <v/>
      </c>
      <c r="AK65" s="760">
        <f>IF(33&lt;5,0,IF(MAX(AF39:AK39)&gt;AK44+4+$B$18,1,0))</f>
        <v/>
      </c>
      <c r="AL65" s="760">
        <f>IF(34&lt;5,0,IF(MAX(AG39:AL39)&gt;AL44+4+$B$18,1,0))</f>
        <v/>
      </c>
      <c r="AM65" s="760">
        <f>IF(35&lt;5,0,IF(MAX(AH39:AM39)&gt;AM44+4+$B$18,1,0))</f>
        <v/>
      </c>
      <c r="AN65" s="760">
        <f>IF(36&lt;5,0,IF(MAX(AI39:AN39)&gt;AN44+4+$B$18,1,0))</f>
        <v/>
      </c>
      <c r="AO65" s="760">
        <f>IF(37&lt;5,0,IF(MAX(AJ39:AO39)&gt;AO44+4+$B$18,1,0))</f>
        <v/>
      </c>
      <c r="AP65" s="760">
        <f>IF(38&lt;5,0,IF(MAX(AK39:AP39)&gt;AP44+4+$B$18,1,0))</f>
        <v/>
      </c>
      <c r="AQ65" s="760">
        <f>IF(39&lt;5,0,IF(MAX(AL39:AQ39)&gt;AQ44+4+$B$18,1,0))</f>
        <v/>
      </c>
      <c r="AR65" s="760">
        <f>IF(40&lt;5,0,IF(MAX(AM39:AR39)&gt;AR44+4+$B$18,1,0))</f>
        <v/>
      </c>
      <c r="AS65" s="760">
        <f>IF(41&lt;5,0,IF(MAX(AN39:AS39)&gt;AS44+4+$B$18,1,0))</f>
        <v/>
      </c>
      <c r="AT65" s="760">
        <f>IF(42&lt;5,0,IF(MAX(AO39:AT39)&gt;AT44+4+$B$18,1,0))</f>
        <v/>
      </c>
      <c r="AU65" s="760">
        <f>IF(43&lt;5,0,IF(MAX(AP39:AU39)&gt;AU44+4+$B$18,1,0))</f>
        <v/>
      </c>
      <c r="AV65" s="760">
        <f>IF(44&lt;5,0,IF(MAX(AQ39:AV39)&gt;AV44+4+$B$18,1,0))</f>
        <v/>
      </c>
      <c r="AW65" s="760">
        <f>IF(45&lt;5,0,IF(MAX(AR39:AW39)&gt;AW44+4+$B$18,1,0))</f>
        <v/>
      </c>
      <c r="AX65" s="760">
        <f>IF(46&lt;5,0,IF(MAX(AS39:AX39)&gt;AX44+4+$B$18,1,0))</f>
        <v/>
      </c>
      <c r="AY65" s="760">
        <f>IF(47&lt;5,0,IF(MAX(AT39:AY39)&gt;AY44+4+$B$18,1,0))</f>
        <v/>
      </c>
      <c r="AZ65" s="760">
        <f>IF(48&lt;5,0,IF(MAX(AU39:AZ39)&gt;AZ44+4+$B$18,1,0))</f>
        <v/>
      </c>
      <c r="BA65" s="760">
        <f>IF(49&lt;5,0,IF(MAX(AV39:BA39)&gt;BA44+4+$B$18,1,0))</f>
        <v/>
      </c>
      <c r="BB65" s="760">
        <f>IF(50&lt;5,0,IF(MAX(AW39:BB39)&gt;BB44+4+$B$18,1,0))</f>
        <v/>
      </c>
      <c r="BC65" s="760">
        <f>IF(51&lt;5,0,IF(MAX(AX39:BC39)&gt;BC44+4+$B$18,1,0))</f>
        <v/>
      </c>
      <c r="BD65" s="760">
        <f>IF(52&lt;5,0,IF(MAX(AY39:BD39)&gt;BD44+4+$B$18,1,0))</f>
        <v/>
      </c>
      <c r="BE65" s="760">
        <f>IF(53&lt;5,0,IF(MAX(AZ39:BE39)&gt;BE44+4+$B$18,1,0))</f>
        <v/>
      </c>
      <c r="BF65" s="760">
        <f>IF(54&lt;5,0,IF(MAX(BA39:BF39)&gt;BF44+4+$B$18,1,0))</f>
        <v/>
      </c>
      <c r="BG65" s="760">
        <f>IF(55&lt;5,0,IF(MAX(BB39:BG39)&gt;BG44+4+$B$18,1,0))</f>
        <v/>
      </c>
      <c r="BH65" s="760">
        <f>IF(56&lt;5,0,IF(MAX(BC39:BH39)&gt;BH44+4+$B$18,1,0))</f>
        <v/>
      </c>
      <c r="BI65" s="760">
        <f>IF(57&lt;5,0,IF(MAX(BD39:BI39)&gt;BI44+4+$B$18,1,0))</f>
        <v/>
      </c>
      <c r="BJ65" s="760">
        <f>IF(58&lt;5,0,IF(MAX(BE39:BJ39)&gt;BJ44+4+$B$18,1,0))</f>
        <v/>
      </c>
      <c r="BK65" s="760">
        <f>IF(59&lt;5,0,IF(MAX(BF39:BK39)&gt;BK44+4+$B$18,1,0))</f>
        <v/>
      </c>
      <c r="BL65" s="760">
        <f>IF(60&lt;5,0,IF(MAX(BG39:BL39)&gt;BL44+4+$B$18,1,0))</f>
        <v/>
      </c>
      <c r="BM65" s="760">
        <f>IF(61&lt;5,0,IF(MAX(BH39:BM39)&gt;BM44+4+$B$18,1,0))</f>
        <v/>
      </c>
      <c r="BN65" s="760">
        <f>IF(62&lt;5,0,IF(MAX(BI39:BN39)&gt;BN44+4+$B$18,1,0))</f>
        <v/>
      </c>
      <c r="BO65" s="760">
        <f>IF(63&lt;5,0,IF(MAX(BJ39:BO39)&gt;BO44+4+$B$18,1,0))</f>
        <v/>
      </c>
      <c r="BP65" s="760">
        <f>IF(64&lt;5,0,IF(MAX(BK39:BP39)&gt;BP44+4+$B$18,1,0))</f>
        <v/>
      </c>
      <c r="BQ65" s="760">
        <f>IF(65&lt;5,0,IF(MAX(BL39:BQ39)&gt;BQ44+4+$B$18,1,0))</f>
        <v/>
      </c>
      <c r="BR65" s="760">
        <f>IF(66&lt;5,0,IF(MAX(BM39:BR39)&gt;BR44+4+$B$18,1,0))</f>
        <v/>
      </c>
      <c r="BS65" s="760">
        <f>IF(67&lt;5,0,IF(MAX(BN39:BS39)&gt;BS44+4+$B$18,1,0))</f>
        <v/>
      </c>
      <c r="BT65" s="760">
        <f>IF(68&lt;5,0,IF(MAX(BO39:BT39)&gt;BT44+4+$B$18,1,0))</f>
        <v/>
      </c>
      <c r="BU65" s="760">
        <f>IF(69&lt;5,0,IF(MAX(BP39:BU39)&gt;BU44+4+$B$18,1,0))</f>
        <v/>
      </c>
      <c r="BV65" s="760">
        <f>IF(70&lt;5,0,IF(MAX(BQ39:BV39)&gt;BV44+4+$B$18,1,0))</f>
        <v/>
      </c>
      <c r="BW65" s="760">
        <f>IF(71&lt;5,0,IF(MAX(BR39:BW39)&gt;BW44+4+$B$18,1,0))</f>
        <v/>
      </c>
      <c r="BX65" s="760">
        <f>IF(72&lt;5,0,IF(MAX(BS39:BX39)&gt;BX44+4+$B$18,1,0))</f>
        <v/>
      </c>
      <c r="BY65" s="760">
        <f>IF(73&lt;5,0,IF(MAX(BT39:BY39)&gt;BY44+4+$B$18,1,0))</f>
        <v/>
      </c>
      <c r="BZ65" s="760">
        <f>IF(74&lt;5,0,IF(MAX(BU39:BZ39)&gt;BZ44+4+$B$18,1,0))</f>
        <v/>
      </c>
      <c r="CA65" s="760">
        <f>IF(75&lt;5,0,IF(MAX(BV39:CA39)&gt;CA44+4+$B$18,1,0))</f>
        <v/>
      </c>
      <c r="CB65" s="760">
        <f>IF(76&lt;5,0,IF(MAX(BW39:CB39)&gt;CB44+4+$B$18,1,0))</f>
        <v/>
      </c>
      <c r="CC65" s="760">
        <f>IF(77&lt;5,0,IF(MAX(BX39:CC39)&gt;CC44+4+$B$18,1,0))</f>
        <v/>
      </c>
      <c r="CD65" s="760">
        <f>IF(78&lt;5,0,IF(MAX(BY39:CD39)&gt;CD44+4+$B$18,1,0))</f>
        <v/>
      </c>
      <c r="CE65" s="760">
        <f>IF(79&lt;5,0,IF(MAX(BZ39:CE39)&gt;CE44+4+$B$18,1,0))</f>
        <v/>
      </c>
      <c r="CF65" s="760">
        <f>IF(80&lt;5,0,IF(MAX(CA39:CF39)&gt;CF44+4+$B$18,1,0))</f>
        <v/>
      </c>
      <c r="CG65" s="760">
        <f>IF(81&lt;5,0,IF(MAX(CB39:CG39)&gt;CG44+4+$B$18,1,0))</f>
        <v/>
      </c>
      <c r="CH65" s="760">
        <f>IF(82&lt;5,0,IF(MAX(CC39:CH39)&gt;CH44+4+$B$18,1,0))</f>
        <v/>
      </c>
      <c r="CI65" s="760">
        <f>IF(83&lt;5,0,IF(MAX(CD39:CI39)&gt;CI44+4+$B$18,1,0))</f>
        <v/>
      </c>
      <c r="CJ65" s="760">
        <f>IF(84&lt;5,0,IF(MAX(CE39:CJ39)&gt;CJ44+4+$B$18,1,0))</f>
        <v/>
      </c>
      <c r="CK65" s="760">
        <f>IF(85&lt;5,0,IF(MAX(CF39:CK39)&gt;CK44+4+$B$18,1,0))</f>
        <v/>
      </c>
      <c r="CL65" s="760">
        <f>IF(86&lt;5,0,IF(MAX(CG39:CL39)&gt;CL44+4+$B$18,1,0))</f>
        <v/>
      </c>
      <c r="CM65" s="760">
        <f>IF(87&lt;5,0,IF(MAX(CH39:CM39)&gt;CM44+4+$B$18,1,0))</f>
        <v/>
      </c>
      <c r="CN65" s="760">
        <f>IF(88&lt;5,0,IF(MAX(CI39:CN39)&gt;CN44+4+$B$18,1,0))</f>
        <v/>
      </c>
      <c r="CO65" s="760">
        <f>IF(89&lt;5,0,IF(MAX(CJ39:CO39)&gt;CO44+4+$B$18,1,0))</f>
        <v/>
      </c>
      <c r="CP65" s="760">
        <f>IF(90&lt;5,0,IF(MAX(CK39:CP39)&gt;CP44+4+$B$18,1,0))</f>
        <v/>
      </c>
      <c r="CQ65" s="760">
        <f>IF(91&lt;5,0,IF(MAX(CL39:CQ39)&gt;CQ44+4+$B$18,1,0))</f>
        <v/>
      </c>
      <c r="CR65" s="760">
        <f>IF(92&lt;5,0,IF(MAX(CM39:CR39)&gt;CR44+4+$B$18,1,0))</f>
        <v/>
      </c>
      <c r="CS65" s="760">
        <f>IF(93&lt;5,0,IF(MAX(CN39:CS39)&gt;CS44+4+$B$18,1,0))</f>
        <v/>
      </c>
      <c r="CT65" s="760">
        <f>IF(94&lt;5,0,IF(MAX(CO39:CT39)&gt;CT44+4+$B$18,1,0))</f>
        <v/>
      </c>
      <c r="CU65" s="760">
        <f>IF(95&lt;5,0,IF(MAX(CP39:CU39)&gt;CU44+4+$B$18,1,0))</f>
        <v/>
      </c>
      <c r="CV65" s="760">
        <f>IF(96&lt;5,0,IF(MAX(CQ39:CV39)&gt;CV44+4+$B$18,1,0))</f>
        <v/>
      </c>
      <c r="CW65" s="760">
        <f>IF(97&lt;5,0,IF(MAX(CR39:CW39)&gt;CW44+4+$B$18,1,0))</f>
        <v/>
      </c>
      <c r="CX65" s="760">
        <f>IF(98&lt;5,0,IF(MAX(CS39:CX39)&gt;CX44+4+$B$18,1,0))</f>
        <v/>
      </c>
      <c r="CY65" s="760">
        <f>IF(99&lt;5,0,IF(MAX(CT39:CY39)&gt;CY44+4+$B$18,1,0))</f>
        <v/>
      </c>
      <c r="CZ65" s="760">
        <f>IF(100&lt;5,0,IF(MAX(CU39:CZ39)&gt;CZ44+4+$B$18,1,0))</f>
        <v/>
      </c>
      <c r="DA65" s="760">
        <f>IF(101&lt;5,0,IF(MAX(CV39:DA39)&gt;DA44+4+$B$18,1,0))</f>
        <v/>
      </c>
      <c r="DB65" s="760">
        <f>IF(102&lt;5,0,IF(MAX(CW39:DB39)&gt;DB44+4+$B$18,1,0))</f>
        <v/>
      </c>
      <c r="DC65" s="760">
        <f>IF(103&lt;5,0,IF(MAX(CX39:DC39)&gt;DC44+4+$B$18,1,0))</f>
        <v/>
      </c>
      <c r="DD65" s="760">
        <f>IF(104&lt;5,0,IF(MAX(CY39:DD39)&gt;DD44+4+$B$18,1,0))</f>
        <v/>
      </c>
      <c r="DE65" s="760">
        <f>IF(105&lt;5,0,IF(MAX(CZ39:DE39)&gt;DE44+4+$B$18,1,0))</f>
        <v/>
      </c>
    </row>
    <row r="66">
      <c r="A66" s="586" t="inlineStr">
        <is>
          <t>APM slot 6</t>
        </is>
      </c>
      <c r="B66" s="587">
        <f>$B$28</f>
        <v/>
      </c>
      <c r="E66" s="760">
        <f>IF(1&lt;5,0,IF(MAX(E39:E39)&gt;E44+5+$B$18,1,0))</f>
        <v/>
      </c>
      <c r="F66" s="760">
        <f>IF(2&lt;5,0,IF(MAX(E39:F39)&gt;F44+5+$B$18,1,0))</f>
        <v/>
      </c>
      <c r="G66" s="760">
        <f>IF(3&lt;5,0,IF(MAX(E39:G39)&gt;G44+5+$B$18,1,0))</f>
        <v/>
      </c>
      <c r="H66" s="760">
        <f>IF(4&lt;5,0,IF(MAX(E39:H39)&gt;H44+5+$B$18,1,0))</f>
        <v/>
      </c>
      <c r="I66" s="760">
        <f>IF(5&lt;5,0,IF(MAX(E39:I39)&gt;I44+5+$B$18,1,0))</f>
        <v/>
      </c>
      <c r="J66" s="760">
        <f>IF(6&lt;5,0,IF(MAX(E39:J39)&gt;J44+5+$B$18,1,0))</f>
        <v/>
      </c>
      <c r="K66" s="760">
        <f>IF(7&lt;5,0,IF(MAX(F39:K39)&gt;K44+5+$B$18,1,0))</f>
        <v/>
      </c>
      <c r="L66" s="760">
        <f>IF(8&lt;5,0,IF(MAX(G39:L39)&gt;L44+5+$B$18,1,0))</f>
        <v/>
      </c>
      <c r="M66" s="760">
        <f>IF(9&lt;5,0,IF(MAX(H39:M39)&gt;M44+5+$B$18,1,0))</f>
        <v/>
      </c>
      <c r="N66" s="760">
        <f>IF(10&lt;5,0,IF(MAX(I39:N39)&gt;N44+5+$B$18,1,0))</f>
        <v/>
      </c>
      <c r="O66" s="760">
        <f>IF(11&lt;5,0,IF(MAX(J39:O39)&gt;O44+5+$B$18,1,0))</f>
        <v/>
      </c>
      <c r="P66" s="760">
        <f>IF(12&lt;5,0,IF(MAX(K39:P39)&gt;P44+5+$B$18,1,0))</f>
        <v/>
      </c>
      <c r="Q66" s="760">
        <f>IF(13&lt;5,0,IF(MAX(L39:Q39)&gt;Q44+5+$B$18,1,0))</f>
        <v/>
      </c>
      <c r="R66" s="760">
        <f>IF(14&lt;5,0,IF(MAX(M39:R39)&gt;R44+5+$B$18,1,0))</f>
        <v/>
      </c>
      <c r="S66" s="760">
        <f>IF(15&lt;5,0,IF(MAX(N39:S39)&gt;S44+5+$B$18,1,0))</f>
        <v/>
      </c>
      <c r="T66" s="760">
        <f>IF(16&lt;5,0,IF(MAX(O39:T39)&gt;T44+5+$B$18,1,0))</f>
        <v/>
      </c>
      <c r="U66" s="760">
        <f>IF(17&lt;5,0,IF(MAX(P39:U39)&gt;U44+5+$B$18,1,0))</f>
        <v/>
      </c>
      <c r="V66" s="760">
        <f>IF(18&lt;5,0,IF(MAX(Q39:V39)&gt;V44+5+$B$18,1,0))</f>
        <v/>
      </c>
      <c r="W66" s="760">
        <f>IF(19&lt;5,0,IF(MAX(R39:W39)&gt;W44+5+$B$18,1,0))</f>
        <v/>
      </c>
      <c r="X66" s="760">
        <f>IF(20&lt;5,0,IF(MAX(S39:X39)&gt;X44+5+$B$18,1,0))</f>
        <v/>
      </c>
      <c r="Y66" s="760">
        <f>IF(21&lt;5,0,IF(MAX(T39:Y39)&gt;Y44+5+$B$18,1,0))</f>
        <v/>
      </c>
      <c r="Z66" s="760">
        <f>IF(22&lt;5,0,IF(MAX(U39:Z39)&gt;Z44+5+$B$18,1,0))</f>
        <v/>
      </c>
      <c r="AA66" s="760">
        <f>IF(23&lt;5,0,IF(MAX(V39:AA39)&gt;AA44+5+$B$18,1,0))</f>
        <v/>
      </c>
      <c r="AB66" s="760">
        <f>IF(24&lt;5,0,IF(MAX(W39:AB39)&gt;AB44+5+$B$18,1,0))</f>
        <v/>
      </c>
      <c r="AC66" s="760">
        <f>IF(25&lt;5,0,IF(MAX(X39:AC39)&gt;AC44+5+$B$18,1,0))</f>
        <v/>
      </c>
      <c r="AD66" s="760">
        <f>IF(26&lt;5,0,IF(MAX(Y39:AD39)&gt;AD44+5+$B$18,1,0))</f>
        <v/>
      </c>
      <c r="AE66" s="760">
        <f>IF(27&lt;5,0,IF(MAX(Z39:AE39)&gt;AE44+5+$B$18,1,0))</f>
        <v/>
      </c>
      <c r="AF66" s="760">
        <f>IF(28&lt;5,0,IF(MAX(AA39:AF39)&gt;AF44+5+$B$18,1,0))</f>
        <v/>
      </c>
      <c r="AG66" s="760">
        <f>IF(29&lt;5,0,IF(MAX(AB39:AG39)&gt;AG44+5+$B$18,1,0))</f>
        <v/>
      </c>
      <c r="AH66" s="760">
        <f>IF(30&lt;5,0,IF(MAX(AC39:AH39)&gt;AH44+5+$B$18,1,0))</f>
        <v/>
      </c>
      <c r="AI66" s="760">
        <f>IF(31&lt;5,0,IF(MAX(AD39:AI39)&gt;AI44+5+$B$18,1,0))</f>
        <v/>
      </c>
      <c r="AJ66" s="760">
        <f>IF(32&lt;5,0,IF(MAX(AE39:AJ39)&gt;AJ44+5+$B$18,1,0))</f>
        <v/>
      </c>
      <c r="AK66" s="760">
        <f>IF(33&lt;5,0,IF(MAX(AF39:AK39)&gt;AK44+5+$B$18,1,0))</f>
        <v/>
      </c>
      <c r="AL66" s="760">
        <f>IF(34&lt;5,0,IF(MAX(AG39:AL39)&gt;AL44+5+$B$18,1,0))</f>
        <v/>
      </c>
      <c r="AM66" s="760">
        <f>IF(35&lt;5,0,IF(MAX(AH39:AM39)&gt;AM44+5+$B$18,1,0))</f>
        <v/>
      </c>
      <c r="AN66" s="760">
        <f>IF(36&lt;5,0,IF(MAX(AI39:AN39)&gt;AN44+5+$B$18,1,0))</f>
        <v/>
      </c>
      <c r="AO66" s="760">
        <f>IF(37&lt;5,0,IF(MAX(AJ39:AO39)&gt;AO44+5+$B$18,1,0))</f>
        <v/>
      </c>
      <c r="AP66" s="760">
        <f>IF(38&lt;5,0,IF(MAX(AK39:AP39)&gt;AP44+5+$B$18,1,0))</f>
        <v/>
      </c>
      <c r="AQ66" s="760">
        <f>IF(39&lt;5,0,IF(MAX(AL39:AQ39)&gt;AQ44+5+$B$18,1,0))</f>
        <v/>
      </c>
      <c r="AR66" s="760">
        <f>IF(40&lt;5,0,IF(MAX(AM39:AR39)&gt;AR44+5+$B$18,1,0))</f>
        <v/>
      </c>
      <c r="AS66" s="760">
        <f>IF(41&lt;5,0,IF(MAX(AN39:AS39)&gt;AS44+5+$B$18,1,0))</f>
        <v/>
      </c>
      <c r="AT66" s="760">
        <f>IF(42&lt;5,0,IF(MAX(AO39:AT39)&gt;AT44+5+$B$18,1,0))</f>
        <v/>
      </c>
      <c r="AU66" s="760">
        <f>IF(43&lt;5,0,IF(MAX(AP39:AU39)&gt;AU44+5+$B$18,1,0))</f>
        <v/>
      </c>
      <c r="AV66" s="760">
        <f>IF(44&lt;5,0,IF(MAX(AQ39:AV39)&gt;AV44+5+$B$18,1,0))</f>
        <v/>
      </c>
      <c r="AW66" s="760">
        <f>IF(45&lt;5,0,IF(MAX(AR39:AW39)&gt;AW44+5+$B$18,1,0))</f>
        <v/>
      </c>
      <c r="AX66" s="760">
        <f>IF(46&lt;5,0,IF(MAX(AS39:AX39)&gt;AX44+5+$B$18,1,0))</f>
        <v/>
      </c>
      <c r="AY66" s="760">
        <f>IF(47&lt;5,0,IF(MAX(AT39:AY39)&gt;AY44+5+$B$18,1,0))</f>
        <v/>
      </c>
      <c r="AZ66" s="760">
        <f>IF(48&lt;5,0,IF(MAX(AU39:AZ39)&gt;AZ44+5+$B$18,1,0))</f>
        <v/>
      </c>
      <c r="BA66" s="760">
        <f>IF(49&lt;5,0,IF(MAX(AV39:BA39)&gt;BA44+5+$B$18,1,0))</f>
        <v/>
      </c>
      <c r="BB66" s="760">
        <f>IF(50&lt;5,0,IF(MAX(AW39:BB39)&gt;BB44+5+$B$18,1,0))</f>
        <v/>
      </c>
      <c r="BC66" s="760">
        <f>IF(51&lt;5,0,IF(MAX(AX39:BC39)&gt;BC44+5+$B$18,1,0))</f>
        <v/>
      </c>
      <c r="BD66" s="760">
        <f>IF(52&lt;5,0,IF(MAX(AY39:BD39)&gt;BD44+5+$B$18,1,0))</f>
        <v/>
      </c>
      <c r="BE66" s="760">
        <f>IF(53&lt;5,0,IF(MAX(AZ39:BE39)&gt;BE44+5+$B$18,1,0))</f>
        <v/>
      </c>
      <c r="BF66" s="760">
        <f>IF(54&lt;5,0,IF(MAX(BA39:BF39)&gt;BF44+5+$B$18,1,0))</f>
        <v/>
      </c>
      <c r="BG66" s="760">
        <f>IF(55&lt;5,0,IF(MAX(BB39:BG39)&gt;BG44+5+$B$18,1,0))</f>
        <v/>
      </c>
      <c r="BH66" s="760">
        <f>IF(56&lt;5,0,IF(MAX(BC39:BH39)&gt;BH44+5+$B$18,1,0))</f>
        <v/>
      </c>
      <c r="BI66" s="760">
        <f>IF(57&lt;5,0,IF(MAX(BD39:BI39)&gt;BI44+5+$B$18,1,0))</f>
        <v/>
      </c>
      <c r="BJ66" s="760">
        <f>IF(58&lt;5,0,IF(MAX(BE39:BJ39)&gt;BJ44+5+$B$18,1,0))</f>
        <v/>
      </c>
      <c r="BK66" s="760">
        <f>IF(59&lt;5,0,IF(MAX(BF39:BK39)&gt;BK44+5+$B$18,1,0))</f>
        <v/>
      </c>
      <c r="BL66" s="760">
        <f>IF(60&lt;5,0,IF(MAX(BG39:BL39)&gt;BL44+5+$B$18,1,0))</f>
        <v/>
      </c>
      <c r="BM66" s="760">
        <f>IF(61&lt;5,0,IF(MAX(BH39:BM39)&gt;BM44+5+$B$18,1,0))</f>
        <v/>
      </c>
      <c r="BN66" s="760">
        <f>IF(62&lt;5,0,IF(MAX(BI39:BN39)&gt;BN44+5+$B$18,1,0))</f>
        <v/>
      </c>
      <c r="BO66" s="760">
        <f>IF(63&lt;5,0,IF(MAX(BJ39:BO39)&gt;BO44+5+$B$18,1,0))</f>
        <v/>
      </c>
      <c r="BP66" s="760">
        <f>IF(64&lt;5,0,IF(MAX(BK39:BP39)&gt;BP44+5+$B$18,1,0))</f>
        <v/>
      </c>
      <c r="BQ66" s="760">
        <f>IF(65&lt;5,0,IF(MAX(BL39:BQ39)&gt;BQ44+5+$B$18,1,0))</f>
        <v/>
      </c>
      <c r="BR66" s="760">
        <f>IF(66&lt;5,0,IF(MAX(BM39:BR39)&gt;BR44+5+$B$18,1,0))</f>
        <v/>
      </c>
      <c r="BS66" s="760">
        <f>IF(67&lt;5,0,IF(MAX(BN39:BS39)&gt;BS44+5+$B$18,1,0))</f>
        <v/>
      </c>
      <c r="BT66" s="760">
        <f>IF(68&lt;5,0,IF(MAX(BO39:BT39)&gt;BT44+5+$B$18,1,0))</f>
        <v/>
      </c>
      <c r="BU66" s="760">
        <f>IF(69&lt;5,0,IF(MAX(BP39:BU39)&gt;BU44+5+$B$18,1,0))</f>
        <v/>
      </c>
      <c r="BV66" s="760">
        <f>IF(70&lt;5,0,IF(MAX(BQ39:BV39)&gt;BV44+5+$B$18,1,0))</f>
        <v/>
      </c>
      <c r="BW66" s="760">
        <f>IF(71&lt;5,0,IF(MAX(BR39:BW39)&gt;BW44+5+$B$18,1,0))</f>
        <v/>
      </c>
      <c r="BX66" s="760">
        <f>IF(72&lt;5,0,IF(MAX(BS39:BX39)&gt;BX44+5+$B$18,1,0))</f>
        <v/>
      </c>
      <c r="BY66" s="760">
        <f>IF(73&lt;5,0,IF(MAX(BT39:BY39)&gt;BY44+5+$B$18,1,0))</f>
        <v/>
      </c>
      <c r="BZ66" s="760">
        <f>IF(74&lt;5,0,IF(MAX(BU39:BZ39)&gt;BZ44+5+$B$18,1,0))</f>
        <v/>
      </c>
      <c r="CA66" s="760">
        <f>IF(75&lt;5,0,IF(MAX(BV39:CA39)&gt;CA44+5+$B$18,1,0))</f>
        <v/>
      </c>
      <c r="CB66" s="760">
        <f>IF(76&lt;5,0,IF(MAX(BW39:CB39)&gt;CB44+5+$B$18,1,0))</f>
        <v/>
      </c>
      <c r="CC66" s="760">
        <f>IF(77&lt;5,0,IF(MAX(BX39:CC39)&gt;CC44+5+$B$18,1,0))</f>
        <v/>
      </c>
      <c r="CD66" s="760">
        <f>IF(78&lt;5,0,IF(MAX(BY39:CD39)&gt;CD44+5+$B$18,1,0))</f>
        <v/>
      </c>
      <c r="CE66" s="760">
        <f>IF(79&lt;5,0,IF(MAX(BZ39:CE39)&gt;CE44+5+$B$18,1,0))</f>
        <v/>
      </c>
      <c r="CF66" s="760">
        <f>IF(80&lt;5,0,IF(MAX(CA39:CF39)&gt;CF44+5+$B$18,1,0))</f>
        <v/>
      </c>
      <c r="CG66" s="760">
        <f>IF(81&lt;5,0,IF(MAX(CB39:CG39)&gt;CG44+5+$B$18,1,0))</f>
        <v/>
      </c>
      <c r="CH66" s="760">
        <f>IF(82&lt;5,0,IF(MAX(CC39:CH39)&gt;CH44+5+$B$18,1,0))</f>
        <v/>
      </c>
      <c r="CI66" s="760">
        <f>IF(83&lt;5,0,IF(MAX(CD39:CI39)&gt;CI44+5+$B$18,1,0))</f>
        <v/>
      </c>
      <c r="CJ66" s="760">
        <f>IF(84&lt;5,0,IF(MAX(CE39:CJ39)&gt;CJ44+5+$B$18,1,0))</f>
        <v/>
      </c>
      <c r="CK66" s="760">
        <f>IF(85&lt;5,0,IF(MAX(CF39:CK39)&gt;CK44+5+$B$18,1,0))</f>
        <v/>
      </c>
      <c r="CL66" s="760">
        <f>IF(86&lt;5,0,IF(MAX(CG39:CL39)&gt;CL44+5+$B$18,1,0))</f>
        <v/>
      </c>
      <c r="CM66" s="760">
        <f>IF(87&lt;5,0,IF(MAX(CH39:CM39)&gt;CM44+5+$B$18,1,0))</f>
        <v/>
      </c>
      <c r="CN66" s="760">
        <f>IF(88&lt;5,0,IF(MAX(CI39:CN39)&gt;CN44+5+$B$18,1,0))</f>
        <v/>
      </c>
      <c r="CO66" s="760">
        <f>IF(89&lt;5,0,IF(MAX(CJ39:CO39)&gt;CO44+5+$B$18,1,0))</f>
        <v/>
      </c>
      <c r="CP66" s="760">
        <f>IF(90&lt;5,0,IF(MAX(CK39:CP39)&gt;CP44+5+$B$18,1,0))</f>
        <v/>
      </c>
      <c r="CQ66" s="760">
        <f>IF(91&lt;5,0,IF(MAX(CL39:CQ39)&gt;CQ44+5+$B$18,1,0))</f>
        <v/>
      </c>
      <c r="CR66" s="760">
        <f>IF(92&lt;5,0,IF(MAX(CM39:CR39)&gt;CR44+5+$B$18,1,0))</f>
        <v/>
      </c>
      <c r="CS66" s="760">
        <f>IF(93&lt;5,0,IF(MAX(CN39:CS39)&gt;CS44+5+$B$18,1,0))</f>
        <v/>
      </c>
      <c r="CT66" s="760">
        <f>IF(94&lt;5,0,IF(MAX(CO39:CT39)&gt;CT44+5+$B$18,1,0))</f>
        <v/>
      </c>
      <c r="CU66" s="760">
        <f>IF(95&lt;5,0,IF(MAX(CP39:CU39)&gt;CU44+5+$B$18,1,0))</f>
        <v/>
      </c>
      <c r="CV66" s="760">
        <f>IF(96&lt;5,0,IF(MAX(CQ39:CV39)&gt;CV44+5+$B$18,1,0))</f>
        <v/>
      </c>
      <c r="CW66" s="760">
        <f>IF(97&lt;5,0,IF(MAX(CR39:CW39)&gt;CW44+5+$B$18,1,0))</f>
        <v/>
      </c>
      <c r="CX66" s="760">
        <f>IF(98&lt;5,0,IF(MAX(CS39:CX39)&gt;CX44+5+$B$18,1,0))</f>
        <v/>
      </c>
      <c r="CY66" s="760">
        <f>IF(99&lt;5,0,IF(MAX(CT39:CY39)&gt;CY44+5+$B$18,1,0))</f>
        <v/>
      </c>
      <c r="CZ66" s="760">
        <f>IF(100&lt;5,0,IF(MAX(CU39:CZ39)&gt;CZ44+5+$B$18,1,0))</f>
        <v/>
      </c>
      <c r="DA66" s="760">
        <f>IF(101&lt;5,0,IF(MAX(CV39:DA39)&gt;DA44+5+$B$18,1,0))</f>
        <v/>
      </c>
      <c r="DB66" s="760">
        <f>IF(102&lt;5,0,IF(MAX(CW39:DB39)&gt;DB44+5+$B$18,1,0))</f>
        <v/>
      </c>
      <c r="DC66" s="760">
        <f>IF(103&lt;5,0,IF(MAX(CX39:DC39)&gt;DC44+5+$B$18,1,0))</f>
        <v/>
      </c>
      <c r="DD66" s="760">
        <f>IF(104&lt;5,0,IF(MAX(CY39:DD39)&gt;DD44+5+$B$18,1,0))</f>
        <v/>
      </c>
      <c r="DE66" s="760">
        <f>IF(105&lt;5,0,IF(MAX(CZ39:DE39)&gt;DE44+5+$B$18,1,0))</f>
        <v/>
      </c>
    </row>
    <row r="67">
      <c r="A67" s="586" t="inlineStr">
        <is>
          <t>APM slot 7</t>
        </is>
      </c>
      <c r="B67" s="587">
        <f>$B$28</f>
        <v/>
      </c>
      <c r="E67" s="760">
        <f>IF(1&lt;5,0,IF(MAX(E39:E39)&gt;E44+6+$B$18,1,0))</f>
        <v/>
      </c>
      <c r="F67" s="760">
        <f>IF(2&lt;5,0,IF(MAX(E39:F39)&gt;F44+6+$B$18,1,0))</f>
        <v/>
      </c>
      <c r="G67" s="760">
        <f>IF(3&lt;5,0,IF(MAX(E39:G39)&gt;G44+6+$B$18,1,0))</f>
        <v/>
      </c>
      <c r="H67" s="760">
        <f>IF(4&lt;5,0,IF(MAX(E39:H39)&gt;H44+6+$B$18,1,0))</f>
        <v/>
      </c>
      <c r="I67" s="760">
        <f>IF(5&lt;5,0,IF(MAX(E39:I39)&gt;I44+6+$B$18,1,0))</f>
        <v/>
      </c>
      <c r="J67" s="760">
        <f>IF(6&lt;5,0,IF(MAX(E39:J39)&gt;J44+6+$B$18,1,0))</f>
        <v/>
      </c>
      <c r="K67" s="760">
        <f>IF(7&lt;5,0,IF(MAX(F39:K39)&gt;K44+6+$B$18,1,0))</f>
        <v/>
      </c>
      <c r="L67" s="760">
        <f>IF(8&lt;5,0,IF(MAX(G39:L39)&gt;L44+6+$B$18,1,0))</f>
        <v/>
      </c>
      <c r="M67" s="760">
        <f>IF(9&lt;5,0,IF(MAX(H39:M39)&gt;M44+6+$B$18,1,0))</f>
        <v/>
      </c>
      <c r="N67" s="760">
        <f>IF(10&lt;5,0,IF(MAX(I39:N39)&gt;N44+6+$B$18,1,0))</f>
        <v/>
      </c>
      <c r="O67" s="760">
        <f>IF(11&lt;5,0,IF(MAX(J39:O39)&gt;O44+6+$B$18,1,0))</f>
        <v/>
      </c>
      <c r="P67" s="760">
        <f>IF(12&lt;5,0,IF(MAX(K39:P39)&gt;P44+6+$B$18,1,0))</f>
        <v/>
      </c>
      <c r="Q67" s="760">
        <f>IF(13&lt;5,0,IF(MAX(L39:Q39)&gt;Q44+6+$B$18,1,0))</f>
        <v/>
      </c>
      <c r="R67" s="760">
        <f>IF(14&lt;5,0,IF(MAX(M39:R39)&gt;R44+6+$B$18,1,0))</f>
        <v/>
      </c>
      <c r="S67" s="760">
        <f>IF(15&lt;5,0,IF(MAX(N39:S39)&gt;S44+6+$B$18,1,0))</f>
        <v/>
      </c>
      <c r="T67" s="760">
        <f>IF(16&lt;5,0,IF(MAX(O39:T39)&gt;T44+6+$B$18,1,0))</f>
        <v/>
      </c>
      <c r="U67" s="760">
        <f>IF(17&lt;5,0,IF(MAX(P39:U39)&gt;U44+6+$B$18,1,0))</f>
        <v/>
      </c>
      <c r="V67" s="760">
        <f>IF(18&lt;5,0,IF(MAX(Q39:V39)&gt;V44+6+$B$18,1,0))</f>
        <v/>
      </c>
      <c r="W67" s="760">
        <f>IF(19&lt;5,0,IF(MAX(R39:W39)&gt;W44+6+$B$18,1,0))</f>
        <v/>
      </c>
      <c r="X67" s="760">
        <f>IF(20&lt;5,0,IF(MAX(S39:X39)&gt;X44+6+$B$18,1,0))</f>
        <v/>
      </c>
      <c r="Y67" s="760">
        <f>IF(21&lt;5,0,IF(MAX(T39:Y39)&gt;Y44+6+$B$18,1,0))</f>
        <v/>
      </c>
      <c r="Z67" s="760">
        <f>IF(22&lt;5,0,IF(MAX(U39:Z39)&gt;Z44+6+$B$18,1,0))</f>
        <v/>
      </c>
      <c r="AA67" s="760">
        <f>IF(23&lt;5,0,IF(MAX(V39:AA39)&gt;AA44+6+$B$18,1,0))</f>
        <v/>
      </c>
      <c r="AB67" s="760">
        <f>IF(24&lt;5,0,IF(MAX(W39:AB39)&gt;AB44+6+$B$18,1,0))</f>
        <v/>
      </c>
      <c r="AC67" s="760">
        <f>IF(25&lt;5,0,IF(MAX(X39:AC39)&gt;AC44+6+$B$18,1,0))</f>
        <v/>
      </c>
      <c r="AD67" s="760">
        <f>IF(26&lt;5,0,IF(MAX(Y39:AD39)&gt;AD44+6+$B$18,1,0))</f>
        <v/>
      </c>
      <c r="AE67" s="760">
        <f>IF(27&lt;5,0,IF(MAX(Z39:AE39)&gt;AE44+6+$B$18,1,0))</f>
        <v/>
      </c>
      <c r="AF67" s="760">
        <f>IF(28&lt;5,0,IF(MAX(AA39:AF39)&gt;AF44+6+$B$18,1,0))</f>
        <v/>
      </c>
      <c r="AG67" s="760">
        <f>IF(29&lt;5,0,IF(MAX(AB39:AG39)&gt;AG44+6+$B$18,1,0))</f>
        <v/>
      </c>
      <c r="AH67" s="760">
        <f>IF(30&lt;5,0,IF(MAX(AC39:AH39)&gt;AH44+6+$B$18,1,0))</f>
        <v/>
      </c>
      <c r="AI67" s="760">
        <f>IF(31&lt;5,0,IF(MAX(AD39:AI39)&gt;AI44+6+$B$18,1,0))</f>
        <v/>
      </c>
      <c r="AJ67" s="760">
        <f>IF(32&lt;5,0,IF(MAX(AE39:AJ39)&gt;AJ44+6+$B$18,1,0))</f>
        <v/>
      </c>
      <c r="AK67" s="760">
        <f>IF(33&lt;5,0,IF(MAX(AF39:AK39)&gt;AK44+6+$B$18,1,0))</f>
        <v/>
      </c>
      <c r="AL67" s="760">
        <f>IF(34&lt;5,0,IF(MAX(AG39:AL39)&gt;AL44+6+$B$18,1,0))</f>
        <v/>
      </c>
      <c r="AM67" s="760">
        <f>IF(35&lt;5,0,IF(MAX(AH39:AM39)&gt;AM44+6+$B$18,1,0))</f>
        <v/>
      </c>
      <c r="AN67" s="760">
        <f>IF(36&lt;5,0,IF(MAX(AI39:AN39)&gt;AN44+6+$B$18,1,0))</f>
        <v/>
      </c>
      <c r="AO67" s="760">
        <f>IF(37&lt;5,0,IF(MAX(AJ39:AO39)&gt;AO44+6+$B$18,1,0))</f>
        <v/>
      </c>
      <c r="AP67" s="760">
        <f>IF(38&lt;5,0,IF(MAX(AK39:AP39)&gt;AP44+6+$B$18,1,0))</f>
        <v/>
      </c>
      <c r="AQ67" s="760">
        <f>IF(39&lt;5,0,IF(MAX(AL39:AQ39)&gt;AQ44+6+$B$18,1,0))</f>
        <v/>
      </c>
      <c r="AR67" s="760">
        <f>IF(40&lt;5,0,IF(MAX(AM39:AR39)&gt;AR44+6+$B$18,1,0))</f>
        <v/>
      </c>
      <c r="AS67" s="760">
        <f>IF(41&lt;5,0,IF(MAX(AN39:AS39)&gt;AS44+6+$B$18,1,0))</f>
        <v/>
      </c>
      <c r="AT67" s="760">
        <f>IF(42&lt;5,0,IF(MAX(AO39:AT39)&gt;AT44+6+$B$18,1,0))</f>
        <v/>
      </c>
      <c r="AU67" s="760">
        <f>IF(43&lt;5,0,IF(MAX(AP39:AU39)&gt;AU44+6+$B$18,1,0))</f>
        <v/>
      </c>
      <c r="AV67" s="760">
        <f>IF(44&lt;5,0,IF(MAX(AQ39:AV39)&gt;AV44+6+$B$18,1,0))</f>
        <v/>
      </c>
      <c r="AW67" s="760">
        <f>IF(45&lt;5,0,IF(MAX(AR39:AW39)&gt;AW44+6+$B$18,1,0))</f>
        <v/>
      </c>
      <c r="AX67" s="760">
        <f>IF(46&lt;5,0,IF(MAX(AS39:AX39)&gt;AX44+6+$B$18,1,0))</f>
        <v/>
      </c>
      <c r="AY67" s="760">
        <f>IF(47&lt;5,0,IF(MAX(AT39:AY39)&gt;AY44+6+$B$18,1,0))</f>
        <v/>
      </c>
      <c r="AZ67" s="760">
        <f>IF(48&lt;5,0,IF(MAX(AU39:AZ39)&gt;AZ44+6+$B$18,1,0))</f>
        <v/>
      </c>
      <c r="BA67" s="760">
        <f>IF(49&lt;5,0,IF(MAX(AV39:BA39)&gt;BA44+6+$B$18,1,0))</f>
        <v/>
      </c>
      <c r="BB67" s="760">
        <f>IF(50&lt;5,0,IF(MAX(AW39:BB39)&gt;BB44+6+$B$18,1,0))</f>
        <v/>
      </c>
      <c r="BC67" s="760">
        <f>IF(51&lt;5,0,IF(MAX(AX39:BC39)&gt;BC44+6+$B$18,1,0))</f>
        <v/>
      </c>
      <c r="BD67" s="760">
        <f>IF(52&lt;5,0,IF(MAX(AY39:BD39)&gt;BD44+6+$B$18,1,0))</f>
        <v/>
      </c>
      <c r="BE67" s="760">
        <f>IF(53&lt;5,0,IF(MAX(AZ39:BE39)&gt;BE44+6+$B$18,1,0))</f>
        <v/>
      </c>
      <c r="BF67" s="760">
        <f>IF(54&lt;5,0,IF(MAX(BA39:BF39)&gt;BF44+6+$B$18,1,0))</f>
        <v/>
      </c>
      <c r="BG67" s="760">
        <f>IF(55&lt;5,0,IF(MAX(BB39:BG39)&gt;BG44+6+$B$18,1,0))</f>
        <v/>
      </c>
      <c r="BH67" s="760">
        <f>IF(56&lt;5,0,IF(MAX(BC39:BH39)&gt;BH44+6+$B$18,1,0))</f>
        <v/>
      </c>
      <c r="BI67" s="760">
        <f>IF(57&lt;5,0,IF(MAX(BD39:BI39)&gt;BI44+6+$B$18,1,0))</f>
        <v/>
      </c>
      <c r="BJ67" s="760">
        <f>IF(58&lt;5,0,IF(MAX(BE39:BJ39)&gt;BJ44+6+$B$18,1,0))</f>
        <v/>
      </c>
      <c r="BK67" s="760">
        <f>IF(59&lt;5,0,IF(MAX(BF39:BK39)&gt;BK44+6+$B$18,1,0))</f>
        <v/>
      </c>
      <c r="BL67" s="760">
        <f>IF(60&lt;5,0,IF(MAX(BG39:BL39)&gt;BL44+6+$B$18,1,0))</f>
        <v/>
      </c>
      <c r="BM67" s="760">
        <f>IF(61&lt;5,0,IF(MAX(BH39:BM39)&gt;BM44+6+$B$18,1,0))</f>
        <v/>
      </c>
      <c r="BN67" s="760">
        <f>IF(62&lt;5,0,IF(MAX(BI39:BN39)&gt;BN44+6+$B$18,1,0))</f>
        <v/>
      </c>
      <c r="BO67" s="760">
        <f>IF(63&lt;5,0,IF(MAX(BJ39:BO39)&gt;BO44+6+$B$18,1,0))</f>
        <v/>
      </c>
      <c r="BP67" s="760">
        <f>IF(64&lt;5,0,IF(MAX(BK39:BP39)&gt;BP44+6+$B$18,1,0))</f>
        <v/>
      </c>
      <c r="BQ67" s="760">
        <f>IF(65&lt;5,0,IF(MAX(BL39:BQ39)&gt;BQ44+6+$B$18,1,0))</f>
        <v/>
      </c>
      <c r="BR67" s="760">
        <f>IF(66&lt;5,0,IF(MAX(BM39:BR39)&gt;BR44+6+$B$18,1,0))</f>
        <v/>
      </c>
      <c r="BS67" s="760">
        <f>IF(67&lt;5,0,IF(MAX(BN39:BS39)&gt;BS44+6+$B$18,1,0))</f>
        <v/>
      </c>
      <c r="BT67" s="760">
        <f>IF(68&lt;5,0,IF(MAX(BO39:BT39)&gt;BT44+6+$B$18,1,0))</f>
        <v/>
      </c>
      <c r="BU67" s="760">
        <f>IF(69&lt;5,0,IF(MAX(BP39:BU39)&gt;BU44+6+$B$18,1,0))</f>
        <v/>
      </c>
      <c r="BV67" s="760">
        <f>IF(70&lt;5,0,IF(MAX(BQ39:BV39)&gt;BV44+6+$B$18,1,0))</f>
        <v/>
      </c>
      <c r="BW67" s="760">
        <f>IF(71&lt;5,0,IF(MAX(BR39:BW39)&gt;BW44+6+$B$18,1,0))</f>
        <v/>
      </c>
      <c r="BX67" s="760">
        <f>IF(72&lt;5,0,IF(MAX(BS39:BX39)&gt;BX44+6+$B$18,1,0))</f>
        <v/>
      </c>
      <c r="BY67" s="760">
        <f>IF(73&lt;5,0,IF(MAX(BT39:BY39)&gt;BY44+6+$B$18,1,0))</f>
        <v/>
      </c>
      <c r="BZ67" s="760">
        <f>IF(74&lt;5,0,IF(MAX(BU39:BZ39)&gt;BZ44+6+$B$18,1,0))</f>
        <v/>
      </c>
      <c r="CA67" s="760">
        <f>IF(75&lt;5,0,IF(MAX(BV39:CA39)&gt;CA44+6+$B$18,1,0))</f>
        <v/>
      </c>
      <c r="CB67" s="760">
        <f>IF(76&lt;5,0,IF(MAX(BW39:CB39)&gt;CB44+6+$B$18,1,0))</f>
        <v/>
      </c>
      <c r="CC67" s="760">
        <f>IF(77&lt;5,0,IF(MAX(BX39:CC39)&gt;CC44+6+$B$18,1,0))</f>
        <v/>
      </c>
      <c r="CD67" s="760">
        <f>IF(78&lt;5,0,IF(MAX(BY39:CD39)&gt;CD44+6+$B$18,1,0))</f>
        <v/>
      </c>
      <c r="CE67" s="760">
        <f>IF(79&lt;5,0,IF(MAX(BZ39:CE39)&gt;CE44+6+$B$18,1,0))</f>
        <v/>
      </c>
      <c r="CF67" s="760">
        <f>IF(80&lt;5,0,IF(MAX(CA39:CF39)&gt;CF44+6+$B$18,1,0))</f>
        <v/>
      </c>
      <c r="CG67" s="760">
        <f>IF(81&lt;5,0,IF(MAX(CB39:CG39)&gt;CG44+6+$B$18,1,0))</f>
        <v/>
      </c>
      <c r="CH67" s="760">
        <f>IF(82&lt;5,0,IF(MAX(CC39:CH39)&gt;CH44+6+$B$18,1,0))</f>
        <v/>
      </c>
      <c r="CI67" s="760">
        <f>IF(83&lt;5,0,IF(MAX(CD39:CI39)&gt;CI44+6+$B$18,1,0))</f>
        <v/>
      </c>
      <c r="CJ67" s="760">
        <f>IF(84&lt;5,0,IF(MAX(CE39:CJ39)&gt;CJ44+6+$B$18,1,0))</f>
        <v/>
      </c>
      <c r="CK67" s="760">
        <f>IF(85&lt;5,0,IF(MAX(CF39:CK39)&gt;CK44+6+$B$18,1,0))</f>
        <v/>
      </c>
      <c r="CL67" s="760">
        <f>IF(86&lt;5,0,IF(MAX(CG39:CL39)&gt;CL44+6+$B$18,1,0))</f>
        <v/>
      </c>
      <c r="CM67" s="760">
        <f>IF(87&lt;5,0,IF(MAX(CH39:CM39)&gt;CM44+6+$B$18,1,0))</f>
        <v/>
      </c>
      <c r="CN67" s="760">
        <f>IF(88&lt;5,0,IF(MAX(CI39:CN39)&gt;CN44+6+$B$18,1,0))</f>
        <v/>
      </c>
      <c r="CO67" s="760">
        <f>IF(89&lt;5,0,IF(MAX(CJ39:CO39)&gt;CO44+6+$B$18,1,0))</f>
        <v/>
      </c>
      <c r="CP67" s="760">
        <f>IF(90&lt;5,0,IF(MAX(CK39:CP39)&gt;CP44+6+$B$18,1,0))</f>
        <v/>
      </c>
      <c r="CQ67" s="760">
        <f>IF(91&lt;5,0,IF(MAX(CL39:CQ39)&gt;CQ44+6+$B$18,1,0))</f>
        <v/>
      </c>
      <c r="CR67" s="760">
        <f>IF(92&lt;5,0,IF(MAX(CM39:CR39)&gt;CR44+6+$B$18,1,0))</f>
        <v/>
      </c>
      <c r="CS67" s="760">
        <f>IF(93&lt;5,0,IF(MAX(CN39:CS39)&gt;CS44+6+$B$18,1,0))</f>
        <v/>
      </c>
      <c r="CT67" s="760">
        <f>IF(94&lt;5,0,IF(MAX(CO39:CT39)&gt;CT44+6+$B$18,1,0))</f>
        <v/>
      </c>
      <c r="CU67" s="760">
        <f>IF(95&lt;5,0,IF(MAX(CP39:CU39)&gt;CU44+6+$B$18,1,0))</f>
        <v/>
      </c>
      <c r="CV67" s="760">
        <f>IF(96&lt;5,0,IF(MAX(CQ39:CV39)&gt;CV44+6+$B$18,1,0))</f>
        <v/>
      </c>
      <c r="CW67" s="760">
        <f>IF(97&lt;5,0,IF(MAX(CR39:CW39)&gt;CW44+6+$B$18,1,0))</f>
        <v/>
      </c>
      <c r="CX67" s="760">
        <f>IF(98&lt;5,0,IF(MAX(CS39:CX39)&gt;CX44+6+$B$18,1,0))</f>
        <v/>
      </c>
      <c r="CY67" s="760">
        <f>IF(99&lt;5,0,IF(MAX(CT39:CY39)&gt;CY44+6+$B$18,1,0))</f>
        <v/>
      </c>
      <c r="CZ67" s="760">
        <f>IF(100&lt;5,0,IF(MAX(CU39:CZ39)&gt;CZ44+6+$B$18,1,0))</f>
        <v/>
      </c>
      <c r="DA67" s="760">
        <f>IF(101&lt;5,0,IF(MAX(CV39:DA39)&gt;DA44+6+$B$18,1,0))</f>
        <v/>
      </c>
      <c r="DB67" s="760">
        <f>IF(102&lt;5,0,IF(MAX(CW39:DB39)&gt;DB44+6+$B$18,1,0))</f>
        <v/>
      </c>
      <c r="DC67" s="760">
        <f>IF(103&lt;5,0,IF(MAX(CX39:DC39)&gt;DC44+6+$B$18,1,0))</f>
        <v/>
      </c>
      <c r="DD67" s="760">
        <f>IF(104&lt;5,0,IF(MAX(CY39:DD39)&gt;DD44+6+$B$18,1,0))</f>
        <v/>
      </c>
      <c r="DE67" s="760">
        <f>IF(105&lt;5,0,IF(MAX(CZ39:DE39)&gt;DE44+6+$B$18,1,0))</f>
        <v/>
      </c>
    </row>
    <row r="68">
      <c r="A68" s="586" t="inlineStr">
        <is>
          <t>APM slot 8</t>
        </is>
      </c>
      <c r="B68" s="587">
        <f>$B$28</f>
        <v/>
      </c>
      <c r="E68" s="760">
        <f>IF(1&lt;5,0,IF(MAX(E39:E39)&gt;E44+7+$B$18,1,0))</f>
        <v/>
      </c>
      <c r="F68" s="760">
        <f>IF(2&lt;5,0,IF(MAX(E39:F39)&gt;F44+7+$B$18,1,0))</f>
        <v/>
      </c>
      <c r="G68" s="760">
        <f>IF(3&lt;5,0,IF(MAX(E39:G39)&gt;G44+7+$B$18,1,0))</f>
        <v/>
      </c>
      <c r="H68" s="760">
        <f>IF(4&lt;5,0,IF(MAX(E39:H39)&gt;H44+7+$B$18,1,0))</f>
        <v/>
      </c>
      <c r="I68" s="760">
        <f>IF(5&lt;5,0,IF(MAX(E39:I39)&gt;I44+7+$B$18,1,0))</f>
        <v/>
      </c>
      <c r="J68" s="760">
        <f>IF(6&lt;5,0,IF(MAX(E39:J39)&gt;J44+7+$B$18,1,0))</f>
        <v/>
      </c>
      <c r="K68" s="760">
        <f>IF(7&lt;5,0,IF(MAX(F39:K39)&gt;K44+7+$B$18,1,0))</f>
        <v/>
      </c>
      <c r="L68" s="760">
        <f>IF(8&lt;5,0,IF(MAX(G39:L39)&gt;L44+7+$B$18,1,0))</f>
        <v/>
      </c>
      <c r="M68" s="760">
        <f>IF(9&lt;5,0,IF(MAX(H39:M39)&gt;M44+7+$B$18,1,0))</f>
        <v/>
      </c>
      <c r="N68" s="760">
        <f>IF(10&lt;5,0,IF(MAX(I39:N39)&gt;N44+7+$B$18,1,0))</f>
        <v/>
      </c>
      <c r="O68" s="760">
        <f>IF(11&lt;5,0,IF(MAX(J39:O39)&gt;O44+7+$B$18,1,0))</f>
        <v/>
      </c>
      <c r="P68" s="760">
        <f>IF(12&lt;5,0,IF(MAX(K39:P39)&gt;P44+7+$B$18,1,0))</f>
        <v/>
      </c>
      <c r="Q68" s="760">
        <f>IF(13&lt;5,0,IF(MAX(L39:Q39)&gt;Q44+7+$B$18,1,0))</f>
        <v/>
      </c>
      <c r="R68" s="760">
        <f>IF(14&lt;5,0,IF(MAX(M39:R39)&gt;R44+7+$B$18,1,0))</f>
        <v/>
      </c>
      <c r="S68" s="760">
        <f>IF(15&lt;5,0,IF(MAX(N39:S39)&gt;S44+7+$B$18,1,0))</f>
        <v/>
      </c>
      <c r="T68" s="760">
        <f>IF(16&lt;5,0,IF(MAX(O39:T39)&gt;T44+7+$B$18,1,0))</f>
        <v/>
      </c>
      <c r="U68" s="760">
        <f>IF(17&lt;5,0,IF(MAX(P39:U39)&gt;U44+7+$B$18,1,0))</f>
        <v/>
      </c>
      <c r="V68" s="760">
        <f>IF(18&lt;5,0,IF(MAX(Q39:V39)&gt;V44+7+$B$18,1,0))</f>
        <v/>
      </c>
      <c r="W68" s="760">
        <f>IF(19&lt;5,0,IF(MAX(R39:W39)&gt;W44+7+$B$18,1,0))</f>
        <v/>
      </c>
      <c r="X68" s="760">
        <f>IF(20&lt;5,0,IF(MAX(S39:X39)&gt;X44+7+$B$18,1,0))</f>
        <v/>
      </c>
      <c r="Y68" s="760">
        <f>IF(21&lt;5,0,IF(MAX(T39:Y39)&gt;Y44+7+$B$18,1,0))</f>
        <v/>
      </c>
      <c r="Z68" s="760">
        <f>IF(22&lt;5,0,IF(MAX(U39:Z39)&gt;Z44+7+$B$18,1,0))</f>
        <v/>
      </c>
      <c r="AA68" s="760">
        <f>IF(23&lt;5,0,IF(MAX(V39:AA39)&gt;AA44+7+$B$18,1,0))</f>
        <v/>
      </c>
      <c r="AB68" s="760">
        <f>IF(24&lt;5,0,IF(MAX(W39:AB39)&gt;AB44+7+$B$18,1,0))</f>
        <v/>
      </c>
      <c r="AC68" s="760">
        <f>IF(25&lt;5,0,IF(MAX(X39:AC39)&gt;AC44+7+$B$18,1,0))</f>
        <v/>
      </c>
      <c r="AD68" s="760">
        <f>IF(26&lt;5,0,IF(MAX(Y39:AD39)&gt;AD44+7+$B$18,1,0))</f>
        <v/>
      </c>
      <c r="AE68" s="760">
        <f>IF(27&lt;5,0,IF(MAX(Z39:AE39)&gt;AE44+7+$B$18,1,0))</f>
        <v/>
      </c>
      <c r="AF68" s="760">
        <f>IF(28&lt;5,0,IF(MAX(AA39:AF39)&gt;AF44+7+$B$18,1,0))</f>
        <v/>
      </c>
      <c r="AG68" s="760">
        <f>IF(29&lt;5,0,IF(MAX(AB39:AG39)&gt;AG44+7+$B$18,1,0))</f>
        <v/>
      </c>
      <c r="AH68" s="760">
        <f>IF(30&lt;5,0,IF(MAX(AC39:AH39)&gt;AH44+7+$B$18,1,0))</f>
        <v/>
      </c>
      <c r="AI68" s="760">
        <f>IF(31&lt;5,0,IF(MAX(AD39:AI39)&gt;AI44+7+$B$18,1,0))</f>
        <v/>
      </c>
      <c r="AJ68" s="760">
        <f>IF(32&lt;5,0,IF(MAX(AE39:AJ39)&gt;AJ44+7+$B$18,1,0))</f>
        <v/>
      </c>
      <c r="AK68" s="760">
        <f>IF(33&lt;5,0,IF(MAX(AF39:AK39)&gt;AK44+7+$B$18,1,0))</f>
        <v/>
      </c>
      <c r="AL68" s="760">
        <f>IF(34&lt;5,0,IF(MAX(AG39:AL39)&gt;AL44+7+$B$18,1,0))</f>
        <v/>
      </c>
      <c r="AM68" s="760">
        <f>IF(35&lt;5,0,IF(MAX(AH39:AM39)&gt;AM44+7+$B$18,1,0))</f>
        <v/>
      </c>
      <c r="AN68" s="760">
        <f>IF(36&lt;5,0,IF(MAX(AI39:AN39)&gt;AN44+7+$B$18,1,0))</f>
        <v/>
      </c>
      <c r="AO68" s="760">
        <f>IF(37&lt;5,0,IF(MAX(AJ39:AO39)&gt;AO44+7+$B$18,1,0))</f>
        <v/>
      </c>
      <c r="AP68" s="760">
        <f>IF(38&lt;5,0,IF(MAX(AK39:AP39)&gt;AP44+7+$B$18,1,0))</f>
        <v/>
      </c>
      <c r="AQ68" s="760">
        <f>IF(39&lt;5,0,IF(MAX(AL39:AQ39)&gt;AQ44+7+$B$18,1,0))</f>
        <v/>
      </c>
      <c r="AR68" s="760">
        <f>IF(40&lt;5,0,IF(MAX(AM39:AR39)&gt;AR44+7+$B$18,1,0))</f>
        <v/>
      </c>
      <c r="AS68" s="760">
        <f>IF(41&lt;5,0,IF(MAX(AN39:AS39)&gt;AS44+7+$B$18,1,0))</f>
        <v/>
      </c>
      <c r="AT68" s="760">
        <f>IF(42&lt;5,0,IF(MAX(AO39:AT39)&gt;AT44+7+$B$18,1,0))</f>
        <v/>
      </c>
      <c r="AU68" s="760">
        <f>IF(43&lt;5,0,IF(MAX(AP39:AU39)&gt;AU44+7+$B$18,1,0))</f>
        <v/>
      </c>
      <c r="AV68" s="760">
        <f>IF(44&lt;5,0,IF(MAX(AQ39:AV39)&gt;AV44+7+$B$18,1,0))</f>
        <v/>
      </c>
      <c r="AW68" s="760">
        <f>IF(45&lt;5,0,IF(MAX(AR39:AW39)&gt;AW44+7+$B$18,1,0))</f>
        <v/>
      </c>
      <c r="AX68" s="760">
        <f>IF(46&lt;5,0,IF(MAX(AS39:AX39)&gt;AX44+7+$B$18,1,0))</f>
        <v/>
      </c>
      <c r="AY68" s="760">
        <f>IF(47&lt;5,0,IF(MAX(AT39:AY39)&gt;AY44+7+$B$18,1,0))</f>
        <v/>
      </c>
      <c r="AZ68" s="760">
        <f>IF(48&lt;5,0,IF(MAX(AU39:AZ39)&gt;AZ44+7+$B$18,1,0))</f>
        <v/>
      </c>
      <c r="BA68" s="760">
        <f>IF(49&lt;5,0,IF(MAX(AV39:BA39)&gt;BA44+7+$B$18,1,0))</f>
        <v/>
      </c>
      <c r="BB68" s="760">
        <f>IF(50&lt;5,0,IF(MAX(AW39:BB39)&gt;BB44+7+$B$18,1,0))</f>
        <v/>
      </c>
      <c r="BC68" s="760">
        <f>IF(51&lt;5,0,IF(MAX(AX39:BC39)&gt;BC44+7+$B$18,1,0))</f>
        <v/>
      </c>
      <c r="BD68" s="760">
        <f>IF(52&lt;5,0,IF(MAX(AY39:BD39)&gt;BD44+7+$B$18,1,0))</f>
        <v/>
      </c>
      <c r="BE68" s="760">
        <f>IF(53&lt;5,0,IF(MAX(AZ39:BE39)&gt;BE44+7+$B$18,1,0))</f>
        <v/>
      </c>
      <c r="BF68" s="760">
        <f>IF(54&lt;5,0,IF(MAX(BA39:BF39)&gt;BF44+7+$B$18,1,0))</f>
        <v/>
      </c>
      <c r="BG68" s="760">
        <f>IF(55&lt;5,0,IF(MAX(BB39:BG39)&gt;BG44+7+$B$18,1,0))</f>
        <v/>
      </c>
      <c r="BH68" s="760">
        <f>IF(56&lt;5,0,IF(MAX(BC39:BH39)&gt;BH44+7+$B$18,1,0))</f>
        <v/>
      </c>
      <c r="BI68" s="760">
        <f>IF(57&lt;5,0,IF(MAX(BD39:BI39)&gt;BI44+7+$B$18,1,0))</f>
        <v/>
      </c>
      <c r="BJ68" s="760">
        <f>IF(58&lt;5,0,IF(MAX(BE39:BJ39)&gt;BJ44+7+$B$18,1,0))</f>
        <v/>
      </c>
      <c r="BK68" s="760">
        <f>IF(59&lt;5,0,IF(MAX(BF39:BK39)&gt;BK44+7+$B$18,1,0))</f>
        <v/>
      </c>
      <c r="BL68" s="760">
        <f>IF(60&lt;5,0,IF(MAX(BG39:BL39)&gt;BL44+7+$B$18,1,0))</f>
        <v/>
      </c>
      <c r="BM68" s="760">
        <f>IF(61&lt;5,0,IF(MAX(BH39:BM39)&gt;BM44+7+$B$18,1,0))</f>
        <v/>
      </c>
      <c r="BN68" s="760">
        <f>IF(62&lt;5,0,IF(MAX(BI39:BN39)&gt;BN44+7+$B$18,1,0))</f>
        <v/>
      </c>
      <c r="BO68" s="760">
        <f>IF(63&lt;5,0,IF(MAX(BJ39:BO39)&gt;BO44+7+$B$18,1,0))</f>
        <v/>
      </c>
      <c r="BP68" s="760">
        <f>IF(64&lt;5,0,IF(MAX(BK39:BP39)&gt;BP44+7+$B$18,1,0))</f>
        <v/>
      </c>
      <c r="BQ68" s="760">
        <f>IF(65&lt;5,0,IF(MAX(BL39:BQ39)&gt;BQ44+7+$B$18,1,0))</f>
        <v/>
      </c>
      <c r="BR68" s="760">
        <f>IF(66&lt;5,0,IF(MAX(BM39:BR39)&gt;BR44+7+$B$18,1,0))</f>
        <v/>
      </c>
      <c r="BS68" s="760">
        <f>IF(67&lt;5,0,IF(MAX(BN39:BS39)&gt;BS44+7+$B$18,1,0))</f>
        <v/>
      </c>
      <c r="BT68" s="760">
        <f>IF(68&lt;5,0,IF(MAX(BO39:BT39)&gt;BT44+7+$B$18,1,0))</f>
        <v/>
      </c>
      <c r="BU68" s="760">
        <f>IF(69&lt;5,0,IF(MAX(BP39:BU39)&gt;BU44+7+$B$18,1,0))</f>
        <v/>
      </c>
      <c r="BV68" s="760">
        <f>IF(70&lt;5,0,IF(MAX(BQ39:BV39)&gt;BV44+7+$B$18,1,0))</f>
        <v/>
      </c>
      <c r="BW68" s="760">
        <f>IF(71&lt;5,0,IF(MAX(BR39:BW39)&gt;BW44+7+$B$18,1,0))</f>
        <v/>
      </c>
      <c r="BX68" s="760">
        <f>IF(72&lt;5,0,IF(MAX(BS39:BX39)&gt;BX44+7+$B$18,1,0))</f>
        <v/>
      </c>
      <c r="BY68" s="760">
        <f>IF(73&lt;5,0,IF(MAX(BT39:BY39)&gt;BY44+7+$B$18,1,0))</f>
        <v/>
      </c>
      <c r="BZ68" s="760">
        <f>IF(74&lt;5,0,IF(MAX(BU39:BZ39)&gt;BZ44+7+$B$18,1,0))</f>
        <v/>
      </c>
      <c r="CA68" s="760">
        <f>IF(75&lt;5,0,IF(MAX(BV39:CA39)&gt;CA44+7+$B$18,1,0))</f>
        <v/>
      </c>
      <c r="CB68" s="760">
        <f>IF(76&lt;5,0,IF(MAX(BW39:CB39)&gt;CB44+7+$B$18,1,0))</f>
        <v/>
      </c>
      <c r="CC68" s="760">
        <f>IF(77&lt;5,0,IF(MAX(BX39:CC39)&gt;CC44+7+$B$18,1,0))</f>
        <v/>
      </c>
      <c r="CD68" s="760">
        <f>IF(78&lt;5,0,IF(MAX(BY39:CD39)&gt;CD44+7+$B$18,1,0))</f>
        <v/>
      </c>
      <c r="CE68" s="760">
        <f>IF(79&lt;5,0,IF(MAX(BZ39:CE39)&gt;CE44+7+$B$18,1,0))</f>
        <v/>
      </c>
      <c r="CF68" s="760">
        <f>IF(80&lt;5,0,IF(MAX(CA39:CF39)&gt;CF44+7+$B$18,1,0))</f>
        <v/>
      </c>
      <c r="CG68" s="760">
        <f>IF(81&lt;5,0,IF(MAX(CB39:CG39)&gt;CG44+7+$B$18,1,0))</f>
        <v/>
      </c>
      <c r="CH68" s="760">
        <f>IF(82&lt;5,0,IF(MAX(CC39:CH39)&gt;CH44+7+$B$18,1,0))</f>
        <v/>
      </c>
      <c r="CI68" s="760">
        <f>IF(83&lt;5,0,IF(MAX(CD39:CI39)&gt;CI44+7+$B$18,1,0))</f>
        <v/>
      </c>
      <c r="CJ68" s="760">
        <f>IF(84&lt;5,0,IF(MAX(CE39:CJ39)&gt;CJ44+7+$B$18,1,0))</f>
        <v/>
      </c>
      <c r="CK68" s="760">
        <f>IF(85&lt;5,0,IF(MAX(CF39:CK39)&gt;CK44+7+$B$18,1,0))</f>
        <v/>
      </c>
      <c r="CL68" s="760">
        <f>IF(86&lt;5,0,IF(MAX(CG39:CL39)&gt;CL44+7+$B$18,1,0))</f>
        <v/>
      </c>
      <c r="CM68" s="760">
        <f>IF(87&lt;5,0,IF(MAX(CH39:CM39)&gt;CM44+7+$B$18,1,0))</f>
        <v/>
      </c>
      <c r="CN68" s="760">
        <f>IF(88&lt;5,0,IF(MAX(CI39:CN39)&gt;CN44+7+$B$18,1,0))</f>
        <v/>
      </c>
      <c r="CO68" s="760">
        <f>IF(89&lt;5,0,IF(MAX(CJ39:CO39)&gt;CO44+7+$B$18,1,0))</f>
        <v/>
      </c>
      <c r="CP68" s="760">
        <f>IF(90&lt;5,0,IF(MAX(CK39:CP39)&gt;CP44+7+$B$18,1,0))</f>
        <v/>
      </c>
      <c r="CQ68" s="760">
        <f>IF(91&lt;5,0,IF(MAX(CL39:CQ39)&gt;CQ44+7+$B$18,1,0))</f>
        <v/>
      </c>
      <c r="CR68" s="760">
        <f>IF(92&lt;5,0,IF(MAX(CM39:CR39)&gt;CR44+7+$B$18,1,0))</f>
        <v/>
      </c>
      <c r="CS68" s="760">
        <f>IF(93&lt;5,0,IF(MAX(CN39:CS39)&gt;CS44+7+$B$18,1,0))</f>
        <v/>
      </c>
      <c r="CT68" s="760">
        <f>IF(94&lt;5,0,IF(MAX(CO39:CT39)&gt;CT44+7+$B$18,1,0))</f>
        <v/>
      </c>
      <c r="CU68" s="760">
        <f>IF(95&lt;5,0,IF(MAX(CP39:CU39)&gt;CU44+7+$B$18,1,0))</f>
        <v/>
      </c>
      <c r="CV68" s="760">
        <f>IF(96&lt;5,0,IF(MAX(CQ39:CV39)&gt;CV44+7+$B$18,1,0))</f>
        <v/>
      </c>
      <c r="CW68" s="760">
        <f>IF(97&lt;5,0,IF(MAX(CR39:CW39)&gt;CW44+7+$B$18,1,0))</f>
        <v/>
      </c>
      <c r="CX68" s="760">
        <f>IF(98&lt;5,0,IF(MAX(CS39:CX39)&gt;CX44+7+$B$18,1,0))</f>
        <v/>
      </c>
      <c r="CY68" s="760">
        <f>IF(99&lt;5,0,IF(MAX(CT39:CY39)&gt;CY44+7+$B$18,1,0))</f>
        <v/>
      </c>
      <c r="CZ68" s="760">
        <f>IF(100&lt;5,0,IF(MAX(CU39:CZ39)&gt;CZ44+7+$B$18,1,0))</f>
        <v/>
      </c>
      <c r="DA68" s="760">
        <f>IF(101&lt;5,0,IF(MAX(CV39:DA39)&gt;DA44+7+$B$18,1,0))</f>
        <v/>
      </c>
      <c r="DB68" s="760">
        <f>IF(102&lt;5,0,IF(MAX(CW39:DB39)&gt;DB44+7+$B$18,1,0))</f>
        <v/>
      </c>
      <c r="DC68" s="760">
        <f>IF(103&lt;5,0,IF(MAX(CX39:DC39)&gt;DC44+7+$B$18,1,0))</f>
        <v/>
      </c>
      <c r="DD68" s="760">
        <f>IF(104&lt;5,0,IF(MAX(CY39:DD39)&gt;DD44+7+$B$18,1,0))</f>
        <v/>
      </c>
      <c r="DE68" s="760">
        <f>IF(105&lt;5,0,IF(MAX(CZ39:DE39)&gt;DE44+7+$B$18,1,0))</f>
        <v/>
      </c>
    </row>
    <row r="69">
      <c r="E69" s="580" t="n"/>
      <c r="F69" s="580" t="n"/>
      <c r="G69" s="580" t="n"/>
      <c r="H69" s="580" t="n"/>
      <c r="I69" s="580" t="n"/>
      <c r="J69" s="580" t="n"/>
      <c r="K69" s="580" t="n"/>
      <c r="L69" s="580" t="n"/>
      <c r="M69" s="580" t="n"/>
      <c r="N69" s="580" t="n"/>
      <c r="O69" s="580" t="n"/>
      <c r="P69" s="580" t="n"/>
      <c r="Q69" s="580" t="n"/>
      <c r="R69" s="580" t="n"/>
      <c r="S69" s="580" t="n"/>
      <c r="T69" s="580" t="n"/>
      <c r="U69" s="580" t="n"/>
      <c r="V69" s="580" t="n"/>
      <c r="W69" s="580" t="n"/>
      <c r="X69" s="580" t="n"/>
      <c r="Y69" s="580" t="n"/>
      <c r="Z69" s="580" t="n"/>
      <c r="AA69" s="580" t="n"/>
      <c r="AB69" s="580" t="n"/>
      <c r="AC69" s="580" t="n"/>
      <c r="AD69" s="580" t="n"/>
      <c r="AE69" s="580" t="n"/>
      <c r="AF69" s="580" t="n"/>
      <c r="AG69" s="580" t="n"/>
      <c r="AH69" s="580" t="n"/>
      <c r="AI69" s="580" t="n"/>
      <c r="AJ69" s="580" t="n"/>
      <c r="AK69" s="580" t="n"/>
      <c r="AL69" s="580" t="n"/>
      <c r="AM69" s="580" t="n"/>
      <c r="AN69" s="580" t="n"/>
      <c r="AO69" s="580" t="n"/>
      <c r="AP69" s="580" t="n"/>
      <c r="AQ69" s="580" t="n"/>
      <c r="AR69" s="580" t="n"/>
      <c r="AS69" s="580" t="n"/>
      <c r="AT69" s="580" t="n"/>
      <c r="AU69" s="580" t="n"/>
      <c r="AV69" s="580" t="n"/>
      <c r="AW69" s="580" t="n"/>
      <c r="AX69" s="580" t="n"/>
      <c r="AY69" s="580" t="n"/>
      <c r="AZ69" s="580" t="n"/>
      <c r="BA69" s="580" t="n"/>
      <c r="BB69" s="580" t="n"/>
      <c r="BC69" s="580" t="n"/>
      <c r="BD69" s="580" t="n"/>
      <c r="BE69" s="580" t="n"/>
      <c r="BF69" s="580" t="n"/>
      <c r="BG69" s="580" t="n"/>
      <c r="BH69" s="580" t="n"/>
      <c r="BI69" s="580" t="n"/>
      <c r="BJ69" s="580" t="n"/>
      <c r="BK69" s="580" t="n"/>
      <c r="BL69" s="580" t="n"/>
      <c r="BM69" s="580" t="n"/>
      <c r="BN69" s="580" t="n"/>
      <c r="BO69" s="580" t="n"/>
      <c r="BP69" s="580" t="n"/>
      <c r="BQ69" s="580" t="n"/>
      <c r="BR69" s="580" t="n"/>
      <c r="BS69" s="580" t="n"/>
      <c r="BT69" s="580" t="n"/>
      <c r="BU69" s="580" t="n"/>
      <c r="BV69" s="580" t="n"/>
      <c r="BW69" s="580" t="n"/>
      <c r="BX69" s="580" t="n"/>
      <c r="BY69" s="580" t="n"/>
      <c r="BZ69" s="580" t="n"/>
      <c r="CA69" s="580" t="n"/>
      <c r="CB69" s="580" t="n"/>
      <c r="CC69" s="580" t="n"/>
      <c r="CD69" s="580" t="n"/>
      <c r="CE69" s="580" t="n"/>
      <c r="CF69" s="580" t="n"/>
      <c r="CG69" s="580" t="n"/>
      <c r="CH69" s="580" t="n"/>
      <c r="CI69" s="580" t="n"/>
      <c r="CJ69" s="580" t="n"/>
      <c r="CK69" s="580" t="n"/>
      <c r="CL69" s="580" t="n"/>
      <c r="CM69" s="580" t="n"/>
      <c r="CN69" s="580" t="n"/>
      <c r="CO69" s="580" t="n"/>
      <c r="CP69" s="580" t="n"/>
      <c r="CQ69" s="580" t="n"/>
      <c r="CR69" s="580" t="n"/>
      <c r="CS69" s="580" t="n"/>
      <c r="CT69" s="580" t="n"/>
      <c r="CU69" s="580" t="n"/>
      <c r="CV69" s="580" t="n"/>
      <c r="CW69" s="580" t="n"/>
      <c r="CX69" s="580" t="n"/>
      <c r="CY69" s="580" t="n"/>
      <c r="CZ69" s="580" t="n"/>
      <c r="DA69" s="580" t="n"/>
      <c r="DB69" s="580" t="n"/>
      <c r="DC69" s="580" t="n"/>
      <c r="DD69" s="580" t="n"/>
      <c r="DE69" s="580" t="n"/>
    </row>
    <row r="70">
      <c r="E70" s="580" t="n"/>
      <c r="F70" s="580" t="n"/>
      <c r="G70" s="580" t="n"/>
      <c r="H70" s="580" t="n"/>
      <c r="I70" s="580" t="n"/>
      <c r="J70" s="580" t="n"/>
      <c r="K70" s="580" t="n"/>
      <c r="L70" s="580" t="n"/>
      <c r="M70" s="580" t="n"/>
      <c r="N70" s="580" t="n"/>
      <c r="O70" s="580" t="n"/>
      <c r="P70" s="580" t="n"/>
      <c r="Q70" s="580" t="n"/>
      <c r="R70" s="580" t="n"/>
      <c r="S70" s="580" t="n"/>
      <c r="T70" s="580" t="n"/>
      <c r="U70" s="580" t="n"/>
      <c r="V70" s="580" t="n"/>
      <c r="W70" s="580" t="n"/>
      <c r="X70" s="580" t="n"/>
      <c r="Y70" s="580" t="n"/>
      <c r="Z70" s="580" t="n"/>
      <c r="AA70" s="580" t="n"/>
      <c r="AB70" s="580" t="n"/>
      <c r="AC70" s="580" t="n"/>
      <c r="AD70" s="580" t="n"/>
      <c r="AE70" s="580" t="n"/>
      <c r="AF70" s="580" t="n"/>
      <c r="AG70" s="580" t="n"/>
      <c r="AH70" s="580" t="n"/>
      <c r="AI70" s="580" t="n"/>
      <c r="AJ70" s="580" t="n"/>
      <c r="AK70" s="580" t="n"/>
      <c r="AL70" s="580" t="n"/>
      <c r="AM70" s="580" t="n"/>
      <c r="AN70" s="580" t="n"/>
      <c r="AO70" s="580" t="n"/>
      <c r="AP70" s="580" t="n"/>
      <c r="AQ70" s="580" t="n"/>
      <c r="AR70" s="580" t="n"/>
      <c r="AS70" s="580" t="n"/>
      <c r="AT70" s="580" t="n"/>
      <c r="AU70" s="580" t="n"/>
      <c r="AV70" s="580" t="n"/>
      <c r="AW70" s="580" t="n"/>
      <c r="AX70" s="580" t="n"/>
      <c r="AY70" s="580" t="n"/>
      <c r="AZ70" s="580" t="n"/>
      <c r="BA70" s="580" t="n"/>
      <c r="BB70" s="580" t="n"/>
      <c r="BC70" s="580" t="n"/>
      <c r="BD70" s="580" t="n"/>
      <c r="BE70" s="580" t="n"/>
      <c r="BF70" s="580" t="n"/>
      <c r="BG70" s="580" t="n"/>
      <c r="BH70" s="580" t="n"/>
      <c r="BI70" s="580" t="n"/>
      <c r="BJ70" s="580" t="n"/>
      <c r="BK70" s="580" t="n"/>
      <c r="BL70" s="580" t="n"/>
      <c r="BM70" s="580" t="n"/>
      <c r="BN70" s="580" t="n"/>
      <c r="BO70" s="580" t="n"/>
      <c r="BP70" s="580" t="n"/>
      <c r="BQ70" s="580" t="n"/>
      <c r="BR70" s="580" t="n"/>
      <c r="BS70" s="580" t="n"/>
      <c r="BT70" s="580" t="n"/>
      <c r="BU70" s="580" t="n"/>
      <c r="BV70" s="580" t="n"/>
      <c r="BW70" s="580" t="n"/>
      <c r="BX70" s="580" t="n"/>
      <c r="BY70" s="580" t="n"/>
      <c r="BZ70" s="580" t="n"/>
      <c r="CA70" s="580" t="n"/>
      <c r="CB70" s="580" t="n"/>
      <c r="CC70" s="580" t="n"/>
      <c r="CD70" s="580" t="n"/>
      <c r="CE70" s="580" t="n"/>
      <c r="CF70" s="580" t="n"/>
      <c r="CG70" s="580" t="n"/>
      <c r="CH70" s="580" t="n"/>
      <c r="CI70" s="580" t="n"/>
      <c r="CJ70" s="580" t="n"/>
      <c r="CK70" s="580" t="n"/>
      <c r="CL70" s="580" t="n"/>
      <c r="CM70" s="580" t="n"/>
      <c r="CN70" s="580" t="n"/>
      <c r="CO70" s="580" t="n"/>
      <c r="CP70" s="580" t="n"/>
      <c r="CQ70" s="580" t="n"/>
      <c r="CR70" s="580" t="n"/>
      <c r="CS70" s="580" t="n"/>
      <c r="CT70" s="580" t="n"/>
      <c r="CU70" s="580" t="n"/>
      <c r="CV70" s="580" t="n"/>
      <c r="CW70" s="580" t="n"/>
      <c r="CX70" s="580" t="n"/>
      <c r="CY70" s="580" t="n"/>
      <c r="CZ70" s="580" t="n"/>
      <c r="DA70" s="580" t="n"/>
      <c r="DB70" s="580" t="n"/>
      <c r="DC70" s="580" t="n"/>
      <c r="DD70" s="580" t="n"/>
      <c r="DE70" s="580" t="n"/>
    </row>
    <row r="71">
      <c r="A71" s="586" t="inlineStr">
        <is>
          <t>PM slot 1</t>
        </is>
      </c>
      <c r="B71" s="587">
        <f>$B$29</f>
        <v/>
      </c>
      <c r="E71" s="760">
        <f>IF(1&lt;5,0,IF(MAX(E40:E40)&gt;E45+0+$B$18,1,0))</f>
        <v/>
      </c>
      <c r="F71" s="760">
        <f>IF(2&lt;5,0,IF(MAX(E40:F40)&gt;F45+0+$B$18,1,0))</f>
        <v/>
      </c>
      <c r="G71" s="760">
        <f>IF(3&lt;5,0,IF(MAX(E40:G40)&gt;G45+0+$B$18,1,0))</f>
        <v/>
      </c>
      <c r="H71" s="760">
        <f>IF(4&lt;5,0,IF(MAX(E40:H40)&gt;H45+0+$B$18,1,0))</f>
        <v/>
      </c>
      <c r="I71" s="760">
        <f>IF(5&lt;5,0,IF(MAX(E40:I40)&gt;I45+0+$B$18,1,0))</f>
        <v/>
      </c>
      <c r="J71" s="760">
        <f>IF(6&lt;5,0,IF(MAX(E40:J40)&gt;J45+0+$B$18,1,0))</f>
        <v/>
      </c>
      <c r="K71" s="760">
        <f>IF(7&lt;5,0,IF(MAX(F40:K40)&gt;K45+0+$B$18,1,0))</f>
        <v/>
      </c>
      <c r="L71" s="760">
        <f>IF(8&lt;5,0,IF(MAX(G40:L40)&gt;L45+0+$B$18,1,0))</f>
        <v/>
      </c>
      <c r="M71" s="760">
        <f>IF(9&lt;5,0,IF(MAX(H40:M40)&gt;M45+0+$B$18,1,0))</f>
        <v/>
      </c>
      <c r="N71" s="760">
        <f>IF(10&lt;5,0,IF(MAX(I40:N40)&gt;N45+0+$B$18,1,0))</f>
        <v/>
      </c>
      <c r="O71" s="760">
        <f>IF(11&lt;5,0,IF(MAX(J40:O40)&gt;O45+0+$B$18,1,0))</f>
        <v/>
      </c>
      <c r="P71" s="760">
        <f>IF(12&lt;5,0,IF(MAX(K40:P40)&gt;P45+0+$B$18,1,0))</f>
        <v/>
      </c>
      <c r="Q71" s="760">
        <f>IF(13&lt;5,0,IF(MAX(L40:Q40)&gt;Q45+0+$B$18,1,0))</f>
        <v/>
      </c>
      <c r="R71" s="760">
        <f>IF(14&lt;5,0,IF(MAX(M40:R40)&gt;R45+0+$B$18,1,0))</f>
        <v/>
      </c>
      <c r="S71" s="760">
        <f>IF(15&lt;5,0,IF(MAX(N40:S40)&gt;S45+0+$B$18,1,0))</f>
        <v/>
      </c>
      <c r="T71" s="760">
        <f>IF(16&lt;5,0,IF(MAX(O40:T40)&gt;T45+0+$B$18,1,0))</f>
        <v/>
      </c>
      <c r="U71" s="760">
        <f>IF(17&lt;5,0,IF(MAX(P40:U40)&gt;U45+0+$B$18,1,0))</f>
        <v/>
      </c>
      <c r="V71" s="760">
        <f>IF(18&lt;5,0,IF(MAX(Q40:V40)&gt;V45+0+$B$18,1,0))</f>
        <v/>
      </c>
      <c r="W71" s="760">
        <f>IF(19&lt;5,0,IF(MAX(R40:W40)&gt;W45+0+$B$18,1,0))</f>
        <v/>
      </c>
      <c r="X71" s="760">
        <f>IF(20&lt;5,0,IF(MAX(S40:X40)&gt;X45+0+$B$18,1,0))</f>
        <v/>
      </c>
      <c r="Y71" s="760">
        <f>IF(21&lt;5,0,IF(MAX(T40:Y40)&gt;Y45+0+$B$18,1,0))</f>
        <v/>
      </c>
      <c r="Z71" s="760">
        <f>IF(22&lt;5,0,IF(MAX(U40:Z40)&gt;Z45+0+$B$18,1,0))</f>
        <v/>
      </c>
      <c r="AA71" s="760">
        <f>IF(23&lt;5,0,IF(MAX(V40:AA40)&gt;AA45+0+$B$18,1,0))</f>
        <v/>
      </c>
      <c r="AB71" s="760">
        <f>IF(24&lt;5,0,IF(MAX(W40:AB40)&gt;AB45+0+$B$18,1,0))</f>
        <v/>
      </c>
      <c r="AC71" s="760">
        <f>IF(25&lt;5,0,IF(MAX(X40:AC40)&gt;AC45+0+$B$18,1,0))</f>
        <v/>
      </c>
      <c r="AD71" s="760">
        <f>IF(26&lt;5,0,IF(MAX(Y40:AD40)&gt;AD45+0+$B$18,1,0))</f>
        <v/>
      </c>
      <c r="AE71" s="760">
        <f>IF(27&lt;5,0,IF(MAX(Z40:AE40)&gt;AE45+0+$B$18,1,0))</f>
        <v/>
      </c>
      <c r="AF71" s="760">
        <f>IF(28&lt;5,0,IF(MAX(AA40:AF40)&gt;AF45+0+$B$18,1,0))</f>
        <v/>
      </c>
      <c r="AG71" s="760">
        <f>IF(29&lt;5,0,IF(MAX(AB40:AG40)&gt;AG45+0+$B$18,1,0))</f>
        <v/>
      </c>
      <c r="AH71" s="760">
        <f>IF(30&lt;5,0,IF(MAX(AC40:AH40)&gt;AH45+0+$B$18,1,0))</f>
        <v/>
      </c>
      <c r="AI71" s="760">
        <f>IF(31&lt;5,0,IF(MAX(AD40:AI40)&gt;AI45+0+$B$18,1,0))</f>
        <v/>
      </c>
      <c r="AJ71" s="760">
        <f>IF(32&lt;5,0,IF(MAX(AE40:AJ40)&gt;AJ45+0+$B$18,1,0))</f>
        <v/>
      </c>
      <c r="AK71" s="760">
        <f>IF(33&lt;5,0,IF(MAX(AF40:AK40)&gt;AK45+0+$B$18,1,0))</f>
        <v/>
      </c>
      <c r="AL71" s="760">
        <f>IF(34&lt;5,0,IF(MAX(AG40:AL40)&gt;AL45+0+$B$18,1,0))</f>
        <v/>
      </c>
      <c r="AM71" s="760">
        <f>IF(35&lt;5,0,IF(MAX(AH40:AM40)&gt;AM45+0+$B$18,1,0))</f>
        <v/>
      </c>
      <c r="AN71" s="760">
        <f>IF(36&lt;5,0,IF(MAX(AI40:AN40)&gt;AN45+0+$B$18,1,0))</f>
        <v/>
      </c>
      <c r="AO71" s="760">
        <f>IF(37&lt;5,0,IF(MAX(AJ40:AO40)&gt;AO45+0+$B$18,1,0))</f>
        <v/>
      </c>
      <c r="AP71" s="760">
        <f>IF(38&lt;5,0,IF(MAX(AK40:AP40)&gt;AP45+0+$B$18,1,0))</f>
        <v/>
      </c>
      <c r="AQ71" s="760">
        <f>IF(39&lt;5,0,IF(MAX(AL40:AQ40)&gt;AQ45+0+$B$18,1,0))</f>
        <v/>
      </c>
      <c r="AR71" s="760">
        <f>IF(40&lt;5,0,IF(MAX(AM40:AR40)&gt;AR45+0+$B$18,1,0))</f>
        <v/>
      </c>
      <c r="AS71" s="760">
        <f>IF(41&lt;5,0,IF(MAX(AN40:AS40)&gt;AS45+0+$B$18,1,0))</f>
        <v/>
      </c>
      <c r="AT71" s="760">
        <f>IF(42&lt;5,0,IF(MAX(AO40:AT40)&gt;AT45+0+$B$18,1,0))</f>
        <v/>
      </c>
      <c r="AU71" s="760">
        <f>IF(43&lt;5,0,IF(MAX(AP40:AU40)&gt;AU45+0+$B$18,1,0))</f>
        <v/>
      </c>
      <c r="AV71" s="760">
        <f>IF(44&lt;5,0,IF(MAX(AQ40:AV40)&gt;AV45+0+$B$18,1,0))</f>
        <v/>
      </c>
      <c r="AW71" s="760">
        <f>IF(45&lt;5,0,IF(MAX(AR40:AW40)&gt;AW45+0+$B$18,1,0))</f>
        <v/>
      </c>
      <c r="AX71" s="760">
        <f>IF(46&lt;5,0,IF(MAX(AS40:AX40)&gt;AX45+0+$B$18,1,0))</f>
        <v/>
      </c>
      <c r="AY71" s="760">
        <f>IF(47&lt;5,0,IF(MAX(AT40:AY40)&gt;AY45+0+$B$18,1,0))</f>
        <v/>
      </c>
      <c r="AZ71" s="760">
        <f>IF(48&lt;5,0,IF(MAX(AU40:AZ40)&gt;AZ45+0+$B$18,1,0))</f>
        <v/>
      </c>
      <c r="BA71" s="760">
        <f>IF(49&lt;5,0,IF(MAX(AV40:BA40)&gt;BA45+0+$B$18,1,0))</f>
        <v/>
      </c>
      <c r="BB71" s="760">
        <f>IF(50&lt;5,0,IF(MAX(AW40:BB40)&gt;BB45+0+$B$18,1,0))</f>
        <v/>
      </c>
      <c r="BC71" s="760">
        <f>IF(51&lt;5,0,IF(MAX(AX40:BC40)&gt;BC45+0+$B$18,1,0))</f>
        <v/>
      </c>
      <c r="BD71" s="760">
        <f>IF(52&lt;5,0,IF(MAX(AY40:BD40)&gt;BD45+0+$B$18,1,0))</f>
        <v/>
      </c>
      <c r="BE71" s="760">
        <f>IF(53&lt;5,0,IF(MAX(AZ40:BE40)&gt;BE45+0+$B$18,1,0))</f>
        <v/>
      </c>
      <c r="BF71" s="760">
        <f>IF(54&lt;5,0,IF(MAX(BA40:BF40)&gt;BF45+0+$B$18,1,0))</f>
        <v/>
      </c>
      <c r="BG71" s="760">
        <f>IF(55&lt;5,0,IF(MAX(BB40:BG40)&gt;BG45+0+$B$18,1,0))</f>
        <v/>
      </c>
      <c r="BH71" s="760">
        <f>IF(56&lt;5,0,IF(MAX(BC40:BH40)&gt;BH45+0+$B$18,1,0))</f>
        <v/>
      </c>
      <c r="BI71" s="760">
        <f>IF(57&lt;5,0,IF(MAX(BD40:BI40)&gt;BI45+0+$B$18,1,0))</f>
        <v/>
      </c>
      <c r="BJ71" s="760">
        <f>IF(58&lt;5,0,IF(MAX(BE40:BJ40)&gt;BJ45+0+$B$18,1,0))</f>
        <v/>
      </c>
      <c r="BK71" s="760">
        <f>IF(59&lt;5,0,IF(MAX(BF40:BK40)&gt;BK45+0+$B$18,1,0))</f>
        <v/>
      </c>
      <c r="BL71" s="760">
        <f>IF(60&lt;5,0,IF(MAX(BG40:BL40)&gt;BL45+0+$B$18,1,0))</f>
        <v/>
      </c>
      <c r="BM71" s="760">
        <f>IF(61&lt;5,0,IF(MAX(BH40:BM40)&gt;BM45+0+$B$18,1,0))</f>
        <v/>
      </c>
      <c r="BN71" s="760">
        <f>IF(62&lt;5,0,IF(MAX(BI40:BN40)&gt;BN45+0+$B$18,1,0))</f>
        <v/>
      </c>
      <c r="BO71" s="760">
        <f>IF(63&lt;5,0,IF(MAX(BJ40:BO40)&gt;BO45+0+$B$18,1,0))</f>
        <v/>
      </c>
      <c r="BP71" s="760">
        <f>IF(64&lt;5,0,IF(MAX(BK40:BP40)&gt;BP45+0+$B$18,1,0))</f>
        <v/>
      </c>
      <c r="BQ71" s="760">
        <f>IF(65&lt;5,0,IF(MAX(BL40:BQ40)&gt;BQ45+0+$B$18,1,0))</f>
        <v/>
      </c>
      <c r="BR71" s="760">
        <f>IF(66&lt;5,0,IF(MAX(BM40:BR40)&gt;BR45+0+$B$18,1,0))</f>
        <v/>
      </c>
      <c r="BS71" s="760">
        <f>IF(67&lt;5,0,IF(MAX(BN40:BS40)&gt;BS45+0+$B$18,1,0))</f>
        <v/>
      </c>
      <c r="BT71" s="760">
        <f>IF(68&lt;5,0,IF(MAX(BO40:BT40)&gt;BT45+0+$B$18,1,0))</f>
        <v/>
      </c>
      <c r="BU71" s="760">
        <f>IF(69&lt;5,0,IF(MAX(BP40:BU40)&gt;BU45+0+$B$18,1,0))</f>
        <v/>
      </c>
      <c r="BV71" s="760">
        <f>IF(70&lt;5,0,IF(MAX(BQ40:BV40)&gt;BV45+0+$B$18,1,0))</f>
        <v/>
      </c>
      <c r="BW71" s="760">
        <f>IF(71&lt;5,0,IF(MAX(BR40:BW40)&gt;BW45+0+$B$18,1,0))</f>
        <v/>
      </c>
      <c r="BX71" s="760">
        <f>IF(72&lt;5,0,IF(MAX(BS40:BX40)&gt;BX45+0+$B$18,1,0))</f>
        <v/>
      </c>
      <c r="BY71" s="760">
        <f>IF(73&lt;5,0,IF(MAX(BT40:BY40)&gt;BY45+0+$B$18,1,0))</f>
        <v/>
      </c>
      <c r="BZ71" s="760">
        <f>IF(74&lt;5,0,IF(MAX(BU40:BZ40)&gt;BZ45+0+$B$18,1,0))</f>
        <v/>
      </c>
      <c r="CA71" s="760">
        <f>IF(75&lt;5,0,IF(MAX(BV40:CA40)&gt;CA45+0+$B$18,1,0))</f>
        <v/>
      </c>
      <c r="CB71" s="760">
        <f>IF(76&lt;5,0,IF(MAX(BW40:CB40)&gt;CB45+0+$B$18,1,0))</f>
        <v/>
      </c>
      <c r="CC71" s="760">
        <f>IF(77&lt;5,0,IF(MAX(BX40:CC40)&gt;CC45+0+$B$18,1,0))</f>
        <v/>
      </c>
      <c r="CD71" s="760">
        <f>IF(78&lt;5,0,IF(MAX(BY40:CD40)&gt;CD45+0+$B$18,1,0))</f>
        <v/>
      </c>
      <c r="CE71" s="760">
        <f>IF(79&lt;5,0,IF(MAX(BZ40:CE40)&gt;CE45+0+$B$18,1,0))</f>
        <v/>
      </c>
      <c r="CF71" s="760">
        <f>IF(80&lt;5,0,IF(MAX(CA40:CF40)&gt;CF45+0+$B$18,1,0))</f>
        <v/>
      </c>
      <c r="CG71" s="760">
        <f>IF(81&lt;5,0,IF(MAX(CB40:CG40)&gt;CG45+0+$B$18,1,0))</f>
        <v/>
      </c>
      <c r="CH71" s="760">
        <f>IF(82&lt;5,0,IF(MAX(CC40:CH40)&gt;CH45+0+$B$18,1,0))</f>
        <v/>
      </c>
      <c r="CI71" s="760">
        <f>IF(83&lt;5,0,IF(MAX(CD40:CI40)&gt;CI45+0+$B$18,1,0))</f>
        <v/>
      </c>
      <c r="CJ71" s="760">
        <f>IF(84&lt;5,0,IF(MAX(CE40:CJ40)&gt;CJ45+0+$B$18,1,0))</f>
        <v/>
      </c>
      <c r="CK71" s="760">
        <f>IF(85&lt;5,0,IF(MAX(CF40:CK40)&gt;CK45+0+$B$18,1,0))</f>
        <v/>
      </c>
      <c r="CL71" s="760">
        <f>IF(86&lt;5,0,IF(MAX(CG40:CL40)&gt;CL45+0+$B$18,1,0))</f>
        <v/>
      </c>
      <c r="CM71" s="760">
        <f>IF(87&lt;5,0,IF(MAX(CH40:CM40)&gt;CM45+0+$B$18,1,0))</f>
        <v/>
      </c>
      <c r="CN71" s="760">
        <f>IF(88&lt;5,0,IF(MAX(CI40:CN40)&gt;CN45+0+$B$18,1,0))</f>
        <v/>
      </c>
      <c r="CO71" s="760">
        <f>IF(89&lt;5,0,IF(MAX(CJ40:CO40)&gt;CO45+0+$B$18,1,0))</f>
        <v/>
      </c>
      <c r="CP71" s="760">
        <f>IF(90&lt;5,0,IF(MAX(CK40:CP40)&gt;CP45+0+$B$18,1,0))</f>
        <v/>
      </c>
      <c r="CQ71" s="760">
        <f>IF(91&lt;5,0,IF(MAX(CL40:CQ40)&gt;CQ45+0+$B$18,1,0))</f>
        <v/>
      </c>
      <c r="CR71" s="760">
        <f>IF(92&lt;5,0,IF(MAX(CM40:CR40)&gt;CR45+0+$B$18,1,0))</f>
        <v/>
      </c>
      <c r="CS71" s="760">
        <f>IF(93&lt;5,0,IF(MAX(CN40:CS40)&gt;CS45+0+$B$18,1,0))</f>
        <v/>
      </c>
      <c r="CT71" s="760">
        <f>IF(94&lt;5,0,IF(MAX(CO40:CT40)&gt;CT45+0+$B$18,1,0))</f>
        <v/>
      </c>
      <c r="CU71" s="760">
        <f>IF(95&lt;5,0,IF(MAX(CP40:CU40)&gt;CU45+0+$B$18,1,0))</f>
        <v/>
      </c>
      <c r="CV71" s="760">
        <f>IF(96&lt;5,0,IF(MAX(CQ40:CV40)&gt;CV45+0+$B$18,1,0))</f>
        <v/>
      </c>
      <c r="CW71" s="760">
        <f>IF(97&lt;5,0,IF(MAX(CR40:CW40)&gt;CW45+0+$B$18,1,0))</f>
        <v/>
      </c>
      <c r="CX71" s="760">
        <f>IF(98&lt;5,0,IF(MAX(CS40:CX40)&gt;CX45+0+$B$18,1,0))</f>
        <v/>
      </c>
      <c r="CY71" s="760">
        <f>IF(99&lt;5,0,IF(MAX(CT40:CY40)&gt;CY45+0+$B$18,1,0))</f>
        <v/>
      </c>
      <c r="CZ71" s="760">
        <f>IF(100&lt;5,0,IF(MAX(CU40:CZ40)&gt;CZ45+0+$B$18,1,0))</f>
        <v/>
      </c>
      <c r="DA71" s="760">
        <f>IF(101&lt;5,0,IF(MAX(CV40:DA40)&gt;DA45+0+$B$18,1,0))</f>
        <v/>
      </c>
      <c r="DB71" s="760">
        <f>IF(102&lt;5,0,IF(MAX(CW40:DB40)&gt;DB45+0+$B$18,1,0))</f>
        <v/>
      </c>
      <c r="DC71" s="760">
        <f>IF(103&lt;5,0,IF(MAX(CX40:DC40)&gt;DC45+0+$B$18,1,0))</f>
        <v/>
      </c>
      <c r="DD71" s="760">
        <f>IF(104&lt;5,0,IF(MAX(CY40:DD40)&gt;DD45+0+$B$18,1,0))</f>
        <v/>
      </c>
      <c r="DE71" s="760">
        <f>IF(105&lt;5,0,IF(MAX(CZ40:DE40)&gt;DE45+0+$B$18,1,0))</f>
        <v/>
      </c>
    </row>
    <row r="72">
      <c r="A72" s="586" t="inlineStr">
        <is>
          <t>PM slot 2</t>
        </is>
      </c>
      <c r="B72" s="587">
        <f>$B$29</f>
        <v/>
      </c>
      <c r="E72" s="760">
        <f>IF(1&lt;5,0,IF(MAX(E40:E40)&gt;E45+1+$B$18,1,0))</f>
        <v/>
      </c>
      <c r="F72" s="760">
        <f>IF(2&lt;5,0,IF(MAX(E40:F40)&gt;F45+1+$B$18,1,0))</f>
        <v/>
      </c>
      <c r="G72" s="760">
        <f>IF(3&lt;5,0,IF(MAX(E40:G40)&gt;G45+1+$B$18,1,0))</f>
        <v/>
      </c>
      <c r="H72" s="760">
        <f>IF(4&lt;5,0,IF(MAX(E40:H40)&gt;H45+1+$B$18,1,0))</f>
        <v/>
      </c>
      <c r="I72" s="760">
        <f>IF(5&lt;5,0,IF(MAX(E40:I40)&gt;I45+1+$B$18,1,0))</f>
        <v/>
      </c>
      <c r="J72" s="760">
        <f>IF(6&lt;5,0,IF(MAX(E40:J40)&gt;J45+1+$B$18,1,0))</f>
        <v/>
      </c>
      <c r="K72" s="760">
        <f>IF(7&lt;5,0,IF(MAX(F40:K40)&gt;K45+1+$B$18,1,0))</f>
        <v/>
      </c>
      <c r="L72" s="760">
        <f>IF(8&lt;5,0,IF(MAX(G40:L40)&gt;L45+1+$B$18,1,0))</f>
        <v/>
      </c>
      <c r="M72" s="760">
        <f>IF(9&lt;5,0,IF(MAX(H40:M40)&gt;M45+1+$B$18,1,0))</f>
        <v/>
      </c>
      <c r="N72" s="760">
        <f>IF(10&lt;5,0,IF(MAX(I40:N40)&gt;N45+1+$B$18,1,0))</f>
        <v/>
      </c>
      <c r="O72" s="760">
        <f>IF(11&lt;5,0,IF(MAX(J40:O40)&gt;O45+1+$B$18,1,0))</f>
        <v/>
      </c>
      <c r="P72" s="760">
        <f>IF(12&lt;5,0,IF(MAX(K40:P40)&gt;P45+1+$B$18,1,0))</f>
        <v/>
      </c>
      <c r="Q72" s="760">
        <f>IF(13&lt;5,0,IF(MAX(L40:Q40)&gt;Q45+1+$B$18,1,0))</f>
        <v/>
      </c>
      <c r="R72" s="760">
        <f>IF(14&lt;5,0,IF(MAX(M40:R40)&gt;R45+1+$B$18,1,0))</f>
        <v/>
      </c>
      <c r="S72" s="760">
        <f>IF(15&lt;5,0,IF(MAX(N40:S40)&gt;S45+1+$B$18,1,0))</f>
        <v/>
      </c>
      <c r="T72" s="760">
        <f>IF(16&lt;5,0,IF(MAX(O40:T40)&gt;T45+1+$B$18,1,0))</f>
        <v/>
      </c>
      <c r="U72" s="760">
        <f>IF(17&lt;5,0,IF(MAX(P40:U40)&gt;U45+1+$B$18,1,0))</f>
        <v/>
      </c>
      <c r="V72" s="760">
        <f>IF(18&lt;5,0,IF(MAX(Q40:V40)&gt;V45+1+$B$18,1,0))</f>
        <v/>
      </c>
      <c r="W72" s="760">
        <f>IF(19&lt;5,0,IF(MAX(R40:W40)&gt;W45+1+$B$18,1,0))</f>
        <v/>
      </c>
      <c r="X72" s="760">
        <f>IF(20&lt;5,0,IF(MAX(S40:X40)&gt;X45+1+$B$18,1,0))</f>
        <v/>
      </c>
      <c r="Y72" s="760">
        <f>IF(21&lt;5,0,IF(MAX(T40:Y40)&gt;Y45+1+$B$18,1,0))</f>
        <v/>
      </c>
      <c r="Z72" s="760">
        <f>IF(22&lt;5,0,IF(MAX(U40:Z40)&gt;Z45+1+$B$18,1,0))</f>
        <v/>
      </c>
      <c r="AA72" s="760">
        <f>IF(23&lt;5,0,IF(MAX(V40:AA40)&gt;AA45+1+$B$18,1,0))</f>
        <v/>
      </c>
      <c r="AB72" s="760">
        <f>IF(24&lt;5,0,IF(MAX(W40:AB40)&gt;AB45+1+$B$18,1,0))</f>
        <v/>
      </c>
      <c r="AC72" s="760">
        <f>IF(25&lt;5,0,IF(MAX(X40:AC40)&gt;AC45+1+$B$18,1,0))</f>
        <v/>
      </c>
      <c r="AD72" s="760">
        <f>IF(26&lt;5,0,IF(MAX(Y40:AD40)&gt;AD45+1+$B$18,1,0))</f>
        <v/>
      </c>
      <c r="AE72" s="760">
        <f>IF(27&lt;5,0,IF(MAX(Z40:AE40)&gt;AE45+1+$B$18,1,0))</f>
        <v/>
      </c>
      <c r="AF72" s="760">
        <f>IF(28&lt;5,0,IF(MAX(AA40:AF40)&gt;AF45+1+$B$18,1,0))</f>
        <v/>
      </c>
      <c r="AG72" s="760">
        <f>IF(29&lt;5,0,IF(MAX(AB40:AG40)&gt;AG45+1+$B$18,1,0))</f>
        <v/>
      </c>
      <c r="AH72" s="760">
        <f>IF(30&lt;5,0,IF(MAX(AC40:AH40)&gt;AH45+1+$B$18,1,0))</f>
        <v/>
      </c>
      <c r="AI72" s="760">
        <f>IF(31&lt;5,0,IF(MAX(AD40:AI40)&gt;AI45+1+$B$18,1,0))</f>
        <v/>
      </c>
      <c r="AJ72" s="760">
        <f>IF(32&lt;5,0,IF(MAX(AE40:AJ40)&gt;AJ45+1+$B$18,1,0))</f>
        <v/>
      </c>
      <c r="AK72" s="760">
        <f>IF(33&lt;5,0,IF(MAX(AF40:AK40)&gt;AK45+1+$B$18,1,0))</f>
        <v/>
      </c>
      <c r="AL72" s="760">
        <f>IF(34&lt;5,0,IF(MAX(AG40:AL40)&gt;AL45+1+$B$18,1,0))</f>
        <v/>
      </c>
      <c r="AM72" s="760">
        <f>IF(35&lt;5,0,IF(MAX(AH40:AM40)&gt;AM45+1+$B$18,1,0))</f>
        <v/>
      </c>
      <c r="AN72" s="760">
        <f>IF(36&lt;5,0,IF(MAX(AI40:AN40)&gt;AN45+1+$B$18,1,0))</f>
        <v/>
      </c>
      <c r="AO72" s="760">
        <f>IF(37&lt;5,0,IF(MAX(AJ40:AO40)&gt;AO45+1+$B$18,1,0))</f>
        <v/>
      </c>
      <c r="AP72" s="760">
        <f>IF(38&lt;5,0,IF(MAX(AK40:AP40)&gt;AP45+1+$B$18,1,0))</f>
        <v/>
      </c>
      <c r="AQ72" s="760">
        <f>IF(39&lt;5,0,IF(MAX(AL40:AQ40)&gt;AQ45+1+$B$18,1,0))</f>
        <v/>
      </c>
      <c r="AR72" s="760">
        <f>IF(40&lt;5,0,IF(MAX(AM40:AR40)&gt;AR45+1+$B$18,1,0))</f>
        <v/>
      </c>
      <c r="AS72" s="760">
        <f>IF(41&lt;5,0,IF(MAX(AN40:AS40)&gt;AS45+1+$B$18,1,0))</f>
        <v/>
      </c>
      <c r="AT72" s="760">
        <f>IF(42&lt;5,0,IF(MAX(AO40:AT40)&gt;AT45+1+$B$18,1,0))</f>
        <v/>
      </c>
      <c r="AU72" s="760">
        <f>IF(43&lt;5,0,IF(MAX(AP40:AU40)&gt;AU45+1+$B$18,1,0))</f>
        <v/>
      </c>
      <c r="AV72" s="760">
        <f>IF(44&lt;5,0,IF(MAX(AQ40:AV40)&gt;AV45+1+$B$18,1,0))</f>
        <v/>
      </c>
      <c r="AW72" s="760">
        <f>IF(45&lt;5,0,IF(MAX(AR40:AW40)&gt;AW45+1+$B$18,1,0))</f>
        <v/>
      </c>
      <c r="AX72" s="760">
        <f>IF(46&lt;5,0,IF(MAX(AS40:AX40)&gt;AX45+1+$B$18,1,0))</f>
        <v/>
      </c>
      <c r="AY72" s="760">
        <f>IF(47&lt;5,0,IF(MAX(AT40:AY40)&gt;AY45+1+$B$18,1,0))</f>
        <v/>
      </c>
      <c r="AZ72" s="760">
        <f>IF(48&lt;5,0,IF(MAX(AU40:AZ40)&gt;AZ45+1+$B$18,1,0))</f>
        <v/>
      </c>
      <c r="BA72" s="760">
        <f>IF(49&lt;5,0,IF(MAX(AV40:BA40)&gt;BA45+1+$B$18,1,0))</f>
        <v/>
      </c>
      <c r="BB72" s="760">
        <f>IF(50&lt;5,0,IF(MAX(AW40:BB40)&gt;BB45+1+$B$18,1,0))</f>
        <v/>
      </c>
      <c r="BC72" s="760">
        <f>IF(51&lt;5,0,IF(MAX(AX40:BC40)&gt;BC45+1+$B$18,1,0))</f>
        <v/>
      </c>
      <c r="BD72" s="760">
        <f>IF(52&lt;5,0,IF(MAX(AY40:BD40)&gt;BD45+1+$B$18,1,0))</f>
        <v/>
      </c>
      <c r="BE72" s="760">
        <f>IF(53&lt;5,0,IF(MAX(AZ40:BE40)&gt;BE45+1+$B$18,1,0))</f>
        <v/>
      </c>
      <c r="BF72" s="760">
        <f>IF(54&lt;5,0,IF(MAX(BA40:BF40)&gt;BF45+1+$B$18,1,0))</f>
        <v/>
      </c>
      <c r="BG72" s="760">
        <f>IF(55&lt;5,0,IF(MAX(BB40:BG40)&gt;BG45+1+$B$18,1,0))</f>
        <v/>
      </c>
      <c r="BH72" s="760">
        <f>IF(56&lt;5,0,IF(MAX(BC40:BH40)&gt;BH45+1+$B$18,1,0))</f>
        <v/>
      </c>
      <c r="BI72" s="760">
        <f>IF(57&lt;5,0,IF(MAX(BD40:BI40)&gt;BI45+1+$B$18,1,0))</f>
        <v/>
      </c>
      <c r="BJ72" s="760">
        <f>IF(58&lt;5,0,IF(MAX(BE40:BJ40)&gt;BJ45+1+$B$18,1,0))</f>
        <v/>
      </c>
      <c r="BK72" s="760">
        <f>IF(59&lt;5,0,IF(MAX(BF40:BK40)&gt;BK45+1+$B$18,1,0))</f>
        <v/>
      </c>
      <c r="BL72" s="760">
        <f>IF(60&lt;5,0,IF(MAX(BG40:BL40)&gt;BL45+1+$B$18,1,0))</f>
        <v/>
      </c>
      <c r="BM72" s="760">
        <f>IF(61&lt;5,0,IF(MAX(BH40:BM40)&gt;BM45+1+$B$18,1,0))</f>
        <v/>
      </c>
      <c r="BN72" s="760">
        <f>IF(62&lt;5,0,IF(MAX(BI40:BN40)&gt;BN45+1+$B$18,1,0))</f>
        <v/>
      </c>
      <c r="BO72" s="760">
        <f>IF(63&lt;5,0,IF(MAX(BJ40:BO40)&gt;BO45+1+$B$18,1,0))</f>
        <v/>
      </c>
      <c r="BP72" s="760">
        <f>IF(64&lt;5,0,IF(MAX(BK40:BP40)&gt;BP45+1+$B$18,1,0))</f>
        <v/>
      </c>
      <c r="BQ72" s="760">
        <f>IF(65&lt;5,0,IF(MAX(BL40:BQ40)&gt;BQ45+1+$B$18,1,0))</f>
        <v/>
      </c>
      <c r="BR72" s="760">
        <f>IF(66&lt;5,0,IF(MAX(BM40:BR40)&gt;BR45+1+$B$18,1,0))</f>
        <v/>
      </c>
      <c r="BS72" s="760">
        <f>IF(67&lt;5,0,IF(MAX(BN40:BS40)&gt;BS45+1+$B$18,1,0))</f>
        <v/>
      </c>
      <c r="BT72" s="760">
        <f>IF(68&lt;5,0,IF(MAX(BO40:BT40)&gt;BT45+1+$B$18,1,0))</f>
        <v/>
      </c>
      <c r="BU72" s="760">
        <f>IF(69&lt;5,0,IF(MAX(BP40:BU40)&gt;BU45+1+$B$18,1,0))</f>
        <v/>
      </c>
      <c r="BV72" s="760">
        <f>IF(70&lt;5,0,IF(MAX(BQ40:BV40)&gt;BV45+1+$B$18,1,0))</f>
        <v/>
      </c>
      <c r="BW72" s="760">
        <f>IF(71&lt;5,0,IF(MAX(BR40:BW40)&gt;BW45+1+$B$18,1,0))</f>
        <v/>
      </c>
      <c r="BX72" s="760">
        <f>IF(72&lt;5,0,IF(MAX(BS40:BX40)&gt;BX45+1+$B$18,1,0))</f>
        <v/>
      </c>
      <c r="BY72" s="760">
        <f>IF(73&lt;5,0,IF(MAX(BT40:BY40)&gt;BY45+1+$B$18,1,0))</f>
        <v/>
      </c>
      <c r="BZ72" s="760">
        <f>IF(74&lt;5,0,IF(MAX(BU40:BZ40)&gt;BZ45+1+$B$18,1,0))</f>
        <v/>
      </c>
      <c r="CA72" s="760">
        <f>IF(75&lt;5,0,IF(MAX(BV40:CA40)&gt;CA45+1+$B$18,1,0))</f>
        <v/>
      </c>
      <c r="CB72" s="760">
        <f>IF(76&lt;5,0,IF(MAX(BW40:CB40)&gt;CB45+1+$B$18,1,0))</f>
        <v/>
      </c>
      <c r="CC72" s="760">
        <f>IF(77&lt;5,0,IF(MAX(BX40:CC40)&gt;CC45+1+$B$18,1,0))</f>
        <v/>
      </c>
      <c r="CD72" s="760">
        <f>IF(78&lt;5,0,IF(MAX(BY40:CD40)&gt;CD45+1+$B$18,1,0))</f>
        <v/>
      </c>
      <c r="CE72" s="760">
        <f>IF(79&lt;5,0,IF(MAX(BZ40:CE40)&gt;CE45+1+$B$18,1,0))</f>
        <v/>
      </c>
      <c r="CF72" s="760">
        <f>IF(80&lt;5,0,IF(MAX(CA40:CF40)&gt;CF45+1+$B$18,1,0))</f>
        <v/>
      </c>
      <c r="CG72" s="760">
        <f>IF(81&lt;5,0,IF(MAX(CB40:CG40)&gt;CG45+1+$B$18,1,0))</f>
        <v/>
      </c>
      <c r="CH72" s="760">
        <f>IF(82&lt;5,0,IF(MAX(CC40:CH40)&gt;CH45+1+$B$18,1,0))</f>
        <v/>
      </c>
      <c r="CI72" s="760">
        <f>IF(83&lt;5,0,IF(MAX(CD40:CI40)&gt;CI45+1+$B$18,1,0))</f>
        <v/>
      </c>
      <c r="CJ72" s="760">
        <f>IF(84&lt;5,0,IF(MAX(CE40:CJ40)&gt;CJ45+1+$B$18,1,0))</f>
        <v/>
      </c>
      <c r="CK72" s="760">
        <f>IF(85&lt;5,0,IF(MAX(CF40:CK40)&gt;CK45+1+$B$18,1,0))</f>
        <v/>
      </c>
      <c r="CL72" s="760">
        <f>IF(86&lt;5,0,IF(MAX(CG40:CL40)&gt;CL45+1+$B$18,1,0))</f>
        <v/>
      </c>
      <c r="CM72" s="760">
        <f>IF(87&lt;5,0,IF(MAX(CH40:CM40)&gt;CM45+1+$B$18,1,0))</f>
        <v/>
      </c>
      <c r="CN72" s="760">
        <f>IF(88&lt;5,0,IF(MAX(CI40:CN40)&gt;CN45+1+$B$18,1,0))</f>
        <v/>
      </c>
      <c r="CO72" s="760">
        <f>IF(89&lt;5,0,IF(MAX(CJ40:CO40)&gt;CO45+1+$B$18,1,0))</f>
        <v/>
      </c>
      <c r="CP72" s="760">
        <f>IF(90&lt;5,0,IF(MAX(CK40:CP40)&gt;CP45+1+$B$18,1,0))</f>
        <v/>
      </c>
      <c r="CQ72" s="760">
        <f>IF(91&lt;5,0,IF(MAX(CL40:CQ40)&gt;CQ45+1+$B$18,1,0))</f>
        <v/>
      </c>
      <c r="CR72" s="760">
        <f>IF(92&lt;5,0,IF(MAX(CM40:CR40)&gt;CR45+1+$B$18,1,0))</f>
        <v/>
      </c>
      <c r="CS72" s="760">
        <f>IF(93&lt;5,0,IF(MAX(CN40:CS40)&gt;CS45+1+$B$18,1,0))</f>
        <v/>
      </c>
      <c r="CT72" s="760">
        <f>IF(94&lt;5,0,IF(MAX(CO40:CT40)&gt;CT45+1+$B$18,1,0))</f>
        <v/>
      </c>
      <c r="CU72" s="760">
        <f>IF(95&lt;5,0,IF(MAX(CP40:CU40)&gt;CU45+1+$B$18,1,0))</f>
        <v/>
      </c>
      <c r="CV72" s="760">
        <f>IF(96&lt;5,0,IF(MAX(CQ40:CV40)&gt;CV45+1+$B$18,1,0))</f>
        <v/>
      </c>
      <c r="CW72" s="760">
        <f>IF(97&lt;5,0,IF(MAX(CR40:CW40)&gt;CW45+1+$B$18,1,0))</f>
        <v/>
      </c>
      <c r="CX72" s="760">
        <f>IF(98&lt;5,0,IF(MAX(CS40:CX40)&gt;CX45+1+$B$18,1,0))</f>
        <v/>
      </c>
      <c r="CY72" s="760">
        <f>IF(99&lt;5,0,IF(MAX(CT40:CY40)&gt;CY45+1+$B$18,1,0))</f>
        <v/>
      </c>
      <c r="CZ72" s="760">
        <f>IF(100&lt;5,0,IF(MAX(CU40:CZ40)&gt;CZ45+1+$B$18,1,0))</f>
        <v/>
      </c>
      <c r="DA72" s="760">
        <f>IF(101&lt;5,0,IF(MAX(CV40:DA40)&gt;DA45+1+$B$18,1,0))</f>
        <v/>
      </c>
      <c r="DB72" s="760">
        <f>IF(102&lt;5,0,IF(MAX(CW40:DB40)&gt;DB45+1+$B$18,1,0))</f>
        <v/>
      </c>
      <c r="DC72" s="760">
        <f>IF(103&lt;5,0,IF(MAX(CX40:DC40)&gt;DC45+1+$B$18,1,0))</f>
        <v/>
      </c>
      <c r="DD72" s="760">
        <f>IF(104&lt;5,0,IF(MAX(CY40:DD40)&gt;DD45+1+$B$18,1,0))</f>
        <v/>
      </c>
      <c r="DE72" s="760">
        <f>IF(105&lt;5,0,IF(MAX(CZ40:DE40)&gt;DE45+1+$B$18,1,0))</f>
        <v/>
      </c>
    </row>
    <row r="73">
      <c r="A73" s="586" t="inlineStr">
        <is>
          <t>PM slot 3</t>
        </is>
      </c>
      <c r="B73" s="587">
        <f>$B$29</f>
        <v/>
      </c>
      <c r="E73" s="760">
        <f>IF(1&lt;5,0,IF(MAX(E40:E40)&gt;E45+2+$B$18,1,0))</f>
        <v/>
      </c>
      <c r="F73" s="760">
        <f>IF(2&lt;5,0,IF(MAX(E40:F40)&gt;F45+2+$B$18,1,0))</f>
        <v/>
      </c>
      <c r="G73" s="760">
        <f>IF(3&lt;5,0,IF(MAX(E40:G40)&gt;G45+2+$B$18,1,0))</f>
        <v/>
      </c>
      <c r="H73" s="760">
        <f>IF(4&lt;5,0,IF(MAX(E40:H40)&gt;H45+2+$B$18,1,0))</f>
        <v/>
      </c>
      <c r="I73" s="760">
        <f>IF(5&lt;5,0,IF(MAX(E40:I40)&gt;I45+2+$B$18,1,0))</f>
        <v/>
      </c>
      <c r="J73" s="760">
        <f>IF(6&lt;5,0,IF(MAX(E40:J40)&gt;J45+2+$B$18,1,0))</f>
        <v/>
      </c>
      <c r="K73" s="760">
        <f>IF(7&lt;5,0,IF(MAX(F40:K40)&gt;K45+2+$B$18,1,0))</f>
        <v/>
      </c>
      <c r="L73" s="760">
        <f>IF(8&lt;5,0,IF(MAX(G40:L40)&gt;L45+2+$B$18,1,0))</f>
        <v/>
      </c>
      <c r="M73" s="760">
        <f>IF(9&lt;5,0,IF(MAX(H40:M40)&gt;M45+2+$B$18,1,0))</f>
        <v/>
      </c>
      <c r="N73" s="760">
        <f>IF(10&lt;5,0,IF(MAX(I40:N40)&gt;N45+2+$B$18,1,0))</f>
        <v/>
      </c>
      <c r="O73" s="760">
        <f>IF(11&lt;5,0,IF(MAX(J40:O40)&gt;O45+2+$B$18,1,0))</f>
        <v/>
      </c>
      <c r="P73" s="760">
        <f>IF(12&lt;5,0,IF(MAX(K40:P40)&gt;P45+2+$B$18,1,0))</f>
        <v/>
      </c>
      <c r="Q73" s="760">
        <f>IF(13&lt;5,0,IF(MAX(L40:Q40)&gt;Q45+2+$B$18,1,0))</f>
        <v/>
      </c>
      <c r="R73" s="760">
        <f>IF(14&lt;5,0,IF(MAX(M40:R40)&gt;R45+2+$B$18,1,0))</f>
        <v/>
      </c>
      <c r="S73" s="760">
        <f>IF(15&lt;5,0,IF(MAX(N40:S40)&gt;S45+2+$B$18,1,0))</f>
        <v/>
      </c>
      <c r="T73" s="760">
        <f>IF(16&lt;5,0,IF(MAX(O40:T40)&gt;T45+2+$B$18,1,0))</f>
        <v/>
      </c>
      <c r="U73" s="760">
        <f>IF(17&lt;5,0,IF(MAX(P40:U40)&gt;U45+2+$B$18,1,0))</f>
        <v/>
      </c>
      <c r="V73" s="760">
        <f>IF(18&lt;5,0,IF(MAX(Q40:V40)&gt;V45+2+$B$18,1,0))</f>
        <v/>
      </c>
      <c r="W73" s="760">
        <f>IF(19&lt;5,0,IF(MAX(R40:W40)&gt;W45+2+$B$18,1,0))</f>
        <v/>
      </c>
      <c r="X73" s="760">
        <f>IF(20&lt;5,0,IF(MAX(S40:X40)&gt;X45+2+$B$18,1,0))</f>
        <v/>
      </c>
      <c r="Y73" s="760">
        <f>IF(21&lt;5,0,IF(MAX(T40:Y40)&gt;Y45+2+$B$18,1,0))</f>
        <v/>
      </c>
      <c r="Z73" s="760">
        <f>IF(22&lt;5,0,IF(MAX(U40:Z40)&gt;Z45+2+$B$18,1,0))</f>
        <v/>
      </c>
      <c r="AA73" s="760">
        <f>IF(23&lt;5,0,IF(MAX(V40:AA40)&gt;AA45+2+$B$18,1,0))</f>
        <v/>
      </c>
      <c r="AB73" s="760">
        <f>IF(24&lt;5,0,IF(MAX(W40:AB40)&gt;AB45+2+$B$18,1,0))</f>
        <v/>
      </c>
      <c r="AC73" s="760">
        <f>IF(25&lt;5,0,IF(MAX(X40:AC40)&gt;AC45+2+$B$18,1,0))</f>
        <v/>
      </c>
      <c r="AD73" s="760">
        <f>IF(26&lt;5,0,IF(MAX(Y40:AD40)&gt;AD45+2+$B$18,1,0))</f>
        <v/>
      </c>
      <c r="AE73" s="760">
        <f>IF(27&lt;5,0,IF(MAX(Z40:AE40)&gt;AE45+2+$B$18,1,0))</f>
        <v/>
      </c>
      <c r="AF73" s="760">
        <f>IF(28&lt;5,0,IF(MAX(AA40:AF40)&gt;AF45+2+$B$18,1,0))</f>
        <v/>
      </c>
      <c r="AG73" s="760">
        <f>IF(29&lt;5,0,IF(MAX(AB40:AG40)&gt;AG45+2+$B$18,1,0))</f>
        <v/>
      </c>
      <c r="AH73" s="760">
        <f>IF(30&lt;5,0,IF(MAX(AC40:AH40)&gt;AH45+2+$B$18,1,0))</f>
        <v/>
      </c>
      <c r="AI73" s="760">
        <f>IF(31&lt;5,0,IF(MAX(AD40:AI40)&gt;AI45+2+$B$18,1,0))</f>
        <v/>
      </c>
      <c r="AJ73" s="760">
        <f>IF(32&lt;5,0,IF(MAX(AE40:AJ40)&gt;AJ45+2+$B$18,1,0))</f>
        <v/>
      </c>
      <c r="AK73" s="760">
        <f>IF(33&lt;5,0,IF(MAX(AF40:AK40)&gt;AK45+2+$B$18,1,0))</f>
        <v/>
      </c>
      <c r="AL73" s="760">
        <f>IF(34&lt;5,0,IF(MAX(AG40:AL40)&gt;AL45+2+$B$18,1,0))</f>
        <v/>
      </c>
      <c r="AM73" s="760">
        <f>IF(35&lt;5,0,IF(MAX(AH40:AM40)&gt;AM45+2+$B$18,1,0))</f>
        <v/>
      </c>
      <c r="AN73" s="760">
        <f>IF(36&lt;5,0,IF(MAX(AI40:AN40)&gt;AN45+2+$B$18,1,0))</f>
        <v/>
      </c>
      <c r="AO73" s="760">
        <f>IF(37&lt;5,0,IF(MAX(AJ40:AO40)&gt;AO45+2+$B$18,1,0))</f>
        <v/>
      </c>
      <c r="AP73" s="760">
        <f>IF(38&lt;5,0,IF(MAX(AK40:AP40)&gt;AP45+2+$B$18,1,0))</f>
        <v/>
      </c>
      <c r="AQ73" s="760">
        <f>IF(39&lt;5,0,IF(MAX(AL40:AQ40)&gt;AQ45+2+$B$18,1,0))</f>
        <v/>
      </c>
      <c r="AR73" s="760">
        <f>IF(40&lt;5,0,IF(MAX(AM40:AR40)&gt;AR45+2+$B$18,1,0))</f>
        <v/>
      </c>
      <c r="AS73" s="760">
        <f>IF(41&lt;5,0,IF(MAX(AN40:AS40)&gt;AS45+2+$B$18,1,0))</f>
        <v/>
      </c>
      <c r="AT73" s="760">
        <f>IF(42&lt;5,0,IF(MAX(AO40:AT40)&gt;AT45+2+$B$18,1,0))</f>
        <v/>
      </c>
      <c r="AU73" s="760">
        <f>IF(43&lt;5,0,IF(MAX(AP40:AU40)&gt;AU45+2+$B$18,1,0))</f>
        <v/>
      </c>
      <c r="AV73" s="760">
        <f>IF(44&lt;5,0,IF(MAX(AQ40:AV40)&gt;AV45+2+$B$18,1,0))</f>
        <v/>
      </c>
      <c r="AW73" s="760">
        <f>IF(45&lt;5,0,IF(MAX(AR40:AW40)&gt;AW45+2+$B$18,1,0))</f>
        <v/>
      </c>
      <c r="AX73" s="760">
        <f>IF(46&lt;5,0,IF(MAX(AS40:AX40)&gt;AX45+2+$B$18,1,0))</f>
        <v/>
      </c>
      <c r="AY73" s="760">
        <f>IF(47&lt;5,0,IF(MAX(AT40:AY40)&gt;AY45+2+$B$18,1,0))</f>
        <v/>
      </c>
      <c r="AZ73" s="760">
        <f>IF(48&lt;5,0,IF(MAX(AU40:AZ40)&gt;AZ45+2+$B$18,1,0))</f>
        <v/>
      </c>
      <c r="BA73" s="760">
        <f>IF(49&lt;5,0,IF(MAX(AV40:BA40)&gt;BA45+2+$B$18,1,0))</f>
        <v/>
      </c>
      <c r="BB73" s="760">
        <f>IF(50&lt;5,0,IF(MAX(AW40:BB40)&gt;BB45+2+$B$18,1,0))</f>
        <v/>
      </c>
      <c r="BC73" s="760">
        <f>IF(51&lt;5,0,IF(MAX(AX40:BC40)&gt;BC45+2+$B$18,1,0))</f>
        <v/>
      </c>
      <c r="BD73" s="760">
        <f>IF(52&lt;5,0,IF(MAX(AY40:BD40)&gt;BD45+2+$B$18,1,0))</f>
        <v/>
      </c>
      <c r="BE73" s="760">
        <f>IF(53&lt;5,0,IF(MAX(AZ40:BE40)&gt;BE45+2+$B$18,1,0))</f>
        <v/>
      </c>
      <c r="BF73" s="760">
        <f>IF(54&lt;5,0,IF(MAX(BA40:BF40)&gt;BF45+2+$B$18,1,0))</f>
        <v/>
      </c>
      <c r="BG73" s="760">
        <f>IF(55&lt;5,0,IF(MAX(BB40:BG40)&gt;BG45+2+$B$18,1,0))</f>
        <v/>
      </c>
      <c r="BH73" s="760">
        <f>IF(56&lt;5,0,IF(MAX(BC40:BH40)&gt;BH45+2+$B$18,1,0))</f>
        <v/>
      </c>
      <c r="BI73" s="760">
        <f>IF(57&lt;5,0,IF(MAX(BD40:BI40)&gt;BI45+2+$B$18,1,0))</f>
        <v/>
      </c>
      <c r="BJ73" s="760">
        <f>IF(58&lt;5,0,IF(MAX(BE40:BJ40)&gt;BJ45+2+$B$18,1,0))</f>
        <v/>
      </c>
      <c r="BK73" s="760">
        <f>IF(59&lt;5,0,IF(MAX(BF40:BK40)&gt;BK45+2+$B$18,1,0))</f>
        <v/>
      </c>
      <c r="BL73" s="760">
        <f>IF(60&lt;5,0,IF(MAX(BG40:BL40)&gt;BL45+2+$B$18,1,0))</f>
        <v/>
      </c>
      <c r="BM73" s="760">
        <f>IF(61&lt;5,0,IF(MAX(BH40:BM40)&gt;BM45+2+$B$18,1,0))</f>
        <v/>
      </c>
      <c r="BN73" s="760">
        <f>IF(62&lt;5,0,IF(MAX(BI40:BN40)&gt;BN45+2+$B$18,1,0))</f>
        <v/>
      </c>
      <c r="BO73" s="760">
        <f>IF(63&lt;5,0,IF(MAX(BJ40:BO40)&gt;BO45+2+$B$18,1,0))</f>
        <v/>
      </c>
      <c r="BP73" s="760">
        <f>IF(64&lt;5,0,IF(MAX(BK40:BP40)&gt;BP45+2+$B$18,1,0))</f>
        <v/>
      </c>
      <c r="BQ73" s="760">
        <f>IF(65&lt;5,0,IF(MAX(BL40:BQ40)&gt;BQ45+2+$B$18,1,0))</f>
        <v/>
      </c>
      <c r="BR73" s="760">
        <f>IF(66&lt;5,0,IF(MAX(BM40:BR40)&gt;BR45+2+$B$18,1,0))</f>
        <v/>
      </c>
      <c r="BS73" s="760">
        <f>IF(67&lt;5,0,IF(MAX(BN40:BS40)&gt;BS45+2+$B$18,1,0))</f>
        <v/>
      </c>
      <c r="BT73" s="760">
        <f>IF(68&lt;5,0,IF(MAX(BO40:BT40)&gt;BT45+2+$B$18,1,0))</f>
        <v/>
      </c>
      <c r="BU73" s="760">
        <f>IF(69&lt;5,0,IF(MAX(BP40:BU40)&gt;BU45+2+$B$18,1,0))</f>
        <v/>
      </c>
      <c r="BV73" s="760">
        <f>IF(70&lt;5,0,IF(MAX(BQ40:BV40)&gt;BV45+2+$B$18,1,0))</f>
        <v/>
      </c>
      <c r="BW73" s="760">
        <f>IF(71&lt;5,0,IF(MAX(BR40:BW40)&gt;BW45+2+$B$18,1,0))</f>
        <v/>
      </c>
      <c r="BX73" s="760">
        <f>IF(72&lt;5,0,IF(MAX(BS40:BX40)&gt;BX45+2+$B$18,1,0))</f>
        <v/>
      </c>
      <c r="BY73" s="760">
        <f>IF(73&lt;5,0,IF(MAX(BT40:BY40)&gt;BY45+2+$B$18,1,0))</f>
        <v/>
      </c>
      <c r="BZ73" s="760">
        <f>IF(74&lt;5,0,IF(MAX(BU40:BZ40)&gt;BZ45+2+$B$18,1,0))</f>
        <v/>
      </c>
      <c r="CA73" s="760">
        <f>IF(75&lt;5,0,IF(MAX(BV40:CA40)&gt;CA45+2+$B$18,1,0))</f>
        <v/>
      </c>
      <c r="CB73" s="760">
        <f>IF(76&lt;5,0,IF(MAX(BW40:CB40)&gt;CB45+2+$B$18,1,0))</f>
        <v/>
      </c>
      <c r="CC73" s="760">
        <f>IF(77&lt;5,0,IF(MAX(BX40:CC40)&gt;CC45+2+$B$18,1,0))</f>
        <v/>
      </c>
      <c r="CD73" s="760">
        <f>IF(78&lt;5,0,IF(MAX(BY40:CD40)&gt;CD45+2+$B$18,1,0))</f>
        <v/>
      </c>
      <c r="CE73" s="760">
        <f>IF(79&lt;5,0,IF(MAX(BZ40:CE40)&gt;CE45+2+$B$18,1,0))</f>
        <v/>
      </c>
      <c r="CF73" s="760">
        <f>IF(80&lt;5,0,IF(MAX(CA40:CF40)&gt;CF45+2+$B$18,1,0))</f>
        <v/>
      </c>
      <c r="CG73" s="760">
        <f>IF(81&lt;5,0,IF(MAX(CB40:CG40)&gt;CG45+2+$B$18,1,0))</f>
        <v/>
      </c>
      <c r="CH73" s="760">
        <f>IF(82&lt;5,0,IF(MAX(CC40:CH40)&gt;CH45+2+$B$18,1,0))</f>
        <v/>
      </c>
      <c r="CI73" s="760">
        <f>IF(83&lt;5,0,IF(MAX(CD40:CI40)&gt;CI45+2+$B$18,1,0))</f>
        <v/>
      </c>
      <c r="CJ73" s="760">
        <f>IF(84&lt;5,0,IF(MAX(CE40:CJ40)&gt;CJ45+2+$B$18,1,0))</f>
        <v/>
      </c>
      <c r="CK73" s="760">
        <f>IF(85&lt;5,0,IF(MAX(CF40:CK40)&gt;CK45+2+$B$18,1,0))</f>
        <v/>
      </c>
      <c r="CL73" s="760">
        <f>IF(86&lt;5,0,IF(MAX(CG40:CL40)&gt;CL45+2+$B$18,1,0))</f>
        <v/>
      </c>
      <c r="CM73" s="760">
        <f>IF(87&lt;5,0,IF(MAX(CH40:CM40)&gt;CM45+2+$B$18,1,0))</f>
        <v/>
      </c>
      <c r="CN73" s="760">
        <f>IF(88&lt;5,0,IF(MAX(CI40:CN40)&gt;CN45+2+$B$18,1,0))</f>
        <v/>
      </c>
      <c r="CO73" s="760">
        <f>IF(89&lt;5,0,IF(MAX(CJ40:CO40)&gt;CO45+2+$B$18,1,0))</f>
        <v/>
      </c>
      <c r="CP73" s="760">
        <f>IF(90&lt;5,0,IF(MAX(CK40:CP40)&gt;CP45+2+$B$18,1,0))</f>
        <v/>
      </c>
      <c r="CQ73" s="760">
        <f>IF(91&lt;5,0,IF(MAX(CL40:CQ40)&gt;CQ45+2+$B$18,1,0))</f>
        <v/>
      </c>
      <c r="CR73" s="760">
        <f>IF(92&lt;5,0,IF(MAX(CM40:CR40)&gt;CR45+2+$B$18,1,0))</f>
        <v/>
      </c>
      <c r="CS73" s="760">
        <f>IF(93&lt;5,0,IF(MAX(CN40:CS40)&gt;CS45+2+$B$18,1,0))</f>
        <v/>
      </c>
      <c r="CT73" s="760">
        <f>IF(94&lt;5,0,IF(MAX(CO40:CT40)&gt;CT45+2+$B$18,1,0))</f>
        <v/>
      </c>
      <c r="CU73" s="760">
        <f>IF(95&lt;5,0,IF(MAX(CP40:CU40)&gt;CU45+2+$B$18,1,0))</f>
        <v/>
      </c>
      <c r="CV73" s="760">
        <f>IF(96&lt;5,0,IF(MAX(CQ40:CV40)&gt;CV45+2+$B$18,1,0))</f>
        <v/>
      </c>
      <c r="CW73" s="760">
        <f>IF(97&lt;5,0,IF(MAX(CR40:CW40)&gt;CW45+2+$B$18,1,0))</f>
        <v/>
      </c>
      <c r="CX73" s="760">
        <f>IF(98&lt;5,0,IF(MAX(CS40:CX40)&gt;CX45+2+$B$18,1,0))</f>
        <v/>
      </c>
      <c r="CY73" s="760">
        <f>IF(99&lt;5,0,IF(MAX(CT40:CY40)&gt;CY45+2+$B$18,1,0))</f>
        <v/>
      </c>
      <c r="CZ73" s="760">
        <f>IF(100&lt;5,0,IF(MAX(CU40:CZ40)&gt;CZ45+2+$B$18,1,0))</f>
        <v/>
      </c>
      <c r="DA73" s="760">
        <f>IF(101&lt;5,0,IF(MAX(CV40:DA40)&gt;DA45+2+$B$18,1,0))</f>
        <v/>
      </c>
      <c r="DB73" s="760">
        <f>IF(102&lt;5,0,IF(MAX(CW40:DB40)&gt;DB45+2+$B$18,1,0))</f>
        <v/>
      </c>
      <c r="DC73" s="760">
        <f>IF(103&lt;5,0,IF(MAX(CX40:DC40)&gt;DC45+2+$B$18,1,0))</f>
        <v/>
      </c>
      <c r="DD73" s="760">
        <f>IF(104&lt;5,0,IF(MAX(CY40:DD40)&gt;DD45+2+$B$18,1,0))</f>
        <v/>
      </c>
      <c r="DE73" s="760">
        <f>IF(105&lt;5,0,IF(MAX(CZ40:DE40)&gt;DE45+2+$B$18,1,0))</f>
        <v/>
      </c>
    </row>
    <row r="74">
      <c r="A74" s="586" t="inlineStr">
        <is>
          <t>PM slot 4</t>
        </is>
      </c>
      <c r="B74" s="587">
        <f>$B$29</f>
        <v/>
      </c>
      <c r="E74" s="760">
        <f>IF(1&lt;5,0,IF(MAX(E40:E40)&gt;E45+3+$B$18,1,0))</f>
        <v/>
      </c>
      <c r="F74" s="760">
        <f>IF(2&lt;5,0,IF(MAX(E40:F40)&gt;F45+3+$B$18,1,0))</f>
        <v/>
      </c>
      <c r="G74" s="760">
        <f>IF(3&lt;5,0,IF(MAX(E40:G40)&gt;G45+3+$B$18,1,0))</f>
        <v/>
      </c>
      <c r="H74" s="760">
        <f>IF(4&lt;5,0,IF(MAX(E40:H40)&gt;H45+3+$B$18,1,0))</f>
        <v/>
      </c>
      <c r="I74" s="760">
        <f>IF(5&lt;5,0,IF(MAX(E40:I40)&gt;I45+3+$B$18,1,0))</f>
        <v/>
      </c>
      <c r="J74" s="760">
        <f>IF(6&lt;5,0,IF(MAX(E40:J40)&gt;J45+3+$B$18,1,0))</f>
        <v/>
      </c>
      <c r="K74" s="760">
        <f>IF(7&lt;5,0,IF(MAX(F40:K40)&gt;K45+3+$B$18,1,0))</f>
        <v/>
      </c>
      <c r="L74" s="760">
        <f>IF(8&lt;5,0,IF(MAX(G40:L40)&gt;L45+3+$B$18,1,0))</f>
        <v/>
      </c>
      <c r="M74" s="760">
        <f>IF(9&lt;5,0,IF(MAX(H40:M40)&gt;M45+3+$B$18,1,0))</f>
        <v/>
      </c>
      <c r="N74" s="760">
        <f>IF(10&lt;5,0,IF(MAX(I40:N40)&gt;N45+3+$B$18,1,0))</f>
        <v/>
      </c>
      <c r="O74" s="760">
        <f>IF(11&lt;5,0,IF(MAX(J40:O40)&gt;O45+3+$B$18,1,0))</f>
        <v/>
      </c>
      <c r="P74" s="760">
        <f>IF(12&lt;5,0,IF(MAX(K40:P40)&gt;P45+3+$B$18,1,0))</f>
        <v/>
      </c>
      <c r="Q74" s="760">
        <f>IF(13&lt;5,0,IF(MAX(L40:Q40)&gt;Q45+3+$B$18,1,0))</f>
        <v/>
      </c>
      <c r="R74" s="760">
        <f>IF(14&lt;5,0,IF(MAX(M40:R40)&gt;R45+3+$B$18,1,0))</f>
        <v/>
      </c>
      <c r="S74" s="760">
        <f>IF(15&lt;5,0,IF(MAX(N40:S40)&gt;S45+3+$B$18,1,0))</f>
        <v/>
      </c>
      <c r="T74" s="760">
        <f>IF(16&lt;5,0,IF(MAX(O40:T40)&gt;T45+3+$B$18,1,0))</f>
        <v/>
      </c>
      <c r="U74" s="760">
        <f>IF(17&lt;5,0,IF(MAX(P40:U40)&gt;U45+3+$B$18,1,0))</f>
        <v/>
      </c>
      <c r="V74" s="760">
        <f>IF(18&lt;5,0,IF(MAX(Q40:V40)&gt;V45+3+$B$18,1,0))</f>
        <v/>
      </c>
      <c r="W74" s="760">
        <f>IF(19&lt;5,0,IF(MAX(R40:W40)&gt;W45+3+$B$18,1,0))</f>
        <v/>
      </c>
      <c r="X74" s="760">
        <f>IF(20&lt;5,0,IF(MAX(S40:X40)&gt;X45+3+$B$18,1,0))</f>
        <v/>
      </c>
      <c r="Y74" s="760">
        <f>IF(21&lt;5,0,IF(MAX(T40:Y40)&gt;Y45+3+$B$18,1,0))</f>
        <v/>
      </c>
      <c r="Z74" s="760">
        <f>IF(22&lt;5,0,IF(MAX(U40:Z40)&gt;Z45+3+$B$18,1,0))</f>
        <v/>
      </c>
      <c r="AA74" s="760">
        <f>IF(23&lt;5,0,IF(MAX(V40:AA40)&gt;AA45+3+$B$18,1,0))</f>
        <v/>
      </c>
      <c r="AB74" s="760">
        <f>IF(24&lt;5,0,IF(MAX(W40:AB40)&gt;AB45+3+$B$18,1,0))</f>
        <v/>
      </c>
      <c r="AC74" s="760">
        <f>IF(25&lt;5,0,IF(MAX(X40:AC40)&gt;AC45+3+$B$18,1,0))</f>
        <v/>
      </c>
      <c r="AD74" s="760">
        <f>IF(26&lt;5,0,IF(MAX(Y40:AD40)&gt;AD45+3+$B$18,1,0))</f>
        <v/>
      </c>
      <c r="AE74" s="760">
        <f>IF(27&lt;5,0,IF(MAX(Z40:AE40)&gt;AE45+3+$B$18,1,0))</f>
        <v/>
      </c>
      <c r="AF74" s="760">
        <f>IF(28&lt;5,0,IF(MAX(AA40:AF40)&gt;AF45+3+$B$18,1,0))</f>
        <v/>
      </c>
      <c r="AG74" s="760">
        <f>IF(29&lt;5,0,IF(MAX(AB40:AG40)&gt;AG45+3+$B$18,1,0))</f>
        <v/>
      </c>
      <c r="AH74" s="760">
        <f>IF(30&lt;5,0,IF(MAX(AC40:AH40)&gt;AH45+3+$B$18,1,0))</f>
        <v/>
      </c>
      <c r="AI74" s="760">
        <f>IF(31&lt;5,0,IF(MAX(AD40:AI40)&gt;AI45+3+$B$18,1,0))</f>
        <v/>
      </c>
      <c r="AJ74" s="760">
        <f>IF(32&lt;5,0,IF(MAX(AE40:AJ40)&gt;AJ45+3+$B$18,1,0))</f>
        <v/>
      </c>
      <c r="AK74" s="760">
        <f>IF(33&lt;5,0,IF(MAX(AF40:AK40)&gt;AK45+3+$B$18,1,0))</f>
        <v/>
      </c>
      <c r="AL74" s="760">
        <f>IF(34&lt;5,0,IF(MAX(AG40:AL40)&gt;AL45+3+$B$18,1,0))</f>
        <v/>
      </c>
      <c r="AM74" s="760">
        <f>IF(35&lt;5,0,IF(MAX(AH40:AM40)&gt;AM45+3+$B$18,1,0))</f>
        <v/>
      </c>
      <c r="AN74" s="760">
        <f>IF(36&lt;5,0,IF(MAX(AI40:AN40)&gt;AN45+3+$B$18,1,0))</f>
        <v/>
      </c>
      <c r="AO74" s="760">
        <f>IF(37&lt;5,0,IF(MAX(AJ40:AO40)&gt;AO45+3+$B$18,1,0))</f>
        <v/>
      </c>
      <c r="AP74" s="760">
        <f>IF(38&lt;5,0,IF(MAX(AK40:AP40)&gt;AP45+3+$B$18,1,0))</f>
        <v/>
      </c>
      <c r="AQ74" s="760">
        <f>IF(39&lt;5,0,IF(MAX(AL40:AQ40)&gt;AQ45+3+$B$18,1,0))</f>
        <v/>
      </c>
      <c r="AR74" s="760">
        <f>IF(40&lt;5,0,IF(MAX(AM40:AR40)&gt;AR45+3+$B$18,1,0))</f>
        <v/>
      </c>
      <c r="AS74" s="760">
        <f>IF(41&lt;5,0,IF(MAX(AN40:AS40)&gt;AS45+3+$B$18,1,0))</f>
        <v/>
      </c>
      <c r="AT74" s="760">
        <f>IF(42&lt;5,0,IF(MAX(AO40:AT40)&gt;AT45+3+$B$18,1,0))</f>
        <v/>
      </c>
      <c r="AU74" s="760">
        <f>IF(43&lt;5,0,IF(MAX(AP40:AU40)&gt;AU45+3+$B$18,1,0))</f>
        <v/>
      </c>
      <c r="AV74" s="760">
        <f>IF(44&lt;5,0,IF(MAX(AQ40:AV40)&gt;AV45+3+$B$18,1,0))</f>
        <v/>
      </c>
      <c r="AW74" s="760">
        <f>IF(45&lt;5,0,IF(MAX(AR40:AW40)&gt;AW45+3+$B$18,1,0))</f>
        <v/>
      </c>
      <c r="AX74" s="760">
        <f>IF(46&lt;5,0,IF(MAX(AS40:AX40)&gt;AX45+3+$B$18,1,0))</f>
        <v/>
      </c>
      <c r="AY74" s="760">
        <f>IF(47&lt;5,0,IF(MAX(AT40:AY40)&gt;AY45+3+$B$18,1,0))</f>
        <v/>
      </c>
      <c r="AZ74" s="760">
        <f>IF(48&lt;5,0,IF(MAX(AU40:AZ40)&gt;AZ45+3+$B$18,1,0))</f>
        <v/>
      </c>
      <c r="BA74" s="760">
        <f>IF(49&lt;5,0,IF(MAX(AV40:BA40)&gt;BA45+3+$B$18,1,0))</f>
        <v/>
      </c>
      <c r="BB74" s="760">
        <f>IF(50&lt;5,0,IF(MAX(AW40:BB40)&gt;BB45+3+$B$18,1,0))</f>
        <v/>
      </c>
      <c r="BC74" s="760">
        <f>IF(51&lt;5,0,IF(MAX(AX40:BC40)&gt;BC45+3+$B$18,1,0))</f>
        <v/>
      </c>
      <c r="BD74" s="760">
        <f>IF(52&lt;5,0,IF(MAX(AY40:BD40)&gt;BD45+3+$B$18,1,0))</f>
        <v/>
      </c>
      <c r="BE74" s="760">
        <f>IF(53&lt;5,0,IF(MAX(AZ40:BE40)&gt;BE45+3+$B$18,1,0))</f>
        <v/>
      </c>
      <c r="BF74" s="760">
        <f>IF(54&lt;5,0,IF(MAX(BA40:BF40)&gt;BF45+3+$B$18,1,0))</f>
        <v/>
      </c>
      <c r="BG74" s="760">
        <f>IF(55&lt;5,0,IF(MAX(BB40:BG40)&gt;BG45+3+$B$18,1,0))</f>
        <v/>
      </c>
      <c r="BH74" s="760">
        <f>IF(56&lt;5,0,IF(MAX(BC40:BH40)&gt;BH45+3+$B$18,1,0))</f>
        <v/>
      </c>
      <c r="BI74" s="760">
        <f>IF(57&lt;5,0,IF(MAX(BD40:BI40)&gt;BI45+3+$B$18,1,0))</f>
        <v/>
      </c>
      <c r="BJ74" s="760">
        <f>IF(58&lt;5,0,IF(MAX(BE40:BJ40)&gt;BJ45+3+$B$18,1,0))</f>
        <v/>
      </c>
      <c r="BK74" s="760">
        <f>IF(59&lt;5,0,IF(MAX(BF40:BK40)&gt;BK45+3+$B$18,1,0))</f>
        <v/>
      </c>
      <c r="BL74" s="760">
        <f>IF(60&lt;5,0,IF(MAX(BG40:BL40)&gt;BL45+3+$B$18,1,0))</f>
        <v/>
      </c>
      <c r="BM74" s="760">
        <f>IF(61&lt;5,0,IF(MAX(BH40:BM40)&gt;BM45+3+$B$18,1,0))</f>
        <v/>
      </c>
      <c r="BN74" s="760">
        <f>IF(62&lt;5,0,IF(MAX(BI40:BN40)&gt;BN45+3+$B$18,1,0))</f>
        <v/>
      </c>
      <c r="BO74" s="760">
        <f>IF(63&lt;5,0,IF(MAX(BJ40:BO40)&gt;BO45+3+$B$18,1,0))</f>
        <v/>
      </c>
      <c r="BP74" s="760">
        <f>IF(64&lt;5,0,IF(MAX(BK40:BP40)&gt;BP45+3+$B$18,1,0))</f>
        <v/>
      </c>
      <c r="BQ74" s="760">
        <f>IF(65&lt;5,0,IF(MAX(BL40:BQ40)&gt;BQ45+3+$B$18,1,0))</f>
        <v/>
      </c>
      <c r="BR74" s="760">
        <f>IF(66&lt;5,0,IF(MAX(BM40:BR40)&gt;BR45+3+$B$18,1,0))</f>
        <v/>
      </c>
      <c r="BS74" s="760">
        <f>IF(67&lt;5,0,IF(MAX(BN40:BS40)&gt;BS45+3+$B$18,1,0))</f>
        <v/>
      </c>
      <c r="BT74" s="760">
        <f>IF(68&lt;5,0,IF(MAX(BO40:BT40)&gt;BT45+3+$B$18,1,0))</f>
        <v/>
      </c>
      <c r="BU74" s="760">
        <f>IF(69&lt;5,0,IF(MAX(BP40:BU40)&gt;BU45+3+$B$18,1,0))</f>
        <v/>
      </c>
      <c r="BV74" s="760">
        <f>IF(70&lt;5,0,IF(MAX(BQ40:BV40)&gt;BV45+3+$B$18,1,0))</f>
        <v/>
      </c>
      <c r="BW74" s="760">
        <f>IF(71&lt;5,0,IF(MAX(BR40:BW40)&gt;BW45+3+$B$18,1,0))</f>
        <v/>
      </c>
      <c r="BX74" s="760">
        <f>IF(72&lt;5,0,IF(MAX(BS40:BX40)&gt;BX45+3+$B$18,1,0))</f>
        <v/>
      </c>
      <c r="BY74" s="760">
        <f>IF(73&lt;5,0,IF(MAX(BT40:BY40)&gt;BY45+3+$B$18,1,0))</f>
        <v/>
      </c>
      <c r="BZ74" s="760">
        <f>IF(74&lt;5,0,IF(MAX(BU40:BZ40)&gt;BZ45+3+$B$18,1,0))</f>
        <v/>
      </c>
      <c r="CA74" s="760">
        <f>IF(75&lt;5,0,IF(MAX(BV40:CA40)&gt;CA45+3+$B$18,1,0))</f>
        <v/>
      </c>
      <c r="CB74" s="760">
        <f>IF(76&lt;5,0,IF(MAX(BW40:CB40)&gt;CB45+3+$B$18,1,0))</f>
        <v/>
      </c>
      <c r="CC74" s="760">
        <f>IF(77&lt;5,0,IF(MAX(BX40:CC40)&gt;CC45+3+$B$18,1,0))</f>
        <v/>
      </c>
      <c r="CD74" s="760">
        <f>IF(78&lt;5,0,IF(MAX(BY40:CD40)&gt;CD45+3+$B$18,1,0))</f>
        <v/>
      </c>
      <c r="CE74" s="760">
        <f>IF(79&lt;5,0,IF(MAX(BZ40:CE40)&gt;CE45+3+$B$18,1,0))</f>
        <v/>
      </c>
      <c r="CF74" s="760">
        <f>IF(80&lt;5,0,IF(MAX(CA40:CF40)&gt;CF45+3+$B$18,1,0))</f>
        <v/>
      </c>
      <c r="CG74" s="760">
        <f>IF(81&lt;5,0,IF(MAX(CB40:CG40)&gt;CG45+3+$B$18,1,0))</f>
        <v/>
      </c>
      <c r="CH74" s="760">
        <f>IF(82&lt;5,0,IF(MAX(CC40:CH40)&gt;CH45+3+$B$18,1,0))</f>
        <v/>
      </c>
      <c r="CI74" s="760">
        <f>IF(83&lt;5,0,IF(MAX(CD40:CI40)&gt;CI45+3+$B$18,1,0))</f>
        <v/>
      </c>
      <c r="CJ74" s="760">
        <f>IF(84&lt;5,0,IF(MAX(CE40:CJ40)&gt;CJ45+3+$B$18,1,0))</f>
        <v/>
      </c>
      <c r="CK74" s="760">
        <f>IF(85&lt;5,0,IF(MAX(CF40:CK40)&gt;CK45+3+$B$18,1,0))</f>
        <v/>
      </c>
      <c r="CL74" s="760">
        <f>IF(86&lt;5,0,IF(MAX(CG40:CL40)&gt;CL45+3+$B$18,1,0))</f>
        <v/>
      </c>
      <c r="CM74" s="760">
        <f>IF(87&lt;5,0,IF(MAX(CH40:CM40)&gt;CM45+3+$B$18,1,0))</f>
        <v/>
      </c>
      <c r="CN74" s="760">
        <f>IF(88&lt;5,0,IF(MAX(CI40:CN40)&gt;CN45+3+$B$18,1,0))</f>
        <v/>
      </c>
      <c r="CO74" s="760">
        <f>IF(89&lt;5,0,IF(MAX(CJ40:CO40)&gt;CO45+3+$B$18,1,0))</f>
        <v/>
      </c>
      <c r="CP74" s="760">
        <f>IF(90&lt;5,0,IF(MAX(CK40:CP40)&gt;CP45+3+$B$18,1,0))</f>
        <v/>
      </c>
      <c r="CQ74" s="760">
        <f>IF(91&lt;5,0,IF(MAX(CL40:CQ40)&gt;CQ45+3+$B$18,1,0))</f>
        <v/>
      </c>
      <c r="CR74" s="760">
        <f>IF(92&lt;5,0,IF(MAX(CM40:CR40)&gt;CR45+3+$B$18,1,0))</f>
        <v/>
      </c>
      <c r="CS74" s="760">
        <f>IF(93&lt;5,0,IF(MAX(CN40:CS40)&gt;CS45+3+$B$18,1,0))</f>
        <v/>
      </c>
      <c r="CT74" s="760">
        <f>IF(94&lt;5,0,IF(MAX(CO40:CT40)&gt;CT45+3+$B$18,1,0))</f>
        <v/>
      </c>
      <c r="CU74" s="760">
        <f>IF(95&lt;5,0,IF(MAX(CP40:CU40)&gt;CU45+3+$B$18,1,0))</f>
        <v/>
      </c>
      <c r="CV74" s="760">
        <f>IF(96&lt;5,0,IF(MAX(CQ40:CV40)&gt;CV45+3+$B$18,1,0))</f>
        <v/>
      </c>
      <c r="CW74" s="760">
        <f>IF(97&lt;5,0,IF(MAX(CR40:CW40)&gt;CW45+3+$B$18,1,0))</f>
        <v/>
      </c>
      <c r="CX74" s="760">
        <f>IF(98&lt;5,0,IF(MAX(CS40:CX40)&gt;CX45+3+$B$18,1,0))</f>
        <v/>
      </c>
      <c r="CY74" s="760">
        <f>IF(99&lt;5,0,IF(MAX(CT40:CY40)&gt;CY45+3+$B$18,1,0))</f>
        <v/>
      </c>
      <c r="CZ74" s="760">
        <f>IF(100&lt;5,0,IF(MAX(CU40:CZ40)&gt;CZ45+3+$B$18,1,0))</f>
        <v/>
      </c>
      <c r="DA74" s="760">
        <f>IF(101&lt;5,0,IF(MAX(CV40:DA40)&gt;DA45+3+$B$18,1,0))</f>
        <v/>
      </c>
      <c r="DB74" s="760">
        <f>IF(102&lt;5,0,IF(MAX(CW40:DB40)&gt;DB45+3+$B$18,1,0))</f>
        <v/>
      </c>
      <c r="DC74" s="760">
        <f>IF(103&lt;5,0,IF(MAX(CX40:DC40)&gt;DC45+3+$B$18,1,0))</f>
        <v/>
      </c>
      <c r="DD74" s="760">
        <f>IF(104&lt;5,0,IF(MAX(CY40:DD40)&gt;DD45+3+$B$18,1,0))</f>
        <v/>
      </c>
      <c r="DE74" s="760">
        <f>IF(105&lt;5,0,IF(MAX(CZ40:DE40)&gt;DE45+3+$B$18,1,0))</f>
        <v/>
      </c>
    </row>
    <row r="75">
      <c r="E75" s="580" t="n"/>
      <c r="F75" s="580" t="n"/>
      <c r="G75" s="580" t="n"/>
      <c r="H75" s="580" t="n"/>
      <c r="I75" s="580" t="n"/>
      <c r="J75" s="580" t="n"/>
      <c r="K75" s="580" t="n"/>
      <c r="L75" s="580" t="n"/>
      <c r="M75" s="580" t="n"/>
      <c r="N75" s="580" t="n"/>
      <c r="O75" s="580" t="n"/>
      <c r="P75" s="580" t="n"/>
      <c r="Q75" s="580" t="n"/>
      <c r="R75" s="580" t="n"/>
      <c r="S75" s="580" t="n"/>
      <c r="T75" s="580" t="n"/>
      <c r="U75" s="580" t="n"/>
      <c r="V75" s="580" t="n"/>
      <c r="W75" s="580" t="n"/>
      <c r="X75" s="580" t="n"/>
      <c r="Y75" s="580" t="n"/>
      <c r="Z75" s="580" t="n"/>
      <c r="AA75" s="580" t="n"/>
      <c r="AB75" s="580" t="n"/>
      <c r="AC75" s="580" t="n"/>
      <c r="AD75" s="580" t="n"/>
      <c r="AE75" s="580" t="n"/>
      <c r="AF75" s="580" t="n"/>
      <c r="AG75" s="580" t="n"/>
      <c r="AH75" s="580" t="n"/>
      <c r="AI75" s="580" t="n"/>
      <c r="AJ75" s="580" t="n"/>
      <c r="AK75" s="580" t="n"/>
      <c r="AL75" s="580" t="n"/>
      <c r="AM75" s="580" t="n"/>
      <c r="AN75" s="580" t="n"/>
      <c r="AO75" s="580" t="n"/>
      <c r="AP75" s="580" t="n"/>
      <c r="AQ75" s="580" t="n"/>
      <c r="AR75" s="580" t="n"/>
      <c r="AS75" s="580" t="n"/>
      <c r="AT75" s="580" t="n"/>
      <c r="AU75" s="580" t="n"/>
      <c r="AV75" s="580" t="n"/>
      <c r="AW75" s="580" t="n"/>
      <c r="AX75" s="580" t="n"/>
      <c r="AY75" s="580" t="n"/>
      <c r="AZ75" s="580" t="n"/>
      <c r="BA75" s="580" t="n"/>
      <c r="BB75" s="580" t="n"/>
      <c r="BC75" s="580" t="n"/>
      <c r="BD75" s="580" t="n"/>
      <c r="BE75" s="580" t="n"/>
      <c r="BF75" s="580" t="n"/>
      <c r="BG75" s="580" t="n"/>
      <c r="BH75" s="580" t="n"/>
      <c r="BI75" s="580" t="n"/>
      <c r="BJ75" s="580" t="n"/>
      <c r="BK75" s="580" t="n"/>
      <c r="BL75" s="580" t="n"/>
      <c r="BM75" s="580" t="n"/>
      <c r="BN75" s="580" t="n"/>
      <c r="BO75" s="580" t="n"/>
      <c r="BP75" s="580" t="n"/>
      <c r="BQ75" s="580" t="n"/>
      <c r="BR75" s="580" t="n"/>
      <c r="BS75" s="580" t="n"/>
      <c r="BT75" s="580" t="n"/>
      <c r="BU75" s="580" t="n"/>
      <c r="BV75" s="580" t="n"/>
      <c r="BW75" s="580" t="n"/>
      <c r="BX75" s="580" t="n"/>
      <c r="BY75" s="580" t="n"/>
      <c r="BZ75" s="580" t="n"/>
      <c r="CA75" s="580" t="n"/>
      <c r="CB75" s="580" t="n"/>
      <c r="CC75" s="580" t="n"/>
      <c r="CD75" s="580" t="n"/>
      <c r="CE75" s="580" t="n"/>
      <c r="CF75" s="580" t="n"/>
      <c r="CG75" s="580" t="n"/>
      <c r="CH75" s="580" t="n"/>
      <c r="CI75" s="580" t="n"/>
      <c r="CJ75" s="580" t="n"/>
      <c r="CK75" s="580" t="n"/>
      <c r="CL75" s="580" t="n"/>
      <c r="CM75" s="580" t="n"/>
      <c r="CN75" s="580" t="n"/>
      <c r="CO75" s="580" t="n"/>
      <c r="CP75" s="580" t="n"/>
      <c r="CQ75" s="580" t="n"/>
      <c r="CR75" s="580" t="n"/>
      <c r="CS75" s="580" t="n"/>
      <c r="CT75" s="580" t="n"/>
      <c r="CU75" s="580" t="n"/>
      <c r="CV75" s="580" t="n"/>
      <c r="CW75" s="580" t="n"/>
      <c r="CX75" s="580" t="n"/>
      <c r="CY75" s="580" t="n"/>
      <c r="CZ75" s="580" t="n"/>
      <c r="DA75" s="580" t="n"/>
      <c r="DB75" s="580" t="n"/>
      <c r="DC75" s="580" t="n"/>
      <c r="DD75" s="580" t="n"/>
      <c r="DE75" s="580" t="n"/>
    </row>
    <row r="76">
      <c r="E76" s="580" t="n"/>
      <c r="F76" s="580" t="n"/>
      <c r="G76" s="580" t="n"/>
      <c r="H76" s="580" t="n"/>
      <c r="I76" s="580" t="n"/>
      <c r="J76" s="580" t="n"/>
      <c r="K76" s="580" t="n"/>
      <c r="L76" s="580" t="n"/>
      <c r="M76" s="580" t="n"/>
      <c r="N76" s="580" t="n"/>
      <c r="O76" s="580" t="n"/>
      <c r="P76" s="580" t="n"/>
      <c r="Q76" s="580" t="n"/>
      <c r="R76" s="580" t="n"/>
      <c r="S76" s="580" t="n"/>
      <c r="T76" s="580" t="n"/>
      <c r="U76" s="580" t="n"/>
      <c r="V76" s="580" t="n"/>
      <c r="W76" s="580" t="n"/>
      <c r="X76" s="580" t="n"/>
      <c r="Y76" s="580" t="n"/>
      <c r="Z76" s="580" t="n"/>
      <c r="AA76" s="580" t="n"/>
      <c r="AB76" s="580" t="n"/>
      <c r="AC76" s="580" t="n"/>
      <c r="AD76" s="580" t="n"/>
      <c r="AE76" s="580" t="n"/>
      <c r="AF76" s="580" t="n"/>
      <c r="AG76" s="580" t="n"/>
      <c r="AH76" s="580" t="n"/>
      <c r="AI76" s="580" t="n"/>
      <c r="AJ76" s="580" t="n"/>
      <c r="AK76" s="580" t="n"/>
      <c r="AL76" s="580" t="n"/>
      <c r="AM76" s="580" t="n"/>
      <c r="AN76" s="580" t="n"/>
      <c r="AO76" s="580" t="n"/>
      <c r="AP76" s="580" t="n"/>
      <c r="AQ76" s="580" t="n"/>
      <c r="AR76" s="580" t="n"/>
      <c r="AS76" s="580" t="n"/>
      <c r="AT76" s="580" t="n"/>
      <c r="AU76" s="580" t="n"/>
      <c r="AV76" s="580" t="n"/>
      <c r="AW76" s="580" t="n"/>
      <c r="AX76" s="580" t="n"/>
      <c r="AY76" s="580" t="n"/>
      <c r="AZ76" s="580" t="n"/>
      <c r="BA76" s="580" t="n"/>
      <c r="BB76" s="580" t="n"/>
      <c r="BC76" s="580" t="n"/>
      <c r="BD76" s="580" t="n"/>
      <c r="BE76" s="580" t="n"/>
      <c r="BF76" s="580" t="n"/>
      <c r="BG76" s="580" t="n"/>
      <c r="BH76" s="580" t="n"/>
      <c r="BI76" s="580" t="n"/>
      <c r="BJ76" s="580" t="n"/>
      <c r="BK76" s="580" t="n"/>
      <c r="BL76" s="580" t="n"/>
      <c r="BM76" s="580" t="n"/>
      <c r="BN76" s="580" t="n"/>
      <c r="BO76" s="580" t="n"/>
      <c r="BP76" s="580" t="n"/>
      <c r="BQ76" s="580" t="n"/>
      <c r="BR76" s="580" t="n"/>
      <c r="BS76" s="580" t="n"/>
      <c r="BT76" s="580" t="n"/>
      <c r="BU76" s="580" t="n"/>
      <c r="BV76" s="580" t="n"/>
      <c r="BW76" s="580" t="n"/>
      <c r="BX76" s="580" t="n"/>
      <c r="BY76" s="580" t="n"/>
      <c r="BZ76" s="580" t="n"/>
      <c r="CA76" s="580" t="n"/>
      <c r="CB76" s="580" t="n"/>
      <c r="CC76" s="580" t="n"/>
      <c r="CD76" s="580" t="n"/>
      <c r="CE76" s="580" t="n"/>
      <c r="CF76" s="580" t="n"/>
      <c r="CG76" s="580" t="n"/>
      <c r="CH76" s="580" t="n"/>
      <c r="CI76" s="580" t="n"/>
      <c r="CJ76" s="580" t="n"/>
      <c r="CK76" s="580" t="n"/>
      <c r="CL76" s="580" t="n"/>
      <c r="CM76" s="580" t="n"/>
      <c r="CN76" s="580" t="n"/>
      <c r="CO76" s="580" t="n"/>
      <c r="CP76" s="580" t="n"/>
      <c r="CQ76" s="580" t="n"/>
      <c r="CR76" s="580" t="n"/>
      <c r="CS76" s="580" t="n"/>
      <c r="CT76" s="580" t="n"/>
      <c r="CU76" s="580" t="n"/>
      <c r="CV76" s="580" t="n"/>
      <c r="CW76" s="580" t="n"/>
      <c r="CX76" s="580" t="n"/>
      <c r="CY76" s="580" t="n"/>
      <c r="CZ76" s="580" t="n"/>
      <c r="DA76" s="580" t="n"/>
      <c r="DB76" s="580" t="n"/>
      <c r="DC76" s="580" t="n"/>
      <c r="DD76" s="580" t="n"/>
      <c r="DE76" s="580" t="n"/>
    </row>
    <row r="77">
      <c r="A77" s="586" t="inlineStr">
        <is>
          <t>Field engineer slot 1</t>
        </is>
      </c>
      <c r="B77" s="587">
        <f>$B$30</f>
        <v/>
      </c>
      <c r="E77" s="760">
        <f>IF(1&lt;5,0,IF(MAX(E37:E37)&gt;=$B$22,1,0))</f>
        <v/>
      </c>
      <c r="F77" s="760">
        <f>IF(2&lt;5,0,IF(MAX(E37:F37)&gt;=$B$22,1,0))</f>
        <v/>
      </c>
      <c r="G77" s="760">
        <f>IF(3&lt;5,0,IF(MAX(E37:G37)&gt;=$B$22,1,0))</f>
        <v/>
      </c>
      <c r="H77" s="760">
        <f>IF(4&lt;5,0,IF(MAX(E37:H37)&gt;=$B$22,1,0))</f>
        <v/>
      </c>
      <c r="I77" s="760">
        <f>IF(5&lt;5,0,IF(MAX(E37:I37)&gt;=$B$22,1,0))</f>
        <v/>
      </c>
      <c r="J77" s="760">
        <f>IF(6&lt;5,0,IF(MAX(E37:J37)&gt;=$B$22,1,0))</f>
        <v/>
      </c>
      <c r="K77" s="760">
        <f>IF(7&lt;5,0,IF(MAX(F37:K37)&gt;=$B$22,1,0))</f>
        <v/>
      </c>
      <c r="L77" s="760">
        <f>IF(8&lt;5,0,IF(MAX(G37:L37)&gt;=$B$22,1,0))</f>
        <v/>
      </c>
      <c r="M77" s="760">
        <f>IF(9&lt;5,0,IF(MAX(H37:M37)&gt;=$B$22,1,0))</f>
        <v/>
      </c>
      <c r="N77" s="760">
        <f>IF(10&lt;5,0,IF(MAX(I37:N37)&gt;=$B$22,1,0))</f>
        <v/>
      </c>
      <c r="O77" s="760">
        <f>IF(11&lt;5,0,IF(MAX(J37:O37)&gt;=$B$22,1,0))</f>
        <v/>
      </c>
      <c r="P77" s="760">
        <f>IF(12&lt;5,0,IF(MAX(K37:P37)&gt;=$B$22,1,0))</f>
        <v/>
      </c>
      <c r="Q77" s="760">
        <f>IF(13&lt;5,0,IF(MAX(L37:Q37)&gt;=$B$22,1,0))</f>
        <v/>
      </c>
      <c r="R77" s="760">
        <f>IF(14&lt;5,0,IF(MAX(M37:R37)&gt;=$B$22,1,0))</f>
        <v/>
      </c>
      <c r="S77" s="760">
        <f>IF(15&lt;5,0,IF(MAX(N37:S37)&gt;=$B$22,1,0))</f>
        <v/>
      </c>
      <c r="T77" s="760">
        <f>IF(16&lt;5,0,IF(MAX(O37:T37)&gt;=$B$22,1,0))</f>
        <v/>
      </c>
      <c r="U77" s="760">
        <f>IF(17&lt;5,0,IF(MAX(P37:U37)&gt;=$B$22,1,0))</f>
        <v/>
      </c>
      <c r="V77" s="760">
        <f>IF(18&lt;5,0,IF(MAX(Q37:V37)&gt;=$B$22,1,0))</f>
        <v/>
      </c>
      <c r="W77" s="760">
        <f>IF(19&lt;5,0,IF(MAX(R37:W37)&gt;=$B$22,1,0))</f>
        <v/>
      </c>
      <c r="X77" s="760">
        <f>IF(20&lt;5,0,IF(MAX(S37:X37)&gt;=$B$22,1,0))</f>
        <v/>
      </c>
      <c r="Y77" s="760">
        <f>IF(21&lt;5,0,IF(MAX(T37:Y37)&gt;=$B$22,1,0))</f>
        <v/>
      </c>
      <c r="Z77" s="760">
        <f>IF(22&lt;5,0,IF(MAX(U37:Z37)&gt;=$B$22,1,0))</f>
        <v/>
      </c>
      <c r="AA77" s="760">
        <f>IF(23&lt;5,0,IF(MAX(V37:AA37)&gt;=$B$22,1,0))</f>
        <v/>
      </c>
      <c r="AB77" s="760">
        <f>IF(24&lt;5,0,IF(MAX(W37:AB37)&gt;=$B$22,1,0))</f>
        <v/>
      </c>
      <c r="AC77" s="760">
        <f>IF(25&lt;5,0,IF(MAX(X37:AC37)&gt;=$B$22,1,0))</f>
        <v/>
      </c>
      <c r="AD77" s="760">
        <f>IF(26&lt;5,0,IF(MAX(Y37:AD37)&gt;=$B$22,1,0))</f>
        <v/>
      </c>
      <c r="AE77" s="760">
        <f>IF(27&lt;5,0,IF(MAX(Z37:AE37)&gt;=$B$22,1,0))</f>
        <v/>
      </c>
      <c r="AF77" s="760">
        <f>IF(28&lt;5,0,IF(MAX(AA37:AF37)&gt;=$B$22,1,0))</f>
        <v/>
      </c>
      <c r="AG77" s="760">
        <f>IF(29&lt;5,0,IF(MAX(AB37:AG37)&gt;=$B$22,1,0))</f>
        <v/>
      </c>
      <c r="AH77" s="760">
        <f>IF(30&lt;5,0,IF(MAX(AC37:AH37)&gt;=$B$22,1,0))</f>
        <v/>
      </c>
      <c r="AI77" s="760">
        <f>IF(31&lt;5,0,IF(MAX(AD37:AI37)&gt;=$B$22,1,0))</f>
        <v/>
      </c>
      <c r="AJ77" s="760">
        <f>IF(32&lt;5,0,IF(MAX(AE37:AJ37)&gt;=$B$22,1,0))</f>
        <v/>
      </c>
      <c r="AK77" s="760">
        <f>IF(33&lt;5,0,IF(MAX(AF37:AK37)&gt;=$B$22,1,0))</f>
        <v/>
      </c>
      <c r="AL77" s="760">
        <f>IF(34&lt;5,0,IF(MAX(AG37:AL37)&gt;=$B$22,1,0))</f>
        <v/>
      </c>
      <c r="AM77" s="760">
        <f>IF(35&lt;5,0,IF(MAX(AH37:AM37)&gt;=$B$22,1,0))</f>
        <v/>
      </c>
      <c r="AN77" s="760">
        <f>IF(36&lt;5,0,IF(MAX(AI37:AN37)&gt;=$B$22,1,0))</f>
        <v/>
      </c>
      <c r="AO77" s="760">
        <f>IF(37&lt;5,0,IF(MAX(AJ37:AO37)&gt;=$B$22,1,0))</f>
        <v/>
      </c>
      <c r="AP77" s="760">
        <f>IF(38&lt;5,0,IF(MAX(AK37:AP37)&gt;=$B$22,1,0))</f>
        <v/>
      </c>
      <c r="AQ77" s="760">
        <f>IF(39&lt;5,0,IF(MAX(AL37:AQ37)&gt;=$B$22,1,0))</f>
        <v/>
      </c>
      <c r="AR77" s="760">
        <f>IF(40&lt;5,0,IF(MAX(AM37:AR37)&gt;=$B$22,1,0))</f>
        <v/>
      </c>
      <c r="AS77" s="760">
        <f>IF(41&lt;5,0,IF(MAX(AN37:AS37)&gt;=$B$22,1,0))</f>
        <v/>
      </c>
      <c r="AT77" s="760">
        <f>IF(42&lt;5,0,IF(MAX(AO37:AT37)&gt;=$B$22,1,0))</f>
        <v/>
      </c>
      <c r="AU77" s="760">
        <f>IF(43&lt;5,0,IF(MAX(AP37:AU37)&gt;=$B$22,1,0))</f>
        <v/>
      </c>
      <c r="AV77" s="760">
        <f>IF(44&lt;5,0,IF(MAX(AQ37:AV37)&gt;=$B$22,1,0))</f>
        <v/>
      </c>
      <c r="AW77" s="760">
        <f>IF(45&lt;5,0,IF(MAX(AR37:AW37)&gt;=$B$22,1,0))</f>
        <v/>
      </c>
      <c r="AX77" s="760">
        <f>IF(46&lt;5,0,IF(MAX(AS37:AX37)&gt;=$B$22,1,0))</f>
        <v/>
      </c>
      <c r="AY77" s="760">
        <f>IF(47&lt;5,0,IF(MAX(AT37:AY37)&gt;=$B$22,1,0))</f>
        <v/>
      </c>
      <c r="AZ77" s="760">
        <f>IF(48&lt;5,0,IF(MAX(AU37:AZ37)&gt;=$B$22,1,0))</f>
        <v/>
      </c>
      <c r="BA77" s="760">
        <f>IF(49&lt;5,0,IF(MAX(AV37:BA37)&gt;=$B$22,1,0))</f>
        <v/>
      </c>
      <c r="BB77" s="760">
        <f>IF(50&lt;5,0,IF(MAX(AW37:BB37)&gt;=$B$22,1,0))</f>
        <v/>
      </c>
      <c r="BC77" s="760">
        <f>IF(51&lt;5,0,IF(MAX(AX37:BC37)&gt;=$B$22,1,0))</f>
        <v/>
      </c>
      <c r="BD77" s="760">
        <f>IF(52&lt;5,0,IF(MAX(AY37:BD37)&gt;=$B$22,1,0))</f>
        <v/>
      </c>
      <c r="BE77" s="760">
        <f>IF(53&lt;5,0,IF(MAX(AZ37:BE37)&gt;=$B$22,1,0))</f>
        <v/>
      </c>
      <c r="BF77" s="760">
        <f>IF(54&lt;5,0,IF(MAX(BA37:BF37)&gt;=$B$22,1,0))</f>
        <v/>
      </c>
      <c r="BG77" s="760">
        <f>IF(55&lt;5,0,IF(MAX(BB37:BG37)&gt;=$B$22,1,0))</f>
        <v/>
      </c>
      <c r="BH77" s="760">
        <f>IF(56&lt;5,0,IF(MAX(BC37:BH37)&gt;=$B$22,1,0))</f>
        <v/>
      </c>
      <c r="BI77" s="760">
        <f>IF(57&lt;5,0,IF(MAX(BD37:BI37)&gt;=$B$22,1,0))</f>
        <v/>
      </c>
      <c r="BJ77" s="760">
        <f>IF(58&lt;5,0,IF(MAX(BE37:BJ37)&gt;=$B$22,1,0))</f>
        <v/>
      </c>
      <c r="BK77" s="760">
        <f>IF(59&lt;5,0,IF(MAX(BF37:BK37)&gt;=$B$22,1,0))</f>
        <v/>
      </c>
      <c r="BL77" s="760">
        <f>IF(60&lt;5,0,IF(MAX(BG37:BL37)&gt;=$B$22,1,0))</f>
        <v/>
      </c>
      <c r="BM77" s="760">
        <f>IF(61&lt;5,0,IF(MAX(BH37:BM37)&gt;=$B$22,1,0))</f>
        <v/>
      </c>
      <c r="BN77" s="760">
        <f>IF(62&lt;5,0,IF(MAX(BI37:BN37)&gt;=$B$22,1,0))</f>
        <v/>
      </c>
      <c r="BO77" s="760">
        <f>IF(63&lt;5,0,IF(MAX(BJ37:BO37)&gt;=$B$22,1,0))</f>
        <v/>
      </c>
      <c r="BP77" s="760">
        <f>IF(64&lt;5,0,IF(MAX(BK37:BP37)&gt;=$B$22,1,0))</f>
        <v/>
      </c>
      <c r="BQ77" s="760">
        <f>IF(65&lt;5,0,IF(MAX(BL37:BQ37)&gt;=$B$22,1,0))</f>
        <v/>
      </c>
      <c r="BR77" s="760">
        <f>IF(66&lt;5,0,IF(MAX(BM37:BR37)&gt;=$B$22,1,0))</f>
        <v/>
      </c>
      <c r="BS77" s="760">
        <f>IF(67&lt;5,0,IF(MAX(BN37:BS37)&gt;=$B$22,1,0))</f>
        <v/>
      </c>
      <c r="BT77" s="760">
        <f>IF(68&lt;5,0,IF(MAX(BO37:BT37)&gt;=$B$22,1,0))</f>
        <v/>
      </c>
      <c r="BU77" s="760">
        <f>IF(69&lt;5,0,IF(MAX(BP37:BU37)&gt;=$B$22,1,0))</f>
        <v/>
      </c>
      <c r="BV77" s="760">
        <f>IF(70&lt;5,0,IF(MAX(BQ37:BV37)&gt;=$B$22,1,0))</f>
        <v/>
      </c>
      <c r="BW77" s="760">
        <f>IF(71&lt;5,0,IF(MAX(BR37:BW37)&gt;=$B$22,1,0))</f>
        <v/>
      </c>
      <c r="BX77" s="760">
        <f>IF(72&lt;5,0,IF(MAX(BS37:BX37)&gt;=$B$22,1,0))</f>
        <v/>
      </c>
      <c r="BY77" s="760">
        <f>IF(73&lt;5,0,IF(MAX(BT37:BY37)&gt;=$B$22,1,0))</f>
        <v/>
      </c>
      <c r="BZ77" s="760">
        <f>IF(74&lt;5,0,IF(MAX(BU37:BZ37)&gt;=$B$22,1,0))</f>
        <v/>
      </c>
      <c r="CA77" s="760">
        <f>IF(75&lt;5,0,IF(MAX(BV37:CA37)&gt;=$B$22,1,0))</f>
        <v/>
      </c>
      <c r="CB77" s="760">
        <f>IF(76&lt;5,0,IF(MAX(BW37:CB37)&gt;=$B$22,1,0))</f>
        <v/>
      </c>
      <c r="CC77" s="760">
        <f>IF(77&lt;5,0,IF(MAX(BX37:CC37)&gt;=$B$22,1,0))</f>
        <v/>
      </c>
      <c r="CD77" s="760">
        <f>IF(78&lt;5,0,IF(MAX(BY37:CD37)&gt;=$B$22,1,0))</f>
        <v/>
      </c>
      <c r="CE77" s="760">
        <f>IF(79&lt;5,0,IF(MAX(BZ37:CE37)&gt;=$B$22,1,0))</f>
        <v/>
      </c>
      <c r="CF77" s="760">
        <f>IF(80&lt;5,0,IF(MAX(CA37:CF37)&gt;=$B$22,1,0))</f>
        <v/>
      </c>
      <c r="CG77" s="760">
        <f>IF(81&lt;5,0,IF(MAX(CB37:CG37)&gt;=$B$22,1,0))</f>
        <v/>
      </c>
      <c r="CH77" s="760">
        <f>IF(82&lt;5,0,IF(MAX(CC37:CH37)&gt;=$B$22,1,0))</f>
        <v/>
      </c>
      <c r="CI77" s="760">
        <f>IF(83&lt;5,0,IF(MAX(CD37:CI37)&gt;=$B$22,1,0))</f>
        <v/>
      </c>
      <c r="CJ77" s="760">
        <f>IF(84&lt;5,0,IF(MAX(CE37:CJ37)&gt;=$B$22,1,0))</f>
        <v/>
      </c>
      <c r="CK77" s="760">
        <f>IF(85&lt;5,0,IF(MAX(CF37:CK37)&gt;=$B$22,1,0))</f>
        <v/>
      </c>
      <c r="CL77" s="760">
        <f>IF(86&lt;5,0,IF(MAX(CG37:CL37)&gt;=$B$22,1,0))</f>
        <v/>
      </c>
      <c r="CM77" s="760">
        <f>IF(87&lt;5,0,IF(MAX(CH37:CM37)&gt;=$B$22,1,0))</f>
        <v/>
      </c>
      <c r="CN77" s="760">
        <f>IF(88&lt;5,0,IF(MAX(CI37:CN37)&gt;=$B$22,1,0))</f>
        <v/>
      </c>
      <c r="CO77" s="760">
        <f>IF(89&lt;5,0,IF(MAX(CJ37:CO37)&gt;=$B$22,1,0))</f>
        <v/>
      </c>
      <c r="CP77" s="760">
        <f>IF(90&lt;5,0,IF(MAX(CK37:CP37)&gt;=$B$22,1,0))</f>
        <v/>
      </c>
      <c r="CQ77" s="760">
        <f>IF(91&lt;5,0,IF(MAX(CL37:CQ37)&gt;=$B$22,1,0))</f>
        <v/>
      </c>
      <c r="CR77" s="760">
        <f>IF(92&lt;5,0,IF(MAX(CM37:CR37)&gt;=$B$22,1,0))</f>
        <v/>
      </c>
      <c r="CS77" s="760">
        <f>IF(93&lt;5,0,IF(MAX(CN37:CS37)&gt;=$B$22,1,0))</f>
        <v/>
      </c>
      <c r="CT77" s="760">
        <f>IF(94&lt;5,0,IF(MAX(CO37:CT37)&gt;=$B$22,1,0))</f>
        <v/>
      </c>
      <c r="CU77" s="760">
        <f>IF(95&lt;5,0,IF(MAX(CP37:CU37)&gt;=$B$22,1,0))</f>
        <v/>
      </c>
      <c r="CV77" s="760">
        <f>IF(96&lt;5,0,IF(MAX(CQ37:CV37)&gt;=$B$22,1,0))</f>
        <v/>
      </c>
      <c r="CW77" s="760">
        <f>IF(97&lt;5,0,IF(MAX(CR37:CW37)&gt;=$B$22,1,0))</f>
        <v/>
      </c>
      <c r="CX77" s="760">
        <f>IF(98&lt;5,0,IF(MAX(CS37:CX37)&gt;=$B$22,1,0))</f>
        <v/>
      </c>
      <c r="CY77" s="760">
        <f>IF(99&lt;5,0,IF(MAX(CT37:CY37)&gt;=$B$22,1,0))</f>
        <v/>
      </c>
      <c r="CZ77" s="760">
        <f>IF(100&lt;5,0,IF(MAX(CU37:CZ37)&gt;=$B$22,1,0))</f>
        <v/>
      </c>
      <c r="DA77" s="760">
        <f>IF(101&lt;5,0,IF(MAX(CV37:DA37)&gt;=$B$22,1,0))</f>
        <v/>
      </c>
      <c r="DB77" s="760">
        <f>IF(102&lt;5,0,IF(MAX(CW37:DB37)&gt;=$B$22,1,0))</f>
        <v/>
      </c>
      <c r="DC77" s="760">
        <f>IF(103&lt;5,0,IF(MAX(CX37:DC37)&gt;=$B$22,1,0))</f>
        <v/>
      </c>
      <c r="DD77" s="760">
        <f>IF(104&lt;5,0,IF(MAX(CY37:DD37)&gt;=$B$22,1,0))</f>
        <v/>
      </c>
      <c r="DE77" s="760">
        <f>IF(105&lt;5,0,IF(MAX(CZ37:DE37)&gt;=$B$22,1,0))</f>
        <v/>
      </c>
    </row>
    <row r="78">
      <c r="A78" s="586" t="inlineStr">
        <is>
          <t>Field engineer slot 2</t>
        </is>
      </c>
      <c r="B78" s="587">
        <f>$B$30</f>
        <v/>
      </c>
      <c r="E78" s="760">
        <f>IF(1&lt;5,0,IF(MAX(E37:E37)&gt;=$B$23,1,0))</f>
        <v/>
      </c>
      <c r="F78" s="760">
        <f>IF(2&lt;5,0,IF(MAX(E37:F37)&gt;=$B$23,1,0))</f>
        <v/>
      </c>
      <c r="G78" s="760">
        <f>IF(3&lt;5,0,IF(MAX(E37:G37)&gt;=$B$23,1,0))</f>
        <v/>
      </c>
      <c r="H78" s="760">
        <f>IF(4&lt;5,0,IF(MAX(E37:H37)&gt;=$B$23,1,0))</f>
        <v/>
      </c>
      <c r="I78" s="760">
        <f>IF(5&lt;5,0,IF(MAX(E37:I37)&gt;=$B$23,1,0))</f>
        <v/>
      </c>
      <c r="J78" s="760">
        <f>IF(6&lt;5,0,IF(MAX(E37:J37)&gt;=$B$23,1,0))</f>
        <v/>
      </c>
      <c r="K78" s="760">
        <f>IF(7&lt;5,0,IF(MAX(F37:K37)&gt;=$B$23,1,0))</f>
        <v/>
      </c>
      <c r="L78" s="760">
        <f>IF(8&lt;5,0,IF(MAX(G37:L37)&gt;=$B$23,1,0))</f>
        <v/>
      </c>
      <c r="M78" s="760">
        <f>IF(9&lt;5,0,IF(MAX(H37:M37)&gt;=$B$23,1,0))</f>
        <v/>
      </c>
      <c r="N78" s="760">
        <f>IF(10&lt;5,0,IF(MAX(I37:N37)&gt;=$B$23,1,0))</f>
        <v/>
      </c>
      <c r="O78" s="760">
        <f>IF(11&lt;5,0,IF(MAX(J37:O37)&gt;=$B$23,1,0))</f>
        <v/>
      </c>
      <c r="P78" s="760">
        <f>IF(12&lt;5,0,IF(MAX(K37:P37)&gt;=$B$23,1,0))</f>
        <v/>
      </c>
      <c r="Q78" s="760">
        <f>IF(13&lt;5,0,IF(MAX(L37:Q37)&gt;=$B$23,1,0))</f>
        <v/>
      </c>
      <c r="R78" s="760">
        <f>IF(14&lt;5,0,IF(MAX(M37:R37)&gt;=$B$23,1,0))</f>
        <v/>
      </c>
      <c r="S78" s="760">
        <f>IF(15&lt;5,0,IF(MAX(N37:S37)&gt;=$B$23,1,0))</f>
        <v/>
      </c>
      <c r="T78" s="760">
        <f>IF(16&lt;5,0,IF(MAX(O37:T37)&gt;=$B$23,1,0))</f>
        <v/>
      </c>
      <c r="U78" s="760">
        <f>IF(17&lt;5,0,IF(MAX(P37:U37)&gt;=$B$23,1,0))</f>
        <v/>
      </c>
      <c r="V78" s="760">
        <f>IF(18&lt;5,0,IF(MAX(Q37:V37)&gt;=$B$23,1,0))</f>
        <v/>
      </c>
      <c r="W78" s="760">
        <f>IF(19&lt;5,0,IF(MAX(R37:W37)&gt;=$B$23,1,0))</f>
        <v/>
      </c>
      <c r="X78" s="760">
        <f>IF(20&lt;5,0,IF(MAX(S37:X37)&gt;=$B$23,1,0))</f>
        <v/>
      </c>
      <c r="Y78" s="760">
        <f>IF(21&lt;5,0,IF(MAX(T37:Y37)&gt;=$B$23,1,0))</f>
        <v/>
      </c>
      <c r="Z78" s="760">
        <f>IF(22&lt;5,0,IF(MAX(U37:Z37)&gt;=$B$23,1,0))</f>
        <v/>
      </c>
      <c r="AA78" s="760">
        <f>IF(23&lt;5,0,IF(MAX(V37:AA37)&gt;=$B$23,1,0))</f>
        <v/>
      </c>
      <c r="AB78" s="760">
        <f>IF(24&lt;5,0,IF(MAX(W37:AB37)&gt;=$B$23,1,0))</f>
        <v/>
      </c>
      <c r="AC78" s="760">
        <f>IF(25&lt;5,0,IF(MAX(X37:AC37)&gt;=$B$23,1,0))</f>
        <v/>
      </c>
      <c r="AD78" s="760">
        <f>IF(26&lt;5,0,IF(MAX(Y37:AD37)&gt;=$B$23,1,0))</f>
        <v/>
      </c>
      <c r="AE78" s="760">
        <f>IF(27&lt;5,0,IF(MAX(Z37:AE37)&gt;=$B$23,1,0))</f>
        <v/>
      </c>
      <c r="AF78" s="760">
        <f>IF(28&lt;5,0,IF(MAX(AA37:AF37)&gt;=$B$23,1,0))</f>
        <v/>
      </c>
      <c r="AG78" s="760">
        <f>IF(29&lt;5,0,IF(MAX(AB37:AG37)&gt;=$B$23,1,0))</f>
        <v/>
      </c>
      <c r="AH78" s="760">
        <f>IF(30&lt;5,0,IF(MAX(AC37:AH37)&gt;=$B$23,1,0))</f>
        <v/>
      </c>
      <c r="AI78" s="760">
        <f>IF(31&lt;5,0,IF(MAX(AD37:AI37)&gt;=$B$23,1,0))</f>
        <v/>
      </c>
      <c r="AJ78" s="760">
        <f>IF(32&lt;5,0,IF(MAX(AE37:AJ37)&gt;=$B$23,1,0))</f>
        <v/>
      </c>
      <c r="AK78" s="760">
        <f>IF(33&lt;5,0,IF(MAX(AF37:AK37)&gt;=$B$23,1,0))</f>
        <v/>
      </c>
      <c r="AL78" s="760">
        <f>IF(34&lt;5,0,IF(MAX(AG37:AL37)&gt;=$B$23,1,0))</f>
        <v/>
      </c>
      <c r="AM78" s="760">
        <f>IF(35&lt;5,0,IF(MAX(AH37:AM37)&gt;=$B$23,1,0))</f>
        <v/>
      </c>
      <c r="AN78" s="760">
        <f>IF(36&lt;5,0,IF(MAX(AI37:AN37)&gt;=$B$23,1,0))</f>
        <v/>
      </c>
      <c r="AO78" s="760">
        <f>IF(37&lt;5,0,IF(MAX(AJ37:AO37)&gt;=$B$23,1,0))</f>
        <v/>
      </c>
      <c r="AP78" s="760">
        <f>IF(38&lt;5,0,IF(MAX(AK37:AP37)&gt;=$B$23,1,0))</f>
        <v/>
      </c>
      <c r="AQ78" s="760">
        <f>IF(39&lt;5,0,IF(MAX(AL37:AQ37)&gt;=$B$23,1,0))</f>
        <v/>
      </c>
      <c r="AR78" s="760">
        <f>IF(40&lt;5,0,IF(MAX(AM37:AR37)&gt;=$B$23,1,0))</f>
        <v/>
      </c>
      <c r="AS78" s="760">
        <f>IF(41&lt;5,0,IF(MAX(AN37:AS37)&gt;=$B$23,1,0))</f>
        <v/>
      </c>
      <c r="AT78" s="760">
        <f>IF(42&lt;5,0,IF(MAX(AO37:AT37)&gt;=$B$23,1,0))</f>
        <v/>
      </c>
      <c r="AU78" s="760">
        <f>IF(43&lt;5,0,IF(MAX(AP37:AU37)&gt;=$B$23,1,0))</f>
        <v/>
      </c>
      <c r="AV78" s="760">
        <f>IF(44&lt;5,0,IF(MAX(AQ37:AV37)&gt;=$B$23,1,0))</f>
        <v/>
      </c>
      <c r="AW78" s="760">
        <f>IF(45&lt;5,0,IF(MAX(AR37:AW37)&gt;=$B$23,1,0))</f>
        <v/>
      </c>
      <c r="AX78" s="760">
        <f>IF(46&lt;5,0,IF(MAX(AS37:AX37)&gt;=$B$23,1,0))</f>
        <v/>
      </c>
      <c r="AY78" s="760">
        <f>IF(47&lt;5,0,IF(MAX(AT37:AY37)&gt;=$B$23,1,0))</f>
        <v/>
      </c>
      <c r="AZ78" s="760">
        <f>IF(48&lt;5,0,IF(MAX(AU37:AZ37)&gt;=$B$23,1,0))</f>
        <v/>
      </c>
      <c r="BA78" s="760">
        <f>IF(49&lt;5,0,IF(MAX(AV37:BA37)&gt;=$B$23,1,0))</f>
        <v/>
      </c>
      <c r="BB78" s="760">
        <f>IF(50&lt;5,0,IF(MAX(AW37:BB37)&gt;=$B$23,1,0))</f>
        <v/>
      </c>
      <c r="BC78" s="760">
        <f>IF(51&lt;5,0,IF(MAX(AX37:BC37)&gt;=$B$23,1,0))</f>
        <v/>
      </c>
      <c r="BD78" s="760">
        <f>IF(52&lt;5,0,IF(MAX(AY37:BD37)&gt;=$B$23,1,0))</f>
        <v/>
      </c>
      <c r="BE78" s="760">
        <f>IF(53&lt;5,0,IF(MAX(AZ37:BE37)&gt;=$B$23,1,0))</f>
        <v/>
      </c>
      <c r="BF78" s="760">
        <f>IF(54&lt;5,0,IF(MAX(BA37:BF37)&gt;=$B$23,1,0))</f>
        <v/>
      </c>
      <c r="BG78" s="760">
        <f>IF(55&lt;5,0,IF(MAX(BB37:BG37)&gt;=$B$23,1,0))</f>
        <v/>
      </c>
      <c r="BH78" s="760">
        <f>IF(56&lt;5,0,IF(MAX(BC37:BH37)&gt;=$B$23,1,0))</f>
        <v/>
      </c>
      <c r="BI78" s="760">
        <f>IF(57&lt;5,0,IF(MAX(BD37:BI37)&gt;=$B$23,1,0))</f>
        <v/>
      </c>
      <c r="BJ78" s="760">
        <f>IF(58&lt;5,0,IF(MAX(BE37:BJ37)&gt;=$B$23,1,0))</f>
        <v/>
      </c>
      <c r="BK78" s="760">
        <f>IF(59&lt;5,0,IF(MAX(BF37:BK37)&gt;=$B$23,1,0))</f>
        <v/>
      </c>
      <c r="BL78" s="760">
        <f>IF(60&lt;5,0,IF(MAX(BG37:BL37)&gt;=$B$23,1,0))</f>
        <v/>
      </c>
      <c r="BM78" s="760">
        <f>IF(61&lt;5,0,IF(MAX(BH37:BM37)&gt;=$B$23,1,0))</f>
        <v/>
      </c>
      <c r="BN78" s="760">
        <f>IF(62&lt;5,0,IF(MAX(BI37:BN37)&gt;=$B$23,1,0))</f>
        <v/>
      </c>
      <c r="BO78" s="760">
        <f>IF(63&lt;5,0,IF(MAX(BJ37:BO37)&gt;=$B$23,1,0))</f>
        <v/>
      </c>
      <c r="BP78" s="760">
        <f>IF(64&lt;5,0,IF(MAX(BK37:BP37)&gt;=$B$23,1,0))</f>
        <v/>
      </c>
      <c r="BQ78" s="760">
        <f>IF(65&lt;5,0,IF(MAX(BL37:BQ37)&gt;=$B$23,1,0))</f>
        <v/>
      </c>
      <c r="BR78" s="760">
        <f>IF(66&lt;5,0,IF(MAX(BM37:BR37)&gt;=$B$23,1,0))</f>
        <v/>
      </c>
      <c r="BS78" s="760">
        <f>IF(67&lt;5,0,IF(MAX(BN37:BS37)&gt;=$B$23,1,0))</f>
        <v/>
      </c>
      <c r="BT78" s="760">
        <f>IF(68&lt;5,0,IF(MAX(BO37:BT37)&gt;=$B$23,1,0))</f>
        <v/>
      </c>
      <c r="BU78" s="760">
        <f>IF(69&lt;5,0,IF(MAX(BP37:BU37)&gt;=$B$23,1,0))</f>
        <v/>
      </c>
      <c r="BV78" s="760">
        <f>IF(70&lt;5,0,IF(MAX(BQ37:BV37)&gt;=$B$23,1,0))</f>
        <v/>
      </c>
      <c r="BW78" s="760">
        <f>IF(71&lt;5,0,IF(MAX(BR37:BW37)&gt;=$B$23,1,0))</f>
        <v/>
      </c>
      <c r="BX78" s="760">
        <f>IF(72&lt;5,0,IF(MAX(BS37:BX37)&gt;=$B$23,1,0))</f>
        <v/>
      </c>
      <c r="BY78" s="760">
        <f>IF(73&lt;5,0,IF(MAX(BT37:BY37)&gt;=$B$23,1,0))</f>
        <v/>
      </c>
      <c r="BZ78" s="760">
        <f>IF(74&lt;5,0,IF(MAX(BU37:BZ37)&gt;=$B$23,1,0))</f>
        <v/>
      </c>
      <c r="CA78" s="760">
        <f>IF(75&lt;5,0,IF(MAX(BV37:CA37)&gt;=$B$23,1,0))</f>
        <v/>
      </c>
      <c r="CB78" s="760">
        <f>IF(76&lt;5,0,IF(MAX(BW37:CB37)&gt;=$B$23,1,0))</f>
        <v/>
      </c>
      <c r="CC78" s="760">
        <f>IF(77&lt;5,0,IF(MAX(BX37:CC37)&gt;=$B$23,1,0))</f>
        <v/>
      </c>
      <c r="CD78" s="760">
        <f>IF(78&lt;5,0,IF(MAX(BY37:CD37)&gt;=$B$23,1,0))</f>
        <v/>
      </c>
      <c r="CE78" s="760">
        <f>IF(79&lt;5,0,IF(MAX(BZ37:CE37)&gt;=$B$23,1,0))</f>
        <v/>
      </c>
      <c r="CF78" s="760">
        <f>IF(80&lt;5,0,IF(MAX(CA37:CF37)&gt;=$B$23,1,0))</f>
        <v/>
      </c>
      <c r="CG78" s="760">
        <f>IF(81&lt;5,0,IF(MAX(CB37:CG37)&gt;=$B$23,1,0))</f>
        <v/>
      </c>
      <c r="CH78" s="760">
        <f>IF(82&lt;5,0,IF(MAX(CC37:CH37)&gt;=$B$23,1,0))</f>
        <v/>
      </c>
      <c r="CI78" s="760">
        <f>IF(83&lt;5,0,IF(MAX(CD37:CI37)&gt;=$B$23,1,0))</f>
        <v/>
      </c>
      <c r="CJ78" s="760">
        <f>IF(84&lt;5,0,IF(MAX(CE37:CJ37)&gt;=$B$23,1,0))</f>
        <v/>
      </c>
      <c r="CK78" s="760">
        <f>IF(85&lt;5,0,IF(MAX(CF37:CK37)&gt;=$B$23,1,0))</f>
        <v/>
      </c>
      <c r="CL78" s="760">
        <f>IF(86&lt;5,0,IF(MAX(CG37:CL37)&gt;=$B$23,1,0))</f>
        <v/>
      </c>
      <c r="CM78" s="760">
        <f>IF(87&lt;5,0,IF(MAX(CH37:CM37)&gt;=$B$23,1,0))</f>
        <v/>
      </c>
      <c r="CN78" s="760">
        <f>IF(88&lt;5,0,IF(MAX(CI37:CN37)&gt;=$B$23,1,0))</f>
        <v/>
      </c>
      <c r="CO78" s="760">
        <f>IF(89&lt;5,0,IF(MAX(CJ37:CO37)&gt;=$B$23,1,0))</f>
        <v/>
      </c>
      <c r="CP78" s="760">
        <f>IF(90&lt;5,0,IF(MAX(CK37:CP37)&gt;=$B$23,1,0))</f>
        <v/>
      </c>
      <c r="CQ78" s="760">
        <f>IF(91&lt;5,0,IF(MAX(CL37:CQ37)&gt;=$B$23,1,0))</f>
        <v/>
      </c>
      <c r="CR78" s="760">
        <f>IF(92&lt;5,0,IF(MAX(CM37:CR37)&gt;=$B$23,1,0))</f>
        <v/>
      </c>
      <c r="CS78" s="760">
        <f>IF(93&lt;5,0,IF(MAX(CN37:CS37)&gt;=$B$23,1,0))</f>
        <v/>
      </c>
      <c r="CT78" s="760">
        <f>IF(94&lt;5,0,IF(MAX(CO37:CT37)&gt;=$B$23,1,0))</f>
        <v/>
      </c>
      <c r="CU78" s="760">
        <f>IF(95&lt;5,0,IF(MAX(CP37:CU37)&gt;=$B$23,1,0))</f>
        <v/>
      </c>
      <c r="CV78" s="760">
        <f>IF(96&lt;5,0,IF(MAX(CQ37:CV37)&gt;=$B$23,1,0))</f>
        <v/>
      </c>
      <c r="CW78" s="760">
        <f>IF(97&lt;5,0,IF(MAX(CR37:CW37)&gt;=$B$23,1,0))</f>
        <v/>
      </c>
      <c r="CX78" s="760">
        <f>IF(98&lt;5,0,IF(MAX(CS37:CX37)&gt;=$B$23,1,0))</f>
        <v/>
      </c>
      <c r="CY78" s="760">
        <f>IF(99&lt;5,0,IF(MAX(CT37:CY37)&gt;=$B$23,1,0))</f>
        <v/>
      </c>
      <c r="CZ78" s="760">
        <f>IF(100&lt;5,0,IF(MAX(CU37:CZ37)&gt;=$B$23,1,0))</f>
        <v/>
      </c>
      <c r="DA78" s="760">
        <f>IF(101&lt;5,0,IF(MAX(CV37:DA37)&gt;=$B$23,1,0))</f>
        <v/>
      </c>
      <c r="DB78" s="760">
        <f>IF(102&lt;5,0,IF(MAX(CW37:DB37)&gt;=$B$23,1,0))</f>
        <v/>
      </c>
      <c r="DC78" s="760">
        <f>IF(103&lt;5,0,IF(MAX(CX37:DC37)&gt;=$B$23,1,0))</f>
        <v/>
      </c>
      <c r="DD78" s="760">
        <f>IF(104&lt;5,0,IF(MAX(CY37:DD37)&gt;=$B$23,1,0))</f>
        <v/>
      </c>
      <c r="DE78" s="760">
        <f>IF(105&lt;5,0,IF(MAX(CZ37:DE37)&gt;=$B$23,1,0))</f>
        <v/>
      </c>
    </row>
    <row r="80">
      <c r="A80" s="584" t="inlineStr">
        <is>
          <t>COST</t>
        </is>
      </c>
      <c r="B80" s="585" t="n"/>
      <c r="C80" s="585" t="n"/>
      <c r="D80" s="585" t="n"/>
      <c r="E80" s="585" t="n"/>
      <c r="F80" s="585" t="n"/>
    </row>
    <row r="81">
      <c r="A81" s="586" t="inlineStr">
        <is>
          <t>Slot payroll, monthly</t>
        </is>
      </c>
      <c r="E81" s="761">
        <f>(SUMPRODUCT($B$49:$B$58,E49:E58)+SUMPRODUCT($B$61:$B$68,E61:E68)+SUMPRODUCT($B$71:$B$74,E71:E74)+SUMPRODUCT($B$77:$B$78,E77:E78))/12</f>
        <v/>
      </c>
      <c r="F81" s="761">
        <f>(SUMPRODUCT($B$49:$B$58,F49:F58)+SUMPRODUCT($B$61:$B$68,F61:F68)+SUMPRODUCT($B$71:$B$74,F71:F74)+SUMPRODUCT($B$77:$B$78,F77:F78))/12</f>
        <v/>
      </c>
      <c r="G81" s="761">
        <f>(SUMPRODUCT($B$49:$B$58,G49:G58)+SUMPRODUCT($B$61:$B$68,G61:G68)+SUMPRODUCT($B$71:$B$74,G71:G74)+SUMPRODUCT($B$77:$B$78,G77:G78))/12</f>
        <v/>
      </c>
      <c r="H81" s="761">
        <f>(SUMPRODUCT($B$49:$B$58,H49:H58)+SUMPRODUCT($B$61:$B$68,H61:H68)+SUMPRODUCT($B$71:$B$74,H71:H74)+SUMPRODUCT($B$77:$B$78,H77:H78))/12</f>
        <v/>
      </c>
      <c r="I81" s="761">
        <f>(SUMPRODUCT($B$49:$B$58,I49:I58)+SUMPRODUCT($B$61:$B$68,I61:I68)+SUMPRODUCT($B$71:$B$74,I71:I74)+SUMPRODUCT($B$77:$B$78,I77:I78))/12</f>
        <v/>
      </c>
      <c r="J81" s="761">
        <f>(SUMPRODUCT($B$49:$B$58,J49:J58)+SUMPRODUCT($B$61:$B$68,J61:J68)+SUMPRODUCT($B$71:$B$74,J71:J74)+SUMPRODUCT($B$77:$B$78,J77:J78))/12</f>
        <v/>
      </c>
      <c r="K81" s="761">
        <f>(SUMPRODUCT($B$49:$B$58,K49:K58)+SUMPRODUCT($B$61:$B$68,K61:K68)+SUMPRODUCT($B$71:$B$74,K71:K74)+SUMPRODUCT($B$77:$B$78,K77:K78))/12</f>
        <v/>
      </c>
      <c r="L81" s="761">
        <f>(SUMPRODUCT($B$49:$B$58,L49:L58)+SUMPRODUCT($B$61:$B$68,L61:L68)+SUMPRODUCT($B$71:$B$74,L71:L74)+SUMPRODUCT($B$77:$B$78,L77:L78))/12</f>
        <v/>
      </c>
      <c r="M81" s="761">
        <f>(SUMPRODUCT($B$49:$B$58,M49:M58)+SUMPRODUCT($B$61:$B$68,M61:M68)+SUMPRODUCT($B$71:$B$74,M71:M74)+SUMPRODUCT($B$77:$B$78,M77:M78))/12</f>
        <v/>
      </c>
      <c r="N81" s="761">
        <f>(SUMPRODUCT($B$49:$B$58,N49:N58)+SUMPRODUCT($B$61:$B$68,N61:N68)+SUMPRODUCT($B$71:$B$74,N71:N74)+SUMPRODUCT($B$77:$B$78,N77:N78))/12</f>
        <v/>
      </c>
      <c r="O81" s="761">
        <f>(SUMPRODUCT($B$49:$B$58,O49:O58)+SUMPRODUCT($B$61:$B$68,O61:O68)+SUMPRODUCT($B$71:$B$74,O71:O74)+SUMPRODUCT($B$77:$B$78,O77:O78))/12</f>
        <v/>
      </c>
      <c r="P81" s="761">
        <f>(SUMPRODUCT($B$49:$B$58,P49:P58)+SUMPRODUCT($B$61:$B$68,P61:P68)+SUMPRODUCT($B$71:$B$74,P71:P74)+SUMPRODUCT($B$77:$B$78,P77:P78))/12</f>
        <v/>
      </c>
      <c r="Q81" s="761">
        <f>(SUMPRODUCT($B$49:$B$58,Q49:Q58)+SUMPRODUCT($B$61:$B$68,Q61:Q68)+SUMPRODUCT($B$71:$B$74,Q71:Q74)+SUMPRODUCT($B$77:$B$78,Q77:Q78))/12</f>
        <v/>
      </c>
      <c r="R81" s="761">
        <f>(SUMPRODUCT($B$49:$B$58,R49:R58)+SUMPRODUCT($B$61:$B$68,R61:R68)+SUMPRODUCT($B$71:$B$74,R71:R74)+SUMPRODUCT($B$77:$B$78,R77:R78))/12</f>
        <v/>
      </c>
      <c r="S81" s="761">
        <f>(SUMPRODUCT($B$49:$B$58,S49:S58)+SUMPRODUCT($B$61:$B$68,S61:S68)+SUMPRODUCT($B$71:$B$74,S71:S74)+SUMPRODUCT($B$77:$B$78,S77:S78))/12</f>
        <v/>
      </c>
      <c r="T81" s="761">
        <f>(SUMPRODUCT($B$49:$B$58,T49:T58)+SUMPRODUCT($B$61:$B$68,T61:T68)+SUMPRODUCT($B$71:$B$74,T71:T74)+SUMPRODUCT($B$77:$B$78,T77:T78))/12</f>
        <v/>
      </c>
      <c r="U81" s="761">
        <f>(SUMPRODUCT($B$49:$B$58,U49:U58)+SUMPRODUCT($B$61:$B$68,U61:U68)+SUMPRODUCT($B$71:$B$74,U71:U74)+SUMPRODUCT($B$77:$B$78,U77:U78))/12</f>
        <v/>
      </c>
      <c r="V81" s="761">
        <f>(SUMPRODUCT($B$49:$B$58,V49:V58)+SUMPRODUCT($B$61:$B$68,V61:V68)+SUMPRODUCT($B$71:$B$74,V71:V74)+SUMPRODUCT($B$77:$B$78,V77:V78))/12</f>
        <v/>
      </c>
      <c r="W81" s="761">
        <f>(SUMPRODUCT($B$49:$B$58,W49:W58)+SUMPRODUCT($B$61:$B$68,W61:W68)+SUMPRODUCT($B$71:$B$74,W71:W74)+SUMPRODUCT($B$77:$B$78,W77:W78))/12</f>
        <v/>
      </c>
      <c r="X81" s="761">
        <f>(SUMPRODUCT($B$49:$B$58,X49:X58)+SUMPRODUCT($B$61:$B$68,X61:X68)+SUMPRODUCT($B$71:$B$74,X71:X74)+SUMPRODUCT($B$77:$B$78,X77:X78))/12</f>
        <v/>
      </c>
      <c r="Y81" s="761">
        <f>(SUMPRODUCT($B$49:$B$58,Y49:Y58)+SUMPRODUCT($B$61:$B$68,Y61:Y68)+SUMPRODUCT($B$71:$B$74,Y71:Y74)+SUMPRODUCT($B$77:$B$78,Y77:Y78))/12</f>
        <v/>
      </c>
      <c r="Z81" s="761">
        <f>(SUMPRODUCT($B$49:$B$58,Z49:Z58)+SUMPRODUCT($B$61:$B$68,Z61:Z68)+SUMPRODUCT($B$71:$B$74,Z71:Z74)+SUMPRODUCT($B$77:$B$78,Z77:Z78))/12</f>
        <v/>
      </c>
      <c r="AA81" s="761">
        <f>(SUMPRODUCT($B$49:$B$58,AA49:AA58)+SUMPRODUCT($B$61:$B$68,AA61:AA68)+SUMPRODUCT($B$71:$B$74,AA71:AA74)+SUMPRODUCT($B$77:$B$78,AA77:AA78))/12</f>
        <v/>
      </c>
      <c r="AB81" s="761">
        <f>(SUMPRODUCT($B$49:$B$58,AB49:AB58)+SUMPRODUCT($B$61:$B$68,AB61:AB68)+SUMPRODUCT($B$71:$B$74,AB71:AB74)+SUMPRODUCT($B$77:$B$78,AB77:AB78))/12</f>
        <v/>
      </c>
      <c r="AC81" s="761">
        <f>(SUMPRODUCT($B$49:$B$58,AC49:AC58)+SUMPRODUCT($B$61:$B$68,AC61:AC68)+SUMPRODUCT($B$71:$B$74,AC71:AC74)+SUMPRODUCT($B$77:$B$78,AC77:AC78))/12</f>
        <v/>
      </c>
      <c r="AD81" s="761">
        <f>(SUMPRODUCT($B$49:$B$58,AD49:AD58)+SUMPRODUCT($B$61:$B$68,AD61:AD68)+SUMPRODUCT($B$71:$B$74,AD71:AD74)+SUMPRODUCT($B$77:$B$78,AD77:AD78))/12</f>
        <v/>
      </c>
      <c r="AE81" s="761">
        <f>(SUMPRODUCT($B$49:$B$58,AE49:AE58)+SUMPRODUCT($B$61:$B$68,AE61:AE68)+SUMPRODUCT($B$71:$B$74,AE71:AE74)+SUMPRODUCT($B$77:$B$78,AE77:AE78))/12</f>
        <v/>
      </c>
      <c r="AF81" s="761">
        <f>(SUMPRODUCT($B$49:$B$58,AF49:AF58)+SUMPRODUCT($B$61:$B$68,AF61:AF68)+SUMPRODUCT($B$71:$B$74,AF71:AF74)+SUMPRODUCT($B$77:$B$78,AF77:AF78))/12</f>
        <v/>
      </c>
      <c r="AG81" s="761">
        <f>(SUMPRODUCT($B$49:$B$58,AG49:AG58)+SUMPRODUCT($B$61:$B$68,AG61:AG68)+SUMPRODUCT($B$71:$B$74,AG71:AG74)+SUMPRODUCT($B$77:$B$78,AG77:AG78))/12</f>
        <v/>
      </c>
      <c r="AH81" s="761">
        <f>(SUMPRODUCT($B$49:$B$58,AH49:AH58)+SUMPRODUCT($B$61:$B$68,AH61:AH68)+SUMPRODUCT($B$71:$B$74,AH71:AH74)+SUMPRODUCT($B$77:$B$78,AH77:AH78))/12</f>
        <v/>
      </c>
      <c r="AI81" s="761">
        <f>(SUMPRODUCT($B$49:$B$58,AI49:AI58)+SUMPRODUCT($B$61:$B$68,AI61:AI68)+SUMPRODUCT($B$71:$B$74,AI71:AI74)+SUMPRODUCT($B$77:$B$78,AI77:AI78))/12</f>
        <v/>
      </c>
      <c r="AJ81" s="761">
        <f>(SUMPRODUCT($B$49:$B$58,AJ49:AJ58)+SUMPRODUCT($B$61:$B$68,AJ61:AJ68)+SUMPRODUCT($B$71:$B$74,AJ71:AJ74)+SUMPRODUCT($B$77:$B$78,AJ77:AJ78))/12</f>
        <v/>
      </c>
      <c r="AK81" s="761">
        <f>(SUMPRODUCT($B$49:$B$58,AK49:AK58)+SUMPRODUCT($B$61:$B$68,AK61:AK68)+SUMPRODUCT($B$71:$B$74,AK71:AK74)+SUMPRODUCT($B$77:$B$78,AK77:AK78))/12</f>
        <v/>
      </c>
      <c r="AL81" s="761">
        <f>(SUMPRODUCT($B$49:$B$58,AL49:AL58)+SUMPRODUCT($B$61:$B$68,AL61:AL68)+SUMPRODUCT($B$71:$B$74,AL71:AL74)+SUMPRODUCT($B$77:$B$78,AL77:AL78))/12</f>
        <v/>
      </c>
      <c r="AM81" s="761">
        <f>(SUMPRODUCT($B$49:$B$58,AM49:AM58)+SUMPRODUCT($B$61:$B$68,AM61:AM68)+SUMPRODUCT($B$71:$B$74,AM71:AM74)+SUMPRODUCT($B$77:$B$78,AM77:AM78))/12</f>
        <v/>
      </c>
      <c r="AN81" s="761">
        <f>(SUMPRODUCT($B$49:$B$58,AN49:AN58)+SUMPRODUCT($B$61:$B$68,AN61:AN68)+SUMPRODUCT($B$71:$B$74,AN71:AN74)+SUMPRODUCT($B$77:$B$78,AN77:AN78))/12</f>
        <v/>
      </c>
      <c r="AO81" s="761">
        <f>(SUMPRODUCT($B$49:$B$58,AO49:AO58)+SUMPRODUCT($B$61:$B$68,AO61:AO68)+SUMPRODUCT($B$71:$B$74,AO71:AO74)+SUMPRODUCT($B$77:$B$78,AO77:AO78))/12</f>
        <v/>
      </c>
      <c r="AP81" s="761">
        <f>(SUMPRODUCT($B$49:$B$58,AP49:AP58)+SUMPRODUCT($B$61:$B$68,AP61:AP68)+SUMPRODUCT($B$71:$B$74,AP71:AP74)+SUMPRODUCT($B$77:$B$78,AP77:AP78))/12</f>
        <v/>
      </c>
      <c r="AQ81" s="761">
        <f>(SUMPRODUCT($B$49:$B$58,AQ49:AQ58)+SUMPRODUCT($B$61:$B$68,AQ61:AQ68)+SUMPRODUCT($B$71:$B$74,AQ71:AQ74)+SUMPRODUCT($B$77:$B$78,AQ77:AQ78))/12</f>
        <v/>
      </c>
      <c r="AR81" s="761">
        <f>(SUMPRODUCT($B$49:$B$58,AR49:AR58)+SUMPRODUCT($B$61:$B$68,AR61:AR68)+SUMPRODUCT($B$71:$B$74,AR71:AR74)+SUMPRODUCT($B$77:$B$78,AR77:AR78))/12</f>
        <v/>
      </c>
      <c r="AS81" s="761">
        <f>(SUMPRODUCT($B$49:$B$58,AS49:AS58)+SUMPRODUCT($B$61:$B$68,AS61:AS68)+SUMPRODUCT($B$71:$B$74,AS71:AS74)+SUMPRODUCT($B$77:$B$78,AS77:AS78))/12</f>
        <v/>
      </c>
      <c r="AT81" s="761">
        <f>(SUMPRODUCT($B$49:$B$58,AT49:AT58)+SUMPRODUCT($B$61:$B$68,AT61:AT68)+SUMPRODUCT($B$71:$B$74,AT71:AT74)+SUMPRODUCT($B$77:$B$78,AT77:AT78))/12</f>
        <v/>
      </c>
      <c r="AU81" s="761">
        <f>(SUMPRODUCT($B$49:$B$58,AU49:AU58)+SUMPRODUCT($B$61:$B$68,AU61:AU68)+SUMPRODUCT($B$71:$B$74,AU71:AU74)+SUMPRODUCT($B$77:$B$78,AU77:AU78))/12</f>
        <v/>
      </c>
      <c r="AV81" s="761">
        <f>(SUMPRODUCT($B$49:$B$58,AV49:AV58)+SUMPRODUCT($B$61:$B$68,AV61:AV68)+SUMPRODUCT($B$71:$B$74,AV71:AV74)+SUMPRODUCT($B$77:$B$78,AV77:AV78))/12</f>
        <v/>
      </c>
      <c r="AW81" s="761">
        <f>(SUMPRODUCT($B$49:$B$58,AW49:AW58)+SUMPRODUCT($B$61:$B$68,AW61:AW68)+SUMPRODUCT($B$71:$B$74,AW71:AW74)+SUMPRODUCT($B$77:$B$78,AW77:AW78))/12</f>
        <v/>
      </c>
      <c r="AX81" s="761">
        <f>(SUMPRODUCT($B$49:$B$58,AX49:AX58)+SUMPRODUCT($B$61:$B$68,AX61:AX68)+SUMPRODUCT($B$71:$B$74,AX71:AX74)+SUMPRODUCT($B$77:$B$78,AX77:AX78))/12</f>
        <v/>
      </c>
      <c r="AY81" s="761">
        <f>(SUMPRODUCT($B$49:$B$58,AY49:AY58)+SUMPRODUCT($B$61:$B$68,AY61:AY68)+SUMPRODUCT($B$71:$B$74,AY71:AY74)+SUMPRODUCT($B$77:$B$78,AY77:AY78))/12</f>
        <v/>
      </c>
      <c r="AZ81" s="761">
        <f>(SUMPRODUCT($B$49:$B$58,AZ49:AZ58)+SUMPRODUCT($B$61:$B$68,AZ61:AZ68)+SUMPRODUCT($B$71:$B$74,AZ71:AZ74)+SUMPRODUCT($B$77:$B$78,AZ77:AZ78))/12</f>
        <v/>
      </c>
      <c r="BA81" s="761">
        <f>(SUMPRODUCT($B$49:$B$58,BA49:BA58)+SUMPRODUCT($B$61:$B$68,BA61:BA68)+SUMPRODUCT($B$71:$B$74,BA71:BA74)+SUMPRODUCT($B$77:$B$78,BA77:BA78))/12</f>
        <v/>
      </c>
      <c r="BB81" s="761">
        <f>(SUMPRODUCT($B$49:$B$58,BB49:BB58)+SUMPRODUCT($B$61:$B$68,BB61:BB68)+SUMPRODUCT($B$71:$B$74,BB71:BB74)+SUMPRODUCT($B$77:$B$78,BB77:BB78))/12</f>
        <v/>
      </c>
      <c r="BC81" s="761">
        <f>(SUMPRODUCT($B$49:$B$58,BC49:BC58)+SUMPRODUCT($B$61:$B$68,BC61:BC68)+SUMPRODUCT($B$71:$B$74,BC71:BC74)+SUMPRODUCT($B$77:$B$78,BC77:BC78))/12</f>
        <v/>
      </c>
      <c r="BD81" s="761">
        <f>(SUMPRODUCT($B$49:$B$58,BD49:BD58)+SUMPRODUCT($B$61:$B$68,BD61:BD68)+SUMPRODUCT($B$71:$B$74,BD71:BD74)+SUMPRODUCT($B$77:$B$78,BD77:BD78))/12</f>
        <v/>
      </c>
      <c r="BE81" s="761">
        <f>(SUMPRODUCT($B$49:$B$58,BE49:BE58)+SUMPRODUCT($B$61:$B$68,BE61:BE68)+SUMPRODUCT($B$71:$B$74,BE71:BE74)+SUMPRODUCT($B$77:$B$78,BE77:BE78))/12</f>
        <v/>
      </c>
      <c r="BF81" s="761">
        <f>(SUMPRODUCT($B$49:$B$58,BF49:BF58)+SUMPRODUCT($B$61:$B$68,BF61:BF68)+SUMPRODUCT($B$71:$B$74,BF71:BF74)+SUMPRODUCT($B$77:$B$78,BF77:BF78))/12</f>
        <v/>
      </c>
      <c r="BG81" s="761">
        <f>(SUMPRODUCT($B$49:$B$58,BG49:BG58)+SUMPRODUCT($B$61:$B$68,BG61:BG68)+SUMPRODUCT($B$71:$B$74,BG71:BG74)+SUMPRODUCT($B$77:$B$78,BG77:BG78))/12</f>
        <v/>
      </c>
      <c r="BH81" s="761">
        <f>(SUMPRODUCT($B$49:$B$58,BH49:BH58)+SUMPRODUCT($B$61:$B$68,BH61:BH68)+SUMPRODUCT($B$71:$B$74,BH71:BH74)+SUMPRODUCT($B$77:$B$78,BH77:BH78))/12</f>
        <v/>
      </c>
      <c r="BI81" s="761">
        <f>(SUMPRODUCT($B$49:$B$58,BI49:BI58)+SUMPRODUCT($B$61:$B$68,BI61:BI68)+SUMPRODUCT($B$71:$B$74,BI71:BI74)+SUMPRODUCT($B$77:$B$78,BI77:BI78))/12</f>
        <v/>
      </c>
      <c r="BJ81" s="761">
        <f>(SUMPRODUCT($B$49:$B$58,BJ49:BJ58)+SUMPRODUCT($B$61:$B$68,BJ61:BJ68)+SUMPRODUCT($B$71:$B$74,BJ71:BJ74)+SUMPRODUCT($B$77:$B$78,BJ77:BJ78))/12</f>
        <v/>
      </c>
      <c r="BK81" s="761">
        <f>(SUMPRODUCT($B$49:$B$58,BK49:BK58)+SUMPRODUCT($B$61:$B$68,BK61:BK68)+SUMPRODUCT($B$71:$B$74,BK71:BK74)+SUMPRODUCT($B$77:$B$78,BK77:BK78))/12</f>
        <v/>
      </c>
      <c r="BL81" s="761">
        <f>(SUMPRODUCT($B$49:$B$58,BL49:BL58)+SUMPRODUCT($B$61:$B$68,BL61:BL68)+SUMPRODUCT($B$71:$B$74,BL71:BL74)+SUMPRODUCT($B$77:$B$78,BL77:BL78))/12</f>
        <v/>
      </c>
      <c r="BM81" s="761">
        <f>(SUMPRODUCT($B$49:$B$58,BM49:BM58)+SUMPRODUCT($B$61:$B$68,BM61:BM68)+SUMPRODUCT($B$71:$B$74,BM71:BM74)+SUMPRODUCT($B$77:$B$78,BM77:BM78))/12</f>
        <v/>
      </c>
      <c r="BN81" s="761">
        <f>(SUMPRODUCT($B$49:$B$58,BN49:BN58)+SUMPRODUCT($B$61:$B$68,BN61:BN68)+SUMPRODUCT($B$71:$B$74,BN71:BN74)+SUMPRODUCT($B$77:$B$78,BN77:BN78))/12</f>
        <v/>
      </c>
      <c r="BO81" s="761">
        <f>(SUMPRODUCT($B$49:$B$58,BO49:BO58)+SUMPRODUCT($B$61:$B$68,BO61:BO68)+SUMPRODUCT($B$71:$B$74,BO71:BO74)+SUMPRODUCT($B$77:$B$78,BO77:BO78))/12</f>
        <v/>
      </c>
      <c r="BP81" s="761">
        <f>(SUMPRODUCT($B$49:$B$58,BP49:BP58)+SUMPRODUCT($B$61:$B$68,BP61:BP68)+SUMPRODUCT($B$71:$B$74,BP71:BP74)+SUMPRODUCT($B$77:$B$78,BP77:BP78))/12</f>
        <v/>
      </c>
      <c r="BQ81" s="761">
        <f>(SUMPRODUCT($B$49:$B$58,BQ49:BQ58)+SUMPRODUCT($B$61:$B$68,BQ61:BQ68)+SUMPRODUCT($B$71:$B$74,BQ71:BQ74)+SUMPRODUCT($B$77:$B$78,BQ77:BQ78))/12</f>
        <v/>
      </c>
      <c r="BR81" s="761">
        <f>(SUMPRODUCT($B$49:$B$58,BR49:BR58)+SUMPRODUCT($B$61:$B$68,BR61:BR68)+SUMPRODUCT($B$71:$B$74,BR71:BR74)+SUMPRODUCT($B$77:$B$78,BR77:BR78))/12</f>
        <v/>
      </c>
      <c r="BS81" s="761">
        <f>(SUMPRODUCT($B$49:$B$58,BS49:BS58)+SUMPRODUCT($B$61:$B$68,BS61:BS68)+SUMPRODUCT($B$71:$B$74,BS71:BS74)+SUMPRODUCT($B$77:$B$78,BS77:BS78))/12</f>
        <v/>
      </c>
      <c r="BT81" s="761">
        <f>(SUMPRODUCT($B$49:$B$58,BT49:BT58)+SUMPRODUCT($B$61:$B$68,BT61:BT68)+SUMPRODUCT($B$71:$B$74,BT71:BT74)+SUMPRODUCT($B$77:$B$78,BT77:BT78))/12</f>
        <v/>
      </c>
      <c r="BU81" s="761">
        <f>(SUMPRODUCT($B$49:$B$58,BU49:BU58)+SUMPRODUCT($B$61:$B$68,BU61:BU68)+SUMPRODUCT($B$71:$B$74,BU71:BU74)+SUMPRODUCT($B$77:$B$78,BU77:BU78))/12</f>
        <v/>
      </c>
      <c r="BV81" s="761">
        <f>(SUMPRODUCT($B$49:$B$58,BV49:BV58)+SUMPRODUCT($B$61:$B$68,BV61:BV68)+SUMPRODUCT($B$71:$B$74,BV71:BV74)+SUMPRODUCT($B$77:$B$78,BV77:BV78))/12</f>
        <v/>
      </c>
      <c r="BW81" s="761">
        <f>(SUMPRODUCT($B$49:$B$58,BW49:BW58)+SUMPRODUCT($B$61:$B$68,BW61:BW68)+SUMPRODUCT($B$71:$B$74,BW71:BW74)+SUMPRODUCT($B$77:$B$78,BW77:BW78))/12</f>
        <v/>
      </c>
      <c r="BX81" s="761">
        <f>(SUMPRODUCT($B$49:$B$58,BX49:BX58)+SUMPRODUCT($B$61:$B$68,BX61:BX68)+SUMPRODUCT($B$71:$B$74,BX71:BX74)+SUMPRODUCT($B$77:$B$78,BX77:BX78))/12</f>
        <v/>
      </c>
      <c r="BY81" s="761">
        <f>(SUMPRODUCT($B$49:$B$58,BY49:BY58)+SUMPRODUCT($B$61:$B$68,BY61:BY68)+SUMPRODUCT($B$71:$B$74,BY71:BY74)+SUMPRODUCT($B$77:$B$78,BY77:BY78))/12</f>
        <v/>
      </c>
      <c r="BZ81" s="761">
        <f>(SUMPRODUCT($B$49:$B$58,BZ49:BZ58)+SUMPRODUCT($B$61:$B$68,BZ61:BZ68)+SUMPRODUCT($B$71:$B$74,BZ71:BZ74)+SUMPRODUCT($B$77:$B$78,BZ77:BZ78))/12</f>
        <v/>
      </c>
      <c r="CA81" s="761">
        <f>(SUMPRODUCT($B$49:$B$58,CA49:CA58)+SUMPRODUCT($B$61:$B$68,CA61:CA68)+SUMPRODUCT($B$71:$B$74,CA71:CA74)+SUMPRODUCT($B$77:$B$78,CA77:CA78))/12</f>
        <v/>
      </c>
      <c r="CB81" s="761">
        <f>(SUMPRODUCT($B$49:$B$58,CB49:CB58)+SUMPRODUCT($B$61:$B$68,CB61:CB68)+SUMPRODUCT($B$71:$B$74,CB71:CB74)+SUMPRODUCT($B$77:$B$78,CB77:CB78))/12</f>
        <v/>
      </c>
      <c r="CC81" s="761">
        <f>(SUMPRODUCT($B$49:$B$58,CC49:CC58)+SUMPRODUCT($B$61:$B$68,CC61:CC68)+SUMPRODUCT($B$71:$B$74,CC71:CC74)+SUMPRODUCT($B$77:$B$78,CC77:CC78))/12</f>
        <v/>
      </c>
      <c r="CD81" s="761">
        <f>(SUMPRODUCT($B$49:$B$58,CD49:CD58)+SUMPRODUCT($B$61:$B$68,CD61:CD68)+SUMPRODUCT($B$71:$B$74,CD71:CD74)+SUMPRODUCT($B$77:$B$78,CD77:CD78))/12</f>
        <v/>
      </c>
      <c r="CE81" s="761">
        <f>(SUMPRODUCT($B$49:$B$58,CE49:CE58)+SUMPRODUCT($B$61:$B$68,CE61:CE68)+SUMPRODUCT($B$71:$B$74,CE71:CE74)+SUMPRODUCT($B$77:$B$78,CE77:CE78))/12</f>
        <v/>
      </c>
      <c r="CF81" s="761">
        <f>(SUMPRODUCT($B$49:$B$58,CF49:CF58)+SUMPRODUCT($B$61:$B$68,CF61:CF68)+SUMPRODUCT($B$71:$B$74,CF71:CF74)+SUMPRODUCT($B$77:$B$78,CF77:CF78))/12</f>
        <v/>
      </c>
      <c r="CG81" s="761">
        <f>(SUMPRODUCT($B$49:$B$58,CG49:CG58)+SUMPRODUCT($B$61:$B$68,CG61:CG68)+SUMPRODUCT($B$71:$B$74,CG71:CG74)+SUMPRODUCT($B$77:$B$78,CG77:CG78))/12</f>
        <v/>
      </c>
      <c r="CH81" s="761">
        <f>(SUMPRODUCT($B$49:$B$58,CH49:CH58)+SUMPRODUCT($B$61:$B$68,CH61:CH68)+SUMPRODUCT($B$71:$B$74,CH71:CH74)+SUMPRODUCT($B$77:$B$78,CH77:CH78))/12</f>
        <v/>
      </c>
      <c r="CI81" s="761">
        <f>(SUMPRODUCT($B$49:$B$58,CI49:CI58)+SUMPRODUCT($B$61:$B$68,CI61:CI68)+SUMPRODUCT($B$71:$B$74,CI71:CI74)+SUMPRODUCT($B$77:$B$78,CI77:CI78))/12</f>
        <v/>
      </c>
      <c r="CJ81" s="761">
        <f>(SUMPRODUCT($B$49:$B$58,CJ49:CJ58)+SUMPRODUCT($B$61:$B$68,CJ61:CJ68)+SUMPRODUCT($B$71:$B$74,CJ71:CJ74)+SUMPRODUCT($B$77:$B$78,CJ77:CJ78))/12</f>
        <v/>
      </c>
      <c r="CK81" s="761">
        <f>(SUMPRODUCT($B$49:$B$58,CK49:CK58)+SUMPRODUCT($B$61:$B$68,CK61:CK68)+SUMPRODUCT($B$71:$B$74,CK71:CK74)+SUMPRODUCT($B$77:$B$78,CK77:CK78))/12</f>
        <v/>
      </c>
      <c r="CL81" s="761">
        <f>(SUMPRODUCT($B$49:$B$58,CL49:CL58)+SUMPRODUCT($B$61:$B$68,CL61:CL68)+SUMPRODUCT($B$71:$B$74,CL71:CL74)+SUMPRODUCT($B$77:$B$78,CL77:CL78))/12</f>
        <v/>
      </c>
      <c r="CM81" s="761">
        <f>(SUMPRODUCT($B$49:$B$58,CM49:CM58)+SUMPRODUCT($B$61:$B$68,CM61:CM68)+SUMPRODUCT($B$71:$B$74,CM71:CM74)+SUMPRODUCT($B$77:$B$78,CM77:CM78))/12</f>
        <v/>
      </c>
      <c r="CN81" s="761">
        <f>(SUMPRODUCT($B$49:$B$58,CN49:CN58)+SUMPRODUCT($B$61:$B$68,CN61:CN68)+SUMPRODUCT($B$71:$B$74,CN71:CN74)+SUMPRODUCT($B$77:$B$78,CN77:CN78))/12</f>
        <v/>
      </c>
      <c r="CO81" s="761">
        <f>(SUMPRODUCT($B$49:$B$58,CO49:CO58)+SUMPRODUCT($B$61:$B$68,CO61:CO68)+SUMPRODUCT($B$71:$B$74,CO71:CO74)+SUMPRODUCT($B$77:$B$78,CO77:CO78))/12</f>
        <v/>
      </c>
      <c r="CP81" s="761">
        <f>(SUMPRODUCT($B$49:$B$58,CP49:CP58)+SUMPRODUCT($B$61:$B$68,CP61:CP68)+SUMPRODUCT($B$71:$B$74,CP71:CP74)+SUMPRODUCT($B$77:$B$78,CP77:CP78))/12</f>
        <v/>
      </c>
      <c r="CQ81" s="761">
        <f>(SUMPRODUCT($B$49:$B$58,CQ49:CQ58)+SUMPRODUCT($B$61:$B$68,CQ61:CQ68)+SUMPRODUCT($B$71:$B$74,CQ71:CQ74)+SUMPRODUCT($B$77:$B$78,CQ77:CQ78))/12</f>
        <v/>
      </c>
      <c r="CR81" s="761">
        <f>(SUMPRODUCT($B$49:$B$58,CR49:CR58)+SUMPRODUCT($B$61:$B$68,CR61:CR68)+SUMPRODUCT($B$71:$B$74,CR71:CR74)+SUMPRODUCT($B$77:$B$78,CR77:CR78))/12</f>
        <v/>
      </c>
      <c r="CS81" s="761">
        <f>(SUMPRODUCT($B$49:$B$58,CS49:CS58)+SUMPRODUCT($B$61:$B$68,CS61:CS68)+SUMPRODUCT($B$71:$B$74,CS71:CS74)+SUMPRODUCT($B$77:$B$78,CS77:CS78))/12</f>
        <v/>
      </c>
      <c r="CT81" s="761">
        <f>(SUMPRODUCT($B$49:$B$58,CT49:CT58)+SUMPRODUCT($B$61:$B$68,CT61:CT68)+SUMPRODUCT($B$71:$B$74,CT71:CT74)+SUMPRODUCT($B$77:$B$78,CT77:CT78))/12</f>
        <v/>
      </c>
      <c r="CU81" s="761">
        <f>(SUMPRODUCT($B$49:$B$58,CU49:CU58)+SUMPRODUCT($B$61:$B$68,CU61:CU68)+SUMPRODUCT($B$71:$B$74,CU71:CU74)+SUMPRODUCT($B$77:$B$78,CU77:CU78))/12</f>
        <v/>
      </c>
      <c r="CV81" s="761">
        <f>(SUMPRODUCT($B$49:$B$58,CV49:CV58)+SUMPRODUCT($B$61:$B$68,CV61:CV68)+SUMPRODUCT($B$71:$B$74,CV71:CV74)+SUMPRODUCT($B$77:$B$78,CV77:CV78))/12</f>
        <v/>
      </c>
      <c r="CW81" s="761">
        <f>(SUMPRODUCT($B$49:$B$58,CW49:CW58)+SUMPRODUCT($B$61:$B$68,CW61:CW68)+SUMPRODUCT($B$71:$B$74,CW71:CW74)+SUMPRODUCT($B$77:$B$78,CW77:CW78))/12</f>
        <v/>
      </c>
      <c r="CX81" s="761">
        <f>(SUMPRODUCT($B$49:$B$58,CX49:CX58)+SUMPRODUCT($B$61:$B$68,CX61:CX68)+SUMPRODUCT($B$71:$B$74,CX71:CX74)+SUMPRODUCT($B$77:$B$78,CX77:CX78))/12</f>
        <v/>
      </c>
      <c r="CY81" s="761">
        <f>(SUMPRODUCT($B$49:$B$58,CY49:CY58)+SUMPRODUCT($B$61:$B$68,CY61:CY68)+SUMPRODUCT($B$71:$B$74,CY71:CY74)+SUMPRODUCT($B$77:$B$78,CY77:CY78))/12</f>
        <v/>
      </c>
      <c r="CZ81" s="761">
        <f>(SUMPRODUCT($B$49:$B$58,CZ49:CZ58)+SUMPRODUCT($B$61:$B$68,CZ61:CZ68)+SUMPRODUCT($B$71:$B$74,CZ71:CZ74)+SUMPRODUCT($B$77:$B$78,CZ77:CZ78))/12</f>
        <v/>
      </c>
      <c r="DA81" s="761">
        <f>(SUMPRODUCT($B$49:$B$58,DA49:DA58)+SUMPRODUCT($B$61:$B$68,DA61:DA68)+SUMPRODUCT($B$71:$B$74,DA71:DA74)+SUMPRODUCT($B$77:$B$78,DA77:DA78))/12</f>
        <v/>
      </c>
      <c r="DB81" s="761">
        <f>(SUMPRODUCT($B$49:$B$58,DB49:DB58)+SUMPRODUCT($B$61:$B$68,DB61:DB68)+SUMPRODUCT($B$71:$B$74,DB71:DB74)+SUMPRODUCT($B$77:$B$78,DB77:DB78))/12</f>
        <v/>
      </c>
      <c r="DC81" s="761">
        <f>(SUMPRODUCT($B$49:$B$58,DC49:DC58)+SUMPRODUCT($B$61:$B$68,DC61:DC68)+SUMPRODUCT($B$71:$B$74,DC71:DC74)+SUMPRODUCT($B$77:$B$78,DC77:DC78))/12</f>
        <v/>
      </c>
      <c r="DD81" s="761">
        <f>(SUMPRODUCT($B$49:$B$58,DD49:DD58)+SUMPRODUCT($B$61:$B$68,DD61:DD68)+SUMPRODUCT($B$71:$B$74,DD71:DD74)+SUMPRODUCT($B$77:$B$78,DD77:DD78))/12</f>
        <v/>
      </c>
      <c r="DE81" s="761">
        <f>(SUMPRODUCT($B$49:$B$58,DE49:DE58)+SUMPRODUCT($B$61:$B$68,DE61:DE68)+SUMPRODUCT($B$71:$B$74,DE71:DE74)+SUMPRODUCT($B$77:$B$78,DE77:DE78))/12</f>
        <v/>
      </c>
    </row>
    <row r="82">
      <c r="A82" s="586" t="inlineStr">
        <is>
          <t>Placement fees</t>
        </is>
      </c>
      <c r="E82" s="761" t="n">
        <v>0</v>
      </c>
      <c r="F82" s="761">
        <f>(SUMPRODUCT($B$49:$B$58,(F49:F58&gt;E49:E58)*1)+SUMPRODUCT($B$61:$B$68,(F61:F68&gt;E61:E68)*1)+SUMPRODUCT($B$71:$B$74,(F71:F74&gt;E71:E74)*1)+SUMPRODUCT($B$77:$B$78,(F77:F78&gt;E77:E78)*1))*$B$21</f>
        <v/>
      </c>
      <c r="G82" s="761">
        <f>(SUMPRODUCT($B$49:$B$58,(G49:G58&gt;F49:F58)*1)+SUMPRODUCT($B$61:$B$68,(G61:G68&gt;F61:F68)*1)+SUMPRODUCT($B$71:$B$74,(G71:G74&gt;F71:F74)*1)+SUMPRODUCT($B$77:$B$78,(G77:G78&gt;F77:F78)*1))*$B$21</f>
        <v/>
      </c>
      <c r="H82" s="761">
        <f>(SUMPRODUCT($B$49:$B$58,(H49:H58&gt;G49:G58)*1)+SUMPRODUCT($B$61:$B$68,(H61:H68&gt;G61:G68)*1)+SUMPRODUCT($B$71:$B$74,(H71:H74&gt;G71:G74)*1)+SUMPRODUCT($B$77:$B$78,(H77:H78&gt;G77:G78)*1))*$B$21</f>
        <v/>
      </c>
      <c r="I82" s="761">
        <f>(SUMPRODUCT($B$49:$B$58,(I49:I58&gt;H49:H58)*1)+SUMPRODUCT($B$61:$B$68,(I61:I68&gt;H61:H68)*1)+SUMPRODUCT($B$71:$B$74,(I71:I74&gt;H71:H74)*1)+SUMPRODUCT($B$77:$B$78,(I77:I78&gt;H77:H78)*1))*$B$21</f>
        <v/>
      </c>
      <c r="J82" s="761">
        <f>(SUMPRODUCT($B$49:$B$58,(J49:J58&gt;I49:I58)*1)+SUMPRODUCT($B$61:$B$68,(J61:J68&gt;I61:I68)*1)+SUMPRODUCT($B$71:$B$74,(J71:J74&gt;I71:I74)*1)+SUMPRODUCT($B$77:$B$78,(J77:J78&gt;I77:I78)*1))*$B$21</f>
        <v/>
      </c>
      <c r="K82" s="761">
        <f>(SUMPRODUCT($B$49:$B$58,(K49:K58&gt;J49:J58)*1)+SUMPRODUCT($B$61:$B$68,(K61:K68&gt;J61:J68)*1)+SUMPRODUCT($B$71:$B$74,(K71:K74&gt;J71:J74)*1)+SUMPRODUCT($B$77:$B$78,(K77:K78&gt;J77:J78)*1))*$B$21</f>
        <v/>
      </c>
      <c r="L82" s="761">
        <f>(SUMPRODUCT($B$49:$B$58,(L49:L58&gt;K49:K58)*1)+SUMPRODUCT($B$61:$B$68,(L61:L68&gt;K61:K68)*1)+SUMPRODUCT($B$71:$B$74,(L71:L74&gt;K71:K74)*1)+SUMPRODUCT($B$77:$B$78,(L77:L78&gt;K77:K78)*1))*$B$21</f>
        <v/>
      </c>
      <c r="M82" s="761">
        <f>(SUMPRODUCT($B$49:$B$58,(M49:M58&gt;L49:L58)*1)+SUMPRODUCT($B$61:$B$68,(M61:M68&gt;L61:L68)*1)+SUMPRODUCT($B$71:$B$74,(M71:M74&gt;L71:L74)*1)+SUMPRODUCT($B$77:$B$78,(M77:M78&gt;L77:L78)*1))*$B$21</f>
        <v/>
      </c>
      <c r="N82" s="761">
        <f>(SUMPRODUCT($B$49:$B$58,(N49:N58&gt;M49:M58)*1)+SUMPRODUCT($B$61:$B$68,(N61:N68&gt;M61:M68)*1)+SUMPRODUCT($B$71:$B$74,(N71:N74&gt;M71:M74)*1)+SUMPRODUCT($B$77:$B$78,(N77:N78&gt;M77:M78)*1))*$B$21</f>
        <v/>
      </c>
      <c r="O82" s="761">
        <f>(SUMPRODUCT($B$49:$B$58,(O49:O58&gt;N49:N58)*1)+SUMPRODUCT($B$61:$B$68,(O61:O68&gt;N61:N68)*1)+SUMPRODUCT($B$71:$B$74,(O71:O74&gt;N71:N74)*1)+SUMPRODUCT($B$77:$B$78,(O77:O78&gt;N77:N78)*1))*$B$21</f>
        <v/>
      </c>
      <c r="P82" s="761">
        <f>(SUMPRODUCT($B$49:$B$58,(P49:P58&gt;O49:O58)*1)+SUMPRODUCT($B$61:$B$68,(P61:P68&gt;O61:O68)*1)+SUMPRODUCT($B$71:$B$74,(P71:P74&gt;O71:O74)*1)+SUMPRODUCT($B$77:$B$78,(P77:P78&gt;O77:O78)*1))*$B$21</f>
        <v/>
      </c>
      <c r="Q82" s="761">
        <f>(SUMPRODUCT($B$49:$B$58,(Q49:Q58&gt;P49:P58)*1)+SUMPRODUCT($B$61:$B$68,(Q61:Q68&gt;P61:P68)*1)+SUMPRODUCT($B$71:$B$74,(Q71:Q74&gt;P71:P74)*1)+SUMPRODUCT($B$77:$B$78,(Q77:Q78&gt;P77:P78)*1))*$B$21</f>
        <v/>
      </c>
      <c r="R82" s="761">
        <f>(SUMPRODUCT($B$49:$B$58,(R49:R58&gt;Q49:Q58)*1)+SUMPRODUCT($B$61:$B$68,(R61:R68&gt;Q61:Q68)*1)+SUMPRODUCT($B$71:$B$74,(R71:R74&gt;Q71:Q74)*1)+SUMPRODUCT($B$77:$B$78,(R77:R78&gt;Q77:Q78)*1))*$B$21</f>
        <v/>
      </c>
      <c r="S82" s="761">
        <f>(SUMPRODUCT($B$49:$B$58,(S49:S58&gt;R49:R58)*1)+SUMPRODUCT($B$61:$B$68,(S61:S68&gt;R61:R68)*1)+SUMPRODUCT($B$71:$B$74,(S71:S74&gt;R71:R74)*1)+SUMPRODUCT($B$77:$B$78,(S77:S78&gt;R77:R78)*1))*$B$21</f>
        <v/>
      </c>
      <c r="T82" s="761">
        <f>(SUMPRODUCT($B$49:$B$58,(T49:T58&gt;S49:S58)*1)+SUMPRODUCT($B$61:$B$68,(T61:T68&gt;S61:S68)*1)+SUMPRODUCT($B$71:$B$74,(T71:T74&gt;S71:S74)*1)+SUMPRODUCT($B$77:$B$78,(T77:T78&gt;S77:S78)*1))*$B$21</f>
        <v/>
      </c>
      <c r="U82" s="761">
        <f>(SUMPRODUCT($B$49:$B$58,(U49:U58&gt;T49:T58)*1)+SUMPRODUCT($B$61:$B$68,(U61:U68&gt;T61:T68)*1)+SUMPRODUCT($B$71:$B$74,(U71:U74&gt;T71:T74)*1)+SUMPRODUCT($B$77:$B$78,(U77:U78&gt;T77:T78)*1))*$B$21</f>
        <v/>
      </c>
      <c r="V82" s="761">
        <f>(SUMPRODUCT($B$49:$B$58,(V49:V58&gt;U49:U58)*1)+SUMPRODUCT($B$61:$B$68,(V61:V68&gt;U61:U68)*1)+SUMPRODUCT($B$71:$B$74,(V71:V74&gt;U71:U74)*1)+SUMPRODUCT($B$77:$B$78,(V77:V78&gt;U77:U78)*1))*$B$21</f>
        <v/>
      </c>
      <c r="W82" s="761">
        <f>(SUMPRODUCT($B$49:$B$58,(W49:W58&gt;V49:V58)*1)+SUMPRODUCT($B$61:$B$68,(W61:W68&gt;V61:V68)*1)+SUMPRODUCT($B$71:$B$74,(W71:W74&gt;V71:V74)*1)+SUMPRODUCT($B$77:$B$78,(W77:W78&gt;V77:V78)*1))*$B$21</f>
        <v/>
      </c>
      <c r="X82" s="761">
        <f>(SUMPRODUCT($B$49:$B$58,(X49:X58&gt;W49:W58)*1)+SUMPRODUCT($B$61:$B$68,(X61:X68&gt;W61:W68)*1)+SUMPRODUCT($B$71:$B$74,(X71:X74&gt;W71:W74)*1)+SUMPRODUCT($B$77:$B$78,(X77:X78&gt;W77:W78)*1))*$B$21</f>
        <v/>
      </c>
      <c r="Y82" s="761">
        <f>(SUMPRODUCT($B$49:$B$58,(Y49:Y58&gt;X49:X58)*1)+SUMPRODUCT($B$61:$B$68,(Y61:Y68&gt;X61:X68)*1)+SUMPRODUCT($B$71:$B$74,(Y71:Y74&gt;X71:X74)*1)+SUMPRODUCT($B$77:$B$78,(Y77:Y78&gt;X77:X78)*1))*$B$21</f>
        <v/>
      </c>
      <c r="Z82" s="761">
        <f>(SUMPRODUCT($B$49:$B$58,(Z49:Z58&gt;Y49:Y58)*1)+SUMPRODUCT($B$61:$B$68,(Z61:Z68&gt;Y61:Y68)*1)+SUMPRODUCT($B$71:$B$74,(Z71:Z74&gt;Y71:Y74)*1)+SUMPRODUCT($B$77:$B$78,(Z77:Z78&gt;Y77:Y78)*1))*$B$21</f>
        <v/>
      </c>
      <c r="AA82" s="761">
        <f>(SUMPRODUCT($B$49:$B$58,(AA49:AA58&gt;Z49:Z58)*1)+SUMPRODUCT($B$61:$B$68,(AA61:AA68&gt;Z61:Z68)*1)+SUMPRODUCT($B$71:$B$74,(AA71:AA74&gt;Z71:Z74)*1)+SUMPRODUCT($B$77:$B$78,(AA77:AA78&gt;Z77:Z78)*1))*$B$21</f>
        <v/>
      </c>
      <c r="AB82" s="761">
        <f>(SUMPRODUCT($B$49:$B$58,(AB49:AB58&gt;AA49:AA58)*1)+SUMPRODUCT($B$61:$B$68,(AB61:AB68&gt;AA61:AA68)*1)+SUMPRODUCT($B$71:$B$74,(AB71:AB74&gt;AA71:AA74)*1)+SUMPRODUCT($B$77:$B$78,(AB77:AB78&gt;AA77:AA78)*1))*$B$21</f>
        <v/>
      </c>
      <c r="AC82" s="761">
        <f>(SUMPRODUCT($B$49:$B$58,(AC49:AC58&gt;AB49:AB58)*1)+SUMPRODUCT($B$61:$B$68,(AC61:AC68&gt;AB61:AB68)*1)+SUMPRODUCT($B$71:$B$74,(AC71:AC74&gt;AB71:AB74)*1)+SUMPRODUCT($B$77:$B$78,(AC77:AC78&gt;AB77:AB78)*1))*$B$21</f>
        <v/>
      </c>
      <c r="AD82" s="761">
        <f>(SUMPRODUCT($B$49:$B$58,(AD49:AD58&gt;AC49:AC58)*1)+SUMPRODUCT($B$61:$B$68,(AD61:AD68&gt;AC61:AC68)*1)+SUMPRODUCT($B$71:$B$74,(AD71:AD74&gt;AC71:AC74)*1)+SUMPRODUCT($B$77:$B$78,(AD77:AD78&gt;AC77:AC78)*1))*$B$21</f>
        <v/>
      </c>
      <c r="AE82" s="761">
        <f>(SUMPRODUCT($B$49:$B$58,(AE49:AE58&gt;AD49:AD58)*1)+SUMPRODUCT($B$61:$B$68,(AE61:AE68&gt;AD61:AD68)*1)+SUMPRODUCT($B$71:$B$74,(AE71:AE74&gt;AD71:AD74)*1)+SUMPRODUCT($B$77:$B$78,(AE77:AE78&gt;AD77:AD78)*1))*$B$21</f>
        <v/>
      </c>
      <c r="AF82" s="761">
        <f>(SUMPRODUCT($B$49:$B$58,(AF49:AF58&gt;AE49:AE58)*1)+SUMPRODUCT($B$61:$B$68,(AF61:AF68&gt;AE61:AE68)*1)+SUMPRODUCT($B$71:$B$74,(AF71:AF74&gt;AE71:AE74)*1)+SUMPRODUCT($B$77:$B$78,(AF77:AF78&gt;AE77:AE78)*1))*$B$21</f>
        <v/>
      </c>
      <c r="AG82" s="761">
        <f>(SUMPRODUCT($B$49:$B$58,(AG49:AG58&gt;AF49:AF58)*1)+SUMPRODUCT($B$61:$B$68,(AG61:AG68&gt;AF61:AF68)*1)+SUMPRODUCT($B$71:$B$74,(AG71:AG74&gt;AF71:AF74)*1)+SUMPRODUCT($B$77:$B$78,(AG77:AG78&gt;AF77:AF78)*1))*$B$21</f>
        <v/>
      </c>
      <c r="AH82" s="761">
        <f>(SUMPRODUCT($B$49:$B$58,(AH49:AH58&gt;AG49:AG58)*1)+SUMPRODUCT($B$61:$B$68,(AH61:AH68&gt;AG61:AG68)*1)+SUMPRODUCT($B$71:$B$74,(AH71:AH74&gt;AG71:AG74)*1)+SUMPRODUCT($B$77:$B$78,(AH77:AH78&gt;AG77:AG78)*1))*$B$21</f>
        <v/>
      </c>
      <c r="AI82" s="761">
        <f>(SUMPRODUCT($B$49:$B$58,(AI49:AI58&gt;AH49:AH58)*1)+SUMPRODUCT($B$61:$B$68,(AI61:AI68&gt;AH61:AH68)*1)+SUMPRODUCT($B$71:$B$74,(AI71:AI74&gt;AH71:AH74)*1)+SUMPRODUCT($B$77:$B$78,(AI77:AI78&gt;AH77:AH78)*1))*$B$21</f>
        <v/>
      </c>
      <c r="AJ82" s="761">
        <f>(SUMPRODUCT($B$49:$B$58,(AJ49:AJ58&gt;AI49:AI58)*1)+SUMPRODUCT($B$61:$B$68,(AJ61:AJ68&gt;AI61:AI68)*1)+SUMPRODUCT($B$71:$B$74,(AJ71:AJ74&gt;AI71:AI74)*1)+SUMPRODUCT($B$77:$B$78,(AJ77:AJ78&gt;AI77:AI78)*1))*$B$21</f>
        <v/>
      </c>
      <c r="AK82" s="761">
        <f>(SUMPRODUCT($B$49:$B$58,(AK49:AK58&gt;AJ49:AJ58)*1)+SUMPRODUCT($B$61:$B$68,(AK61:AK68&gt;AJ61:AJ68)*1)+SUMPRODUCT($B$71:$B$74,(AK71:AK74&gt;AJ71:AJ74)*1)+SUMPRODUCT($B$77:$B$78,(AK77:AK78&gt;AJ77:AJ78)*1))*$B$21</f>
        <v/>
      </c>
      <c r="AL82" s="761">
        <f>(SUMPRODUCT($B$49:$B$58,(AL49:AL58&gt;AK49:AK58)*1)+SUMPRODUCT($B$61:$B$68,(AL61:AL68&gt;AK61:AK68)*1)+SUMPRODUCT($B$71:$B$74,(AL71:AL74&gt;AK71:AK74)*1)+SUMPRODUCT($B$77:$B$78,(AL77:AL78&gt;AK77:AK78)*1))*$B$21</f>
        <v/>
      </c>
      <c r="AM82" s="761">
        <f>(SUMPRODUCT($B$49:$B$58,(AM49:AM58&gt;AL49:AL58)*1)+SUMPRODUCT($B$61:$B$68,(AM61:AM68&gt;AL61:AL68)*1)+SUMPRODUCT($B$71:$B$74,(AM71:AM74&gt;AL71:AL74)*1)+SUMPRODUCT($B$77:$B$78,(AM77:AM78&gt;AL77:AL78)*1))*$B$21</f>
        <v/>
      </c>
      <c r="AN82" s="761">
        <f>(SUMPRODUCT($B$49:$B$58,(AN49:AN58&gt;AM49:AM58)*1)+SUMPRODUCT($B$61:$B$68,(AN61:AN68&gt;AM61:AM68)*1)+SUMPRODUCT($B$71:$B$74,(AN71:AN74&gt;AM71:AM74)*1)+SUMPRODUCT($B$77:$B$78,(AN77:AN78&gt;AM77:AM78)*1))*$B$21</f>
        <v/>
      </c>
      <c r="AO82" s="761">
        <f>(SUMPRODUCT($B$49:$B$58,(AO49:AO58&gt;AN49:AN58)*1)+SUMPRODUCT($B$61:$B$68,(AO61:AO68&gt;AN61:AN68)*1)+SUMPRODUCT($B$71:$B$74,(AO71:AO74&gt;AN71:AN74)*1)+SUMPRODUCT($B$77:$B$78,(AO77:AO78&gt;AN77:AN78)*1))*$B$21</f>
        <v/>
      </c>
      <c r="AP82" s="761">
        <f>(SUMPRODUCT($B$49:$B$58,(AP49:AP58&gt;AO49:AO58)*1)+SUMPRODUCT($B$61:$B$68,(AP61:AP68&gt;AO61:AO68)*1)+SUMPRODUCT($B$71:$B$74,(AP71:AP74&gt;AO71:AO74)*1)+SUMPRODUCT($B$77:$B$78,(AP77:AP78&gt;AO77:AO78)*1))*$B$21</f>
        <v/>
      </c>
      <c r="AQ82" s="761">
        <f>(SUMPRODUCT($B$49:$B$58,(AQ49:AQ58&gt;AP49:AP58)*1)+SUMPRODUCT($B$61:$B$68,(AQ61:AQ68&gt;AP61:AP68)*1)+SUMPRODUCT($B$71:$B$74,(AQ71:AQ74&gt;AP71:AP74)*1)+SUMPRODUCT($B$77:$B$78,(AQ77:AQ78&gt;AP77:AP78)*1))*$B$21</f>
        <v/>
      </c>
      <c r="AR82" s="761">
        <f>(SUMPRODUCT($B$49:$B$58,(AR49:AR58&gt;AQ49:AQ58)*1)+SUMPRODUCT($B$61:$B$68,(AR61:AR68&gt;AQ61:AQ68)*1)+SUMPRODUCT($B$71:$B$74,(AR71:AR74&gt;AQ71:AQ74)*1)+SUMPRODUCT($B$77:$B$78,(AR77:AR78&gt;AQ77:AQ78)*1))*$B$21</f>
        <v/>
      </c>
      <c r="AS82" s="761">
        <f>(SUMPRODUCT($B$49:$B$58,(AS49:AS58&gt;AR49:AR58)*1)+SUMPRODUCT($B$61:$B$68,(AS61:AS68&gt;AR61:AR68)*1)+SUMPRODUCT($B$71:$B$74,(AS71:AS74&gt;AR71:AR74)*1)+SUMPRODUCT($B$77:$B$78,(AS77:AS78&gt;AR77:AR78)*1))*$B$21</f>
        <v/>
      </c>
      <c r="AT82" s="761">
        <f>(SUMPRODUCT($B$49:$B$58,(AT49:AT58&gt;AS49:AS58)*1)+SUMPRODUCT($B$61:$B$68,(AT61:AT68&gt;AS61:AS68)*1)+SUMPRODUCT($B$71:$B$74,(AT71:AT74&gt;AS71:AS74)*1)+SUMPRODUCT($B$77:$B$78,(AT77:AT78&gt;AS77:AS78)*1))*$B$21</f>
        <v/>
      </c>
      <c r="AU82" s="761">
        <f>(SUMPRODUCT($B$49:$B$58,(AU49:AU58&gt;AT49:AT58)*1)+SUMPRODUCT($B$61:$B$68,(AU61:AU68&gt;AT61:AT68)*1)+SUMPRODUCT($B$71:$B$74,(AU71:AU74&gt;AT71:AT74)*1)+SUMPRODUCT($B$77:$B$78,(AU77:AU78&gt;AT77:AT78)*1))*$B$21</f>
        <v/>
      </c>
      <c r="AV82" s="761">
        <f>(SUMPRODUCT($B$49:$B$58,(AV49:AV58&gt;AU49:AU58)*1)+SUMPRODUCT($B$61:$B$68,(AV61:AV68&gt;AU61:AU68)*1)+SUMPRODUCT($B$71:$B$74,(AV71:AV74&gt;AU71:AU74)*1)+SUMPRODUCT($B$77:$B$78,(AV77:AV78&gt;AU77:AU78)*1))*$B$21</f>
        <v/>
      </c>
      <c r="AW82" s="761">
        <f>(SUMPRODUCT($B$49:$B$58,(AW49:AW58&gt;AV49:AV58)*1)+SUMPRODUCT($B$61:$B$68,(AW61:AW68&gt;AV61:AV68)*1)+SUMPRODUCT($B$71:$B$74,(AW71:AW74&gt;AV71:AV74)*1)+SUMPRODUCT($B$77:$B$78,(AW77:AW78&gt;AV77:AV78)*1))*$B$21</f>
        <v/>
      </c>
      <c r="AX82" s="761">
        <f>(SUMPRODUCT($B$49:$B$58,(AX49:AX58&gt;AW49:AW58)*1)+SUMPRODUCT($B$61:$B$68,(AX61:AX68&gt;AW61:AW68)*1)+SUMPRODUCT($B$71:$B$74,(AX71:AX74&gt;AW71:AW74)*1)+SUMPRODUCT($B$77:$B$78,(AX77:AX78&gt;AW77:AW78)*1))*$B$21</f>
        <v/>
      </c>
      <c r="AY82" s="761">
        <f>(SUMPRODUCT($B$49:$B$58,(AY49:AY58&gt;AX49:AX58)*1)+SUMPRODUCT($B$61:$B$68,(AY61:AY68&gt;AX61:AX68)*1)+SUMPRODUCT($B$71:$B$74,(AY71:AY74&gt;AX71:AX74)*1)+SUMPRODUCT($B$77:$B$78,(AY77:AY78&gt;AX77:AX78)*1))*$B$21</f>
        <v/>
      </c>
      <c r="AZ82" s="761">
        <f>(SUMPRODUCT($B$49:$B$58,(AZ49:AZ58&gt;AY49:AY58)*1)+SUMPRODUCT($B$61:$B$68,(AZ61:AZ68&gt;AY61:AY68)*1)+SUMPRODUCT($B$71:$B$74,(AZ71:AZ74&gt;AY71:AY74)*1)+SUMPRODUCT($B$77:$B$78,(AZ77:AZ78&gt;AY77:AY78)*1))*$B$21</f>
        <v/>
      </c>
      <c r="BA82" s="761">
        <f>(SUMPRODUCT($B$49:$B$58,(BA49:BA58&gt;AZ49:AZ58)*1)+SUMPRODUCT($B$61:$B$68,(BA61:BA68&gt;AZ61:AZ68)*1)+SUMPRODUCT($B$71:$B$74,(BA71:BA74&gt;AZ71:AZ74)*1)+SUMPRODUCT($B$77:$B$78,(BA77:BA78&gt;AZ77:AZ78)*1))*$B$21</f>
        <v/>
      </c>
      <c r="BB82" s="761">
        <f>(SUMPRODUCT($B$49:$B$58,(BB49:BB58&gt;BA49:BA58)*1)+SUMPRODUCT($B$61:$B$68,(BB61:BB68&gt;BA61:BA68)*1)+SUMPRODUCT($B$71:$B$74,(BB71:BB74&gt;BA71:BA74)*1)+SUMPRODUCT($B$77:$B$78,(BB77:BB78&gt;BA77:BA78)*1))*$B$21</f>
        <v/>
      </c>
      <c r="BC82" s="761">
        <f>(SUMPRODUCT($B$49:$B$58,(BC49:BC58&gt;BB49:BB58)*1)+SUMPRODUCT($B$61:$B$68,(BC61:BC68&gt;BB61:BB68)*1)+SUMPRODUCT($B$71:$B$74,(BC71:BC74&gt;BB71:BB74)*1)+SUMPRODUCT($B$77:$B$78,(BC77:BC78&gt;BB77:BB78)*1))*$B$21</f>
        <v/>
      </c>
      <c r="BD82" s="761">
        <f>(SUMPRODUCT($B$49:$B$58,(BD49:BD58&gt;BC49:BC58)*1)+SUMPRODUCT($B$61:$B$68,(BD61:BD68&gt;BC61:BC68)*1)+SUMPRODUCT($B$71:$B$74,(BD71:BD74&gt;BC71:BC74)*1)+SUMPRODUCT($B$77:$B$78,(BD77:BD78&gt;BC77:BC78)*1))*$B$21</f>
        <v/>
      </c>
      <c r="BE82" s="761">
        <f>(SUMPRODUCT($B$49:$B$58,(BE49:BE58&gt;BD49:BD58)*1)+SUMPRODUCT($B$61:$B$68,(BE61:BE68&gt;BD61:BD68)*1)+SUMPRODUCT($B$71:$B$74,(BE71:BE74&gt;BD71:BD74)*1)+SUMPRODUCT($B$77:$B$78,(BE77:BE78&gt;BD77:BD78)*1))*$B$21</f>
        <v/>
      </c>
      <c r="BF82" s="761">
        <f>(SUMPRODUCT($B$49:$B$58,(BF49:BF58&gt;BE49:BE58)*1)+SUMPRODUCT($B$61:$B$68,(BF61:BF68&gt;BE61:BE68)*1)+SUMPRODUCT($B$71:$B$74,(BF71:BF74&gt;BE71:BE74)*1)+SUMPRODUCT($B$77:$B$78,(BF77:BF78&gt;BE77:BE78)*1))*$B$21</f>
        <v/>
      </c>
      <c r="BG82" s="761">
        <f>(SUMPRODUCT($B$49:$B$58,(BG49:BG58&gt;BF49:BF58)*1)+SUMPRODUCT($B$61:$B$68,(BG61:BG68&gt;BF61:BF68)*1)+SUMPRODUCT($B$71:$B$74,(BG71:BG74&gt;BF71:BF74)*1)+SUMPRODUCT($B$77:$B$78,(BG77:BG78&gt;BF77:BF78)*1))*$B$21</f>
        <v/>
      </c>
      <c r="BH82" s="761">
        <f>(SUMPRODUCT($B$49:$B$58,(BH49:BH58&gt;BG49:BG58)*1)+SUMPRODUCT($B$61:$B$68,(BH61:BH68&gt;BG61:BG68)*1)+SUMPRODUCT($B$71:$B$74,(BH71:BH74&gt;BG71:BG74)*1)+SUMPRODUCT($B$77:$B$78,(BH77:BH78&gt;BG77:BG78)*1))*$B$21</f>
        <v/>
      </c>
      <c r="BI82" s="761">
        <f>(SUMPRODUCT($B$49:$B$58,(BI49:BI58&gt;BH49:BH58)*1)+SUMPRODUCT($B$61:$B$68,(BI61:BI68&gt;BH61:BH68)*1)+SUMPRODUCT($B$71:$B$74,(BI71:BI74&gt;BH71:BH74)*1)+SUMPRODUCT($B$77:$B$78,(BI77:BI78&gt;BH77:BH78)*1))*$B$21</f>
        <v/>
      </c>
      <c r="BJ82" s="761">
        <f>(SUMPRODUCT($B$49:$B$58,(BJ49:BJ58&gt;BI49:BI58)*1)+SUMPRODUCT($B$61:$B$68,(BJ61:BJ68&gt;BI61:BI68)*1)+SUMPRODUCT($B$71:$B$74,(BJ71:BJ74&gt;BI71:BI74)*1)+SUMPRODUCT($B$77:$B$78,(BJ77:BJ78&gt;BI77:BI78)*1))*$B$21</f>
        <v/>
      </c>
      <c r="BK82" s="761">
        <f>(SUMPRODUCT($B$49:$B$58,(BK49:BK58&gt;BJ49:BJ58)*1)+SUMPRODUCT($B$61:$B$68,(BK61:BK68&gt;BJ61:BJ68)*1)+SUMPRODUCT($B$71:$B$74,(BK71:BK74&gt;BJ71:BJ74)*1)+SUMPRODUCT($B$77:$B$78,(BK77:BK78&gt;BJ77:BJ78)*1))*$B$21</f>
        <v/>
      </c>
      <c r="BL82" s="761">
        <f>(SUMPRODUCT($B$49:$B$58,(BL49:BL58&gt;BK49:BK58)*1)+SUMPRODUCT($B$61:$B$68,(BL61:BL68&gt;BK61:BK68)*1)+SUMPRODUCT($B$71:$B$74,(BL71:BL74&gt;BK71:BK74)*1)+SUMPRODUCT($B$77:$B$78,(BL77:BL78&gt;BK77:BK78)*1))*$B$21</f>
        <v/>
      </c>
      <c r="BM82" s="761">
        <f>(SUMPRODUCT($B$49:$B$58,(BM49:BM58&gt;BL49:BL58)*1)+SUMPRODUCT($B$61:$B$68,(BM61:BM68&gt;BL61:BL68)*1)+SUMPRODUCT($B$71:$B$74,(BM71:BM74&gt;BL71:BL74)*1)+SUMPRODUCT($B$77:$B$78,(BM77:BM78&gt;BL77:BL78)*1))*$B$21</f>
        <v/>
      </c>
      <c r="BN82" s="761">
        <f>(SUMPRODUCT($B$49:$B$58,(BN49:BN58&gt;BM49:BM58)*1)+SUMPRODUCT($B$61:$B$68,(BN61:BN68&gt;BM61:BM68)*1)+SUMPRODUCT($B$71:$B$74,(BN71:BN74&gt;BM71:BM74)*1)+SUMPRODUCT($B$77:$B$78,(BN77:BN78&gt;BM77:BM78)*1))*$B$21</f>
        <v/>
      </c>
      <c r="BO82" s="761">
        <f>(SUMPRODUCT($B$49:$B$58,(BO49:BO58&gt;BN49:BN58)*1)+SUMPRODUCT($B$61:$B$68,(BO61:BO68&gt;BN61:BN68)*1)+SUMPRODUCT($B$71:$B$74,(BO71:BO74&gt;BN71:BN74)*1)+SUMPRODUCT($B$77:$B$78,(BO77:BO78&gt;BN77:BN78)*1))*$B$21</f>
        <v/>
      </c>
      <c r="BP82" s="761">
        <f>(SUMPRODUCT($B$49:$B$58,(BP49:BP58&gt;BO49:BO58)*1)+SUMPRODUCT($B$61:$B$68,(BP61:BP68&gt;BO61:BO68)*1)+SUMPRODUCT($B$71:$B$74,(BP71:BP74&gt;BO71:BO74)*1)+SUMPRODUCT($B$77:$B$78,(BP77:BP78&gt;BO77:BO78)*1))*$B$21</f>
        <v/>
      </c>
      <c r="BQ82" s="761">
        <f>(SUMPRODUCT($B$49:$B$58,(BQ49:BQ58&gt;BP49:BP58)*1)+SUMPRODUCT($B$61:$B$68,(BQ61:BQ68&gt;BP61:BP68)*1)+SUMPRODUCT($B$71:$B$74,(BQ71:BQ74&gt;BP71:BP74)*1)+SUMPRODUCT($B$77:$B$78,(BQ77:BQ78&gt;BP77:BP78)*1))*$B$21</f>
        <v/>
      </c>
      <c r="BR82" s="761">
        <f>(SUMPRODUCT($B$49:$B$58,(BR49:BR58&gt;BQ49:BQ58)*1)+SUMPRODUCT($B$61:$B$68,(BR61:BR68&gt;BQ61:BQ68)*1)+SUMPRODUCT($B$71:$B$74,(BR71:BR74&gt;BQ71:BQ74)*1)+SUMPRODUCT($B$77:$B$78,(BR77:BR78&gt;BQ77:BQ78)*1))*$B$21</f>
        <v/>
      </c>
      <c r="BS82" s="761">
        <f>(SUMPRODUCT($B$49:$B$58,(BS49:BS58&gt;BR49:BR58)*1)+SUMPRODUCT($B$61:$B$68,(BS61:BS68&gt;BR61:BR68)*1)+SUMPRODUCT($B$71:$B$74,(BS71:BS74&gt;BR71:BR74)*1)+SUMPRODUCT($B$77:$B$78,(BS77:BS78&gt;BR77:BR78)*1))*$B$21</f>
        <v/>
      </c>
      <c r="BT82" s="761">
        <f>(SUMPRODUCT($B$49:$B$58,(BT49:BT58&gt;BS49:BS58)*1)+SUMPRODUCT($B$61:$B$68,(BT61:BT68&gt;BS61:BS68)*1)+SUMPRODUCT($B$71:$B$74,(BT71:BT74&gt;BS71:BS74)*1)+SUMPRODUCT($B$77:$B$78,(BT77:BT78&gt;BS77:BS78)*1))*$B$21</f>
        <v/>
      </c>
      <c r="BU82" s="761">
        <f>(SUMPRODUCT($B$49:$B$58,(BU49:BU58&gt;BT49:BT58)*1)+SUMPRODUCT($B$61:$B$68,(BU61:BU68&gt;BT61:BT68)*1)+SUMPRODUCT($B$71:$B$74,(BU71:BU74&gt;BT71:BT74)*1)+SUMPRODUCT($B$77:$B$78,(BU77:BU78&gt;BT77:BT78)*1))*$B$21</f>
        <v/>
      </c>
      <c r="BV82" s="761">
        <f>(SUMPRODUCT($B$49:$B$58,(BV49:BV58&gt;BU49:BU58)*1)+SUMPRODUCT($B$61:$B$68,(BV61:BV68&gt;BU61:BU68)*1)+SUMPRODUCT($B$71:$B$74,(BV71:BV74&gt;BU71:BU74)*1)+SUMPRODUCT($B$77:$B$78,(BV77:BV78&gt;BU77:BU78)*1))*$B$21</f>
        <v/>
      </c>
      <c r="BW82" s="761">
        <f>(SUMPRODUCT($B$49:$B$58,(BW49:BW58&gt;BV49:BV58)*1)+SUMPRODUCT($B$61:$B$68,(BW61:BW68&gt;BV61:BV68)*1)+SUMPRODUCT($B$71:$B$74,(BW71:BW74&gt;BV71:BV74)*1)+SUMPRODUCT($B$77:$B$78,(BW77:BW78&gt;BV77:BV78)*1))*$B$21</f>
        <v/>
      </c>
      <c r="BX82" s="761">
        <f>(SUMPRODUCT($B$49:$B$58,(BX49:BX58&gt;BW49:BW58)*1)+SUMPRODUCT($B$61:$B$68,(BX61:BX68&gt;BW61:BW68)*1)+SUMPRODUCT($B$71:$B$74,(BX71:BX74&gt;BW71:BW74)*1)+SUMPRODUCT($B$77:$B$78,(BX77:BX78&gt;BW77:BW78)*1))*$B$21</f>
        <v/>
      </c>
      <c r="BY82" s="761">
        <f>(SUMPRODUCT($B$49:$B$58,(BY49:BY58&gt;BX49:BX58)*1)+SUMPRODUCT($B$61:$B$68,(BY61:BY68&gt;BX61:BX68)*1)+SUMPRODUCT($B$71:$B$74,(BY71:BY74&gt;BX71:BX74)*1)+SUMPRODUCT($B$77:$B$78,(BY77:BY78&gt;BX77:BX78)*1))*$B$21</f>
        <v/>
      </c>
      <c r="BZ82" s="761">
        <f>(SUMPRODUCT($B$49:$B$58,(BZ49:BZ58&gt;BY49:BY58)*1)+SUMPRODUCT($B$61:$B$68,(BZ61:BZ68&gt;BY61:BY68)*1)+SUMPRODUCT($B$71:$B$74,(BZ71:BZ74&gt;BY71:BY74)*1)+SUMPRODUCT($B$77:$B$78,(BZ77:BZ78&gt;BY77:BY78)*1))*$B$21</f>
        <v/>
      </c>
      <c r="CA82" s="761">
        <f>(SUMPRODUCT($B$49:$B$58,(CA49:CA58&gt;BZ49:BZ58)*1)+SUMPRODUCT($B$61:$B$68,(CA61:CA68&gt;BZ61:BZ68)*1)+SUMPRODUCT($B$71:$B$74,(CA71:CA74&gt;BZ71:BZ74)*1)+SUMPRODUCT($B$77:$B$78,(CA77:CA78&gt;BZ77:BZ78)*1))*$B$21</f>
        <v/>
      </c>
      <c r="CB82" s="761">
        <f>(SUMPRODUCT($B$49:$B$58,(CB49:CB58&gt;CA49:CA58)*1)+SUMPRODUCT($B$61:$B$68,(CB61:CB68&gt;CA61:CA68)*1)+SUMPRODUCT($B$71:$B$74,(CB71:CB74&gt;CA71:CA74)*1)+SUMPRODUCT($B$77:$B$78,(CB77:CB78&gt;CA77:CA78)*1))*$B$21</f>
        <v/>
      </c>
      <c r="CC82" s="761">
        <f>(SUMPRODUCT($B$49:$B$58,(CC49:CC58&gt;CB49:CB58)*1)+SUMPRODUCT($B$61:$B$68,(CC61:CC68&gt;CB61:CB68)*1)+SUMPRODUCT($B$71:$B$74,(CC71:CC74&gt;CB71:CB74)*1)+SUMPRODUCT($B$77:$B$78,(CC77:CC78&gt;CB77:CB78)*1))*$B$21</f>
        <v/>
      </c>
      <c r="CD82" s="761">
        <f>(SUMPRODUCT($B$49:$B$58,(CD49:CD58&gt;CC49:CC58)*1)+SUMPRODUCT($B$61:$B$68,(CD61:CD68&gt;CC61:CC68)*1)+SUMPRODUCT($B$71:$B$74,(CD71:CD74&gt;CC71:CC74)*1)+SUMPRODUCT($B$77:$B$78,(CD77:CD78&gt;CC77:CC78)*1))*$B$21</f>
        <v/>
      </c>
      <c r="CE82" s="761">
        <f>(SUMPRODUCT($B$49:$B$58,(CE49:CE58&gt;CD49:CD58)*1)+SUMPRODUCT($B$61:$B$68,(CE61:CE68&gt;CD61:CD68)*1)+SUMPRODUCT($B$71:$B$74,(CE71:CE74&gt;CD71:CD74)*1)+SUMPRODUCT($B$77:$B$78,(CE77:CE78&gt;CD77:CD78)*1))*$B$21</f>
        <v/>
      </c>
      <c r="CF82" s="761">
        <f>(SUMPRODUCT($B$49:$B$58,(CF49:CF58&gt;CE49:CE58)*1)+SUMPRODUCT($B$61:$B$68,(CF61:CF68&gt;CE61:CE68)*1)+SUMPRODUCT($B$71:$B$74,(CF71:CF74&gt;CE71:CE74)*1)+SUMPRODUCT($B$77:$B$78,(CF77:CF78&gt;CE77:CE78)*1))*$B$21</f>
        <v/>
      </c>
      <c r="CG82" s="761">
        <f>(SUMPRODUCT($B$49:$B$58,(CG49:CG58&gt;CF49:CF58)*1)+SUMPRODUCT($B$61:$B$68,(CG61:CG68&gt;CF61:CF68)*1)+SUMPRODUCT($B$71:$B$74,(CG71:CG74&gt;CF71:CF74)*1)+SUMPRODUCT($B$77:$B$78,(CG77:CG78&gt;CF77:CF78)*1))*$B$21</f>
        <v/>
      </c>
      <c r="CH82" s="761">
        <f>(SUMPRODUCT($B$49:$B$58,(CH49:CH58&gt;CG49:CG58)*1)+SUMPRODUCT($B$61:$B$68,(CH61:CH68&gt;CG61:CG68)*1)+SUMPRODUCT($B$71:$B$74,(CH71:CH74&gt;CG71:CG74)*1)+SUMPRODUCT($B$77:$B$78,(CH77:CH78&gt;CG77:CG78)*1))*$B$21</f>
        <v/>
      </c>
      <c r="CI82" s="761">
        <f>(SUMPRODUCT($B$49:$B$58,(CI49:CI58&gt;CH49:CH58)*1)+SUMPRODUCT($B$61:$B$68,(CI61:CI68&gt;CH61:CH68)*1)+SUMPRODUCT($B$71:$B$74,(CI71:CI74&gt;CH71:CH74)*1)+SUMPRODUCT($B$77:$B$78,(CI77:CI78&gt;CH77:CH78)*1))*$B$21</f>
        <v/>
      </c>
      <c r="CJ82" s="761">
        <f>(SUMPRODUCT($B$49:$B$58,(CJ49:CJ58&gt;CI49:CI58)*1)+SUMPRODUCT($B$61:$B$68,(CJ61:CJ68&gt;CI61:CI68)*1)+SUMPRODUCT($B$71:$B$74,(CJ71:CJ74&gt;CI71:CI74)*1)+SUMPRODUCT($B$77:$B$78,(CJ77:CJ78&gt;CI77:CI78)*1))*$B$21</f>
        <v/>
      </c>
      <c r="CK82" s="761">
        <f>(SUMPRODUCT($B$49:$B$58,(CK49:CK58&gt;CJ49:CJ58)*1)+SUMPRODUCT($B$61:$B$68,(CK61:CK68&gt;CJ61:CJ68)*1)+SUMPRODUCT($B$71:$B$74,(CK71:CK74&gt;CJ71:CJ74)*1)+SUMPRODUCT($B$77:$B$78,(CK77:CK78&gt;CJ77:CJ78)*1))*$B$21</f>
        <v/>
      </c>
      <c r="CL82" s="761">
        <f>(SUMPRODUCT($B$49:$B$58,(CL49:CL58&gt;CK49:CK58)*1)+SUMPRODUCT($B$61:$B$68,(CL61:CL68&gt;CK61:CK68)*1)+SUMPRODUCT($B$71:$B$74,(CL71:CL74&gt;CK71:CK74)*1)+SUMPRODUCT($B$77:$B$78,(CL77:CL78&gt;CK77:CK78)*1))*$B$21</f>
        <v/>
      </c>
      <c r="CM82" s="761">
        <f>(SUMPRODUCT($B$49:$B$58,(CM49:CM58&gt;CL49:CL58)*1)+SUMPRODUCT($B$61:$B$68,(CM61:CM68&gt;CL61:CL68)*1)+SUMPRODUCT($B$71:$B$74,(CM71:CM74&gt;CL71:CL74)*1)+SUMPRODUCT($B$77:$B$78,(CM77:CM78&gt;CL77:CL78)*1))*$B$21</f>
        <v/>
      </c>
      <c r="CN82" s="761">
        <f>(SUMPRODUCT($B$49:$B$58,(CN49:CN58&gt;CM49:CM58)*1)+SUMPRODUCT($B$61:$B$68,(CN61:CN68&gt;CM61:CM68)*1)+SUMPRODUCT($B$71:$B$74,(CN71:CN74&gt;CM71:CM74)*1)+SUMPRODUCT($B$77:$B$78,(CN77:CN78&gt;CM77:CM78)*1))*$B$21</f>
        <v/>
      </c>
      <c r="CO82" s="761">
        <f>(SUMPRODUCT($B$49:$B$58,(CO49:CO58&gt;CN49:CN58)*1)+SUMPRODUCT($B$61:$B$68,(CO61:CO68&gt;CN61:CN68)*1)+SUMPRODUCT($B$71:$B$74,(CO71:CO74&gt;CN71:CN74)*1)+SUMPRODUCT($B$77:$B$78,(CO77:CO78&gt;CN77:CN78)*1))*$B$21</f>
        <v/>
      </c>
      <c r="CP82" s="761">
        <f>(SUMPRODUCT($B$49:$B$58,(CP49:CP58&gt;CO49:CO58)*1)+SUMPRODUCT($B$61:$B$68,(CP61:CP68&gt;CO61:CO68)*1)+SUMPRODUCT($B$71:$B$74,(CP71:CP74&gt;CO71:CO74)*1)+SUMPRODUCT($B$77:$B$78,(CP77:CP78&gt;CO77:CO78)*1))*$B$21</f>
        <v/>
      </c>
      <c r="CQ82" s="761">
        <f>(SUMPRODUCT($B$49:$B$58,(CQ49:CQ58&gt;CP49:CP58)*1)+SUMPRODUCT($B$61:$B$68,(CQ61:CQ68&gt;CP61:CP68)*1)+SUMPRODUCT($B$71:$B$74,(CQ71:CQ74&gt;CP71:CP74)*1)+SUMPRODUCT($B$77:$B$78,(CQ77:CQ78&gt;CP77:CP78)*1))*$B$21</f>
        <v/>
      </c>
      <c r="CR82" s="761">
        <f>(SUMPRODUCT($B$49:$B$58,(CR49:CR58&gt;CQ49:CQ58)*1)+SUMPRODUCT($B$61:$B$68,(CR61:CR68&gt;CQ61:CQ68)*1)+SUMPRODUCT($B$71:$B$74,(CR71:CR74&gt;CQ71:CQ74)*1)+SUMPRODUCT($B$77:$B$78,(CR77:CR78&gt;CQ77:CQ78)*1))*$B$21</f>
        <v/>
      </c>
      <c r="CS82" s="761">
        <f>(SUMPRODUCT($B$49:$B$58,(CS49:CS58&gt;CR49:CR58)*1)+SUMPRODUCT($B$61:$B$68,(CS61:CS68&gt;CR61:CR68)*1)+SUMPRODUCT($B$71:$B$74,(CS71:CS74&gt;CR71:CR74)*1)+SUMPRODUCT($B$77:$B$78,(CS77:CS78&gt;CR77:CR78)*1))*$B$21</f>
        <v/>
      </c>
      <c r="CT82" s="761">
        <f>(SUMPRODUCT($B$49:$B$58,(CT49:CT58&gt;CS49:CS58)*1)+SUMPRODUCT($B$61:$B$68,(CT61:CT68&gt;CS61:CS68)*1)+SUMPRODUCT($B$71:$B$74,(CT71:CT74&gt;CS71:CS74)*1)+SUMPRODUCT($B$77:$B$78,(CT77:CT78&gt;CS77:CS78)*1))*$B$21</f>
        <v/>
      </c>
      <c r="CU82" s="761">
        <f>(SUMPRODUCT($B$49:$B$58,(CU49:CU58&gt;CT49:CT58)*1)+SUMPRODUCT($B$61:$B$68,(CU61:CU68&gt;CT61:CT68)*1)+SUMPRODUCT($B$71:$B$74,(CU71:CU74&gt;CT71:CT74)*1)+SUMPRODUCT($B$77:$B$78,(CU77:CU78&gt;CT77:CT78)*1))*$B$21</f>
        <v/>
      </c>
      <c r="CV82" s="761">
        <f>(SUMPRODUCT($B$49:$B$58,(CV49:CV58&gt;CU49:CU58)*1)+SUMPRODUCT($B$61:$B$68,(CV61:CV68&gt;CU61:CU68)*1)+SUMPRODUCT($B$71:$B$74,(CV71:CV74&gt;CU71:CU74)*1)+SUMPRODUCT($B$77:$B$78,(CV77:CV78&gt;CU77:CU78)*1))*$B$21</f>
        <v/>
      </c>
      <c r="CW82" s="761">
        <f>(SUMPRODUCT($B$49:$B$58,(CW49:CW58&gt;CV49:CV58)*1)+SUMPRODUCT($B$61:$B$68,(CW61:CW68&gt;CV61:CV68)*1)+SUMPRODUCT($B$71:$B$74,(CW71:CW74&gt;CV71:CV74)*1)+SUMPRODUCT($B$77:$B$78,(CW77:CW78&gt;CV77:CV78)*1))*$B$21</f>
        <v/>
      </c>
      <c r="CX82" s="761">
        <f>(SUMPRODUCT($B$49:$B$58,(CX49:CX58&gt;CW49:CW58)*1)+SUMPRODUCT($B$61:$B$68,(CX61:CX68&gt;CW61:CW68)*1)+SUMPRODUCT($B$71:$B$74,(CX71:CX74&gt;CW71:CW74)*1)+SUMPRODUCT($B$77:$B$78,(CX77:CX78&gt;CW77:CW78)*1))*$B$21</f>
        <v/>
      </c>
      <c r="CY82" s="761">
        <f>(SUMPRODUCT($B$49:$B$58,(CY49:CY58&gt;CX49:CX58)*1)+SUMPRODUCT($B$61:$B$68,(CY61:CY68&gt;CX61:CX68)*1)+SUMPRODUCT($B$71:$B$74,(CY71:CY74&gt;CX71:CX74)*1)+SUMPRODUCT($B$77:$B$78,(CY77:CY78&gt;CX77:CX78)*1))*$B$21</f>
        <v/>
      </c>
      <c r="CZ82" s="761">
        <f>(SUMPRODUCT($B$49:$B$58,(CZ49:CZ58&gt;CY49:CY58)*1)+SUMPRODUCT($B$61:$B$68,(CZ61:CZ68&gt;CY61:CY68)*1)+SUMPRODUCT($B$71:$B$74,(CZ71:CZ74&gt;CY71:CY74)*1)+SUMPRODUCT($B$77:$B$78,(CZ77:CZ78&gt;CY77:CY78)*1))*$B$21</f>
        <v/>
      </c>
      <c r="DA82" s="761">
        <f>(SUMPRODUCT($B$49:$B$58,(DA49:DA58&gt;CZ49:CZ58)*1)+SUMPRODUCT($B$61:$B$68,(DA61:DA68&gt;CZ61:CZ68)*1)+SUMPRODUCT($B$71:$B$74,(DA71:DA74&gt;CZ71:CZ74)*1)+SUMPRODUCT($B$77:$B$78,(DA77:DA78&gt;CZ77:CZ78)*1))*$B$21</f>
        <v/>
      </c>
      <c r="DB82" s="761">
        <f>(SUMPRODUCT($B$49:$B$58,(DB49:DB58&gt;DA49:DA58)*1)+SUMPRODUCT($B$61:$B$68,(DB61:DB68&gt;DA61:DA68)*1)+SUMPRODUCT($B$71:$B$74,(DB71:DB74&gt;DA71:DA74)*1)+SUMPRODUCT($B$77:$B$78,(DB77:DB78&gt;DA77:DA78)*1))*$B$21</f>
        <v/>
      </c>
      <c r="DC82" s="761">
        <f>(SUMPRODUCT($B$49:$B$58,(DC49:DC58&gt;DB49:DB58)*1)+SUMPRODUCT($B$61:$B$68,(DC61:DC68&gt;DB61:DB68)*1)+SUMPRODUCT($B$71:$B$74,(DC71:DC74&gt;DB71:DB74)*1)+SUMPRODUCT($B$77:$B$78,(DC77:DC78&gt;DB77:DB78)*1))*$B$21</f>
        <v/>
      </c>
      <c r="DD82" s="761">
        <f>(SUMPRODUCT($B$49:$B$58,(DD49:DD58&gt;DC49:DC58)*1)+SUMPRODUCT($B$61:$B$68,(DD61:DD68&gt;DC61:DC68)*1)+SUMPRODUCT($B$71:$B$74,(DD71:DD74&gt;DC71:DC74)*1)+SUMPRODUCT($B$77:$B$78,(DD77:DD78&gt;DC77:DC78)*1))*$B$21</f>
        <v/>
      </c>
      <c r="DE82" s="761">
        <f>(SUMPRODUCT($B$49:$B$58,(DE49:DE58&gt;DD49:DD58)*1)+SUMPRODUCT($B$61:$B$68,(DE61:DE68&gt;DD61:DD68)*1)+SUMPRODUCT($B$71:$B$74,(DE71:DE74&gt;DD71:DD74)*1)+SUMPRODUCT($B$77:$B$78,(DE77:DE78&gt;DD77:DD78)*1))*$B$21</f>
        <v/>
      </c>
    </row>
    <row r="83">
      <c r="A83" s="586" t="inlineStr">
        <is>
          <t>Severance</t>
        </is>
      </c>
      <c r="E83" s="761" t="n">
        <v>0</v>
      </c>
      <c r="F83" s="761">
        <f>(SUMPRODUCT($B$49:$B$58,(E49:E58&gt;F49:F58)*1)+SUMPRODUCT($B$61:$B$68,(E61:E68&gt;F61:F68)*1)+SUMPRODUCT($B$71:$B$74,(E71:E74&gt;F71:F74)*1)+SUMPRODUCT($B$77:$B$78,(E77:E78&gt;F77:F78)*1))*$B$20/52</f>
        <v/>
      </c>
      <c r="G83" s="761">
        <f>(SUMPRODUCT($B$49:$B$58,(F49:F58&gt;G49:G58)*1)+SUMPRODUCT($B$61:$B$68,(F61:F68&gt;G61:G68)*1)+SUMPRODUCT($B$71:$B$74,(F71:F74&gt;G71:G74)*1)+SUMPRODUCT($B$77:$B$78,(F77:F78&gt;G77:G78)*1))*$B$20/52</f>
        <v/>
      </c>
      <c r="H83" s="761">
        <f>(SUMPRODUCT($B$49:$B$58,(G49:G58&gt;H49:H58)*1)+SUMPRODUCT($B$61:$B$68,(G61:G68&gt;H61:H68)*1)+SUMPRODUCT($B$71:$B$74,(G71:G74&gt;H71:H74)*1)+SUMPRODUCT($B$77:$B$78,(G77:G78&gt;H77:H78)*1))*$B$20/52</f>
        <v/>
      </c>
      <c r="I83" s="761">
        <f>(SUMPRODUCT($B$49:$B$58,(H49:H58&gt;I49:I58)*1)+SUMPRODUCT($B$61:$B$68,(H61:H68&gt;I61:I68)*1)+SUMPRODUCT($B$71:$B$74,(H71:H74&gt;I71:I74)*1)+SUMPRODUCT($B$77:$B$78,(H77:H78&gt;I77:I78)*1))*$B$20/52</f>
        <v/>
      </c>
      <c r="J83" s="761">
        <f>(SUMPRODUCT($B$49:$B$58,(I49:I58&gt;J49:J58)*1)+SUMPRODUCT($B$61:$B$68,(I61:I68&gt;J61:J68)*1)+SUMPRODUCT($B$71:$B$74,(I71:I74&gt;J71:J74)*1)+SUMPRODUCT($B$77:$B$78,(I77:I78&gt;J77:J78)*1))*$B$20/52</f>
        <v/>
      </c>
      <c r="K83" s="761">
        <f>(SUMPRODUCT($B$49:$B$58,(J49:J58&gt;K49:K58)*1)+SUMPRODUCT($B$61:$B$68,(J61:J68&gt;K61:K68)*1)+SUMPRODUCT($B$71:$B$74,(J71:J74&gt;K71:K74)*1)+SUMPRODUCT($B$77:$B$78,(J77:J78&gt;K77:K78)*1))*$B$20/52</f>
        <v/>
      </c>
      <c r="L83" s="761">
        <f>(SUMPRODUCT($B$49:$B$58,(K49:K58&gt;L49:L58)*1)+SUMPRODUCT($B$61:$B$68,(K61:K68&gt;L61:L68)*1)+SUMPRODUCT($B$71:$B$74,(K71:K74&gt;L71:L74)*1)+SUMPRODUCT($B$77:$B$78,(K77:K78&gt;L77:L78)*1))*$B$20/52</f>
        <v/>
      </c>
      <c r="M83" s="761">
        <f>(SUMPRODUCT($B$49:$B$58,(L49:L58&gt;M49:M58)*1)+SUMPRODUCT($B$61:$B$68,(L61:L68&gt;M61:M68)*1)+SUMPRODUCT($B$71:$B$74,(L71:L74&gt;M71:M74)*1)+SUMPRODUCT($B$77:$B$78,(L77:L78&gt;M77:M78)*1))*$B$20/52</f>
        <v/>
      </c>
      <c r="N83" s="761">
        <f>(SUMPRODUCT($B$49:$B$58,(M49:M58&gt;N49:N58)*1)+SUMPRODUCT($B$61:$B$68,(M61:M68&gt;N61:N68)*1)+SUMPRODUCT($B$71:$B$74,(M71:M74&gt;N71:N74)*1)+SUMPRODUCT($B$77:$B$78,(M77:M78&gt;N77:N78)*1))*$B$20/52</f>
        <v/>
      </c>
      <c r="O83" s="761">
        <f>(SUMPRODUCT($B$49:$B$58,(N49:N58&gt;O49:O58)*1)+SUMPRODUCT($B$61:$B$68,(N61:N68&gt;O61:O68)*1)+SUMPRODUCT($B$71:$B$74,(N71:N74&gt;O71:O74)*1)+SUMPRODUCT($B$77:$B$78,(N77:N78&gt;O77:O78)*1))*$B$20/52</f>
        <v/>
      </c>
      <c r="P83" s="761">
        <f>(SUMPRODUCT($B$49:$B$58,(O49:O58&gt;P49:P58)*1)+SUMPRODUCT($B$61:$B$68,(O61:O68&gt;P61:P68)*1)+SUMPRODUCT($B$71:$B$74,(O71:O74&gt;P71:P74)*1)+SUMPRODUCT($B$77:$B$78,(O77:O78&gt;P77:P78)*1))*$B$20/52</f>
        <v/>
      </c>
      <c r="Q83" s="761">
        <f>(SUMPRODUCT($B$49:$B$58,(P49:P58&gt;Q49:Q58)*1)+SUMPRODUCT($B$61:$B$68,(P61:P68&gt;Q61:Q68)*1)+SUMPRODUCT($B$71:$B$74,(P71:P74&gt;Q71:Q74)*1)+SUMPRODUCT($B$77:$B$78,(P77:P78&gt;Q77:Q78)*1))*$B$20/52</f>
        <v/>
      </c>
      <c r="R83" s="761">
        <f>(SUMPRODUCT($B$49:$B$58,(Q49:Q58&gt;R49:R58)*1)+SUMPRODUCT($B$61:$B$68,(Q61:Q68&gt;R61:R68)*1)+SUMPRODUCT($B$71:$B$74,(Q71:Q74&gt;R71:R74)*1)+SUMPRODUCT($B$77:$B$78,(Q77:Q78&gt;R77:R78)*1))*$B$20/52</f>
        <v/>
      </c>
      <c r="S83" s="761">
        <f>(SUMPRODUCT($B$49:$B$58,(R49:R58&gt;S49:S58)*1)+SUMPRODUCT($B$61:$B$68,(R61:R68&gt;S61:S68)*1)+SUMPRODUCT($B$71:$B$74,(R71:R74&gt;S71:S74)*1)+SUMPRODUCT($B$77:$B$78,(R77:R78&gt;S77:S78)*1))*$B$20/52</f>
        <v/>
      </c>
      <c r="T83" s="761">
        <f>(SUMPRODUCT($B$49:$B$58,(S49:S58&gt;T49:T58)*1)+SUMPRODUCT($B$61:$B$68,(S61:S68&gt;T61:T68)*1)+SUMPRODUCT($B$71:$B$74,(S71:S74&gt;T71:T74)*1)+SUMPRODUCT($B$77:$B$78,(S77:S78&gt;T77:T78)*1))*$B$20/52</f>
        <v/>
      </c>
      <c r="U83" s="761">
        <f>(SUMPRODUCT($B$49:$B$58,(T49:T58&gt;U49:U58)*1)+SUMPRODUCT($B$61:$B$68,(T61:T68&gt;U61:U68)*1)+SUMPRODUCT($B$71:$B$74,(T71:T74&gt;U71:U74)*1)+SUMPRODUCT($B$77:$B$78,(T77:T78&gt;U77:U78)*1))*$B$20/52</f>
        <v/>
      </c>
      <c r="V83" s="761">
        <f>(SUMPRODUCT($B$49:$B$58,(U49:U58&gt;V49:V58)*1)+SUMPRODUCT($B$61:$B$68,(U61:U68&gt;V61:V68)*1)+SUMPRODUCT($B$71:$B$74,(U71:U74&gt;V71:V74)*1)+SUMPRODUCT($B$77:$B$78,(U77:U78&gt;V77:V78)*1))*$B$20/52</f>
        <v/>
      </c>
      <c r="W83" s="761">
        <f>(SUMPRODUCT($B$49:$B$58,(V49:V58&gt;W49:W58)*1)+SUMPRODUCT($B$61:$B$68,(V61:V68&gt;W61:W68)*1)+SUMPRODUCT($B$71:$B$74,(V71:V74&gt;W71:W74)*1)+SUMPRODUCT($B$77:$B$78,(V77:V78&gt;W77:W78)*1))*$B$20/52</f>
        <v/>
      </c>
      <c r="X83" s="761">
        <f>(SUMPRODUCT($B$49:$B$58,(W49:W58&gt;X49:X58)*1)+SUMPRODUCT($B$61:$B$68,(W61:W68&gt;X61:X68)*1)+SUMPRODUCT($B$71:$B$74,(W71:W74&gt;X71:X74)*1)+SUMPRODUCT($B$77:$B$78,(W77:W78&gt;X77:X78)*1))*$B$20/52</f>
        <v/>
      </c>
      <c r="Y83" s="761">
        <f>(SUMPRODUCT($B$49:$B$58,(X49:X58&gt;Y49:Y58)*1)+SUMPRODUCT($B$61:$B$68,(X61:X68&gt;Y61:Y68)*1)+SUMPRODUCT($B$71:$B$74,(X71:X74&gt;Y71:Y74)*1)+SUMPRODUCT($B$77:$B$78,(X77:X78&gt;Y77:Y78)*1))*$B$20/52</f>
        <v/>
      </c>
      <c r="Z83" s="761">
        <f>(SUMPRODUCT($B$49:$B$58,(Y49:Y58&gt;Z49:Z58)*1)+SUMPRODUCT($B$61:$B$68,(Y61:Y68&gt;Z61:Z68)*1)+SUMPRODUCT($B$71:$B$74,(Y71:Y74&gt;Z71:Z74)*1)+SUMPRODUCT($B$77:$B$78,(Y77:Y78&gt;Z77:Z78)*1))*$B$20/52</f>
        <v/>
      </c>
      <c r="AA83" s="761">
        <f>(SUMPRODUCT($B$49:$B$58,(Z49:Z58&gt;AA49:AA58)*1)+SUMPRODUCT($B$61:$B$68,(Z61:Z68&gt;AA61:AA68)*1)+SUMPRODUCT($B$71:$B$74,(Z71:Z74&gt;AA71:AA74)*1)+SUMPRODUCT($B$77:$B$78,(Z77:Z78&gt;AA77:AA78)*1))*$B$20/52</f>
        <v/>
      </c>
      <c r="AB83" s="761">
        <f>(SUMPRODUCT($B$49:$B$58,(AA49:AA58&gt;AB49:AB58)*1)+SUMPRODUCT($B$61:$B$68,(AA61:AA68&gt;AB61:AB68)*1)+SUMPRODUCT($B$71:$B$74,(AA71:AA74&gt;AB71:AB74)*1)+SUMPRODUCT($B$77:$B$78,(AA77:AA78&gt;AB77:AB78)*1))*$B$20/52</f>
        <v/>
      </c>
      <c r="AC83" s="761">
        <f>(SUMPRODUCT($B$49:$B$58,(AB49:AB58&gt;AC49:AC58)*1)+SUMPRODUCT($B$61:$B$68,(AB61:AB68&gt;AC61:AC68)*1)+SUMPRODUCT($B$71:$B$74,(AB71:AB74&gt;AC71:AC74)*1)+SUMPRODUCT($B$77:$B$78,(AB77:AB78&gt;AC77:AC78)*1))*$B$20/52</f>
        <v/>
      </c>
      <c r="AD83" s="761">
        <f>(SUMPRODUCT($B$49:$B$58,(AC49:AC58&gt;AD49:AD58)*1)+SUMPRODUCT($B$61:$B$68,(AC61:AC68&gt;AD61:AD68)*1)+SUMPRODUCT($B$71:$B$74,(AC71:AC74&gt;AD71:AD74)*1)+SUMPRODUCT($B$77:$B$78,(AC77:AC78&gt;AD77:AD78)*1))*$B$20/52</f>
        <v/>
      </c>
      <c r="AE83" s="761">
        <f>(SUMPRODUCT($B$49:$B$58,(AD49:AD58&gt;AE49:AE58)*1)+SUMPRODUCT($B$61:$B$68,(AD61:AD68&gt;AE61:AE68)*1)+SUMPRODUCT($B$71:$B$74,(AD71:AD74&gt;AE71:AE74)*1)+SUMPRODUCT($B$77:$B$78,(AD77:AD78&gt;AE77:AE78)*1))*$B$20/52</f>
        <v/>
      </c>
      <c r="AF83" s="761">
        <f>(SUMPRODUCT($B$49:$B$58,(AE49:AE58&gt;AF49:AF58)*1)+SUMPRODUCT($B$61:$B$68,(AE61:AE68&gt;AF61:AF68)*1)+SUMPRODUCT($B$71:$B$74,(AE71:AE74&gt;AF71:AF74)*1)+SUMPRODUCT($B$77:$B$78,(AE77:AE78&gt;AF77:AF78)*1))*$B$20/52</f>
        <v/>
      </c>
      <c r="AG83" s="761">
        <f>(SUMPRODUCT($B$49:$B$58,(AF49:AF58&gt;AG49:AG58)*1)+SUMPRODUCT($B$61:$B$68,(AF61:AF68&gt;AG61:AG68)*1)+SUMPRODUCT($B$71:$B$74,(AF71:AF74&gt;AG71:AG74)*1)+SUMPRODUCT($B$77:$B$78,(AF77:AF78&gt;AG77:AG78)*1))*$B$20/52</f>
        <v/>
      </c>
      <c r="AH83" s="761">
        <f>(SUMPRODUCT($B$49:$B$58,(AG49:AG58&gt;AH49:AH58)*1)+SUMPRODUCT($B$61:$B$68,(AG61:AG68&gt;AH61:AH68)*1)+SUMPRODUCT($B$71:$B$74,(AG71:AG74&gt;AH71:AH74)*1)+SUMPRODUCT($B$77:$B$78,(AG77:AG78&gt;AH77:AH78)*1))*$B$20/52</f>
        <v/>
      </c>
      <c r="AI83" s="761">
        <f>(SUMPRODUCT($B$49:$B$58,(AH49:AH58&gt;AI49:AI58)*1)+SUMPRODUCT($B$61:$B$68,(AH61:AH68&gt;AI61:AI68)*1)+SUMPRODUCT($B$71:$B$74,(AH71:AH74&gt;AI71:AI74)*1)+SUMPRODUCT($B$77:$B$78,(AH77:AH78&gt;AI77:AI78)*1))*$B$20/52</f>
        <v/>
      </c>
      <c r="AJ83" s="761">
        <f>(SUMPRODUCT($B$49:$B$58,(AI49:AI58&gt;AJ49:AJ58)*1)+SUMPRODUCT($B$61:$B$68,(AI61:AI68&gt;AJ61:AJ68)*1)+SUMPRODUCT($B$71:$B$74,(AI71:AI74&gt;AJ71:AJ74)*1)+SUMPRODUCT($B$77:$B$78,(AI77:AI78&gt;AJ77:AJ78)*1))*$B$20/52</f>
        <v/>
      </c>
      <c r="AK83" s="761">
        <f>(SUMPRODUCT($B$49:$B$58,(AJ49:AJ58&gt;AK49:AK58)*1)+SUMPRODUCT($B$61:$B$68,(AJ61:AJ68&gt;AK61:AK68)*1)+SUMPRODUCT($B$71:$B$74,(AJ71:AJ74&gt;AK71:AK74)*1)+SUMPRODUCT($B$77:$B$78,(AJ77:AJ78&gt;AK77:AK78)*1))*$B$20/52</f>
        <v/>
      </c>
      <c r="AL83" s="761">
        <f>(SUMPRODUCT($B$49:$B$58,(AK49:AK58&gt;AL49:AL58)*1)+SUMPRODUCT($B$61:$B$68,(AK61:AK68&gt;AL61:AL68)*1)+SUMPRODUCT($B$71:$B$74,(AK71:AK74&gt;AL71:AL74)*1)+SUMPRODUCT($B$77:$B$78,(AK77:AK78&gt;AL77:AL78)*1))*$B$20/52</f>
        <v/>
      </c>
      <c r="AM83" s="761">
        <f>(SUMPRODUCT($B$49:$B$58,(AL49:AL58&gt;AM49:AM58)*1)+SUMPRODUCT($B$61:$B$68,(AL61:AL68&gt;AM61:AM68)*1)+SUMPRODUCT($B$71:$B$74,(AL71:AL74&gt;AM71:AM74)*1)+SUMPRODUCT($B$77:$B$78,(AL77:AL78&gt;AM77:AM78)*1))*$B$20/52</f>
        <v/>
      </c>
      <c r="AN83" s="761">
        <f>(SUMPRODUCT($B$49:$B$58,(AM49:AM58&gt;AN49:AN58)*1)+SUMPRODUCT($B$61:$B$68,(AM61:AM68&gt;AN61:AN68)*1)+SUMPRODUCT($B$71:$B$74,(AM71:AM74&gt;AN71:AN74)*1)+SUMPRODUCT($B$77:$B$78,(AM77:AM78&gt;AN77:AN78)*1))*$B$20/52</f>
        <v/>
      </c>
      <c r="AO83" s="761">
        <f>(SUMPRODUCT($B$49:$B$58,(AN49:AN58&gt;AO49:AO58)*1)+SUMPRODUCT($B$61:$B$68,(AN61:AN68&gt;AO61:AO68)*1)+SUMPRODUCT($B$71:$B$74,(AN71:AN74&gt;AO71:AO74)*1)+SUMPRODUCT($B$77:$B$78,(AN77:AN78&gt;AO77:AO78)*1))*$B$20/52</f>
        <v/>
      </c>
      <c r="AP83" s="761">
        <f>(SUMPRODUCT($B$49:$B$58,(AO49:AO58&gt;AP49:AP58)*1)+SUMPRODUCT($B$61:$B$68,(AO61:AO68&gt;AP61:AP68)*1)+SUMPRODUCT($B$71:$B$74,(AO71:AO74&gt;AP71:AP74)*1)+SUMPRODUCT($B$77:$B$78,(AO77:AO78&gt;AP77:AP78)*1))*$B$20/52</f>
        <v/>
      </c>
      <c r="AQ83" s="761">
        <f>(SUMPRODUCT($B$49:$B$58,(AP49:AP58&gt;AQ49:AQ58)*1)+SUMPRODUCT($B$61:$B$68,(AP61:AP68&gt;AQ61:AQ68)*1)+SUMPRODUCT($B$71:$B$74,(AP71:AP74&gt;AQ71:AQ74)*1)+SUMPRODUCT($B$77:$B$78,(AP77:AP78&gt;AQ77:AQ78)*1))*$B$20/52</f>
        <v/>
      </c>
      <c r="AR83" s="761">
        <f>(SUMPRODUCT($B$49:$B$58,(AQ49:AQ58&gt;AR49:AR58)*1)+SUMPRODUCT($B$61:$B$68,(AQ61:AQ68&gt;AR61:AR68)*1)+SUMPRODUCT($B$71:$B$74,(AQ71:AQ74&gt;AR71:AR74)*1)+SUMPRODUCT($B$77:$B$78,(AQ77:AQ78&gt;AR77:AR78)*1))*$B$20/52</f>
        <v/>
      </c>
      <c r="AS83" s="761">
        <f>(SUMPRODUCT($B$49:$B$58,(AR49:AR58&gt;AS49:AS58)*1)+SUMPRODUCT($B$61:$B$68,(AR61:AR68&gt;AS61:AS68)*1)+SUMPRODUCT($B$71:$B$74,(AR71:AR74&gt;AS71:AS74)*1)+SUMPRODUCT($B$77:$B$78,(AR77:AR78&gt;AS77:AS78)*1))*$B$20/52</f>
        <v/>
      </c>
      <c r="AT83" s="761">
        <f>(SUMPRODUCT($B$49:$B$58,(AS49:AS58&gt;AT49:AT58)*1)+SUMPRODUCT($B$61:$B$68,(AS61:AS68&gt;AT61:AT68)*1)+SUMPRODUCT($B$71:$B$74,(AS71:AS74&gt;AT71:AT74)*1)+SUMPRODUCT($B$77:$B$78,(AS77:AS78&gt;AT77:AT78)*1))*$B$20/52</f>
        <v/>
      </c>
      <c r="AU83" s="761">
        <f>(SUMPRODUCT($B$49:$B$58,(AT49:AT58&gt;AU49:AU58)*1)+SUMPRODUCT($B$61:$B$68,(AT61:AT68&gt;AU61:AU68)*1)+SUMPRODUCT($B$71:$B$74,(AT71:AT74&gt;AU71:AU74)*1)+SUMPRODUCT($B$77:$B$78,(AT77:AT78&gt;AU77:AU78)*1))*$B$20/52</f>
        <v/>
      </c>
      <c r="AV83" s="761">
        <f>(SUMPRODUCT($B$49:$B$58,(AU49:AU58&gt;AV49:AV58)*1)+SUMPRODUCT($B$61:$B$68,(AU61:AU68&gt;AV61:AV68)*1)+SUMPRODUCT($B$71:$B$74,(AU71:AU74&gt;AV71:AV74)*1)+SUMPRODUCT($B$77:$B$78,(AU77:AU78&gt;AV77:AV78)*1))*$B$20/52</f>
        <v/>
      </c>
      <c r="AW83" s="761">
        <f>(SUMPRODUCT($B$49:$B$58,(AV49:AV58&gt;AW49:AW58)*1)+SUMPRODUCT($B$61:$B$68,(AV61:AV68&gt;AW61:AW68)*1)+SUMPRODUCT($B$71:$B$74,(AV71:AV74&gt;AW71:AW74)*1)+SUMPRODUCT($B$77:$B$78,(AV77:AV78&gt;AW77:AW78)*1))*$B$20/52</f>
        <v/>
      </c>
      <c r="AX83" s="761">
        <f>(SUMPRODUCT($B$49:$B$58,(AW49:AW58&gt;AX49:AX58)*1)+SUMPRODUCT($B$61:$B$68,(AW61:AW68&gt;AX61:AX68)*1)+SUMPRODUCT($B$71:$B$74,(AW71:AW74&gt;AX71:AX74)*1)+SUMPRODUCT($B$77:$B$78,(AW77:AW78&gt;AX77:AX78)*1))*$B$20/52</f>
        <v/>
      </c>
      <c r="AY83" s="761">
        <f>(SUMPRODUCT($B$49:$B$58,(AX49:AX58&gt;AY49:AY58)*1)+SUMPRODUCT($B$61:$B$68,(AX61:AX68&gt;AY61:AY68)*1)+SUMPRODUCT($B$71:$B$74,(AX71:AX74&gt;AY71:AY74)*1)+SUMPRODUCT($B$77:$B$78,(AX77:AX78&gt;AY77:AY78)*1))*$B$20/52</f>
        <v/>
      </c>
      <c r="AZ83" s="761">
        <f>(SUMPRODUCT($B$49:$B$58,(AY49:AY58&gt;AZ49:AZ58)*1)+SUMPRODUCT($B$61:$B$68,(AY61:AY68&gt;AZ61:AZ68)*1)+SUMPRODUCT($B$71:$B$74,(AY71:AY74&gt;AZ71:AZ74)*1)+SUMPRODUCT($B$77:$B$78,(AY77:AY78&gt;AZ77:AZ78)*1))*$B$20/52</f>
        <v/>
      </c>
      <c r="BA83" s="761">
        <f>(SUMPRODUCT($B$49:$B$58,(AZ49:AZ58&gt;BA49:BA58)*1)+SUMPRODUCT($B$61:$B$68,(AZ61:AZ68&gt;BA61:BA68)*1)+SUMPRODUCT($B$71:$B$74,(AZ71:AZ74&gt;BA71:BA74)*1)+SUMPRODUCT($B$77:$B$78,(AZ77:AZ78&gt;BA77:BA78)*1))*$B$20/52</f>
        <v/>
      </c>
      <c r="BB83" s="761">
        <f>(SUMPRODUCT($B$49:$B$58,(BA49:BA58&gt;BB49:BB58)*1)+SUMPRODUCT($B$61:$B$68,(BA61:BA68&gt;BB61:BB68)*1)+SUMPRODUCT($B$71:$B$74,(BA71:BA74&gt;BB71:BB74)*1)+SUMPRODUCT($B$77:$B$78,(BA77:BA78&gt;BB77:BB78)*1))*$B$20/52</f>
        <v/>
      </c>
      <c r="BC83" s="761">
        <f>(SUMPRODUCT($B$49:$B$58,(BB49:BB58&gt;BC49:BC58)*1)+SUMPRODUCT($B$61:$B$68,(BB61:BB68&gt;BC61:BC68)*1)+SUMPRODUCT($B$71:$B$74,(BB71:BB74&gt;BC71:BC74)*1)+SUMPRODUCT($B$77:$B$78,(BB77:BB78&gt;BC77:BC78)*1))*$B$20/52</f>
        <v/>
      </c>
      <c r="BD83" s="761">
        <f>(SUMPRODUCT($B$49:$B$58,(BC49:BC58&gt;BD49:BD58)*1)+SUMPRODUCT($B$61:$B$68,(BC61:BC68&gt;BD61:BD68)*1)+SUMPRODUCT($B$71:$B$74,(BC71:BC74&gt;BD71:BD74)*1)+SUMPRODUCT($B$77:$B$78,(BC77:BC78&gt;BD77:BD78)*1))*$B$20/52</f>
        <v/>
      </c>
      <c r="BE83" s="761">
        <f>(SUMPRODUCT($B$49:$B$58,(BD49:BD58&gt;BE49:BE58)*1)+SUMPRODUCT($B$61:$B$68,(BD61:BD68&gt;BE61:BE68)*1)+SUMPRODUCT($B$71:$B$74,(BD71:BD74&gt;BE71:BE74)*1)+SUMPRODUCT($B$77:$B$78,(BD77:BD78&gt;BE77:BE78)*1))*$B$20/52</f>
        <v/>
      </c>
      <c r="BF83" s="761">
        <f>(SUMPRODUCT($B$49:$B$58,(BE49:BE58&gt;BF49:BF58)*1)+SUMPRODUCT($B$61:$B$68,(BE61:BE68&gt;BF61:BF68)*1)+SUMPRODUCT($B$71:$B$74,(BE71:BE74&gt;BF71:BF74)*1)+SUMPRODUCT($B$77:$B$78,(BE77:BE78&gt;BF77:BF78)*1))*$B$20/52</f>
        <v/>
      </c>
      <c r="BG83" s="761">
        <f>(SUMPRODUCT($B$49:$B$58,(BF49:BF58&gt;BG49:BG58)*1)+SUMPRODUCT($B$61:$B$68,(BF61:BF68&gt;BG61:BG68)*1)+SUMPRODUCT($B$71:$B$74,(BF71:BF74&gt;BG71:BG74)*1)+SUMPRODUCT($B$77:$B$78,(BF77:BF78&gt;BG77:BG78)*1))*$B$20/52</f>
        <v/>
      </c>
      <c r="BH83" s="761">
        <f>(SUMPRODUCT($B$49:$B$58,(BG49:BG58&gt;BH49:BH58)*1)+SUMPRODUCT($B$61:$B$68,(BG61:BG68&gt;BH61:BH68)*1)+SUMPRODUCT($B$71:$B$74,(BG71:BG74&gt;BH71:BH74)*1)+SUMPRODUCT($B$77:$B$78,(BG77:BG78&gt;BH77:BH78)*1))*$B$20/52</f>
        <v/>
      </c>
      <c r="BI83" s="761">
        <f>(SUMPRODUCT($B$49:$B$58,(BH49:BH58&gt;BI49:BI58)*1)+SUMPRODUCT($B$61:$B$68,(BH61:BH68&gt;BI61:BI68)*1)+SUMPRODUCT($B$71:$B$74,(BH71:BH74&gt;BI71:BI74)*1)+SUMPRODUCT($B$77:$B$78,(BH77:BH78&gt;BI77:BI78)*1))*$B$20/52</f>
        <v/>
      </c>
      <c r="BJ83" s="761">
        <f>(SUMPRODUCT($B$49:$B$58,(BI49:BI58&gt;BJ49:BJ58)*1)+SUMPRODUCT($B$61:$B$68,(BI61:BI68&gt;BJ61:BJ68)*1)+SUMPRODUCT($B$71:$B$74,(BI71:BI74&gt;BJ71:BJ74)*1)+SUMPRODUCT($B$77:$B$78,(BI77:BI78&gt;BJ77:BJ78)*1))*$B$20/52</f>
        <v/>
      </c>
      <c r="BK83" s="761">
        <f>(SUMPRODUCT($B$49:$B$58,(BJ49:BJ58&gt;BK49:BK58)*1)+SUMPRODUCT($B$61:$B$68,(BJ61:BJ68&gt;BK61:BK68)*1)+SUMPRODUCT($B$71:$B$74,(BJ71:BJ74&gt;BK71:BK74)*1)+SUMPRODUCT($B$77:$B$78,(BJ77:BJ78&gt;BK77:BK78)*1))*$B$20/52</f>
        <v/>
      </c>
      <c r="BL83" s="761">
        <f>(SUMPRODUCT($B$49:$B$58,(BK49:BK58&gt;BL49:BL58)*1)+SUMPRODUCT($B$61:$B$68,(BK61:BK68&gt;BL61:BL68)*1)+SUMPRODUCT($B$71:$B$74,(BK71:BK74&gt;BL71:BL74)*1)+SUMPRODUCT($B$77:$B$78,(BK77:BK78&gt;BL77:BL78)*1))*$B$20/52</f>
        <v/>
      </c>
      <c r="BM83" s="761">
        <f>(SUMPRODUCT($B$49:$B$58,(BL49:BL58&gt;BM49:BM58)*1)+SUMPRODUCT($B$61:$B$68,(BL61:BL68&gt;BM61:BM68)*1)+SUMPRODUCT($B$71:$B$74,(BL71:BL74&gt;BM71:BM74)*1)+SUMPRODUCT($B$77:$B$78,(BL77:BL78&gt;BM77:BM78)*1))*$B$20/52</f>
        <v/>
      </c>
      <c r="BN83" s="761">
        <f>(SUMPRODUCT($B$49:$B$58,(BM49:BM58&gt;BN49:BN58)*1)+SUMPRODUCT($B$61:$B$68,(BM61:BM68&gt;BN61:BN68)*1)+SUMPRODUCT($B$71:$B$74,(BM71:BM74&gt;BN71:BN74)*1)+SUMPRODUCT($B$77:$B$78,(BM77:BM78&gt;BN77:BN78)*1))*$B$20/52</f>
        <v/>
      </c>
      <c r="BO83" s="761">
        <f>(SUMPRODUCT($B$49:$B$58,(BN49:BN58&gt;BO49:BO58)*1)+SUMPRODUCT($B$61:$B$68,(BN61:BN68&gt;BO61:BO68)*1)+SUMPRODUCT($B$71:$B$74,(BN71:BN74&gt;BO71:BO74)*1)+SUMPRODUCT($B$77:$B$78,(BN77:BN78&gt;BO77:BO78)*1))*$B$20/52</f>
        <v/>
      </c>
      <c r="BP83" s="761">
        <f>(SUMPRODUCT($B$49:$B$58,(BO49:BO58&gt;BP49:BP58)*1)+SUMPRODUCT($B$61:$B$68,(BO61:BO68&gt;BP61:BP68)*1)+SUMPRODUCT($B$71:$B$74,(BO71:BO74&gt;BP71:BP74)*1)+SUMPRODUCT($B$77:$B$78,(BO77:BO78&gt;BP77:BP78)*1))*$B$20/52</f>
        <v/>
      </c>
      <c r="BQ83" s="761">
        <f>(SUMPRODUCT($B$49:$B$58,(BP49:BP58&gt;BQ49:BQ58)*1)+SUMPRODUCT($B$61:$B$68,(BP61:BP68&gt;BQ61:BQ68)*1)+SUMPRODUCT($B$71:$B$74,(BP71:BP74&gt;BQ71:BQ74)*1)+SUMPRODUCT($B$77:$B$78,(BP77:BP78&gt;BQ77:BQ78)*1))*$B$20/52</f>
        <v/>
      </c>
      <c r="BR83" s="761">
        <f>(SUMPRODUCT($B$49:$B$58,(BQ49:BQ58&gt;BR49:BR58)*1)+SUMPRODUCT($B$61:$B$68,(BQ61:BQ68&gt;BR61:BR68)*1)+SUMPRODUCT($B$71:$B$74,(BQ71:BQ74&gt;BR71:BR74)*1)+SUMPRODUCT($B$77:$B$78,(BQ77:BQ78&gt;BR77:BR78)*1))*$B$20/52</f>
        <v/>
      </c>
      <c r="BS83" s="761">
        <f>(SUMPRODUCT($B$49:$B$58,(BR49:BR58&gt;BS49:BS58)*1)+SUMPRODUCT($B$61:$B$68,(BR61:BR68&gt;BS61:BS68)*1)+SUMPRODUCT($B$71:$B$74,(BR71:BR74&gt;BS71:BS74)*1)+SUMPRODUCT($B$77:$B$78,(BR77:BR78&gt;BS77:BS78)*1))*$B$20/52</f>
        <v/>
      </c>
      <c r="BT83" s="761">
        <f>(SUMPRODUCT($B$49:$B$58,(BS49:BS58&gt;BT49:BT58)*1)+SUMPRODUCT($B$61:$B$68,(BS61:BS68&gt;BT61:BT68)*1)+SUMPRODUCT($B$71:$B$74,(BS71:BS74&gt;BT71:BT74)*1)+SUMPRODUCT($B$77:$B$78,(BS77:BS78&gt;BT77:BT78)*1))*$B$20/52</f>
        <v/>
      </c>
      <c r="BU83" s="761">
        <f>(SUMPRODUCT($B$49:$B$58,(BT49:BT58&gt;BU49:BU58)*1)+SUMPRODUCT($B$61:$B$68,(BT61:BT68&gt;BU61:BU68)*1)+SUMPRODUCT($B$71:$B$74,(BT71:BT74&gt;BU71:BU74)*1)+SUMPRODUCT($B$77:$B$78,(BT77:BT78&gt;BU77:BU78)*1))*$B$20/52</f>
        <v/>
      </c>
      <c r="BV83" s="761">
        <f>(SUMPRODUCT($B$49:$B$58,(BU49:BU58&gt;BV49:BV58)*1)+SUMPRODUCT($B$61:$B$68,(BU61:BU68&gt;BV61:BV68)*1)+SUMPRODUCT($B$71:$B$74,(BU71:BU74&gt;BV71:BV74)*1)+SUMPRODUCT($B$77:$B$78,(BU77:BU78&gt;BV77:BV78)*1))*$B$20/52</f>
        <v/>
      </c>
      <c r="BW83" s="761">
        <f>(SUMPRODUCT($B$49:$B$58,(BV49:BV58&gt;BW49:BW58)*1)+SUMPRODUCT($B$61:$B$68,(BV61:BV68&gt;BW61:BW68)*1)+SUMPRODUCT($B$71:$B$74,(BV71:BV74&gt;BW71:BW74)*1)+SUMPRODUCT($B$77:$B$78,(BV77:BV78&gt;BW77:BW78)*1))*$B$20/52</f>
        <v/>
      </c>
      <c r="BX83" s="761">
        <f>(SUMPRODUCT($B$49:$B$58,(BW49:BW58&gt;BX49:BX58)*1)+SUMPRODUCT($B$61:$B$68,(BW61:BW68&gt;BX61:BX68)*1)+SUMPRODUCT($B$71:$B$74,(BW71:BW74&gt;BX71:BX74)*1)+SUMPRODUCT($B$77:$B$78,(BW77:BW78&gt;BX77:BX78)*1))*$B$20/52</f>
        <v/>
      </c>
      <c r="BY83" s="761">
        <f>(SUMPRODUCT($B$49:$B$58,(BX49:BX58&gt;BY49:BY58)*1)+SUMPRODUCT($B$61:$B$68,(BX61:BX68&gt;BY61:BY68)*1)+SUMPRODUCT($B$71:$B$74,(BX71:BX74&gt;BY71:BY74)*1)+SUMPRODUCT($B$77:$B$78,(BX77:BX78&gt;BY77:BY78)*1))*$B$20/52</f>
        <v/>
      </c>
      <c r="BZ83" s="761">
        <f>(SUMPRODUCT($B$49:$B$58,(BY49:BY58&gt;BZ49:BZ58)*1)+SUMPRODUCT($B$61:$B$68,(BY61:BY68&gt;BZ61:BZ68)*1)+SUMPRODUCT($B$71:$B$74,(BY71:BY74&gt;BZ71:BZ74)*1)+SUMPRODUCT($B$77:$B$78,(BY77:BY78&gt;BZ77:BZ78)*1))*$B$20/52</f>
        <v/>
      </c>
      <c r="CA83" s="761">
        <f>(SUMPRODUCT($B$49:$B$58,(BZ49:BZ58&gt;CA49:CA58)*1)+SUMPRODUCT($B$61:$B$68,(BZ61:BZ68&gt;CA61:CA68)*1)+SUMPRODUCT($B$71:$B$74,(BZ71:BZ74&gt;CA71:CA74)*1)+SUMPRODUCT($B$77:$B$78,(BZ77:BZ78&gt;CA77:CA78)*1))*$B$20/52</f>
        <v/>
      </c>
      <c r="CB83" s="761">
        <f>(SUMPRODUCT($B$49:$B$58,(CA49:CA58&gt;CB49:CB58)*1)+SUMPRODUCT($B$61:$B$68,(CA61:CA68&gt;CB61:CB68)*1)+SUMPRODUCT($B$71:$B$74,(CA71:CA74&gt;CB71:CB74)*1)+SUMPRODUCT($B$77:$B$78,(CA77:CA78&gt;CB77:CB78)*1))*$B$20/52</f>
        <v/>
      </c>
      <c r="CC83" s="761">
        <f>(SUMPRODUCT($B$49:$B$58,(CB49:CB58&gt;CC49:CC58)*1)+SUMPRODUCT($B$61:$B$68,(CB61:CB68&gt;CC61:CC68)*1)+SUMPRODUCT($B$71:$B$74,(CB71:CB74&gt;CC71:CC74)*1)+SUMPRODUCT($B$77:$B$78,(CB77:CB78&gt;CC77:CC78)*1))*$B$20/52</f>
        <v/>
      </c>
      <c r="CD83" s="761">
        <f>(SUMPRODUCT($B$49:$B$58,(CC49:CC58&gt;CD49:CD58)*1)+SUMPRODUCT($B$61:$B$68,(CC61:CC68&gt;CD61:CD68)*1)+SUMPRODUCT($B$71:$B$74,(CC71:CC74&gt;CD71:CD74)*1)+SUMPRODUCT($B$77:$B$78,(CC77:CC78&gt;CD77:CD78)*1))*$B$20/52</f>
        <v/>
      </c>
      <c r="CE83" s="761">
        <f>(SUMPRODUCT($B$49:$B$58,(CD49:CD58&gt;CE49:CE58)*1)+SUMPRODUCT($B$61:$B$68,(CD61:CD68&gt;CE61:CE68)*1)+SUMPRODUCT($B$71:$B$74,(CD71:CD74&gt;CE71:CE74)*1)+SUMPRODUCT($B$77:$B$78,(CD77:CD78&gt;CE77:CE78)*1))*$B$20/52</f>
        <v/>
      </c>
      <c r="CF83" s="761">
        <f>(SUMPRODUCT($B$49:$B$58,(CE49:CE58&gt;CF49:CF58)*1)+SUMPRODUCT($B$61:$B$68,(CE61:CE68&gt;CF61:CF68)*1)+SUMPRODUCT($B$71:$B$74,(CE71:CE74&gt;CF71:CF74)*1)+SUMPRODUCT($B$77:$B$78,(CE77:CE78&gt;CF77:CF78)*1))*$B$20/52</f>
        <v/>
      </c>
      <c r="CG83" s="761">
        <f>(SUMPRODUCT($B$49:$B$58,(CF49:CF58&gt;CG49:CG58)*1)+SUMPRODUCT($B$61:$B$68,(CF61:CF68&gt;CG61:CG68)*1)+SUMPRODUCT($B$71:$B$74,(CF71:CF74&gt;CG71:CG74)*1)+SUMPRODUCT($B$77:$B$78,(CF77:CF78&gt;CG77:CG78)*1))*$B$20/52</f>
        <v/>
      </c>
      <c r="CH83" s="761">
        <f>(SUMPRODUCT($B$49:$B$58,(CG49:CG58&gt;CH49:CH58)*1)+SUMPRODUCT($B$61:$B$68,(CG61:CG68&gt;CH61:CH68)*1)+SUMPRODUCT($B$71:$B$74,(CG71:CG74&gt;CH71:CH74)*1)+SUMPRODUCT($B$77:$B$78,(CG77:CG78&gt;CH77:CH78)*1))*$B$20/52</f>
        <v/>
      </c>
      <c r="CI83" s="761">
        <f>(SUMPRODUCT($B$49:$B$58,(CH49:CH58&gt;CI49:CI58)*1)+SUMPRODUCT($B$61:$B$68,(CH61:CH68&gt;CI61:CI68)*1)+SUMPRODUCT($B$71:$B$74,(CH71:CH74&gt;CI71:CI74)*1)+SUMPRODUCT($B$77:$B$78,(CH77:CH78&gt;CI77:CI78)*1))*$B$20/52</f>
        <v/>
      </c>
      <c r="CJ83" s="761">
        <f>(SUMPRODUCT($B$49:$B$58,(CI49:CI58&gt;CJ49:CJ58)*1)+SUMPRODUCT($B$61:$B$68,(CI61:CI68&gt;CJ61:CJ68)*1)+SUMPRODUCT($B$71:$B$74,(CI71:CI74&gt;CJ71:CJ74)*1)+SUMPRODUCT($B$77:$B$78,(CI77:CI78&gt;CJ77:CJ78)*1))*$B$20/52</f>
        <v/>
      </c>
      <c r="CK83" s="761">
        <f>(SUMPRODUCT($B$49:$B$58,(CJ49:CJ58&gt;CK49:CK58)*1)+SUMPRODUCT($B$61:$B$68,(CJ61:CJ68&gt;CK61:CK68)*1)+SUMPRODUCT($B$71:$B$74,(CJ71:CJ74&gt;CK71:CK74)*1)+SUMPRODUCT($B$77:$B$78,(CJ77:CJ78&gt;CK77:CK78)*1))*$B$20/52</f>
        <v/>
      </c>
      <c r="CL83" s="761">
        <f>(SUMPRODUCT($B$49:$B$58,(CK49:CK58&gt;CL49:CL58)*1)+SUMPRODUCT($B$61:$B$68,(CK61:CK68&gt;CL61:CL68)*1)+SUMPRODUCT($B$71:$B$74,(CK71:CK74&gt;CL71:CL74)*1)+SUMPRODUCT($B$77:$B$78,(CK77:CK78&gt;CL77:CL78)*1))*$B$20/52</f>
        <v/>
      </c>
      <c r="CM83" s="761">
        <f>(SUMPRODUCT($B$49:$B$58,(CL49:CL58&gt;CM49:CM58)*1)+SUMPRODUCT($B$61:$B$68,(CL61:CL68&gt;CM61:CM68)*1)+SUMPRODUCT($B$71:$B$74,(CL71:CL74&gt;CM71:CM74)*1)+SUMPRODUCT($B$77:$B$78,(CL77:CL78&gt;CM77:CM78)*1))*$B$20/52</f>
        <v/>
      </c>
      <c r="CN83" s="761">
        <f>(SUMPRODUCT($B$49:$B$58,(CM49:CM58&gt;CN49:CN58)*1)+SUMPRODUCT($B$61:$B$68,(CM61:CM68&gt;CN61:CN68)*1)+SUMPRODUCT($B$71:$B$74,(CM71:CM74&gt;CN71:CN74)*1)+SUMPRODUCT($B$77:$B$78,(CM77:CM78&gt;CN77:CN78)*1))*$B$20/52</f>
        <v/>
      </c>
      <c r="CO83" s="761">
        <f>(SUMPRODUCT($B$49:$B$58,(CN49:CN58&gt;CO49:CO58)*1)+SUMPRODUCT($B$61:$B$68,(CN61:CN68&gt;CO61:CO68)*1)+SUMPRODUCT($B$71:$B$74,(CN71:CN74&gt;CO71:CO74)*1)+SUMPRODUCT($B$77:$B$78,(CN77:CN78&gt;CO77:CO78)*1))*$B$20/52</f>
        <v/>
      </c>
      <c r="CP83" s="761">
        <f>(SUMPRODUCT($B$49:$B$58,(CO49:CO58&gt;CP49:CP58)*1)+SUMPRODUCT($B$61:$B$68,(CO61:CO68&gt;CP61:CP68)*1)+SUMPRODUCT($B$71:$B$74,(CO71:CO74&gt;CP71:CP74)*1)+SUMPRODUCT($B$77:$B$78,(CO77:CO78&gt;CP77:CP78)*1))*$B$20/52</f>
        <v/>
      </c>
      <c r="CQ83" s="761">
        <f>(SUMPRODUCT($B$49:$B$58,(CP49:CP58&gt;CQ49:CQ58)*1)+SUMPRODUCT($B$61:$B$68,(CP61:CP68&gt;CQ61:CQ68)*1)+SUMPRODUCT($B$71:$B$74,(CP71:CP74&gt;CQ71:CQ74)*1)+SUMPRODUCT($B$77:$B$78,(CP77:CP78&gt;CQ77:CQ78)*1))*$B$20/52</f>
        <v/>
      </c>
      <c r="CR83" s="761">
        <f>(SUMPRODUCT($B$49:$B$58,(CQ49:CQ58&gt;CR49:CR58)*1)+SUMPRODUCT($B$61:$B$68,(CQ61:CQ68&gt;CR61:CR68)*1)+SUMPRODUCT($B$71:$B$74,(CQ71:CQ74&gt;CR71:CR74)*1)+SUMPRODUCT($B$77:$B$78,(CQ77:CQ78&gt;CR77:CR78)*1))*$B$20/52</f>
        <v/>
      </c>
      <c r="CS83" s="761">
        <f>(SUMPRODUCT($B$49:$B$58,(CR49:CR58&gt;CS49:CS58)*1)+SUMPRODUCT($B$61:$B$68,(CR61:CR68&gt;CS61:CS68)*1)+SUMPRODUCT($B$71:$B$74,(CR71:CR74&gt;CS71:CS74)*1)+SUMPRODUCT($B$77:$B$78,(CR77:CR78&gt;CS77:CS78)*1))*$B$20/52</f>
        <v/>
      </c>
      <c r="CT83" s="761">
        <f>(SUMPRODUCT($B$49:$B$58,(CS49:CS58&gt;CT49:CT58)*1)+SUMPRODUCT($B$61:$B$68,(CS61:CS68&gt;CT61:CT68)*1)+SUMPRODUCT($B$71:$B$74,(CS71:CS74&gt;CT71:CT74)*1)+SUMPRODUCT($B$77:$B$78,(CS77:CS78&gt;CT77:CT78)*1))*$B$20/52</f>
        <v/>
      </c>
      <c r="CU83" s="761">
        <f>(SUMPRODUCT($B$49:$B$58,(CT49:CT58&gt;CU49:CU58)*1)+SUMPRODUCT($B$61:$B$68,(CT61:CT68&gt;CU61:CU68)*1)+SUMPRODUCT($B$71:$B$74,(CT71:CT74&gt;CU71:CU74)*1)+SUMPRODUCT($B$77:$B$78,(CT77:CT78&gt;CU77:CU78)*1))*$B$20/52</f>
        <v/>
      </c>
      <c r="CV83" s="761">
        <f>(SUMPRODUCT($B$49:$B$58,(CU49:CU58&gt;CV49:CV58)*1)+SUMPRODUCT($B$61:$B$68,(CU61:CU68&gt;CV61:CV68)*1)+SUMPRODUCT($B$71:$B$74,(CU71:CU74&gt;CV71:CV74)*1)+SUMPRODUCT($B$77:$B$78,(CU77:CU78&gt;CV77:CV78)*1))*$B$20/52</f>
        <v/>
      </c>
      <c r="CW83" s="761">
        <f>(SUMPRODUCT($B$49:$B$58,(CV49:CV58&gt;CW49:CW58)*1)+SUMPRODUCT($B$61:$B$68,(CV61:CV68&gt;CW61:CW68)*1)+SUMPRODUCT($B$71:$B$74,(CV71:CV74&gt;CW71:CW74)*1)+SUMPRODUCT($B$77:$B$78,(CV77:CV78&gt;CW77:CW78)*1))*$B$20/52</f>
        <v/>
      </c>
      <c r="CX83" s="761">
        <f>(SUMPRODUCT($B$49:$B$58,(CW49:CW58&gt;CX49:CX58)*1)+SUMPRODUCT($B$61:$B$68,(CW61:CW68&gt;CX61:CX68)*1)+SUMPRODUCT($B$71:$B$74,(CW71:CW74&gt;CX71:CX74)*1)+SUMPRODUCT($B$77:$B$78,(CW77:CW78&gt;CX77:CX78)*1))*$B$20/52</f>
        <v/>
      </c>
      <c r="CY83" s="761">
        <f>(SUMPRODUCT($B$49:$B$58,(CX49:CX58&gt;CY49:CY58)*1)+SUMPRODUCT($B$61:$B$68,(CX61:CX68&gt;CY61:CY68)*1)+SUMPRODUCT($B$71:$B$74,(CX71:CX74&gt;CY71:CY74)*1)+SUMPRODUCT($B$77:$B$78,(CX77:CX78&gt;CY77:CY78)*1))*$B$20/52</f>
        <v/>
      </c>
      <c r="CZ83" s="761">
        <f>(SUMPRODUCT($B$49:$B$58,(CY49:CY58&gt;CZ49:CZ58)*1)+SUMPRODUCT($B$61:$B$68,(CY61:CY68&gt;CZ61:CZ68)*1)+SUMPRODUCT($B$71:$B$74,(CY71:CY74&gt;CZ71:CZ74)*1)+SUMPRODUCT($B$77:$B$78,(CY77:CY78&gt;CZ77:CZ78)*1))*$B$20/52</f>
        <v/>
      </c>
      <c r="DA83" s="761">
        <f>(SUMPRODUCT($B$49:$B$58,(CZ49:CZ58&gt;DA49:DA58)*1)+SUMPRODUCT($B$61:$B$68,(CZ61:CZ68&gt;DA61:DA68)*1)+SUMPRODUCT($B$71:$B$74,(CZ71:CZ74&gt;DA71:DA74)*1)+SUMPRODUCT($B$77:$B$78,(CZ77:CZ78&gt;DA77:DA78)*1))*$B$20/52</f>
        <v/>
      </c>
      <c r="DB83" s="761">
        <f>(SUMPRODUCT($B$49:$B$58,(DA49:DA58&gt;DB49:DB58)*1)+SUMPRODUCT($B$61:$B$68,(DA61:DA68&gt;DB61:DB68)*1)+SUMPRODUCT($B$71:$B$74,(DA71:DA74&gt;DB71:DB74)*1)+SUMPRODUCT($B$77:$B$78,(DA77:DA78&gt;DB77:DB78)*1))*$B$20/52</f>
        <v/>
      </c>
      <c r="DC83" s="761">
        <f>(SUMPRODUCT($B$49:$B$58,(DB49:DB58&gt;DC49:DC58)*1)+SUMPRODUCT($B$61:$B$68,(DB61:DB68&gt;DC61:DC68)*1)+SUMPRODUCT($B$71:$B$74,(DB71:DB74&gt;DC71:DC74)*1)+SUMPRODUCT($B$77:$B$78,(DB77:DB78&gt;DC77:DC78)*1))*$B$20/52</f>
        <v/>
      </c>
      <c r="DD83" s="761">
        <f>(SUMPRODUCT($B$49:$B$58,(DC49:DC58&gt;DD49:DD58)*1)+SUMPRODUCT($B$61:$B$68,(DC61:DC68&gt;DD61:DD68)*1)+SUMPRODUCT($B$71:$B$74,(DC71:DC74&gt;DD71:DD74)*1)+SUMPRODUCT($B$77:$B$78,(DC77:DC78&gt;DD77:DD78)*1))*$B$20/52</f>
        <v/>
      </c>
      <c r="DE83" s="761">
        <f>(SUMPRODUCT($B$49:$B$58,(DD49:DD58&gt;DE49:DE58)*1)+SUMPRODUCT($B$61:$B$68,(DD61:DD68&gt;DE61:DE68)*1)+SUMPRODUCT($B$71:$B$74,(DD71:DD74&gt;DE71:DE74)*1)+SUMPRODUCT($B$77:$B$78,(DD77:DD78&gt;DE77:DE78)*1))*$B$20/52</f>
        <v/>
      </c>
    </row>
    <row r="84">
      <c r="A84" s="586" t="inlineStr">
        <is>
          <t>Total hire / exit cost</t>
        </is>
      </c>
      <c r="E84" s="761">
        <f>E82+E83</f>
        <v/>
      </c>
      <c r="F84" s="761">
        <f>F82+F83</f>
        <v/>
      </c>
      <c r="G84" s="761">
        <f>G82+G83</f>
        <v/>
      </c>
      <c r="H84" s="761">
        <f>H82+H83</f>
        <v/>
      </c>
      <c r="I84" s="761">
        <f>I82+I83</f>
        <v/>
      </c>
      <c r="J84" s="761">
        <f>J82+J83</f>
        <v/>
      </c>
      <c r="K84" s="761">
        <f>K82+K83</f>
        <v/>
      </c>
      <c r="L84" s="761">
        <f>L82+L83</f>
        <v/>
      </c>
      <c r="M84" s="761">
        <f>M82+M83</f>
        <v/>
      </c>
      <c r="N84" s="761">
        <f>N82+N83</f>
        <v/>
      </c>
      <c r="O84" s="761">
        <f>O82+O83</f>
        <v/>
      </c>
      <c r="P84" s="761">
        <f>P82+P83</f>
        <v/>
      </c>
      <c r="Q84" s="761">
        <f>Q82+Q83</f>
        <v/>
      </c>
      <c r="R84" s="761">
        <f>R82+R83</f>
        <v/>
      </c>
      <c r="S84" s="761">
        <f>S82+S83</f>
        <v/>
      </c>
      <c r="T84" s="761">
        <f>T82+T83</f>
        <v/>
      </c>
      <c r="U84" s="761">
        <f>U82+U83</f>
        <v/>
      </c>
      <c r="V84" s="761">
        <f>V82+V83</f>
        <v/>
      </c>
      <c r="W84" s="761">
        <f>W82+W83</f>
        <v/>
      </c>
      <c r="X84" s="761">
        <f>X82+X83</f>
        <v/>
      </c>
      <c r="Y84" s="761">
        <f>Y82+Y83</f>
        <v/>
      </c>
      <c r="Z84" s="761">
        <f>Z82+Z83</f>
        <v/>
      </c>
      <c r="AA84" s="761">
        <f>AA82+AA83</f>
        <v/>
      </c>
      <c r="AB84" s="761">
        <f>AB82+AB83</f>
        <v/>
      </c>
      <c r="AC84" s="761">
        <f>AC82+AC83</f>
        <v/>
      </c>
      <c r="AD84" s="761">
        <f>AD82+AD83</f>
        <v/>
      </c>
      <c r="AE84" s="761">
        <f>AE82+AE83</f>
        <v/>
      </c>
      <c r="AF84" s="761">
        <f>AF82+AF83</f>
        <v/>
      </c>
      <c r="AG84" s="761">
        <f>AG82+AG83</f>
        <v/>
      </c>
      <c r="AH84" s="761">
        <f>AH82+AH83</f>
        <v/>
      </c>
      <c r="AI84" s="761">
        <f>AI82+AI83</f>
        <v/>
      </c>
      <c r="AJ84" s="761">
        <f>AJ82+AJ83</f>
        <v/>
      </c>
      <c r="AK84" s="761">
        <f>AK82+AK83</f>
        <v/>
      </c>
      <c r="AL84" s="761">
        <f>AL82+AL83</f>
        <v/>
      </c>
      <c r="AM84" s="761">
        <f>AM82+AM83</f>
        <v/>
      </c>
      <c r="AN84" s="761">
        <f>AN82+AN83</f>
        <v/>
      </c>
      <c r="AO84" s="761">
        <f>AO82+AO83</f>
        <v/>
      </c>
      <c r="AP84" s="761">
        <f>AP82+AP83</f>
        <v/>
      </c>
      <c r="AQ84" s="761">
        <f>AQ82+AQ83</f>
        <v/>
      </c>
      <c r="AR84" s="761">
        <f>AR82+AR83</f>
        <v/>
      </c>
      <c r="AS84" s="761">
        <f>AS82+AS83</f>
        <v/>
      </c>
      <c r="AT84" s="761">
        <f>AT82+AT83</f>
        <v/>
      </c>
      <c r="AU84" s="761">
        <f>AU82+AU83</f>
        <v/>
      </c>
      <c r="AV84" s="761">
        <f>AV82+AV83</f>
        <v/>
      </c>
      <c r="AW84" s="761">
        <f>AW82+AW83</f>
        <v/>
      </c>
      <c r="AX84" s="761">
        <f>AX82+AX83</f>
        <v/>
      </c>
      <c r="AY84" s="761">
        <f>AY82+AY83</f>
        <v/>
      </c>
      <c r="AZ84" s="761">
        <f>AZ82+AZ83</f>
        <v/>
      </c>
      <c r="BA84" s="761">
        <f>BA82+BA83</f>
        <v/>
      </c>
      <c r="BB84" s="761">
        <f>BB82+BB83</f>
        <v/>
      </c>
      <c r="BC84" s="761">
        <f>BC82+BC83</f>
        <v/>
      </c>
      <c r="BD84" s="761">
        <f>BD82+BD83</f>
        <v/>
      </c>
      <c r="BE84" s="761">
        <f>BE82+BE83</f>
        <v/>
      </c>
      <c r="BF84" s="761">
        <f>BF82+BF83</f>
        <v/>
      </c>
      <c r="BG84" s="761">
        <f>BG82+BG83</f>
        <v/>
      </c>
      <c r="BH84" s="761">
        <f>BH82+BH83</f>
        <v/>
      </c>
      <c r="BI84" s="761">
        <f>BI82+BI83</f>
        <v/>
      </c>
      <c r="BJ84" s="761">
        <f>BJ82+BJ83</f>
        <v/>
      </c>
      <c r="BK84" s="761">
        <f>BK82+BK83</f>
        <v/>
      </c>
      <c r="BL84" s="761">
        <f>BL82+BL83</f>
        <v/>
      </c>
      <c r="BM84" s="761">
        <f>BM82+BM83</f>
        <v/>
      </c>
      <c r="BN84" s="761">
        <f>BN82+BN83</f>
        <v/>
      </c>
      <c r="BO84" s="761">
        <f>BO82+BO83</f>
        <v/>
      </c>
      <c r="BP84" s="761">
        <f>BP82+BP83</f>
        <v/>
      </c>
      <c r="BQ84" s="761">
        <f>BQ82+BQ83</f>
        <v/>
      </c>
      <c r="BR84" s="761">
        <f>BR82+BR83</f>
        <v/>
      </c>
      <c r="BS84" s="761">
        <f>BS82+BS83</f>
        <v/>
      </c>
      <c r="BT84" s="761">
        <f>BT82+BT83</f>
        <v/>
      </c>
      <c r="BU84" s="761">
        <f>BU82+BU83</f>
        <v/>
      </c>
      <c r="BV84" s="761">
        <f>BV82+BV83</f>
        <v/>
      </c>
      <c r="BW84" s="761">
        <f>BW82+BW83</f>
        <v/>
      </c>
      <c r="BX84" s="761">
        <f>BX82+BX83</f>
        <v/>
      </c>
      <c r="BY84" s="761">
        <f>BY82+BY83</f>
        <v/>
      </c>
      <c r="BZ84" s="761">
        <f>BZ82+BZ83</f>
        <v/>
      </c>
      <c r="CA84" s="761">
        <f>CA82+CA83</f>
        <v/>
      </c>
      <c r="CB84" s="761">
        <f>CB82+CB83</f>
        <v/>
      </c>
      <c r="CC84" s="761">
        <f>CC82+CC83</f>
        <v/>
      </c>
      <c r="CD84" s="761">
        <f>CD82+CD83</f>
        <v/>
      </c>
      <c r="CE84" s="761">
        <f>CE82+CE83</f>
        <v/>
      </c>
      <c r="CF84" s="761">
        <f>CF82+CF83</f>
        <v/>
      </c>
      <c r="CG84" s="761">
        <f>CG82+CG83</f>
        <v/>
      </c>
      <c r="CH84" s="761">
        <f>CH82+CH83</f>
        <v/>
      </c>
      <c r="CI84" s="761">
        <f>CI82+CI83</f>
        <v/>
      </c>
      <c r="CJ84" s="761">
        <f>CJ82+CJ83</f>
        <v/>
      </c>
      <c r="CK84" s="761">
        <f>CK82+CK83</f>
        <v/>
      </c>
      <c r="CL84" s="761">
        <f>CL82+CL83</f>
        <v/>
      </c>
      <c r="CM84" s="761">
        <f>CM82+CM83</f>
        <v/>
      </c>
      <c r="CN84" s="761">
        <f>CN82+CN83</f>
        <v/>
      </c>
      <c r="CO84" s="761">
        <f>CO82+CO83</f>
        <v/>
      </c>
      <c r="CP84" s="761">
        <f>CP82+CP83</f>
        <v/>
      </c>
      <c r="CQ84" s="761">
        <f>CQ82+CQ83</f>
        <v/>
      </c>
      <c r="CR84" s="761">
        <f>CR82+CR83</f>
        <v/>
      </c>
      <c r="CS84" s="761">
        <f>CS82+CS83</f>
        <v/>
      </c>
      <c r="CT84" s="761">
        <f>CT82+CT83</f>
        <v/>
      </c>
      <c r="CU84" s="761">
        <f>CU82+CU83</f>
        <v/>
      </c>
      <c r="CV84" s="761">
        <f>CV82+CV83</f>
        <v/>
      </c>
      <c r="CW84" s="761">
        <f>CW82+CW83</f>
        <v/>
      </c>
      <c r="CX84" s="761">
        <f>CX82+CX83</f>
        <v/>
      </c>
      <c r="CY84" s="761">
        <f>CY82+CY83</f>
        <v/>
      </c>
      <c r="CZ84" s="761">
        <f>CZ82+CZ83</f>
        <v/>
      </c>
      <c r="DA84" s="761">
        <f>DA82+DA83</f>
        <v/>
      </c>
      <c r="DB84" s="761">
        <f>DB82+DB83</f>
        <v/>
      </c>
      <c r="DC84" s="761">
        <f>DC82+DC83</f>
        <v/>
      </c>
      <c r="DD84" s="761">
        <f>DD82+DD83</f>
        <v/>
      </c>
      <c r="DE84" s="761">
        <f>DE82+DE83</f>
        <v/>
      </c>
    </row>
    <row r="86">
      <c r="A86" s="584" t="inlineStr">
        <is>
          <t>CHECKS</t>
        </is>
      </c>
      <c r="B86" s="585" t="n"/>
      <c r="C86" s="585" t="n"/>
      <c r="D86" s="585" t="n"/>
      <c r="E86" s="585" t="n"/>
      <c r="F86" s="585" t="n"/>
    </row>
    <row r="87">
      <c r="A87" s="586" t="inlineStr">
        <is>
          <t>Superintendents - total supply</t>
        </is>
      </c>
      <c r="E87" s="759">
        <f>E43+SUM(E49:E58)</f>
        <v/>
      </c>
      <c r="F87" s="759">
        <f>F43+SUM(F49:F58)</f>
        <v/>
      </c>
      <c r="G87" s="759">
        <f>G43+SUM(G49:G58)</f>
        <v/>
      </c>
      <c r="H87" s="759">
        <f>H43+SUM(H49:H58)</f>
        <v/>
      </c>
      <c r="I87" s="759">
        <f>I43+SUM(I49:I58)</f>
        <v/>
      </c>
      <c r="J87" s="759">
        <f>J43+SUM(J49:J58)</f>
        <v/>
      </c>
      <c r="K87" s="759">
        <f>K43+SUM(K49:K58)</f>
        <v/>
      </c>
      <c r="L87" s="759">
        <f>L43+SUM(L49:L58)</f>
        <v/>
      </c>
      <c r="M87" s="759">
        <f>M43+SUM(M49:M58)</f>
        <v/>
      </c>
      <c r="N87" s="759">
        <f>N43+SUM(N49:N58)</f>
        <v/>
      </c>
      <c r="O87" s="759">
        <f>O43+SUM(O49:O58)</f>
        <v/>
      </c>
      <c r="P87" s="759">
        <f>P43+SUM(P49:P58)</f>
        <v/>
      </c>
      <c r="Q87" s="759">
        <f>Q43+SUM(Q49:Q58)</f>
        <v/>
      </c>
      <c r="R87" s="759">
        <f>R43+SUM(R49:R58)</f>
        <v/>
      </c>
      <c r="S87" s="759">
        <f>S43+SUM(S49:S58)</f>
        <v/>
      </c>
      <c r="T87" s="759">
        <f>T43+SUM(T49:T58)</f>
        <v/>
      </c>
      <c r="U87" s="759">
        <f>U43+SUM(U49:U58)</f>
        <v/>
      </c>
      <c r="V87" s="759">
        <f>V43+SUM(V49:V58)</f>
        <v/>
      </c>
      <c r="W87" s="759">
        <f>W43+SUM(W49:W58)</f>
        <v/>
      </c>
      <c r="X87" s="759">
        <f>X43+SUM(X49:X58)</f>
        <v/>
      </c>
      <c r="Y87" s="759">
        <f>Y43+SUM(Y49:Y58)</f>
        <v/>
      </c>
      <c r="Z87" s="759">
        <f>Z43+SUM(Z49:Z58)</f>
        <v/>
      </c>
      <c r="AA87" s="759">
        <f>AA43+SUM(AA49:AA58)</f>
        <v/>
      </c>
      <c r="AB87" s="759">
        <f>AB43+SUM(AB49:AB58)</f>
        <v/>
      </c>
      <c r="AC87" s="759">
        <f>AC43+SUM(AC49:AC58)</f>
        <v/>
      </c>
      <c r="AD87" s="759">
        <f>AD43+SUM(AD49:AD58)</f>
        <v/>
      </c>
      <c r="AE87" s="759">
        <f>AE43+SUM(AE49:AE58)</f>
        <v/>
      </c>
      <c r="AF87" s="759">
        <f>AF43+SUM(AF49:AF58)</f>
        <v/>
      </c>
      <c r="AG87" s="759">
        <f>AG43+SUM(AG49:AG58)</f>
        <v/>
      </c>
      <c r="AH87" s="759">
        <f>AH43+SUM(AH49:AH58)</f>
        <v/>
      </c>
      <c r="AI87" s="759">
        <f>AI43+SUM(AI49:AI58)</f>
        <v/>
      </c>
      <c r="AJ87" s="759">
        <f>AJ43+SUM(AJ49:AJ58)</f>
        <v/>
      </c>
      <c r="AK87" s="759">
        <f>AK43+SUM(AK49:AK58)</f>
        <v/>
      </c>
      <c r="AL87" s="759">
        <f>AL43+SUM(AL49:AL58)</f>
        <v/>
      </c>
      <c r="AM87" s="759">
        <f>AM43+SUM(AM49:AM58)</f>
        <v/>
      </c>
      <c r="AN87" s="759">
        <f>AN43+SUM(AN49:AN58)</f>
        <v/>
      </c>
      <c r="AO87" s="759">
        <f>AO43+SUM(AO49:AO58)</f>
        <v/>
      </c>
      <c r="AP87" s="759">
        <f>AP43+SUM(AP49:AP58)</f>
        <v/>
      </c>
      <c r="AQ87" s="759">
        <f>AQ43+SUM(AQ49:AQ58)</f>
        <v/>
      </c>
      <c r="AR87" s="759">
        <f>AR43+SUM(AR49:AR58)</f>
        <v/>
      </c>
      <c r="AS87" s="759">
        <f>AS43+SUM(AS49:AS58)</f>
        <v/>
      </c>
      <c r="AT87" s="759">
        <f>AT43+SUM(AT49:AT58)</f>
        <v/>
      </c>
      <c r="AU87" s="759">
        <f>AU43+SUM(AU49:AU58)</f>
        <v/>
      </c>
      <c r="AV87" s="759">
        <f>AV43+SUM(AV49:AV58)</f>
        <v/>
      </c>
      <c r="AW87" s="759">
        <f>AW43+SUM(AW49:AW58)</f>
        <v/>
      </c>
      <c r="AX87" s="759">
        <f>AX43+SUM(AX49:AX58)</f>
        <v/>
      </c>
      <c r="AY87" s="759">
        <f>AY43+SUM(AY49:AY58)</f>
        <v/>
      </c>
      <c r="AZ87" s="759">
        <f>AZ43+SUM(AZ49:AZ58)</f>
        <v/>
      </c>
      <c r="BA87" s="759">
        <f>BA43+SUM(BA49:BA58)</f>
        <v/>
      </c>
      <c r="BB87" s="759">
        <f>BB43+SUM(BB49:BB58)</f>
        <v/>
      </c>
      <c r="BC87" s="759">
        <f>BC43+SUM(BC49:BC58)</f>
        <v/>
      </c>
      <c r="BD87" s="759">
        <f>BD43+SUM(BD49:BD58)</f>
        <v/>
      </c>
      <c r="BE87" s="759">
        <f>BE43+SUM(BE49:BE58)</f>
        <v/>
      </c>
      <c r="BF87" s="759">
        <f>BF43+SUM(BF49:BF58)</f>
        <v/>
      </c>
      <c r="BG87" s="759">
        <f>BG43+SUM(BG49:BG58)</f>
        <v/>
      </c>
      <c r="BH87" s="759">
        <f>BH43+SUM(BH49:BH58)</f>
        <v/>
      </c>
      <c r="BI87" s="759">
        <f>BI43+SUM(BI49:BI58)</f>
        <v/>
      </c>
      <c r="BJ87" s="759">
        <f>BJ43+SUM(BJ49:BJ58)</f>
        <v/>
      </c>
      <c r="BK87" s="759">
        <f>BK43+SUM(BK49:BK58)</f>
        <v/>
      </c>
      <c r="BL87" s="759">
        <f>BL43+SUM(BL49:BL58)</f>
        <v/>
      </c>
      <c r="BM87" s="759">
        <f>BM43+SUM(BM49:BM58)</f>
        <v/>
      </c>
      <c r="BN87" s="759">
        <f>BN43+SUM(BN49:BN58)</f>
        <v/>
      </c>
      <c r="BO87" s="759">
        <f>BO43+SUM(BO49:BO58)</f>
        <v/>
      </c>
      <c r="BP87" s="759">
        <f>BP43+SUM(BP49:BP58)</f>
        <v/>
      </c>
      <c r="BQ87" s="759">
        <f>BQ43+SUM(BQ49:BQ58)</f>
        <v/>
      </c>
      <c r="BR87" s="759">
        <f>BR43+SUM(BR49:BR58)</f>
        <v/>
      </c>
      <c r="BS87" s="759">
        <f>BS43+SUM(BS49:BS58)</f>
        <v/>
      </c>
      <c r="BT87" s="759">
        <f>BT43+SUM(BT49:BT58)</f>
        <v/>
      </c>
      <c r="BU87" s="759">
        <f>BU43+SUM(BU49:BU58)</f>
        <v/>
      </c>
      <c r="BV87" s="759">
        <f>BV43+SUM(BV49:BV58)</f>
        <v/>
      </c>
      <c r="BW87" s="759">
        <f>BW43+SUM(BW49:BW58)</f>
        <v/>
      </c>
      <c r="BX87" s="759">
        <f>BX43+SUM(BX49:BX58)</f>
        <v/>
      </c>
      <c r="BY87" s="759">
        <f>BY43+SUM(BY49:BY58)</f>
        <v/>
      </c>
      <c r="BZ87" s="759">
        <f>BZ43+SUM(BZ49:BZ58)</f>
        <v/>
      </c>
      <c r="CA87" s="759">
        <f>CA43+SUM(CA49:CA58)</f>
        <v/>
      </c>
      <c r="CB87" s="759">
        <f>CB43+SUM(CB49:CB58)</f>
        <v/>
      </c>
      <c r="CC87" s="759">
        <f>CC43+SUM(CC49:CC58)</f>
        <v/>
      </c>
      <c r="CD87" s="759">
        <f>CD43+SUM(CD49:CD58)</f>
        <v/>
      </c>
      <c r="CE87" s="759">
        <f>CE43+SUM(CE49:CE58)</f>
        <v/>
      </c>
      <c r="CF87" s="759">
        <f>CF43+SUM(CF49:CF58)</f>
        <v/>
      </c>
      <c r="CG87" s="759">
        <f>CG43+SUM(CG49:CG58)</f>
        <v/>
      </c>
      <c r="CH87" s="759">
        <f>CH43+SUM(CH49:CH58)</f>
        <v/>
      </c>
      <c r="CI87" s="759">
        <f>CI43+SUM(CI49:CI58)</f>
        <v/>
      </c>
      <c r="CJ87" s="759">
        <f>CJ43+SUM(CJ49:CJ58)</f>
        <v/>
      </c>
      <c r="CK87" s="759">
        <f>CK43+SUM(CK49:CK58)</f>
        <v/>
      </c>
      <c r="CL87" s="759">
        <f>CL43+SUM(CL49:CL58)</f>
        <v/>
      </c>
      <c r="CM87" s="759">
        <f>CM43+SUM(CM49:CM58)</f>
        <v/>
      </c>
      <c r="CN87" s="759">
        <f>CN43+SUM(CN49:CN58)</f>
        <v/>
      </c>
      <c r="CO87" s="759">
        <f>CO43+SUM(CO49:CO58)</f>
        <v/>
      </c>
      <c r="CP87" s="759">
        <f>CP43+SUM(CP49:CP58)</f>
        <v/>
      </c>
      <c r="CQ87" s="759">
        <f>CQ43+SUM(CQ49:CQ58)</f>
        <v/>
      </c>
      <c r="CR87" s="759">
        <f>CR43+SUM(CR49:CR58)</f>
        <v/>
      </c>
      <c r="CS87" s="759">
        <f>CS43+SUM(CS49:CS58)</f>
        <v/>
      </c>
      <c r="CT87" s="759">
        <f>CT43+SUM(CT49:CT58)</f>
        <v/>
      </c>
      <c r="CU87" s="759">
        <f>CU43+SUM(CU49:CU58)</f>
        <v/>
      </c>
      <c r="CV87" s="759">
        <f>CV43+SUM(CV49:CV58)</f>
        <v/>
      </c>
      <c r="CW87" s="759">
        <f>CW43+SUM(CW49:CW58)</f>
        <v/>
      </c>
      <c r="CX87" s="759">
        <f>CX43+SUM(CX49:CX58)</f>
        <v/>
      </c>
      <c r="CY87" s="759">
        <f>CY43+SUM(CY49:CY58)</f>
        <v/>
      </c>
      <c r="CZ87" s="759">
        <f>CZ43+SUM(CZ49:CZ58)</f>
        <v/>
      </c>
      <c r="DA87" s="759">
        <f>DA43+SUM(DA49:DA58)</f>
        <v/>
      </c>
      <c r="DB87" s="759">
        <f>DB43+SUM(DB49:DB58)</f>
        <v/>
      </c>
      <c r="DC87" s="759">
        <f>DC43+SUM(DC49:DC58)</f>
        <v/>
      </c>
      <c r="DD87" s="759">
        <f>DD43+SUM(DD49:DD58)</f>
        <v/>
      </c>
      <c r="DE87" s="759">
        <f>DE43+SUM(DE49:DE58)</f>
        <v/>
      </c>
    </row>
    <row r="88">
      <c r="A88" s="586" t="inlineStr">
        <is>
          <t>Superintendent shortfall vs jobs (&gt;0 = a job with no super)</t>
        </is>
      </c>
      <c r="E88" s="759">
        <f>E37-E87</f>
        <v/>
      </c>
      <c r="F88" s="759">
        <f>F37-F87</f>
        <v/>
      </c>
      <c r="G88" s="759">
        <f>G37-G87</f>
        <v/>
      </c>
      <c r="H88" s="759">
        <f>H37-H87</f>
        <v/>
      </c>
      <c r="I88" s="759">
        <f>I37-I87</f>
        <v/>
      </c>
      <c r="J88" s="759">
        <f>J37-J87</f>
        <v/>
      </c>
      <c r="K88" s="759">
        <f>K37-K87</f>
        <v/>
      </c>
      <c r="L88" s="759">
        <f>L37-L87</f>
        <v/>
      </c>
      <c r="M88" s="759">
        <f>M37-M87</f>
        <v/>
      </c>
      <c r="N88" s="759">
        <f>N37-N87</f>
        <v/>
      </c>
      <c r="O88" s="759">
        <f>O37-O87</f>
        <v/>
      </c>
      <c r="P88" s="759">
        <f>P37-P87</f>
        <v/>
      </c>
      <c r="Q88" s="759">
        <f>Q37-Q87</f>
        <v/>
      </c>
      <c r="R88" s="759">
        <f>R37-R87</f>
        <v/>
      </c>
      <c r="S88" s="759">
        <f>S37-S87</f>
        <v/>
      </c>
      <c r="T88" s="759">
        <f>T37-T87</f>
        <v/>
      </c>
      <c r="U88" s="759">
        <f>U37-U87</f>
        <v/>
      </c>
      <c r="V88" s="759">
        <f>V37-V87</f>
        <v/>
      </c>
      <c r="W88" s="759">
        <f>W37-W87</f>
        <v/>
      </c>
      <c r="X88" s="759">
        <f>X37-X87</f>
        <v/>
      </c>
      <c r="Y88" s="759">
        <f>Y37-Y87</f>
        <v/>
      </c>
      <c r="Z88" s="759">
        <f>Z37-Z87</f>
        <v/>
      </c>
      <c r="AA88" s="759">
        <f>AA37-AA87</f>
        <v/>
      </c>
      <c r="AB88" s="759">
        <f>AB37-AB87</f>
        <v/>
      </c>
      <c r="AC88" s="759">
        <f>AC37-AC87</f>
        <v/>
      </c>
      <c r="AD88" s="759">
        <f>AD37-AD87</f>
        <v/>
      </c>
      <c r="AE88" s="759">
        <f>AE37-AE87</f>
        <v/>
      </c>
      <c r="AF88" s="759">
        <f>AF37-AF87</f>
        <v/>
      </c>
      <c r="AG88" s="759">
        <f>AG37-AG87</f>
        <v/>
      </c>
      <c r="AH88" s="759">
        <f>AH37-AH87</f>
        <v/>
      </c>
      <c r="AI88" s="759">
        <f>AI37-AI87</f>
        <v/>
      </c>
      <c r="AJ88" s="759">
        <f>AJ37-AJ87</f>
        <v/>
      </c>
      <c r="AK88" s="759">
        <f>AK37-AK87</f>
        <v/>
      </c>
      <c r="AL88" s="759">
        <f>AL37-AL87</f>
        <v/>
      </c>
      <c r="AM88" s="759">
        <f>AM37-AM87</f>
        <v/>
      </c>
      <c r="AN88" s="759">
        <f>AN37-AN87</f>
        <v/>
      </c>
      <c r="AO88" s="759">
        <f>AO37-AO87</f>
        <v/>
      </c>
      <c r="AP88" s="759">
        <f>AP37-AP87</f>
        <v/>
      </c>
      <c r="AQ88" s="759">
        <f>AQ37-AQ87</f>
        <v/>
      </c>
      <c r="AR88" s="759">
        <f>AR37-AR87</f>
        <v/>
      </c>
      <c r="AS88" s="759">
        <f>AS37-AS87</f>
        <v/>
      </c>
      <c r="AT88" s="759">
        <f>AT37-AT87</f>
        <v/>
      </c>
      <c r="AU88" s="759">
        <f>AU37-AU87</f>
        <v/>
      </c>
      <c r="AV88" s="759">
        <f>AV37-AV87</f>
        <v/>
      </c>
      <c r="AW88" s="759">
        <f>AW37-AW87</f>
        <v/>
      </c>
      <c r="AX88" s="759">
        <f>AX37-AX87</f>
        <v/>
      </c>
      <c r="AY88" s="759">
        <f>AY37-AY87</f>
        <v/>
      </c>
      <c r="AZ88" s="759">
        <f>AZ37-AZ87</f>
        <v/>
      </c>
      <c r="BA88" s="759">
        <f>BA37-BA87</f>
        <v/>
      </c>
      <c r="BB88" s="759">
        <f>BB37-BB87</f>
        <v/>
      </c>
      <c r="BC88" s="759">
        <f>BC37-BC87</f>
        <v/>
      </c>
      <c r="BD88" s="759">
        <f>BD37-BD87</f>
        <v/>
      </c>
      <c r="BE88" s="759">
        <f>BE37-BE87</f>
        <v/>
      </c>
      <c r="BF88" s="759">
        <f>BF37-BF87</f>
        <v/>
      </c>
      <c r="BG88" s="759">
        <f>BG37-BG87</f>
        <v/>
      </c>
      <c r="BH88" s="759">
        <f>BH37-BH87</f>
        <v/>
      </c>
      <c r="BI88" s="759">
        <f>BI37-BI87</f>
        <v/>
      </c>
      <c r="BJ88" s="759">
        <f>BJ37-BJ87</f>
        <v/>
      </c>
      <c r="BK88" s="759">
        <f>BK37-BK87</f>
        <v/>
      </c>
      <c r="BL88" s="759">
        <f>BL37-BL87</f>
        <v/>
      </c>
      <c r="BM88" s="759">
        <f>BM37-BM87</f>
        <v/>
      </c>
      <c r="BN88" s="759">
        <f>BN37-BN87</f>
        <v/>
      </c>
      <c r="BO88" s="759">
        <f>BO37-BO87</f>
        <v/>
      </c>
      <c r="BP88" s="759">
        <f>BP37-BP87</f>
        <v/>
      </c>
      <c r="BQ88" s="759">
        <f>BQ37-BQ87</f>
        <v/>
      </c>
      <c r="BR88" s="759">
        <f>BR37-BR87</f>
        <v/>
      </c>
      <c r="BS88" s="759">
        <f>BS37-BS87</f>
        <v/>
      </c>
      <c r="BT88" s="759">
        <f>BT37-BT87</f>
        <v/>
      </c>
      <c r="BU88" s="759">
        <f>BU37-BU87</f>
        <v/>
      </c>
      <c r="BV88" s="759">
        <f>BV37-BV87</f>
        <v/>
      </c>
      <c r="BW88" s="759">
        <f>BW37-BW87</f>
        <v/>
      </c>
      <c r="BX88" s="759">
        <f>BX37-BX87</f>
        <v/>
      </c>
      <c r="BY88" s="759">
        <f>BY37-BY87</f>
        <v/>
      </c>
      <c r="BZ88" s="759">
        <f>BZ37-BZ87</f>
        <v/>
      </c>
      <c r="CA88" s="759">
        <f>CA37-CA87</f>
        <v/>
      </c>
      <c r="CB88" s="759">
        <f>CB37-CB87</f>
        <v/>
      </c>
      <c r="CC88" s="759">
        <f>CC37-CC87</f>
        <v/>
      </c>
      <c r="CD88" s="759">
        <f>CD37-CD87</f>
        <v/>
      </c>
      <c r="CE88" s="759">
        <f>CE37-CE87</f>
        <v/>
      </c>
      <c r="CF88" s="759">
        <f>CF37-CF87</f>
        <v/>
      </c>
      <c r="CG88" s="759">
        <f>CG37-CG87</f>
        <v/>
      </c>
      <c r="CH88" s="759">
        <f>CH37-CH87</f>
        <v/>
      </c>
      <c r="CI88" s="759">
        <f>CI37-CI87</f>
        <v/>
      </c>
      <c r="CJ88" s="759">
        <f>CJ37-CJ87</f>
        <v/>
      </c>
      <c r="CK88" s="759">
        <f>CK37-CK87</f>
        <v/>
      </c>
      <c r="CL88" s="759">
        <f>CL37-CL87</f>
        <v/>
      </c>
      <c r="CM88" s="759">
        <f>CM37-CM87</f>
        <v/>
      </c>
      <c r="CN88" s="759">
        <f>CN37-CN87</f>
        <v/>
      </c>
      <c r="CO88" s="759">
        <f>CO37-CO87</f>
        <v/>
      </c>
      <c r="CP88" s="759">
        <f>CP37-CP87</f>
        <v/>
      </c>
      <c r="CQ88" s="759">
        <f>CQ37-CQ87</f>
        <v/>
      </c>
      <c r="CR88" s="759">
        <f>CR37-CR87</f>
        <v/>
      </c>
      <c r="CS88" s="759">
        <f>CS37-CS87</f>
        <v/>
      </c>
      <c r="CT88" s="759">
        <f>CT37-CT87</f>
        <v/>
      </c>
      <c r="CU88" s="759">
        <f>CU37-CU87</f>
        <v/>
      </c>
      <c r="CV88" s="759">
        <f>CV37-CV87</f>
        <v/>
      </c>
      <c r="CW88" s="759">
        <f>CW37-CW87</f>
        <v/>
      </c>
      <c r="CX88" s="759">
        <f>CX37-CX87</f>
        <v/>
      </c>
      <c r="CY88" s="759">
        <f>CY37-CY87</f>
        <v/>
      </c>
      <c r="CZ88" s="759">
        <f>CZ37-CZ87</f>
        <v/>
      </c>
      <c r="DA88" s="759">
        <f>DA37-DA87</f>
        <v/>
      </c>
      <c r="DB88" s="759">
        <f>DB37-DB87</f>
        <v/>
      </c>
      <c r="DC88" s="759">
        <f>DC37-DC87</f>
        <v/>
      </c>
      <c r="DD88" s="759">
        <f>DD37-DD87</f>
        <v/>
      </c>
      <c r="DE88" s="759">
        <f>DE37-DE87</f>
        <v/>
      </c>
    </row>
    <row r="89">
      <c r="A89" s="586" t="inlineStr">
        <is>
          <t>Bench: supply less demand, all three roles</t>
        </is>
      </c>
      <c r="E89" s="759">
        <f>(E87+E44+SUM(E61:E68)+E45+SUM(E71:E74))-(E38+E39+E40)</f>
        <v/>
      </c>
      <c r="F89" s="759">
        <f>(F87+F44+SUM(F61:F68)+F45+SUM(F71:F74))-(F38+F39+F40)</f>
        <v/>
      </c>
      <c r="G89" s="759">
        <f>(G87+G44+SUM(G61:G68)+G45+SUM(G71:G74))-(G38+G39+G40)</f>
        <v/>
      </c>
      <c r="H89" s="759">
        <f>(H87+H44+SUM(H61:H68)+H45+SUM(H71:H74))-(H38+H39+H40)</f>
        <v/>
      </c>
      <c r="I89" s="759">
        <f>(I87+I44+SUM(I61:I68)+I45+SUM(I71:I74))-(I38+I39+I40)</f>
        <v/>
      </c>
      <c r="J89" s="759">
        <f>(J87+J44+SUM(J61:J68)+J45+SUM(J71:J74))-(J38+J39+J40)</f>
        <v/>
      </c>
      <c r="K89" s="759">
        <f>(K87+K44+SUM(K61:K68)+K45+SUM(K71:K74))-(K38+K39+K40)</f>
        <v/>
      </c>
      <c r="L89" s="759">
        <f>(L87+L44+SUM(L61:L68)+L45+SUM(L71:L74))-(L38+L39+L40)</f>
        <v/>
      </c>
      <c r="M89" s="759">
        <f>(M87+M44+SUM(M61:M68)+M45+SUM(M71:M74))-(M38+M39+M40)</f>
        <v/>
      </c>
      <c r="N89" s="759">
        <f>(N87+N44+SUM(N61:N68)+N45+SUM(N71:N74))-(N38+N39+N40)</f>
        <v/>
      </c>
      <c r="O89" s="759">
        <f>(O87+O44+SUM(O61:O68)+O45+SUM(O71:O74))-(O38+O39+O40)</f>
        <v/>
      </c>
      <c r="P89" s="759">
        <f>(P87+P44+SUM(P61:P68)+P45+SUM(P71:P74))-(P38+P39+P40)</f>
        <v/>
      </c>
      <c r="Q89" s="759">
        <f>(Q87+Q44+SUM(Q61:Q68)+Q45+SUM(Q71:Q74))-(Q38+Q39+Q40)</f>
        <v/>
      </c>
      <c r="R89" s="759">
        <f>(R87+R44+SUM(R61:R68)+R45+SUM(R71:R74))-(R38+R39+R40)</f>
        <v/>
      </c>
      <c r="S89" s="759">
        <f>(S87+S44+SUM(S61:S68)+S45+SUM(S71:S74))-(S38+S39+S40)</f>
        <v/>
      </c>
      <c r="T89" s="759">
        <f>(T87+T44+SUM(T61:T68)+T45+SUM(T71:T74))-(T38+T39+T40)</f>
        <v/>
      </c>
      <c r="U89" s="759">
        <f>(U87+U44+SUM(U61:U68)+U45+SUM(U71:U74))-(U38+U39+U40)</f>
        <v/>
      </c>
      <c r="V89" s="759">
        <f>(V87+V44+SUM(V61:V68)+V45+SUM(V71:V74))-(V38+V39+V40)</f>
        <v/>
      </c>
      <c r="W89" s="759">
        <f>(W87+W44+SUM(W61:W68)+W45+SUM(W71:W74))-(W38+W39+W40)</f>
        <v/>
      </c>
      <c r="X89" s="759">
        <f>(X87+X44+SUM(X61:X68)+X45+SUM(X71:X74))-(X38+X39+X40)</f>
        <v/>
      </c>
      <c r="Y89" s="759">
        <f>(Y87+Y44+SUM(Y61:Y68)+Y45+SUM(Y71:Y74))-(Y38+Y39+Y40)</f>
        <v/>
      </c>
      <c r="Z89" s="759">
        <f>(Z87+Z44+SUM(Z61:Z68)+Z45+SUM(Z71:Z74))-(Z38+Z39+Z40)</f>
        <v/>
      </c>
      <c r="AA89" s="759">
        <f>(AA87+AA44+SUM(AA61:AA68)+AA45+SUM(AA71:AA74))-(AA38+AA39+AA40)</f>
        <v/>
      </c>
      <c r="AB89" s="759">
        <f>(AB87+AB44+SUM(AB61:AB68)+AB45+SUM(AB71:AB74))-(AB38+AB39+AB40)</f>
        <v/>
      </c>
      <c r="AC89" s="759">
        <f>(AC87+AC44+SUM(AC61:AC68)+AC45+SUM(AC71:AC74))-(AC38+AC39+AC40)</f>
        <v/>
      </c>
      <c r="AD89" s="759">
        <f>(AD87+AD44+SUM(AD61:AD68)+AD45+SUM(AD71:AD74))-(AD38+AD39+AD40)</f>
        <v/>
      </c>
      <c r="AE89" s="759">
        <f>(AE87+AE44+SUM(AE61:AE68)+AE45+SUM(AE71:AE74))-(AE38+AE39+AE40)</f>
        <v/>
      </c>
      <c r="AF89" s="759">
        <f>(AF87+AF44+SUM(AF61:AF68)+AF45+SUM(AF71:AF74))-(AF38+AF39+AF40)</f>
        <v/>
      </c>
      <c r="AG89" s="759">
        <f>(AG87+AG44+SUM(AG61:AG68)+AG45+SUM(AG71:AG74))-(AG38+AG39+AG40)</f>
        <v/>
      </c>
      <c r="AH89" s="759">
        <f>(AH87+AH44+SUM(AH61:AH68)+AH45+SUM(AH71:AH74))-(AH38+AH39+AH40)</f>
        <v/>
      </c>
      <c r="AI89" s="759">
        <f>(AI87+AI44+SUM(AI61:AI68)+AI45+SUM(AI71:AI74))-(AI38+AI39+AI40)</f>
        <v/>
      </c>
      <c r="AJ89" s="759">
        <f>(AJ87+AJ44+SUM(AJ61:AJ68)+AJ45+SUM(AJ71:AJ74))-(AJ38+AJ39+AJ40)</f>
        <v/>
      </c>
      <c r="AK89" s="759">
        <f>(AK87+AK44+SUM(AK61:AK68)+AK45+SUM(AK71:AK74))-(AK38+AK39+AK40)</f>
        <v/>
      </c>
      <c r="AL89" s="759">
        <f>(AL87+AL44+SUM(AL61:AL68)+AL45+SUM(AL71:AL74))-(AL38+AL39+AL40)</f>
        <v/>
      </c>
      <c r="AM89" s="759">
        <f>(AM87+AM44+SUM(AM61:AM68)+AM45+SUM(AM71:AM74))-(AM38+AM39+AM40)</f>
        <v/>
      </c>
      <c r="AN89" s="759">
        <f>(AN87+AN44+SUM(AN61:AN68)+AN45+SUM(AN71:AN74))-(AN38+AN39+AN40)</f>
        <v/>
      </c>
      <c r="AO89" s="759">
        <f>(AO87+AO44+SUM(AO61:AO68)+AO45+SUM(AO71:AO74))-(AO38+AO39+AO40)</f>
        <v/>
      </c>
      <c r="AP89" s="759">
        <f>(AP87+AP44+SUM(AP61:AP68)+AP45+SUM(AP71:AP74))-(AP38+AP39+AP40)</f>
        <v/>
      </c>
      <c r="AQ89" s="759">
        <f>(AQ87+AQ44+SUM(AQ61:AQ68)+AQ45+SUM(AQ71:AQ74))-(AQ38+AQ39+AQ40)</f>
        <v/>
      </c>
      <c r="AR89" s="759">
        <f>(AR87+AR44+SUM(AR61:AR68)+AR45+SUM(AR71:AR74))-(AR38+AR39+AR40)</f>
        <v/>
      </c>
      <c r="AS89" s="759">
        <f>(AS87+AS44+SUM(AS61:AS68)+AS45+SUM(AS71:AS74))-(AS38+AS39+AS40)</f>
        <v/>
      </c>
      <c r="AT89" s="759">
        <f>(AT87+AT44+SUM(AT61:AT68)+AT45+SUM(AT71:AT74))-(AT38+AT39+AT40)</f>
        <v/>
      </c>
      <c r="AU89" s="759">
        <f>(AU87+AU44+SUM(AU61:AU68)+AU45+SUM(AU71:AU74))-(AU38+AU39+AU40)</f>
        <v/>
      </c>
      <c r="AV89" s="759">
        <f>(AV87+AV44+SUM(AV61:AV68)+AV45+SUM(AV71:AV74))-(AV38+AV39+AV40)</f>
        <v/>
      </c>
      <c r="AW89" s="759">
        <f>(AW87+AW44+SUM(AW61:AW68)+AW45+SUM(AW71:AW74))-(AW38+AW39+AW40)</f>
        <v/>
      </c>
      <c r="AX89" s="759">
        <f>(AX87+AX44+SUM(AX61:AX68)+AX45+SUM(AX71:AX74))-(AX38+AX39+AX40)</f>
        <v/>
      </c>
      <c r="AY89" s="759">
        <f>(AY87+AY44+SUM(AY61:AY68)+AY45+SUM(AY71:AY74))-(AY38+AY39+AY40)</f>
        <v/>
      </c>
      <c r="AZ89" s="759">
        <f>(AZ87+AZ44+SUM(AZ61:AZ68)+AZ45+SUM(AZ71:AZ74))-(AZ38+AZ39+AZ40)</f>
        <v/>
      </c>
      <c r="BA89" s="759">
        <f>(BA87+BA44+SUM(BA61:BA68)+BA45+SUM(BA71:BA74))-(BA38+BA39+BA40)</f>
        <v/>
      </c>
      <c r="BB89" s="759">
        <f>(BB87+BB44+SUM(BB61:BB68)+BB45+SUM(BB71:BB74))-(BB38+BB39+BB40)</f>
        <v/>
      </c>
      <c r="BC89" s="759">
        <f>(BC87+BC44+SUM(BC61:BC68)+BC45+SUM(BC71:BC74))-(BC38+BC39+BC40)</f>
        <v/>
      </c>
      <c r="BD89" s="759">
        <f>(BD87+BD44+SUM(BD61:BD68)+BD45+SUM(BD71:BD74))-(BD38+BD39+BD40)</f>
        <v/>
      </c>
      <c r="BE89" s="759">
        <f>(BE87+BE44+SUM(BE61:BE68)+BE45+SUM(BE71:BE74))-(BE38+BE39+BE40)</f>
        <v/>
      </c>
      <c r="BF89" s="759">
        <f>(BF87+BF44+SUM(BF61:BF68)+BF45+SUM(BF71:BF74))-(BF38+BF39+BF40)</f>
        <v/>
      </c>
      <c r="BG89" s="759">
        <f>(BG87+BG44+SUM(BG61:BG68)+BG45+SUM(BG71:BG74))-(BG38+BG39+BG40)</f>
        <v/>
      </c>
      <c r="BH89" s="759">
        <f>(BH87+BH44+SUM(BH61:BH68)+BH45+SUM(BH71:BH74))-(BH38+BH39+BH40)</f>
        <v/>
      </c>
      <c r="BI89" s="759">
        <f>(BI87+BI44+SUM(BI61:BI68)+BI45+SUM(BI71:BI74))-(BI38+BI39+BI40)</f>
        <v/>
      </c>
      <c r="BJ89" s="759">
        <f>(BJ87+BJ44+SUM(BJ61:BJ68)+BJ45+SUM(BJ71:BJ74))-(BJ38+BJ39+BJ40)</f>
        <v/>
      </c>
      <c r="BK89" s="759">
        <f>(BK87+BK44+SUM(BK61:BK68)+BK45+SUM(BK71:BK74))-(BK38+BK39+BK40)</f>
        <v/>
      </c>
      <c r="BL89" s="759">
        <f>(BL87+BL44+SUM(BL61:BL68)+BL45+SUM(BL71:BL74))-(BL38+BL39+BL40)</f>
        <v/>
      </c>
      <c r="BM89" s="759">
        <f>(BM87+BM44+SUM(BM61:BM68)+BM45+SUM(BM71:BM74))-(BM38+BM39+BM40)</f>
        <v/>
      </c>
      <c r="BN89" s="759">
        <f>(BN87+BN44+SUM(BN61:BN68)+BN45+SUM(BN71:BN74))-(BN38+BN39+BN40)</f>
        <v/>
      </c>
      <c r="BO89" s="759">
        <f>(BO87+BO44+SUM(BO61:BO68)+BO45+SUM(BO71:BO74))-(BO38+BO39+BO40)</f>
        <v/>
      </c>
      <c r="BP89" s="759">
        <f>(BP87+BP44+SUM(BP61:BP68)+BP45+SUM(BP71:BP74))-(BP38+BP39+BP40)</f>
        <v/>
      </c>
      <c r="BQ89" s="759">
        <f>(BQ87+BQ44+SUM(BQ61:BQ68)+BQ45+SUM(BQ71:BQ74))-(BQ38+BQ39+BQ40)</f>
        <v/>
      </c>
      <c r="BR89" s="759">
        <f>(BR87+BR44+SUM(BR61:BR68)+BR45+SUM(BR71:BR74))-(BR38+BR39+BR40)</f>
        <v/>
      </c>
      <c r="BS89" s="759">
        <f>(BS87+BS44+SUM(BS61:BS68)+BS45+SUM(BS71:BS74))-(BS38+BS39+BS40)</f>
        <v/>
      </c>
      <c r="BT89" s="759">
        <f>(BT87+BT44+SUM(BT61:BT68)+BT45+SUM(BT71:BT74))-(BT38+BT39+BT40)</f>
        <v/>
      </c>
      <c r="BU89" s="759">
        <f>(BU87+BU44+SUM(BU61:BU68)+BU45+SUM(BU71:BU74))-(BU38+BU39+BU40)</f>
        <v/>
      </c>
      <c r="BV89" s="759">
        <f>(BV87+BV44+SUM(BV61:BV68)+BV45+SUM(BV71:BV74))-(BV38+BV39+BV40)</f>
        <v/>
      </c>
      <c r="BW89" s="759">
        <f>(BW87+BW44+SUM(BW61:BW68)+BW45+SUM(BW71:BW74))-(BW38+BW39+BW40)</f>
        <v/>
      </c>
      <c r="BX89" s="759">
        <f>(BX87+BX44+SUM(BX61:BX68)+BX45+SUM(BX71:BX74))-(BX38+BX39+BX40)</f>
        <v/>
      </c>
      <c r="BY89" s="759">
        <f>(BY87+BY44+SUM(BY61:BY68)+BY45+SUM(BY71:BY74))-(BY38+BY39+BY40)</f>
        <v/>
      </c>
      <c r="BZ89" s="759">
        <f>(BZ87+BZ44+SUM(BZ61:BZ68)+BZ45+SUM(BZ71:BZ74))-(BZ38+BZ39+BZ40)</f>
        <v/>
      </c>
      <c r="CA89" s="759">
        <f>(CA87+CA44+SUM(CA61:CA68)+CA45+SUM(CA71:CA74))-(CA38+CA39+CA40)</f>
        <v/>
      </c>
      <c r="CB89" s="759">
        <f>(CB87+CB44+SUM(CB61:CB68)+CB45+SUM(CB71:CB74))-(CB38+CB39+CB40)</f>
        <v/>
      </c>
      <c r="CC89" s="759">
        <f>(CC87+CC44+SUM(CC61:CC68)+CC45+SUM(CC71:CC74))-(CC38+CC39+CC40)</f>
        <v/>
      </c>
      <c r="CD89" s="759">
        <f>(CD87+CD44+SUM(CD61:CD68)+CD45+SUM(CD71:CD74))-(CD38+CD39+CD40)</f>
        <v/>
      </c>
      <c r="CE89" s="759">
        <f>(CE87+CE44+SUM(CE61:CE68)+CE45+SUM(CE71:CE74))-(CE38+CE39+CE40)</f>
        <v/>
      </c>
      <c r="CF89" s="759">
        <f>(CF87+CF44+SUM(CF61:CF68)+CF45+SUM(CF71:CF74))-(CF38+CF39+CF40)</f>
        <v/>
      </c>
      <c r="CG89" s="759">
        <f>(CG87+CG44+SUM(CG61:CG68)+CG45+SUM(CG71:CG74))-(CG38+CG39+CG40)</f>
        <v/>
      </c>
      <c r="CH89" s="759">
        <f>(CH87+CH44+SUM(CH61:CH68)+CH45+SUM(CH71:CH74))-(CH38+CH39+CH40)</f>
        <v/>
      </c>
      <c r="CI89" s="759">
        <f>(CI87+CI44+SUM(CI61:CI68)+CI45+SUM(CI71:CI74))-(CI38+CI39+CI40)</f>
        <v/>
      </c>
      <c r="CJ89" s="759">
        <f>(CJ87+CJ44+SUM(CJ61:CJ68)+CJ45+SUM(CJ71:CJ74))-(CJ38+CJ39+CJ40)</f>
        <v/>
      </c>
      <c r="CK89" s="759">
        <f>(CK87+CK44+SUM(CK61:CK68)+CK45+SUM(CK71:CK74))-(CK38+CK39+CK40)</f>
        <v/>
      </c>
      <c r="CL89" s="759">
        <f>(CL87+CL44+SUM(CL61:CL68)+CL45+SUM(CL71:CL74))-(CL38+CL39+CL40)</f>
        <v/>
      </c>
      <c r="CM89" s="759">
        <f>(CM87+CM44+SUM(CM61:CM68)+CM45+SUM(CM71:CM74))-(CM38+CM39+CM40)</f>
        <v/>
      </c>
      <c r="CN89" s="759">
        <f>(CN87+CN44+SUM(CN61:CN68)+CN45+SUM(CN71:CN74))-(CN38+CN39+CN40)</f>
        <v/>
      </c>
      <c r="CO89" s="759">
        <f>(CO87+CO44+SUM(CO61:CO68)+CO45+SUM(CO71:CO74))-(CO38+CO39+CO40)</f>
        <v/>
      </c>
      <c r="CP89" s="759">
        <f>(CP87+CP44+SUM(CP61:CP68)+CP45+SUM(CP71:CP74))-(CP38+CP39+CP40)</f>
        <v/>
      </c>
      <c r="CQ89" s="759">
        <f>(CQ87+CQ44+SUM(CQ61:CQ68)+CQ45+SUM(CQ71:CQ74))-(CQ38+CQ39+CQ40)</f>
        <v/>
      </c>
      <c r="CR89" s="759">
        <f>(CR87+CR44+SUM(CR61:CR68)+CR45+SUM(CR71:CR74))-(CR38+CR39+CR40)</f>
        <v/>
      </c>
      <c r="CS89" s="759">
        <f>(CS87+CS44+SUM(CS61:CS68)+CS45+SUM(CS71:CS74))-(CS38+CS39+CS40)</f>
        <v/>
      </c>
      <c r="CT89" s="759">
        <f>(CT87+CT44+SUM(CT61:CT68)+CT45+SUM(CT71:CT74))-(CT38+CT39+CT40)</f>
        <v/>
      </c>
      <c r="CU89" s="759">
        <f>(CU87+CU44+SUM(CU61:CU68)+CU45+SUM(CU71:CU74))-(CU38+CU39+CU40)</f>
        <v/>
      </c>
      <c r="CV89" s="759">
        <f>(CV87+CV44+SUM(CV61:CV68)+CV45+SUM(CV71:CV74))-(CV38+CV39+CV40)</f>
        <v/>
      </c>
      <c r="CW89" s="759">
        <f>(CW87+CW44+SUM(CW61:CW68)+CW45+SUM(CW71:CW74))-(CW38+CW39+CW40)</f>
        <v/>
      </c>
      <c r="CX89" s="759">
        <f>(CX87+CX44+SUM(CX61:CX68)+CX45+SUM(CX71:CX74))-(CX38+CX39+CX40)</f>
        <v/>
      </c>
      <c r="CY89" s="759">
        <f>(CY87+CY44+SUM(CY61:CY68)+CY45+SUM(CY71:CY74))-(CY38+CY39+CY40)</f>
        <v/>
      </c>
      <c r="CZ89" s="759">
        <f>(CZ87+CZ44+SUM(CZ61:CZ68)+CZ45+SUM(CZ71:CZ74))-(CZ38+CZ39+CZ40)</f>
        <v/>
      </c>
      <c r="DA89" s="759">
        <f>(DA87+DA44+SUM(DA61:DA68)+DA45+SUM(DA71:DA74))-(DA38+DA39+DA40)</f>
        <v/>
      </c>
      <c r="DB89" s="759">
        <f>(DB87+DB44+SUM(DB61:DB68)+DB45+SUM(DB71:DB74))-(DB38+DB39+DB40)</f>
        <v/>
      </c>
      <c r="DC89" s="759">
        <f>(DC87+DC44+SUM(DC61:DC68)+DC45+SUM(DC71:DC74))-(DC38+DC39+DC40)</f>
        <v/>
      </c>
      <c r="DD89" s="759">
        <f>(DD87+DD44+SUM(DD61:DD68)+DD45+SUM(DD71:DD74))-(DD38+DD39+DD40)</f>
        <v/>
      </c>
      <c r="DE89" s="759">
        <f>(DE87+DE44+SUM(DE61:DE68)+DE45+SUM(DE71:DE74))-(DE38+DE39+DE40)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2026-03-23T03:32:22Z</dcterms:created>
  <dcterms:modified xmlns:dcterms="http://purl.org/dc/terms/" xmlns:xsi="http://www.w3.org/2001/XMLSchema-instance" xsi:type="dcterms:W3CDTF">2026-09-10T19:29:49Z</dcterms:modified>
  <cp:lastModifiedBy>Chris Andresen</cp:lastModifiedBy>
  <cp:revision>17</cp:revision>
</cp:coreProperties>
</file>